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45" yWindow="-90" windowWidth="11940" windowHeight="8175" tabRatio="877" firstSheet="1" activeTab="10"/>
  </bookViews>
  <sheets>
    <sheet name="pile data ( M30 grade) (2)" sheetId="50" state="hidden" r:id="rId1"/>
    <sheet name="Abstract " sheetId="58" r:id="rId2"/>
    <sheet name="pile data " sheetId="32" r:id="rId3"/>
    <sheet name="  Coastal  Elec.Data " sheetId="27" r:id="rId4"/>
    <sheet name="lead  charge" sheetId="4" state="hidden" r:id="rId5"/>
    <sheet name="Elec.Data" sheetId="11" state="hidden" r:id="rId6"/>
    <sheet name="G. Abstract" sheetId="57" state="hidden" r:id="rId7"/>
    <sheet name="Sliding and french window" sheetId="25" state="hidden" r:id="rId8"/>
    <sheet name="Abst " sheetId="79" state="hidden" r:id="rId9"/>
    <sheet name="building" sheetId="55" state="hidden" r:id="rId10"/>
    <sheet name="detailed" sheetId="70" r:id="rId11"/>
    <sheet name="Data" sheetId="1" state="hidden" r:id="rId12"/>
    <sheet name="ST" sheetId="71" r:id="rId13"/>
    <sheet name="Sump" sheetId="72" r:id="rId14"/>
    <sheet name="Plinth P" sheetId="76" r:id="rId15"/>
    <sheet name="Paver " sheetId="74" r:id="rId16"/>
    <sheet name="Sullage drain" sheetId="75" r:id="rId17"/>
    <sheet name="Ex. WS" sheetId="73" r:id="rId18"/>
    <sheet name="UG cable" sheetId="77" r:id="rId19"/>
    <sheet name="Com.wall" sheetId="78" r:id="rId20"/>
    <sheet name="Sub Data" sheetId="61" state="hidden" r:id="rId21"/>
    <sheet name="PC Toatal " sheetId="67" state="hidden" r:id="rId22"/>
    <sheet name="Sheet1" sheetId="66" state="hidden" r:id="rId23"/>
  </sheets>
  <externalReferences>
    <externalReference r:id="rId24"/>
    <externalReference r:id="rId25"/>
    <externalReference r:id="rId26"/>
    <externalReference r:id="rId27"/>
    <externalReference r:id="rId28"/>
  </externalReferences>
  <definedNames>
    <definedName name="_xlnm._FilterDatabase" localSheetId="8" hidden="1">'Abst '!$A$5:$AJ$471</definedName>
    <definedName name="_xlnm._FilterDatabase" localSheetId="1" hidden="1">'Abstract '!$A$5:$F$1216</definedName>
    <definedName name="_xlnm._FilterDatabase" localSheetId="9" hidden="1">building!$A$4:$AJ$470</definedName>
    <definedName name="ahfk" localSheetId="8">#REF!</definedName>
    <definedName name="ahfk" localSheetId="19">#REF!</definedName>
    <definedName name="ahfk" localSheetId="10">#REF!</definedName>
    <definedName name="ahfk" localSheetId="17">#REF!</definedName>
    <definedName name="ahfk" localSheetId="15">#REF!</definedName>
    <definedName name="ahfk" localSheetId="14">#REF!</definedName>
    <definedName name="ahfk" localSheetId="12">#REF!</definedName>
    <definedName name="ahfk" localSheetId="16">#REF!</definedName>
    <definedName name="ahfk" localSheetId="13">#REF!</definedName>
    <definedName name="ahfk" localSheetId="18">#REF!</definedName>
    <definedName name="ahfk">#REF!</definedName>
    <definedName name="electri" localSheetId="8">#REF!</definedName>
    <definedName name="electri" localSheetId="19">#REF!</definedName>
    <definedName name="electri" localSheetId="10">#REF!</definedName>
    <definedName name="electri" localSheetId="17">#REF!</definedName>
    <definedName name="electri" localSheetId="15">#REF!</definedName>
    <definedName name="electri" localSheetId="14">#REF!</definedName>
    <definedName name="electri" localSheetId="12">#REF!</definedName>
    <definedName name="electri" localSheetId="16">#REF!</definedName>
    <definedName name="electri" localSheetId="13">#REF!</definedName>
    <definedName name="electri" localSheetId="18">#REF!</definedName>
    <definedName name="electri">#REF!</definedName>
    <definedName name="fhd" localSheetId="8">#REF!</definedName>
    <definedName name="fhd" localSheetId="19">#REF!</definedName>
    <definedName name="fhd" localSheetId="10">#REF!</definedName>
    <definedName name="fhd" localSheetId="17">#REF!</definedName>
    <definedName name="fhd" localSheetId="15">#REF!</definedName>
    <definedName name="fhd" localSheetId="14">#REF!</definedName>
    <definedName name="fhd" localSheetId="12">#REF!</definedName>
    <definedName name="fhd" localSheetId="16">#REF!</definedName>
    <definedName name="fhd" localSheetId="13">#REF!</definedName>
    <definedName name="fhd" localSheetId="18">#REF!</definedName>
    <definedName name="fhd">#REF!</definedName>
    <definedName name="hia" localSheetId="8">#REF!</definedName>
    <definedName name="hia" localSheetId="1">#REF!</definedName>
    <definedName name="hia" localSheetId="9">#REF!</definedName>
    <definedName name="hia" localSheetId="19">#REF!</definedName>
    <definedName name="hia" localSheetId="10">#REF!</definedName>
    <definedName name="hia" localSheetId="17">#REF!</definedName>
    <definedName name="hia" localSheetId="6">#REF!</definedName>
    <definedName name="hia" localSheetId="15">#REF!</definedName>
    <definedName name="hia" localSheetId="0">#REF!</definedName>
    <definedName name="hia" localSheetId="14">#REF!</definedName>
    <definedName name="hia" localSheetId="12">#REF!</definedName>
    <definedName name="hia" localSheetId="16">#REF!</definedName>
    <definedName name="hia" localSheetId="13">#REF!</definedName>
    <definedName name="hia" localSheetId="18">#REF!</definedName>
    <definedName name="hia">#REF!</definedName>
    <definedName name="ins" localSheetId="8">#REF!</definedName>
    <definedName name="ins" localSheetId="19">#REF!</definedName>
    <definedName name="ins" localSheetId="10">#REF!</definedName>
    <definedName name="ins" localSheetId="17">#REF!</definedName>
    <definedName name="ins" localSheetId="15">#REF!</definedName>
    <definedName name="ins" localSheetId="14">#REF!</definedName>
    <definedName name="ins" localSheetId="12">#REF!</definedName>
    <definedName name="ins" localSheetId="16">#REF!</definedName>
    <definedName name="ins" localSheetId="13">#REF!</definedName>
    <definedName name="ins" localSheetId="18">#REF!</definedName>
    <definedName name="ins">#REF!</definedName>
    <definedName name="k404." localSheetId="8">#REF!</definedName>
    <definedName name="k404." localSheetId="1">#REF!</definedName>
    <definedName name="k404." localSheetId="19">#REF!</definedName>
    <definedName name="k404." localSheetId="10">#REF!</definedName>
    <definedName name="k404." localSheetId="17">#REF!</definedName>
    <definedName name="k404." localSheetId="6">#REF!</definedName>
    <definedName name="k404." localSheetId="15">#REF!</definedName>
    <definedName name="k404." localSheetId="14">#REF!</definedName>
    <definedName name="k404." localSheetId="12">#REF!</definedName>
    <definedName name="k404." localSheetId="16">#REF!</definedName>
    <definedName name="k404." localSheetId="13">#REF!</definedName>
    <definedName name="k404." localSheetId="18">#REF!</definedName>
    <definedName name="k404.">#REF!</definedName>
    <definedName name="pc" localSheetId="8">#REF!</definedName>
    <definedName name="pc" localSheetId="1">#REF!</definedName>
    <definedName name="pc" localSheetId="19">#REF!</definedName>
    <definedName name="pc" localSheetId="10">#REF!</definedName>
    <definedName name="pc" localSheetId="17">#REF!</definedName>
    <definedName name="pc" localSheetId="6">#REF!</definedName>
    <definedName name="pc" localSheetId="15">#REF!</definedName>
    <definedName name="pc" localSheetId="14">#REF!</definedName>
    <definedName name="pc" localSheetId="12">#REF!</definedName>
    <definedName name="pc" localSheetId="16">#REF!</definedName>
    <definedName name="pc" localSheetId="13">#REF!</definedName>
    <definedName name="pc" localSheetId="18">#REF!</definedName>
    <definedName name="pc">#REF!</definedName>
    <definedName name="print" localSheetId="8">#REF!</definedName>
    <definedName name="print" localSheetId="1">#REF!</definedName>
    <definedName name="print" localSheetId="9">#REF!</definedName>
    <definedName name="print" localSheetId="19">#REF!</definedName>
    <definedName name="print" localSheetId="10">#REF!</definedName>
    <definedName name="print" localSheetId="17">#REF!</definedName>
    <definedName name="print" localSheetId="6">#REF!</definedName>
    <definedName name="print" localSheetId="15">#REF!</definedName>
    <definedName name="print" localSheetId="0">#REF!</definedName>
    <definedName name="print" localSheetId="14">#REF!</definedName>
    <definedName name="print" localSheetId="12">#REF!</definedName>
    <definedName name="print" localSheetId="16">#REF!</definedName>
    <definedName name="print" localSheetId="13">#REF!</definedName>
    <definedName name="print" localSheetId="18">#REF!</definedName>
    <definedName name="print">#REF!</definedName>
    <definedName name="_xlnm.Print_Area" localSheetId="3">'  Coastal  Elec.Data '!$F$2832:$K$2988</definedName>
    <definedName name="_xlnm.Print_Area" localSheetId="8">'Abst '!$A$1:$Z$363</definedName>
    <definedName name="_xlnm.Print_Area" localSheetId="1">'Abstract '!$A$1:$F$1026</definedName>
    <definedName name="_xlnm.Print_Area" localSheetId="9">building!$A$1:$Z$362</definedName>
    <definedName name="_xlnm.Print_Area" localSheetId="19">#REF!</definedName>
    <definedName name="_xlnm.Print_Area" localSheetId="11">Data!$T$1:$AE$42</definedName>
    <definedName name="_xlnm.Print_Area" localSheetId="10">detailed!$A$1:$H$2078</definedName>
    <definedName name="_xlnm.Print_Area" localSheetId="5">Elec.Data!$F$2832:$K$4094</definedName>
    <definedName name="_xlnm.Print_Area" localSheetId="17">#REF!</definedName>
    <definedName name="_xlnm.Print_Area" localSheetId="6">'G. Abstract'!$A$1:$F$34</definedName>
    <definedName name="_xlnm.Print_Area" localSheetId="4">'lead  charge'!$A$1:$S$27</definedName>
    <definedName name="_xlnm.Print_Area" localSheetId="15">#REF!</definedName>
    <definedName name="_xlnm.Print_Area" localSheetId="2">'pile data '!$A$1:$H$162</definedName>
    <definedName name="_xlnm.Print_Area" localSheetId="0">'pile data ( M30 grade) (2)'!$A$1:$H$162</definedName>
    <definedName name="_xlnm.Print_Area" localSheetId="14">#REF!</definedName>
    <definedName name="_xlnm.Print_Area" localSheetId="7">'Sliding and french window'!$A$166:$G$241</definedName>
    <definedName name="_xlnm.Print_Area" localSheetId="12">ST!$A$1:$H$89</definedName>
    <definedName name="_xlnm.Print_Area" localSheetId="20">'Sub Data'!$A$1:$F$96</definedName>
    <definedName name="_xlnm.Print_Area" localSheetId="16">#REF!</definedName>
    <definedName name="_xlnm.Print_Area" localSheetId="13">#REF!</definedName>
    <definedName name="_xlnm.Print_Area">#REF!</definedName>
    <definedName name="Print_Area_MI" localSheetId="3">'  Coastal  Elec.Data '!$F$1:$K$213</definedName>
    <definedName name="PRINT_AREA_MI" localSheetId="8">#REF!</definedName>
    <definedName name="PRINT_AREA_MI" localSheetId="1">#REF!</definedName>
    <definedName name="PRINT_AREA_MI" localSheetId="19">#REF!</definedName>
    <definedName name="Print_Area_MI" localSheetId="11">Data!$F$1:$K$217</definedName>
    <definedName name="PRINT_AREA_MI" localSheetId="10">#REF!</definedName>
    <definedName name="Print_Area_MI" localSheetId="5">Elec.Data!$F$1:$K$213</definedName>
    <definedName name="PRINT_AREA_MI" localSheetId="17">#REF!</definedName>
    <definedName name="PRINT_AREA_MI" localSheetId="6">#REF!</definedName>
    <definedName name="PRINT_AREA_MI" localSheetId="15">#REF!</definedName>
    <definedName name="PRINT_AREA_MI" localSheetId="2">#REF!</definedName>
    <definedName name="PRINT_AREA_MI" localSheetId="0">#REF!</definedName>
    <definedName name="PRINT_AREA_MI" localSheetId="14">#REF!</definedName>
    <definedName name="PRINT_AREA_MI" localSheetId="12">#REF!</definedName>
    <definedName name="PRINT_AREA_MI" localSheetId="16">#REF!</definedName>
    <definedName name="PRINT_AREA_MI" localSheetId="13">#REF!</definedName>
    <definedName name="PRINT_AREA_MI" localSheetId="18">#REF!</definedName>
    <definedName name="PRINT_AREA_MI">#REF!</definedName>
    <definedName name="_xlnm.Print_Titles" localSheetId="3">#REF!</definedName>
    <definedName name="_xlnm.Print_Titles" localSheetId="8">'Abst '!$3:$4</definedName>
    <definedName name="_xlnm.Print_Titles" localSheetId="1">'Abstract '!$4:$4</definedName>
    <definedName name="_xlnm.Print_Titles" localSheetId="9">building!$2:$3</definedName>
    <definedName name="_xlnm.Print_Titles" localSheetId="19">#REF!</definedName>
    <definedName name="_xlnm.Print_Titles" localSheetId="10">#REF!</definedName>
    <definedName name="_xlnm.Print_Titles" localSheetId="17">#REF!</definedName>
    <definedName name="_xlnm.Print_Titles" localSheetId="15">#REF!</definedName>
    <definedName name="_xlnm.Print_Titles" localSheetId="2">#REF!</definedName>
    <definedName name="_xlnm.Print_Titles" localSheetId="0">#REF!</definedName>
    <definedName name="_xlnm.Print_Titles" localSheetId="14">#REF!</definedName>
    <definedName name="_xlnm.Print_Titles" localSheetId="12">#REF!</definedName>
    <definedName name="_xlnm.Print_Titles" localSheetId="16">#REF!</definedName>
    <definedName name="_xlnm.Print_Titles" localSheetId="13">#REF!</definedName>
    <definedName name="_xlnm.Print_Titles">#REF!</definedName>
    <definedName name="PRINT_TITLES_MI" localSheetId="3">'  Coastal  Elec.Data '!$GJ$7:$IG$7608</definedName>
    <definedName name="PRINT_TITLES_MI" localSheetId="8">#REF!</definedName>
    <definedName name="PRINT_TITLES_MI" localSheetId="1">#REF!</definedName>
    <definedName name="PRINT_TITLES_MI" localSheetId="19">#REF!</definedName>
    <definedName name="PRINT_TITLES_MI" localSheetId="11">Data!$GJ$7:$IG$7595</definedName>
    <definedName name="PRINT_TITLES_MI" localSheetId="10">#REF!</definedName>
    <definedName name="PRINT_TITLES_MI" localSheetId="5">Elec.Data!$GJ$7:$IG$7617</definedName>
    <definedName name="PRINT_TITLES_MI" localSheetId="17">#REF!</definedName>
    <definedName name="PRINT_TITLES_MI" localSheetId="6">#REF!</definedName>
    <definedName name="PRINT_TITLES_MI" localSheetId="15">#REF!</definedName>
    <definedName name="PRINT_TITLES_MI" localSheetId="2">#REF!</definedName>
    <definedName name="PRINT_TITLES_MI" localSheetId="0">#REF!</definedName>
    <definedName name="PRINT_TITLES_MI" localSheetId="14">#REF!</definedName>
    <definedName name="PRINT_TITLES_MI" localSheetId="12">#REF!</definedName>
    <definedName name="PRINT_TITLES_MI" localSheetId="16">#REF!</definedName>
    <definedName name="PRINT_TITLES_MI" localSheetId="13">#REF!</definedName>
    <definedName name="PRINT_TITLES_MI" localSheetId="18">#REF!</definedName>
    <definedName name="PRINT_TITLES_MI">#REF!</definedName>
    <definedName name="QQE" localSheetId="8">#REF!</definedName>
    <definedName name="QQE" localSheetId="19">#REF!</definedName>
    <definedName name="QQE" localSheetId="10">#REF!</definedName>
    <definedName name="QQE" localSheetId="17">#REF!</definedName>
    <definedName name="QQE" localSheetId="15">#REF!</definedName>
    <definedName name="QQE" localSheetId="14">#REF!</definedName>
    <definedName name="QQE" localSheetId="12">#REF!</definedName>
    <definedName name="QQE" localSheetId="16">#REF!</definedName>
    <definedName name="QQE" localSheetId="13">#REF!</definedName>
    <definedName name="QQE" localSheetId="18">#REF!</definedName>
    <definedName name="QQE">#REF!</definedName>
    <definedName name="QWE" localSheetId="8">#REF!</definedName>
    <definedName name="QWE" localSheetId="19">#REF!</definedName>
    <definedName name="QWE" localSheetId="10">#REF!</definedName>
    <definedName name="QWE" localSheetId="17">#REF!</definedName>
    <definedName name="QWE" localSheetId="15">#REF!</definedName>
    <definedName name="QWE" localSheetId="14">#REF!</definedName>
    <definedName name="QWE" localSheetId="12">#REF!</definedName>
    <definedName name="QWE" localSheetId="16">#REF!</definedName>
    <definedName name="QWE" localSheetId="13">#REF!</definedName>
    <definedName name="QWE" localSheetId="18">#REF!</definedName>
    <definedName name="QWE">#REF!</definedName>
  </definedNames>
  <calcPr calcId="124519" fullPrecision="0"/>
</workbook>
</file>

<file path=xl/calcChain.xml><?xml version="1.0" encoding="utf-8"?>
<calcChain xmlns="http://schemas.openxmlformats.org/spreadsheetml/2006/main">
  <c r="H38" i="72"/>
  <c r="H1597" i="70"/>
  <c r="H1595"/>
  <c r="H966"/>
  <c r="H965"/>
  <c r="H1898"/>
  <c r="H1451"/>
  <c r="H1452"/>
  <c r="H1422"/>
  <c r="H1423"/>
  <c r="H1424"/>
  <c r="H1425"/>
  <c r="H1227"/>
  <c r="H1228"/>
  <c r="H1198"/>
  <c r="H1199"/>
  <c r="H1200"/>
  <c r="H1201"/>
  <c r="H908"/>
  <c r="H909"/>
  <c r="H910"/>
  <c r="H911"/>
  <c r="H912"/>
  <c r="H913"/>
  <c r="H914"/>
  <c r="H2075"/>
  <c r="H2074"/>
  <c r="H2073"/>
  <c r="H2072"/>
  <c r="H2071"/>
  <c r="H2070"/>
  <c r="H2069"/>
  <c r="H2068"/>
  <c r="H2067"/>
  <c r="H2066"/>
  <c r="H2065"/>
  <c r="H2064"/>
  <c r="H2063"/>
  <c r="H2062"/>
  <c r="H2061"/>
  <c r="H2060"/>
  <c r="H2059"/>
  <c r="H2058"/>
  <c r="H2057"/>
  <c r="H2056"/>
  <c r="H2055"/>
  <c r="H2054"/>
  <c r="H2053"/>
  <c r="H2052"/>
  <c r="H2051"/>
  <c r="H2050"/>
  <c r="H2047"/>
  <c r="C327" i="55"/>
  <c r="C328" i="79"/>
  <c r="T492"/>
  <c r="T491"/>
  <c r="T490"/>
  <c r="T489"/>
  <c r="V488"/>
  <c r="T488"/>
  <c r="V487"/>
  <c r="T487"/>
  <c r="W486"/>
  <c r="X486" s="1"/>
  <c r="V486"/>
  <c r="T486"/>
  <c r="W485"/>
  <c r="Y485" s="1"/>
  <c r="Z485" s="1"/>
  <c r="V485"/>
  <c r="T485"/>
  <c r="W484"/>
  <c r="X484" s="1"/>
  <c r="V484"/>
  <c r="T484"/>
  <c r="W483"/>
  <c r="Y483" s="1"/>
  <c r="Z483" s="1"/>
  <c r="V483"/>
  <c r="T483"/>
  <c r="W482"/>
  <c r="X482" s="1"/>
  <c r="V482"/>
  <c r="T482"/>
  <c r="W481"/>
  <c r="Y481" s="1"/>
  <c r="Z481" s="1"/>
  <c r="V481"/>
  <c r="T481"/>
  <c r="W480"/>
  <c r="X480" s="1"/>
  <c r="V480"/>
  <c r="T480"/>
  <c r="W479"/>
  <c r="Y479" s="1"/>
  <c r="Z479" s="1"/>
  <c r="V479"/>
  <c r="T479"/>
  <c r="W478"/>
  <c r="X478" s="1"/>
  <c r="V478"/>
  <c r="T478"/>
  <c r="W477"/>
  <c r="Y477" s="1"/>
  <c r="Z477" s="1"/>
  <c r="V477"/>
  <c r="T477"/>
  <c r="W476"/>
  <c r="X476" s="1"/>
  <c r="V476"/>
  <c r="T476"/>
  <c r="W475"/>
  <c r="Y475" s="1"/>
  <c r="V475"/>
  <c r="T475"/>
  <c r="W474"/>
  <c r="Y474" s="1"/>
  <c r="V474"/>
  <c r="T474"/>
  <c r="Y473"/>
  <c r="Z473" s="1"/>
  <c r="W473"/>
  <c r="V473"/>
  <c r="T473"/>
  <c r="X472"/>
  <c r="W472"/>
  <c r="Y472" s="1"/>
  <c r="Z472" s="1"/>
  <c r="V472"/>
  <c r="T472"/>
  <c r="X471"/>
  <c r="W471"/>
  <c r="Y471" s="1"/>
  <c r="Z471" s="1"/>
  <c r="V471"/>
  <c r="T471"/>
  <c r="X470"/>
  <c r="W470"/>
  <c r="Y470" s="1"/>
  <c r="Z470" s="1"/>
  <c r="V470"/>
  <c r="T470"/>
  <c r="X469"/>
  <c r="W469"/>
  <c r="Y469" s="1"/>
  <c r="Z469" s="1"/>
  <c r="V469"/>
  <c r="T469"/>
  <c r="X468"/>
  <c r="W468"/>
  <c r="Y468" s="1"/>
  <c r="Z468" s="1"/>
  <c r="V468"/>
  <c r="T468"/>
  <c r="X467"/>
  <c r="W467"/>
  <c r="Y467" s="1"/>
  <c r="Z467" s="1"/>
  <c r="V467"/>
  <c r="T467"/>
  <c r="X466"/>
  <c r="W466"/>
  <c r="Y466" s="1"/>
  <c r="Z466" s="1"/>
  <c r="V466"/>
  <c r="T466"/>
  <c r="X465"/>
  <c r="W465"/>
  <c r="Y465" s="1"/>
  <c r="Z465" s="1"/>
  <c r="V465"/>
  <c r="T465"/>
  <c r="X464"/>
  <c r="W464"/>
  <c r="Y464" s="1"/>
  <c r="Z464" s="1"/>
  <c r="V464"/>
  <c r="T464"/>
  <c r="W463"/>
  <c r="Y463" s="1"/>
  <c r="C463"/>
  <c r="B463"/>
  <c r="W462"/>
  <c r="Y462" s="1"/>
  <c r="C462"/>
  <c r="X462" s="1"/>
  <c r="B462"/>
  <c r="W461"/>
  <c r="Y461" s="1"/>
  <c r="Z461" s="1"/>
  <c r="C461"/>
  <c r="W460"/>
  <c r="X460" s="1"/>
  <c r="T460"/>
  <c r="C460"/>
  <c r="V460" s="1"/>
  <c r="Y459"/>
  <c r="W459"/>
  <c r="C459"/>
  <c r="X459" s="1"/>
  <c r="W458"/>
  <c r="C458"/>
  <c r="V458" s="1"/>
  <c r="W457"/>
  <c r="Y457" s="1"/>
  <c r="C457"/>
  <c r="W456"/>
  <c r="C456"/>
  <c r="T456" s="1"/>
  <c r="Y455"/>
  <c r="W455"/>
  <c r="C455"/>
  <c r="X455" s="1"/>
  <c r="Y454"/>
  <c r="W454"/>
  <c r="C454"/>
  <c r="V454" s="1"/>
  <c r="W453"/>
  <c r="Y453" s="1"/>
  <c r="C453"/>
  <c r="W452"/>
  <c r="C452"/>
  <c r="V452" s="1"/>
  <c r="W451"/>
  <c r="Y451" s="1"/>
  <c r="W450"/>
  <c r="Y450" s="1"/>
  <c r="W449"/>
  <c r="Y449" s="1"/>
  <c r="W448"/>
  <c r="W447"/>
  <c r="Y447" s="1"/>
  <c r="W446"/>
  <c r="Y446" s="1"/>
  <c r="Y445"/>
  <c r="W445"/>
  <c r="W444"/>
  <c r="W443"/>
  <c r="Y443" s="1"/>
  <c r="Y442"/>
  <c r="W442"/>
  <c r="Y441"/>
  <c r="W441"/>
  <c r="W440"/>
  <c r="C440"/>
  <c r="V440" s="1"/>
  <c r="W439"/>
  <c r="Y439" s="1"/>
  <c r="C439"/>
  <c r="X439" s="1"/>
  <c r="W438"/>
  <c r="Y438" s="1"/>
  <c r="C438"/>
  <c r="T438" s="1"/>
  <c r="Y437"/>
  <c r="W437"/>
  <c r="W436"/>
  <c r="C436"/>
  <c r="V436" s="1"/>
  <c r="W435"/>
  <c r="Y435" s="1"/>
  <c r="C435"/>
  <c r="X435" s="1"/>
  <c r="Y434"/>
  <c r="W434"/>
  <c r="C434"/>
  <c r="V434" s="1"/>
  <c r="W433"/>
  <c r="Y433" s="1"/>
  <c r="C433"/>
  <c r="W432"/>
  <c r="W431"/>
  <c r="Y431" s="1"/>
  <c r="C431"/>
  <c r="V431" s="1"/>
  <c r="W430"/>
  <c r="Y430" s="1"/>
  <c r="C430"/>
  <c r="V430" s="1"/>
  <c r="W429"/>
  <c r="Y429" s="1"/>
  <c r="C429"/>
  <c r="W428"/>
  <c r="C428"/>
  <c r="V428" s="1"/>
  <c r="W427"/>
  <c r="Y427" s="1"/>
  <c r="C427"/>
  <c r="Y426"/>
  <c r="W426"/>
  <c r="C426"/>
  <c r="V426" s="1"/>
  <c r="W425"/>
  <c r="Y425" s="1"/>
  <c r="C425"/>
  <c r="X425" s="1"/>
  <c r="W424"/>
  <c r="C424"/>
  <c r="V424" s="1"/>
  <c r="W423"/>
  <c r="Y423" s="1"/>
  <c r="C423"/>
  <c r="Y422"/>
  <c r="W422"/>
  <c r="C422"/>
  <c r="V422" s="1"/>
  <c r="W421"/>
  <c r="Y421" s="1"/>
  <c r="C421"/>
  <c r="X421" s="1"/>
  <c r="W420"/>
  <c r="C420"/>
  <c r="V420" s="1"/>
  <c r="W419"/>
  <c r="Y419" s="1"/>
  <c r="C419"/>
  <c r="Y418"/>
  <c r="W418"/>
  <c r="C418"/>
  <c r="V418" s="1"/>
  <c r="W417"/>
  <c r="Y417" s="1"/>
  <c r="C417"/>
  <c r="X417" s="1"/>
  <c r="W416"/>
  <c r="C416"/>
  <c r="V416" s="1"/>
  <c r="W415"/>
  <c r="Y415" s="1"/>
  <c r="C415"/>
  <c r="Y414"/>
  <c r="W414"/>
  <c r="W413"/>
  <c r="Y413" s="1"/>
  <c r="W412"/>
  <c r="W411"/>
  <c r="Y411" s="1"/>
  <c r="Y410"/>
  <c r="W410"/>
  <c r="W409"/>
  <c r="Y409" s="1"/>
  <c r="W408"/>
  <c r="W407"/>
  <c r="Y407" s="1"/>
  <c r="Y406"/>
  <c r="W406"/>
  <c r="W405"/>
  <c r="Y405" s="1"/>
  <c r="C405"/>
  <c r="X405" s="1"/>
  <c r="W404"/>
  <c r="C404"/>
  <c r="V404" s="1"/>
  <c r="W403"/>
  <c r="Y403" s="1"/>
  <c r="Y402"/>
  <c r="W402"/>
  <c r="C402"/>
  <c r="V402" s="1"/>
  <c r="W401"/>
  <c r="Y401" s="1"/>
  <c r="C401"/>
  <c r="X401" s="1"/>
  <c r="W400"/>
  <c r="C400"/>
  <c r="V400" s="1"/>
  <c r="W399"/>
  <c r="Y399" s="1"/>
  <c r="C399"/>
  <c r="Y398"/>
  <c r="W398"/>
  <c r="C398"/>
  <c r="V398" s="1"/>
  <c r="W397"/>
  <c r="Y397" s="1"/>
  <c r="C397"/>
  <c r="X397" s="1"/>
  <c r="W396"/>
  <c r="C396"/>
  <c r="V396" s="1"/>
  <c r="W395"/>
  <c r="Y395" s="1"/>
  <c r="C395"/>
  <c r="Y394"/>
  <c r="W394"/>
  <c r="C394"/>
  <c r="V394" s="1"/>
  <c r="W393"/>
  <c r="Y393" s="1"/>
  <c r="W392"/>
  <c r="W391"/>
  <c r="Y391" s="1"/>
  <c r="Y390"/>
  <c r="W390"/>
  <c r="W389"/>
  <c r="Y389" s="1"/>
  <c r="W388"/>
  <c r="W387"/>
  <c r="Y387" s="1"/>
  <c r="Y386"/>
  <c r="W386"/>
  <c r="W385"/>
  <c r="Y385" s="1"/>
  <c r="W384"/>
  <c r="W383"/>
  <c r="Y383" s="1"/>
  <c r="Y382"/>
  <c r="W382"/>
  <c r="B382"/>
  <c r="Y381"/>
  <c r="W381"/>
  <c r="C381"/>
  <c r="V381" s="1"/>
  <c r="W380"/>
  <c r="Y380" s="1"/>
  <c r="W379"/>
  <c r="W378"/>
  <c r="Y378" s="1"/>
  <c r="Y377"/>
  <c r="W377"/>
  <c r="W376"/>
  <c r="Y376" s="1"/>
  <c r="W375"/>
  <c r="W374"/>
  <c r="Y374" s="1"/>
  <c r="C374"/>
  <c r="X374" s="1"/>
  <c r="Y373"/>
  <c r="Z373" s="1"/>
  <c r="W373"/>
  <c r="X373" s="1"/>
  <c r="V373"/>
  <c r="T373"/>
  <c r="W372"/>
  <c r="X372" s="1"/>
  <c r="V372"/>
  <c r="T372"/>
  <c r="Y371"/>
  <c r="Z371" s="1"/>
  <c r="W371"/>
  <c r="X371" s="1"/>
  <c r="V371"/>
  <c r="T371"/>
  <c r="W370"/>
  <c r="X370" s="1"/>
  <c r="V370"/>
  <c r="T370"/>
  <c r="W369"/>
  <c r="C369"/>
  <c r="V369" s="1"/>
  <c r="W368"/>
  <c r="Y368" s="1"/>
  <c r="C368"/>
  <c r="X368" s="1"/>
  <c r="W367"/>
  <c r="Y367" s="1"/>
  <c r="C367"/>
  <c r="V367" s="1"/>
  <c r="W366"/>
  <c r="Y366" s="1"/>
  <c r="Z366" s="1"/>
  <c r="V366"/>
  <c r="T366"/>
  <c r="X365"/>
  <c r="W365"/>
  <c r="Y365" s="1"/>
  <c r="Z365" s="1"/>
  <c r="V365"/>
  <c r="T365"/>
  <c r="X364"/>
  <c r="W364"/>
  <c r="Y364" s="1"/>
  <c r="Z364" s="1"/>
  <c r="V364"/>
  <c r="T364"/>
  <c r="AJ363"/>
  <c r="AI363"/>
  <c r="AH363"/>
  <c r="C363"/>
  <c r="R362"/>
  <c r="P362"/>
  <c r="M362"/>
  <c r="N362" s="1"/>
  <c r="L362"/>
  <c r="I362"/>
  <c r="J362" s="1"/>
  <c r="H362"/>
  <c r="F362"/>
  <c r="T361"/>
  <c r="R361"/>
  <c r="P361"/>
  <c r="M361"/>
  <c r="L361"/>
  <c r="I361"/>
  <c r="J361" s="1"/>
  <c r="H361"/>
  <c r="F361"/>
  <c r="S360"/>
  <c r="R360"/>
  <c r="P360"/>
  <c r="M360"/>
  <c r="N360" s="1"/>
  <c r="L360"/>
  <c r="I360"/>
  <c r="J360" s="1"/>
  <c r="H360"/>
  <c r="F360"/>
  <c r="T359"/>
  <c r="R359"/>
  <c r="P359"/>
  <c r="M359"/>
  <c r="N359" s="1"/>
  <c r="L359"/>
  <c r="I359"/>
  <c r="H359"/>
  <c r="F359"/>
  <c r="R358"/>
  <c r="P358"/>
  <c r="M358"/>
  <c r="N358" s="1"/>
  <c r="L358"/>
  <c r="I358"/>
  <c r="J358" s="1"/>
  <c r="H358"/>
  <c r="F358"/>
  <c r="T357"/>
  <c r="R357"/>
  <c r="P357"/>
  <c r="M357"/>
  <c r="L357"/>
  <c r="I357"/>
  <c r="J357" s="1"/>
  <c r="AC357" s="1"/>
  <c r="H357"/>
  <c r="F357"/>
  <c r="R356"/>
  <c r="P356"/>
  <c r="M356"/>
  <c r="N356" s="1"/>
  <c r="L356"/>
  <c r="I356"/>
  <c r="J356" s="1"/>
  <c r="H356"/>
  <c r="F356"/>
  <c r="T355"/>
  <c r="R355"/>
  <c r="P355"/>
  <c r="N355"/>
  <c r="M355"/>
  <c r="L355"/>
  <c r="I355"/>
  <c r="W355" s="1"/>
  <c r="H355"/>
  <c r="F355"/>
  <c r="L354"/>
  <c r="I354"/>
  <c r="J354" s="1"/>
  <c r="C354"/>
  <c r="T354" s="1"/>
  <c r="T353"/>
  <c r="R353"/>
  <c r="P353"/>
  <c r="M353"/>
  <c r="W353" s="1"/>
  <c r="L353"/>
  <c r="J353"/>
  <c r="I353"/>
  <c r="H353"/>
  <c r="F353"/>
  <c r="R352"/>
  <c r="P352"/>
  <c r="N352"/>
  <c r="M352"/>
  <c r="L352"/>
  <c r="I352"/>
  <c r="J352" s="1"/>
  <c r="H352"/>
  <c r="F352"/>
  <c r="T351"/>
  <c r="R351"/>
  <c r="P351"/>
  <c r="M351"/>
  <c r="N351" s="1"/>
  <c r="L351"/>
  <c r="I351"/>
  <c r="W351" s="1"/>
  <c r="H351"/>
  <c r="F351"/>
  <c r="R350"/>
  <c r="P350"/>
  <c r="M350"/>
  <c r="N350" s="1"/>
  <c r="L350"/>
  <c r="I350"/>
  <c r="J350" s="1"/>
  <c r="H350"/>
  <c r="F350"/>
  <c r="R349"/>
  <c r="P349"/>
  <c r="M349"/>
  <c r="N349" s="1"/>
  <c r="L349"/>
  <c r="I349"/>
  <c r="J349" s="1"/>
  <c r="H349"/>
  <c r="F349"/>
  <c r="T348"/>
  <c r="R348"/>
  <c r="P348"/>
  <c r="N348"/>
  <c r="M348"/>
  <c r="L348"/>
  <c r="I348"/>
  <c r="H348"/>
  <c r="F348"/>
  <c r="T347"/>
  <c r="R347"/>
  <c r="P347"/>
  <c r="M347"/>
  <c r="N347" s="1"/>
  <c r="L347"/>
  <c r="I347"/>
  <c r="H347"/>
  <c r="F347"/>
  <c r="T346"/>
  <c r="R346"/>
  <c r="P346"/>
  <c r="N346"/>
  <c r="M346"/>
  <c r="L346"/>
  <c r="I346"/>
  <c r="W346" s="1"/>
  <c r="H346"/>
  <c r="F346"/>
  <c r="R345"/>
  <c r="P345"/>
  <c r="M345"/>
  <c r="N345" s="1"/>
  <c r="L345"/>
  <c r="I345"/>
  <c r="J345" s="1"/>
  <c r="H345"/>
  <c r="F345"/>
  <c r="T344"/>
  <c r="R344"/>
  <c r="P344"/>
  <c r="M344"/>
  <c r="W344" s="1"/>
  <c r="L344"/>
  <c r="J344"/>
  <c r="I344"/>
  <c r="H344"/>
  <c r="AC344" s="1"/>
  <c r="F344"/>
  <c r="T343"/>
  <c r="R343"/>
  <c r="P343"/>
  <c r="M343"/>
  <c r="L343"/>
  <c r="I343"/>
  <c r="J343" s="1"/>
  <c r="H343"/>
  <c r="F343"/>
  <c r="I342"/>
  <c r="C342"/>
  <c r="P342" s="1"/>
  <c r="T341"/>
  <c r="R341"/>
  <c r="P341"/>
  <c r="M341"/>
  <c r="W341" s="1"/>
  <c r="L341"/>
  <c r="J341"/>
  <c r="I341"/>
  <c r="H341"/>
  <c r="F341"/>
  <c r="T340"/>
  <c r="R340"/>
  <c r="P340"/>
  <c r="M340"/>
  <c r="L340"/>
  <c r="I340"/>
  <c r="J340" s="1"/>
  <c r="AC340" s="1"/>
  <c r="H340"/>
  <c r="F340"/>
  <c r="R339"/>
  <c r="P339"/>
  <c r="N339"/>
  <c r="M339"/>
  <c r="L339"/>
  <c r="I339"/>
  <c r="J339" s="1"/>
  <c r="H339"/>
  <c r="F339"/>
  <c r="T338"/>
  <c r="R338"/>
  <c r="P338"/>
  <c r="M338"/>
  <c r="N338" s="1"/>
  <c r="L338"/>
  <c r="I338"/>
  <c r="W338" s="1"/>
  <c r="H338"/>
  <c r="F338"/>
  <c r="R337"/>
  <c r="P337"/>
  <c r="M337"/>
  <c r="N337" s="1"/>
  <c r="L337"/>
  <c r="J337"/>
  <c r="I337"/>
  <c r="H337"/>
  <c r="F337"/>
  <c r="T336"/>
  <c r="R336"/>
  <c r="P336"/>
  <c r="M336"/>
  <c r="L336"/>
  <c r="I336"/>
  <c r="J336" s="1"/>
  <c r="H336"/>
  <c r="F336"/>
  <c r="T335"/>
  <c r="R335"/>
  <c r="P335"/>
  <c r="M335"/>
  <c r="W335" s="1"/>
  <c r="L335"/>
  <c r="J335"/>
  <c r="I335"/>
  <c r="H335"/>
  <c r="AC335" s="1"/>
  <c r="F335"/>
  <c r="R334"/>
  <c r="P334"/>
  <c r="N334"/>
  <c r="M334"/>
  <c r="L334"/>
  <c r="I334"/>
  <c r="J334" s="1"/>
  <c r="H334"/>
  <c r="F334"/>
  <c r="T333"/>
  <c r="R333"/>
  <c r="P333"/>
  <c r="M333"/>
  <c r="N333" s="1"/>
  <c r="L333"/>
  <c r="I333"/>
  <c r="J333" s="1"/>
  <c r="H333"/>
  <c r="F333"/>
  <c r="T332"/>
  <c r="R332"/>
  <c r="P332"/>
  <c r="N332"/>
  <c r="M332"/>
  <c r="L332"/>
  <c r="I332"/>
  <c r="J332" s="1"/>
  <c r="H332"/>
  <c r="F332"/>
  <c r="R331"/>
  <c r="P331"/>
  <c r="M331"/>
  <c r="N331" s="1"/>
  <c r="L331"/>
  <c r="J331"/>
  <c r="I331"/>
  <c r="H331"/>
  <c r="F331"/>
  <c r="T330"/>
  <c r="R330"/>
  <c r="P330"/>
  <c r="M330"/>
  <c r="L330"/>
  <c r="I330"/>
  <c r="J330" s="1"/>
  <c r="AC330" s="1"/>
  <c r="H330"/>
  <c r="F330"/>
  <c r="T329"/>
  <c r="R329"/>
  <c r="P329"/>
  <c r="M329"/>
  <c r="L329"/>
  <c r="I329"/>
  <c r="J329" s="1"/>
  <c r="AC329" s="1"/>
  <c r="H329"/>
  <c r="F329"/>
  <c r="R328"/>
  <c r="P328"/>
  <c r="M328"/>
  <c r="N328" s="1"/>
  <c r="L328"/>
  <c r="I328"/>
  <c r="J328" s="1"/>
  <c r="H328"/>
  <c r="F328"/>
  <c r="T327"/>
  <c r="R327"/>
  <c r="P327"/>
  <c r="N327"/>
  <c r="M327"/>
  <c r="L327"/>
  <c r="I327"/>
  <c r="W327" s="1"/>
  <c r="X327" s="1"/>
  <c r="H327"/>
  <c r="F327"/>
  <c r="V326"/>
  <c r="T326"/>
  <c r="Q326"/>
  <c r="R326" s="1"/>
  <c r="M326"/>
  <c r="N326" s="1"/>
  <c r="O326" s="1"/>
  <c r="L326"/>
  <c r="I326"/>
  <c r="J326" s="1"/>
  <c r="H326"/>
  <c r="F326"/>
  <c r="V325"/>
  <c r="T325"/>
  <c r="Q325"/>
  <c r="W325" s="1"/>
  <c r="P325"/>
  <c r="N325"/>
  <c r="O325" s="1"/>
  <c r="M325"/>
  <c r="L325"/>
  <c r="I325"/>
  <c r="J325" s="1"/>
  <c r="H325"/>
  <c r="F325"/>
  <c r="T324"/>
  <c r="R324"/>
  <c r="O324"/>
  <c r="P324" s="1"/>
  <c r="M324"/>
  <c r="N324" s="1"/>
  <c r="L324"/>
  <c r="J324"/>
  <c r="I324"/>
  <c r="H324"/>
  <c r="F324"/>
  <c r="V323"/>
  <c r="T323"/>
  <c r="Q323"/>
  <c r="R323" s="1"/>
  <c r="N323"/>
  <c r="O323" s="1"/>
  <c r="P323" s="1"/>
  <c r="M323"/>
  <c r="L323"/>
  <c r="I323"/>
  <c r="J323" s="1"/>
  <c r="H323"/>
  <c r="F323"/>
  <c r="T322"/>
  <c r="R322"/>
  <c r="M322"/>
  <c r="N322" s="1"/>
  <c r="O322" s="1"/>
  <c r="L322"/>
  <c r="J322"/>
  <c r="I322"/>
  <c r="H322"/>
  <c r="F322"/>
  <c r="T321"/>
  <c r="R321"/>
  <c r="N321"/>
  <c r="O321" s="1"/>
  <c r="W321" s="1"/>
  <c r="M321"/>
  <c r="L321"/>
  <c r="I321"/>
  <c r="J321" s="1"/>
  <c r="H321"/>
  <c r="F321"/>
  <c r="V320"/>
  <c r="T320"/>
  <c r="Q320"/>
  <c r="R320" s="1"/>
  <c r="M320"/>
  <c r="N320" s="1"/>
  <c r="O320" s="1"/>
  <c r="P320" s="1"/>
  <c r="L320"/>
  <c r="J320"/>
  <c r="I320"/>
  <c r="H320"/>
  <c r="F320"/>
  <c r="T319"/>
  <c r="R319"/>
  <c r="M319"/>
  <c r="N319" s="1"/>
  <c r="O319" s="1"/>
  <c r="P319" s="1"/>
  <c r="L319"/>
  <c r="I319"/>
  <c r="J319" s="1"/>
  <c r="H319"/>
  <c r="F319"/>
  <c r="V318"/>
  <c r="T318"/>
  <c r="Q318"/>
  <c r="R318" s="1"/>
  <c r="O318"/>
  <c r="P318" s="1"/>
  <c r="M318"/>
  <c r="N318" s="1"/>
  <c r="L318"/>
  <c r="I318"/>
  <c r="J318" s="1"/>
  <c r="H318"/>
  <c r="F318"/>
  <c r="V317"/>
  <c r="T317"/>
  <c r="Q317"/>
  <c r="R317" s="1"/>
  <c r="P317"/>
  <c r="M317"/>
  <c r="N317" s="1"/>
  <c r="L317"/>
  <c r="J317"/>
  <c r="I317"/>
  <c r="H317"/>
  <c r="AC317" s="1"/>
  <c r="F317"/>
  <c r="V316"/>
  <c r="T316"/>
  <c r="Q316"/>
  <c r="W316" s="1"/>
  <c r="N316"/>
  <c r="O316" s="1"/>
  <c r="P316" s="1"/>
  <c r="M316"/>
  <c r="L316"/>
  <c r="I316"/>
  <c r="J316" s="1"/>
  <c r="H316"/>
  <c r="F316"/>
  <c r="V315"/>
  <c r="T315"/>
  <c r="Q315"/>
  <c r="R315" s="1"/>
  <c r="P315"/>
  <c r="N315"/>
  <c r="M315"/>
  <c r="L315"/>
  <c r="I315"/>
  <c r="J315" s="1"/>
  <c r="H315"/>
  <c r="F315"/>
  <c r="V314"/>
  <c r="T314"/>
  <c r="Q314"/>
  <c r="R314" s="1"/>
  <c r="P314"/>
  <c r="M314"/>
  <c r="N314" s="1"/>
  <c r="L314"/>
  <c r="I314"/>
  <c r="J314" s="1"/>
  <c r="H314"/>
  <c r="F314"/>
  <c r="AC314" s="1"/>
  <c r="V313"/>
  <c r="T313"/>
  <c r="Q313"/>
  <c r="R313" s="1"/>
  <c r="P313"/>
  <c r="M313"/>
  <c r="N313" s="1"/>
  <c r="L313"/>
  <c r="J313"/>
  <c r="I313"/>
  <c r="H313"/>
  <c r="F313"/>
  <c r="V312"/>
  <c r="T312"/>
  <c r="Q312"/>
  <c r="R312" s="1"/>
  <c r="P312"/>
  <c r="M312"/>
  <c r="N312" s="1"/>
  <c r="L312"/>
  <c r="I312"/>
  <c r="J312" s="1"/>
  <c r="H312"/>
  <c r="F312"/>
  <c r="V311"/>
  <c r="T311"/>
  <c r="Q311"/>
  <c r="R311" s="1"/>
  <c r="P311"/>
  <c r="M311"/>
  <c r="N311" s="1"/>
  <c r="L311"/>
  <c r="I311"/>
  <c r="J311" s="1"/>
  <c r="H311"/>
  <c r="F311"/>
  <c r="V310"/>
  <c r="T310"/>
  <c r="Q310"/>
  <c r="P310"/>
  <c r="N310"/>
  <c r="M310"/>
  <c r="L310"/>
  <c r="I310"/>
  <c r="J310" s="1"/>
  <c r="H310"/>
  <c r="F310"/>
  <c r="V309"/>
  <c r="T309"/>
  <c r="Q309"/>
  <c r="P309"/>
  <c r="M309"/>
  <c r="N309" s="1"/>
  <c r="L309"/>
  <c r="I309"/>
  <c r="J309" s="1"/>
  <c r="H309"/>
  <c r="AC309" s="1"/>
  <c r="F309"/>
  <c r="V308"/>
  <c r="T308"/>
  <c r="Q308"/>
  <c r="P308"/>
  <c r="N308"/>
  <c r="M308"/>
  <c r="L308"/>
  <c r="I308"/>
  <c r="J308" s="1"/>
  <c r="H308"/>
  <c r="F308"/>
  <c r="V307"/>
  <c r="T307"/>
  <c r="Q307"/>
  <c r="R307" s="1"/>
  <c r="P307"/>
  <c r="M307"/>
  <c r="N307" s="1"/>
  <c r="L307"/>
  <c r="I307"/>
  <c r="J307" s="1"/>
  <c r="H307"/>
  <c r="F307"/>
  <c r="T306"/>
  <c r="R306"/>
  <c r="P306"/>
  <c r="M306"/>
  <c r="W306" s="1"/>
  <c r="L306"/>
  <c r="I306"/>
  <c r="J306" s="1"/>
  <c r="H306"/>
  <c r="F306"/>
  <c r="T305"/>
  <c r="R305"/>
  <c r="P305"/>
  <c r="M305"/>
  <c r="W305" s="1"/>
  <c r="L305"/>
  <c r="I305"/>
  <c r="J305" s="1"/>
  <c r="H305"/>
  <c r="F305"/>
  <c r="V304"/>
  <c r="T304"/>
  <c r="Q304"/>
  <c r="P304"/>
  <c r="M304"/>
  <c r="N304" s="1"/>
  <c r="L304"/>
  <c r="J304"/>
  <c r="I304"/>
  <c r="H304"/>
  <c r="F304"/>
  <c r="T303"/>
  <c r="R303"/>
  <c r="P303"/>
  <c r="M303"/>
  <c r="N303" s="1"/>
  <c r="L303"/>
  <c r="J303"/>
  <c r="I303"/>
  <c r="H303"/>
  <c r="F303"/>
  <c r="V302"/>
  <c r="T302"/>
  <c r="Q302"/>
  <c r="P302"/>
  <c r="M302"/>
  <c r="N302" s="1"/>
  <c r="L302"/>
  <c r="I302"/>
  <c r="J302" s="1"/>
  <c r="H302"/>
  <c r="F302"/>
  <c r="T301"/>
  <c r="R301"/>
  <c r="P301"/>
  <c r="M301"/>
  <c r="L301"/>
  <c r="I301"/>
  <c r="J301" s="1"/>
  <c r="H301"/>
  <c r="F301"/>
  <c r="T300"/>
  <c r="R300"/>
  <c r="P300"/>
  <c r="M300"/>
  <c r="L300"/>
  <c r="I300"/>
  <c r="J300" s="1"/>
  <c r="H300"/>
  <c r="F300"/>
  <c r="V299"/>
  <c r="T299"/>
  <c r="Q299"/>
  <c r="P299"/>
  <c r="M299"/>
  <c r="N299" s="1"/>
  <c r="L299"/>
  <c r="J299"/>
  <c r="I299"/>
  <c r="H299"/>
  <c r="F299"/>
  <c r="V298"/>
  <c r="T298"/>
  <c r="Q298"/>
  <c r="R298" s="1"/>
  <c r="P298"/>
  <c r="M298"/>
  <c r="N298" s="1"/>
  <c r="L298"/>
  <c r="I298"/>
  <c r="J298" s="1"/>
  <c r="H298"/>
  <c r="F298"/>
  <c r="V297"/>
  <c r="T297"/>
  <c r="Q297"/>
  <c r="P297"/>
  <c r="N297"/>
  <c r="M297"/>
  <c r="L297"/>
  <c r="I297"/>
  <c r="J297" s="1"/>
  <c r="H297"/>
  <c r="F297"/>
  <c r="T296"/>
  <c r="R296"/>
  <c r="P296"/>
  <c r="N296"/>
  <c r="M296"/>
  <c r="L296"/>
  <c r="I296"/>
  <c r="W296" s="1"/>
  <c r="H296"/>
  <c r="F296"/>
  <c r="T295"/>
  <c r="R295"/>
  <c r="P295"/>
  <c r="N295"/>
  <c r="M295"/>
  <c r="L295"/>
  <c r="I295"/>
  <c r="W295" s="1"/>
  <c r="H295"/>
  <c r="F295"/>
  <c r="V294"/>
  <c r="T294"/>
  <c r="Q294"/>
  <c r="P294"/>
  <c r="M294"/>
  <c r="N294" s="1"/>
  <c r="L294"/>
  <c r="I294"/>
  <c r="J294" s="1"/>
  <c r="H294"/>
  <c r="F294"/>
  <c r="T293"/>
  <c r="R293"/>
  <c r="P293"/>
  <c r="M293"/>
  <c r="L293"/>
  <c r="I293"/>
  <c r="J293" s="1"/>
  <c r="H293"/>
  <c r="F293"/>
  <c r="V292"/>
  <c r="T292"/>
  <c r="Q292"/>
  <c r="P292"/>
  <c r="N292"/>
  <c r="M292"/>
  <c r="L292"/>
  <c r="I292"/>
  <c r="J292" s="1"/>
  <c r="H292"/>
  <c r="F292"/>
  <c r="T291"/>
  <c r="R291"/>
  <c r="P291"/>
  <c r="N291"/>
  <c r="M291"/>
  <c r="L291"/>
  <c r="I291"/>
  <c r="W291" s="1"/>
  <c r="H291"/>
  <c r="F291"/>
  <c r="V290"/>
  <c r="T290"/>
  <c r="Q290"/>
  <c r="P290"/>
  <c r="M290"/>
  <c r="N290" s="1"/>
  <c r="L290"/>
  <c r="I290"/>
  <c r="J290" s="1"/>
  <c r="H290"/>
  <c r="F290"/>
  <c r="T289"/>
  <c r="R289"/>
  <c r="P289"/>
  <c r="M289"/>
  <c r="W289" s="1"/>
  <c r="L289"/>
  <c r="I289"/>
  <c r="J289" s="1"/>
  <c r="H289"/>
  <c r="F289"/>
  <c r="V288"/>
  <c r="T288"/>
  <c r="Q288"/>
  <c r="P288"/>
  <c r="N288"/>
  <c r="M288"/>
  <c r="L288"/>
  <c r="I288"/>
  <c r="J288" s="1"/>
  <c r="H288"/>
  <c r="F288"/>
  <c r="T287"/>
  <c r="R287"/>
  <c r="P287"/>
  <c r="N287"/>
  <c r="M287"/>
  <c r="L287"/>
  <c r="I287"/>
  <c r="W287" s="1"/>
  <c r="H287"/>
  <c r="F287"/>
  <c r="V286"/>
  <c r="T286"/>
  <c r="Q286"/>
  <c r="P286"/>
  <c r="M286"/>
  <c r="N286" s="1"/>
  <c r="L286"/>
  <c r="I286"/>
  <c r="J286" s="1"/>
  <c r="H286"/>
  <c r="F286"/>
  <c r="T285"/>
  <c r="R285"/>
  <c r="P285"/>
  <c r="M285"/>
  <c r="L285"/>
  <c r="I285"/>
  <c r="J285" s="1"/>
  <c r="H285"/>
  <c r="F285"/>
  <c r="V284"/>
  <c r="T284"/>
  <c r="Q284"/>
  <c r="P284"/>
  <c r="N284"/>
  <c r="M284"/>
  <c r="L284"/>
  <c r="I284"/>
  <c r="J284" s="1"/>
  <c r="H284"/>
  <c r="F284"/>
  <c r="T283"/>
  <c r="R283"/>
  <c r="P283"/>
  <c r="N283"/>
  <c r="M283"/>
  <c r="L283"/>
  <c r="I283"/>
  <c r="W283" s="1"/>
  <c r="H283"/>
  <c r="F283"/>
  <c r="V282"/>
  <c r="T282"/>
  <c r="Q282"/>
  <c r="R282" s="1"/>
  <c r="P282"/>
  <c r="M282"/>
  <c r="N282" s="1"/>
  <c r="L282"/>
  <c r="I282"/>
  <c r="J282" s="1"/>
  <c r="H282"/>
  <c r="F282"/>
  <c r="AC282" s="1"/>
  <c r="T281"/>
  <c r="R281"/>
  <c r="P281"/>
  <c r="M281"/>
  <c r="W281" s="1"/>
  <c r="L281"/>
  <c r="I281"/>
  <c r="J281" s="1"/>
  <c r="H281"/>
  <c r="F281"/>
  <c r="AC281" s="1"/>
  <c r="V280"/>
  <c r="T280"/>
  <c r="Q280"/>
  <c r="P280"/>
  <c r="M280"/>
  <c r="N280" s="1"/>
  <c r="L280"/>
  <c r="J280"/>
  <c r="I280"/>
  <c r="H280"/>
  <c r="F280"/>
  <c r="T279"/>
  <c r="R279"/>
  <c r="P279"/>
  <c r="M279"/>
  <c r="N279" s="1"/>
  <c r="L279"/>
  <c r="J279"/>
  <c r="I279"/>
  <c r="H279"/>
  <c r="F279"/>
  <c r="T278"/>
  <c r="R278"/>
  <c r="P278"/>
  <c r="M278"/>
  <c r="N278" s="1"/>
  <c r="L278"/>
  <c r="J278"/>
  <c r="AC278" s="1"/>
  <c r="I278"/>
  <c r="H278"/>
  <c r="F278"/>
  <c r="V277"/>
  <c r="T277"/>
  <c r="Q277"/>
  <c r="P277"/>
  <c r="M277"/>
  <c r="N277" s="1"/>
  <c r="L277"/>
  <c r="I277"/>
  <c r="J277" s="1"/>
  <c r="H277"/>
  <c r="F277"/>
  <c r="T276"/>
  <c r="R276"/>
  <c r="P276"/>
  <c r="M276"/>
  <c r="W276" s="1"/>
  <c r="L276"/>
  <c r="I276"/>
  <c r="J276" s="1"/>
  <c r="H276"/>
  <c r="F276"/>
  <c r="V275"/>
  <c r="T275"/>
  <c r="Q275"/>
  <c r="P275"/>
  <c r="M275"/>
  <c r="N275" s="1"/>
  <c r="L275"/>
  <c r="J275"/>
  <c r="I275"/>
  <c r="H275"/>
  <c r="F275"/>
  <c r="T274"/>
  <c r="R274"/>
  <c r="P274"/>
  <c r="M274"/>
  <c r="N274" s="1"/>
  <c r="L274"/>
  <c r="J274"/>
  <c r="I274"/>
  <c r="H274"/>
  <c r="F274"/>
  <c r="V273"/>
  <c r="T273"/>
  <c r="Q273"/>
  <c r="P273"/>
  <c r="M273"/>
  <c r="N273" s="1"/>
  <c r="L273"/>
  <c r="I273"/>
  <c r="J273" s="1"/>
  <c r="H273"/>
  <c r="F273"/>
  <c r="T272"/>
  <c r="R272"/>
  <c r="P272"/>
  <c r="M272"/>
  <c r="L272"/>
  <c r="I272"/>
  <c r="J272" s="1"/>
  <c r="H272"/>
  <c r="F272"/>
  <c r="AC272" s="1"/>
  <c r="W271"/>
  <c r="X271" s="1"/>
  <c r="T271"/>
  <c r="R271"/>
  <c r="P271"/>
  <c r="N271"/>
  <c r="L271"/>
  <c r="J271"/>
  <c r="H271"/>
  <c r="F271"/>
  <c r="W270"/>
  <c r="X270" s="1"/>
  <c r="T270"/>
  <c r="R270"/>
  <c r="P270"/>
  <c r="N270"/>
  <c r="L270"/>
  <c r="J270"/>
  <c r="H270"/>
  <c r="F270"/>
  <c r="W269"/>
  <c r="X269" s="1"/>
  <c r="T269"/>
  <c r="R269"/>
  <c r="P269"/>
  <c r="N269"/>
  <c r="L269"/>
  <c r="J269"/>
  <c r="H269"/>
  <c r="X268"/>
  <c r="W268"/>
  <c r="T268"/>
  <c r="R268"/>
  <c r="P268"/>
  <c r="N268"/>
  <c r="L268"/>
  <c r="J268"/>
  <c r="H268"/>
  <c r="X267"/>
  <c r="W267"/>
  <c r="T267"/>
  <c r="R267"/>
  <c r="P267"/>
  <c r="N267"/>
  <c r="L267"/>
  <c r="J267"/>
  <c r="H267"/>
  <c r="W266"/>
  <c r="X266" s="1"/>
  <c r="T266"/>
  <c r="R266"/>
  <c r="P266"/>
  <c r="N266"/>
  <c r="L266"/>
  <c r="J266"/>
  <c r="H266"/>
  <c r="W265"/>
  <c r="X265" s="1"/>
  <c r="T265"/>
  <c r="R265"/>
  <c r="P265"/>
  <c r="N265"/>
  <c r="L265"/>
  <c r="J265"/>
  <c r="H265"/>
  <c r="W264"/>
  <c r="X264" s="1"/>
  <c r="T264"/>
  <c r="R264"/>
  <c r="P264"/>
  <c r="N264"/>
  <c r="L264"/>
  <c r="J264"/>
  <c r="H264"/>
  <c r="W263"/>
  <c r="X263" s="1"/>
  <c r="T263"/>
  <c r="R263"/>
  <c r="P263"/>
  <c r="N263"/>
  <c r="L263"/>
  <c r="J263"/>
  <c r="H263"/>
  <c r="W262"/>
  <c r="X262" s="1"/>
  <c r="T262"/>
  <c r="R262"/>
  <c r="P262"/>
  <c r="N262"/>
  <c r="L262"/>
  <c r="J262"/>
  <c r="H262"/>
  <c r="W261"/>
  <c r="C261"/>
  <c r="R261" s="1"/>
  <c r="W260"/>
  <c r="X260" s="1"/>
  <c r="V260"/>
  <c r="T260"/>
  <c r="R260"/>
  <c r="P260"/>
  <c r="N260"/>
  <c r="L260"/>
  <c r="J260"/>
  <c r="H260"/>
  <c r="F260"/>
  <c r="W259"/>
  <c r="X259" s="1"/>
  <c r="V259"/>
  <c r="T259"/>
  <c r="R259"/>
  <c r="P259"/>
  <c r="N259"/>
  <c r="L259"/>
  <c r="J259"/>
  <c r="H259"/>
  <c r="D259"/>
  <c r="W258"/>
  <c r="X258" s="1"/>
  <c r="V258"/>
  <c r="T258"/>
  <c r="R258"/>
  <c r="P258"/>
  <c r="N258"/>
  <c r="L258"/>
  <c r="J258"/>
  <c r="H258"/>
  <c r="W257"/>
  <c r="X257" s="1"/>
  <c r="V257"/>
  <c r="T257"/>
  <c r="R257"/>
  <c r="P257"/>
  <c r="N257"/>
  <c r="L257"/>
  <c r="J257"/>
  <c r="H257"/>
  <c r="W256"/>
  <c r="X256" s="1"/>
  <c r="V256"/>
  <c r="T256"/>
  <c r="R256"/>
  <c r="P256"/>
  <c r="N256"/>
  <c r="L256"/>
  <c r="J256"/>
  <c r="H256"/>
  <c r="W255"/>
  <c r="X255" s="1"/>
  <c r="V255"/>
  <c r="T255"/>
  <c r="R255"/>
  <c r="P255"/>
  <c r="N255"/>
  <c r="L255"/>
  <c r="J255"/>
  <c r="H255"/>
  <c r="W254"/>
  <c r="C254"/>
  <c r="R254" s="1"/>
  <c r="W253"/>
  <c r="W252"/>
  <c r="W251"/>
  <c r="X251" s="1"/>
  <c r="V251"/>
  <c r="T251"/>
  <c r="R251"/>
  <c r="P251"/>
  <c r="N251"/>
  <c r="L251"/>
  <c r="J251"/>
  <c r="H251"/>
  <c r="F251"/>
  <c r="W250"/>
  <c r="X250" s="1"/>
  <c r="V250"/>
  <c r="T250"/>
  <c r="R250"/>
  <c r="P250"/>
  <c r="N250"/>
  <c r="L250"/>
  <c r="J250"/>
  <c r="H250"/>
  <c r="F250"/>
  <c r="X249"/>
  <c r="W249"/>
  <c r="V249"/>
  <c r="T249"/>
  <c r="R249"/>
  <c r="P249"/>
  <c r="N249"/>
  <c r="L249"/>
  <c r="J249"/>
  <c r="H249"/>
  <c r="F249"/>
  <c r="W248"/>
  <c r="X248" s="1"/>
  <c r="V248"/>
  <c r="T248"/>
  <c r="R248"/>
  <c r="P248"/>
  <c r="N248"/>
  <c r="L248"/>
  <c r="J248"/>
  <c r="H248"/>
  <c r="F248"/>
  <c r="W247"/>
  <c r="X247" s="1"/>
  <c r="V247"/>
  <c r="T247"/>
  <c r="R247"/>
  <c r="P247"/>
  <c r="N247"/>
  <c r="L247"/>
  <c r="J247"/>
  <c r="H247"/>
  <c r="F247"/>
  <c r="W246"/>
  <c r="X246" s="1"/>
  <c r="V246"/>
  <c r="T246"/>
  <c r="R246"/>
  <c r="P246"/>
  <c r="N246"/>
  <c r="L246"/>
  <c r="J246"/>
  <c r="H246"/>
  <c r="F246"/>
  <c r="W245"/>
  <c r="C245"/>
  <c r="X245" s="1"/>
  <c r="W244"/>
  <c r="X244" s="1"/>
  <c r="G244"/>
  <c r="C244"/>
  <c r="P244" s="1"/>
  <c r="W243"/>
  <c r="X243" s="1"/>
  <c r="V243"/>
  <c r="T243"/>
  <c r="R243"/>
  <c r="P243"/>
  <c r="N243"/>
  <c r="L243"/>
  <c r="J243"/>
  <c r="H243"/>
  <c r="F243"/>
  <c r="W242"/>
  <c r="C242"/>
  <c r="T242" s="1"/>
  <c r="W241"/>
  <c r="W240"/>
  <c r="C240"/>
  <c r="X240" s="1"/>
  <c r="W239"/>
  <c r="C239"/>
  <c r="R239" s="1"/>
  <c r="W238"/>
  <c r="W237"/>
  <c r="W236"/>
  <c r="W235"/>
  <c r="W234"/>
  <c r="X234" s="1"/>
  <c r="V234"/>
  <c r="T234"/>
  <c r="R234"/>
  <c r="P234"/>
  <c r="N234"/>
  <c r="L234"/>
  <c r="J234"/>
  <c r="H234"/>
  <c r="F234"/>
  <c r="W233"/>
  <c r="C233"/>
  <c r="R233" s="1"/>
  <c r="X232"/>
  <c r="W232"/>
  <c r="V232"/>
  <c r="T232"/>
  <c r="R232"/>
  <c r="P232"/>
  <c r="N232"/>
  <c r="L232"/>
  <c r="J232"/>
  <c r="H232"/>
  <c r="F232"/>
  <c r="W231"/>
  <c r="X231" s="1"/>
  <c r="V231"/>
  <c r="T231"/>
  <c r="R231"/>
  <c r="P231"/>
  <c r="N231"/>
  <c r="L231"/>
  <c r="J231"/>
  <c r="H231"/>
  <c r="F231"/>
  <c r="W230"/>
  <c r="W229"/>
  <c r="W228"/>
  <c r="W227"/>
  <c r="W226"/>
  <c r="C226"/>
  <c r="J226" s="1"/>
  <c r="W225"/>
  <c r="W224"/>
  <c r="C224"/>
  <c r="R224" s="1"/>
  <c r="W223"/>
  <c r="C223"/>
  <c r="V223" s="1"/>
  <c r="B223"/>
  <c r="W222"/>
  <c r="C222"/>
  <c r="J222" s="1"/>
  <c r="B222"/>
  <c r="W221"/>
  <c r="C221"/>
  <c r="H221" s="1"/>
  <c r="C220"/>
  <c r="R220" s="1"/>
  <c r="W219"/>
  <c r="C219"/>
  <c r="R219" s="1"/>
  <c r="W218"/>
  <c r="C218"/>
  <c r="J218" s="1"/>
  <c r="B218"/>
  <c r="W217"/>
  <c r="C217"/>
  <c r="T217" s="1"/>
  <c r="W216"/>
  <c r="N216"/>
  <c r="C216"/>
  <c r="V216" s="1"/>
  <c r="W215"/>
  <c r="E215"/>
  <c r="C215"/>
  <c r="R215" s="1"/>
  <c r="W214"/>
  <c r="C214"/>
  <c r="R214" s="1"/>
  <c r="W213"/>
  <c r="R213"/>
  <c r="C213"/>
  <c r="J213" s="1"/>
  <c r="W212"/>
  <c r="C212"/>
  <c r="R212" s="1"/>
  <c r="X211"/>
  <c r="W211"/>
  <c r="V211"/>
  <c r="T211"/>
  <c r="R211"/>
  <c r="P211"/>
  <c r="N211"/>
  <c r="L211"/>
  <c r="J211"/>
  <c r="H211"/>
  <c r="W210"/>
  <c r="C210"/>
  <c r="R210" s="1"/>
  <c r="W209"/>
  <c r="C209"/>
  <c r="T209" s="1"/>
  <c r="W208"/>
  <c r="X208" s="1"/>
  <c r="V208"/>
  <c r="T208"/>
  <c r="R208"/>
  <c r="P208"/>
  <c r="N208"/>
  <c r="L208"/>
  <c r="J208"/>
  <c r="H208"/>
  <c r="W207"/>
  <c r="W206"/>
  <c r="W205"/>
  <c r="E205"/>
  <c r="W204"/>
  <c r="X204" s="1"/>
  <c r="V204"/>
  <c r="T204"/>
  <c r="R204"/>
  <c r="P204"/>
  <c r="N204"/>
  <c r="L204"/>
  <c r="J204"/>
  <c r="H204"/>
  <c r="F204"/>
  <c r="W203"/>
  <c r="W202"/>
  <c r="W201"/>
  <c r="H201"/>
  <c r="C201"/>
  <c r="J201" s="1"/>
  <c r="W200"/>
  <c r="W199"/>
  <c r="W198"/>
  <c r="W197"/>
  <c r="W196"/>
  <c r="C196"/>
  <c r="R196" s="1"/>
  <c r="W195"/>
  <c r="W194"/>
  <c r="W193"/>
  <c r="W192"/>
  <c r="W191"/>
  <c r="W190"/>
  <c r="W189"/>
  <c r="X188"/>
  <c r="W188"/>
  <c r="V188"/>
  <c r="T188"/>
  <c r="R188"/>
  <c r="P188"/>
  <c r="N188"/>
  <c r="L188"/>
  <c r="J188"/>
  <c r="H188"/>
  <c r="F188"/>
  <c r="W187"/>
  <c r="C187"/>
  <c r="R187" s="1"/>
  <c r="W186"/>
  <c r="C186"/>
  <c r="X186" s="1"/>
  <c r="W185"/>
  <c r="C185"/>
  <c r="R185" s="1"/>
  <c r="W184"/>
  <c r="C184"/>
  <c r="R184" s="1"/>
  <c r="W183"/>
  <c r="X183" s="1"/>
  <c r="V183"/>
  <c r="T183"/>
  <c r="R183"/>
  <c r="P183"/>
  <c r="N183"/>
  <c r="L183"/>
  <c r="J183"/>
  <c r="H183"/>
  <c r="F183"/>
  <c r="W182"/>
  <c r="C182"/>
  <c r="R182" s="1"/>
  <c r="I181"/>
  <c r="W181" s="1"/>
  <c r="F181"/>
  <c r="C181"/>
  <c r="P181" s="1"/>
  <c r="W180"/>
  <c r="C180"/>
  <c r="K179"/>
  <c r="W179" s="1"/>
  <c r="W178"/>
  <c r="C178"/>
  <c r="R178" s="1"/>
  <c r="U177"/>
  <c r="I177"/>
  <c r="G177"/>
  <c r="W176"/>
  <c r="W175"/>
  <c r="C175"/>
  <c r="T175" s="1"/>
  <c r="W174"/>
  <c r="C174"/>
  <c r="T174" s="1"/>
  <c r="W173"/>
  <c r="W172"/>
  <c r="W171"/>
  <c r="W170"/>
  <c r="C170"/>
  <c r="T170" s="1"/>
  <c r="W169"/>
  <c r="C169"/>
  <c r="R169" s="1"/>
  <c r="W168"/>
  <c r="X167"/>
  <c r="W167"/>
  <c r="V167"/>
  <c r="T167"/>
  <c r="R167"/>
  <c r="P167"/>
  <c r="N167"/>
  <c r="L167"/>
  <c r="J167"/>
  <c r="H167"/>
  <c r="F167"/>
  <c r="W166"/>
  <c r="X166" s="1"/>
  <c r="V166"/>
  <c r="T166"/>
  <c r="R166"/>
  <c r="P166"/>
  <c r="N166"/>
  <c r="L166"/>
  <c r="J166"/>
  <c r="H166"/>
  <c r="F166"/>
  <c r="W165"/>
  <c r="W164"/>
  <c r="X164" s="1"/>
  <c r="V164"/>
  <c r="T164"/>
  <c r="R164"/>
  <c r="P164"/>
  <c r="N164"/>
  <c r="L164"/>
  <c r="J164"/>
  <c r="H164"/>
  <c r="F164"/>
  <c r="W163"/>
  <c r="X162"/>
  <c r="W162"/>
  <c r="V162"/>
  <c r="T162"/>
  <c r="R162"/>
  <c r="P162"/>
  <c r="N162"/>
  <c r="L162"/>
  <c r="J162"/>
  <c r="H162"/>
  <c r="W161"/>
  <c r="X161" s="1"/>
  <c r="V161"/>
  <c r="T161"/>
  <c r="R161"/>
  <c r="P161"/>
  <c r="N161"/>
  <c r="L161"/>
  <c r="J161"/>
  <c r="H161"/>
  <c r="W160"/>
  <c r="W159"/>
  <c r="W158"/>
  <c r="W157"/>
  <c r="X157" s="1"/>
  <c r="V157"/>
  <c r="T157"/>
  <c r="R157"/>
  <c r="P157"/>
  <c r="N157"/>
  <c r="L157"/>
  <c r="J157"/>
  <c r="H157"/>
  <c r="F157"/>
  <c r="W156"/>
  <c r="I155"/>
  <c r="W155" s="1"/>
  <c r="W154"/>
  <c r="W153"/>
  <c r="C153"/>
  <c r="T153" s="1"/>
  <c r="C152"/>
  <c r="R152" s="1"/>
  <c r="G151"/>
  <c r="W151" s="1"/>
  <c r="C151"/>
  <c r="P151" s="1"/>
  <c r="G150"/>
  <c r="C150"/>
  <c r="N150" s="1"/>
  <c r="W149"/>
  <c r="X149" s="1"/>
  <c r="V149"/>
  <c r="T149"/>
  <c r="R149"/>
  <c r="P149"/>
  <c r="N149"/>
  <c r="L149"/>
  <c r="J149"/>
  <c r="H149"/>
  <c r="F149"/>
  <c r="W148"/>
  <c r="W147"/>
  <c r="W146"/>
  <c r="W145"/>
  <c r="K144"/>
  <c r="W144" s="1"/>
  <c r="I143"/>
  <c r="W143" s="1"/>
  <c r="W142"/>
  <c r="W141"/>
  <c r="W140"/>
  <c r="W139"/>
  <c r="W138"/>
  <c r="W137"/>
  <c r="W136"/>
  <c r="U136"/>
  <c r="I135"/>
  <c r="G135"/>
  <c r="X134"/>
  <c r="W134"/>
  <c r="V134"/>
  <c r="T134"/>
  <c r="R134"/>
  <c r="P134"/>
  <c r="N134"/>
  <c r="L134"/>
  <c r="J134"/>
  <c r="H134"/>
  <c r="F134"/>
  <c r="W133"/>
  <c r="W132"/>
  <c r="W131"/>
  <c r="W130"/>
  <c r="W129"/>
  <c r="G128"/>
  <c r="W128" s="1"/>
  <c r="W127"/>
  <c r="X127" s="1"/>
  <c r="V127"/>
  <c r="T127"/>
  <c r="R127"/>
  <c r="P127"/>
  <c r="N127"/>
  <c r="L127"/>
  <c r="J127"/>
  <c r="H127"/>
  <c r="F127"/>
  <c r="W126"/>
  <c r="W125"/>
  <c r="W124"/>
  <c r="W123"/>
  <c r="W122"/>
  <c r="W121"/>
  <c r="X121" s="1"/>
  <c r="V121"/>
  <c r="T121"/>
  <c r="R121"/>
  <c r="P121"/>
  <c r="N121"/>
  <c r="L121"/>
  <c r="J121"/>
  <c r="H121"/>
  <c r="F121"/>
  <c r="W120"/>
  <c r="X120" s="1"/>
  <c r="V120"/>
  <c r="T120"/>
  <c r="R120"/>
  <c r="P120"/>
  <c r="N120"/>
  <c r="L120"/>
  <c r="J120"/>
  <c r="H120"/>
  <c r="F120"/>
  <c r="W119"/>
  <c r="W118"/>
  <c r="W117"/>
  <c r="X117" s="1"/>
  <c r="V117"/>
  <c r="T117"/>
  <c r="R117"/>
  <c r="P117"/>
  <c r="N117"/>
  <c r="L117"/>
  <c r="J117"/>
  <c r="H117"/>
  <c r="W116"/>
  <c r="W115"/>
  <c r="E115"/>
  <c r="W114"/>
  <c r="W113"/>
  <c r="E113"/>
  <c r="W112"/>
  <c r="E112"/>
  <c r="C112"/>
  <c r="R112" s="1"/>
  <c r="W111"/>
  <c r="W110"/>
  <c r="W109"/>
  <c r="W108"/>
  <c r="C108"/>
  <c r="R108" s="1"/>
  <c r="W107"/>
  <c r="W106"/>
  <c r="X106" s="1"/>
  <c r="V106"/>
  <c r="T106"/>
  <c r="R106"/>
  <c r="P106"/>
  <c r="N106"/>
  <c r="L106"/>
  <c r="J106"/>
  <c r="H106"/>
  <c r="F106"/>
  <c r="W105"/>
  <c r="C105"/>
  <c r="R105" s="1"/>
  <c r="W104"/>
  <c r="I103"/>
  <c r="W103" s="1"/>
  <c r="C103"/>
  <c r="R103" s="1"/>
  <c r="W102"/>
  <c r="X102" s="1"/>
  <c r="V102"/>
  <c r="T102"/>
  <c r="R102"/>
  <c r="P102"/>
  <c r="N102"/>
  <c r="L102"/>
  <c r="J102"/>
  <c r="H102"/>
  <c r="F102"/>
  <c r="W101"/>
  <c r="C101"/>
  <c r="T101" s="1"/>
  <c r="W100"/>
  <c r="C100"/>
  <c r="R100" s="1"/>
  <c r="W99"/>
  <c r="R99"/>
  <c r="C99"/>
  <c r="T99" s="1"/>
  <c r="W98"/>
  <c r="C98"/>
  <c r="R98" s="1"/>
  <c r="W97"/>
  <c r="C97"/>
  <c r="P97" s="1"/>
  <c r="X96"/>
  <c r="W96"/>
  <c r="V96"/>
  <c r="T96"/>
  <c r="R96"/>
  <c r="P96"/>
  <c r="N96"/>
  <c r="L96"/>
  <c r="J96"/>
  <c r="H96"/>
  <c r="F96"/>
  <c r="W95"/>
  <c r="C95"/>
  <c r="P95" s="1"/>
  <c r="W94"/>
  <c r="W93"/>
  <c r="C93"/>
  <c r="R93" s="1"/>
  <c r="W92"/>
  <c r="W91"/>
  <c r="M91"/>
  <c r="W90"/>
  <c r="C90"/>
  <c r="P90" s="1"/>
  <c r="W89"/>
  <c r="C89"/>
  <c r="W88"/>
  <c r="C88"/>
  <c r="R88" s="1"/>
  <c r="W87"/>
  <c r="C87"/>
  <c r="R87" s="1"/>
  <c r="U86"/>
  <c r="M86"/>
  <c r="C86"/>
  <c r="P86" s="1"/>
  <c r="W85"/>
  <c r="C85"/>
  <c r="R85" s="1"/>
  <c r="U84"/>
  <c r="C84"/>
  <c r="R84" s="1"/>
  <c r="W83"/>
  <c r="W82"/>
  <c r="U81"/>
  <c r="W81" s="1"/>
  <c r="U80"/>
  <c r="W80" s="1"/>
  <c r="W79"/>
  <c r="V79"/>
  <c r="T79"/>
  <c r="R79"/>
  <c r="P79"/>
  <c r="N79"/>
  <c r="L79"/>
  <c r="J79"/>
  <c r="H79"/>
  <c r="F79"/>
  <c r="W78"/>
  <c r="O77"/>
  <c r="G77"/>
  <c r="O76"/>
  <c r="K76"/>
  <c r="I76"/>
  <c r="G76"/>
  <c r="W75"/>
  <c r="X75" s="1"/>
  <c r="V75"/>
  <c r="T75"/>
  <c r="R75"/>
  <c r="P75"/>
  <c r="N75"/>
  <c r="L75"/>
  <c r="J75"/>
  <c r="H75"/>
  <c r="F75"/>
  <c r="W74"/>
  <c r="W73"/>
  <c r="X73" s="1"/>
  <c r="V73"/>
  <c r="T73"/>
  <c r="R73"/>
  <c r="P73"/>
  <c r="N73"/>
  <c r="L73"/>
  <c r="J73"/>
  <c r="H73"/>
  <c r="F73"/>
  <c r="W72"/>
  <c r="AJ71"/>
  <c r="W71"/>
  <c r="O70"/>
  <c r="G70"/>
  <c r="W69"/>
  <c r="W68"/>
  <c r="W67"/>
  <c r="C67"/>
  <c r="R67" s="1"/>
  <c r="W66"/>
  <c r="C66"/>
  <c r="P66" s="1"/>
  <c r="X65"/>
  <c r="W65"/>
  <c r="V65"/>
  <c r="T65"/>
  <c r="R65"/>
  <c r="P65"/>
  <c r="N65"/>
  <c r="L65"/>
  <c r="J65"/>
  <c r="H65"/>
  <c r="F65"/>
  <c r="W64"/>
  <c r="X64" s="1"/>
  <c r="V64"/>
  <c r="T64"/>
  <c r="R64"/>
  <c r="P64"/>
  <c r="N64"/>
  <c r="L64"/>
  <c r="J64"/>
  <c r="H64"/>
  <c r="W63"/>
  <c r="C63"/>
  <c r="H63" s="1"/>
  <c r="W62"/>
  <c r="C62"/>
  <c r="R62" s="1"/>
  <c r="W61"/>
  <c r="C61"/>
  <c r="L61" s="1"/>
  <c r="W60"/>
  <c r="W59"/>
  <c r="X58"/>
  <c r="W58"/>
  <c r="V58"/>
  <c r="T58"/>
  <c r="R58"/>
  <c r="P58"/>
  <c r="N58"/>
  <c r="L58"/>
  <c r="J58"/>
  <c r="H58"/>
  <c r="F58"/>
  <c r="W57"/>
  <c r="C57"/>
  <c r="P57" s="1"/>
  <c r="X56"/>
  <c r="W56"/>
  <c r="V56"/>
  <c r="T56"/>
  <c r="R56"/>
  <c r="P56"/>
  <c r="N56"/>
  <c r="L56"/>
  <c r="J56"/>
  <c r="H56"/>
  <c r="F56"/>
  <c r="W55"/>
  <c r="W54"/>
  <c r="W53"/>
  <c r="W52"/>
  <c r="W51"/>
  <c r="W50"/>
  <c r="X50" s="1"/>
  <c r="V50"/>
  <c r="T50"/>
  <c r="R50"/>
  <c r="P50"/>
  <c r="N50"/>
  <c r="L50"/>
  <c r="J50"/>
  <c r="H50"/>
  <c r="F50"/>
  <c r="W49"/>
  <c r="W48"/>
  <c r="W47"/>
  <c r="W46"/>
  <c r="W45"/>
  <c r="W44"/>
  <c r="X44" s="1"/>
  <c r="V44"/>
  <c r="T44"/>
  <c r="R44"/>
  <c r="P44"/>
  <c r="N44"/>
  <c r="L44"/>
  <c r="J44"/>
  <c r="H44"/>
  <c r="F44"/>
  <c r="W43"/>
  <c r="W42"/>
  <c r="W41"/>
  <c r="W40"/>
  <c r="U39"/>
  <c r="W39" s="1"/>
  <c r="O38"/>
  <c r="K38"/>
  <c r="I38"/>
  <c r="W37"/>
  <c r="V37"/>
  <c r="T37"/>
  <c r="R37"/>
  <c r="P37"/>
  <c r="N37"/>
  <c r="L37"/>
  <c r="J37"/>
  <c r="H37"/>
  <c r="F37"/>
  <c r="W36"/>
  <c r="W35"/>
  <c r="W34"/>
  <c r="W33"/>
  <c r="W32"/>
  <c r="U32"/>
  <c r="W31"/>
  <c r="V31"/>
  <c r="T31"/>
  <c r="R31"/>
  <c r="P31"/>
  <c r="N31"/>
  <c r="L31"/>
  <c r="J31"/>
  <c r="H31"/>
  <c r="F31"/>
  <c r="W30"/>
  <c r="C30"/>
  <c r="T30" s="1"/>
  <c r="O29"/>
  <c r="K29"/>
  <c r="G29"/>
  <c r="W28"/>
  <c r="W27"/>
  <c r="W26"/>
  <c r="W25"/>
  <c r="X25" s="1"/>
  <c r="V25"/>
  <c r="T25"/>
  <c r="R25"/>
  <c r="P25"/>
  <c r="N25"/>
  <c r="L25"/>
  <c r="J25"/>
  <c r="H25"/>
  <c r="F25"/>
  <c r="G24"/>
  <c r="W24" s="1"/>
  <c r="G23"/>
  <c r="W23" s="1"/>
  <c r="O22"/>
  <c r="K22"/>
  <c r="I22"/>
  <c r="G22"/>
  <c r="G21"/>
  <c r="W21" s="1"/>
  <c r="G20"/>
  <c r="W20" s="1"/>
  <c r="M19"/>
  <c r="M18"/>
  <c r="W18" s="1"/>
  <c r="W17"/>
  <c r="W16"/>
  <c r="M15"/>
  <c r="K15"/>
  <c r="G15"/>
  <c r="W14"/>
  <c r="C14"/>
  <c r="X14" s="1"/>
  <c r="O13"/>
  <c r="W13" s="1"/>
  <c r="C13"/>
  <c r="R13" s="1"/>
  <c r="W12"/>
  <c r="X12" s="1"/>
  <c r="V12"/>
  <c r="T12"/>
  <c r="R12"/>
  <c r="P12"/>
  <c r="N12"/>
  <c r="L12"/>
  <c r="J12"/>
  <c r="H12"/>
  <c r="F12"/>
  <c r="W11"/>
  <c r="C11"/>
  <c r="R11" s="1"/>
  <c r="I10"/>
  <c r="W10" s="1"/>
  <c r="G10"/>
  <c r="F10"/>
  <c r="C10"/>
  <c r="V10" s="1"/>
  <c r="X9"/>
  <c r="W9"/>
  <c r="V9"/>
  <c r="T9"/>
  <c r="R9"/>
  <c r="P9"/>
  <c r="N9"/>
  <c r="L9"/>
  <c r="J9"/>
  <c r="H9"/>
  <c r="F9"/>
  <c r="W8"/>
  <c r="C8"/>
  <c r="T8" s="1"/>
  <c r="K7"/>
  <c r="C7"/>
  <c r="N7" s="1"/>
  <c r="A1"/>
  <c r="A1" i="55"/>
  <c r="A24" i="57"/>
  <c r="F361" i="55"/>
  <c r="F360"/>
  <c r="F359"/>
  <c r="F358"/>
  <c r="F357"/>
  <c r="F356"/>
  <c r="F355"/>
  <c r="F354"/>
  <c r="F352"/>
  <c r="F351"/>
  <c r="F350"/>
  <c r="F349"/>
  <c r="F348"/>
  <c r="F347"/>
  <c r="F346"/>
  <c r="F345"/>
  <c r="F344"/>
  <c r="F343"/>
  <c r="F342"/>
  <c r="F340"/>
  <c r="F339"/>
  <c r="F338"/>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59"/>
  <c r="F250"/>
  <c r="F249"/>
  <c r="F248"/>
  <c r="F247"/>
  <c r="F246"/>
  <c r="F245"/>
  <c r="F242"/>
  <c r="F233"/>
  <c r="F231"/>
  <c r="F230"/>
  <c r="F203"/>
  <c r="F187"/>
  <c r="F182"/>
  <c r="F166"/>
  <c r="F165"/>
  <c r="F163"/>
  <c r="F156"/>
  <c r="F148"/>
  <c r="F133"/>
  <c r="F126"/>
  <c r="F120"/>
  <c r="F119"/>
  <c r="F105"/>
  <c r="F101"/>
  <c r="F95"/>
  <c r="F78"/>
  <c r="F74"/>
  <c r="F72"/>
  <c r="F64"/>
  <c r="F57"/>
  <c r="F55"/>
  <c r="F49"/>
  <c r="F43"/>
  <c r="F36"/>
  <c r="F30"/>
  <c r="F24"/>
  <c r="F11"/>
  <c r="F8"/>
  <c r="W270"/>
  <c r="W269"/>
  <c r="W268"/>
  <c r="W267"/>
  <c r="W266"/>
  <c r="W265"/>
  <c r="W264"/>
  <c r="W263"/>
  <c r="W262"/>
  <c r="W261"/>
  <c r="W260"/>
  <c r="W259"/>
  <c r="W258"/>
  <c r="W257"/>
  <c r="W256"/>
  <c r="W255"/>
  <c r="W254"/>
  <c r="W253"/>
  <c r="W252"/>
  <c r="W251"/>
  <c r="W250"/>
  <c r="W249"/>
  <c r="W248"/>
  <c r="W247"/>
  <c r="W246"/>
  <c r="W245"/>
  <c r="W244"/>
  <c r="W242"/>
  <c r="W241"/>
  <c r="W240"/>
  <c r="W239"/>
  <c r="W238"/>
  <c r="W237"/>
  <c r="W236"/>
  <c r="W235"/>
  <c r="W234"/>
  <c r="W233"/>
  <c r="W232"/>
  <c r="W231"/>
  <c r="W230"/>
  <c r="W229"/>
  <c r="W228"/>
  <c r="W227"/>
  <c r="W226"/>
  <c r="W225"/>
  <c r="W224"/>
  <c r="W223"/>
  <c r="W222"/>
  <c r="W221"/>
  <c r="W220"/>
  <c r="W218"/>
  <c r="W217"/>
  <c r="W216"/>
  <c r="W215"/>
  <c r="W214"/>
  <c r="W213"/>
  <c r="W212"/>
  <c r="W211"/>
  <c r="W210"/>
  <c r="W209"/>
  <c r="W208"/>
  <c r="W207"/>
  <c r="W206"/>
  <c r="W205"/>
  <c r="W204"/>
  <c r="W203"/>
  <c r="W202"/>
  <c r="W201"/>
  <c r="W200"/>
  <c r="W199"/>
  <c r="W198"/>
  <c r="W197"/>
  <c r="W196"/>
  <c r="W195"/>
  <c r="W194"/>
  <c r="W193"/>
  <c r="W192"/>
  <c r="W191"/>
  <c r="W190"/>
  <c r="W189"/>
  <c r="W188"/>
  <c r="W187"/>
  <c r="W186"/>
  <c r="W185"/>
  <c r="W184"/>
  <c r="W183"/>
  <c r="W182"/>
  <c r="W181"/>
  <c r="W179"/>
  <c r="W177"/>
  <c r="W175"/>
  <c r="W174"/>
  <c r="W173"/>
  <c r="W172"/>
  <c r="W171"/>
  <c r="W170"/>
  <c r="W169"/>
  <c r="W168"/>
  <c r="W167"/>
  <c r="W166"/>
  <c r="W165"/>
  <c r="W164"/>
  <c r="W163"/>
  <c r="W162"/>
  <c r="W161"/>
  <c r="W160"/>
  <c r="W159"/>
  <c r="W158"/>
  <c r="W157"/>
  <c r="W156"/>
  <c r="W155"/>
  <c r="W153"/>
  <c r="W152"/>
  <c r="W148"/>
  <c r="W147"/>
  <c r="W146"/>
  <c r="W145"/>
  <c r="W144"/>
  <c r="W141"/>
  <c r="W140"/>
  <c r="W139"/>
  <c r="W138"/>
  <c r="W137"/>
  <c r="W136"/>
  <c r="W133"/>
  <c r="W132"/>
  <c r="W131"/>
  <c r="W130"/>
  <c r="W129"/>
  <c r="W128"/>
  <c r="W126"/>
  <c r="W125"/>
  <c r="W124"/>
  <c r="W123"/>
  <c r="W122"/>
  <c r="W121"/>
  <c r="W120"/>
  <c r="W119"/>
  <c r="W118"/>
  <c r="W117"/>
  <c r="W116"/>
  <c r="W115"/>
  <c r="W114"/>
  <c r="W113"/>
  <c r="W112"/>
  <c r="W111"/>
  <c r="W110"/>
  <c r="W109"/>
  <c r="W108"/>
  <c r="W107"/>
  <c r="W106"/>
  <c r="W105"/>
  <c r="W104"/>
  <c r="W103"/>
  <c r="W101"/>
  <c r="W100"/>
  <c r="W99"/>
  <c r="W98"/>
  <c r="W97"/>
  <c r="W96"/>
  <c r="W95"/>
  <c r="W94"/>
  <c r="W93"/>
  <c r="W92"/>
  <c r="W91"/>
  <c r="W89"/>
  <c r="W88"/>
  <c r="W87"/>
  <c r="W86"/>
  <c r="W84"/>
  <c r="W82"/>
  <c r="W81"/>
  <c r="W78"/>
  <c r="W77"/>
  <c r="W74"/>
  <c r="W73"/>
  <c r="W72"/>
  <c r="W71"/>
  <c r="W70"/>
  <c r="W68"/>
  <c r="W67"/>
  <c r="W66"/>
  <c r="W65"/>
  <c r="W64"/>
  <c r="W63"/>
  <c r="W62"/>
  <c r="W61"/>
  <c r="W60"/>
  <c r="W59"/>
  <c r="W58"/>
  <c r="W57"/>
  <c r="W56"/>
  <c r="W55"/>
  <c r="W54"/>
  <c r="W53"/>
  <c r="W52"/>
  <c r="W51"/>
  <c r="W50"/>
  <c r="W49"/>
  <c r="W48"/>
  <c r="W47"/>
  <c r="W46"/>
  <c r="W45"/>
  <c r="W44"/>
  <c r="W43"/>
  <c r="W42"/>
  <c r="W41"/>
  <c r="W40"/>
  <c r="W39"/>
  <c r="W36"/>
  <c r="W35"/>
  <c r="W34"/>
  <c r="W33"/>
  <c r="W32"/>
  <c r="W30"/>
  <c r="W29"/>
  <c r="W27"/>
  <c r="W26"/>
  <c r="W25"/>
  <c r="W24"/>
  <c r="W16"/>
  <c r="W15"/>
  <c r="W13"/>
  <c r="W11"/>
  <c r="W10"/>
  <c r="W8"/>
  <c r="W7"/>
  <c r="Y270"/>
  <c r="Y271" i="79" s="1"/>
  <c r="Y269" i="55"/>
  <c r="Y270" i="79" s="1"/>
  <c r="Y259" i="55"/>
  <c r="Y260" i="79" s="1"/>
  <c r="Z260" s="1"/>
  <c r="Y250" i="55"/>
  <c r="Y251" i="79" s="1"/>
  <c r="Y249" i="55"/>
  <c r="Y250" i="79" s="1"/>
  <c r="Y248" i="55"/>
  <c r="Y249" i="79" s="1"/>
  <c r="Z249" s="1"/>
  <c r="Y247" i="55"/>
  <c r="Y248" i="79" s="1"/>
  <c r="Z248" s="1"/>
  <c r="Y246" i="55"/>
  <c r="Y247" i="79" s="1"/>
  <c r="Y245" i="55"/>
  <c r="Y246" i="79" s="1"/>
  <c r="Y242" i="55"/>
  <c r="Y243" i="79" s="1"/>
  <c r="Y241" i="55"/>
  <c r="Y242" i="79" s="1"/>
  <c r="Y240" i="55"/>
  <c r="Y241" i="79" s="1"/>
  <c r="Y237" i="55"/>
  <c r="Y238" i="79" s="1"/>
  <c r="Y233" i="55"/>
  <c r="Y234" i="79" s="1"/>
  <c r="Z234" s="1"/>
  <c r="Y232" i="55"/>
  <c r="Y233" i="79" s="1"/>
  <c r="Y231" i="55"/>
  <c r="Y232" i="79" s="1"/>
  <c r="Z232" s="1"/>
  <c r="Y230" i="55"/>
  <c r="Y231" i="79" s="1"/>
  <c r="Z231" s="1"/>
  <c r="Y229" i="55"/>
  <c r="Y230" i="79" s="1"/>
  <c r="Y226" i="55"/>
  <c r="Y227" i="79" s="1"/>
  <c r="Y222" i="55"/>
  <c r="Y223" i="79" s="1"/>
  <c r="Z223" s="1"/>
  <c r="Y221" i="55"/>
  <c r="Y222" i="79" s="1"/>
  <c r="Y218" i="55"/>
  <c r="Y219" i="79" s="1"/>
  <c r="Y217" i="55"/>
  <c r="Y218" i="79" s="1"/>
  <c r="Y216" i="55"/>
  <c r="Y217" i="79" s="1"/>
  <c r="Y215" i="55"/>
  <c r="Y216" i="79" s="1"/>
  <c r="Z216" s="1"/>
  <c r="Y213" i="55"/>
  <c r="Y214" i="79" s="1"/>
  <c r="Y212" i="55"/>
  <c r="Y213" i="79" s="1"/>
  <c r="Z213" s="1"/>
  <c r="Y211" i="55"/>
  <c r="Y212" i="79" s="1"/>
  <c r="Y209" i="55"/>
  <c r="Y210" i="79" s="1"/>
  <c r="Y206" i="55"/>
  <c r="Y207" i="79" s="1"/>
  <c r="Y203" i="55"/>
  <c r="Y204" i="79" s="1"/>
  <c r="Z204" s="1"/>
  <c r="Y201" i="55"/>
  <c r="Y202" i="79" s="1"/>
  <c r="Y200" i="55"/>
  <c r="Y201" i="79" s="1"/>
  <c r="Y198" i="55"/>
  <c r="Y199" i="79" s="1"/>
  <c r="Y195" i="55"/>
  <c r="Y196" i="79" s="1"/>
  <c r="Y187" i="55"/>
  <c r="Y188" i="79" s="1"/>
  <c r="Z188" s="1"/>
  <c r="Y186" i="55"/>
  <c r="Y187" i="79" s="1"/>
  <c r="Y182" i="55"/>
  <c r="Y183" i="79" s="1"/>
  <c r="Z183" s="1"/>
  <c r="Y175" i="55"/>
  <c r="Y176" i="79" s="1"/>
  <c r="Y174" i="55"/>
  <c r="Y175" i="79" s="1"/>
  <c r="Z175" s="1"/>
  <c r="Y173" i="55"/>
  <c r="Y174" i="79" s="1"/>
  <c r="Y171" i="55"/>
  <c r="Y172" i="79" s="1"/>
  <c r="Y169" i="55"/>
  <c r="Y170" i="79" s="1"/>
  <c r="Y166" i="55"/>
  <c r="Y167" i="79" s="1"/>
  <c r="Z167" s="1"/>
  <c r="Y165" i="55"/>
  <c r="Y166" i="79" s="1"/>
  <c r="Y163" i="55"/>
  <c r="Y164" i="79" s="1"/>
  <c r="Y162" i="55"/>
  <c r="Y163" i="79" s="1"/>
  <c r="Y159" i="55"/>
  <c r="Y160" i="79" s="1"/>
  <c r="Y158" i="55"/>
  <c r="Y159" i="79" s="1"/>
  <c r="Y157" i="55"/>
  <c r="Y158" i="79" s="1"/>
  <c r="Y156" i="55"/>
  <c r="Y157" i="79" s="1"/>
  <c r="Y155" i="55"/>
  <c r="Y156" i="79" s="1"/>
  <c r="Y153" i="55"/>
  <c r="Y154" i="79" s="1"/>
  <c r="Y152" i="55"/>
  <c r="Y153" i="79" s="1"/>
  <c r="Y148" i="55"/>
  <c r="Y149" i="79" s="1"/>
  <c r="Z149" s="1"/>
  <c r="Y147" i="55"/>
  <c r="Y148" i="79" s="1"/>
  <c r="Y146" i="55"/>
  <c r="Y147" i="79" s="1"/>
  <c r="Y145" i="55"/>
  <c r="Y146" i="79" s="1"/>
  <c r="Y144" i="55"/>
  <c r="Y145" i="79" s="1"/>
  <c r="Y141" i="55"/>
  <c r="Y142" i="79" s="1"/>
  <c r="Y140" i="55"/>
  <c r="Y141" i="79" s="1"/>
  <c r="Y139" i="55"/>
  <c r="Y140" i="79" s="1"/>
  <c r="Y133" i="55"/>
  <c r="Y134" i="79" s="1"/>
  <c r="Z134" s="1"/>
  <c r="Y132" i="55"/>
  <c r="Y133" i="79" s="1"/>
  <c r="Y131" i="55"/>
  <c r="Y132" i="79" s="1"/>
  <c r="Y130" i="55"/>
  <c r="Y131" i="79" s="1"/>
  <c r="Y126" i="55"/>
  <c r="Y127" i="79" s="1"/>
  <c r="Y125" i="55"/>
  <c r="Y126" i="79" s="1"/>
  <c r="Y124" i="55"/>
  <c r="Y125" i="79" s="1"/>
  <c r="Y120" i="55"/>
  <c r="Y121" i="79" s="1"/>
  <c r="Z121" s="1"/>
  <c r="Y119" i="55"/>
  <c r="Y120" i="79" s="1"/>
  <c r="Z120" s="1"/>
  <c r="Y118" i="55"/>
  <c r="Y119" i="79" s="1"/>
  <c r="Y117" i="55"/>
  <c r="Y118" i="79" s="1"/>
  <c r="Y115" i="55"/>
  <c r="Y116" i="79" s="1"/>
  <c r="Y109" i="55"/>
  <c r="Y110" i="79" s="1"/>
  <c r="Y108" i="55"/>
  <c r="Y109" i="79" s="1"/>
  <c r="Y105" i="55"/>
  <c r="Z105" s="1"/>
  <c r="Y101"/>
  <c r="Y102" i="79" s="1"/>
  <c r="Y100" i="55"/>
  <c r="Y101" i="79" s="1"/>
  <c r="Z101" s="1"/>
  <c r="Y99" i="55"/>
  <c r="Y100" i="79" s="1"/>
  <c r="Y98" i="55"/>
  <c r="Y99" i="79" s="1"/>
  <c r="Y95" i="55"/>
  <c r="Y96" i="79" s="1"/>
  <c r="Z96" s="1"/>
  <c r="Y93" i="55"/>
  <c r="Y94" i="79" s="1"/>
  <c r="Y92" i="55"/>
  <c r="Y93" i="79" s="1"/>
  <c r="Y91" i="55"/>
  <c r="Y92" i="79" s="1"/>
  <c r="Y78" i="55"/>
  <c r="Y79" i="79" s="1"/>
  <c r="Y74" i="55"/>
  <c r="Y75" i="79" s="1"/>
  <c r="Z75" s="1"/>
  <c r="Y72" i="55"/>
  <c r="Y73" i="79" s="1"/>
  <c r="Z73" s="1"/>
  <c r="Y68" i="55"/>
  <c r="Y69" i="79" s="1"/>
  <c r="Y64" i="55"/>
  <c r="Y65" i="79" s="1"/>
  <c r="Z65" s="1"/>
  <c r="Y61" i="55"/>
  <c r="Y62" i="79" s="1"/>
  <c r="Y60" i="55"/>
  <c r="Y61" i="79" s="1"/>
  <c r="Z61" s="1"/>
  <c r="Y57" i="55"/>
  <c r="Y58" i="79" s="1"/>
  <c r="Z58" s="1"/>
  <c r="Y55" i="55"/>
  <c r="Y56" i="79" s="1"/>
  <c r="Z56" s="1"/>
  <c r="Y54" i="55"/>
  <c r="Y55" i="79" s="1"/>
  <c r="Y53" i="55"/>
  <c r="Y54" i="79" s="1"/>
  <c r="Y52" i="55"/>
  <c r="Y53" i="79" s="1"/>
  <c r="Y51" i="55"/>
  <c r="Y52" i="79" s="1"/>
  <c r="Y50" i="55"/>
  <c r="Y51" i="79" s="1"/>
  <c r="Y49" i="55"/>
  <c r="Y50" i="79" s="1"/>
  <c r="Y48" i="55"/>
  <c r="Y49" i="79" s="1"/>
  <c r="Y47" i="55"/>
  <c r="Y48" i="79" s="1"/>
  <c r="Y43" i="55"/>
  <c r="Y44" i="79" s="1"/>
  <c r="Z44" s="1"/>
  <c r="Y42" i="55"/>
  <c r="Y43" i="79" s="1"/>
  <c r="Y36" i="55"/>
  <c r="Y37" i="79" s="1"/>
  <c r="Y35" i="55"/>
  <c r="Y36" i="79" s="1"/>
  <c r="Y30" i="55"/>
  <c r="Y31" i="79" s="1"/>
  <c r="Y29" i="55"/>
  <c r="Y30" i="79" s="1"/>
  <c r="Y27" i="55"/>
  <c r="Y28" i="79" s="1"/>
  <c r="Y26" i="55"/>
  <c r="Y27" i="79" s="1"/>
  <c r="Y25" i="55"/>
  <c r="Y26" i="79" s="1"/>
  <c r="Y24" i="55"/>
  <c r="Y25" i="79" s="1"/>
  <c r="Z25" s="1"/>
  <c r="Y16" i="55"/>
  <c r="Y17" i="79" s="1"/>
  <c r="Y15" i="55"/>
  <c r="Y16" i="79" s="1"/>
  <c r="Y13" i="55"/>
  <c r="Y14" i="79" s="1"/>
  <c r="Z14" s="1"/>
  <c r="Y11" i="55"/>
  <c r="Y12" i="79" s="1"/>
  <c r="Z12" s="1"/>
  <c r="Y10" i="55"/>
  <c r="Y11" i="79" s="1"/>
  <c r="Y8" i="55"/>
  <c r="Y9" i="79" s="1"/>
  <c r="Z9" s="1"/>
  <c r="Y7" i="55"/>
  <c r="Y8" i="79" s="1"/>
  <c r="H611" i="70"/>
  <c r="H610"/>
  <c r="H609"/>
  <c r="H608"/>
  <c r="H607"/>
  <c r="H606"/>
  <c r="H605"/>
  <c r="H604"/>
  <c r="H603"/>
  <c r="H602"/>
  <c r="H601"/>
  <c r="H600"/>
  <c r="H599"/>
  <c r="H598"/>
  <c r="H597"/>
  <c r="H596"/>
  <c r="H595"/>
  <c r="H594"/>
  <c r="H593"/>
  <c r="H592"/>
  <c r="H591"/>
  <c r="H590"/>
  <c r="H589"/>
  <c r="H588"/>
  <c r="H587"/>
  <c r="H586"/>
  <c r="H584"/>
  <c r="H583"/>
  <c r="H582"/>
  <c r="H581"/>
  <c r="H580"/>
  <c r="H579"/>
  <c r="H578"/>
  <c r="H577"/>
  <c r="H576"/>
  <c r="H575"/>
  <c r="H573"/>
  <c r="H572"/>
  <c r="H571"/>
  <c r="H570"/>
  <c r="H569"/>
  <c r="H568"/>
  <c r="H567"/>
  <c r="H2041"/>
  <c r="E269" i="79" s="1"/>
  <c r="F269" s="1"/>
  <c r="Z248" i="55"/>
  <c r="Z245"/>
  <c r="Z233"/>
  <c r="Z231"/>
  <c r="Z230"/>
  <c r="X207"/>
  <c r="Z203"/>
  <c r="Z182"/>
  <c r="Z166"/>
  <c r="Z165"/>
  <c r="Z163"/>
  <c r="Z156"/>
  <c r="Z148"/>
  <c r="Z133"/>
  <c r="Z126"/>
  <c r="Z120"/>
  <c r="Z119"/>
  <c r="X116"/>
  <c r="Z95"/>
  <c r="Z72"/>
  <c r="Z64"/>
  <c r="Z57"/>
  <c r="Z55"/>
  <c r="Z49"/>
  <c r="Z43"/>
  <c r="Z30"/>
  <c r="Z24"/>
  <c r="Z11"/>
  <c r="Z8"/>
  <c r="Z78" l="1"/>
  <c r="Z101"/>
  <c r="Z187"/>
  <c r="H967" i="70"/>
  <c r="Z74" i="55"/>
  <c r="H2076" i="70"/>
  <c r="E268" i="55"/>
  <c r="F268" s="1"/>
  <c r="N66" i="79"/>
  <c r="N67"/>
  <c r="N84"/>
  <c r="P85"/>
  <c r="V97"/>
  <c r="H174"/>
  <c r="R174"/>
  <c r="N182"/>
  <c r="H239"/>
  <c r="X369"/>
  <c r="T381"/>
  <c r="T396"/>
  <c r="T400"/>
  <c r="T404"/>
  <c r="T416"/>
  <c r="T420"/>
  <c r="T424"/>
  <c r="Z427"/>
  <c r="Z431"/>
  <c r="T434"/>
  <c r="V435"/>
  <c r="X452"/>
  <c r="T454"/>
  <c r="Z454"/>
  <c r="V455"/>
  <c r="X458"/>
  <c r="V11"/>
  <c r="T10"/>
  <c r="F11"/>
  <c r="X13"/>
  <c r="V57"/>
  <c r="X61"/>
  <c r="T67"/>
  <c r="H150"/>
  <c r="F174"/>
  <c r="J174"/>
  <c r="V174"/>
  <c r="H181"/>
  <c r="T181"/>
  <c r="X182"/>
  <c r="N210"/>
  <c r="F212"/>
  <c r="T226"/>
  <c r="P239"/>
  <c r="R342"/>
  <c r="Z463"/>
  <c r="AC328"/>
  <c r="J13"/>
  <c r="J61"/>
  <c r="L66"/>
  <c r="P67"/>
  <c r="W77"/>
  <c r="T84"/>
  <c r="F93"/>
  <c r="X178"/>
  <c r="P182"/>
  <c r="F187"/>
  <c r="X187"/>
  <c r="F196"/>
  <c r="X196"/>
  <c r="F214"/>
  <c r="F217"/>
  <c r="R217"/>
  <c r="H224"/>
  <c r="P254"/>
  <c r="W278"/>
  <c r="W285"/>
  <c r="J287"/>
  <c r="AC287" s="1"/>
  <c r="W290"/>
  <c r="AC293"/>
  <c r="W293"/>
  <c r="J295"/>
  <c r="AC295" s="1"/>
  <c r="W303"/>
  <c r="AC304"/>
  <c r="W304"/>
  <c r="W312"/>
  <c r="AC313"/>
  <c r="AC316"/>
  <c r="AC325"/>
  <c r="R325"/>
  <c r="AC339"/>
  <c r="J342"/>
  <c r="AC343"/>
  <c r="W343"/>
  <c r="T369"/>
  <c r="X399"/>
  <c r="X415"/>
  <c r="X423"/>
  <c r="X433"/>
  <c r="Z435"/>
  <c r="X453"/>
  <c r="X454"/>
  <c r="X457"/>
  <c r="Y458"/>
  <c r="Z458" s="1"/>
  <c r="X461"/>
  <c r="J30"/>
  <c r="X89"/>
  <c r="H169"/>
  <c r="N178"/>
  <c r="X180"/>
  <c r="V187"/>
  <c r="V196"/>
  <c r="V214"/>
  <c r="P217"/>
  <c r="X217"/>
  <c r="W272"/>
  <c r="AC273"/>
  <c r="AC274"/>
  <c r="W277"/>
  <c r="AC279"/>
  <c r="W282"/>
  <c r="AC288"/>
  <c r="W288"/>
  <c r="W302"/>
  <c r="AC350"/>
  <c r="AC361"/>
  <c r="W361"/>
  <c r="AC362"/>
  <c r="Z374"/>
  <c r="Z381"/>
  <c r="X431"/>
  <c r="L10"/>
  <c r="N11"/>
  <c r="H30"/>
  <c r="N57"/>
  <c r="R61"/>
  <c r="V66"/>
  <c r="H67"/>
  <c r="X67"/>
  <c r="H84"/>
  <c r="P87"/>
  <c r="V93"/>
  <c r="N97"/>
  <c r="J101"/>
  <c r="T150"/>
  <c r="P174"/>
  <c r="N181"/>
  <c r="H185"/>
  <c r="N187"/>
  <c r="N196"/>
  <c r="V212"/>
  <c r="N214"/>
  <c r="J217"/>
  <c r="W274"/>
  <c r="AC275"/>
  <c r="W275"/>
  <c r="W279"/>
  <c r="AC280"/>
  <c r="W280"/>
  <c r="J283"/>
  <c r="AC283" s="1"/>
  <c r="W286"/>
  <c r="J291"/>
  <c r="AC291" s="1"/>
  <c r="W294"/>
  <c r="J296"/>
  <c r="AC296" s="1"/>
  <c r="W298"/>
  <c r="AC299"/>
  <c r="W299"/>
  <c r="AC302"/>
  <c r="W309"/>
  <c r="W311"/>
  <c r="AC312"/>
  <c r="W314"/>
  <c r="AC321"/>
  <c r="AC323"/>
  <c r="W330"/>
  <c r="AC331"/>
  <c r="AC334"/>
  <c r="AC336"/>
  <c r="W336"/>
  <c r="AC337"/>
  <c r="W340"/>
  <c r="W348"/>
  <c r="AC352"/>
  <c r="F354"/>
  <c r="W357"/>
  <c r="AC358"/>
  <c r="W359"/>
  <c r="Y369"/>
  <c r="Z369" s="1"/>
  <c r="V374"/>
  <c r="X381"/>
  <c r="X395"/>
  <c r="X419"/>
  <c r="X427"/>
  <c r="X429"/>
  <c r="X436"/>
  <c r="X463"/>
  <c r="X30"/>
  <c r="J63"/>
  <c r="N93"/>
  <c r="H187"/>
  <c r="H196"/>
  <c r="H214"/>
  <c r="H217"/>
  <c r="V217"/>
  <c r="V224"/>
  <c r="W273"/>
  <c r="AC284"/>
  <c r="W284"/>
  <c r="AC292"/>
  <c r="W292"/>
  <c r="AC297"/>
  <c r="W297"/>
  <c r="W300"/>
  <c r="W301"/>
  <c r="AC303"/>
  <c r="W307"/>
  <c r="AC308"/>
  <c r="W308"/>
  <c r="AC310"/>
  <c r="W310"/>
  <c r="AC319"/>
  <c r="W329"/>
  <c r="AC341"/>
  <c r="AC345"/>
  <c r="W347"/>
  <c r="AC349"/>
  <c r="AC353"/>
  <c r="R354"/>
  <c r="AC360"/>
  <c r="W360"/>
  <c r="Z30"/>
  <c r="Y106"/>
  <c r="Z106" s="1"/>
  <c r="Z36" i="55"/>
  <c r="Z50" i="79"/>
  <c r="V8"/>
  <c r="J10"/>
  <c r="P11"/>
  <c r="H13"/>
  <c r="V13"/>
  <c r="T57"/>
  <c r="N62"/>
  <c r="R63"/>
  <c r="P84"/>
  <c r="N85"/>
  <c r="X85"/>
  <c r="N87"/>
  <c r="X87"/>
  <c r="P88"/>
  <c r="N90"/>
  <c r="P93"/>
  <c r="N95"/>
  <c r="T97"/>
  <c r="N98"/>
  <c r="X98"/>
  <c r="F100"/>
  <c r="V100"/>
  <c r="R101"/>
  <c r="P105"/>
  <c r="P108"/>
  <c r="P112"/>
  <c r="R150"/>
  <c r="L178"/>
  <c r="V178"/>
  <c r="H184"/>
  <c r="T184"/>
  <c r="T201"/>
  <c r="H210"/>
  <c r="P212"/>
  <c r="J215"/>
  <c r="N219"/>
  <c r="J233"/>
  <c r="R242"/>
  <c r="N254"/>
  <c r="X254"/>
  <c r="N261"/>
  <c r="T428"/>
  <c r="T436"/>
  <c r="X438"/>
  <c r="Z439"/>
  <c r="T452"/>
  <c r="Z455"/>
  <c r="X456"/>
  <c r="T458"/>
  <c r="V459"/>
  <c r="Z462"/>
  <c r="T7"/>
  <c r="N8"/>
  <c r="Z8"/>
  <c r="P13"/>
  <c r="R30"/>
  <c r="H62"/>
  <c r="L85"/>
  <c r="V85"/>
  <c r="H86"/>
  <c r="L87"/>
  <c r="V87"/>
  <c r="H88"/>
  <c r="L90"/>
  <c r="L95"/>
  <c r="L98"/>
  <c r="V98"/>
  <c r="P100"/>
  <c r="N105"/>
  <c r="H108"/>
  <c r="H112"/>
  <c r="L150"/>
  <c r="X151"/>
  <c r="X169"/>
  <c r="W177"/>
  <c r="H178"/>
  <c r="T178"/>
  <c r="L181"/>
  <c r="L182"/>
  <c r="V182"/>
  <c r="P184"/>
  <c r="X185"/>
  <c r="P187"/>
  <c r="P196"/>
  <c r="R201"/>
  <c r="F210"/>
  <c r="V210"/>
  <c r="N212"/>
  <c r="P214"/>
  <c r="N217"/>
  <c r="Z217"/>
  <c r="H219"/>
  <c r="R221"/>
  <c r="N223"/>
  <c r="P224"/>
  <c r="H233"/>
  <c r="V233"/>
  <c r="X239"/>
  <c r="J242"/>
  <c r="Z242"/>
  <c r="L254"/>
  <c r="V254"/>
  <c r="H261"/>
  <c r="X261"/>
  <c r="R277"/>
  <c r="R286"/>
  <c r="R302"/>
  <c r="R309"/>
  <c r="H342"/>
  <c r="Z394"/>
  <c r="Z397"/>
  <c r="Z398"/>
  <c r="Z401"/>
  <c r="Z402"/>
  <c r="Z405"/>
  <c r="Z417"/>
  <c r="Z418"/>
  <c r="Z421"/>
  <c r="Z422"/>
  <c r="Z425"/>
  <c r="Z426"/>
  <c r="Z429"/>
  <c r="Z430"/>
  <c r="Z433"/>
  <c r="Z434"/>
  <c r="V438"/>
  <c r="V439"/>
  <c r="X440"/>
  <c r="Z453"/>
  <c r="V456"/>
  <c r="Z459"/>
  <c r="R7"/>
  <c r="F8"/>
  <c r="H10"/>
  <c r="R10"/>
  <c r="H11"/>
  <c r="X11"/>
  <c r="W15"/>
  <c r="P30"/>
  <c r="L57"/>
  <c r="F62"/>
  <c r="V62"/>
  <c r="T66"/>
  <c r="L67"/>
  <c r="V67"/>
  <c r="L84"/>
  <c r="V84"/>
  <c r="H85"/>
  <c r="T85"/>
  <c r="V86"/>
  <c r="H87"/>
  <c r="T87"/>
  <c r="V90"/>
  <c r="H93"/>
  <c r="X93"/>
  <c r="V95"/>
  <c r="L97"/>
  <c r="H98"/>
  <c r="T98"/>
  <c r="J99"/>
  <c r="Z99"/>
  <c r="N100"/>
  <c r="X101"/>
  <c r="H105"/>
  <c r="X105"/>
  <c r="J150"/>
  <c r="Z153"/>
  <c r="P169"/>
  <c r="Z170"/>
  <c r="N174"/>
  <c r="X174"/>
  <c r="P178"/>
  <c r="V181"/>
  <c r="H182"/>
  <c r="T182"/>
  <c r="N184"/>
  <c r="X184"/>
  <c r="P185"/>
  <c r="P210"/>
  <c r="H212"/>
  <c r="X215"/>
  <c r="F219"/>
  <c r="V219"/>
  <c r="N224"/>
  <c r="F233"/>
  <c r="P233"/>
  <c r="X242"/>
  <c r="H254"/>
  <c r="T254"/>
  <c r="V261"/>
  <c r="R290"/>
  <c r="F342"/>
  <c r="AC342" s="1"/>
  <c r="M342"/>
  <c r="N342" s="1"/>
  <c r="T360"/>
  <c r="X394"/>
  <c r="Z395"/>
  <c r="X398"/>
  <c r="Z399"/>
  <c r="X402"/>
  <c r="Z415"/>
  <c r="X418"/>
  <c r="Z419"/>
  <c r="X422"/>
  <c r="Z423"/>
  <c r="X426"/>
  <c r="X430"/>
  <c r="X434"/>
  <c r="T440"/>
  <c r="Z457"/>
  <c r="L7"/>
  <c r="P62"/>
  <c r="N86"/>
  <c r="X88"/>
  <c r="T90"/>
  <c r="T95"/>
  <c r="P98"/>
  <c r="X99"/>
  <c r="H100"/>
  <c r="X100"/>
  <c r="V105"/>
  <c r="X108"/>
  <c r="X112"/>
  <c r="L184"/>
  <c r="V184"/>
  <c r="P219"/>
  <c r="N233"/>
  <c r="P261"/>
  <c r="R294"/>
  <c r="R316"/>
  <c r="L342"/>
  <c r="T367"/>
  <c r="T394"/>
  <c r="V395"/>
  <c r="X396"/>
  <c r="T398"/>
  <c r="V399"/>
  <c r="X400"/>
  <c r="T402"/>
  <c r="X404"/>
  <c r="V415"/>
  <c r="X416"/>
  <c r="T418"/>
  <c r="V419"/>
  <c r="X420"/>
  <c r="T422"/>
  <c r="V423"/>
  <c r="X424"/>
  <c r="T426"/>
  <c r="V427"/>
  <c r="X428"/>
  <c r="T430"/>
  <c r="Z438"/>
  <c r="X10"/>
  <c r="V61"/>
  <c r="N61"/>
  <c r="F61"/>
  <c r="P61"/>
  <c r="H61"/>
  <c r="T63"/>
  <c r="L63"/>
  <c r="V63"/>
  <c r="N63"/>
  <c r="J7"/>
  <c r="P7"/>
  <c r="J8"/>
  <c r="R8"/>
  <c r="X8"/>
  <c r="P10"/>
  <c r="L11"/>
  <c r="T11"/>
  <c r="Z11"/>
  <c r="F13"/>
  <c r="N13"/>
  <c r="T13"/>
  <c r="H14"/>
  <c r="P14"/>
  <c r="W19"/>
  <c r="T61"/>
  <c r="P63"/>
  <c r="X31"/>
  <c r="Z31"/>
  <c r="X79"/>
  <c r="Z79"/>
  <c r="X103"/>
  <c r="H7"/>
  <c r="H8"/>
  <c r="P8"/>
  <c r="N10"/>
  <c r="J11"/>
  <c r="L13"/>
  <c r="F14"/>
  <c r="N14"/>
  <c r="V14"/>
  <c r="X63"/>
  <c r="X37"/>
  <c r="Z37"/>
  <c r="X62"/>
  <c r="Z62"/>
  <c r="X181"/>
  <c r="L14"/>
  <c r="T14"/>
  <c r="W38"/>
  <c r="L8"/>
  <c r="J14"/>
  <c r="R14"/>
  <c r="V201"/>
  <c r="N201"/>
  <c r="F201"/>
  <c r="X210"/>
  <c r="Z210"/>
  <c r="X212"/>
  <c r="Z212"/>
  <c r="X214"/>
  <c r="Z214"/>
  <c r="X219"/>
  <c r="Z219"/>
  <c r="T221"/>
  <c r="L221"/>
  <c r="V221"/>
  <c r="N221"/>
  <c r="V226"/>
  <c r="N226"/>
  <c r="P226"/>
  <c r="H226"/>
  <c r="X273"/>
  <c r="X276"/>
  <c r="X278"/>
  <c r="X285"/>
  <c r="X287"/>
  <c r="X288"/>
  <c r="X294"/>
  <c r="X296"/>
  <c r="X297"/>
  <c r="X300"/>
  <c r="X301"/>
  <c r="X303"/>
  <c r="X304"/>
  <c r="F30"/>
  <c r="N30"/>
  <c r="V30"/>
  <c r="J57"/>
  <c r="R57"/>
  <c r="X57"/>
  <c r="L62"/>
  <c r="T62"/>
  <c r="J66"/>
  <c r="R66"/>
  <c r="X66"/>
  <c r="W70"/>
  <c r="T86"/>
  <c r="N88"/>
  <c r="V88"/>
  <c r="H89"/>
  <c r="P89"/>
  <c r="J90"/>
  <c r="R90"/>
  <c r="X90"/>
  <c r="L93"/>
  <c r="T93"/>
  <c r="Z93"/>
  <c r="J95"/>
  <c r="R95"/>
  <c r="X95"/>
  <c r="J97"/>
  <c r="R97"/>
  <c r="X97"/>
  <c r="H99"/>
  <c r="P99"/>
  <c r="L100"/>
  <c r="T100"/>
  <c r="Z100"/>
  <c r="H101"/>
  <c r="P101"/>
  <c r="P103"/>
  <c r="L105"/>
  <c r="T105"/>
  <c r="N108"/>
  <c r="V108"/>
  <c r="F112"/>
  <c r="N112"/>
  <c r="V112"/>
  <c r="Z127"/>
  <c r="P150"/>
  <c r="N151"/>
  <c r="V151"/>
  <c r="H152"/>
  <c r="P152"/>
  <c r="J153"/>
  <c r="R153"/>
  <c r="X153"/>
  <c r="Z164"/>
  <c r="Z166"/>
  <c r="N169"/>
  <c r="V169"/>
  <c r="J170"/>
  <c r="R170"/>
  <c r="X170"/>
  <c r="J175"/>
  <c r="R175"/>
  <c r="X175"/>
  <c r="H180"/>
  <c r="P180"/>
  <c r="J181"/>
  <c r="R181"/>
  <c r="N185"/>
  <c r="V185"/>
  <c r="H186"/>
  <c r="P186"/>
  <c r="L187"/>
  <c r="T187"/>
  <c r="Z187"/>
  <c r="L196"/>
  <c r="T196"/>
  <c r="Z196"/>
  <c r="P201"/>
  <c r="X201"/>
  <c r="L209"/>
  <c r="X209"/>
  <c r="L213"/>
  <c r="X213"/>
  <c r="H215"/>
  <c r="L216"/>
  <c r="L218"/>
  <c r="X218"/>
  <c r="H220"/>
  <c r="P221"/>
  <c r="R222"/>
  <c r="Z222"/>
  <c r="L223"/>
  <c r="X223"/>
  <c r="R226"/>
  <c r="AC276"/>
  <c r="AC277"/>
  <c r="AC285"/>
  <c r="AC286"/>
  <c r="AC290"/>
  <c r="AC298"/>
  <c r="AC300"/>
  <c r="AC301"/>
  <c r="AC307"/>
  <c r="X282"/>
  <c r="X289"/>
  <c r="X291"/>
  <c r="X292"/>
  <c r="X305"/>
  <c r="X306"/>
  <c r="X311"/>
  <c r="X314"/>
  <c r="P326"/>
  <c r="W326"/>
  <c r="L30"/>
  <c r="H57"/>
  <c r="J62"/>
  <c r="H66"/>
  <c r="J67"/>
  <c r="J84"/>
  <c r="W84"/>
  <c r="J85"/>
  <c r="L86"/>
  <c r="R86"/>
  <c r="W86"/>
  <c r="J87"/>
  <c r="L88"/>
  <c r="T88"/>
  <c r="N89"/>
  <c r="V89"/>
  <c r="H90"/>
  <c r="J93"/>
  <c r="H95"/>
  <c r="H97"/>
  <c r="J98"/>
  <c r="F99"/>
  <c r="N99"/>
  <c r="V99"/>
  <c r="J100"/>
  <c r="F101"/>
  <c r="N101"/>
  <c r="V101"/>
  <c r="Z102"/>
  <c r="H103"/>
  <c r="N103"/>
  <c r="V103"/>
  <c r="J105"/>
  <c r="L108"/>
  <c r="T108"/>
  <c r="L112"/>
  <c r="T112"/>
  <c r="L151"/>
  <c r="T151"/>
  <c r="N152"/>
  <c r="H153"/>
  <c r="P153"/>
  <c r="C154"/>
  <c r="C155"/>
  <c r="Z157"/>
  <c r="L169"/>
  <c r="T169"/>
  <c r="H170"/>
  <c r="P170"/>
  <c r="L174"/>
  <c r="Z174"/>
  <c r="H175"/>
  <c r="P175"/>
  <c r="J178"/>
  <c r="N180"/>
  <c r="V180"/>
  <c r="J182"/>
  <c r="J184"/>
  <c r="L185"/>
  <c r="T185"/>
  <c r="N186"/>
  <c r="V186"/>
  <c r="J187"/>
  <c r="J196"/>
  <c r="L201"/>
  <c r="Z201"/>
  <c r="J209"/>
  <c r="F215"/>
  <c r="F216"/>
  <c r="J221"/>
  <c r="X221"/>
  <c r="L222"/>
  <c r="X222"/>
  <c r="F223"/>
  <c r="L226"/>
  <c r="X226"/>
  <c r="AC289"/>
  <c r="AC294"/>
  <c r="AC305"/>
  <c r="AC306"/>
  <c r="V213"/>
  <c r="N213"/>
  <c r="F213"/>
  <c r="P213"/>
  <c r="H213"/>
  <c r="T215"/>
  <c r="L215"/>
  <c r="V215"/>
  <c r="N215"/>
  <c r="P216"/>
  <c r="H216"/>
  <c r="X216"/>
  <c r="R216"/>
  <c r="J216"/>
  <c r="V218"/>
  <c r="N218"/>
  <c r="F218"/>
  <c r="P218"/>
  <c r="H218"/>
  <c r="T220"/>
  <c r="L220"/>
  <c r="N220"/>
  <c r="P223"/>
  <c r="H223"/>
  <c r="R223"/>
  <c r="J223"/>
  <c r="X224"/>
  <c r="X272"/>
  <c r="X277"/>
  <c r="X279"/>
  <c r="X280"/>
  <c r="X286"/>
  <c r="X293"/>
  <c r="X295"/>
  <c r="X302"/>
  <c r="X309"/>
  <c r="X310"/>
  <c r="J86"/>
  <c r="J88"/>
  <c r="L89"/>
  <c r="T89"/>
  <c r="L99"/>
  <c r="L101"/>
  <c r="F103"/>
  <c r="L103"/>
  <c r="T103"/>
  <c r="J108"/>
  <c r="J112"/>
  <c r="J151"/>
  <c r="R151"/>
  <c r="L152"/>
  <c r="T152"/>
  <c r="F153"/>
  <c r="N153"/>
  <c r="V153"/>
  <c r="C156"/>
  <c r="J169"/>
  <c r="F170"/>
  <c r="N170"/>
  <c r="V170"/>
  <c r="F175"/>
  <c r="N175"/>
  <c r="V175"/>
  <c r="L180"/>
  <c r="T180"/>
  <c r="J185"/>
  <c r="L186"/>
  <c r="T186"/>
  <c r="T213"/>
  <c r="P215"/>
  <c r="T216"/>
  <c r="T218"/>
  <c r="P220"/>
  <c r="T223"/>
  <c r="V209"/>
  <c r="N209"/>
  <c r="P209"/>
  <c r="H209"/>
  <c r="V222"/>
  <c r="N222"/>
  <c r="F222"/>
  <c r="P222"/>
  <c r="H222"/>
  <c r="X233"/>
  <c r="Z233"/>
  <c r="X274"/>
  <c r="X275"/>
  <c r="X281"/>
  <c r="X283"/>
  <c r="X284"/>
  <c r="X290"/>
  <c r="X298"/>
  <c r="X299"/>
  <c r="X307"/>
  <c r="X308"/>
  <c r="X312"/>
  <c r="P322"/>
  <c r="W322"/>
  <c r="J89"/>
  <c r="R89"/>
  <c r="J103"/>
  <c r="H151"/>
  <c r="J152"/>
  <c r="L153"/>
  <c r="L170"/>
  <c r="L175"/>
  <c r="J180"/>
  <c r="R180"/>
  <c r="J186"/>
  <c r="R186"/>
  <c r="R209"/>
  <c r="R218"/>
  <c r="Z218"/>
  <c r="J220"/>
  <c r="T222"/>
  <c r="X340"/>
  <c r="X343"/>
  <c r="X346"/>
  <c r="X355"/>
  <c r="X361"/>
  <c r="L210"/>
  <c r="T210"/>
  <c r="L212"/>
  <c r="T212"/>
  <c r="L214"/>
  <c r="T214"/>
  <c r="L219"/>
  <c r="T219"/>
  <c r="L224"/>
  <c r="T224"/>
  <c r="L233"/>
  <c r="T233"/>
  <c r="N239"/>
  <c r="V239"/>
  <c r="H240"/>
  <c r="P240"/>
  <c r="H242"/>
  <c r="P242"/>
  <c r="N244"/>
  <c r="V244"/>
  <c r="H245"/>
  <c r="P245"/>
  <c r="Z247"/>
  <c r="Z251"/>
  <c r="J254"/>
  <c r="L261"/>
  <c r="T261"/>
  <c r="R275"/>
  <c r="R280"/>
  <c r="R284"/>
  <c r="R288"/>
  <c r="R292"/>
  <c r="R297"/>
  <c r="R299"/>
  <c r="R304"/>
  <c r="R308"/>
  <c r="R310"/>
  <c r="W315"/>
  <c r="W317"/>
  <c r="AC320"/>
  <c r="W323"/>
  <c r="W324"/>
  <c r="X329"/>
  <c r="AC332"/>
  <c r="W333"/>
  <c r="X336"/>
  <c r="X351"/>
  <c r="J210"/>
  <c r="J212"/>
  <c r="J214"/>
  <c r="L217"/>
  <c r="J219"/>
  <c r="J224"/>
  <c r="L239"/>
  <c r="T239"/>
  <c r="N240"/>
  <c r="V240"/>
  <c r="F242"/>
  <c r="N242"/>
  <c r="V242"/>
  <c r="Z243"/>
  <c r="L244"/>
  <c r="T244"/>
  <c r="N245"/>
  <c r="V245"/>
  <c r="Z246"/>
  <c r="Z250"/>
  <c r="J261"/>
  <c r="Z270"/>
  <c r="Z271"/>
  <c r="N272"/>
  <c r="N276"/>
  <c r="N281"/>
  <c r="N285"/>
  <c r="N289"/>
  <c r="N293"/>
  <c r="N300"/>
  <c r="N301"/>
  <c r="N305"/>
  <c r="N306"/>
  <c r="AC318"/>
  <c r="P321"/>
  <c r="AC324"/>
  <c r="X330"/>
  <c r="AC333"/>
  <c r="AC356"/>
  <c r="X335"/>
  <c r="X338"/>
  <c r="X348"/>
  <c r="X357"/>
  <c r="X359"/>
  <c r="J239"/>
  <c r="L240"/>
  <c r="T240"/>
  <c r="L242"/>
  <c r="J244"/>
  <c r="R244"/>
  <c r="L245"/>
  <c r="T245"/>
  <c r="R273"/>
  <c r="X316"/>
  <c r="W320"/>
  <c r="X321"/>
  <c r="X325"/>
  <c r="X341"/>
  <c r="X344"/>
  <c r="X347"/>
  <c r="X353"/>
  <c r="X360"/>
  <c r="J240"/>
  <c r="R240"/>
  <c r="H244"/>
  <c r="J245"/>
  <c r="R245"/>
  <c r="AC311"/>
  <c r="W313"/>
  <c r="AC315"/>
  <c r="W318"/>
  <c r="W319"/>
  <c r="AC322"/>
  <c r="AC326"/>
  <c r="W332"/>
  <c r="J327"/>
  <c r="AC327" s="1"/>
  <c r="N329"/>
  <c r="N330"/>
  <c r="J338"/>
  <c r="AC338" s="1"/>
  <c r="N340"/>
  <c r="N341"/>
  <c r="J346"/>
  <c r="AC346" s="1"/>
  <c r="J347"/>
  <c r="AC347" s="1"/>
  <c r="J348"/>
  <c r="AC348" s="1"/>
  <c r="P354"/>
  <c r="J355"/>
  <c r="AC355" s="1"/>
  <c r="N357"/>
  <c r="T374"/>
  <c r="T395"/>
  <c r="T399"/>
  <c r="T415"/>
  <c r="T419"/>
  <c r="T423"/>
  <c r="T427"/>
  <c r="T431"/>
  <c r="T435"/>
  <c r="T439"/>
  <c r="T455"/>
  <c r="T459"/>
  <c r="X477"/>
  <c r="X479"/>
  <c r="X481"/>
  <c r="X483"/>
  <c r="X485"/>
  <c r="V368"/>
  <c r="Y370"/>
  <c r="Z370" s="1"/>
  <c r="Y372"/>
  <c r="Z372" s="1"/>
  <c r="Y375"/>
  <c r="Y379"/>
  <c r="Y384"/>
  <c r="Y388"/>
  <c r="Y392"/>
  <c r="Y396"/>
  <c r="Z396" s="1"/>
  <c r="V397"/>
  <c r="Y400"/>
  <c r="Z400" s="1"/>
  <c r="V401"/>
  <c r="Y404"/>
  <c r="Z404" s="1"/>
  <c r="V405"/>
  <c r="Y408"/>
  <c r="Y412"/>
  <c r="Y416"/>
  <c r="Z416" s="1"/>
  <c r="V417"/>
  <c r="Y420"/>
  <c r="Z420" s="1"/>
  <c r="V421"/>
  <c r="Y424"/>
  <c r="Z424" s="1"/>
  <c r="V425"/>
  <c r="Y428"/>
  <c r="Z428" s="1"/>
  <c r="V429"/>
  <c r="Y432"/>
  <c r="V433"/>
  <c r="Y436"/>
  <c r="Z436" s="1"/>
  <c r="Y440"/>
  <c r="Z440" s="1"/>
  <c r="Y444"/>
  <c r="Y448"/>
  <c r="Y452"/>
  <c r="Z452" s="1"/>
  <c r="V453"/>
  <c r="Y456"/>
  <c r="Z456" s="1"/>
  <c r="V457"/>
  <c r="Y460"/>
  <c r="Z460" s="1"/>
  <c r="V461"/>
  <c r="V462"/>
  <c r="V463"/>
  <c r="Y476"/>
  <c r="Z476" s="1"/>
  <c r="Y478"/>
  <c r="Z478" s="1"/>
  <c r="Y480"/>
  <c r="Z480" s="1"/>
  <c r="Y482"/>
  <c r="Z482" s="1"/>
  <c r="Y484"/>
  <c r="Z484" s="1"/>
  <c r="Y486"/>
  <c r="Z486" s="1"/>
  <c r="N335"/>
  <c r="N336"/>
  <c r="N343"/>
  <c r="N344"/>
  <c r="J351"/>
  <c r="AC351" s="1"/>
  <c r="N353"/>
  <c r="H354"/>
  <c r="AC354" s="1"/>
  <c r="M354"/>
  <c r="J359"/>
  <c r="AC359" s="1"/>
  <c r="N361"/>
  <c r="T368"/>
  <c r="T397"/>
  <c r="T401"/>
  <c r="T405"/>
  <c r="T417"/>
  <c r="T421"/>
  <c r="T425"/>
  <c r="T429"/>
  <c r="T433"/>
  <c r="T453"/>
  <c r="T457"/>
  <c r="T461"/>
  <c r="T462"/>
  <c r="T463"/>
  <c r="Y268" i="55"/>
  <c r="Y269" i="79" s="1"/>
  <c r="Z269" s="1"/>
  <c r="H612" i="70"/>
  <c r="G613" s="1"/>
  <c r="Z249" i="55"/>
  <c r="X249"/>
  <c r="X257"/>
  <c r="X261"/>
  <c r="X265"/>
  <c r="Z269"/>
  <c r="X269"/>
  <c r="X49"/>
  <c r="X57"/>
  <c r="X64"/>
  <c r="X72"/>
  <c r="X148"/>
  <c r="X163"/>
  <c r="X230"/>
  <c r="X248"/>
  <c r="X256"/>
  <c r="X264"/>
  <c r="X268"/>
  <c r="X36"/>
  <c r="X63"/>
  <c r="X95"/>
  <c r="X120"/>
  <c r="X156"/>
  <c r="X187"/>
  <c r="X203"/>
  <c r="X233"/>
  <c r="X245"/>
  <c r="Z247"/>
  <c r="X247"/>
  <c r="X255"/>
  <c r="Z259"/>
  <c r="X259"/>
  <c r="X263"/>
  <c r="X267"/>
  <c r="X8"/>
  <c r="X24"/>
  <c r="X43"/>
  <c r="X55"/>
  <c r="X74"/>
  <c r="X78"/>
  <c r="X119"/>
  <c r="X161"/>
  <c r="X165"/>
  <c r="X166"/>
  <c r="X182"/>
  <c r="X210"/>
  <c r="Z242"/>
  <c r="X242"/>
  <c r="Z246"/>
  <c r="X246"/>
  <c r="Z250"/>
  <c r="X250"/>
  <c r="X254"/>
  <c r="X258"/>
  <c r="X262"/>
  <c r="X266"/>
  <c r="Z270"/>
  <c r="X270"/>
  <c r="X11"/>
  <c r="X30"/>
  <c r="X101"/>
  <c r="X105"/>
  <c r="X126"/>
  <c r="X133"/>
  <c r="X160"/>
  <c r="X231"/>
  <c r="Z268" l="1"/>
  <c r="E56"/>
  <c r="E57" i="79"/>
  <c r="F57" s="1"/>
  <c r="W354"/>
  <c r="N354"/>
  <c r="X332"/>
  <c r="X319"/>
  <c r="X317"/>
  <c r="X322"/>
  <c r="X313"/>
  <c r="T154"/>
  <c r="V154"/>
  <c r="X154"/>
  <c r="F154"/>
  <c r="X320"/>
  <c r="X333"/>
  <c r="X323"/>
  <c r="V155"/>
  <c r="N155"/>
  <c r="H155"/>
  <c r="P155"/>
  <c r="R155"/>
  <c r="T155"/>
  <c r="L155"/>
  <c r="F155"/>
  <c r="X86"/>
  <c r="X84"/>
  <c r="X155"/>
  <c r="X318"/>
  <c r="X324"/>
  <c r="X315"/>
  <c r="X156"/>
  <c r="R156"/>
  <c r="J156"/>
  <c r="T156"/>
  <c r="L156"/>
  <c r="V156"/>
  <c r="N156"/>
  <c r="F156"/>
  <c r="P156"/>
  <c r="H156"/>
  <c r="X326"/>
  <c r="J155"/>
  <c r="Z156"/>
  <c r="Z154"/>
  <c r="Y56" i="55"/>
  <c r="Y57" i="79" s="1"/>
  <c r="Z57" s="1"/>
  <c r="H71" i="70"/>
  <c r="X354" i="79" l="1"/>
  <c r="T360" i="55"/>
  <c r="T358"/>
  <c r="T356"/>
  <c r="T354"/>
  <c r="T352"/>
  <c r="T350"/>
  <c r="T347"/>
  <c r="T346"/>
  <c r="T345"/>
  <c r="T343"/>
  <c r="T342"/>
  <c r="T340"/>
  <c r="T339"/>
  <c r="T337"/>
  <c r="T335"/>
  <c r="T334"/>
  <c r="T332"/>
  <c r="T331"/>
  <c r="T329"/>
  <c r="T328"/>
  <c r="T326"/>
  <c r="T325"/>
  <c r="T324"/>
  <c r="T323"/>
  <c r="T322"/>
  <c r="T321"/>
  <c r="T320"/>
  <c r="T319"/>
  <c r="T318"/>
  <c r="T317"/>
  <c r="T316"/>
  <c r="T315"/>
  <c r="T314"/>
  <c r="T313"/>
  <c r="T312"/>
  <c r="T311"/>
  <c r="T310"/>
  <c r="T309"/>
  <c r="T308"/>
  <c r="T307"/>
  <c r="T306"/>
  <c r="T305"/>
  <c r="T304"/>
  <c r="T303"/>
  <c r="T302"/>
  <c r="T301"/>
  <c r="T300"/>
  <c r="T299"/>
  <c r="T298"/>
  <c r="T297"/>
  <c r="T296"/>
  <c r="T295"/>
  <c r="T294"/>
  <c r="T293"/>
  <c r="T292"/>
  <c r="T291"/>
  <c r="T290"/>
  <c r="T289"/>
  <c r="T288"/>
  <c r="T287"/>
  <c r="T286"/>
  <c r="T285"/>
  <c r="T284"/>
  <c r="T283"/>
  <c r="T282"/>
  <c r="T281"/>
  <c r="T280"/>
  <c r="T279"/>
  <c r="T278"/>
  <c r="T277"/>
  <c r="T276"/>
  <c r="T275"/>
  <c r="T274"/>
  <c r="T273"/>
  <c r="T272"/>
  <c r="T271"/>
  <c r="T270"/>
  <c r="T269"/>
  <c r="T268"/>
  <c r="T267"/>
  <c r="T266"/>
  <c r="T265"/>
  <c r="T264"/>
  <c r="T263"/>
  <c r="T262"/>
  <c r="T261"/>
  <c r="T259"/>
  <c r="T258"/>
  <c r="T257"/>
  <c r="T256"/>
  <c r="T255"/>
  <c r="T254"/>
  <c r="T250"/>
  <c r="T249"/>
  <c r="T248"/>
  <c r="T247"/>
  <c r="T246"/>
  <c r="T245"/>
  <c r="T242"/>
  <c r="T233"/>
  <c r="T231"/>
  <c r="T230"/>
  <c r="T210"/>
  <c r="T207"/>
  <c r="T203"/>
  <c r="T187"/>
  <c r="T182"/>
  <c r="T166"/>
  <c r="T165"/>
  <c r="T163"/>
  <c r="T161"/>
  <c r="T160"/>
  <c r="T156"/>
  <c r="T148"/>
  <c r="T133"/>
  <c r="T126"/>
  <c r="T120"/>
  <c r="T119"/>
  <c r="T116"/>
  <c r="T105"/>
  <c r="T101"/>
  <c r="T95"/>
  <c r="T78"/>
  <c r="T74"/>
  <c r="T72"/>
  <c r="T64"/>
  <c r="T63"/>
  <c r="T57"/>
  <c r="T55"/>
  <c r="T49"/>
  <c r="T43"/>
  <c r="T36"/>
  <c r="T30"/>
  <c r="T24"/>
  <c r="T11"/>
  <c r="T8"/>
  <c r="R361"/>
  <c r="R360"/>
  <c r="R359"/>
  <c r="R358"/>
  <c r="R357"/>
  <c r="R356"/>
  <c r="R355"/>
  <c r="R354"/>
  <c r="R352"/>
  <c r="R351"/>
  <c r="R350"/>
  <c r="R349"/>
  <c r="R348"/>
  <c r="R347"/>
  <c r="R346"/>
  <c r="R345"/>
  <c r="R344"/>
  <c r="R343"/>
  <c r="R342"/>
  <c r="R340"/>
  <c r="R339"/>
  <c r="R338"/>
  <c r="R337"/>
  <c r="R336"/>
  <c r="R335"/>
  <c r="R334"/>
  <c r="R333"/>
  <c r="R332"/>
  <c r="R331"/>
  <c r="R330"/>
  <c r="R329"/>
  <c r="R328"/>
  <c r="R327"/>
  <c r="R326"/>
  <c r="R323"/>
  <c r="R321"/>
  <c r="R320"/>
  <c r="R318"/>
  <c r="R305"/>
  <c r="R304"/>
  <c r="R302"/>
  <c r="R300"/>
  <c r="R299"/>
  <c r="R295"/>
  <c r="R294"/>
  <c r="R292"/>
  <c r="R290"/>
  <c r="R288"/>
  <c r="R286"/>
  <c r="R284"/>
  <c r="R282"/>
  <c r="R280"/>
  <c r="R278"/>
  <c r="R277"/>
  <c r="R275"/>
  <c r="R273"/>
  <c r="R271"/>
  <c r="R270"/>
  <c r="R269"/>
  <c r="R268"/>
  <c r="R267"/>
  <c r="R266"/>
  <c r="R265"/>
  <c r="R264"/>
  <c r="R263"/>
  <c r="R262"/>
  <c r="R261"/>
  <c r="R259"/>
  <c r="R258"/>
  <c r="R257"/>
  <c r="R256"/>
  <c r="R255"/>
  <c r="R254"/>
  <c r="R250"/>
  <c r="R249"/>
  <c r="R248"/>
  <c r="R247"/>
  <c r="R246"/>
  <c r="R245"/>
  <c r="R242"/>
  <c r="R233"/>
  <c r="R231"/>
  <c r="R230"/>
  <c r="R210"/>
  <c r="R207"/>
  <c r="R203"/>
  <c r="R187"/>
  <c r="R182"/>
  <c r="R166"/>
  <c r="R165"/>
  <c r="R163"/>
  <c r="R161"/>
  <c r="R160"/>
  <c r="R156"/>
  <c r="R148"/>
  <c r="R133"/>
  <c r="R126"/>
  <c r="R120"/>
  <c r="R119"/>
  <c r="R116"/>
  <c r="R105"/>
  <c r="R101"/>
  <c r="R95"/>
  <c r="R78"/>
  <c r="R74"/>
  <c r="R72"/>
  <c r="R64"/>
  <c r="R63"/>
  <c r="R57"/>
  <c r="R55"/>
  <c r="R49"/>
  <c r="R43"/>
  <c r="R36"/>
  <c r="R30"/>
  <c r="R24"/>
  <c r="R11"/>
  <c r="R8"/>
  <c r="P361"/>
  <c r="P360"/>
  <c r="P359"/>
  <c r="P358"/>
  <c r="P357"/>
  <c r="P356"/>
  <c r="P355"/>
  <c r="P354"/>
  <c r="P352"/>
  <c r="P351"/>
  <c r="P350"/>
  <c r="P349"/>
  <c r="P348"/>
  <c r="P347"/>
  <c r="P346"/>
  <c r="P345"/>
  <c r="P344"/>
  <c r="P343"/>
  <c r="P342"/>
  <c r="P340"/>
  <c r="P339"/>
  <c r="P338"/>
  <c r="P337"/>
  <c r="P336"/>
  <c r="P335"/>
  <c r="P334"/>
  <c r="P333"/>
  <c r="P332"/>
  <c r="P331"/>
  <c r="P330"/>
  <c r="P329"/>
  <c r="P328"/>
  <c r="P327"/>
  <c r="P326"/>
  <c r="P316"/>
  <c r="P314"/>
  <c r="P313"/>
  <c r="P312"/>
  <c r="P311"/>
  <c r="P310"/>
  <c r="P309"/>
  <c r="P308"/>
  <c r="P307"/>
  <c r="P306"/>
  <c r="P305"/>
  <c r="P304"/>
  <c r="P303"/>
  <c r="P302"/>
  <c r="P301"/>
  <c r="P300"/>
  <c r="P299"/>
  <c r="P298"/>
  <c r="P297"/>
  <c r="P296"/>
  <c r="P295"/>
  <c r="P294"/>
  <c r="P293"/>
  <c r="P292"/>
  <c r="P291"/>
  <c r="P290"/>
  <c r="P289"/>
  <c r="P288"/>
  <c r="P287"/>
  <c r="P286"/>
  <c r="P285"/>
  <c r="P284"/>
  <c r="P283"/>
  <c r="P282"/>
  <c r="P281"/>
  <c r="P280"/>
  <c r="P279"/>
  <c r="P278"/>
  <c r="P277"/>
  <c r="P276"/>
  <c r="P275"/>
  <c r="P274"/>
  <c r="P273"/>
  <c r="P272"/>
  <c r="P271"/>
  <c r="P270"/>
  <c r="P269"/>
  <c r="P268"/>
  <c r="P267"/>
  <c r="P266"/>
  <c r="P265"/>
  <c r="P264"/>
  <c r="P263"/>
  <c r="P262"/>
  <c r="P261"/>
  <c r="P259"/>
  <c r="P258"/>
  <c r="P257"/>
  <c r="P256"/>
  <c r="P255"/>
  <c r="P254"/>
  <c r="P250"/>
  <c r="P249"/>
  <c r="P248"/>
  <c r="P247"/>
  <c r="P246"/>
  <c r="P245"/>
  <c r="P242"/>
  <c r="P233"/>
  <c r="P231"/>
  <c r="P230"/>
  <c r="P210"/>
  <c r="P207"/>
  <c r="P203"/>
  <c r="P187"/>
  <c r="P182"/>
  <c r="P166"/>
  <c r="P165"/>
  <c r="P163"/>
  <c r="P161"/>
  <c r="P160"/>
  <c r="P156"/>
  <c r="P148"/>
  <c r="P133"/>
  <c r="P126"/>
  <c r="P120"/>
  <c r="P119"/>
  <c r="P116"/>
  <c r="P105"/>
  <c r="P101"/>
  <c r="P95"/>
  <c r="P78"/>
  <c r="P74"/>
  <c r="P72"/>
  <c r="P64"/>
  <c r="P63"/>
  <c r="P57"/>
  <c r="P55"/>
  <c r="P49"/>
  <c r="P43"/>
  <c r="P36"/>
  <c r="P30"/>
  <c r="P24"/>
  <c r="P11"/>
  <c r="P8"/>
  <c r="N270"/>
  <c r="N269"/>
  <c r="N268"/>
  <c r="N267"/>
  <c r="N266"/>
  <c r="N265"/>
  <c r="N264"/>
  <c r="N263"/>
  <c r="N262"/>
  <c r="N261"/>
  <c r="N259"/>
  <c r="N258"/>
  <c r="N257"/>
  <c r="N256"/>
  <c r="N255"/>
  <c r="N254"/>
  <c r="N250"/>
  <c r="N249"/>
  <c r="N248"/>
  <c r="N247"/>
  <c r="N246"/>
  <c r="N245"/>
  <c r="N242"/>
  <c r="N233"/>
  <c r="N231"/>
  <c r="N230"/>
  <c r="N210"/>
  <c r="N207"/>
  <c r="N203"/>
  <c r="N187"/>
  <c r="N182"/>
  <c r="N166"/>
  <c r="N165"/>
  <c r="N163"/>
  <c r="N161"/>
  <c r="N160"/>
  <c r="N156"/>
  <c r="N148"/>
  <c r="N133"/>
  <c r="N126"/>
  <c r="N120"/>
  <c r="N119"/>
  <c r="N116"/>
  <c r="N105"/>
  <c r="N101"/>
  <c r="N95"/>
  <c r="N78"/>
  <c r="N74"/>
  <c r="N72"/>
  <c r="N64"/>
  <c r="N63"/>
  <c r="N57"/>
  <c r="N55"/>
  <c r="N49"/>
  <c r="N43"/>
  <c r="N36"/>
  <c r="N30"/>
  <c r="N24"/>
  <c r="N11"/>
  <c r="N8"/>
  <c r="L361"/>
  <c r="L360"/>
  <c r="L359"/>
  <c r="L358"/>
  <c r="L357"/>
  <c r="L356"/>
  <c r="L355"/>
  <c r="L354"/>
  <c r="L352"/>
  <c r="L351"/>
  <c r="L350"/>
  <c r="L349"/>
  <c r="L348"/>
  <c r="L347"/>
  <c r="L346"/>
  <c r="L345"/>
  <c r="L344"/>
  <c r="L343"/>
  <c r="L342"/>
  <c r="L340"/>
  <c r="L339"/>
  <c r="L338"/>
  <c r="L337"/>
  <c r="L336"/>
  <c r="L335"/>
  <c r="L334"/>
  <c r="L333"/>
  <c r="L332"/>
  <c r="L331"/>
  <c r="L330"/>
  <c r="L329"/>
  <c r="L328"/>
  <c r="L327"/>
  <c r="L326"/>
  <c r="L325"/>
  <c r="L324"/>
  <c r="L323"/>
  <c r="L322"/>
  <c r="L321"/>
  <c r="L320"/>
  <c r="L319"/>
  <c r="L318"/>
  <c r="L317"/>
  <c r="L316"/>
  <c r="L315"/>
  <c r="L314"/>
  <c r="L313"/>
  <c r="L312"/>
  <c r="L311"/>
  <c r="L310"/>
  <c r="L309"/>
  <c r="L308"/>
  <c r="L307"/>
  <c r="L306"/>
  <c r="L305"/>
  <c r="L304"/>
  <c r="L303"/>
  <c r="L302"/>
  <c r="L301"/>
  <c r="L300"/>
  <c r="L299"/>
  <c r="L298"/>
  <c r="L297"/>
  <c r="L296"/>
  <c r="L295"/>
  <c r="L294"/>
  <c r="L293"/>
  <c r="L292"/>
  <c r="L291"/>
  <c r="L290"/>
  <c r="L289"/>
  <c r="L288"/>
  <c r="L287"/>
  <c r="L286"/>
  <c r="L285"/>
  <c r="L284"/>
  <c r="L283"/>
  <c r="L282"/>
  <c r="L281"/>
  <c r="L280"/>
  <c r="L279"/>
  <c r="L278"/>
  <c r="L277"/>
  <c r="L276"/>
  <c r="L275"/>
  <c r="L274"/>
  <c r="L273"/>
  <c r="L272"/>
  <c r="L271"/>
  <c r="L270"/>
  <c r="L269"/>
  <c r="L268"/>
  <c r="L267"/>
  <c r="L266"/>
  <c r="L265"/>
  <c r="L264"/>
  <c r="L263"/>
  <c r="L262"/>
  <c r="L261"/>
  <c r="L259"/>
  <c r="L258"/>
  <c r="L257"/>
  <c r="L256"/>
  <c r="L255"/>
  <c r="L254"/>
  <c r="L250"/>
  <c r="L249"/>
  <c r="L248"/>
  <c r="L247"/>
  <c r="L246"/>
  <c r="L245"/>
  <c r="L242"/>
  <c r="L233"/>
  <c r="L231"/>
  <c r="L230"/>
  <c r="L210"/>
  <c r="L207"/>
  <c r="L203"/>
  <c r="L187"/>
  <c r="L182"/>
  <c r="L166"/>
  <c r="L165"/>
  <c r="L163"/>
  <c r="L161"/>
  <c r="L160"/>
  <c r="L156"/>
  <c r="L148"/>
  <c r="L133"/>
  <c r="L126"/>
  <c r="L120"/>
  <c r="L119"/>
  <c r="L116"/>
  <c r="L105"/>
  <c r="L101"/>
  <c r="L95"/>
  <c r="L78"/>
  <c r="L74"/>
  <c r="L72"/>
  <c r="L64"/>
  <c r="L63"/>
  <c r="L57"/>
  <c r="L55"/>
  <c r="L49"/>
  <c r="L43"/>
  <c r="L36"/>
  <c r="L30"/>
  <c r="L24"/>
  <c r="L11"/>
  <c r="L8"/>
  <c r="J270"/>
  <c r="J269"/>
  <c r="J268"/>
  <c r="J267"/>
  <c r="J266"/>
  <c r="J265"/>
  <c r="J264"/>
  <c r="J263"/>
  <c r="J262"/>
  <c r="J261"/>
  <c r="J259"/>
  <c r="J258"/>
  <c r="J257"/>
  <c r="J256"/>
  <c r="J255"/>
  <c r="J254"/>
  <c r="J250"/>
  <c r="J249"/>
  <c r="J248"/>
  <c r="J247"/>
  <c r="J246"/>
  <c r="J245"/>
  <c r="J242"/>
  <c r="J233"/>
  <c r="J231"/>
  <c r="J230"/>
  <c r="J210"/>
  <c r="J207"/>
  <c r="J203"/>
  <c r="J187"/>
  <c r="J182"/>
  <c r="J166"/>
  <c r="J165"/>
  <c r="J163"/>
  <c r="J161"/>
  <c r="J160"/>
  <c r="J156"/>
  <c r="J148"/>
  <c r="J133"/>
  <c r="J126"/>
  <c r="J120"/>
  <c r="J119"/>
  <c r="J116"/>
  <c r="J105"/>
  <c r="J101"/>
  <c r="J95"/>
  <c r="J78"/>
  <c r="J74"/>
  <c r="J72"/>
  <c r="J64"/>
  <c r="J63"/>
  <c r="J57"/>
  <c r="J55"/>
  <c r="J49"/>
  <c r="J43"/>
  <c r="J36"/>
  <c r="J30"/>
  <c r="J24"/>
  <c r="J11"/>
  <c r="J8"/>
  <c r="H361"/>
  <c r="H360"/>
  <c r="H359"/>
  <c r="H358"/>
  <c r="H357"/>
  <c r="H356"/>
  <c r="H355"/>
  <c r="H354"/>
  <c r="H352"/>
  <c r="H351"/>
  <c r="H350"/>
  <c r="H349"/>
  <c r="H348"/>
  <c r="H347"/>
  <c r="H346"/>
  <c r="H345"/>
  <c r="H344"/>
  <c r="H343"/>
  <c r="H342"/>
  <c r="H340"/>
  <c r="H339"/>
  <c r="H338"/>
  <c r="H337"/>
  <c r="H336"/>
  <c r="H335"/>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59"/>
  <c r="H258"/>
  <c r="H257"/>
  <c r="H256"/>
  <c r="H255"/>
  <c r="H254"/>
  <c r="H250"/>
  <c r="H249"/>
  <c r="H248"/>
  <c r="H247"/>
  <c r="H246"/>
  <c r="H245"/>
  <c r="H242"/>
  <c r="H233"/>
  <c r="H231"/>
  <c r="H230"/>
  <c r="H210"/>
  <c r="H207"/>
  <c r="H203"/>
  <c r="H187"/>
  <c r="H182"/>
  <c r="H166"/>
  <c r="H165"/>
  <c r="H163"/>
  <c r="H161"/>
  <c r="H160"/>
  <c r="H156"/>
  <c r="H148"/>
  <c r="H133"/>
  <c r="H126"/>
  <c r="H120"/>
  <c r="H119"/>
  <c r="H116"/>
  <c r="H105"/>
  <c r="H101"/>
  <c r="H95"/>
  <c r="H78"/>
  <c r="H74"/>
  <c r="H72"/>
  <c r="H64"/>
  <c r="H63"/>
  <c r="H57"/>
  <c r="H55"/>
  <c r="H49"/>
  <c r="H43"/>
  <c r="H36"/>
  <c r="H30"/>
  <c r="H24"/>
  <c r="H11"/>
  <c r="H8"/>
  <c r="U176"/>
  <c r="U85"/>
  <c r="U83"/>
  <c r="W83" s="1"/>
  <c r="U80"/>
  <c r="W80" s="1"/>
  <c r="U79"/>
  <c r="W79" s="1"/>
  <c r="U38"/>
  <c r="W38" s="1"/>
  <c r="U31"/>
  <c r="W31" s="1"/>
  <c r="U135"/>
  <c r="W135" s="1"/>
  <c r="H9" i="74"/>
  <c r="S359" i="55"/>
  <c r="H54" i="77"/>
  <c r="H48"/>
  <c r="S358" i="79" s="1"/>
  <c r="H45" i="77"/>
  <c r="S356" i="79" s="1"/>
  <c r="H42" i="77"/>
  <c r="H39"/>
  <c r="S352" i="79" s="1"/>
  <c r="H36" i="77"/>
  <c r="S350" i="79" s="1"/>
  <c r="H34" i="77"/>
  <c r="S349" i="79" s="1"/>
  <c r="H30" i="77"/>
  <c r="H29"/>
  <c r="H25"/>
  <c r="H26" s="1"/>
  <c r="H27" s="1"/>
  <c r="H22"/>
  <c r="H18"/>
  <c r="H19" s="1"/>
  <c r="S337" i="79" s="1"/>
  <c r="H15" i="77"/>
  <c r="H16" s="1"/>
  <c r="S334" i="79" s="1"/>
  <c r="H12" i="77"/>
  <c r="H11"/>
  <c r="H7"/>
  <c r="C353" i="55"/>
  <c r="F353" s="1"/>
  <c r="S349" l="1"/>
  <c r="S342" i="79"/>
  <c r="S341" i="55"/>
  <c r="T352" i="79"/>
  <c r="W352"/>
  <c r="X352" s="1"/>
  <c r="T350"/>
  <c r="W350"/>
  <c r="X350" s="1"/>
  <c r="T358"/>
  <c r="W358"/>
  <c r="X358" s="1"/>
  <c r="H13" i="77"/>
  <c r="H23"/>
  <c r="H31"/>
  <c r="S336" i="55"/>
  <c r="S348"/>
  <c r="S357"/>
  <c r="T357" s="1"/>
  <c r="T334" i="79"/>
  <c r="W334"/>
  <c r="X334" s="1"/>
  <c r="S327" i="55"/>
  <c r="S328" i="79"/>
  <c r="T337"/>
  <c r="W337"/>
  <c r="X337" s="1"/>
  <c r="T349"/>
  <c r="W349"/>
  <c r="X349" s="1"/>
  <c r="T356"/>
  <c r="W356"/>
  <c r="X356" s="1"/>
  <c r="H55" i="77"/>
  <c r="S333" i="55"/>
  <c r="T333" s="1"/>
  <c r="S355"/>
  <c r="T355" s="1"/>
  <c r="S351"/>
  <c r="T351" s="1"/>
  <c r="T349"/>
  <c r="T359"/>
  <c r="T336"/>
  <c r="T348"/>
  <c r="T327"/>
  <c r="R353"/>
  <c r="T353"/>
  <c r="P353"/>
  <c r="L353"/>
  <c r="H353"/>
  <c r="S362" i="79" l="1"/>
  <c r="S361" i="55"/>
  <c r="T361" s="1"/>
  <c r="S330"/>
  <c r="T330" s="1"/>
  <c r="S331" i="79"/>
  <c r="T342"/>
  <c r="W342"/>
  <c r="X342" s="1"/>
  <c r="W328"/>
  <c r="X328" s="1"/>
  <c r="T328"/>
  <c r="S339"/>
  <c r="S338" i="55"/>
  <c r="T338" s="1"/>
  <c r="S345" i="79"/>
  <c r="S344" i="55"/>
  <c r="T344" s="1"/>
  <c r="Q325"/>
  <c r="Q324"/>
  <c r="Q322"/>
  <c r="Q319"/>
  <c r="Q317"/>
  <c r="Q316"/>
  <c r="Q315"/>
  <c r="Q314"/>
  <c r="Q313"/>
  <c r="Q312"/>
  <c r="Q311"/>
  <c r="Q310"/>
  <c r="Q309"/>
  <c r="Q308"/>
  <c r="Q307"/>
  <c r="Q306"/>
  <c r="Q303"/>
  <c r="Q301"/>
  <c r="Q276"/>
  <c r="O76"/>
  <c r="O75"/>
  <c r="O69"/>
  <c r="O37"/>
  <c r="O28"/>
  <c r="O21"/>
  <c r="O12"/>
  <c r="W12" s="1"/>
  <c r="Y12" s="1"/>
  <c r="Y13" i="79" s="1"/>
  <c r="Z13" s="1"/>
  <c r="F17" i="61"/>
  <c r="F16"/>
  <c r="F15"/>
  <c r="F14"/>
  <c r="F12"/>
  <c r="W339" i="79" l="1"/>
  <c r="X339" s="1"/>
  <c r="T339"/>
  <c r="T362"/>
  <c r="W362"/>
  <c r="X362" s="1"/>
  <c r="T345"/>
  <c r="W345"/>
  <c r="X345" s="1"/>
  <c r="T331"/>
  <c r="W331"/>
  <c r="X331" s="1"/>
  <c r="R303" i="55"/>
  <c r="R309"/>
  <c r="R313"/>
  <c r="R317"/>
  <c r="R325"/>
  <c r="R301"/>
  <c r="R308"/>
  <c r="R312"/>
  <c r="R316"/>
  <c r="R324"/>
  <c r="R276"/>
  <c r="R307"/>
  <c r="R311"/>
  <c r="R315"/>
  <c r="R322"/>
  <c r="R306"/>
  <c r="R310"/>
  <c r="R314"/>
  <c r="R319"/>
  <c r="I154" l="1"/>
  <c r="W154" s="1"/>
  <c r="Y154" s="1"/>
  <c r="Y155" i="79" s="1"/>
  <c r="Z155" s="1"/>
  <c r="I102" i="55"/>
  <c r="W102" s="1"/>
  <c r="Y102" s="1"/>
  <c r="Y103" i="79" s="1"/>
  <c r="Z103" s="1"/>
  <c r="I180" i="55"/>
  <c r="W180" s="1"/>
  <c r="Y180" s="1"/>
  <c r="Y181" i="79" s="1"/>
  <c r="Z181" s="1"/>
  <c r="I176" i="55"/>
  <c r="I75"/>
  <c r="I142"/>
  <c r="W142" s="1"/>
  <c r="Y142" s="1"/>
  <c r="Y143" i="79" s="1"/>
  <c r="I37" i="55"/>
  <c r="I134"/>
  <c r="I21"/>
  <c r="I9"/>
  <c r="G20"/>
  <c r="W20" s="1"/>
  <c r="Y20" s="1"/>
  <c r="Y21" i="79" s="1"/>
  <c r="G19" i="55"/>
  <c r="W19" s="1"/>
  <c r="Y19" s="1"/>
  <c r="Y20" i="79" s="1"/>
  <c r="G14" i="55"/>
  <c r="G69"/>
  <c r="W69" s="1"/>
  <c r="G243"/>
  <c r="W243" s="1"/>
  <c r="G176"/>
  <c r="G75"/>
  <c r="G76"/>
  <c r="W76" s="1"/>
  <c r="G150"/>
  <c r="W150" s="1"/>
  <c r="G149"/>
  <c r="G134"/>
  <c r="G127"/>
  <c r="W127" s="1"/>
  <c r="G28"/>
  <c r="G22"/>
  <c r="W22" s="1"/>
  <c r="Y22" s="1"/>
  <c r="Y23" i="79" s="1"/>
  <c r="G21" i="55"/>
  <c r="G23"/>
  <c r="W23" s="1"/>
  <c r="Y23" s="1"/>
  <c r="Y24" i="79" s="1"/>
  <c r="G9" i="55"/>
  <c r="H1953" i="70"/>
  <c r="H1952"/>
  <c r="H1951"/>
  <c r="H1947"/>
  <c r="H1946"/>
  <c r="H1945"/>
  <c r="H1944"/>
  <c r="H1942"/>
  <c r="H1941"/>
  <c r="H1940"/>
  <c r="H1939"/>
  <c r="H1938"/>
  <c r="H1937"/>
  <c r="H1936"/>
  <c r="H1934"/>
  <c r="H1933"/>
  <c r="H1932"/>
  <c r="H1928"/>
  <c r="H1927"/>
  <c r="H1926"/>
  <c r="H1543"/>
  <c r="H1542"/>
  <c r="H1541"/>
  <c r="H1539"/>
  <c r="H1538"/>
  <c r="H1981"/>
  <c r="H1980"/>
  <c r="H1979"/>
  <c r="H1977"/>
  <c r="H1976"/>
  <c r="H1975"/>
  <c r="H1553"/>
  <c r="H1552"/>
  <c r="H1551"/>
  <c r="H1550"/>
  <c r="H1549"/>
  <c r="H1548"/>
  <c r="H1547"/>
  <c r="H975"/>
  <c r="H974"/>
  <c r="H973"/>
  <c r="H972"/>
  <c r="H971"/>
  <c r="H970"/>
  <c r="H969"/>
  <c r="H962"/>
  <c r="G963" s="1"/>
  <c r="H958"/>
  <c r="H957"/>
  <c r="H956"/>
  <c r="H955"/>
  <c r="H954"/>
  <c r="H953"/>
  <c r="H1055"/>
  <c r="H1054"/>
  <c r="H1053"/>
  <c r="H1052"/>
  <c r="H1051"/>
  <c r="H1050"/>
  <c r="H1049"/>
  <c r="H1048"/>
  <c r="H1047"/>
  <c r="H1046"/>
  <c r="H1045"/>
  <c r="H1044"/>
  <c r="H1043"/>
  <c r="H1042"/>
  <c r="H1040"/>
  <c r="H1039"/>
  <c r="H1038"/>
  <c r="H1037"/>
  <c r="H1036"/>
  <c r="H1035"/>
  <c r="H1034"/>
  <c r="H1033"/>
  <c r="H1032"/>
  <c r="H1031"/>
  <c r="H1030"/>
  <c r="H1029"/>
  <c r="H1028"/>
  <c r="H1027"/>
  <c r="H1026"/>
  <c r="H1025"/>
  <c r="H1024"/>
  <c r="H1023"/>
  <c r="H1021"/>
  <c r="H1020"/>
  <c r="H1018"/>
  <c r="H1017"/>
  <c r="H1016"/>
  <c r="H1015"/>
  <c r="H1014"/>
  <c r="H1013"/>
  <c r="H1012"/>
  <c r="H1011"/>
  <c r="H1010"/>
  <c r="H1064"/>
  <c r="H1063"/>
  <c r="H1062"/>
  <c r="H1061"/>
  <c r="H1060"/>
  <c r="H1384"/>
  <c r="H1383"/>
  <c r="H1379"/>
  <c r="H1378"/>
  <c r="H1374"/>
  <c r="H1373"/>
  <c r="H1367"/>
  <c r="H1366"/>
  <c r="H1365"/>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0"/>
  <c r="H1309"/>
  <c r="H1308"/>
  <c r="H1307"/>
  <c r="H1306"/>
  <c r="H1305"/>
  <c r="H1304"/>
  <c r="H1303"/>
  <c r="H1302"/>
  <c r="H1301"/>
  <c r="H1300"/>
  <c r="H1299"/>
  <c r="H1298"/>
  <c r="H1297"/>
  <c r="H1296"/>
  <c r="H1295"/>
  <c r="H1294"/>
  <c r="H1293"/>
  <c r="H1292"/>
  <c r="H1291"/>
  <c r="H1290"/>
  <c r="H1289"/>
  <c r="H1288"/>
  <c r="H1287"/>
  <c r="H733"/>
  <c r="H732"/>
  <c r="H731"/>
  <c r="H730"/>
  <c r="H729"/>
  <c r="H728"/>
  <c r="H727"/>
  <c r="H726"/>
  <c r="H725"/>
  <c r="H724"/>
  <c r="H723"/>
  <c r="H722"/>
  <c r="H721"/>
  <c r="H720"/>
  <c r="H719"/>
  <c r="H718"/>
  <c r="H717"/>
  <c r="H716"/>
  <c r="H715"/>
  <c r="H714"/>
  <c r="H713"/>
  <c r="H712"/>
  <c r="H711"/>
  <c r="H710"/>
  <c r="H709"/>
  <c r="H708"/>
  <c r="H707"/>
  <c r="H706"/>
  <c r="H705"/>
  <c r="H678"/>
  <c r="H676"/>
  <c r="H701"/>
  <c r="H700"/>
  <c r="H699"/>
  <c r="H698"/>
  <c r="H697"/>
  <c r="H696"/>
  <c r="H695"/>
  <c r="H694"/>
  <c r="H693"/>
  <c r="H692"/>
  <c r="H691"/>
  <c r="H690"/>
  <c r="H689"/>
  <c r="H688"/>
  <c r="H687"/>
  <c r="H686"/>
  <c r="H685"/>
  <c r="H684"/>
  <c r="H683"/>
  <c r="H682"/>
  <c r="H681"/>
  <c r="H680"/>
  <c r="H679"/>
  <c r="H677"/>
  <c r="H675"/>
  <c r="H41"/>
  <c r="H40"/>
  <c r="H39"/>
  <c r="H38"/>
  <c r="H37"/>
  <c r="H36"/>
  <c r="H35"/>
  <c r="H34"/>
  <c r="H33"/>
  <c r="H32"/>
  <c r="H31"/>
  <c r="H30"/>
  <c r="H29"/>
  <c r="H28"/>
  <c r="H27"/>
  <c r="H26"/>
  <c r="H25"/>
  <c r="H24"/>
  <c r="H23"/>
  <c r="H22"/>
  <c r="H21"/>
  <c r="H20"/>
  <c r="H19"/>
  <c r="H18"/>
  <c r="H17"/>
  <c r="H16"/>
  <c r="H15"/>
  <c r="H116"/>
  <c r="H115"/>
  <c r="H114"/>
  <c r="H113"/>
  <c r="H112"/>
  <c r="H109"/>
  <c r="H108"/>
  <c r="H107"/>
  <c r="H106"/>
  <c r="H105"/>
  <c r="H104"/>
  <c r="H103"/>
  <c r="H102"/>
  <c r="H101"/>
  <c r="H100"/>
  <c r="H99"/>
  <c r="H98"/>
  <c r="H97"/>
  <c r="H96"/>
  <c r="H95"/>
  <c r="H94"/>
  <c r="H93"/>
  <c r="H92"/>
  <c r="H91"/>
  <c r="H90"/>
  <c r="H89"/>
  <c r="H88"/>
  <c r="H87"/>
  <c r="H86"/>
  <c r="H85"/>
  <c r="H84"/>
  <c r="H110"/>
  <c r="H111"/>
  <c r="H269"/>
  <c r="H268"/>
  <c r="H267"/>
  <c r="H266"/>
  <c r="H265"/>
  <c r="H264"/>
  <c r="H263"/>
  <c r="H262"/>
  <c r="H261"/>
  <c r="H260"/>
  <c r="H259"/>
  <c r="H258"/>
  <c r="H257"/>
  <c r="H256"/>
  <c r="H255"/>
  <c r="H254"/>
  <c r="H253"/>
  <c r="H252"/>
  <c r="H251"/>
  <c r="H250"/>
  <c r="H249"/>
  <c r="H248"/>
  <c r="H247"/>
  <c r="H246"/>
  <c r="H245"/>
  <c r="H244"/>
  <c r="H243"/>
  <c r="H230"/>
  <c r="H229"/>
  <c r="H228"/>
  <c r="H227"/>
  <c r="H226"/>
  <c r="H225"/>
  <c r="H224"/>
  <c r="H223"/>
  <c r="H222"/>
  <c r="H221"/>
  <c r="H220"/>
  <c r="H219"/>
  <c r="H218"/>
  <c r="H217"/>
  <c r="H216"/>
  <c r="H215"/>
  <c r="H214"/>
  <c r="H213"/>
  <c r="H212"/>
  <c r="H211"/>
  <c r="H210"/>
  <c r="H209"/>
  <c r="H208"/>
  <c r="H207"/>
  <c r="H206"/>
  <c r="H205"/>
  <c r="H199"/>
  <c r="H198"/>
  <c r="H197"/>
  <c r="H196"/>
  <c r="H195"/>
  <c r="H194"/>
  <c r="H193"/>
  <c r="H192"/>
  <c r="H191"/>
  <c r="H190"/>
  <c r="H189"/>
  <c r="H188"/>
  <c r="H187"/>
  <c r="H186"/>
  <c r="H185"/>
  <c r="H184"/>
  <c r="H183"/>
  <c r="H182"/>
  <c r="H181"/>
  <c r="H180"/>
  <c r="H179"/>
  <c r="H178"/>
  <c r="H177"/>
  <c r="H176"/>
  <c r="H175"/>
  <c r="H174"/>
  <c r="H165"/>
  <c r="H164"/>
  <c r="H163"/>
  <c r="H162"/>
  <c r="H161"/>
  <c r="H160"/>
  <c r="H159"/>
  <c r="H158"/>
  <c r="H157"/>
  <c r="H156"/>
  <c r="H155"/>
  <c r="H154"/>
  <c r="H153"/>
  <c r="H152"/>
  <c r="H151"/>
  <c r="H150"/>
  <c r="H149"/>
  <c r="H148"/>
  <c r="H147"/>
  <c r="H146"/>
  <c r="H145"/>
  <c r="H144"/>
  <c r="H143"/>
  <c r="H142"/>
  <c r="H141"/>
  <c r="A2" i="71"/>
  <c r="A2" i="72" s="1"/>
  <c r="A2" i="74" s="1"/>
  <c r="A2" i="75" s="1"/>
  <c r="A2" i="76" s="1"/>
  <c r="A2" i="77" s="1"/>
  <c r="A2" i="78" s="1"/>
  <c r="G109"/>
  <c r="G108"/>
  <c r="G107"/>
  <c r="H106"/>
  <c r="H110" s="1"/>
  <c r="H112" s="1"/>
  <c r="I105"/>
  <c r="G104"/>
  <c r="I103"/>
  <c r="G102"/>
  <c r="I101"/>
  <c r="I100"/>
  <c r="G99"/>
  <c r="I98"/>
  <c r="I97"/>
  <c r="G96"/>
  <c r="H91"/>
  <c r="H90"/>
  <c r="H89"/>
  <c r="H88"/>
  <c r="H87"/>
  <c r="H86"/>
  <c r="H83"/>
  <c r="H82"/>
  <c r="H78"/>
  <c r="H79" s="1"/>
  <c r="H75"/>
  <c r="H76" s="1"/>
  <c r="H74"/>
  <c r="H64"/>
  <c r="H63"/>
  <c r="H62"/>
  <c r="H61"/>
  <c r="H57"/>
  <c r="H56"/>
  <c r="H55"/>
  <c r="H54"/>
  <c r="H53"/>
  <c r="H52"/>
  <c r="H51"/>
  <c r="H50"/>
  <c r="H49"/>
  <c r="H48"/>
  <c r="H45"/>
  <c r="H43"/>
  <c r="H42"/>
  <c r="H38"/>
  <c r="H37"/>
  <c r="H35"/>
  <c r="H34"/>
  <c r="H33"/>
  <c r="H29"/>
  <c r="H28"/>
  <c r="H27"/>
  <c r="H26"/>
  <c r="H22"/>
  <c r="H23" s="1"/>
  <c r="H24" s="1"/>
  <c r="H19"/>
  <c r="H18"/>
  <c r="H17"/>
  <c r="H16"/>
  <c r="H15"/>
  <c r="H12"/>
  <c r="H11"/>
  <c r="H8"/>
  <c r="H7"/>
  <c r="H6"/>
  <c r="H39" i="76"/>
  <c r="H40" s="1"/>
  <c r="G41" s="1"/>
  <c r="K143" i="55" s="1"/>
  <c r="W143" s="1"/>
  <c r="H35" i="76"/>
  <c r="H31"/>
  <c r="H32" s="1"/>
  <c r="G33" s="1"/>
  <c r="K75" i="55" s="1"/>
  <c r="H27" i="76"/>
  <c r="H28" s="1"/>
  <c r="G29" s="1"/>
  <c r="K37" i="55" s="1"/>
  <c r="W37" s="1"/>
  <c r="Y37" s="1"/>
  <c r="Y38" i="79" s="1"/>
  <c r="H21" i="76"/>
  <c r="H16"/>
  <c r="H12"/>
  <c r="H13" s="1"/>
  <c r="G14" s="1"/>
  <c r="K14" i="55" s="1"/>
  <c r="H8" i="76"/>
  <c r="H9" s="1"/>
  <c r="G10" s="1"/>
  <c r="K6" i="55" s="1"/>
  <c r="H34" i="75"/>
  <c r="H35" s="1"/>
  <c r="G36" s="1"/>
  <c r="H30"/>
  <c r="H31" s="1"/>
  <c r="G32" s="1"/>
  <c r="H26"/>
  <c r="H27" s="1"/>
  <c r="G28" s="1"/>
  <c r="H22"/>
  <c r="H21"/>
  <c r="H23" s="1"/>
  <c r="G24" s="1"/>
  <c r="H17"/>
  <c r="H16"/>
  <c r="H18" s="1"/>
  <c r="G19" s="1"/>
  <c r="H12"/>
  <c r="H13" s="1"/>
  <c r="G14" s="1"/>
  <c r="H8"/>
  <c r="H9" s="1"/>
  <c r="G10" s="1"/>
  <c r="H31" i="74"/>
  <c r="H30"/>
  <c r="H32" s="1"/>
  <c r="G33" s="1"/>
  <c r="M85" i="55" s="1"/>
  <c r="W85" s="1"/>
  <c r="H26" i="74"/>
  <c r="H25"/>
  <c r="H27" s="1"/>
  <c r="G28" s="1"/>
  <c r="M90" i="55" s="1"/>
  <c r="W90" s="1"/>
  <c r="Y90" s="1"/>
  <c r="Y91" i="79" s="1"/>
  <c r="H20" i="74"/>
  <c r="H19"/>
  <c r="H21" s="1"/>
  <c r="G22" s="1"/>
  <c r="M17" i="55" s="1"/>
  <c r="W17" s="1"/>
  <c r="Y17" s="1"/>
  <c r="Y18" i="79" s="1"/>
  <c r="H14" i="74"/>
  <c r="H13"/>
  <c r="H8"/>
  <c r="H10" s="1"/>
  <c r="G11" s="1"/>
  <c r="M18" i="55" s="1"/>
  <c r="W18" s="1"/>
  <c r="Y18" s="1"/>
  <c r="Y19" i="79" s="1"/>
  <c r="H96" i="73"/>
  <c r="H95"/>
  <c r="H94"/>
  <c r="H93"/>
  <c r="H89"/>
  <c r="H87"/>
  <c r="H85"/>
  <c r="H83"/>
  <c r="H79"/>
  <c r="H73"/>
  <c r="H72"/>
  <c r="H71"/>
  <c r="H70"/>
  <c r="H69"/>
  <c r="H68"/>
  <c r="H67"/>
  <c r="H66"/>
  <c r="H65"/>
  <c r="H64"/>
  <c r="H63"/>
  <c r="H62"/>
  <c r="H59"/>
  <c r="H60" s="1"/>
  <c r="H55"/>
  <c r="H56" s="1"/>
  <c r="G57" s="1"/>
  <c r="H50"/>
  <c r="H49"/>
  <c r="H48"/>
  <c r="H47"/>
  <c r="H51" s="1"/>
  <c r="Q298" i="55" s="1"/>
  <c r="H45" i="73"/>
  <c r="Q297" i="55" s="1"/>
  <c r="H42" i="73"/>
  <c r="H43" s="1"/>
  <c r="Q296" i="55" s="1"/>
  <c r="H38" i="73"/>
  <c r="Q293" i="55" s="1"/>
  <c r="H37" i="73"/>
  <c r="H34"/>
  <c r="H33"/>
  <c r="H35" s="1"/>
  <c r="Q291" i="55" s="1"/>
  <c r="H30" i="73"/>
  <c r="Q289" i="55" s="1"/>
  <c r="H28" i="73"/>
  <c r="Q287" i="55" s="1"/>
  <c r="H26" i="73"/>
  <c r="Q285" i="55" s="1"/>
  <c r="H24" i="73"/>
  <c r="Q283" i="55" s="1"/>
  <c r="H21" i="73"/>
  <c r="Q281" i="55" s="1"/>
  <c r="H18" i="73"/>
  <c r="H17"/>
  <c r="H19" s="1"/>
  <c r="Q279" i="55" s="1"/>
  <c r="H10" i="73"/>
  <c r="H11" s="1"/>
  <c r="Q274" i="55" s="1"/>
  <c r="H7" i="73"/>
  <c r="H8" s="1"/>
  <c r="Q272" i="55" s="1"/>
  <c r="H54" i="72"/>
  <c r="G55" s="1"/>
  <c r="G35"/>
  <c r="H31"/>
  <c r="G32" s="1"/>
  <c r="H26"/>
  <c r="G27" s="1"/>
  <c r="H14"/>
  <c r="H19" s="1"/>
  <c r="G20" s="1"/>
  <c r="G10"/>
  <c r="G7"/>
  <c r="G87" i="71"/>
  <c r="H86"/>
  <c r="H81"/>
  <c r="H79"/>
  <c r="H77"/>
  <c r="H75"/>
  <c r="H73"/>
  <c r="H71"/>
  <c r="H67"/>
  <c r="H66"/>
  <c r="H68" s="1"/>
  <c r="G69" s="1"/>
  <c r="H62"/>
  <c r="H61"/>
  <c r="H60"/>
  <c r="H59"/>
  <c r="H58"/>
  <c r="H63" s="1"/>
  <c r="G64" s="1"/>
  <c r="H54"/>
  <c r="H53"/>
  <c r="H52"/>
  <c r="H51"/>
  <c r="H55" s="1"/>
  <c r="G56" s="1"/>
  <c r="H48"/>
  <c r="H47"/>
  <c r="H49" s="1"/>
  <c r="G50" s="1"/>
  <c r="H44"/>
  <c r="H43"/>
  <c r="H42"/>
  <c r="H45" s="1"/>
  <c r="G46" s="1"/>
  <c r="H37"/>
  <c r="H36"/>
  <c r="H35"/>
  <c r="H38" s="1"/>
  <c r="G39" s="1"/>
  <c r="H32"/>
  <c r="G33" s="1"/>
  <c r="H31"/>
  <c r="H30"/>
  <c r="H26"/>
  <c r="H25"/>
  <c r="H24"/>
  <c r="H23"/>
  <c r="H27" s="1"/>
  <c r="G28" s="1"/>
  <c r="H22"/>
  <c r="H21"/>
  <c r="H18"/>
  <c r="G19" s="1"/>
  <c r="H15"/>
  <c r="G16" s="1"/>
  <c r="H12"/>
  <c r="G13" s="1"/>
  <c r="H8"/>
  <c r="H7"/>
  <c r="H9" s="1"/>
  <c r="G10" s="1"/>
  <c r="H6"/>
  <c r="A9" i="57"/>
  <c r="A10" s="1"/>
  <c r="A11" s="1"/>
  <c r="A12" s="1"/>
  <c r="A13" s="1"/>
  <c r="A14" s="1"/>
  <c r="H2036" i="70"/>
  <c r="H2035"/>
  <c r="H2031"/>
  <c r="H2030"/>
  <c r="H2029"/>
  <c r="H2028"/>
  <c r="H2024"/>
  <c r="H2023"/>
  <c r="H2022"/>
  <c r="H2020"/>
  <c r="H2019"/>
  <c r="M361" i="55"/>
  <c r="I361"/>
  <c r="J361" s="1"/>
  <c r="M360"/>
  <c r="I360"/>
  <c r="J360" s="1"/>
  <c r="M359"/>
  <c r="I359"/>
  <c r="J359" s="1"/>
  <c r="M358"/>
  <c r="I358"/>
  <c r="J358" s="1"/>
  <c r="M357"/>
  <c r="I357"/>
  <c r="J357" s="1"/>
  <c r="M356"/>
  <c r="I356"/>
  <c r="J356" s="1"/>
  <c r="M355"/>
  <c r="I355"/>
  <c r="J355" s="1"/>
  <c r="M354"/>
  <c r="I354"/>
  <c r="J354" s="1"/>
  <c r="M353"/>
  <c r="I353"/>
  <c r="J353" s="1"/>
  <c r="M352"/>
  <c r="I352"/>
  <c r="J352" s="1"/>
  <c r="M351"/>
  <c r="I351"/>
  <c r="J351" s="1"/>
  <c r="M350"/>
  <c r="I350"/>
  <c r="J350" s="1"/>
  <c r="M349"/>
  <c r="I349"/>
  <c r="J349" s="1"/>
  <c r="M348"/>
  <c r="I348"/>
  <c r="J348" s="1"/>
  <c r="M347"/>
  <c r="I347"/>
  <c r="J347" s="1"/>
  <c r="M346"/>
  <c r="I346"/>
  <c r="J346" s="1"/>
  <c r="M345"/>
  <c r="I345"/>
  <c r="J345" s="1"/>
  <c r="M344"/>
  <c r="I344"/>
  <c r="J344" s="1"/>
  <c r="M343"/>
  <c r="I343"/>
  <c r="J343" s="1"/>
  <c r="M342"/>
  <c r="I342"/>
  <c r="J342" s="1"/>
  <c r="I341"/>
  <c r="M340"/>
  <c r="W340" s="1"/>
  <c r="Y340" s="1"/>
  <c r="Y341" i="79" s="1"/>
  <c r="Z341" s="1"/>
  <c r="AA341" s="1"/>
  <c r="I340" i="55"/>
  <c r="J340" s="1"/>
  <c r="M339"/>
  <c r="I339"/>
  <c r="J339" s="1"/>
  <c r="M338"/>
  <c r="W338" s="1"/>
  <c r="Y338" s="1"/>
  <c r="Y339" i="79" s="1"/>
  <c r="Z339" s="1"/>
  <c r="AA339" s="1"/>
  <c r="I338" i="55"/>
  <c r="J338" s="1"/>
  <c r="M337"/>
  <c r="I337"/>
  <c r="J337" s="1"/>
  <c r="M336"/>
  <c r="W336" s="1"/>
  <c r="Y336" s="1"/>
  <c r="Y337" i="79" s="1"/>
  <c r="Z337" s="1"/>
  <c r="AA337" s="1"/>
  <c r="I336" i="55"/>
  <c r="J336" s="1"/>
  <c r="M335"/>
  <c r="I335"/>
  <c r="J335" s="1"/>
  <c r="M334"/>
  <c r="W334" s="1"/>
  <c r="Y334" s="1"/>
  <c r="Y335" i="79" s="1"/>
  <c r="Z335" s="1"/>
  <c r="AA335" s="1"/>
  <c r="I334" i="55"/>
  <c r="J334" s="1"/>
  <c r="M333"/>
  <c r="I333"/>
  <c r="J333" s="1"/>
  <c r="M332"/>
  <c r="W332" s="1"/>
  <c r="Y332" s="1"/>
  <c r="Y333" i="79" s="1"/>
  <c r="Z333" s="1"/>
  <c r="AA333" s="1"/>
  <c r="I332" i="55"/>
  <c r="J332" s="1"/>
  <c r="M331"/>
  <c r="I331"/>
  <c r="J331" s="1"/>
  <c r="M330"/>
  <c r="W330" s="1"/>
  <c r="Y330" s="1"/>
  <c r="Y331" i="79" s="1"/>
  <c r="Z331" s="1"/>
  <c r="AA331" s="1"/>
  <c r="I330" i="55"/>
  <c r="J330" s="1"/>
  <c r="M329"/>
  <c r="I329"/>
  <c r="J329" s="1"/>
  <c r="M328"/>
  <c r="W328" s="1"/>
  <c r="Y328" s="1"/>
  <c r="Y329" i="79" s="1"/>
  <c r="Z329" s="1"/>
  <c r="AA329" s="1"/>
  <c r="I328" i="55"/>
  <c r="J328" s="1"/>
  <c r="I327"/>
  <c r="J327" s="1"/>
  <c r="M326"/>
  <c r="I326"/>
  <c r="J326" s="1"/>
  <c r="V325"/>
  <c r="M325"/>
  <c r="N325" s="1"/>
  <c r="O325" s="1"/>
  <c r="I325"/>
  <c r="J325" s="1"/>
  <c r="V324"/>
  <c r="M324"/>
  <c r="N324" s="1"/>
  <c r="O324" s="1"/>
  <c r="W324" s="1"/>
  <c r="Y324" s="1"/>
  <c r="Y325" i="79" s="1"/>
  <c r="Z325" s="1"/>
  <c r="AA325" s="1"/>
  <c r="I324" i="55"/>
  <c r="J324" s="1"/>
  <c r="M323"/>
  <c r="N323" s="1"/>
  <c r="O323" s="1"/>
  <c r="I323"/>
  <c r="J323" s="1"/>
  <c r="V322"/>
  <c r="M322"/>
  <c r="N322" s="1"/>
  <c r="O322" s="1"/>
  <c r="I322"/>
  <c r="J322" s="1"/>
  <c r="M321"/>
  <c r="N321" s="1"/>
  <c r="O321" s="1"/>
  <c r="W321" s="1"/>
  <c r="Y321" s="1"/>
  <c r="Y322" i="79" s="1"/>
  <c r="Z322" s="1"/>
  <c r="AA322" s="1"/>
  <c r="I321" i="55"/>
  <c r="J321" s="1"/>
  <c r="M320"/>
  <c r="N320" s="1"/>
  <c r="O320" s="1"/>
  <c r="I320"/>
  <c r="J320" s="1"/>
  <c r="V319"/>
  <c r="M319"/>
  <c r="N319" s="1"/>
  <c r="O319" s="1"/>
  <c r="W319" s="1"/>
  <c r="Y319" s="1"/>
  <c r="Y320" i="79" s="1"/>
  <c r="Z320" s="1"/>
  <c r="AA320" s="1"/>
  <c r="I319" i="55"/>
  <c r="J319" s="1"/>
  <c r="M318"/>
  <c r="N318" s="1"/>
  <c r="O318" s="1"/>
  <c r="I318"/>
  <c r="J318" s="1"/>
  <c r="V317"/>
  <c r="M317"/>
  <c r="N317" s="1"/>
  <c r="O317" s="1"/>
  <c r="I317"/>
  <c r="J317" s="1"/>
  <c r="V316"/>
  <c r="M316"/>
  <c r="W316" s="1"/>
  <c r="Y316" s="1"/>
  <c r="Y317" i="79" s="1"/>
  <c r="Z317" s="1"/>
  <c r="AA317" s="1"/>
  <c r="I316" i="55"/>
  <c r="J316" s="1"/>
  <c r="V315"/>
  <c r="M315"/>
  <c r="N315" s="1"/>
  <c r="O315" s="1"/>
  <c r="W315" s="1"/>
  <c r="Y315" s="1"/>
  <c r="Y316" i="79" s="1"/>
  <c r="Z316" s="1"/>
  <c r="AA316" s="1"/>
  <c r="I315" i="55"/>
  <c r="J315" s="1"/>
  <c r="V314"/>
  <c r="M314"/>
  <c r="I314"/>
  <c r="J314" s="1"/>
  <c r="V313"/>
  <c r="M313"/>
  <c r="I313"/>
  <c r="J313" s="1"/>
  <c r="V312"/>
  <c r="M312"/>
  <c r="W312" s="1"/>
  <c r="Y312" s="1"/>
  <c r="Y313" i="79" s="1"/>
  <c r="Z313" s="1"/>
  <c r="AA313" s="1"/>
  <c r="I312" i="55"/>
  <c r="J312" s="1"/>
  <c r="V311"/>
  <c r="M311"/>
  <c r="W311" s="1"/>
  <c r="Y311" s="1"/>
  <c r="Y312" i="79" s="1"/>
  <c r="Z312" s="1"/>
  <c r="AA312" s="1"/>
  <c r="I311" i="55"/>
  <c r="J311" s="1"/>
  <c r="V310"/>
  <c r="M310"/>
  <c r="I310"/>
  <c r="J310" s="1"/>
  <c r="V309"/>
  <c r="M309"/>
  <c r="I309"/>
  <c r="J309" s="1"/>
  <c r="V308"/>
  <c r="M308"/>
  <c r="W308" s="1"/>
  <c r="Y308" s="1"/>
  <c r="Y309" i="79" s="1"/>
  <c r="Z309" s="1"/>
  <c r="AA309" s="1"/>
  <c r="I308" i="55"/>
  <c r="J308" s="1"/>
  <c r="V307"/>
  <c r="M307"/>
  <c r="W307" s="1"/>
  <c r="Y307" s="1"/>
  <c r="Y308" i="79" s="1"/>
  <c r="Z308" s="1"/>
  <c r="AA308" s="1"/>
  <c r="I307" i="55"/>
  <c r="J307" s="1"/>
  <c r="V306"/>
  <c r="M306"/>
  <c r="I306"/>
  <c r="J306" s="1"/>
  <c r="M305"/>
  <c r="W305" s="1"/>
  <c r="Y305" s="1"/>
  <c r="Y306" i="79" s="1"/>
  <c r="Z306" s="1"/>
  <c r="AA306" s="1"/>
  <c r="I305" i="55"/>
  <c r="J305" s="1"/>
  <c r="M304"/>
  <c r="I304"/>
  <c r="J304" s="1"/>
  <c r="V303"/>
  <c r="M303"/>
  <c r="I303"/>
  <c r="J303" s="1"/>
  <c r="M302"/>
  <c r="W302" s="1"/>
  <c r="Y302" s="1"/>
  <c r="Y303" i="79" s="1"/>
  <c r="Z303" s="1"/>
  <c r="AA303" s="1"/>
  <c r="I302" i="55"/>
  <c r="J302" s="1"/>
  <c r="V301"/>
  <c r="M301"/>
  <c r="I301"/>
  <c r="J301" s="1"/>
  <c r="M300"/>
  <c r="W300" s="1"/>
  <c r="Y300" s="1"/>
  <c r="Y301" i="79" s="1"/>
  <c r="Z301" s="1"/>
  <c r="AA301" s="1"/>
  <c r="I300" i="55"/>
  <c r="J300" s="1"/>
  <c r="M299"/>
  <c r="I299"/>
  <c r="J299" s="1"/>
  <c r="V298"/>
  <c r="M298"/>
  <c r="N298" s="1"/>
  <c r="I298"/>
  <c r="J298" s="1"/>
  <c r="V297"/>
  <c r="M297"/>
  <c r="N297" s="1"/>
  <c r="I297"/>
  <c r="J297" s="1"/>
  <c r="V296"/>
  <c r="M296"/>
  <c r="N296" s="1"/>
  <c r="I296"/>
  <c r="J296" s="1"/>
  <c r="M295"/>
  <c r="I295"/>
  <c r="J295" s="1"/>
  <c r="M294"/>
  <c r="W294" s="1"/>
  <c r="Y294" s="1"/>
  <c r="Y295" i="79" s="1"/>
  <c r="Z295" s="1"/>
  <c r="AA295" s="1"/>
  <c r="I294" i="55"/>
  <c r="J294" s="1"/>
  <c r="V293"/>
  <c r="M293"/>
  <c r="N293" s="1"/>
  <c r="I293"/>
  <c r="J293" s="1"/>
  <c r="M292"/>
  <c r="W292" s="1"/>
  <c r="Y292" s="1"/>
  <c r="Y293" i="79" s="1"/>
  <c r="Z293" s="1"/>
  <c r="AA293" s="1"/>
  <c r="I292" i="55"/>
  <c r="J292" s="1"/>
  <c r="V291"/>
  <c r="M291"/>
  <c r="N291" s="1"/>
  <c r="I291"/>
  <c r="J291" s="1"/>
  <c r="M290"/>
  <c r="I290"/>
  <c r="J290" s="1"/>
  <c r="V289"/>
  <c r="M289"/>
  <c r="N289" s="1"/>
  <c r="I289"/>
  <c r="J289" s="1"/>
  <c r="M288"/>
  <c r="I288"/>
  <c r="J288" s="1"/>
  <c r="V287"/>
  <c r="M287"/>
  <c r="N287" s="1"/>
  <c r="I287"/>
  <c r="J287" s="1"/>
  <c r="M286"/>
  <c r="W286" s="1"/>
  <c r="Y286" s="1"/>
  <c r="Y287" i="79" s="1"/>
  <c r="Z287" s="1"/>
  <c r="AA287" s="1"/>
  <c r="I286" i="55"/>
  <c r="J286" s="1"/>
  <c r="V285"/>
  <c r="M285"/>
  <c r="N285" s="1"/>
  <c r="I285"/>
  <c r="J285" s="1"/>
  <c r="M284"/>
  <c r="W284" s="1"/>
  <c r="Y284" s="1"/>
  <c r="Y285" i="79" s="1"/>
  <c r="Z285" s="1"/>
  <c r="AA285" s="1"/>
  <c r="I284" i="55"/>
  <c r="J284" s="1"/>
  <c r="V283"/>
  <c r="M283"/>
  <c r="N283" s="1"/>
  <c r="I283"/>
  <c r="J283" s="1"/>
  <c r="M282"/>
  <c r="I282"/>
  <c r="J282" s="1"/>
  <c r="V281"/>
  <c r="M281"/>
  <c r="N281" s="1"/>
  <c r="I281"/>
  <c r="J281" s="1"/>
  <c r="M280"/>
  <c r="I280"/>
  <c r="J280" s="1"/>
  <c r="V279"/>
  <c r="M279"/>
  <c r="N279" s="1"/>
  <c r="I279"/>
  <c r="J279" s="1"/>
  <c r="M278"/>
  <c r="W278" s="1"/>
  <c r="Y278" s="1"/>
  <c r="Y279" i="79" s="1"/>
  <c r="Z279" s="1"/>
  <c r="AA279" s="1"/>
  <c r="I278" i="55"/>
  <c r="J278" s="1"/>
  <c r="M277"/>
  <c r="I277"/>
  <c r="J277" s="1"/>
  <c r="V276"/>
  <c r="M276"/>
  <c r="W276" s="1"/>
  <c r="Y276" s="1"/>
  <c r="Y277" i="79" s="1"/>
  <c r="Z277" s="1"/>
  <c r="AA277" s="1"/>
  <c r="I276" i="55"/>
  <c r="J276" s="1"/>
  <c r="M275"/>
  <c r="I275"/>
  <c r="J275" s="1"/>
  <c r="V274"/>
  <c r="M274"/>
  <c r="N274" s="1"/>
  <c r="I274"/>
  <c r="J274" s="1"/>
  <c r="M273"/>
  <c r="W273" s="1"/>
  <c r="Y273" s="1"/>
  <c r="Y274" i="79" s="1"/>
  <c r="Z274" s="1"/>
  <c r="AA274" s="1"/>
  <c r="I273" i="55"/>
  <c r="J273" s="1"/>
  <c r="V272"/>
  <c r="M272"/>
  <c r="N272" s="1"/>
  <c r="I272"/>
  <c r="J272" s="1"/>
  <c r="M271"/>
  <c r="W271" s="1"/>
  <c r="Y271" s="1"/>
  <c r="Y272" i="79" s="1"/>
  <c r="Z272" s="1"/>
  <c r="AA272" s="1"/>
  <c r="I271" i="55"/>
  <c r="J271" s="1"/>
  <c r="C362"/>
  <c r="AH362"/>
  <c r="AI362"/>
  <c r="AJ362" s="1"/>
  <c r="T363"/>
  <c r="V363"/>
  <c r="W363"/>
  <c r="Y363" s="1"/>
  <c r="Z363" s="1"/>
  <c r="T364"/>
  <c r="V364"/>
  <c r="W364"/>
  <c r="Y364" s="1"/>
  <c r="Z364" s="1"/>
  <c r="T365"/>
  <c r="V365"/>
  <c r="W365"/>
  <c r="Y365" s="1"/>
  <c r="Z365" s="1"/>
  <c r="C366"/>
  <c r="W366"/>
  <c r="Y366" s="1"/>
  <c r="C367"/>
  <c r="W367"/>
  <c r="Y367" s="1"/>
  <c r="C368"/>
  <c r="W368"/>
  <c r="Y368" s="1"/>
  <c r="T369"/>
  <c r="V369"/>
  <c r="W369"/>
  <c r="X369" s="1"/>
  <c r="E214"/>
  <c r="E114"/>
  <c r="E112"/>
  <c r="E111"/>
  <c r="H1602" i="70"/>
  <c r="E204" i="55"/>
  <c r="H2015" i="70"/>
  <c r="H2014"/>
  <c r="H2013"/>
  <c r="H2009"/>
  <c r="H2008"/>
  <c r="H2007"/>
  <c r="H2004"/>
  <c r="H2003"/>
  <c r="H2002"/>
  <c r="H1999"/>
  <c r="H1998"/>
  <c r="H1997"/>
  <c r="H1994"/>
  <c r="H1993"/>
  <c r="H1992"/>
  <c r="H1989"/>
  <c r="G1990" s="1"/>
  <c r="H1987"/>
  <c r="H1985"/>
  <c r="H1972"/>
  <c r="H1965"/>
  <c r="H1922"/>
  <c r="H1921"/>
  <c r="H1920"/>
  <c r="H1919"/>
  <c r="H1918"/>
  <c r="H1917"/>
  <c r="H1915"/>
  <c r="H1914"/>
  <c r="H1913"/>
  <c r="H1912"/>
  <c r="H1911"/>
  <c r="H1910"/>
  <c r="H1909"/>
  <c r="H1908"/>
  <c r="H1907"/>
  <c r="H1905"/>
  <c r="H1904"/>
  <c r="H1903"/>
  <c r="H1902"/>
  <c r="H1896"/>
  <c r="H1892"/>
  <c r="H1891"/>
  <c r="H1888"/>
  <c r="H1887"/>
  <c r="H1886"/>
  <c r="H1885"/>
  <c r="H1884"/>
  <c r="H1883"/>
  <c r="H1882"/>
  <c r="H1881"/>
  <c r="H1880"/>
  <c r="H1879"/>
  <c r="H1878"/>
  <c r="H1877"/>
  <c r="H1876"/>
  <c r="H1875"/>
  <c r="H1874"/>
  <c r="H1873"/>
  <c r="H1872"/>
  <c r="H1871"/>
  <c r="H1870"/>
  <c r="H1869"/>
  <c r="H1868"/>
  <c r="H1867"/>
  <c r="H1866"/>
  <c r="H1865"/>
  <c r="H1864"/>
  <c r="H1863"/>
  <c r="H1862"/>
  <c r="H1861"/>
  <c r="H1860"/>
  <c r="H1859"/>
  <c r="H1858"/>
  <c r="H1857"/>
  <c r="H1856"/>
  <c r="H1855"/>
  <c r="H1854"/>
  <c r="H1853"/>
  <c r="H1848"/>
  <c r="H1847"/>
  <c r="H1846"/>
  <c r="H1845"/>
  <c r="H1843"/>
  <c r="H1842"/>
  <c r="H1841"/>
  <c r="H1840"/>
  <c r="H1839"/>
  <c r="H1838"/>
  <c r="H1837"/>
  <c r="H1835"/>
  <c r="H1834"/>
  <c r="H1833"/>
  <c r="H1829"/>
  <c r="H1828"/>
  <c r="H1827"/>
  <c r="H1826"/>
  <c r="H1825"/>
  <c r="H1823"/>
  <c r="H1822"/>
  <c r="H1821"/>
  <c r="H1820"/>
  <c r="H1819"/>
  <c r="H1818"/>
  <c r="H1817"/>
  <c r="H1816"/>
  <c r="H1814"/>
  <c r="H1813"/>
  <c r="H1812"/>
  <c r="H1811"/>
  <c r="H1806"/>
  <c r="H1805"/>
  <c r="H1804"/>
  <c r="H1803"/>
  <c r="H1802"/>
  <c r="H1801"/>
  <c r="H1799"/>
  <c r="H1798"/>
  <c r="H1797"/>
  <c r="H1796"/>
  <c r="H1795"/>
  <c r="H1794"/>
  <c r="H1793"/>
  <c r="H1792"/>
  <c r="H1791"/>
  <c r="H1789"/>
  <c r="H1788"/>
  <c r="H1787"/>
  <c r="H1786"/>
  <c r="H1782"/>
  <c r="H1779"/>
  <c r="H1778"/>
  <c r="H1777"/>
  <c r="H1776"/>
  <c r="H1775"/>
  <c r="H1774"/>
  <c r="H1772"/>
  <c r="H1771"/>
  <c r="H1770"/>
  <c r="H1769"/>
  <c r="H1768"/>
  <c r="H1767"/>
  <c r="H1766"/>
  <c r="H1765"/>
  <c r="H1764"/>
  <c r="H1762"/>
  <c r="H1761"/>
  <c r="H1760"/>
  <c r="H1759"/>
  <c r="H1755"/>
  <c r="H1753"/>
  <c r="H1752"/>
  <c r="H1751"/>
  <c r="H1750"/>
  <c r="H1749"/>
  <c r="H1748"/>
  <c r="H1747"/>
  <c r="H1746"/>
  <c r="H1745"/>
  <c r="H1744"/>
  <c r="H1743"/>
  <c r="H1742"/>
  <c r="H1741"/>
  <c r="H1740"/>
  <c r="H1739"/>
  <c r="H1738"/>
  <c r="H1737"/>
  <c r="H1736"/>
  <c r="H1735"/>
  <c r="H1734"/>
  <c r="H1733"/>
  <c r="H1732"/>
  <c r="H1731"/>
  <c r="H1730"/>
  <c r="H1729"/>
  <c r="H1728"/>
  <c r="H1727"/>
  <c r="H1726"/>
  <c r="H1725"/>
  <c r="H1724"/>
  <c r="H1723"/>
  <c r="H1722"/>
  <c r="H1721"/>
  <c r="H1720"/>
  <c r="H1719"/>
  <c r="H1718"/>
  <c r="H1714"/>
  <c r="H1713"/>
  <c r="H1712"/>
  <c r="H1711"/>
  <c r="H1710"/>
  <c r="H1709"/>
  <c r="H1708"/>
  <c r="H1707"/>
  <c r="H1706"/>
  <c r="H1705"/>
  <c r="H1704"/>
  <c r="H1703"/>
  <c r="H1702"/>
  <c r="H1701"/>
  <c r="H1700"/>
  <c r="H1699"/>
  <c r="H1698"/>
  <c r="H1697"/>
  <c r="H1696"/>
  <c r="H1695"/>
  <c r="H1694"/>
  <c r="H1693"/>
  <c r="H1692"/>
  <c r="H1691"/>
  <c r="H1690"/>
  <c r="H1689"/>
  <c r="H1688"/>
  <c r="H1687"/>
  <c r="H1686"/>
  <c r="H1685"/>
  <c r="H1684"/>
  <c r="H1683"/>
  <c r="H1682"/>
  <c r="H1681"/>
  <c r="H1680"/>
  <c r="H1679"/>
  <c r="H1678"/>
  <c r="H1677"/>
  <c r="H1672"/>
  <c r="H1670"/>
  <c r="H1664"/>
  <c r="H1663"/>
  <c r="H1660"/>
  <c r="H1659"/>
  <c r="H1656"/>
  <c r="H1654"/>
  <c r="H1651"/>
  <c r="H1650"/>
  <c r="H1649"/>
  <c r="H1646"/>
  <c r="H1644"/>
  <c r="H1641"/>
  <c r="H1639"/>
  <c r="H1636"/>
  <c r="H1637" s="1"/>
  <c r="H1633"/>
  <c r="H1632"/>
  <c r="H1629"/>
  <c r="H1625"/>
  <c r="H1624"/>
  <c r="H1621"/>
  <c r="H1618"/>
  <c r="H1617"/>
  <c r="H1616"/>
  <c r="H1615"/>
  <c r="H1614"/>
  <c r="H1613"/>
  <c r="H1612"/>
  <c r="H1611"/>
  <c r="H1610"/>
  <c r="H1609"/>
  <c r="H1606"/>
  <c r="H1607" s="1"/>
  <c r="H1592"/>
  <c r="H1591"/>
  <c r="H1588"/>
  <c r="H1585"/>
  <c r="H1583"/>
  <c r="H1580"/>
  <c r="H1574"/>
  <c r="H1573"/>
  <c r="H1569"/>
  <c r="H1568"/>
  <c r="H1559"/>
  <c r="H1558"/>
  <c r="H1557"/>
  <c r="H1556"/>
  <c r="H1555"/>
  <c r="H1554"/>
  <c r="H1560" s="1"/>
  <c r="H1534"/>
  <c r="H1535" s="1"/>
  <c r="H1536" s="1"/>
  <c r="H1530"/>
  <c r="H1529"/>
  <c r="H1528"/>
  <c r="H1527"/>
  <c r="H1526"/>
  <c r="H1525"/>
  <c r="H1524"/>
  <c r="H1523"/>
  <c r="H1522"/>
  <c r="H1521"/>
  <c r="H1520"/>
  <c r="H1519"/>
  <c r="H1518"/>
  <c r="H1517"/>
  <c r="H1516"/>
  <c r="H1515"/>
  <c r="H1514"/>
  <c r="H1513"/>
  <c r="H1512"/>
  <c r="H1511"/>
  <c r="H1510"/>
  <c r="H1509"/>
  <c r="H1508"/>
  <c r="H1507"/>
  <c r="H1499"/>
  <c r="H1498"/>
  <c r="H1497"/>
  <c r="H1496"/>
  <c r="H1495"/>
  <c r="H1494"/>
  <c r="H1493"/>
  <c r="H1492"/>
  <c r="H1491"/>
  <c r="H1490"/>
  <c r="H1489"/>
  <c r="H1488"/>
  <c r="H1487"/>
  <c r="H1486"/>
  <c r="H1485"/>
  <c r="H1484"/>
  <c r="H1483"/>
  <c r="H1482"/>
  <c r="H1481"/>
  <c r="H1480"/>
  <c r="H1479"/>
  <c r="H1478"/>
  <c r="H1477"/>
  <c r="H1476"/>
  <c r="H1475"/>
  <c r="H1474"/>
  <c r="H1473"/>
  <c r="H1472"/>
  <c r="H1471"/>
  <c r="H1470"/>
  <c r="H1469"/>
  <c r="H1468"/>
  <c r="H1467"/>
  <c r="H1466"/>
  <c r="H1465"/>
  <c r="H1463"/>
  <c r="H1462"/>
  <c r="H1461"/>
  <c r="H1460"/>
  <c r="H1459"/>
  <c r="H1458"/>
  <c r="H1457"/>
  <c r="H1456"/>
  <c r="H1455"/>
  <c r="H1454"/>
  <c r="H1453"/>
  <c r="H1450"/>
  <c r="H1449"/>
  <c r="H1448"/>
  <c r="H1447"/>
  <c r="H1446"/>
  <c r="H1445"/>
  <c r="H1444"/>
  <c r="H1443"/>
  <c r="H1442"/>
  <c r="H1441"/>
  <c r="H1440"/>
  <c r="H1439"/>
  <c r="H1438"/>
  <c r="H1437"/>
  <c r="H1436"/>
  <c r="H1435"/>
  <c r="H1434"/>
  <c r="H1433"/>
  <c r="H1432"/>
  <c r="H1431"/>
  <c r="H1430"/>
  <c r="H1429"/>
  <c r="H1428"/>
  <c r="H1427"/>
  <c r="H1426"/>
  <c r="H1421"/>
  <c r="H1420"/>
  <c r="H1419"/>
  <c r="H1418"/>
  <c r="H1417"/>
  <c r="H1416"/>
  <c r="H1415"/>
  <c r="H1414"/>
  <c r="H1413"/>
  <c r="H1412"/>
  <c r="H1411"/>
  <c r="H1410"/>
  <c r="H1409"/>
  <c r="H1408"/>
  <c r="H1407"/>
  <c r="H1406"/>
  <c r="H1405"/>
  <c r="H1404"/>
  <c r="H1403"/>
  <c r="H1402"/>
  <c r="H1401"/>
  <c r="H1400"/>
  <c r="H1399"/>
  <c r="H1398"/>
  <c r="H1397"/>
  <c r="H1396"/>
  <c r="H1392"/>
  <c r="H1387"/>
  <c r="H1281"/>
  <c r="H1280"/>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39"/>
  <c r="H1238"/>
  <c r="H1237"/>
  <c r="H1236"/>
  <c r="H1235"/>
  <c r="H1234"/>
  <c r="H1233"/>
  <c r="H1232"/>
  <c r="H1231"/>
  <c r="H1230"/>
  <c r="H1229"/>
  <c r="H1226"/>
  <c r="H1225"/>
  <c r="H1224"/>
  <c r="H1223"/>
  <c r="H1222"/>
  <c r="H1221"/>
  <c r="H1220"/>
  <c r="H1219"/>
  <c r="H1218"/>
  <c r="H1217"/>
  <c r="H1216"/>
  <c r="H1215"/>
  <c r="H1214"/>
  <c r="H1213"/>
  <c r="H1212"/>
  <c r="H1211"/>
  <c r="H1210"/>
  <c r="H1209"/>
  <c r="H1208"/>
  <c r="H1207"/>
  <c r="H1206"/>
  <c r="H1205"/>
  <c r="H1204"/>
  <c r="H1203"/>
  <c r="H1202"/>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50"/>
  <c r="H1149"/>
  <c r="H1148"/>
  <c r="H1146"/>
  <c r="H1145"/>
  <c r="H1144"/>
  <c r="H1143"/>
  <c r="H1137"/>
  <c r="H1138" s="1"/>
  <c r="G1139" s="1"/>
  <c r="H1133"/>
  <c r="H1132"/>
  <c r="H1131"/>
  <c r="H1130"/>
  <c r="H1129"/>
  <c r="H1126"/>
  <c r="H1122"/>
  <c r="H1121"/>
  <c r="H1120"/>
  <c r="H1119"/>
  <c r="H1116"/>
  <c r="H1112"/>
  <c r="H1111"/>
  <c r="H1110"/>
  <c r="H1109"/>
  <c r="H1108"/>
  <c r="H1107"/>
  <c r="H1106"/>
  <c r="H1105"/>
  <c r="H1104"/>
  <c r="H1102"/>
  <c r="H1101"/>
  <c r="H1100"/>
  <c r="H1099"/>
  <c r="H1098"/>
  <c r="H1097"/>
  <c r="H1096"/>
  <c r="H1095"/>
  <c r="H1094"/>
  <c r="H1093"/>
  <c r="H1091"/>
  <c r="H1090"/>
  <c r="H1089"/>
  <c r="H1088"/>
  <c r="H1087"/>
  <c r="H1086"/>
  <c r="H1080"/>
  <c r="H1079"/>
  <c r="H1078"/>
  <c r="H1074"/>
  <c r="H1073"/>
  <c r="H1072"/>
  <c r="H1070"/>
  <c r="H1069"/>
  <c r="H1005"/>
  <c r="H1004"/>
  <c r="H1003"/>
  <c r="H1002"/>
  <c r="H1000"/>
  <c r="H999"/>
  <c r="H998"/>
  <c r="H997"/>
  <c r="H996"/>
  <c r="H995"/>
  <c r="H990"/>
  <c r="H989"/>
  <c r="H986"/>
  <c r="H985"/>
  <c r="H984"/>
  <c r="H982"/>
  <c r="H981"/>
  <c r="H980"/>
  <c r="H950"/>
  <c r="G951" s="1"/>
  <c r="H946"/>
  <c r="H942"/>
  <c r="H941"/>
  <c r="H940"/>
  <c r="H939"/>
  <c r="H938"/>
  <c r="H937"/>
  <c r="H933"/>
  <c r="H931"/>
  <c r="H930"/>
  <c r="H926"/>
  <c r="H925"/>
  <c r="H920"/>
  <c r="H919"/>
  <c r="H918"/>
  <c r="H907"/>
  <c r="H903"/>
  <c r="H902"/>
  <c r="H900"/>
  <c r="H899"/>
  <c r="H893"/>
  <c r="H891"/>
  <c r="H890"/>
  <c r="H888"/>
  <c r="H887"/>
  <c r="H885"/>
  <c r="H884"/>
  <c r="H882"/>
  <c r="H881"/>
  <c r="H879"/>
  <c r="H878"/>
  <c r="H876"/>
  <c r="H875"/>
  <c r="H873"/>
  <c r="H872"/>
  <c r="H869"/>
  <c r="H868"/>
  <c r="H867"/>
  <c r="H866"/>
  <c r="H865"/>
  <c r="H864"/>
  <c r="H862"/>
  <c r="H861"/>
  <c r="H860"/>
  <c r="H859"/>
  <c r="H858"/>
  <c r="H856"/>
  <c r="H855"/>
  <c r="H854"/>
  <c r="H853"/>
  <c r="H852"/>
  <c r="H851"/>
  <c r="H850"/>
  <c r="H849"/>
  <c r="H848"/>
  <c r="H847"/>
  <c r="H842"/>
  <c r="H841"/>
  <c r="H840"/>
  <c r="H839"/>
  <c r="H838"/>
  <c r="H837"/>
  <c r="H836"/>
  <c r="H833"/>
  <c r="H831"/>
  <c r="H830"/>
  <c r="H829"/>
  <c r="H828"/>
  <c r="H827"/>
  <c r="H826"/>
  <c r="H825"/>
  <c r="H824"/>
  <c r="H823"/>
  <c r="H822"/>
  <c r="H821"/>
  <c r="H820"/>
  <c r="H819"/>
  <c r="H818"/>
  <c r="H817"/>
  <c r="H816"/>
  <c r="H815"/>
  <c r="H814"/>
  <c r="H813"/>
  <c r="H812"/>
  <c r="H811"/>
  <c r="H810"/>
  <c r="H809"/>
  <c r="H808"/>
  <c r="H806"/>
  <c r="H805"/>
  <c r="H804"/>
  <c r="H803"/>
  <c r="H802"/>
  <c r="H801"/>
  <c r="H800"/>
  <c r="H799"/>
  <c r="H798"/>
  <c r="H797"/>
  <c r="H796"/>
  <c r="H795"/>
  <c r="H794"/>
  <c r="H793"/>
  <c r="H792"/>
  <c r="H791"/>
  <c r="H790"/>
  <c r="H789"/>
  <c r="H788"/>
  <c r="H787"/>
  <c r="H786"/>
  <c r="H785"/>
  <c r="H784"/>
  <c r="H783"/>
  <c r="H782"/>
  <c r="H780"/>
  <c r="H779"/>
  <c r="H778"/>
  <c r="H777"/>
  <c r="H776"/>
  <c r="H775"/>
  <c r="H774"/>
  <c r="H773"/>
  <c r="H771"/>
  <c r="H770"/>
  <c r="H769"/>
  <c r="H768"/>
  <c r="H767"/>
  <c r="H766"/>
  <c r="H765"/>
  <c r="H763"/>
  <c r="H762"/>
  <c r="H761"/>
  <c r="H760"/>
  <c r="H759"/>
  <c r="H758"/>
  <c r="H757"/>
  <c r="H755"/>
  <c r="H754"/>
  <c r="H753"/>
  <c r="H752"/>
  <c r="H751"/>
  <c r="H750"/>
  <c r="H748"/>
  <c r="H747"/>
  <c r="H746"/>
  <c r="H745"/>
  <c r="H744"/>
  <c r="H743"/>
  <c r="H742"/>
  <c r="H741"/>
  <c r="H735"/>
  <c r="H734"/>
  <c r="H704"/>
  <c r="H703"/>
  <c r="H702"/>
  <c r="H673"/>
  <c r="H672"/>
  <c r="H671"/>
  <c r="H670"/>
  <c r="H669"/>
  <c r="H668"/>
  <c r="H667"/>
  <c r="H661"/>
  <c r="H660"/>
  <c r="H656"/>
  <c r="H655"/>
  <c r="H651"/>
  <c r="H650"/>
  <c r="H645"/>
  <c r="H644"/>
  <c r="H643"/>
  <c r="H642"/>
  <c r="H638"/>
  <c r="H639" s="1"/>
  <c r="G640" s="1"/>
  <c r="H635"/>
  <c r="H636" s="1"/>
  <c r="G637" s="1"/>
  <c r="H630"/>
  <c r="H629"/>
  <c r="H628"/>
  <c r="H624"/>
  <c r="H623"/>
  <c r="H622"/>
  <c r="H621"/>
  <c r="H617"/>
  <c r="H618" s="1"/>
  <c r="G619" s="1"/>
  <c r="H561"/>
  <c r="H560"/>
  <c r="H559"/>
  <c r="H555"/>
  <c r="H554"/>
  <c r="H553"/>
  <c r="H552"/>
  <c r="H551"/>
  <c r="H548"/>
  <c r="H547"/>
  <c r="H541"/>
  <c r="H540"/>
  <c r="H536"/>
  <c r="H535"/>
  <c r="H534"/>
  <c r="H533"/>
  <c r="H532"/>
  <c r="H531"/>
  <c r="H530"/>
  <c r="H529"/>
  <c r="H528"/>
  <c r="H527"/>
  <c r="H523"/>
  <c r="H522"/>
  <c r="H521"/>
  <c r="H520"/>
  <c r="H519"/>
  <c r="H518"/>
  <c r="H517"/>
  <c r="H516"/>
  <c r="H515"/>
  <c r="H514"/>
  <c r="H513"/>
  <c r="H512"/>
  <c r="H511"/>
  <c r="H510"/>
  <c r="H509"/>
  <c r="H508"/>
  <c r="H507"/>
  <c r="H503"/>
  <c r="H502"/>
  <c r="H501"/>
  <c r="H496"/>
  <c r="H495"/>
  <c r="H494"/>
  <c r="H493"/>
  <c r="H492"/>
  <c r="H491"/>
  <c r="H490"/>
  <c r="H486"/>
  <c r="H485"/>
  <c r="H483"/>
  <c r="H482"/>
  <c r="H481"/>
  <c r="H480"/>
  <c r="H478"/>
  <c r="H477"/>
  <c r="H476"/>
  <c r="H475"/>
  <c r="H474"/>
  <c r="H473"/>
  <c r="H472"/>
  <c r="H471"/>
  <c r="H470"/>
  <c r="H469"/>
  <c r="H468"/>
  <c r="H467"/>
  <c r="H466"/>
  <c r="H465"/>
  <c r="H461"/>
  <c r="H460"/>
  <c r="H458"/>
  <c r="H457"/>
  <c r="H456"/>
  <c r="H455"/>
  <c r="H453"/>
  <c r="H452"/>
  <c r="H451"/>
  <c r="H450"/>
  <c r="H449"/>
  <c r="H448"/>
  <c r="H447"/>
  <c r="H446"/>
  <c r="H445"/>
  <c r="H444"/>
  <c r="H443"/>
  <c r="H442"/>
  <c r="H441"/>
  <c r="H440"/>
  <c r="H439"/>
  <c r="H438"/>
  <c r="H434"/>
  <c r="H433"/>
  <c r="H432"/>
  <c r="H431"/>
  <c r="H430"/>
  <c r="H429"/>
  <c r="H428"/>
  <c r="H427"/>
  <c r="H426"/>
  <c r="H425"/>
  <c r="H424"/>
  <c r="H423"/>
  <c r="H422"/>
  <c r="H421"/>
  <c r="H420"/>
  <c r="H419"/>
  <c r="H418"/>
  <c r="H417"/>
  <c r="H416"/>
  <c r="H415"/>
  <c r="H414"/>
  <c r="H413"/>
  <c r="H412"/>
  <c r="H411"/>
  <c r="H410"/>
  <c r="H409"/>
  <c r="H408"/>
  <c r="H407"/>
  <c r="H406"/>
  <c r="H405"/>
  <c r="H404"/>
  <c r="H399"/>
  <c r="H398"/>
  <c r="H397"/>
  <c r="H396"/>
  <c r="H395"/>
  <c r="H394"/>
  <c r="H393"/>
  <c r="H392"/>
  <c r="H391"/>
  <c r="H385"/>
  <c r="H383"/>
  <c r="H382"/>
  <c r="H381"/>
  <c r="H380"/>
  <c r="H378"/>
  <c r="H377"/>
  <c r="H375"/>
  <c r="H374"/>
  <c r="H372"/>
  <c r="H371"/>
  <c r="H370"/>
  <c r="H369"/>
  <c r="H368"/>
  <c r="H367"/>
  <c r="H366"/>
  <c r="H365"/>
  <c r="H364"/>
  <c r="H363"/>
  <c r="H362"/>
  <c r="H361"/>
  <c r="H360"/>
  <c r="H359"/>
  <c r="H358"/>
  <c r="H357"/>
  <c r="H356"/>
  <c r="H355"/>
  <c r="H354"/>
  <c r="H353"/>
  <c r="H352"/>
  <c r="H351"/>
  <c r="H350"/>
  <c r="H349"/>
  <c r="H348"/>
  <c r="H347"/>
  <c r="H346"/>
  <c r="H345"/>
  <c r="H344"/>
  <c r="H343"/>
  <c r="H342"/>
  <c r="H341"/>
  <c r="H340"/>
  <c r="H339"/>
  <c r="H338"/>
  <c r="H337"/>
  <c r="H335"/>
  <c r="H334"/>
  <c r="H333"/>
  <c r="H332"/>
  <c r="H327"/>
  <c r="H326"/>
  <c r="H324"/>
  <c r="H323"/>
  <c r="H322"/>
  <c r="H321"/>
  <c r="H319"/>
  <c r="H318"/>
  <c r="H317"/>
  <c r="H315"/>
  <c r="H314"/>
  <c r="H312"/>
  <c r="H311"/>
  <c r="H310"/>
  <c r="H309"/>
  <c r="H308"/>
  <c r="H307"/>
  <c r="H306"/>
  <c r="H305"/>
  <c r="H304"/>
  <c r="H303"/>
  <c r="H302"/>
  <c r="H301"/>
  <c r="H300"/>
  <c r="H299"/>
  <c r="H298"/>
  <c r="H297"/>
  <c r="H296"/>
  <c r="H295"/>
  <c r="H294"/>
  <c r="H293"/>
  <c r="H292"/>
  <c r="H291"/>
  <c r="H290"/>
  <c r="H289"/>
  <c r="H288"/>
  <c r="H287"/>
  <c r="H286"/>
  <c r="H285"/>
  <c r="H284"/>
  <c r="H283"/>
  <c r="H282"/>
  <c r="H281"/>
  <c r="H279"/>
  <c r="H278"/>
  <c r="H277"/>
  <c r="H276"/>
  <c r="H275"/>
  <c r="H270"/>
  <c r="H241"/>
  <c r="H240"/>
  <c r="H239"/>
  <c r="H238"/>
  <c r="H237"/>
  <c r="H236"/>
  <c r="H235"/>
  <c r="H234"/>
  <c r="H233"/>
  <c r="H232"/>
  <c r="H231"/>
  <c r="H201"/>
  <c r="H200"/>
  <c r="H172"/>
  <c r="H171"/>
  <c r="H170"/>
  <c r="H169"/>
  <c r="H168"/>
  <c r="H167"/>
  <c r="H166"/>
  <c r="H139"/>
  <c r="H138"/>
  <c r="H137"/>
  <c r="H136"/>
  <c r="H135"/>
  <c r="H134"/>
  <c r="H133"/>
  <c r="H132"/>
  <c r="H131"/>
  <c r="H130"/>
  <c r="H128"/>
  <c r="H127"/>
  <c r="H126"/>
  <c r="H125"/>
  <c r="H124"/>
  <c r="H123"/>
  <c r="H122"/>
  <c r="H82"/>
  <c r="H81"/>
  <c r="H80"/>
  <c r="H79"/>
  <c r="H78"/>
  <c r="H77"/>
  <c r="H76"/>
  <c r="H70"/>
  <c r="H69"/>
  <c r="H68"/>
  <c r="H66"/>
  <c r="H65"/>
  <c r="H64"/>
  <c r="H60"/>
  <c r="H59"/>
  <c r="H58"/>
  <c r="H56"/>
  <c r="H55"/>
  <c r="H54"/>
  <c r="H49"/>
  <c r="H48"/>
  <c r="H47"/>
  <c r="H46"/>
  <c r="H45"/>
  <c r="H44"/>
  <c r="H43"/>
  <c r="H13"/>
  <c r="H12"/>
  <c r="H11"/>
  <c r="H10"/>
  <c r="H9"/>
  <c r="H8"/>
  <c r="H7"/>
  <c r="O271"/>
  <c r="W17" i="1"/>
  <c r="E203" i="79" l="1"/>
  <c r="E121" i="55"/>
  <c r="E122" i="79"/>
  <c r="E127" i="55"/>
  <c r="E128" i="79"/>
  <c r="E62" i="55"/>
  <c r="E63" i="79"/>
  <c r="F63" s="1"/>
  <c r="E70" i="55"/>
  <c r="E71" i="79"/>
  <c r="E205" i="55"/>
  <c r="E206" i="79"/>
  <c r="E87" i="55"/>
  <c r="E88" i="79"/>
  <c r="F88" s="1"/>
  <c r="E96" i="55"/>
  <c r="E97" i="79"/>
  <c r="F97" s="1"/>
  <c r="E181" i="55"/>
  <c r="E182" i="79"/>
  <c r="F182" s="1"/>
  <c r="E251" i="55"/>
  <c r="E252" i="79"/>
  <c r="E253" i="55"/>
  <c r="E254" i="79"/>
  <c r="F254" s="1"/>
  <c r="E103" i="55"/>
  <c r="E104" i="79"/>
  <c r="E244" i="55"/>
  <c r="E245" i="79"/>
  <c r="F245" s="1"/>
  <c r="E223" i="55"/>
  <c r="E224" i="79"/>
  <c r="F224" s="1"/>
  <c r="E113" i="55"/>
  <c r="E114" i="79"/>
  <c r="E210" i="55"/>
  <c r="E211" i="79"/>
  <c r="F211" s="1"/>
  <c r="E128" i="55"/>
  <c r="E129" i="79"/>
  <c r="E161" i="55"/>
  <c r="E162" i="79"/>
  <c r="F162" s="1"/>
  <c r="E83" i="55"/>
  <c r="E84" i="79"/>
  <c r="F84" s="1"/>
  <c r="E86" i="55"/>
  <c r="E87" i="79"/>
  <c r="F87" s="1"/>
  <c r="E88" i="55"/>
  <c r="E89" i="79"/>
  <c r="F89" s="1"/>
  <c r="E239" i="55"/>
  <c r="E240" i="79"/>
  <c r="F240" s="1"/>
  <c r="E252" i="55"/>
  <c r="E253" i="79"/>
  <c r="E183" i="55"/>
  <c r="E184" i="79"/>
  <c r="F184" s="1"/>
  <c r="E185" i="55"/>
  <c r="E186" i="79"/>
  <c r="F186" s="1"/>
  <c r="E243" i="55"/>
  <c r="E244" i="79"/>
  <c r="F244" s="1"/>
  <c r="E190" i="55"/>
  <c r="E191" i="79"/>
  <c r="E257" i="55"/>
  <c r="E258" i="79"/>
  <c r="F258" s="1"/>
  <c r="E208" i="55"/>
  <c r="E209" i="79"/>
  <c r="F209" s="1"/>
  <c r="E94" i="55"/>
  <c r="E95" i="79"/>
  <c r="F95" s="1"/>
  <c r="E256" i="55"/>
  <c r="E257" i="79"/>
  <c r="F257" s="1"/>
  <c r="E192" i="55"/>
  <c r="E193" i="79"/>
  <c r="U29"/>
  <c r="U28" i="55"/>
  <c r="W275"/>
  <c r="Y275" s="1"/>
  <c r="Y276" i="79" s="1"/>
  <c r="Z276" s="1"/>
  <c r="AA276" s="1"/>
  <c r="W280" i="55"/>
  <c r="Y280" s="1"/>
  <c r="Y281" i="79" s="1"/>
  <c r="Z281" s="1"/>
  <c r="AA281" s="1"/>
  <c r="W288" i="55"/>
  <c r="Y288" s="1"/>
  <c r="Y289" i="79" s="1"/>
  <c r="Z289" s="1"/>
  <c r="AA289" s="1"/>
  <c r="W299" i="55"/>
  <c r="Y299" s="1"/>
  <c r="Y300" i="79" s="1"/>
  <c r="Z300" s="1"/>
  <c r="AA300" s="1"/>
  <c r="W301" i="55"/>
  <c r="Y301" s="1"/>
  <c r="Y302" i="79" s="1"/>
  <c r="Z302" s="1"/>
  <c r="AA302" s="1"/>
  <c r="W304" i="55"/>
  <c r="Y304" s="1"/>
  <c r="Y305" i="79" s="1"/>
  <c r="Z305" s="1"/>
  <c r="AA305" s="1"/>
  <c r="W306" i="55"/>
  <c r="Y306" s="1"/>
  <c r="Y307" i="79" s="1"/>
  <c r="Z307" s="1"/>
  <c r="AA307" s="1"/>
  <c r="W310" i="55"/>
  <c r="Y310" s="1"/>
  <c r="Y311" i="79" s="1"/>
  <c r="Z311" s="1"/>
  <c r="AA311" s="1"/>
  <c r="W314" i="55"/>
  <c r="Y314" s="1"/>
  <c r="Y315" i="79" s="1"/>
  <c r="Z315" s="1"/>
  <c r="AA315" s="1"/>
  <c r="W318" i="55"/>
  <c r="Y318" s="1"/>
  <c r="Y319" i="79" s="1"/>
  <c r="Z319" s="1"/>
  <c r="AA319" s="1"/>
  <c r="W323" i="55"/>
  <c r="Y323" s="1"/>
  <c r="Y324" i="79" s="1"/>
  <c r="Z324" s="1"/>
  <c r="AA324" s="1"/>
  <c r="W326" i="55"/>
  <c r="Y326" s="1"/>
  <c r="Y327" i="79" s="1"/>
  <c r="Z327" s="1"/>
  <c r="AA327" s="1"/>
  <c r="W343" i="55"/>
  <c r="Y343" s="1"/>
  <c r="Y344" i="79" s="1"/>
  <c r="Z344" s="1"/>
  <c r="AA344" s="1"/>
  <c r="W345" i="55"/>
  <c r="Y345" s="1"/>
  <c r="Y346" i="79" s="1"/>
  <c r="Z346" s="1"/>
  <c r="AA346" s="1"/>
  <c r="W347" i="55"/>
  <c r="Y347" s="1"/>
  <c r="Y348" i="79" s="1"/>
  <c r="Z348" s="1"/>
  <c r="AA348" s="1"/>
  <c r="W349" i="55"/>
  <c r="Y349" s="1"/>
  <c r="Y350" i="79" s="1"/>
  <c r="Z350" s="1"/>
  <c r="AA350" s="1"/>
  <c r="W351" i="55"/>
  <c r="Y351" s="1"/>
  <c r="Y352" i="79" s="1"/>
  <c r="Z352" s="1"/>
  <c r="AA352" s="1"/>
  <c r="W353" i="55"/>
  <c r="Y353" s="1"/>
  <c r="Y354" i="79" s="1"/>
  <c r="Z354" s="1"/>
  <c r="AA354" s="1"/>
  <c r="W355" i="55"/>
  <c r="Y355" s="1"/>
  <c r="Y356" i="79" s="1"/>
  <c r="Z356" s="1"/>
  <c r="AA356" s="1"/>
  <c r="W357" i="55"/>
  <c r="Y357" s="1"/>
  <c r="Y358" i="79" s="1"/>
  <c r="Z358" s="1"/>
  <c r="AA358" s="1"/>
  <c r="W359" i="55"/>
  <c r="Y359" s="1"/>
  <c r="Y360" i="79" s="1"/>
  <c r="Z360" s="1"/>
  <c r="AA360" s="1"/>
  <c r="W361" i="55"/>
  <c r="Y361" s="1"/>
  <c r="Y362" i="79" s="1"/>
  <c r="Z362" s="1"/>
  <c r="AA362" s="1"/>
  <c r="A15" i="57"/>
  <c r="A17" s="1"/>
  <c r="A19" s="1"/>
  <c r="Y128" i="55"/>
  <c r="Y129" i="79" s="1"/>
  <c r="Y83" i="55"/>
  <c r="Y84" i="79" s="1"/>
  <c r="Z84" s="1"/>
  <c r="Y86" i="55"/>
  <c r="Y87" i="79" s="1"/>
  <c r="Z87" s="1"/>
  <c r="Y252" i="55"/>
  <c r="Y253" i="79" s="1"/>
  <c r="Y190" i="55"/>
  <c r="Y191" i="79" s="1"/>
  <c r="Y192" i="55"/>
  <c r="Y193" i="79" s="1"/>
  <c r="F257" i="55"/>
  <c r="Y257"/>
  <c r="Y258" i="79" s="1"/>
  <c r="Z258" s="1"/>
  <c r="Y94" i="55"/>
  <c r="Y95" i="79" s="1"/>
  <c r="Z95" s="1"/>
  <c r="Y214" i="55"/>
  <c r="Y215" i="79" s="1"/>
  <c r="Z215" s="1"/>
  <c r="W287" i="55"/>
  <c r="Y287" s="1"/>
  <c r="Y288" i="79" s="1"/>
  <c r="Z288" s="1"/>
  <c r="AA288" s="1"/>
  <c r="W298" i="55"/>
  <c r="Y298" s="1"/>
  <c r="Y299" i="79" s="1"/>
  <c r="Z299" s="1"/>
  <c r="AA299" s="1"/>
  <c r="Y121" i="55"/>
  <c r="Y122" i="79" s="1"/>
  <c r="Y205" i="55"/>
  <c r="Y206" i="79" s="1"/>
  <c r="Y181" i="55"/>
  <c r="Y182" i="79" s="1"/>
  <c r="Z182" s="1"/>
  <c r="Y251" i="55"/>
  <c r="Y252" i="79" s="1"/>
  <c r="Y103" i="55"/>
  <c r="Y104" i="79" s="1"/>
  <c r="Y244" i="55"/>
  <c r="Y245" i="79" s="1"/>
  <c r="Z245" s="1"/>
  <c r="F256" i="55"/>
  <c r="Y256"/>
  <c r="Y257" i="79" s="1"/>
  <c r="Z257" s="1"/>
  <c r="Y113" i="55"/>
  <c r="Y114" i="79" s="1"/>
  <c r="F210" i="55"/>
  <c r="Y210"/>
  <c r="Y211" i="79" s="1"/>
  <c r="Z211" s="1"/>
  <c r="Y204" i="55"/>
  <c r="Y205" i="79" s="1"/>
  <c r="Y114" i="55"/>
  <c r="Y115" i="79" s="1"/>
  <c r="W342" i="55"/>
  <c r="Y342" s="1"/>
  <c r="Y343" i="79" s="1"/>
  <c r="Z343" s="1"/>
  <c r="AA343" s="1"/>
  <c r="W344" i="55"/>
  <c r="Y344" s="1"/>
  <c r="Y345" i="79" s="1"/>
  <c r="Z345" s="1"/>
  <c r="AA345" s="1"/>
  <c r="W346" i="55"/>
  <c r="Y346" s="1"/>
  <c r="Y347" i="79" s="1"/>
  <c r="Z347" s="1"/>
  <c r="AA347" s="1"/>
  <c r="W348" i="55"/>
  <c r="Y348" s="1"/>
  <c r="Y349" i="79" s="1"/>
  <c r="Z349" s="1"/>
  <c r="AA349" s="1"/>
  <c r="W350" i="55"/>
  <c r="Y350" s="1"/>
  <c r="Y351" i="79" s="1"/>
  <c r="Z351" s="1"/>
  <c r="AA351" s="1"/>
  <c r="W352" i="55"/>
  <c r="Y352" s="1"/>
  <c r="Y353" i="79" s="1"/>
  <c r="Z353" s="1"/>
  <c r="AA353" s="1"/>
  <c r="W354" i="55"/>
  <c r="Y354" s="1"/>
  <c r="Y355" i="79" s="1"/>
  <c r="Z355" s="1"/>
  <c r="AA355" s="1"/>
  <c r="W356" i="55"/>
  <c r="Y356" s="1"/>
  <c r="Y357" i="79" s="1"/>
  <c r="Z357" s="1"/>
  <c r="AA357" s="1"/>
  <c r="W358" i="55"/>
  <c r="Y358" s="1"/>
  <c r="Y359" i="79" s="1"/>
  <c r="Z359" s="1"/>
  <c r="AA359" s="1"/>
  <c r="W360" i="55"/>
  <c r="Y360" s="1"/>
  <c r="Y361" i="79" s="1"/>
  <c r="Z361" s="1"/>
  <c r="AA361" s="1"/>
  <c r="W279" i="55"/>
  <c r="Y279" s="1"/>
  <c r="Y280" i="79" s="1"/>
  <c r="Z280" s="1"/>
  <c r="AA280" s="1"/>
  <c r="W285" i="55"/>
  <c r="Y285" s="1"/>
  <c r="Y286" i="79" s="1"/>
  <c r="Z286" s="1"/>
  <c r="AA286" s="1"/>
  <c r="W297" i="55"/>
  <c r="Y297" s="1"/>
  <c r="Y298" i="79" s="1"/>
  <c r="Z298" s="1"/>
  <c r="AA298" s="1"/>
  <c r="Y127" i="55"/>
  <c r="Y128" i="79" s="1"/>
  <c r="W9" i="55"/>
  <c r="Y9" s="1"/>
  <c r="Y10" i="79" s="1"/>
  <c r="Z10" s="1"/>
  <c r="F161" i="55"/>
  <c r="Y161"/>
  <c r="Y162" i="79" s="1"/>
  <c r="Z162" s="1"/>
  <c r="Y88" i="55"/>
  <c r="Y89" i="79" s="1"/>
  <c r="Z89" s="1"/>
  <c r="Y239" i="55"/>
  <c r="Y240" i="79" s="1"/>
  <c r="Z240" s="1"/>
  <c r="Y183" i="55"/>
  <c r="Y184" i="79" s="1"/>
  <c r="Z184" s="1"/>
  <c r="Y185" i="55"/>
  <c r="Y186" i="79" s="1"/>
  <c r="Z186" s="1"/>
  <c r="Y208" i="55"/>
  <c r="Y209" i="79" s="1"/>
  <c r="Z209" s="1"/>
  <c r="Y112" i="55"/>
  <c r="Y113" i="79" s="1"/>
  <c r="W277" i="55"/>
  <c r="Y277" s="1"/>
  <c r="Y278" i="79" s="1"/>
  <c r="Z278" s="1"/>
  <c r="AA278" s="1"/>
  <c r="W282" i="55"/>
  <c r="Y282" s="1"/>
  <c r="Y283" i="79" s="1"/>
  <c r="Z283" s="1"/>
  <c r="AA283" s="1"/>
  <c r="W290" i="55"/>
  <c r="Y290" s="1"/>
  <c r="Y291" i="79" s="1"/>
  <c r="Z291" s="1"/>
  <c r="AA291" s="1"/>
  <c r="W295" i="55"/>
  <c r="Y295" s="1"/>
  <c r="Y296" i="79" s="1"/>
  <c r="Z296" s="1"/>
  <c r="AA296" s="1"/>
  <c r="W303" i="55"/>
  <c r="Y303" s="1"/>
  <c r="Y304" i="79" s="1"/>
  <c r="Z304" s="1"/>
  <c r="AA304" s="1"/>
  <c r="W309" i="55"/>
  <c r="Y309" s="1"/>
  <c r="Y310" i="79" s="1"/>
  <c r="Z310" s="1"/>
  <c r="AA310" s="1"/>
  <c r="W313" i="55"/>
  <c r="Y313" s="1"/>
  <c r="Y314" i="79" s="1"/>
  <c r="Z314" s="1"/>
  <c r="AA314" s="1"/>
  <c r="W317" i="55"/>
  <c r="Y317" s="1"/>
  <c r="Y318" i="79" s="1"/>
  <c r="Z318" s="1"/>
  <c r="AA318" s="1"/>
  <c r="W320" i="55"/>
  <c r="Y320" s="1"/>
  <c r="Y321" i="79" s="1"/>
  <c r="Z321" s="1"/>
  <c r="AA321" s="1"/>
  <c r="W322" i="55"/>
  <c r="Y322" s="1"/>
  <c r="Y323" i="79" s="1"/>
  <c r="Z323" s="1"/>
  <c r="AA323" s="1"/>
  <c r="W325" i="55"/>
  <c r="Y325" s="1"/>
  <c r="Y326" i="79" s="1"/>
  <c r="Z326" s="1"/>
  <c r="AA326" s="1"/>
  <c r="W329" i="55"/>
  <c r="Y329" s="1"/>
  <c r="Y330" i="79" s="1"/>
  <c r="Z330" s="1"/>
  <c r="AA330" s="1"/>
  <c r="W331" i="55"/>
  <c r="Y331" s="1"/>
  <c r="Y332" i="79" s="1"/>
  <c r="Z332" s="1"/>
  <c r="AA332" s="1"/>
  <c r="W333" i="55"/>
  <c r="Y333" s="1"/>
  <c r="Y334" i="79" s="1"/>
  <c r="Z334" s="1"/>
  <c r="AA334" s="1"/>
  <c r="W335" i="55"/>
  <c r="Y335" s="1"/>
  <c r="Y336" i="79" s="1"/>
  <c r="Z336" s="1"/>
  <c r="AA336" s="1"/>
  <c r="W337" i="55"/>
  <c r="Y337" s="1"/>
  <c r="Y338" i="79" s="1"/>
  <c r="Z338" s="1"/>
  <c r="AA338" s="1"/>
  <c r="W339" i="55"/>
  <c r="Y339" s="1"/>
  <c r="Y340" i="79" s="1"/>
  <c r="Z340" s="1"/>
  <c r="AA340" s="1"/>
  <c r="W274" i="55"/>
  <c r="Y274" s="1"/>
  <c r="Y275" i="79" s="1"/>
  <c r="Z275" s="1"/>
  <c r="AA275" s="1"/>
  <c r="W283" i="55"/>
  <c r="Y283" s="1"/>
  <c r="Y284" i="79" s="1"/>
  <c r="Z284" s="1"/>
  <c r="AA284" s="1"/>
  <c r="W291" i="55"/>
  <c r="Y291" s="1"/>
  <c r="Y292" i="79" s="1"/>
  <c r="Z292" s="1"/>
  <c r="AA292" s="1"/>
  <c r="W296" i="55"/>
  <c r="Y296" s="1"/>
  <c r="Y297" i="79" s="1"/>
  <c r="Z297" s="1"/>
  <c r="AA297" s="1"/>
  <c r="Y243" i="55"/>
  <c r="Y244" i="79" s="1"/>
  <c r="Z244" s="1"/>
  <c r="Y62" i="55"/>
  <c r="Y63" i="79" s="1"/>
  <c r="Z63" s="1"/>
  <c r="Y70" i="55"/>
  <c r="Y71" i="79" s="1"/>
  <c r="Y87" i="55"/>
  <c r="Y88" i="79" s="1"/>
  <c r="Z88" s="1"/>
  <c r="Y96" i="55"/>
  <c r="Y97" i="79" s="1"/>
  <c r="Z97" s="1"/>
  <c r="Y253" i="55"/>
  <c r="Y254" i="79" s="1"/>
  <c r="Z254" s="1"/>
  <c r="Y223" i="55"/>
  <c r="Y224" i="79" s="1"/>
  <c r="Z224" s="1"/>
  <c r="Y111" i="55"/>
  <c r="Y112" i="79" s="1"/>
  <c r="Z112" s="1"/>
  <c r="W272" i="55"/>
  <c r="Y272" s="1"/>
  <c r="Y273" i="79" s="1"/>
  <c r="Z273" s="1"/>
  <c r="AA273" s="1"/>
  <c r="W281" i="55"/>
  <c r="Y281" s="1"/>
  <c r="Y282" i="79" s="1"/>
  <c r="Z282" s="1"/>
  <c r="AA282" s="1"/>
  <c r="W289" i="55"/>
  <c r="Y289" s="1"/>
  <c r="Y290" i="79" s="1"/>
  <c r="Z290" s="1"/>
  <c r="AA290" s="1"/>
  <c r="W293" i="55"/>
  <c r="Y293" s="1"/>
  <c r="Y294" i="79" s="1"/>
  <c r="Z294" s="1"/>
  <c r="AA294" s="1"/>
  <c r="W176" i="55"/>
  <c r="H72" i="70"/>
  <c r="G73" s="1"/>
  <c r="H1929"/>
  <c r="P325" i="55"/>
  <c r="P317"/>
  <c r="Z257"/>
  <c r="N271"/>
  <c r="N276"/>
  <c r="N284"/>
  <c r="N292"/>
  <c r="N300"/>
  <c r="N305"/>
  <c r="N308"/>
  <c r="N312"/>
  <c r="N316"/>
  <c r="P320"/>
  <c r="P323"/>
  <c r="N328"/>
  <c r="N330"/>
  <c r="N332"/>
  <c r="N334"/>
  <c r="N336"/>
  <c r="N338"/>
  <c r="N340"/>
  <c r="R272"/>
  <c r="R281"/>
  <c r="R289"/>
  <c r="R293"/>
  <c r="Z256"/>
  <c r="N277"/>
  <c r="N282"/>
  <c r="N290"/>
  <c r="N295"/>
  <c r="N303"/>
  <c r="N309"/>
  <c r="N313"/>
  <c r="P318"/>
  <c r="P321"/>
  <c r="N342"/>
  <c r="N344"/>
  <c r="N346"/>
  <c r="N348"/>
  <c r="N350"/>
  <c r="N352"/>
  <c r="N354"/>
  <c r="N356"/>
  <c r="N358"/>
  <c r="N360"/>
  <c r="R287"/>
  <c r="R298"/>
  <c r="Z161"/>
  <c r="N275"/>
  <c r="N280"/>
  <c r="N288"/>
  <c r="N299"/>
  <c r="N301"/>
  <c r="N304"/>
  <c r="N306"/>
  <c r="N310"/>
  <c r="N314"/>
  <c r="P324"/>
  <c r="N329"/>
  <c r="N331"/>
  <c r="N333"/>
  <c r="N335"/>
  <c r="N337"/>
  <c r="N339"/>
  <c r="R279"/>
  <c r="R285"/>
  <c r="R297"/>
  <c r="N273"/>
  <c r="N278"/>
  <c r="N286"/>
  <c r="N294"/>
  <c r="N302"/>
  <c r="N307"/>
  <c r="N311"/>
  <c r="P315"/>
  <c r="P319"/>
  <c r="P322"/>
  <c r="N326"/>
  <c r="N343"/>
  <c r="N345"/>
  <c r="N347"/>
  <c r="N349"/>
  <c r="N351"/>
  <c r="N353"/>
  <c r="N355"/>
  <c r="N357"/>
  <c r="N359"/>
  <c r="N361"/>
  <c r="R274"/>
  <c r="R283"/>
  <c r="R291"/>
  <c r="R296"/>
  <c r="G110" i="78"/>
  <c r="G112" s="1"/>
  <c r="I110"/>
  <c r="I112" s="1"/>
  <c r="H92"/>
  <c r="H93" s="1"/>
  <c r="H84"/>
  <c r="H85" s="1"/>
  <c r="H65"/>
  <c r="H66" s="1"/>
  <c r="H67" s="1"/>
  <c r="H68" s="1"/>
  <c r="H69" s="1"/>
  <c r="H70" s="1"/>
  <c r="H58"/>
  <c r="H59" s="1"/>
  <c r="H46"/>
  <c r="H47" s="1"/>
  <c r="H39"/>
  <c r="H40" s="1"/>
  <c r="H30"/>
  <c r="H31" s="1"/>
  <c r="H20"/>
  <c r="H21" s="1"/>
  <c r="H13"/>
  <c r="H14" s="1"/>
  <c r="H15" i="74"/>
  <c r="G16" s="1"/>
  <c r="M14" i="55" s="1"/>
  <c r="W14" s="1"/>
  <c r="H9" i="78"/>
  <c r="H10" s="1"/>
  <c r="H36" i="76"/>
  <c r="G37" s="1"/>
  <c r="K178" i="55" s="1"/>
  <c r="W178" s="1"/>
  <c r="Y178" s="1"/>
  <c r="Y179" i="79" s="1"/>
  <c r="H17" i="76"/>
  <c r="G18" s="1"/>
  <c r="K21" i="55" s="1"/>
  <c r="H22" i="76"/>
  <c r="G23" s="1"/>
  <c r="K28" i="55" s="1"/>
  <c r="W28" s="1"/>
  <c r="Y28" s="1"/>
  <c r="Y29" i="79" s="1"/>
  <c r="H90" i="73"/>
  <c r="H97"/>
  <c r="X364" i="55"/>
  <c r="AC358"/>
  <c r="H1380" i="70"/>
  <c r="G1381" s="1"/>
  <c r="E202" i="55"/>
  <c r="H1954" i="70"/>
  <c r="H1948"/>
  <c r="AC325" i="55"/>
  <c r="H1982" i="70"/>
  <c r="G1983" s="1"/>
  <c r="AC273" i="55"/>
  <c r="AC311"/>
  <c r="AC312"/>
  <c r="AC283"/>
  <c r="AC307"/>
  <c r="AC308"/>
  <c r="AC345"/>
  <c r="AC356"/>
  <c r="AC289"/>
  <c r="H976" i="70"/>
  <c r="H977" s="1"/>
  <c r="G978" s="1"/>
  <c r="H1056"/>
  <c r="G1057" s="1"/>
  <c r="H959"/>
  <c r="E67" i="79" s="1"/>
  <c r="F67" s="1"/>
  <c r="AC319" i="55"/>
  <c r="AC286"/>
  <c r="AC348"/>
  <c r="AC360"/>
  <c r="AC302"/>
  <c r="H1375" i="70"/>
  <c r="G1376" s="1"/>
  <c r="H1065"/>
  <c r="G1066" s="1"/>
  <c r="H2025"/>
  <c r="H2032" s="1"/>
  <c r="H2037"/>
  <c r="G2038" s="1"/>
  <c r="H271"/>
  <c r="G272" s="1"/>
  <c r="H117"/>
  <c r="G118" s="1"/>
  <c r="E21" i="55" s="1"/>
  <c r="H1276" i="70"/>
  <c r="G1277" s="1"/>
  <c r="H1123"/>
  <c r="G1124" s="1"/>
  <c r="H1593"/>
  <c r="Y369" i="55"/>
  <c r="Z369" s="1"/>
  <c r="AC277"/>
  <c r="AC279"/>
  <c r="AC281"/>
  <c r="AC288"/>
  <c r="AC293"/>
  <c r="AC297"/>
  <c r="AC299"/>
  <c r="AC309"/>
  <c r="AC313"/>
  <c r="AC320"/>
  <c r="AC335"/>
  <c r="AC342"/>
  <c r="AC347"/>
  <c r="AC355"/>
  <c r="AC287"/>
  <c r="AC298"/>
  <c r="AC316"/>
  <c r="AC334"/>
  <c r="AC282"/>
  <c r="AC290"/>
  <c r="AC295"/>
  <c r="AC324"/>
  <c r="AC328"/>
  <c r="AC329"/>
  <c r="AC332"/>
  <c r="AC340"/>
  <c r="AC346"/>
  <c r="AC351"/>
  <c r="AC357"/>
  <c r="AC361"/>
  <c r="AC274"/>
  <c r="AC276"/>
  <c r="AC303"/>
  <c r="AC314"/>
  <c r="AC323"/>
  <c r="AC338"/>
  <c r="AC349"/>
  <c r="AC278"/>
  <c r="AC315"/>
  <c r="AC317"/>
  <c r="AC343"/>
  <c r="AC354"/>
  <c r="AC359"/>
  <c r="AC272"/>
  <c r="AC301"/>
  <c r="AC330"/>
  <c r="AC275"/>
  <c r="AC291"/>
  <c r="AC294"/>
  <c r="AC296"/>
  <c r="AC304"/>
  <c r="AC322"/>
  <c r="AC331"/>
  <c r="AC350"/>
  <c r="AC352"/>
  <c r="AC280"/>
  <c r="AC285"/>
  <c r="AC306"/>
  <c r="AC310"/>
  <c r="AC337"/>
  <c r="M327"/>
  <c r="W327" s="1"/>
  <c r="Y327" s="1"/>
  <c r="Y328" i="79" s="1"/>
  <c r="Z328" s="1"/>
  <c r="AA328" s="1"/>
  <c r="AC333" i="55"/>
  <c r="AC336"/>
  <c r="AC339"/>
  <c r="AC271"/>
  <c r="AC284"/>
  <c r="AC292"/>
  <c r="AC300"/>
  <c r="AC305"/>
  <c r="AC318"/>
  <c r="AC321"/>
  <c r="AC326"/>
  <c r="AC344"/>
  <c r="AC353"/>
  <c r="Z368"/>
  <c r="V368"/>
  <c r="V366"/>
  <c r="X368"/>
  <c r="V367"/>
  <c r="T367"/>
  <c r="X363"/>
  <c r="T368"/>
  <c r="X367"/>
  <c r="T366"/>
  <c r="H562" i="70"/>
  <c r="G563" s="1"/>
  <c r="H1893"/>
  <c r="H657"/>
  <c r="G658" s="1"/>
  <c r="H1531"/>
  <c r="G1532" s="1"/>
  <c r="H1634"/>
  <c r="H1661"/>
  <c r="H2010"/>
  <c r="H202"/>
  <c r="G203" s="1"/>
  <c r="H549"/>
  <c r="G550" s="1"/>
  <c r="H1807"/>
  <c r="H894"/>
  <c r="G895" s="1"/>
  <c r="H1282"/>
  <c r="G1283" s="1"/>
  <c r="G1561"/>
  <c r="H328"/>
  <c r="G329" s="1"/>
  <c r="H400"/>
  <c r="G401" s="1"/>
  <c r="H462"/>
  <c r="G463" s="1"/>
  <c r="H497"/>
  <c r="G498" s="1"/>
  <c r="H524"/>
  <c r="G525" s="1"/>
  <c r="H1544"/>
  <c r="G1545" s="1"/>
  <c r="H543"/>
  <c r="G544" s="1"/>
  <c r="H943"/>
  <c r="G944" s="1"/>
  <c r="H991"/>
  <c r="G992" s="1"/>
  <c r="H386"/>
  <c r="H388" s="1"/>
  <c r="G389" s="1"/>
  <c r="H646"/>
  <c r="G647" s="1"/>
  <c r="H652"/>
  <c r="G653" s="1"/>
  <c r="H662"/>
  <c r="G663" s="1"/>
  <c r="H834"/>
  <c r="H843" s="1"/>
  <c r="G844" s="1"/>
  <c r="H1575"/>
  <c r="H1576" s="1"/>
  <c r="H1626"/>
  <c r="H2005"/>
  <c r="H487"/>
  <c r="G488" s="1"/>
  <c r="H537"/>
  <c r="G538" s="1"/>
  <c r="H556"/>
  <c r="G557" s="1"/>
  <c r="H934"/>
  <c r="G935" s="1"/>
  <c r="H1134"/>
  <c r="G1135" s="1"/>
  <c r="H1715"/>
  <c r="H50"/>
  <c r="G51" s="1"/>
  <c r="H435"/>
  <c r="G436" s="1"/>
  <c r="H504"/>
  <c r="G505" s="1"/>
  <c r="H625"/>
  <c r="G626" s="1"/>
  <c r="H631"/>
  <c r="G632" s="1"/>
  <c r="H736"/>
  <c r="G737" s="1"/>
  <c r="H904"/>
  <c r="G905" s="1"/>
  <c r="H921"/>
  <c r="G922" s="1"/>
  <c r="H987"/>
  <c r="G988" s="1"/>
  <c r="H1006"/>
  <c r="G1007" s="1"/>
  <c r="H1368"/>
  <c r="G1369" s="1"/>
  <c r="H1619"/>
  <c r="G1620" s="1"/>
  <c r="H1652"/>
  <c r="G1653" s="1"/>
  <c r="H1849"/>
  <c r="H1889"/>
  <c r="H1995"/>
  <c r="H2016"/>
  <c r="H61"/>
  <c r="G62" s="1"/>
  <c r="H915"/>
  <c r="G916" s="1"/>
  <c r="H927"/>
  <c r="G928" s="1"/>
  <c r="H1075"/>
  <c r="H1113"/>
  <c r="G1114" s="1"/>
  <c r="H1385"/>
  <c r="E82" i="79" s="1"/>
  <c r="H1500" i="70"/>
  <c r="G1501" s="1"/>
  <c r="H1754"/>
  <c r="H1780"/>
  <c r="H1830"/>
  <c r="H1923"/>
  <c r="H1924" s="1"/>
  <c r="H2000"/>
  <c r="E138" i="55"/>
  <c r="E221" i="79" l="1"/>
  <c r="F221" s="1"/>
  <c r="E135" i="55"/>
  <c r="H1076" i="70"/>
  <c r="H1081" s="1"/>
  <c r="H1082" s="1"/>
  <c r="G1083" s="1"/>
  <c r="E197" i="79"/>
  <c r="E78"/>
  <c r="E138"/>
  <c r="G1594" i="70"/>
  <c r="E22" i="79"/>
  <c r="E143" i="55"/>
  <c r="Y143" s="1"/>
  <c r="Y144" i="79" s="1"/>
  <c r="E144"/>
  <c r="E194" i="55"/>
  <c r="E195" i="79"/>
  <c r="E189" i="55"/>
  <c r="E190" i="79"/>
  <c r="E14" i="55"/>
  <c r="E15" i="79"/>
  <c r="E255" i="55"/>
  <c r="E256" i="79"/>
  <c r="F256" s="1"/>
  <c r="E184" i="55"/>
  <c r="E185" i="79"/>
  <c r="F185" s="1"/>
  <c r="E67" i="55"/>
  <c r="E68" i="79"/>
  <c r="E123" i="55"/>
  <c r="E124" i="79"/>
  <c r="E38" i="55"/>
  <c r="E39" i="79"/>
  <c r="E73" i="55"/>
  <c r="E74" i="79"/>
  <c r="E150" i="55"/>
  <c r="E151" i="79"/>
  <c r="F151" s="1"/>
  <c r="E234" i="55"/>
  <c r="E235" i="79"/>
  <c r="E69" i="55"/>
  <c r="E70" i="79"/>
  <c r="E262" i="55"/>
  <c r="E263" i="79"/>
  <c r="F263" s="1"/>
  <c r="E191" i="55"/>
  <c r="E192" i="79"/>
  <c r="E170" i="55"/>
  <c r="E171" i="79"/>
  <c r="E167" i="55"/>
  <c r="E168" i="79"/>
  <c r="E261" i="55"/>
  <c r="E262" i="79"/>
  <c r="F262" s="1"/>
  <c r="E106" i="55"/>
  <c r="E107" i="79"/>
  <c r="E97" i="55"/>
  <c r="E98" i="79"/>
  <c r="F98" s="1"/>
  <c r="E224" i="55"/>
  <c r="E225" i="79"/>
  <c r="E168" i="55"/>
  <c r="E169" i="79"/>
  <c r="F169" s="1"/>
  <c r="E149" i="55"/>
  <c r="E150" i="79"/>
  <c r="F150" s="1"/>
  <c r="E122" i="55"/>
  <c r="E123" i="79"/>
  <c r="E31" i="55"/>
  <c r="E32" i="79"/>
  <c r="E188" i="55"/>
  <c r="E189" i="79"/>
  <c r="E164" i="55"/>
  <c r="E165" i="79"/>
  <c r="E40" i="55"/>
  <c r="E41" i="79"/>
  <c r="E263" i="55"/>
  <c r="E264" i="79"/>
  <c r="F264" s="1"/>
  <c r="E177" i="55"/>
  <c r="E178" i="79"/>
  <c r="F178" s="1"/>
  <c r="E236" i="55"/>
  <c r="E237" i="79"/>
  <c r="E129" i="55"/>
  <c r="E130" i="79"/>
  <c r="E160" i="55"/>
  <c r="E161" i="79"/>
  <c r="F161" s="1"/>
  <c r="E226"/>
  <c r="F226" s="1"/>
  <c r="E85"/>
  <c r="F85" s="1"/>
  <c r="E34" i="55"/>
  <c r="E35" i="79"/>
  <c r="E1567" i="70"/>
  <c r="H1567" s="1"/>
  <c r="E139" i="79"/>
  <c r="E85" i="55"/>
  <c r="E86" i="79"/>
  <c r="F86" s="1"/>
  <c r="E151" i="55"/>
  <c r="E152" i="79"/>
  <c r="F152" s="1"/>
  <c r="E44" i="55"/>
  <c r="E45" i="79"/>
  <c r="E104" i="55"/>
  <c r="E105" i="79"/>
  <c r="F105" s="1"/>
  <c r="E219" i="55"/>
  <c r="E220" i="79"/>
  <c r="F220" s="1"/>
  <c r="E71" i="55"/>
  <c r="E72" i="79"/>
  <c r="E267" i="55"/>
  <c r="E268" i="79"/>
  <c r="F268" s="1"/>
  <c r="E228" i="55"/>
  <c r="E229" i="79"/>
  <c r="E227" i="55"/>
  <c r="E228" i="79"/>
  <c r="E207" i="55"/>
  <c r="E208" i="79"/>
  <c r="F208" s="1"/>
  <c r="E80" i="55"/>
  <c r="E81" i="79"/>
  <c r="E197" i="55"/>
  <c r="E198" i="79"/>
  <c r="Z210" i="55"/>
  <c r="E265"/>
  <c r="Y265" s="1"/>
  <c r="E266" i="79"/>
  <c r="F266" s="1"/>
  <c r="E58" i="55"/>
  <c r="E59" i="79"/>
  <c r="E6" i="55"/>
  <c r="E7" i="79"/>
  <c r="F7" s="1"/>
  <c r="E45" i="55"/>
  <c r="Y45" s="1"/>
  <c r="Y46" i="79" s="1"/>
  <c r="E46"/>
  <c r="E33" i="55"/>
  <c r="Y33" s="1"/>
  <c r="Y34" i="79" s="1"/>
  <c r="E34"/>
  <c r="E179" i="55"/>
  <c r="E180" i="79"/>
  <c r="F180" s="1"/>
  <c r="E41" i="55"/>
  <c r="E42" i="79"/>
  <c r="E39" i="55"/>
  <c r="E40" i="79"/>
  <c r="E32" i="55"/>
  <c r="Y32" s="1"/>
  <c r="Y33" i="79" s="1"/>
  <c r="E33"/>
  <c r="E1564" i="70"/>
  <c r="H1564" s="1"/>
  <c r="E136" i="79"/>
  <c r="E76" i="55"/>
  <c r="Y76" s="1"/>
  <c r="Y77" i="79" s="1"/>
  <c r="E77"/>
  <c r="E193" i="55"/>
  <c r="Y193" s="1"/>
  <c r="Y194" i="79" s="1"/>
  <c r="E194"/>
  <c r="E1563" i="70"/>
  <c r="H1563" s="1"/>
  <c r="E135" i="79"/>
  <c r="E264" i="55"/>
  <c r="Y264" s="1"/>
  <c r="E265" i="79"/>
  <c r="F265" s="1"/>
  <c r="E238" i="55"/>
  <c r="E239" i="79"/>
  <c r="F239" s="1"/>
  <c r="E235" i="55"/>
  <c r="E236" i="79"/>
  <c r="E46" i="55"/>
  <c r="Y46" s="1"/>
  <c r="Y47" i="79" s="1"/>
  <c r="E47"/>
  <c r="E89" i="55"/>
  <c r="E90" i="79"/>
  <c r="F90" s="1"/>
  <c r="E79" i="55"/>
  <c r="Y79" s="1"/>
  <c r="Y80" i="79" s="1"/>
  <c r="E80"/>
  <c r="E65" i="55"/>
  <c r="E66" i="79"/>
  <c r="F66" s="1"/>
  <c r="E116" i="55"/>
  <c r="F116" s="1"/>
  <c r="E117" i="79"/>
  <c r="F117" s="1"/>
  <c r="E199" i="55"/>
  <c r="Y199" s="1"/>
  <c r="Y200" i="79" s="1"/>
  <c r="E200"/>
  <c r="E259"/>
  <c r="F259" s="1"/>
  <c r="E255"/>
  <c r="F255" s="1"/>
  <c r="E75" i="55"/>
  <c r="E76" i="79"/>
  <c r="E59" i="55"/>
  <c r="Y59" s="1"/>
  <c r="Y60" i="79" s="1"/>
  <c r="E60"/>
  <c r="U152"/>
  <c r="U151" i="55"/>
  <c r="W151" s="1"/>
  <c r="Y151" s="1"/>
  <c r="Y152" i="79" s="1"/>
  <c r="Z152" s="1"/>
  <c r="U150"/>
  <c r="U149" i="55"/>
  <c r="W149" s="1"/>
  <c r="Y149" s="1"/>
  <c r="Y150" i="79" s="1"/>
  <c r="Z150" s="1"/>
  <c r="H72" i="78"/>
  <c r="U76" i="79"/>
  <c r="U75" i="55"/>
  <c r="W75" s="1"/>
  <c r="Y75" s="1"/>
  <c r="Y76" i="79" s="1"/>
  <c r="W29"/>
  <c r="U135"/>
  <c r="U134" i="55"/>
  <c r="W134" s="1"/>
  <c r="U22" i="79"/>
  <c r="U21" i="55"/>
  <c r="W21" s="1"/>
  <c r="Y21" s="1"/>
  <c r="Y22" i="79" s="1"/>
  <c r="U7"/>
  <c r="U6" i="55"/>
  <c r="W6" s="1"/>
  <c r="A20" i="57"/>
  <c r="A21" s="1"/>
  <c r="A22" s="1"/>
  <c r="A25" s="1"/>
  <c r="A26" s="1"/>
  <c r="A28" s="1"/>
  <c r="A29" s="1"/>
  <c r="A30" s="1"/>
  <c r="A31" s="1"/>
  <c r="F262" i="55"/>
  <c r="Y262"/>
  <c r="Y263" i="79" s="1"/>
  <c r="Z263" s="1"/>
  <c r="Y191" i="55"/>
  <c r="Y192" i="79" s="1"/>
  <c r="Y170" i="55"/>
  <c r="Y171" i="79" s="1"/>
  <c r="F261" i="55"/>
  <c r="Y261"/>
  <c r="Y262" i="79" s="1"/>
  <c r="Z262" s="1"/>
  <c r="Y97" i="55"/>
  <c r="Y98" i="79" s="1"/>
  <c r="Z98" s="1"/>
  <c r="Y168" i="55"/>
  <c r="Y169" i="79" s="1"/>
  <c r="Z169" s="1"/>
  <c r="Y122" i="55"/>
  <c r="Y123" i="79" s="1"/>
  <c r="Y188" i="55"/>
  <c r="Y189" i="79" s="1"/>
  <c r="Y40" i="55"/>
  <c r="Y41" i="79" s="1"/>
  <c r="Y177" i="55"/>
  <c r="Y178" i="79" s="1"/>
  <c r="Z178" s="1"/>
  <c r="Y129" i="55"/>
  <c r="Y130" i="79" s="1"/>
  <c r="F160" i="55"/>
  <c r="Y160"/>
  <c r="Y161" i="79" s="1"/>
  <c r="Z161" s="1"/>
  <c r="Y34" i="55"/>
  <c r="Y35" i="79" s="1"/>
  <c r="Y44" i="55"/>
  <c r="Y45" i="79" s="1"/>
  <c r="Y104" i="55"/>
  <c r="Y105" i="79" s="1"/>
  <c r="Z105" s="1"/>
  <c r="Y202" i="55"/>
  <c r="Y203" i="79" s="1"/>
  <c r="Y138" i="55"/>
  <c r="Y139" i="79" s="1"/>
  <c r="Y194" i="55"/>
  <c r="Y195" i="79" s="1"/>
  <c r="F265" i="55"/>
  <c r="Y184"/>
  <c r="Y185" i="79" s="1"/>
  <c r="Z185" s="1"/>
  <c r="Y67" i="55"/>
  <c r="Y68" i="79" s="1"/>
  <c r="Y123" i="55"/>
  <c r="Y124" i="79" s="1"/>
  <c r="Y179" i="55"/>
  <c r="Y180" i="79" s="1"/>
  <c r="Z180" s="1"/>
  <c r="Y234" i="55"/>
  <c r="Y235" i="79" s="1"/>
  <c r="Y39" i="55"/>
  <c r="Y40" i="79" s="1"/>
  <c r="F264" i="55"/>
  <c r="Y235"/>
  <c r="Y236" i="79" s="1"/>
  <c r="Y71" i="55"/>
  <c r="Y72" i="79" s="1"/>
  <c r="F267" i="55"/>
  <c r="Y267"/>
  <c r="Y268" i="79" s="1"/>
  <c r="Z268" s="1"/>
  <c r="F207" i="55"/>
  <c r="Y207"/>
  <c r="Y208" i="79" s="1"/>
  <c r="Z208" s="1"/>
  <c r="Y85" i="55"/>
  <c r="Y86" i="79" s="1"/>
  <c r="Z86" s="1"/>
  <c r="Y167" i="55"/>
  <c r="Y168" i="79" s="1"/>
  <c r="Y135" i="55"/>
  <c r="Y136" i="79" s="1"/>
  <c r="Y106" i="55"/>
  <c r="Y107" i="79" s="1"/>
  <c r="Y224" i="55"/>
  <c r="Y225" i="79" s="1"/>
  <c r="Y31" i="55"/>
  <c r="Y32" i="79" s="1"/>
  <c r="Y164" i="55"/>
  <c r="Y165" i="79" s="1"/>
  <c r="F263" i="55"/>
  <c r="Y263"/>
  <c r="Y264" i="79" s="1"/>
  <c r="Z264" s="1"/>
  <c r="Y236" i="55"/>
  <c r="Y237" i="79" s="1"/>
  <c r="Y89" i="55"/>
  <c r="Y90" i="79" s="1"/>
  <c r="Z90" s="1"/>
  <c r="Y65" i="55"/>
  <c r="Y66" i="79" s="1"/>
  <c r="Z66" s="1"/>
  <c r="Y14" i="55"/>
  <c r="Y15" i="79" s="1"/>
  <c r="Y189" i="55"/>
  <c r="Y190" i="79" s="1"/>
  <c r="F255" i="55"/>
  <c r="Y255"/>
  <c r="Y58"/>
  <c r="Y59" i="79" s="1"/>
  <c r="Y38" i="55"/>
  <c r="Y39" i="79" s="1"/>
  <c r="Y73" i="55"/>
  <c r="Y74" i="79" s="1"/>
  <c r="Y41" i="55"/>
  <c r="Y42" i="79" s="1"/>
  <c r="Y238" i="55"/>
  <c r="Y239" i="79" s="1"/>
  <c r="Z239" s="1"/>
  <c r="Y228" i="55"/>
  <c r="Y229" i="79" s="1"/>
  <c r="Y227" i="55"/>
  <c r="Y228" i="79" s="1"/>
  <c r="Y80" i="55"/>
  <c r="Y81" i="79" s="1"/>
  <c r="Y197" i="55"/>
  <c r="Y198" i="79" s="1"/>
  <c r="Y150" i="55"/>
  <c r="Y151" i="79" s="1"/>
  <c r="Z151" s="1"/>
  <c r="Y69" i="55"/>
  <c r="Y70" i="79" s="1"/>
  <c r="E196" i="55"/>
  <c r="H1957" i="70"/>
  <c r="H1960"/>
  <c r="Z297" i="55"/>
  <c r="X297"/>
  <c r="Z279"/>
  <c r="X279"/>
  <c r="Z337"/>
  <c r="AA337" s="1"/>
  <c r="X337"/>
  <c r="Z333"/>
  <c r="AA333" s="1"/>
  <c r="X333"/>
  <c r="Z329"/>
  <c r="AA329" s="1"/>
  <c r="X329"/>
  <c r="Z314"/>
  <c r="AA314" s="1"/>
  <c r="X314"/>
  <c r="Z306"/>
  <c r="AA306" s="1"/>
  <c r="X306"/>
  <c r="Z301"/>
  <c r="AA301" s="1"/>
  <c r="X301"/>
  <c r="Z288"/>
  <c r="AA288" s="1"/>
  <c r="X288"/>
  <c r="Z275"/>
  <c r="AA275" s="1"/>
  <c r="X275"/>
  <c r="Z291"/>
  <c r="X291"/>
  <c r="Z274"/>
  <c r="X274"/>
  <c r="Z359"/>
  <c r="AA359" s="1"/>
  <c r="X359"/>
  <c r="Z355"/>
  <c r="AA355" s="1"/>
  <c r="X355"/>
  <c r="Z351"/>
  <c r="AA351" s="1"/>
  <c r="X351"/>
  <c r="Z347"/>
  <c r="AA347" s="1"/>
  <c r="X347"/>
  <c r="Z343"/>
  <c r="AA343" s="1"/>
  <c r="X343"/>
  <c r="Z322"/>
  <c r="X322"/>
  <c r="Z315"/>
  <c r="X315"/>
  <c r="Z307"/>
  <c r="AA307" s="1"/>
  <c r="X307"/>
  <c r="Z294"/>
  <c r="AA294" s="1"/>
  <c r="X294"/>
  <c r="Z278"/>
  <c r="AA278" s="1"/>
  <c r="X278"/>
  <c r="Z287"/>
  <c r="X287"/>
  <c r="Z358"/>
  <c r="AA358" s="1"/>
  <c r="X358"/>
  <c r="Z354"/>
  <c r="AA354" s="1"/>
  <c r="X354"/>
  <c r="Z350"/>
  <c r="AA350" s="1"/>
  <c r="X350"/>
  <c r="Z346"/>
  <c r="AA346" s="1"/>
  <c r="X346"/>
  <c r="Z342"/>
  <c r="AA342" s="1"/>
  <c r="X342"/>
  <c r="Z318"/>
  <c r="AA318" s="1"/>
  <c r="X318"/>
  <c r="Z309"/>
  <c r="X309"/>
  <c r="Z295"/>
  <c r="AA295" s="1"/>
  <c r="X295"/>
  <c r="Z282"/>
  <c r="AA282" s="1"/>
  <c r="X282"/>
  <c r="Z293"/>
  <c r="AA293" s="1"/>
  <c r="X293"/>
  <c r="Z281"/>
  <c r="AA281" s="1"/>
  <c r="X281"/>
  <c r="Z340"/>
  <c r="AA340" s="1"/>
  <c r="X340"/>
  <c r="Z336"/>
  <c r="AA336" s="1"/>
  <c r="X336"/>
  <c r="Z332"/>
  <c r="AA332" s="1"/>
  <c r="X332"/>
  <c r="Z328"/>
  <c r="AA328" s="1"/>
  <c r="X328"/>
  <c r="Z320"/>
  <c r="AA320" s="1"/>
  <c r="X320"/>
  <c r="Z312"/>
  <c r="AA312" s="1"/>
  <c r="X312"/>
  <c r="Z305"/>
  <c r="AA305" s="1"/>
  <c r="X305"/>
  <c r="Z292"/>
  <c r="AA292" s="1"/>
  <c r="X292"/>
  <c r="Z276"/>
  <c r="AA276" s="1"/>
  <c r="X276"/>
  <c r="Z325"/>
  <c r="AA325" s="1"/>
  <c r="X325"/>
  <c r="Z261"/>
  <c r="Z160"/>
  <c r="N327"/>
  <c r="Z207"/>
  <c r="Z285"/>
  <c r="AA285" s="1"/>
  <c r="X285"/>
  <c r="Z339"/>
  <c r="AA339" s="1"/>
  <c r="X339"/>
  <c r="Z335"/>
  <c r="X335"/>
  <c r="Z331"/>
  <c r="AA331" s="1"/>
  <c r="X331"/>
  <c r="Z324"/>
  <c r="X324"/>
  <c r="Z310"/>
  <c r="AA310" s="1"/>
  <c r="X310"/>
  <c r="Z304"/>
  <c r="AA304" s="1"/>
  <c r="X304"/>
  <c r="Z299"/>
  <c r="AA299" s="1"/>
  <c r="X299"/>
  <c r="Z280"/>
  <c r="AA280" s="1"/>
  <c r="X280"/>
  <c r="Z296"/>
  <c r="X296"/>
  <c r="Z283"/>
  <c r="AA283" s="1"/>
  <c r="X283"/>
  <c r="Z361"/>
  <c r="AA361" s="1"/>
  <c r="X361"/>
  <c r="Z357"/>
  <c r="AA357" s="1"/>
  <c r="X357"/>
  <c r="Z353"/>
  <c r="AA353" s="1"/>
  <c r="X353"/>
  <c r="Z349"/>
  <c r="AA349" s="1"/>
  <c r="X349"/>
  <c r="Z345"/>
  <c r="AA345" s="1"/>
  <c r="X345"/>
  <c r="Z326"/>
  <c r="AA326" s="1"/>
  <c r="X326"/>
  <c r="Z319"/>
  <c r="AA319" s="1"/>
  <c r="X319"/>
  <c r="Z311"/>
  <c r="AA311" s="1"/>
  <c r="X311"/>
  <c r="Z302"/>
  <c r="AA302" s="1"/>
  <c r="X302"/>
  <c r="Z286"/>
  <c r="AA286" s="1"/>
  <c r="X286"/>
  <c r="Z273"/>
  <c r="AA273" s="1"/>
  <c r="X273"/>
  <c r="Z298"/>
  <c r="AA298" s="1"/>
  <c r="X298"/>
  <c r="Z360"/>
  <c r="AA360" s="1"/>
  <c r="X360"/>
  <c r="Z356"/>
  <c r="AA356" s="1"/>
  <c r="X356"/>
  <c r="Z352"/>
  <c r="AA352" s="1"/>
  <c r="X352"/>
  <c r="Z348"/>
  <c r="AA348" s="1"/>
  <c r="X348"/>
  <c r="Z344"/>
  <c r="AA344" s="1"/>
  <c r="X344"/>
  <c r="Z321"/>
  <c r="AA321" s="1"/>
  <c r="X321"/>
  <c r="Z313"/>
  <c r="X313"/>
  <c r="Z303"/>
  <c r="AA303" s="1"/>
  <c r="X303"/>
  <c r="Z290"/>
  <c r="AA290" s="1"/>
  <c r="X290"/>
  <c r="Z277"/>
  <c r="AA277" s="1"/>
  <c r="X277"/>
  <c r="Z289"/>
  <c r="X289"/>
  <c r="Z272"/>
  <c r="AA272" s="1"/>
  <c r="X272"/>
  <c r="Z338"/>
  <c r="AA338" s="1"/>
  <c r="X338"/>
  <c r="Z334"/>
  <c r="AA334" s="1"/>
  <c r="X334"/>
  <c r="Z330"/>
  <c r="AA330" s="1"/>
  <c r="X330"/>
  <c r="Z323"/>
  <c r="AA323" s="1"/>
  <c r="X323"/>
  <c r="Z316"/>
  <c r="AA316" s="1"/>
  <c r="X316"/>
  <c r="Z308"/>
  <c r="AA308" s="1"/>
  <c r="X308"/>
  <c r="Z300"/>
  <c r="AA300" s="1"/>
  <c r="X300"/>
  <c r="Z284"/>
  <c r="AA284" s="1"/>
  <c r="X284"/>
  <c r="Z271"/>
  <c r="AA271" s="1"/>
  <c r="X271"/>
  <c r="Z317"/>
  <c r="AA317" s="1"/>
  <c r="X317"/>
  <c r="I113" i="78"/>
  <c r="I114" s="1"/>
  <c r="I115" s="1"/>
  <c r="E84" i="55"/>
  <c r="E225"/>
  <c r="AA291"/>
  <c r="H1390" i="70"/>
  <c r="H1394" s="1"/>
  <c r="G1395" s="1"/>
  <c r="E81" i="55"/>
  <c r="G1386" i="70"/>
  <c r="E220" i="55"/>
  <c r="G1503" i="70"/>
  <c r="G2033"/>
  <c r="E267" i="79" s="1"/>
  <c r="F267" s="1"/>
  <c r="AA315" i="55"/>
  <c r="AA297"/>
  <c r="AA296"/>
  <c r="AC327"/>
  <c r="AA289"/>
  <c r="AA322"/>
  <c r="AA313"/>
  <c r="AA274"/>
  <c r="AA324"/>
  <c r="AA287"/>
  <c r="AA309"/>
  <c r="AA279"/>
  <c r="AA335"/>
  <c r="E254"/>
  <c r="E258"/>
  <c r="E134"/>
  <c r="G387" i="70"/>
  <c r="G1387"/>
  <c r="E77" i="55"/>
  <c r="E1566" i="70"/>
  <c r="H1566" s="1"/>
  <c r="E137" i="55"/>
  <c r="Y266" i="79" l="1"/>
  <c r="Z266" s="1"/>
  <c r="Z265" i="55"/>
  <c r="Y265" i="79"/>
  <c r="Z265" s="1"/>
  <c r="Z264" i="55"/>
  <c r="Z262"/>
  <c r="Z263"/>
  <c r="Y116"/>
  <c r="E1565" i="70"/>
  <c r="H1565" s="1"/>
  <c r="E137" i="79"/>
  <c r="E260" i="55"/>
  <c r="E261" i="79"/>
  <c r="F261" s="1"/>
  <c r="E172" i="55"/>
  <c r="E173" i="79"/>
  <c r="E110" i="55"/>
  <c r="Y110" s="1"/>
  <c r="Y111" i="79" s="1"/>
  <c r="E111"/>
  <c r="Z267" i="55"/>
  <c r="Y6"/>
  <c r="Y7" i="79" s="1"/>
  <c r="Z7" s="1"/>
  <c r="E82" i="55"/>
  <c r="Y82" s="1"/>
  <c r="Y83" i="79" s="1"/>
  <c r="E83"/>
  <c r="E107" i="55"/>
  <c r="Y107" s="1"/>
  <c r="Y108" i="79" s="1"/>
  <c r="Z108" s="1"/>
  <c r="E108"/>
  <c r="F108" s="1"/>
  <c r="W152"/>
  <c r="X152" s="1"/>
  <c r="V152"/>
  <c r="W150"/>
  <c r="X150" s="1"/>
  <c r="V150"/>
  <c r="U220"/>
  <c r="U219" i="55"/>
  <c r="W219" s="1"/>
  <c r="Y219" s="1"/>
  <c r="Y220" i="79" s="1"/>
  <c r="Z220" s="1"/>
  <c r="W76"/>
  <c r="W135"/>
  <c r="W22"/>
  <c r="V7"/>
  <c r="W7"/>
  <c r="X7" s="1"/>
  <c r="Z255" i="55"/>
  <c r="Y256" i="79"/>
  <c r="Z256" s="1"/>
  <c r="Y77" i="55"/>
  <c r="Y78" i="79" s="1"/>
  <c r="F258" i="55"/>
  <c r="Y258"/>
  <c r="Y259" i="79" s="1"/>
  <c r="Z259" s="1"/>
  <c r="Y225" i="55"/>
  <c r="Y226" i="79" s="1"/>
  <c r="Z226" s="1"/>
  <c r="Y172" i="55"/>
  <c r="Y173" i="79" s="1"/>
  <c r="Y134" i="55"/>
  <c r="Y135" i="79" s="1"/>
  <c r="Y137" i="55"/>
  <c r="Y138" i="79" s="1"/>
  <c r="Y220" i="55"/>
  <c r="Y221" i="79" s="1"/>
  <c r="Z221" s="1"/>
  <c r="Y196" i="55"/>
  <c r="Y197" i="79" s="1"/>
  <c r="F254" i="55"/>
  <c r="Y254"/>
  <c r="Y260"/>
  <c r="Y261" i="79" s="1"/>
  <c r="Z261" s="1"/>
  <c r="Y81" i="55"/>
  <c r="Y82" i="79" s="1"/>
  <c r="Y84" i="55"/>
  <c r="Y85" i="79" s="1"/>
  <c r="Z85" s="1"/>
  <c r="Z327" i="55"/>
  <c r="AA327" s="1"/>
  <c r="X327"/>
  <c r="E266"/>
  <c r="E136"/>
  <c r="H1570" i="70"/>
  <c r="G1571" s="1"/>
  <c r="F7" i="67"/>
  <c r="H7"/>
  <c r="J7"/>
  <c r="F8"/>
  <c r="H8"/>
  <c r="J8"/>
  <c r="F9"/>
  <c r="H9"/>
  <c r="J9"/>
  <c r="C10"/>
  <c r="H10" s="1"/>
  <c r="Y117" i="79" l="1"/>
  <c r="Z117" s="1"/>
  <c r="Z116" i="55"/>
  <c r="E176"/>
  <c r="E177" i="79"/>
  <c r="Z258" i="55"/>
  <c r="W220" i="79"/>
  <c r="X220" s="1"/>
  <c r="V220"/>
  <c r="Z254" i="55"/>
  <c r="Y255" i="79"/>
  <c r="Z255" s="1"/>
  <c r="Y136" i="55"/>
  <c r="Y137" i="79" s="1"/>
  <c r="Y176" i="55"/>
  <c r="Y177" i="79" s="1"/>
  <c r="F266" i="55"/>
  <c r="Y266"/>
  <c r="J10" i="67"/>
  <c r="J11" s="1"/>
  <c r="J12" s="1"/>
  <c r="J13" s="1"/>
  <c r="H11"/>
  <c r="F10"/>
  <c r="F11" s="1"/>
  <c r="Z266" i="55" l="1"/>
  <c r="Y267" i="79"/>
  <c r="Z267" s="1"/>
  <c r="F12" i="67"/>
  <c r="F13" s="1"/>
  <c r="H12"/>
  <c r="H13" s="1"/>
  <c r="B358" i="58" l="1"/>
  <c r="B373"/>
  <c r="C239" i="55"/>
  <c r="F239" s="1"/>
  <c r="C238"/>
  <c r="F238" s="1"/>
  <c r="AE10" i="1"/>
  <c r="AE11"/>
  <c r="AE12"/>
  <c r="AE13"/>
  <c r="AE14"/>
  <c r="AE15"/>
  <c r="C15" s="1"/>
  <c r="AE16"/>
  <c r="AE17"/>
  <c r="AE18"/>
  <c r="AE19"/>
  <c r="AE20"/>
  <c r="AE21"/>
  <c r="AE22"/>
  <c r="C44" s="1"/>
  <c r="AE23"/>
  <c r="C29" s="1"/>
  <c r="AE24"/>
  <c r="AE25"/>
  <c r="AE26"/>
  <c r="I3513" s="1"/>
  <c r="K3513" s="1"/>
  <c r="AE27"/>
  <c r="V86" s="1"/>
  <c r="AE28"/>
  <c r="AE29"/>
  <c r="AE30"/>
  <c r="AE31"/>
  <c r="D30" s="1"/>
  <c r="AE32"/>
  <c r="AE33"/>
  <c r="AE34"/>
  <c r="AE35"/>
  <c r="D33" s="1"/>
  <c r="I2252" s="1"/>
  <c r="K2252" s="1"/>
  <c r="AE36"/>
  <c r="AE37"/>
  <c r="AE38"/>
  <c r="AE39"/>
  <c r="V84" s="1"/>
  <c r="AE40"/>
  <c r="AE44"/>
  <c r="AE45"/>
  <c r="C20" s="1"/>
  <c r="AE47"/>
  <c r="AE48"/>
  <c r="AE50"/>
  <c r="AE51"/>
  <c r="AE52"/>
  <c r="AE53"/>
  <c r="C464" s="1"/>
  <c r="AE54"/>
  <c r="AE55"/>
  <c r="AE56"/>
  <c r="I2870" s="1"/>
  <c r="I3059" s="1"/>
  <c r="AE57"/>
  <c r="I3201" s="1"/>
  <c r="AE58"/>
  <c r="I3215" s="1"/>
  <c r="AE59"/>
  <c r="AE60"/>
  <c r="AE61"/>
  <c r="P3230" s="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9"/>
  <c r="Y16"/>
  <c r="Y17" s="1"/>
  <c r="Y1348"/>
  <c r="K3215"/>
  <c r="I3259" i="11"/>
  <c r="K3171"/>
  <c r="K3152"/>
  <c r="K2895"/>
  <c r="P2082" i="1"/>
  <c r="P2075"/>
  <c r="M2085" s="1"/>
  <c r="P2074"/>
  <c r="M2084" s="1"/>
  <c r="P2073"/>
  <c r="M2083" s="1"/>
  <c r="P2072"/>
  <c r="M2082" s="1"/>
  <c r="R2082" s="1"/>
  <c r="P2070"/>
  <c r="M2081"/>
  <c r="P2067"/>
  <c r="P2066"/>
  <c r="P2068" s="1"/>
  <c r="M2080" s="1"/>
  <c r="P2062"/>
  <c r="P2061"/>
  <c r="P2063" s="1"/>
  <c r="P2058"/>
  <c r="P2057"/>
  <c r="P2059" s="1"/>
  <c r="P2064" s="1"/>
  <c r="P2053"/>
  <c r="P2052"/>
  <c r="P2054"/>
  <c r="M2077"/>
  <c r="P2050"/>
  <c r="AE2791"/>
  <c r="AG2791"/>
  <c r="V3688"/>
  <c r="X3688" s="1"/>
  <c r="V3690"/>
  <c r="X3690"/>
  <c r="V1321"/>
  <c r="V651"/>
  <c r="V682" s="1"/>
  <c r="AK61"/>
  <c r="AJ61"/>
  <c r="AI61"/>
  <c r="AH61"/>
  <c r="AG61"/>
  <c r="K3739"/>
  <c r="I3642"/>
  <c r="I3748" s="1"/>
  <c r="K3748" s="1"/>
  <c r="AG60"/>
  <c r="AK60"/>
  <c r="K3565" i="11"/>
  <c r="L3565" s="1"/>
  <c r="R3117"/>
  <c r="I3542" i="1"/>
  <c r="AE3542" s="1"/>
  <c r="I3541"/>
  <c r="I3526"/>
  <c r="I3259"/>
  <c r="K3259" s="1"/>
  <c r="AG59"/>
  <c r="AK59"/>
  <c r="AG57"/>
  <c r="AH57"/>
  <c r="AI57"/>
  <c r="AJ57"/>
  <c r="AK57"/>
  <c r="AG58"/>
  <c r="AH58"/>
  <c r="AI58"/>
  <c r="AJ58"/>
  <c r="AK58"/>
  <c r="I2838"/>
  <c r="I2974" s="1"/>
  <c r="K2974" s="1"/>
  <c r="AG56"/>
  <c r="AH56"/>
  <c r="AI56"/>
  <c r="AJ56"/>
  <c r="AK56"/>
  <c r="AG55"/>
  <c r="AH55"/>
  <c r="AI55"/>
  <c r="AJ55"/>
  <c r="AK55"/>
  <c r="I2350"/>
  <c r="K2350" s="1"/>
  <c r="P3115" i="11"/>
  <c r="R3115" s="1"/>
  <c r="I4078"/>
  <c r="K3885"/>
  <c r="K3863"/>
  <c r="K3862"/>
  <c r="I3561"/>
  <c r="K3561"/>
  <c r="N3415"/>
  <c r="M3415"/>
  <c r="N3222"/>
  <c r="M3222"/>
  <c r="K3020"/>
  <c r="H2974"/>
  <c r="I2957"/>
  <c r="L2957"/>
  <c r="I2935"/>
  <c r="I2935" i="27" s="1"/>
  <c r="K2894" i="11"/>
  <c r="K2881"/>
  <c r="I2852"/>
  <c r="I2850"/>
  <c r="I2846"/>
  <c r="C611" i="1"/>
  <c r="P1225" s="1"/>
  <c r="R1225" s="1"/>
  <c r="C605"/>
  <c r="C604"/>
  <c r="Y37"/>
  <c r="Y36"/>
  <c r="E15" i="4"/>
  <c r="E14"/>
  <c r="Q13"/>
  <c r="Z46" i="1" s="1"/>
  <c r="AC46" s="1"/>
  <c r="P153" s="1"/>
  <c r="R153" s="1"/>
  <c r="Q12" i="4"/>
  <c r="Z25" i="1" s="1"/>
  <c r="N12" i="4"/>
  <c r="K12"/>
  <c r="E12"/>
  <c r="Z9" i="1" s="1"/>
  <c r="AC9" s="1"/>
  <c r="C71" s="1"/>
  <c r="I298" s="1"/>
  <c r="K298" s="1"/>
  <c r="Q11" i="4"/>
  <c r="K11"/>
  <c r="H11"/>
  <c r="Q10"/>
  <c r="Z19" i="1" s="1"/>
  <c r="Z20" s="1"/>
  <c r="AC20" s="1"/>
  <c r="N10" i="4"/>
  <c r="H10"/>
  <c r="E10"/>
  <c r="Z11" i="1" s="1"/>
  <c r="C463"/>
  <c r="D64"/>
  <c r="I97" s="1"/>
  <c r="K97" s="1"/>
  <c r="C64"/>
  <c r="Y50"/>
  <c r="Y47"/>
  <c r="Y34"/>
  <c r="Y33"/>
  <c r="Y11"/>
  <c r="C34"/>
  <c r="P811" s="1"/>
  <c r="C28"/>
  <c r="E27"/>
  <c r="AF49"/>
  <c r="AE49" s="1"/>
  <c r="C24" s="1"/>
  <c r="C23"/>
  <c r="AF46"/>
  <c r="AE46" s="1"/>
  <c r="C21" s="1"/>
  <c r="AF453" s="1"/>
  <c r="AF454" s="1"/>
  <c r="AF455" s="1"/>
  <c r="AF456" s="1"/>
  <c r="E20" i="4"/>
  <c r="H19"/>
  <c r="E19"/>
  <c r="H18"/>
  <c r="E18"/>
  <c r="E17"/>
  <c r="Q3"/>
  <c r="N3"/>
  <c r="N4" s="1"/>
  <c r="N5" s="1"/>
  <c r="N6" s="1"/>
  <c r="K3"/>
  <c r="K4"/>
  <c r="K5" s="1"/>
  <c r="K6" s="1"/>
  <c r="H3"/>
  <c r="H4"/>
  <c r="H5" s="1"/>
  <c r="H6" s="1"/>
  <c r="E3"/>
  <c r="E16" s="1"/>
  <c r="Z39" i="1" s="1"/>
  <c r="AC39" s="1"/>
  <c r="P128" s="1"/>
  <c r="R128" s="1"/>
  <c r="E4" i="4"/>
  <c r="E5" s="1"/>
  <c r="C3"/>
  <c r="C4" s="1"/>
  <c r="C5" s="1"/>
  <c r="C6" s="1"/>
  <c r="H13" i="57"/>
  <c r="A8" i="58"/>
  <c r="C8"/>
  <c r="E8"/>
  <c r="A9"/>
  <c r="C9"/>
  <c r="D9"/>
  <c r="E9"/>
  <c r="A10"/>
  <c r="C10"/>
  <c r="E10"/>
  <c r="A11"/>
  <c r="C11"/>
  <c r="E11"/>
  <c r="A12"/>
  <c r="C12"/>
  <c r="D12"/>
  <c r="E12"/>
  <c r="A13"/>
  <c r="C13"/>
  <c r="E13"/>
  <c r="A14"/>
  <c r="C14"/>
  <c r="E14"/>
  <c r="A15"/>
  <c r="C15"/>
  <c r="D15"/>
  <c r="E15"/>
  <c r="A16"/>
  <c r="C16"/>
  <c r="E16"/>
  <c r="A17"/>
  <c r="C17"/>
  <c r="E17"/>
  <c r="A18"/>
  <c r="B18"/>
  <c r="C18"/>
  <c r="D18"/>
  <c r="E18"/>
  <c r="A19"/>
  <c r="C19"/>
  <c r="E19"/>
  <c r="A20"/>
  <c r="C20"/>
  <c r="E20"/>
  <c r="A21"/>
  <c r="C21"/>
  <c r="E21"/>
  <c r="A22"/>
  <c r="C22"/>
  <c r="E22"/>
  <c r="A23"/>
  <c r="C23"/>
  <c r="D23"/>
  <c r="E23"/>
  <c r="A24"/>
  <c r="C24"/>
  <c r="E24"/>
  <c r="A25"/>
  <c r="C25"/>
  <c r="E25"/>
  <c r="A26"/>
  <c r="C26"/>
  <c r="D26"/>
  <c r="E26"/>
  <c r="A27"/>
  <c r="C27"/>
  <c r="E27"/>
  <c r="A28"/>
  <c r="C28"/>
  <c r="E28"/>
  <c r="A29"/>
  <c r="C29"/>
  <c r="D29"/>
  <c r="E29"/>
  <c r="A30"/>
  <c r="C30"/>
  <c r="E30"/>
  <c r="A31"/>
  <c r="C31"/>
  <c r="E31"/>
  <c r="A32"/>
  <c r="C32"/>
  <c r="D32"/>
  <c r="E32"/>
  <c r="A33"/>
  <c r="C33"/>
  <c r="D33"/>
  <c r="E33"/>
  <c r="A34"/>
  <c r="C34"/>
  <c r="D34"/>
  <c r="E34"/>
  <c r="A35"/>
  <c r="C35"/>
  <c r="D35"/>
  <c r="E35"/>
  <c r="A36"/>
  <c r="C36"/>
  <c r="D36"/>
  <c r="E36"/>
  <c r="A37"/>
  <c r="C37"/>
  <c r="D37"/>
  <c r="E37"/>
  <c r="A38"/>
  <c r="C38"/>
  <c r="D38"/>
  <c r="E38"/>
  <c r="A39"/>
  <c r="C39"/>
  <c r="E39"/>
  <c r="A40"/>
  <c r="C40"/>
  <c r="E40"/>
  <c r="A41"/>
  <c r="C41"/>
  <c r="E41"/>
  <c r="A42"/>
  <c r="C42"/>
  <c r="E42"/>
  <c r="A43"/>
  <c r="C43"/>
  <c r="E43"/>
  <c r="A44"/>
  <c r="C44"/>
  <c r="E44"/>
  <c r="A45"/>
  <c r="C45"/>
  <c r="E45"/>
  <c r="A46"/>
  <c r="C46"/>
  <c r="E46"/>
  <c r="A47"/>
  <c r="C47"/>
  <c r="E47"/>
  <c r="A48"/>
  <c r="C48"/>
  <c r="E48"/>
  <c r="A49"/>
  <c r="C49"/>
  <c r="D49"/>
  <c r="E49"/>
  <c r="A50"/>
  <c r="C50"/>
  <c r="E50"/>
  <c r="A51"/>
  <c r="C51"/>
  <c r="E51"/>
  <c r="A52"/>
  <c r="C52"/>
  <c r="E52"/>
  <c r="A53"/>
  <c r="C53"/>
  <c r="E53"/>
  <c r="A54"/>
  <c r="C54"/>
  <c r="E54"/>
  <c r="A55"/>
  <c r="C55"/>
  <c r="E55"/>
  <c r="A56"/>
  <c r="C56"/>
  <c r="E56"/>
  <c r="A57"/>
  <c r="C57"/>
  <c r="E57"/>
  <c r="A58"/>
  <c r="C58"/>
  <c r="D58"/>
  <c r="E58"/>
  <c r="A59"/>
  <c r="C59"/>
  <c r="D59"/>
  <c r="E59"/>
  <c r="A60"/>
  <c r="C60"/>
  <c r="E60"/>
  <c r="A61"/>
  <c r="C61"/>
  <c r="D61"/>
  <c r="E61"/>
  <c r="A62"/>
  <c r="C62"/>
  <c r="D62"/>
  <c r="E62"/>
  <c r="A63"/>
  <c r="C63"/>
  <c r="E63"/>
  <c r="A64"/>
  <c r="C64"/>
  <c r="E64"/>
  <c r="A65"/>
  <c r="C65"/>
  <c r="D65"/>
  <c r="E65"/>
  <c r="A66"/>
  <c r="C66"/>
  <c r="E66"/>
  <c r="A67"/>
  <c r="C67"/>
  <c r="E67"/>
  <c r="A68"/>
  <c r="C68"/>
  <c r="E68"/>
  <c r="A69"/>
  <c r="C69"/>
  <c r="E69"/>
  <c r="A70"/>
  <c r="C70"/>
  <c r="E70"/>
  <c r="A71"/>
  <c r="C71"/>
  <c r="D71"/>
  <c r="E71"/>
  <c r="A72"/>
  <c r="C72"/>
  <c r="E72"/>
  <c r="A73"/>
  <c r="C73"/>
  <c r="E73"/>
  <c r="A74"/>
  <c r="C74"/>
  <c r="E74"/>
  <c r="A75"/>
  <c r="C75"/>
  <c r="E75"/>
  <c r="A76"/>
  <c r="C76"/>
  <c r="E76"/>
  <c r="A77"/>
  <c r="C77"/>
  <c r="E77"/>
  <c r="A78"/>
  <c r="C78"/>
  <c r="E78"/>
  <c r="A79"/>
  <c r="C79"/>
  <c r="E79"/>
  <c r="A80"/>
  <c r="C80"/>
  <c r="E80"/>
  <c r="A81"/>
  <c r="C81"/>
  <c r="E81"/>
  <c r="A82"/>
  <c r="C82"/>
  <c r="E82"/>
  <c r="A83"/>
  <c r="C83"/>
  <c r="E83"/>
  <c r="A84"/>
  <c r="C84"/>
  <c r="E84"/>
  <c r="A85"/>
  <c r="C85"/>
  <c r="D85"/>
  <c r="E85"/>
  <c r="A86"/>
  <c r="C86"/>
  <c r="E86"/>
  <c r="A87"/>
  <c r="C87"/>
  <c r="E87"/>
  <c r="A88"/>
  <c r="C88"/>
  <c r="E88"/>
  <c r="A89"/>
  <c r="C89"/>
  <c r="E89"/>
  <c r="A90"/>
  <c r="C90"/>
  <c r="E90"/>
  <c r="A91"/>
  <c r="B91"/>
  <c r="C91"/>
  <c r="D91"/>
  <c r="E91"/>
  <c r="A92"/>
  <c r="C92"/>
  <c r="E92"/>
  <c r="A93"/>
  <c r="C93"/>
  <c r="E93"/>
  <c r="A94"/>
  <c r="C94"/>
  <c r="E94"/>
  <c r="A95"/>
  <c r="C95"/>
  <c r="E95"/>
  <c r="A96"/>
  <c r="C96"/>
  <c r="E96"/>
  <c r="A97"/>
  <c r="C97"/>
  <c r="E97"/>
  <c r="A98"/>
  <c r="C98"/>
  <c r="E98"/>
  <c r="A99"/>
  <c r="C99"/>
  <c r="E99"/>
  <c r="A100"/>
  <c r="C100"/>
  <c r="E100"/>
  <c r="A101"/>
  <c r="C101"/>
  <c r="E101"/>
  <c r="A102"/>
  <c r="C102"/>
  <c r="E102"/>
  <c r="A103"/>
  <c r="C103"/>
  <c r="E103"/>
  <c r="A104"/>
  <c r="C104"/>
  <c r="E104"/>
  <c r="A105"/>
  <c r="C105"/>
  <c r="E105"/>
  <c r="A106"/>
  <c r="C106"/>
  <c r="D106"/>
  <c r="E106"/>
  <c r="A107"/>
  <c r="C107"/>
  <c r="D107"/>
  <c r="E107"/>
  <c r="A108"/>
  <c r="C108"/>
  <c r="D108"/>
  <c r="E108"/>
  <c r="A109"/>
  <c r="C109"/>
  <c r="D109"/>
  <c r="E109"/>
  <c r="A110"/>
  <c r="C110"/>
  <c r="D110"/>
  <c r="E110"/>
  <c r="A111"/>
  <c r="C111"/>
  <c r="D111"/>
  <c r="E111"/>
  <c r="A112"/>
  <c r="C112"/>
  <c r="D112"/>
  <c r="E112"/>
  <c r="A113"/>
  <c r="C113"/>
  <c r="D113"/>
  <c r="E113"/>
  <c r="A114"/>
  <c r="C114"/>
  <c r="D114"/>
  <c r="E114"/>
  <c r="A115"/>
  <c r="C115"/>
  <c r="D115"/>
  <c r="E115"/>
  <c r="A116"/>
  <c r="C116"/>
  <c r="D116"/>
  <c r="E116"/>
  <c r="A117"/>
  <c r="C117"/>
  <c r="D117"/>
  <c r="E117"/>
  <c r="A118"/>
  <c r="C118"/>
  <c r="D118"/>
  <c r="E118"/>
  <c r="A119"/>
  <c r="C119"/>
  <c r="E119"/>
  <c r="A120"/>
  <c r="C120"/>
  <c r="E120"/>
  <c r="A121"/>
  <c r="C121"/>
  <c r="E121"/>
  <c r="A122"/>
  <c r="C122"/>
  <c r="E122"/>
  <c r="A123"/>
  <c r="C123"/>
  <c r="E123"/>
  <c r="A124"/>
  <c r="C124"/>
  <c r="D124"/>
  <c r="E124"/>
  <c r="A125"/>
  <c r="C125"/>
  <c r="D125"/>
  <c r="E125"/>
  <c r="A126"/>
  <c r="C126"/>
  <c r="D126"/>
  <c r="E126"/>
  <c r="A127"/>
  <c r="C127"/>
  <c r="D127"/>
  <c r="E127"/>
  <c r="A128"/>
  <c r="C128"/>
  <c r="D128"/>
  <c r="E128"/>
  <c r="A129"/>
  <c r="C129"/>
  <c r="D129"/>
  <c r="E129"/>
  <c r="A130"/>
  <c r="C130"/>
  <c r="D130"/>
  <c r="E130"/>
  <c r="A131"/>
  <c r="C131"/>
  <c r="E131"/>
  <c r="A132"/>
  <c r="C132"/>
  <c r="E132"/>
  <c r="A133"/>
  <c r="C133"/>
  <c r="E133"/>
  <c r="A134"/>
  <c r="C134"/>
  <c r="E134"/>
  <c r="A135"/>
  <c r="C135"/>
  <c r="E135"/>
  <c r="A136"/>
  <c r="C136"/>
  <c r="E136"/>
  <c r="A137"/>
  <c r="B137"/>
  <c r="C137"/>
  <c r="D137"/>
  <c r="E137"/>
  <c r="A138"/>
  <c r="C138"/>
  <c r="E138"/>
  <c r="A139"/>
  <c r="C139"/>
  <c r="E139"/>
  <c r="A140"/>
  <c r="C140"/>
  <c r="E140"/>
  <c r="A141"/>
  <c r="C141"/>
  <c r="E141"/>
  <c r="A142"/>
  <c r="C142"/>
  <c r="E142"/>
  <c r="A143"/>
  <c r="C143"/>
  <c r="E143"/>
  <c r="A144"/>
  <c r="C144"/>
  <c r="E144"/>
  <c r="A145"/>
  <c r="C145"/>
  <c r="E145"/>
  <c r="A146"/>
  <c r="C146"/>
  <c r="E146"/>
  <c r="A147"/>
  <c r="C147"/>
  <c r="E147"/>
  <c r="A148"/>
  <c r="C148"/>
  <c r="E148"/>
  <c r="A149"/>
  <c r="C149"/>
  <c r="E149"/>
  <c r="A150"/>
  <c r="C150"/>
  <c r="E150"/>
  <c r="A151"/>
  <c r="C151"/>
  <c r="E151"/>
  <c r="A152"/>
  <c r="C152"/>
  <c r="E152"/>
  <c r="A153"/>
  <c r="C153"/>
  <c r="D153"/>
  <c r="E153"/>
  <c r="A154"/>
  <c r="C154"/>
  <c r="D154"/>
  <c r="E154"/>
  <c r="A155"/>
  <c r="C155"/>
  <c r="D155"/>
  <c r="E155"/>
  <c r="A156"/>
  <c r="C156"/>
  <c r="D156"/>
  <c r="E156"/>
  <c r="A157"/>
  <c r="C157"/>
  <c r="D157"/>
  <c r="E157"/>
  <c r="A158"/>
  <c r="C158"/>
  <c r="D158"/>
  <c r="E158"/>
  <c r="A159"/>
  <c r="C159"/>
  <c r="D159"/>
  <c r="E159"/>
  <c r="A160"/>
  <c r="C160"/>
  <c r="D160"/>
  <c r="E160"/>
  <c r="A161"/>
  <c r="C161"/>
  <c r="D161"/>
  <c r="E161"/>
  <c r="A162"/>
  <c r="C162"/>
  <c r="D162"/>
  <c r="E162"/>
  <c r="A163"/>
  <c r="C163"/>
  <c r="D163"/>
  <c r="E163"/>
  <c r="A164"/>
  <c r="C164"/>
  <c r="D164"/>
  <c r="E164"/>
  <c r="A165"/>
  <c r="C165"/>
  <c r="D165"/>
  <c r="E165"/>
  <c r="A166"/>
  <c r="C166"/>
  <c r="D166"/>
  <c r="E166"/>
  <c r="A167"/>
  <c r="C167"/>
  <c r="D167"/>
  <c r="E167"/>
  <c r="A168"/>
  <c r="C168"/>
  <c r="E168"/>
  <c r="A169"/>
  <c r="C169"/>
  <c r="E169"/>
  <c r="A170"/>
  <c r="C170"/>
  <c r="E170"/>
  <c r="A171"/>
  <c r="C171"/>
  <c r="E171"/>
  <c r="A172"/>
  <c r="C172"/>
  <c r="E172"/>
  <c r="A173"/>
  <c r="C173"/>
  <c r="E173"/>
  <c r="A174"/>
  <c r="C174"/>
  <c r="D174"/>
  <c r="E174"/>
  <c r="A175"/>
  <c r="C175"/>
  <c r="D175"/>
  <c r="E175"/>
  <c r="A176"/>
  <c r="C176"/>
  <c r="D176"/>
  <c r="E176"/>
  <c r="A177"/>
  <c r="C177"/>
  <c r="D177"/>
  <c r="E177"/>
  <c r="A178"/>
  <c r="C178"/>
  <c r="D178"/>
  <c r="E178"/>
  <c r="A179"/>
  <c r="C179"/>
  <c r="D179"/>
  <c r="E179"/>
  <c r="A180"/>
  <c r="C180"/>
  <c r="D180"/>
  <c r="E180"/>
  <c r="A181"/>
  <c r="C181"/>
  <c r="D181"/>
  <c r="E181"/>
  <c r="A182"/>
  <c r="C182"/>
  <c r="E182"/>
  <c r="A183"/>
  <c r="C183"/>
  <c r="E183"/>
  <c r="A184"/>
  <c r="C184"/>
  <c r="E184"/>
  <c r="A185"/>
  <c r="C185"/>
  <c r="E185"/>
  <c r="A186"/>
  <c r="C186"/>
  <c r="E186"/>
  <c r="A187"/>
  <c r="B187"/>
  <c r="C187"/>
  <c r="D187"/>
  <c r="E187"/>
  <c r="A188"/>
  <c r="C188"/>
  <c r="E188"/>
  <c r="A189"/>
  <c r="C189"/>
  <c r="E189"/>
  <c r="A190"/>
  <c r="C190"/>
  <c r="E190"/>
  <c r="A191"/>
  <c r="C191"/>
  <c r="E191"/>
  <c r="A192"/>
  <c r="C192"/>
  <c r="E192"/>
  <c r="A193"/>
  <c r="C193"/>
  <c r="D193"/>
  <c r="E193"/>
  <c r="A194"/>
  <c r="C194"/>
  <c r="D194"/>
  <c r="E194"/>
  <c r="A195"/>
  <c r="C195"/>
  <c r="D195"/>
  <c r="E195"/>
  <c r="A196"/>
  <c r="C196"/>
  <c r="D196"/>
  <c r="E196"/>
  <c r="A197"/>
  <c r="C197"/>
  <c r="D197"/>
  <c r="E197"/>
  <c r="A198"/>
  <c r="C198"/>
  <c r="D198"/>
  <c r="E198"/>
  <c r="A199"/>
  <c r="C199"/>
  <c r="D199"/>
  <c r="E199"/>
  <c r="A200"/>
  <c r="C200"/>
  <c r="D200"/>
  <c r="E200"/>
  <c r="A201"/>
  <c r="C201"/>
  <c r="D201"/>
  <c r="E201"/>
  <c r="A202"/>
  <c r="C202"/>
  <c r="D202"/>
  <c r="E202"/>
  <c r="A203"/>
  <c r="C203"/>
  <c r="D203"/>
  <c r="E203"/>
  <c r="A204"/>
  <c r="C204"/>
  <c r="D204"/>
  <c r="E204"/>
  <c r="A205"/>
  <c r="C205"/>
  <c r="D205"/>
  <c r="E205"/>
  <c r="A206"/>
  <c r="C206"/>
  <c r="E206"/>
  <c r="A207"/>
  <c r="C207"/>
  <c r="E207"/>
  <c r="A208"/>
  <c r="C208"/>
  <c r="E208"/>
  <c r="A209"/>
  <c r="C209"/>
  <c r="E209"/>
  <c r="A210"/>
  <c r="C210"/>
  <c r="E210"/>
  <c r="A211"/>
  <c r="C211"/>
  <c r="D211"/>
  <c r="E211"/>
  <c r="A212"/>
  <c r="C212"/>
  <c r="D212"/>
  <c r="E212"/>
  <c r="A213"/>
  <c r="C213"/>
  <c r="D213"/>
  <c r="E213"/>
  <c r="A214"/>
  <c r="C214"/>
  <c r="D214"/>
  <c r="E214"/>
  <c r="A215"/>
  <c r="C215"/>
  <c r="D215"/>
  <c r="E215"/>
  <c r="A216"/>
  <c r="C216"/>
  <c r="D216"/>
  <c r="E216"/>
  <c r="A217"/>
  <c r="B217"/>
  <c r="C217"/>
  <c r="D217"/>
  <c r="E217"/>
  <c r="A218"/>
  <c r="C218"/>
  <c r="E218"/>
  <c r="A219"/>
  <c r="C219"/>
  <c r="E219"/>
  <c r="A220"/>
  <c r="C220"/>
  <c r="E220"/>
  <c r="A221"/>
  <c r="C221"/>
  <c r="E221"/>
  <c r="A222"/>
  <c r="C222"/>
  <c r="E222"/>
  <c r="A223"/>
  <c r="C223"/>
  <c r="D223"/>
  <c r="E223"/>
  <c r="A224"/>
  <c r="C224"/>
  <c r="D224"/>
  <c r="E224"/>
  <c r="A225"/>
  <c r="C225"/>
  <c r="D225"/>
  <c r="E225"/>
  <c r="A226"/>
  <c r="C226"/>
  <c r="D226"/>
  <c r="E226"/>
  <c r="A227"/>
  <c r="C227"/>
  <c r="D227"/>
  <c r="E227"/>
  <c r="A228"/>
  <c r="C228"/>
  <c r="D228"/>
  <c r="E228"/>
  <c r="A229"/>
  <c r="C229"/>
  <c r="D229"/>
  <c r="E229"/>
  <c r="A230"/>
  <c r="C230"/>
  <c r="E230"/>
  <c r="A231"/>
  <c r="C231"/>
  <c r="D231"/>
  <c r="E231"/>
  <c r="A232"/>
  <c r="C232"/>
  <c r="D232"/>
  <c r="E232"/>
  <c r="A233"/>
  <c r="C233"/>
  <c r="E233"/>
  <c r="A234"/>
  <c r="C234"/>
  <c r="E234"/>
  <c r="A235"/>
  <c r="C235"/>
  <c r="E235"/>
  <c r="A236"/>
  <c r="C236"/>
  <c r="E236"/>
  <c r="A237"/>
  <c r="C237"/>
  <c r="E237"/>
  <c r="A238"/>
  <c r="C238"/>
  <c r="E238"/>
  <c r="A239"/>
  <c r="C239"/>
  <c r="E239"/>
  <c r="A240"/>
  <c r="C240"/>
  <c r="E240"/>
  <c r="A241"/>
  <c r="C241"/>
  <c r="E241"/>
  <c r="A242"/>
  <c r="C242"/>
  <c r="E242"/>
  <c r="A243"/>
  <c r="C243"/>
  <c r="E243"/>
  <c r="A244"/>
  <c r="C244"/>
  <c r="E244"/>
  <c r="A245"/>
  <c r="C245"/>
  <c r="D245"/>
  <c r="E245"/>
  <c r="A246"/>
  <c r="C246"/>
  <c r="E246"/>
  <c r="A247"/>
  <c r="C247"/>
  <c r="E247"/>
  <c r="A248"/>
  <c r="C248"/>
  <c r="E248"/>
  <c r="A249"/>
  <c r="C249"/>
  <c r="E249"/>
  <c r="A250"/>
  <c r="C250"/>
  <c r="E250"/>
  <c r="A251"/>
  <c r="C251"/>
  <c r="E251"/>
  <c r="A252"/>
  <c r="C252"/>
  <c r="D252"/>
  <c r="E252"/>
  <c r="A253"/>
  <c r="C253"/>
  <c r="E253"/>
  <c r="A254"/>
  <c r="C254"/>
  <c r="E254"/>
  <c r="A255"/>
  <c r="C255"/>
  <c r="E255"/>
  <c r="A256"/>
  <c r="C256"/>
  <c r="E256"/>
  <c r="A257"/>
  <c r="C257"/>
  <c r="E257"/>
  <c r="A258"/>
  <c r="C258"/>
  <c r="D258"/>
  <c r="E258"/>
  <c r="A259"/>
  <c r="C259"/>
  <c r="E259"/>
  <c r="A260"/>
  <c r="C260"/>
  <c r="E260"/>
  <c r="A261"/>
  <c r="C261"/>
  <c r="E261"/>
  <c r="A262"/>
  <c r="C262"/>
  <c r="E262"/>
  <c r="A263"/>
  <c r="C263"/>
  <c r="E263"/>
  <c r="A264"/>
  <c r="C264"/>
  <c r="D264"/>
  <c r="E264"/>
  <c r="A265"/>
  <c r="C265"/>
  <c r="E265"/>
  <c r="A266"/>
  <c r="C266"/>
  <c r="E266"/>
  <c r="A267"/>
  <c r="C267"/>
  <c r="E267"/>
  <c r="A268"/>
  <c r="C268"/>
  <c r="E268"/>
  <c r="A269"/>
  <c r="C269"/>
  <c r="E269"/>
  <c r="A270"/>
  <c r="C270"/>
  <c r="D270"/>
  <c r="E270"/>
  <c r="A271"/>
  <c r="C271"/>
  <c r="E271"/>
  <c r="A272"/>
  <c r="C272"/>
  <c r="E272"/>
  <c r="A273"/>
  <c r="C273"/>
  <c r="E273"/>
  <c r="A274"/>
  <c r="C274"/>
  <c r="E274"/>
  <c r="A275"/>
  <c r="C275"/>
  <c r="E275"/>
  <c r="A276"/>
  <c r="C276"/>
  <c r="D276"/>
  <c r="E276"/>
  <c r="A277"/>
  <c r="C277"/>
  <c r="E277"/>
  <c r="A278"/>
  <c r="C278"/>
  <c r="E278"/>
  <c r="A279"/>
  <c r="C279"/>
  <c r="E279"/>
  <c r="A280"/>
  <c r="C280"/>
  <c r="E280"/>
  <c r="A281"/>
  <c r="C281"/>
  <c r="E281"/>
  <c r="A282"/>
  <c r="C282"/>
  <c r="D282"/>
  <c r="E282"/>
  <c r="A283"/>
  <c r="C283"/>
  <c r="D283"/>
  <c r="E283"/>
  <c r="A284"/>
  <c r="C284"/>
  <c r="D284"/>
  <c r="E284"/>
  <c r="A285"/>
  <c r="C285"/>
  <c r="D285"/>
  <c r="E285"/>
  <c r="A286"/>
  <c r="C286"/>
  <c r="D286"/>
  <c r="E286"/>
  <c r="A287"/>
  <c r="C287"/>
  <c r="E287"/>
  <c r="A288"/>
  <c r="C288"/>
  <c r="E288"/>
  <c r="A289"/>
  <c r="C289"/>
  <c r="E289"/>
  <c r="A290"/>
  <c r="B290"/>
  <c r="C290"/>
  <c r="D290"/>
  <c r="E290"/>
  <c r="A291"/>
  <c r="C291"/>
  <c r="E291"/>
  <c r="A292"/>
  <c r="C292"/>
  <c r="E292"/>
  <c r="A293"/>
  <c r="C293"/>
  <c r="E293"/>
  <c r="A294"/>
  <c r="C294"/>
  <c r="D294"/>
  <c r="E294"/>
  <c r="A295"/>
  <c r="C295"/>
  <c r="E295"/>
  <c r="A296"/>
  <c r="C296"/>
  <c r="E296"/>
  <c r="A297"/>
  <c r="C297"/>
  <c r="E297"/>
  <c r="A298"/>
  <c r="C298"/>
  <c r="E298"/>
  <c r="A299"/>
  <c r="C299"/>
  <c r="D299"/>
  <c r="E299"/>
  <c r="A300"/>
  <c r="C300"/>
  <c r="E300"/>
  <c r="A301"/>
  <c r="C301"/>
  <c r="D301"/>
  <c r="E301"/>
  <c r="A302"/>
  <c r="C302"/>
  <c r="E302"/>
  <c r="A303"/>
  <c r="C303"/>
  <c r="E303"/>
  <c r="A304"/>
  <c r="C304"/>
  <c r="D304"/>
  <c r="E304"/>
  <c r="A305"/>
  <c r="C305"/>
  <c r="D305"/>
  <c r="E305"/>
  <c r="A306"/>
  <c r="C306"/>
  <c r="E306"/>
  <c r="A307"/>
  <c r="C307"/>
  <c r="E307"/>
  <c r="A308"/>
  <c r="C308"/>
  <c r="E308"/>
  <c r="A309"/>
  <c r="C309"/>
  <c r="D309"/>
  <c r="E309"/>
  <c r="A310"/>
  <c r="C310"/>
  <c r="E310"/>
  <c r="A311"/>
  <c r="C311"/>
  <c r="E311"/>
  <c r="A312"/>
  <c r="C312"/>
  <c r="E312"/>
  <c r="A313"/>
  <c r="C313"/>
  <c r="E313"/>
  <c r="A314"/>
  <c r="C314"/>
  <c r="E314"/>
  <c r="A315"/>
  <c r="C315"/>
  <c r="E315"/>
  <c r="A316"/>
  <c r="C316"/>
  <c r="E316"/>
  <c r="A317"/>
  <c r="C317"/>
  <c r="E317"/>
  <c r="A318"/>
  <c r="C318"/>
  <c r="E318"/>
  <c r="A319"/>
  <c r="C319"/>
  <c r="E319"/>
  <c r="A320"/>
  <c r="C320"/>
  <c r="E320"/>
  <c r="A321"/>
  <c r="C321"/>
  <c r="E321"/>
  <c r="A322"/>
  <c r="C322"/>
  <c r="E322"/>
  <c r="A323"/>
  <c r="C323"/>
  <c r="E323"/>
  <c r="A324"/>
  <c r="C324"/>
  <c r="E324"/>
  <c r="A325"/>
  <c r="C325"/>
  <c r="E325"/>
  <c r="A326"/>
  <c r="C326"/>
  <c r="E326"/>
  <c r="A327"/>
  <c r="C327"/>
  <c r="D327"/>
  <c r="E327"/>
  <c r="A328"/>
  <c r="C328"/>
  <c r="D328"/>
  <c r="E328"/>
  <c r="A329"/>
  <c r="C329"/>
  <c r="E329"/>
  <c r="A330"/>
  <c r="C330"/>
  <c r="D330"/>
  <c r="E330"/>
  <c r="A331"/>
  <c r="C331"/>
  <c r="E331"/>
  <c r="A332"/>
  <c r="C332"/>
  <c r="D332"/>
  <c r="E332"/>
  <c r="A333"/>
  <c r="C333"/>
  <c r="E333"/>
  <c r="A334"/>
  <c r="C334"/>
  <c r="E334"/>
  <c r="A335"/>
  <c r="C335"/>
  <c r="E335"/>
  <c r="A336"/>
  <c r="C336"/>
  <c r="E336"/>
  <c r="A337"/>
  <c r="C337"/>
  <c r="E337"/>
  <c r="A338"/>
  <c r="C338"/>
  <c r="E338"/>
  <c r="A339"/>
  <c r="C339"/>
  <c r="D339"/>
  <c r="E339"/>
  <c r="A340"/>
  <c r="C340"/>
  <c r="E340"/>
  <c r="A341"/>
  <c r="C341"/>
  <c r="D341"/>
  <c r="E341"/>
  <c r="A342"/>
  <c r="C342"/>
  <c r="E342"/>
  <c r="A343"/>
  <c r="C343"/>
  <c r="E343"/>
  <c r="A344"/>
  <c r="C344"/>
  <c r="E344"/>
  <c r="A345"/>
  <c r="B345"/>
  <c r="C345"/>
  <c r="D345"/>
  <c r="E345"/>
  <c r="A346"/>
  <c r="C346"/>
  <c r="E346"/>
  <c r="A347"/>
  <c r="C347"/>
  <c r="E347"/>
  <c r="A348"/>
  <c r="C348"/>
  <c r="E348"/>
  <c r="A349"/>
  <c r="C349"/>
  <c r="E349"/>
  <c r="A350"/>
  <c r="C350"/>
  <c r="D350"/>
  <c r="E350"/>
  <c r="A351"/>
  <c r="C351"/>
  <c r="D351"/>
  <c r="E351"/>
  <c r="A352"/>
  <c r="C352"/>
  <c r="D352"/>
  <c r="E352"/>
  <c r="A353"/>
  <c r="C353"/>
  <c r="D353"/>
  <c r="E353"/>
  <c r="A354"/>
  <c r="C354"/>
  <c r="E354"/>
  <c r="A355"/>
  <c r="C355"/>
  <c r="E355"/>
  <c r="A356"/>
  <c r="C356"/>
  <c r="E356"/>
  <c r="A357"/>
  <c r="C357"/>
  <c r="E357"/>
  <c r="A358"/>
  <c r="C358"/>
  <c r="E358"/>
  <c r="A359"/>
  <c r="C359"/>
  <c r="D359"/>
  <c r="E359"/>
  <c r="A360"/>
  <c r="C360"/>
  <c r="E360"/>
  <c r="A361"/>
  <c r="C361"/>
  <c r="E361"/>
  <c r="A362"/>
  <c r="C362"/>
  <c r="D362"/>
  <c r="E362"/>
  <c r="A363"/>
  <c r="C363"/>
  <c r="E363"/>
  <c r="A364"/>
  <c r="C364"/>
  <c r="E364"/>
  <c r="A365"/>
  <c r="C365"/>
  <c r="E365"/>
  <c r="A366"/>
  <c r="C366"/>
  <c r="D366"/>
  <c r="E366"/>
  <c r="A367"/>
  <c r="C367"/>
  <c r="E367"/>
  <c r="A368"/>
  <c r="C368"/>
  <c r="E368"/>
  <c r="A369"/>
  <c r="C369"/>
  <c r="E369"/>
  <c r="A370"/>
  <c r="C370"/>
  <c r="E370"/>
  <c r="A371"/>
  <c r="C371"/>
  <c r="E371"/>
  <c r="A372"/>
  <c r="C372"/>
  <c r="D372"/>
  <c r="E372"/>
  <c r="A373"/>
  <c r="C373"/>
  <c r="E373"/>
  <c r="A374"/>
  <c r="C374"/>
  <c r="E374"/>
  <c r="A375"/>
  <c r="C375"/>
  <c r="E375"/>
  <c r="A376"/>
  <c r="C376"/>
  <c r="E376"/>
  <c r="A377"/>
  <c r="C377"/>
  <c r="E377"/>
  <c r="A378"/>
  <c r="C378"/>
  <c r="D378"/>
  <c r="E378"/>
  <c r="A379"/>
  <c r="C379"/>
  <c r="E379"/>
  <c r="A380"/>
  <c r="C380"/>
  <c r="E380"/>
  <c r="A381"/>
  <c r="C381"/>
  <c r="E381"/>
  <c r="A382"/>
  <c r="C382"/>
  <c r="E382"/>
  <c r="A383"/>
  <c r="C383"/>
  <c r="E383"/>
  <c r="A384"/>
  <c r="C384"/>
  <c r="D384"/>
  <c r="E384"/>
  <c r="A385"/>
  <c r="C385"/>
  <c r="E385"/>
  <c r="A386"/>
  <c r="C386"/>
  <c r="E386"/>
  <c r="A387"/>
  <c r="C387"/>
  <c r="E387"/>
  <c r="A388"/>
  <c r="C388"/>
  <c r="E388"/>
  <c r="A389"/>
  <c r="C389"/>
  <c r="E389"/>
  <c r="A390"/>
  <c r="C390"/>
  <c r="E390"/>
  <c r="A391"/>
  <c r="C391"/>
  <c r="E391"/>
  <c r="A392"/>
  <c r="C392"/>
  <c r="E392"/>
  <c r="A393"/>
  <c r="C393"/>
  <c r="E393"/>
  <c r="A394"/>
  <c r="C394"/>
  <c r="E394"/>
  <c r="A395"/>
  <c r="C395"/>
  <c r="D395"/>
  <c r="E395"/>
  <c r="A396"/>
  <c r="C396"/>
  <c r="E396"/>
  <c r="A397"/>
  <c r="C397"/>
  <c r="E397"/>
  <c r="A398"/>
  <c r="C398"/>
  <c r="E398"/>
  <c r="A399"/>
  <c r="C399"/>
  <c r="D399"/>
  <c r="E399"/>
  <c r="A400"/>
  <c r="C400"/>
  <c r="E400"/>
  <c r="A401"/>
  <c r="C401"/>
  <c r="D401"/>
  <c r="E401"/>
  <c r="A402"/>
  <c r="C402"/>
  <c r="D402"/>
  <c r="E402"/>
  <c r="A403"/>
  <c r="C403"/>
  <c r="E403"/>
  <c r="A404"/>
  <c r="C404"/>
  <c r="D404"/>
  <c r="E404"/>
  <c r="A405"/>
  <c r="C405"/>
  <c r="E405"/>
  <c r="A406"/>
  <c r="C406"/>
  <c r="D406"/>
  <c r="E406"/>
  <c r="A407"/>
  <c r="C407"/>
  <c r="E407"/>
  <c r="A408"/>
  <c r="C408"/>
  <c r="E408"/>
  <c r="A409"/>
  <c r="C409"/>
  <c r="D409"/>
  <c r="E409"/>
  <c r="A410"/>
  <c r="C410"/>
  <c r="E410"/>
  <c r="A411"/>
  <c r="C411"/>
  <c r="E411"/>
  <c r="A412"/>
  <c r="C412"/>
  <c r="D412"/>
  <c r="E412"/>
  <c r="A413"/>
  <c r="C413"/>
  <c r="E413"/>
  <c r="A414"/>
  <c r="C414"/>
  <c r="E414"/>
  <c r="A415"/>
  <c r="C415"/>
  <c r="D415"/>
  <c r="E415"/>
  <c r="A416"/>
  <c r="C416"/>
  <c r="E416"/>
  <c r="A417"/>
  <c r="C417"/>
  <c r="E417"/>
  <c r="A418"/>
  <c r="C418"/>
  <c r="E418"/>
  <c r="A419"/>
  <c r="B419"/>
  <c r="C419"/>
  <c r="D419"/>
  <c r="E419"/>
  <c r="A420"/>
  <c r="C420"/>
  <c r="E420"/>
  <c r="A421"/>
  <c r="C421"/>
  <c r="D421"/>
  <c r="E421"/>
  <c r="A422"/>
  <c r="C422"/>
  <c r="E422"/>
  <c r="A423"/>
  <c r="C423"/>
  <c r="E423"/>
  <c r="A424"/>
  <c r="C424"/>
  <c r="E424"/>
  <c r="A425"/>
  <c r="C425"/>
  <c r="E425"/>
  <c r="A426"/>
  <c r="C426"/>
  <c r="E426"/>
  <c r="A427"/>
  <c r="C427"/>
  <c r="E427"/>
  <c r="A428"/>
  <c r="C428"/>
  <c r="E428"/>
  <c r="A429"/>
  <c r="C429"/>
  <c r="D429"/>
  <c r="E429"/>
  <c r="A430"/>
  <c r="C430"/>
  <c r="E430"/>
  <c r="A431"/>
  <c r="C431"/>
  <c r="E431"/>
  <c r="A432"/>
  <c r="C432"/>
  <c r="E432"/>
  <c r="A433"/>
  <c r="C433"/>
  <c r="E433"/>
  <c r="A434"/>
  <c r="C434"/>
  <c r="E434"/>
  <c r="A435"/>
  <c r="C435"/>
  <c r="E435"/>
  <c r="A436"/>
  <c r="C436"/>
  <c r="E436"/>
  <c r="A437"/>
  <c r="C437"/>
  <c r="D437"/>
  <c r="E437"/>
  <c r="A438"/>
  <c r="C438"/>
  <c r="D438"/>
  <c r="E438"/>
  <c r="A439"/>
  <c r="C439"/>
  <c r="D439"/>
  <c r="E439"/>
  <c r="A440"/>
  <c r="C440"/>
  <c r="E440"/>
  <c r="A441"/>
  <c r="C441"/>
  <c r="E441"/>
  <c r="A442"/>
  <c r="C442"/>
  <c r="E442"/>
  <c r="A443"/>
  <c r="C443"/>
  <c r="E443"/>
  <c r="A444"/>
  <c r="C444"/>
  <c r="E444"/>
  <c r="A445"/>
  <c r="C445"/>
  <c r="E445"/>
  <c r="A446"/>
  <c r="C446"/>
  <c r="E446"/>
  <c r="A447"/>
  <c r="C447"/>
  <c r="D447"/>
  <c r="E447"/>
  <c r="A448"/>
  <c r="C448"/>
  <c r="E448"/>
  <c r="A449"/>
  <c r="C449"/>
  <c r="E449"/>
  <c r="A450"/>
  <c r="C450"/>
  <c r="E450"/>
  <c r="A451"/>
  <c r="C451"/>
  <c r="E451"/>
  <c r="A452"/>
  <c r="C452"/>
  <c r="E452"/>
  <c r="A453"/>
  <c r="C453"/>
  <c r="E453"/>
  <c r="A454"/>
  <c r="C454"/>
  <c r="D454"/>
  <c r="E454"/>
  <c r="A455"/>
  <c r="C455"/>
  <c r="E455"/>
  <c r="A456"/>
  <c r="C456"/>
  <c r="D456"/>
  <c r="E456"/>
  <c r="A457"/>
  <c r="C457"/>
  <c r="E457"/>
  <c r="A458"/>
  <c r="C458"/>
  <c r="E458"/>
  <c r="A459"/>
  <c r="C459"/>
  <c r="E459"/>
  <c r="A460"/>
  <c r="B460"/>
  <c r="C460"/>
  <c r="D460"/>
  <c r="E460"/>
  <c r="A461"/>
  <c r="C461"/>
  <c r="D461"/>
  <c r="E461"/>
  <c r="A462"/>
  <c r="C462"/>
  <c r="E462"/>
  <c r="A463"/>
  <c r="C463"/>
  <c r="E463"/>
  <c r="A464"/>
  <c r="C464"/>
  <c r="E464"/>
  <c r="A465"/>
  <c r="C465"/>
  <c r="E465"/>
  <c r="A466"/>
  <c r="C466"/>
  <c r="E466"/>
  <c r="A467"/>
  <c r="C467"/>
  <c r="D467"/>
  <c r="E467"/>
  <c r="A468"/>
  <c r="C468"/>
  <c r="E468"/>
  <c r="A469"/>
  <c r="C469"/>
  <c r="E469"/>
  <c r="A470"/>
  <c r="C470"/>
  <c r="E470"/>
  <c r="A471"/>
  <c r="C471"/>
  <c r="E471"/>
  <c r="A472"/>
  <c r="C472"/>
  <c r="E472"/>
  <c r="A473"/>
  <c r="C473"/>
  <c r="E473"/>
  <c r="A474"/>
  <c r="C474"/>
  <c r="D474"/>
  <c r="E474"/>
  <c r="A475"/>
  <c r="C475"/>
  <c r="E475"/>
  <c r="A476"/>
  <c r="C476"/>
  <c r="E476"/>
  <c r="A477"/>
  <c r="C477"/>
  <c r="E477"/>
  <c r="A478"/>
  <c r="C478"/>
  <c r="E478"/>
  <c r="A479"/>
  <c r="C479"/>
  <c r="E479"/>
  <c r="A480"/>
  <c r="B480"/>
  <c r="C480"/>
  <c r="D480"/>
  <c r="E480"/>
  <c r="A481"/>
  <c r="C481"/>
  <c r="E481"/>
  <c r="A482"/>
  <c r="C482"/>
  <c r="E482"/>
  <c r="A483"/>
  <c r="C483"/>
  <c r="E483"/>
  <c r="A484"/>
  <c r="C484"/>
  <c r="E484"/>
  <c r="A485"/>
  <c r="C485"/>
  <c r="E485"/>
  <c r="A486"/>
  <c r="C486"/>
  <c r="E486"/>
  <c r="A487"/>
  <c r="B487"/>
  <c r="C487"/>
  <c r="D487"/>
  <c r="E487"/>
  <c r="A488"/>
  <c r="C488"/>
  <c r="E488"/>
  <c r="A489"/>
  <c r="C489"/>
  <c r="E489"/>
  <c r="A490"/>
  <c r="C490"/>
  <c r="E490"/>
  <c r="A491"/>
  <c r="C491"/>
  <c r="E491"/>
  <c r="A492"/>
  <c r="C492"/>
  <c r="E492"/>
  <c r="A493"/>
  <c r="C493"/>
  <c r="D493"/>
  <c r="E493"/>
  <c r="A494"/>
  <c r="C494"/>
  <c r="E494"/>
  <c r="A495"/>
  <c r="C495"/>
  <c r="E495"/>
  <c r="A496"/>
  <c r="C496"/>
  <c r="E496"/>
  <c r="A497"/>
  <c r="C497"/>
  <c r="E497"/>
  <c r="A498"/>
  <c r="C498"/>
  <c r="E498"/>
  <c r="A499"/>
  <c r="C499"/>
  <c r="E499"/>
  <c r="A500"/>
  <c r="C500"/>
  <c r="D500"/>
  <c r="E500"/>
  <c r="A501"/>
  <c r="C501"/>
  <c r="E501"/>
  <c r="A502"/>
  <c r="C502"/>
  <c r="E502"/>
  <c r="A503"/>
  <c r="C503"/>
  <c r="E503"/>
  <c r="A504"/>
  <c r="C504"/>
  <c r="E504"/>
  <c r="A505"/>
  <c r="C505"/>
  <c r="E505"/>
  <c r="A506"/>
  <c r="C506"/>
  <c r="E506"/>
  <c r="A507"/>
  <c r="B507"/>
  <c r="C507"/>
  <c r="D507"/>
  <c r="E507"/>
  <c r="A508"/>
  <c r="C508"/>
  <c r="E508"/>
  <c r="A509"/>
  <c r="C509"/>
  <c r="E509"/>
  <c r="A510"/>
  <c r="C510"/>
  <c r="E510"/>
  <c r="A511"/>
  <c r="C511"/>
  <c r="E511"/>
  <c r="A512"/>
  <c r="C512"/>
  <c r="E512"/>
  <c r="A513"/>
  <c r="C513"/>
  <c r="D513"/>
  <c r="E513"/>
  <c r="A514"/>
  <c r="C514"/>
  <c r="E514"/>
  <c r="A515"/>
  <c r="C515"/>
  <c r="E515"/>
  <c r="A516"/>
  <c r="C516"/>
  <c r="D516"/>
  <c r="E516"/>
  <c r="A517"/>
  <c r="C517"/>
  <c r="E517"/>
  <c r="A518"/>
  <c r="C518"/>
  <c r="E518"/>
  <c r="A519"/>
  <c r="C519"/>
  <c r="E519"/>
  <c r="A520"/>
  <c r="C520"/>
  <c r="E520"/>
  <c r="A521"/>
  <c r="C521"/>
  <c r="E521"/>
  <c r="A522"/>
  <c r="C522"/>
  <c r="E522"/>
  <c r="A523"/>
  <c r="C523"/>
  <c r="E523"/>
  <c r="A524"/>
  <c r="C524"/>
  <c r="E524"/>
  <c r="A525"/>
  <c r="C525"/>
  <c r="E525"/>
  <c r="A526"/>
  <c r="C526"/>
  <c r="E526"/>
  <c r="A527"/>
  <c r="C527"/>
  <c r="E527"/>
  <c r="A528"/>
  <c r="C528"/>
  <c r="E528"/>
  <c r="A529"/>
  <c r="C529"/>
  <c r="E529"/>
  <c r="A530"/>
  <c r="C530"/>
  <c r="E530"/>
  <c r="A531"/>
  <c r="C531"/>
  <c r="E531"/>
  <c r="A532"/>
  <c r="C532"/>
  <c r="D532"/>
  <c r="E532"/>
  <c r="A533"/>
  <c r="C533"/>
  <c r="E533"/>
  <c r="A534"/>
  <c r="C534"/>
  <c r="E534"/>
  <c r="A535"/>
  <c r="C535"/>
  <c r="E535"/>
  <c r="A536"/>
  <c r="C536"/>
  <c r="E536"/>
  <c r="A537"/>
  <c r="C537"/>
  <c r="E537"/>
  <c r="A538"/>
  <c r="C538"/>
  <c r="E538"/>
  <c r="A539"/>
  <c r="C539"/>
  <c r="D539"/>
  <c r="E539"/>
  <c r="A540"/>
  <c r="C540"/>
  <c r="E540"/>
  <c r="A541"/>
  <c r="C541"/>
  <c r="E541"/>
  <c r="A542"/>
  <c r="C542"/>
  <c r="D542"/>
  <c r="E542"/>
  <c r="A543"/>
  <c r="C543"/>
  <c r="E543"/>
  <c r="A544"/>
  <c r="C544"/>
  <c r="E544"/>
  <c r="A545"/>
  <c r="C545"/>
  <c r="D545"/>
  <c r="E545"/>
  <c r="A546"/>
  <c r="C546"/>
  <c r="E546"/>
  <c r="A547"/>
  <c r="C547"/>
  <c r="E547"/>
  <c r="A548"/>
  <c r="C548"/>
  <c r="E548"/>
  <c r="A549"/>
  <c r="C549"/>
  <c r="E549"/>
  <c r="A550"/>
  <c r="C550"/>
  <c r="E550"/>
  <c r="A551"/>
  <c r="C551"/>
  <c r="E551"/>
  <c r="A552"/>
  <c r="C552"/>
  <c r="E552"/>
  <c r="A553"/>
  <c r="C553"/>
  <c r="E553"/>
  <c r="A554"/>
  <c r="C554"/>
  <c r="E554"/>
  <c r="A555"/>
  <c r="C555"/>
  <c r="E555"/>
  <c r="A556"/>
  <c r="C556"/>
  <c r="E556"/>
  <c r="A557"/>
  <c r="C557"/>
  <c r="E557"/>
  <c r="A558"/>
  <c r="C558"/>
  <c r="E558"/>
  <c r="A559"/>
  <c r="C559"/>
  <c r="E559"/>
  <c r="A560"/>
  <c r="C560"/>
  <c r="E560"/>
  <c r="A561"/>
  <c r="C561"/>
  <c r="E561"/>
  <c r="A562"/>
  <c r="C562"/>
  <c r="D562"/>
  <c r="E562"/>
  <c r="A563"/>
  <c r="C563"/>
  <c r="E563"/>
  <c r="A564"/>
  <c r="C564"/>
  <c r="E564"/>
  <c r="A565"/>
  <c r="C565"/>
  <c r="E565"/>
  <c r="A566"/>
  <c r="C566"/>
  <c r="E566"/>
  <c r="A567"/>
  <c r="C567"/>
  <c r="D567"/>
  <c r="E567"/>
  <c r="A568"/>
  <c r="C568"/>
  <c r="E568"/>
  <c r="A569"/>
  <c r="C569"/>
  <c r="E569"/>
  <c r="A570"/>
  <c r="C570"/>
  <c r="E570"/>
  <c r="A571"/>
  <c r="C571"/>
  <c r="D571"/>
  <c r="E571"/>
  <c r="A572"/>
  <c r="C572"/>
  <c r="E572"/>
  <c r="A573"/>
  <c r="C573"/>
  <c r="E573"/>
  <c r="A574"/>
  <c r="C574"/>
  <c r="E574"/>
  <c r="A575"/>
  <c r="C575"/>
  <c r="D575"/>
  <c r="E575"/>
  <c r="A576"/>
  <c r="C576"/>
  <c r="E576"/>
  <c r="A577"/>
  <c r="C577"/>
  <c r="E577"/>
  <c r="A578"/>
  <c r="C578"/>
  <c r="E578"/>
  <c r="A579"/>
  <c r="C579"/>
  <c r="D579"/>
  <c r="E579"/>
  <c r="A580"/>
  <c r="C580"/>
  <c r="D580"/>
  <c r="E580"/>
  <c r="A581"/>
  <c r="C581"/>
  <c r="E581"/>
  <c r="A582"/>
  <c r="C582"/>
  <c r="E582"/>
  <c r="A583"/>
  <c r="C583"/>
  <c r="E583"/>
  <c r="A584"/>
  <c r="C584"/>
  <c r="E584"/>
  <c r="A585"/>
  <c r="B585"/>
  <c r="C585"/>
  <c r="D585"/>
  <c r="E585"/>
  <c r="A586"/>
  <c r="C586"/>
  <c r="E586"/>
  <c r="A587"/>
  <c r="C587"/>
  <c r="E587"/>
  <c r="A588"/>
  <c r="C588"/>
  <c r="E588"/>
  <c r="A589"/>
  <c r="C589"/>
  <c r="E589"/>
  <c r="A590"/>
  <c r="C590"/>
  <c r="E590"/>
  <c r="A591"/>
  <c r="C591"/>
  <c r="E591"/>
  <c r="A592"/>
  <c r="C592"/>
  <c r="E592"/>
  <c r="A593"/>
  <c r="B593"/>
  <c r="C593"/>
  <c r="D593"/>
  <c r="E593"/>
  <c r="A594"/>
  <c r="C594"/>
  <c r="E594"/>
  <c r="A595"/>
  <c r="C595"/>
  <c r="E595"/>
  <c r="A596"/>
  <c r="C596"/>
  <c r="E596"/>
  <c r="A597"/>
  <c r="C597"/>
  <c r="E597"/>
  <c r="A598"/>
  <c r="C598"/>
  <c r="D598"/>
  <c r="E598"/>
  <c r="A599"/>
  <c r="C599"/>
  <c r="E599"/>
  <c r="A600"/>
  <c r="C600"/>
  <c r="D600"/>
  <c r="E600"/>
  <c r="A601"/>
  <c r="C601"/>
  <c r="E601"/>
  <c r="A602"/>
  <c r="C602"/>
  <c r="E602"/>
  <c r="A603"/>
  <c r="C603"/>
  <c r="D603"/>
  <c r="E603"/>
  <c r="A604"/>
  <c r="C604"/>
  <c r="E604"/>
  <c r="A605"/>
  <c r="C605"/>
  <c r="E605"/>
  <c r="A606"/>
  <c r="C606"/>
  <c r="E606"/>
  <c r="A607"/>
  <c r="C607"/>
  <c r="D607"/>
  <c r="E607"/>
  <c r="A608"/>
  <c r="C608"/>
  <c r="E608"/>
  <c r="A609"/>
  <c r="C609"/>
  <c r="E609"/>
  <c r="A610"/>
  <c r="C610"/>
  <c r="D610"/>
  <c r="E610"/>
  <c r="A611"/>
  <c r="B611"/>
  <c r="C611"/>
  <c r="D611"/>
  <c r="E611"/>
  <c r="A612"/>
  <c r="C612"/>
  <c r="E612"/>
  <c r="A613"/>
  <c r="C613"/>
  <c r="D613"/>
  <c r="E613"/>
  <c r="A614"/>
  <c r="C614"/>
  <c r="E614"/>
  <c r="A615"/>
  <c r="C615"/>
  <c r="E615"/>
  <c r="A616"/>
  <c r="C616"/>
  <c r="E616"/>
  <c r="A617"/>
  <c r="C617"/>
  <c r="D617"/>
  <c r="E617"/>
  <c r="A618"/>
  <c r="C618"/>
  <c r="E618"/>
  <c r="A619"/>
  <c r="C619"/>
  <c r="E619"/>
  <c r="A620"/>
  <c r="C620"/>
  <c r="E620"/>
  <c r="A621"/>
  <c r="C621"/>
  <c r="E621"/>
  <c r="A622"/>
  <c r="C622"/>
  <c r="E622"/>
  <c r="A623"/>
  <c r="C623"/>
  <c r="E623"/>
  <c r="A624"/>
  <c r="C624"/>
  <c r="E624"/>
  <c r="A625"/>
  <c r="C625"/>
  <c r="D625"/>
  <c r="E625"/>
  <c r="A626"/>
  <c r="C626"/>
  <c r="E626"/>
  <c r="A627"/>
  <c r="C627"/>
  <c r="E627"/>
  <c r="A628"/>
  <c r="C628"/>
  <c r="E628"/>
  <c r="A629"/>
  <c r="C629"/>
  <c r="E629"/>
  <c r="A630"/>
  <c r="C630"/>
  <c r="D630"/>
  <c r="E630"/>
  <c r="A631"/>
  <c r="C631"/>
  <c r="E631"/>
  <c r="A632"/>
  <c r="C632"/>
  <c r="E632"/>
  <c r="A633"/>
  <c r="C633"/>
  <c r="D633"/>
  <c r="E633"/>
  <c r="A634"/>
  <c r="C634"/>
  <c r="E634"/>
  <c r="A635"/>
  <c r="C635"/>
  <c r="E635"/>
  <c r="A636"/>
  <c r="C636"/>
  <c r="E636"/>
  <c r="A637"/>
  <c r="C637"/>
  <c r="E637"/>
  <c r="A638"/>
  <c r="C638"/>
  <c r="E638"/>
  <c r="A639"/>
  <c r="B639"/>
  <c r="C639"/>
  <c r="D639"/>
  <c r="E639"/>
  <c r="A640"/>
  <c r="C640"/>
  <c r="E640"/>
  <c r="A641"/>
  <c r="C641"/>
  <c r="E641"/>
  <c r="A642"/>
  <c r="C642"/>
  <c r="E642"/>
  <c r="A643"/>
  <c r="C643"/>
  <c r="E643"/>
  <c r="A644"/>
  <c r="C644"/>
  <c r="E644"/>
  <c r="A645"/>
  <c r="B645"/>
  <c r="C645"/>
  <c r="D645"/>
  <c r="E645"/>
  <c r="A646"/>
  <c r="C646"/>
  <c r="E646"/>
  <c r="A647"/>
  <c r="C647"/>
  <c r="E647"/>
  <c r="A648"/>
  <c r="C648"/>
  <c r="E648"/>
  <c r="A649"/>
  <c r="C649"/>
  <c r="E649"/>
  <c r="A650"/>
  <c r="C650"/>
  <c r="E650"/>
  <c r="A651"/>
  <c r="B651"/>
  <c r="C651"/>
  <c r="D651"/>
  <c r="E651"/>
  <c r="A652"/>
  <c r="C652"/>
  <c r="E652"/>
  <c r="A653"/>
  <c r="C653"/>
  <c r="E653"/>
  <c r="A654"/>
  <c r="C654"/>
  <c r="E654"/>
  <c r="A655"/>
  <c r="C655"/>
  <c r="E655"/>
  <c r="A656"/>
  <c r="C656"/>
  <c r="E656"/>
  <c r="A657"/>
  <c r="C657"/>
  <c r="E657"/>
  <c r="A658"/>
  <c r="C658"/>
  <c r="E658"/>
  <c r="A659"/>
  <c r="C659"/>
  <c r="E659"/>
  <c r="A660"/>
  <c r="C660"/>
  <c r="E660"/>
  <c r="A661"/>
  <c r="C661"/>
  <c r="E661"/>
  <c r="A662"/>
  <c r="C662"/>
  <c r="E662"/>
  <c r="A663"/>
  <c r="C663"/>
  <c r="E663"/>
  <c r="A664"/>
  <c r="C664"/>
  <c r="E664"/>
  <c r="A665"/>
  <c r="C665"/>
  <c r="E665"/>
  <c r="A666"/>
  <c r="C666"/>
  <c r="E666"/>
  <c r="A667"/>
  <c r="C667"/>
  <c r="E667"/>
  <c r="A668"/>
  <c r="C668"/>
  <c r="E668"/>
  <c r="A669"/>
  <c r="C669"/>
  <c r="E669"/>
  <c r="A670"/>
  <c r="C670"/>
  <c r="E670"/>
  <c r="A671"/>
  <c r="C671"/>
  <c r="E671"/>
  <c r="A672"/>
  <c r="C672"/>
  <c r="E672"/>
  <c r="A673"/>
  <c r="B673"/>
  <c r="C673"/>
  <c r="D673"/>
  <c r="E673"/>
  <c r="A674"/>
  <c r="C674"/>
  <c r="E674"/>
  <c r="A675"/>
  <c r="C675"/>
  <c r="E675"/>
  <c r="A676"/>
  <c r="C676"/>
  <c r="E676"/>
  <c r="A677"/>
  <c r="C677"/>
  <c r="E677"/>
  <c r="A678"/>
  <c r="C678"/>
  <c r="D678"/>
  <c r="E678"/>
  <c r="A679"/>
  <c r="C679"/>
  <c r="E679"/>
  <c r="A680"/>
  <c r="C680"/>
  <c r="E680"/>
  <c r="A681"/>
  <c r="C681"/>
  <c r="E681"/>
  <c r="A682"/>
  <c r="C682"/>
  <c r="E682"/>
  <c r="A683"/>
  <c r="C683"/>
  <c r="E683"/>
  <c r="A684"/>
  <c r="C684"/>
  <c r="E684"/>
  <c r="A685"/>
  <c r="C685"/>
  <c r="E685"/>
  <c r="A686"/>
  <c r="C686"/>
  <c r="E686"/>
  <c r="A687"/>
  <c r="C687"/>
  <c r="E687"/>
  <c r="A688"/>
  <c r="C688"/>
  <c r="E688"/>
  <c r="A689"/>
  <c r="C689"/>
  <c r="E689"/>
  <c r="A690"/>
  <c r="C690"/>
  <c r="E690"/>
  <c r="A691"/>
  <c r="C691"/>
  <c r="E691"/>
  <c r="A692"/>
  <c r="C692"/>
  <c r="E692"/>
  <c r="A693"/>
  <c r="C693"/>
  <c r="E693"/>
  <c r="A694"/>
  <c r="C694"/>
  <c r="E694"/>
  <c r="A695"/>
  <c r="C695"/>
  <c r="D695"/>
  <c r="E695"/>
  <c r="A696"/>
  <c r="C696"/>
  <c r="E696"/>
  <c r="A697"/>
  <c r="C697"/>
  <c r="E697"/>
  <c r="A698"/>
  <c r="C698"/>
  <c r="E698"/>
  <c r="A699"/>
  <c r="B699"/>
  <c r="C699"/>
  <c r="D699"/>
  <c r="E699"/>
  <c r="A700"/>
  <c r="C700"/>
  <c r="E700"/>
  <c r="A701"/>
  <c r="C701"/>
  <c r="E701"/>
  <c r="A702"/>
  <c r="C702"/>
  <c r="E702"/>
  <c r="A703"/>
  <c r="C703"/>
  <c r="E703"/>
  <c r="A704"/>
  <c r="C704"/>
  <c r="E704"/>
  <c r="A705"/>
  <c r="C705"/>
  <c r="E705"/>
  <c r="A706"/>
  <c r="C706"/>
  <c r="D706"/>
  <c r="E706"/>
  <c r="A707"/>
  <c r="C707"/>
  <c r="E707"/>
  <c r="A708"/>
  <c r="C708"/>
  <c r="E708"/>
  <c r="A709"/>
  <c r="C709"/>
  <c r="E709"/>
  <c r="A710"/>
  <c r="C710"/>
  <c r="E710"/>
  <c r="A711"/>
  <c r="C711"/>
  <c r="E711"/>
  <c r="A712"/>
  <c r="C712"/>
  <c r="E712"/>
  <c r="A713"/>
  <c r="C713"/>
  <c r="E713"/>
  <c r="A714"/>
  <c r="C714"/>
  <c r="E714"/>
  <c r="A715"/>
  <c r="E715"/>
  <c r="A716"/>
  <c r="C716"/>
  <c r="E716"/>
  <c r="A717"/>
  <c r="C717"/>
  <c r="E717"/>
  <c r="A718"/>
  <c r="C718"/>
  <c r="E718"/>
  <c r="A719"/>
  <c r="E719"/>
  <c r="A720"/>
  <c r="E720"/>
  <c r="A721"/>
  <c r="C721"/>
  <c r="D721"/>
  <c r="E721"/>
  <c r="A722"/>
  <c r="C722"/>
  <c r="E722"/>
  <c r="A723"/>
  <c r="C723"/>
  <c r="E723"/>
  <c r="A724"/>
  <c r="C724"/>
  <c r="E724"/>
  <c r="A725"/>
  <c r="C725"/>
  <c r="D725"/>
  <c r="E725"/>
  <c r="A726"/>
  <c r="C726"/>
  <c r="E726"/>
  <c r="A727"/>
  <c r="C727"/>
  <c r="E727"/>
  <c r="A728"/>
  <c r="C728"/>
  <c r="E728"/>
  <c r="A729"/>
  <c r="C729"/>
  <c r="E729"/>
  <c r="A730"/>
  <c r="C730"/>
  <c r="E730"/>
  <c r="A731"/>
  <c r="C731"/>
  <c r="D731"/>
  <c r="E731"/>
  <c r="A732"/>
  <c r="C732"/>
  <c r="E732"/>
  <c r="A733"/>
  <c r="C733"/>
  <c r="E733"/>
  <c r="A734"/>
  <c r="C734"/>
  <c r="E734"/>
  <c r="A735"/>
  <c r="C735"/>
  <c r="E735"/>
  <c r="A736"/>
  <c r="C736"/>
  <c r="E736"/>
  <c r="A737"/>
  <c r="C737"/>
  <c r="E737"/>
  <c r="A738"/>
  <c r="C738"/>
  <c r="E738"/>
  <c r="C739"/>
  <c r="D739"/>
  <c r="E739"/>
  <c r="A740"/>
  <c r="C740"/>
  <c r="D740"/>
  <c r="E740"/>
  <c r="A741"/>
  <c r="C741"/>
  <c r="D741"/>
  <c r="E741"/>
  <c r="A742"/>
  <c r="C742"/>
  <c r="D742"/>
  <c r="E742"/>
  <c r="A743"/>
  <c r="C743"/>
  <c r="D743"/>
  <c r="E743"/>
  <c r="A744"/>
  <c r="C744"/>
  <c r="D744"/>
  <c r="E744"/>
  <c r="A745"/>
  <c r="C745"/>
  <c r="D745"/>
  <c r="E745"/>
  <c r="A746"/>
  <c r="C746"/>
  <c r="D746"/>
  <c r="E746"/>
  <c r="A747"/>
  <c r="C747"/>
  <c r="D747"/>
  <c r="E747"/>
  <c r="A748"/>
  <c r="C748"/>
  <c r="D748"/>
  <c r="E748"/>
  <c r="A749"/>
  <c r="C749"/>
  <c r="D749"/>
  <c r="E749"/>
  <c r="A750"/>
  <c r="C750"/>
  <c r="D750"/>
  <c r="E750"/>
  <c r="A751"/>
  <c r="C751"/>
  <c r="D751"/>
  <c r="E751"/>
  <c r="A752"/>
  <c r="C752"/>
  <c r="D752"/>
  <c r="E752"/>
  <c r="A753"/>
  <c r="C753"/>
  <c r="D753"/>
  <c r="E753"/>
  <c r="A754"/>
  <c r="C754"/>
  <c r="D754"/>
  <c r="E754"/>
  <c r="A755"/>
  <c r="C755"/>
  <c r="D755"/>
  <c r="E755"/>
  <c r="A756"/>
  <c r="C756"/>
  <c r="D756"/>
  <c r="E756"/>
  <c r="A757"/>
  <c r="C757"/>
  <c r="D757"/>
  <c r="E757"/>
  <c r="A758"/>
  <c r="C758"/>
  <c r="D758"/>
  <c r="E758"/>
  <c r="A759"/>
  <c r="C759"/>
  <c r="D759"/>
  <c r="E759"/>
  <c r="A760"/>
  <c r="C760"/>
  <c r="D760"/>
  <c r="E760"/>
  <c r="A761"/>
  <c r="C761"/>
  <c r="E761"/>
  <c r="A762"/>
  <c r="C762"/>
  <c r="E762"/>
  <c r="A763"/>
  <c r="C763"/>
  <c r="E763"/>
  <c r="A764"/>
  <c r="C764"/>
  <c r="E764"/>
  <c r="A765"/>
  <c r="C765"/>
  <c r="E765"/>
  <c r="A766"/>
  <c r="C766"/>
  <c r="E766"/>
  <c r="A767"/>
  <c r="C767"/>
  <c r="E767"/>
  <c r="A768"/>
  <c r="C768"/>
  <c r="E768"/>
  <c r="A769"/>
  <c r="C769"/>
  <c r="E769"/>
  <c r="A770"/>
  <c r="C770"/>
  <c r="D770"/>
  <c r="E770"/>
  <c r="A771"/>
  <c r="C771"/>
  <c r="D771"/>
  <c r="E771"/>
  <c r="A772"/>
  <c r="C772"/>
  <c r="D772"/>
  <c r="E772"/>
  <c r="A773"/>
  <c r="C773"/>
  <c r="D773"/>
  <c r="E773"/>
  <c r="A774"/>
  <c r="C774"/>
  <c r="D774"/>
  <c r="E774"/>
  <c r="A775"/>
  <c r="C775"/>
  <c r="D775"/>
  <c r="E775"/>
  <c r="A776"/>
  <c r="C776"/>
  <c r="D776"/>
  <c r="E776"/>
  <c r="A777"/>
  <c r="C777"/>
  <c r="D777"/>
  <c r="E777"/>
  <c r="A778"/>
  <c r="C778"/>
  <c r="D778"/>
  <c r="E778"/>
  <c r="A779"/>
  <c r="C779"/>
  <c r="D779"/>
  <c r="E779"/>
  <c r="A780"/>
  <c r="C780"/>
  <c r="D780"/>
  <c r="E780"/>
  <c r="A781"/>
  <c r="C781"/>
  <c r="D781"/>
  <c r="E781"/>
  <c r="A782"/>
  <c r="C782"/>
  <c r="D782"/>
  <c r="E782"/>
  <c r="A783"/>
  <c r="C783"/>
  <c r="D783"/>
  <c r="E783"/>
  <c r="A784"/>
  <c r="C784"/>
  <c r="D784"/>
  <c r="E784"/>
  <c r="A785"/>
  <c r="C785"/>
  <c r="D785"/>
  <c r="E785"/>
  <c r="A786"/>
  <c r="C786"/>
  <c r="D786"/>
  <c r="E786"/>
  <c r="A787"/>
  <c r="C787"/>
  <c r="D787"/>
  <c r="E787"/>
  <c r="A788"/>
  <c r="C788"/>
  <c r="D788"/>
  <c r="E788"/>
  <c r="A789"/>
  <c r="C789"/>
  <c r="D789"/>
  <c r="E789"/>
  <c r="A790"/>
  <c r="C790"/>
  <c r="D790"/>
  <c r="E790"/>
  <c r="A791"/>
  <c r="C791"/>
  <c r="D791"/>
  <c r="E791"/>
  <c r="A792"/>
  <c r="C792"/>
  <c r="D792"/>
  <c r="E792"/>
  <c r="A793"/>
  <c r="C793"/>
  <c r="D793"/>
  <c r="E793"/>
  <c r="A794"/>
  <c r="C794"/>
  <c r="D794"/>
  <c r="E794"/>
  <c r="A795"/>
  <c r="C795"/>
  <c r="D795"/>
  <c r="E795"/>
  <c r="A796"/>
  <c r="C796"/>
  <c r="D796"/>
  <c r="E796"/>
  <c r="A797"/>
  <c r="B797"/>
  <c r="C797"/>
  <c r="D797"/>
  <c r="E797"/>
  <c r="A798"/>
  <c r="C798"/>
  <c r="E798"/>
  <c r="A799"/>
  <c r="C799"/>
  <c r="E799"/>
  <c r="A800"/>
  <c r="C800"/>
  <c r="E800"/>
  <c r="A801"/>
  <c r="C801"/>
  <c r="E801"/>
  <c r="A802"/>
  <c r="C802"/>
  <c r="E802"/>
  <c r="A803"/>
  <c r="C803"/>
  <c r="E803"/>
  <c r="A804"/>
  <c r="C804"/>
  <c r="E804"/>
  <c r="A805"/>
  <c r="C805"/>
  <c r="E805"/>
  <c r="A806"/>
  <c r="C806"/>
  <c r="E806"/>
  <c r="A807"/>
  <c r="C807"/>
  <c r="E807"/>
  <c r="A808"/>
  <c r="C808"/>
  <c r="E808"/>
  <c r="A809"/>
  <c r="B809"/>
  <c r="C809"/>
  <c r="D809"/>
  <c r="E809"/>
  <c r="A810"/>
  <c r="C810"/>
  <c r="E810"/>
  <c r="A811"/>
  <c r="C811"/>
  <c r="E811"/>
  <c r="A812"/>
  <c r="C812"/>
  <c r="E812"/>
  <c r="A813"/>
  <c r="C813"/>
  <c r="E813"/>
  <c r="A814"/>
  <c r="C814"/>
  <c r="D814"/>
  <c r="E814"/>
  <c r="A815"/>
  <c r="C815"/>
  <c r="E815"/>
  <c r="A816"/>
  <c r="C816"/>
  <c r="E816"/>
  <c r="A817"/>
  <c r="C817"/>
  <c r="E817"/>
  <c r="A818"/>
  <c r="C818"/>
  <c r="E818"/>
  <c r="A819"/>
  <c r="C819"/>
  <c r="D819"/>
  <c r="E819"/>
  <c r="A820"/>
  <c r="C820"/>
  <c r="E820"/>
  <c r="A821"/>
  <c r="C821"/>
  <c r="E821"/>
  <c r="A822"/>
  <c r="C822"/>
  <c r="E822"/>
  <c r="A823"/>
  <c r="C823"/>
  <c r="E823"/>
  <c r="A824"/>
  <c r="C824"/>
  <c r="E824"/>
  <c r="A825"/>
  <c r="D825"/>
  <c r="E825"/>
  <c r="A826"/>
  <c r="C826"/>
  <c r="E826"/>
  <c r="A827"/>
  <c r="C827"/>
  <c r="E827"/>
  <c r="A828"/>
  <c r="C828"/>
  <c r="D828"/>
  <c r="E828"/>
  <c r="A829"/>
  <c r="C829"/>
  <c r="E829"/>
  <c r="A830"/>
  <c r="C830"/>
  <c r="E830"/>
  <c r="A831"/>
  <c r="C831"/>
  <c r="E831"/>
  <c r="A832"/>
  <c r="C832"/>
  <c r="E832"/>
  <c r="A833"/>
  <c r="C833"/>
  <c r="E833"/>
  <c r="A834"/>
  <c r="C834"/>
  <c r="E834"/>
  <c r="A835"/>
  <c r="C835"/>
  <c r="E835"/>
  <c r="A836"/>
  <c r="C836"/>
  <c r="D836"/>
  <c r="E836"/>
  <c r="A837"/>
  <c r="C837"/>
  <c r="D837"/>
  <c r="E837"/>
  <c r="A838"/>
  <c r="C838"/>
  <c r="D838"/>
  <c r="E838"/>
  <c r="A839"/>
  <c r="C839"/>
  <c r="D839"/>
  <c r="E839"/>
  <c r="A840"/>
  <c r="C840"/>
  <c r="E840"/>
  <c r="A841"/>
  <c r="C841"/>
  <c r="E841"/>
  <c r="A842"/>
  <c r="C842"/>
  <c r="E842"/>
  <c r="A843"/>
  <c r="C843"/>
  <c r="E843"/>
  <c r="A844"/>
  <c r="C844"/>
  <c r="E844"/>
  <c r="A845"/>
  <c r="C845"/>
  <c r="E845"/>
  <c r="A846"/>
  <c r="B846"/>
  <c r="C846"/>
  <c r="D846"/>
  <c r="E846"/>
  <c r="A847"/>
  <c r="C847"/>
  <c r="E847"/>
  <c r="A848"/>
  <c r="C848"/>
  <c r="E848"/>
  <c r="A849"/>
  <c r="B849"/>
  <c r="C849"/>
  <c r="D849"/>
  <c r="E849"/>
  <c r="A850"/>
  <c r="C850"/>
  <c r="D850"/>
  <c r="E850"/>
  <c r="A851"/>
  <c r="C851"/>
  <c r="D851"/>
  <c r="E851"/>
  <c r="A852"/>
  <c r="B852"/>
  <c r="C852"/>
  <c r="D852"/>
  <c r="E852"/>
  <c r="A853"/>
  <c r="C853"/>
  <c r="D853"/>
  <c r="E853"/>
  <c r="A854"/>
  <c r="C854"/>
  <c r="D854"/>
  <c r="E854"/>
  <c r="A855"/>
  <c r="C855"/>
  <c r="E855"/>
  <c r="A856"/>
  <c r="C856"/>
  <c r="E856"/>
  <c r="A857"/>
  <c r="C857"/>
  <c r="E857"/>
  <c r="A858"/>
  <c r="C858"/>
  <c r="E858"/>
  <c r="A859"/>
  <c r="C859"/>
  <c r="D859"/>
  <c r="E859"/>
  <c r="A860"/>
  <c r="C860"/>
  <c r="E860"/>
  <c r="A861"/>
  <c r="C861"/>
  <c r="E861"/>
  <c r="A862"/>
  <c r="C862"/>
  <c r="E862"/>
  <c r="A863"/>
  <c r="C863"/>
  <c r="E863"/>
  <c r="A864"/>
  <c r="C864"/>
  <c r="E864"/>
  <c r="A865"/>
  <c r="C865"/>
  <c r="E865"/>
  <c r="A866"/>
  <c r="B866"/>
  <c r="C866"/>
  <c r="D866"/>
  <c r="E866"/>
  <c r="A867"/>
  <c r="C867"/>
  <c r="E867"/>
  <c r="A868"/>
  <c r="C868"/>
  <c r="E868"/>
  <c r="A869"/>
  <c r="C869"/>
  <c r="E869"/>
  <c r="A870"/>
  <c r="C870"/>
  <c r="E870"/>
  <c r="A871"/>
  <c r="C871"/>
  <c r="E871"/>
  <c r="A872"/>
  <c r="C872"/>
  <c r="E872"/>
  <c r="A873"/>
  <c r="C873"/>
  <c r="E873"/>
  <c r="A874"/>
  <c r="C874"/>
  <c r="E874"/>
  <c r="A875"/>
  <c r="C875"/>
  <c r="E875"/>
  <c r="A876"/>
  <c r="C876"/>
  <c r="E876"/>
  <c r="A877"/>
  <c r="C877"/>
  <c r="E877"/>
  <c r="A878"/>
  <c r="B878"/>
  <c r="C878"/>
  <c r="D878"/>
  <c r="E878"/>
  <c r="A879"/>
  <c r="C879"/>
  <c r="E879"/>
  <c r="A880"/>
  <c r="C880"/>
  <c r="E880"/>
  <c r="A881"/>
  <c r="C881"/>
  <c r="E881"/>
  <c r="A882"/>
  <c r="C882"/>
  <c r="E882"/>
  <c r="A883"/>
  <c r="C883"/>
  <c r="E883"/>
  <c r="A884"/>
  <c r="C884"/>
  <c r="E884"/>
  <c r="A885"/>
  <c r="C885"/>
  <c r="D885"/>
  <c r="E885"/>
  <c r="A886"/>
  <c r="C886"/>
  <c r="E886"/>
  <c r="A887"/>
  <c r="C887"/>
  <c r="D887"/>
  <c r="E887"/>
  <c r="A888"/>
  <c r="C888"/>
  <c r="E888"/>
  <c r="A889"/>
  <c r="C889"/>
  <c r="E889"/>
  <c r="A890"/>
  <c r="C890"/>
  <c r="E890"/>
  <c r="A891"/>
  <c r="C891"/>
  <c r="E891"/>
  <c r="A892"/>
  <c r="C892"/>
  <c r="D892"/>
  <c r="E892"/>
  <c r="A893"/>
  <c r="C893"/>
  <c r="E893"/>
  <c r="A894"/>
  <c r="C894"/>
  <c r="E894"/>
  <c r="A895"/>
  <c r="C895"/>
  <c r="E895"/>
  <c r="A896"/>
  <c r="C896"/>
  <c r="D896"/>
  <c r="E896"/>
  <c r="A897"/>
  <c r="C897"/>
  <c r="D897"/>
  <c r="E897"/>
  <c r="A898"/>
  <c r="C898"/>
  <c r="D898"/>
  <c r="E898"/>
  <c r="A899"/>
  <c r="C899"/>
  <c r="D899"/>
  <c r="E899"/>
  <c r="A900"/>
  <c r="C900"/>
  <c r="E900"/>
  <c r="A901"/>
  <c r="C901"/>
  <c r="E901"/>
  <c r="A902"/>
  <c r="C902"/>
  <c r="E902"/>
  <c r="A903"/>
  <c r="C903"/>
  <c r="E903"/>
  <c r="A904"/>
  <c r="C904"/>
  <c r="E904"/>
  <c r="A905"/>
  <c r="C905"/>
  <c r="E905"/>
  <c r="A906"/>
  <c r="C906"/>
  <c r="E906"/>
  <c r="A907"/>
  <c r="C907"/>
  <c r="E907"/>
  <c r="A908"/>
  <c r="C908"/>
  <c r="E908"/>
  <c r="A909"/>
  <c r="C909"/>
  <c r="E909"/>
  <c r="A910"/>
  <c r="C910"/>
  <c r="E910"/>
  <c r="A911"/>
  <c r="C911"/>
  <c r="D911"/>
  <c r="E911"/>
  <c r="A912"/>
  <c r="C912"/>
  <c r="E912"/>
  <c r="A913"/>
  <c r="C913"/>
  <c r="D913"/>
  <c r="E913"/>
  <c r="A914"/>
  <c r="C914"/>
  <c r="D914"/>
  <c r="E914"/>
  <c r="A915"/>
  <c r="C915"/>
  <c r="D915"/>
  <c r="E915"/>
  <c r="A916"/>
  <c r="C916"/>
  <c r="D916"/>
  <c r="E916"/>
  <c r="A917"/>
  <c r="C917"/>
  <c r="E917"/>
  <c r="A918"/>
  <c r="C918"/>
  <c r="E918"/>
  <c r="A919"/>
  <c r="C919"/>
  <c r="E919"/>
  <c r="A920"/>
  <c r="C920"/>
  <c r="E920"/>
  <c r="A921"/>
  <c r="C921"/>
  <c r="D921"/>
  <c r="E921"/>
  <c r="A922"/>
  <c r="C922"/>
  <c r="D922"/>
  <c r="E922"/>
  <c r="A923"/>
  <c r="C923"/>
  <c r="D923"/>
  <c r="E923"/>
  <c r="A924"/>
  <c r="C924"/>
  <c r="D924"/>
  <c r="E924"/>
  <c r="A925"/>
  <c r="C925"/>
  <c r="D925"/>
  <c r="A926"/>
  <c r="C926"/>
  <c r="D926"/>
  <c r="E926"/>
  <c r="A927"/>
  <c r="C927"/>
  <c r="E927"/>
  <c r="A928"/>
  <c r="C928"/>
  <c r="D928"/>
  <c r="E928"/>
  <c r="A929"/>
  <c r="C929"/>
  <c r="D929"/>
  <c r="E929"/>
  <c r="A930"/>
  <c r="C930"/>
  <c r="D930"/>
  <c r="E930"/>
  <c r="A931"/>
  <c r="C931"/>
  <c r="D931"/>
  <c r="E931"/>
  <c r="A932"/>
  <c r="C932"/>
  <c r="D932"/>
  <c r="E932"/>
  <c r="A933"/>
  <c r="C933"/>
  <c r="D933"/>
  <c r="E933"/>
  <c r="A934"/>
  <c r="C934"/>
  <c r="D934"/>
  <c r="E934"/>
  <c r="A935"/>
  <c r="C935"/>
  <c r="D935"/>
  <c r="E935"/>
  <c r="A936"/>
  <c r="C936"/>
  <c r="D936"/>
  <c r="E936"/>
  <c r="A937"/>
  <c r="C937"/>
  <c r="D937"/>
  <c r="E937"/>
  <c r="A938"/>
  <c r="C938"/>
  <c r="D938"/>
  <c r="E938"/>
  <c r="A939"/>
  <c r="C939"/>
  <c r="D939"/>
  <c r="E939"/>
  <c r="A940"/>
  <c r="C940"/>
  <c r="D940"/>
  <c r="E940"/>
  <c r="A941"/>
  <c r="C941"/>
  <c r="D941"/>
  <c r="E941"/>
  <c r="A942"/>
  <c r="C942"/>
  <c r="D942"/>
  <c r="E942"/>
  <c r="A943"/>
  <c r="C943"/>
  <c r="D943"/>
  <c r="E943"/>
  <c r="A944"/>
  <c r="C944"/>
  <c r="D944"/>
  <c r="E944"/>
  <c r="A945"/>
  <c r="C945"/>
  <c r="D945"/>
  <c r="E945"/>
  <c r="A946"/>
  <c r="C946"/>
  <c r="D946"/>
  <c r="E946"/>
  <c r="A947"/>
  <c r="C947"/>
  <c r="D947"/>
  <c r="E947"/>
  <c r="A948"/>
  <c r="C948"/>
  <c r="D948"/>
  <c r="E948"/>
  <c r="A949"/>
  <c r="C949"/>
  <c r="D949"/>
  <c r="E949"/>
  <c r="A950"/>
  <c r="C950"/>
  <c r="D950"/>
  <c r="E950"/>
  <c r="A951"/>
  <c r="C951"/>
  <c r="D951"/>
  <c r="E951"/>
  <c r="A952"/>
  <c r="C952"/>
  <c r="D952"/>
  <c r="E952"/>
  <c r="A953"/>
  <c r="B953"/>
  <c r="C953"/>
  <c r="D953"/>
  <c r="E953"/>
  <c r="A954"/>
  <c r="C954"/>
  <c r="D954"/>
  <c r="E954"/>
  <c r="A955"/>
  <c r="C955"/>
  <c r="D955"/>
  <c r="E955"/>
  <c r="A956"/>
  <c r="C956"/>
  <c r="D956"/>
  <c r="E956"/>
  <c r="A957"/>
  <c r="C957"/>
  <c r="D957"/>
  <c r="E957"/>
  <c r="A958"/>
  <c r="C958"/>
  <c r="D958"/>
  <c r="E958"/>
  <c r="A959"/>
  <c r="C959"/>
  <c r="D959"/>
  <c r="E959"/>
  <c r="A960"/>
  <c r="C960"/>
  <c r="D960"/>
  <c r="E960"/>
  <c r="A961"/>
  <c r="C961"/>
  <c r="D961"/>
  <c r="E961"/>
  <c r="A962"/>
  <c r="C962"/>
  <c r="D962"/>
  <c r="E962"/>
  <c r="A963"/>
  <c r="C963"/>
  <c r="D963"/>
  <c r="E963"/>
  <c r="A964"/>
  <c r="C964"/>
  <c r="D964"/>
  <c r="E964"/>
  <c r="A965"/>
  <c r="C965"/>
  <c r="D965"/>
  <c r="E965"/>
  <c r="A966"/>
  <c r="C966"/>
  <c r="D966"/>
  <c r="E966"/>
  <c r="A967"/>
  <c r="C967"/>
  <c r="D967"/>
  <c r="E967"/>
  <c r="A968"/>
  <c r="C968"/>
  <c r="D968"/>
  <c r="E968"/>
  <c r="A969"/>
  <c r="C969"/>
  <c r="D969"/>
  <c r="E969"/>
  <c r="A970"/>
  <c r="C970"/>
  <c r="D970"/>
  <c r="E970"/>
  <c r="A971"/>
  <c r="C971"/>
  <c r="D971"/>
  <c r="E971"/>
  <c r="A972"/>
  <c r="C972"/>
  <c r="D972"/>
  <c r="E972"/>
  <c r="A973"/>
  <c r="C973"/>
  <c r="D973"/>
  <c r="E973"/>
  <c r="A974"/>
  <c r="B974"/>
  <c r="C974"/>
  <c r="D974"/>
  <c r="E974"/>
  <c r="A975"/>
  <c r="C975"/>
  <c r="D975"/>
  <c r="E975"/>
  <c r="A976"/>
  <c r="C976"/>
  <c r="D976"/>
  <c r="E976"/>
  <c r="A977"/>
  <c r="C977"/>
  <c r="D977"/>
  <c r="E977"/>
  <c r="A978"/>
  <c r="C978"/>
  <c r="D978"/>
  <c r="E978"/>
  <c r="A979"/>
  <c r="C979"/>
  <c r="D979"/>
  <c r="E979"/>
  <c r="A980"/>
  <c r="C980"/>
  <c r="D980"/>
  <c r="E980"/>
  <c r="A981"/>
  <c r="B981"/>
  <c r="C981"/>
  <c r="D981"/>
  <c r="E981"/>
  <c r="A982"/>
  <c r="C982"/>
  <c r="D982"/>
  <c r="E982"/>
  <c r="A983"/>
  <c r="C983"/>
  <c r="D983"/>
  <c r="E983"/>
  <c r="A984"/>
  <c r="C984"/>
  <c r="D984"/>
  <c r="E984"/>
  <c r="A985"/>
  <c r="C985"/>
  <c r="D985"/>
  <c r="E985"/>
  <c r="A986"/>
  <c r="C986"/>
  <c r="D986"/>
  <c r="E986"/>
  <c r="A987"/>
  <c r="C987"/>
  <c r="D987"/>
  <c r="E987"/>
  <c r="A988"/>
  <c r="C988"/>
  <c r="D988"/>
  <c r="E988"/>
  <c r="A989"/>
  <c r="C989"/>
  <c r="D989"/>
  <c r="E989"/>
  <c r="A990"/>
  <c r="B990"/>
  <c r="C990"/>
  <c r="D990"/>
  <c r="E990"/>
  <c r="A991"/>
  <c r="C991"/>
  <c r="D991"/>
  <c r="E991"/>
  <c r="A992"/>
  <c r="B992"/>
  <c r="C992"/>
  <c r="D992"/>
  <c r="E992"/>
  <c r="A993"/>
  <c r="C993"/>
  <c r="D993"/>
  <c r="E993"/>
  <c r="A994"/>
  <c r="B994"/>
  <c r="C994"/>
  <c r="D994"/>
  <c r="E994"/>
  <c r="A995"/>
  <c r="C995"/>
  <c r="D995"/>
  <c r="E995"/>
  <c r="A996"/>
  <c r="C996"/>
  <c r="D996"/>
  <c r="E996"/>
  <c r="A997"/>
  <c r="C997"/>
  <c r="D997"/>
  <c r="E997"/>
  <c r="A998"/>
  <c r="C998"/>
  <c r="D998"/>
  <c r="E998"/>
  <c r="A999"/>
  <c r="C999"/>
  <c r="D999"/>
  <c r="E999"/>
  <c r="A1000"/>
  <c r="C1000"/>
  <c r="E1000"/>
  <c r="A1001"/>
  <c r="C1001"/>
  <c r="D1001"/>
  <c r="E1001"/>
  <c r="A1002"/>
  <c r="B1002"/>
  <c r="C1002"/>
  <c r="D1002"/>
  <c r="E1002"/>
  <c r="A1003"/>
  <c r="C1003"/>
  <c r="D1003"/>
  <c r="E1003"/>
  <c r="A1004"/>
  <c r="C1004"/>
  <c r="D1004"/>
  <c r="E1004"/>
  <c r="A1005"/>
  <c r="C1005"/>
  <c r="D1005"/>
  <c r="E1005"/>
  <c r="A1006"/>
  <c r="C1006"/>
  <c r="D1006"/>
  <c r="E1006"/>
  <c r="A1007"/>
  <c r="C1007"/>
  <c r="D1007"/>
  <c r="E1007"/>
  <c r="A1008"/>
  <c r="C1008"/>
  <c r="D1008"/>
  <c r="E1008"/>
  <c r="A1009"/>
  <c r="C1009"/>
  <c r="D1009"/>
  <c r="E1009"/>
  <c r="A1010"/>
  <c r="C1010"/>
  <c r="D1010"/>
  <c r="E1010"/>
  <c r="A1011"/>
  <c r="C1011"/>
  <c r="D1011"/>
  <c r="E1011"/>
  <c r="A1012"/>
  <c r="C1012"/>
  <c r="D1012"/>
  <c r="E1012"/>
  <c r="A1013"/>
  <c r="C1013"/>
  <c r="D1013"/>
  <c r="E1013"/>
  <c r="A1014"/>
  <c r="C1014"/>
  <c r="D1014"/>
  <c r="E1014"/>
  <c r="A1015"/>
  <c r="C1015"/>
  <c r="D1015"/>
  <c r="E1015"/>
  <c r="A1016"/>
  <c r="B1016"/>
  <c r="C1016"/>
  <c r="D1016"/>
  <c r="E1016"/>
  <c r="A1017"/>
  <c r="C1017"/>
  <c r="D1017"/>
  <c r="E1017"/>
  <c r="A1018"/>
  <c r="C1018"/>
  <c r="D1018"/>
  <c r="E1018"/>
  <c r="A1019"/>
  <c r="C1019"/>
  <c r="D1019"/>
  <c r="E1019"/>
  <c r="A1020"/>
  <c r="C1020"/>
  <c r="D1020"/>
  <c r="E1020"/>
  <c r="A1021"/>
  <c r="C1021"/>
  <c r="D1021"/>
  <c r="E1021"/>
  <c r="A1022"/>
  <c r="C1022"/>
  <c r="D1022"/>
  <c r="E1022"/>
  <c r="A1023"/>
  <c r="C1023"/>
  <c r="D1023"/>
  <c r="E1023"/>
  <c r="A1024"/>
  <c r="C1024"/>
  <c r="D1024"/>
  <c r="E1024"/>
  <c r="A1025"/>
  <c r="C1025"/>
  <c r="D1025"/>
  <c r="E1025"/>
  <c r="A1026"/>
  <c r="B1026"/>
  <c r="C1026"/>
  <c r="E1026"/>
  <c r="A1027"/>
  <c r="C1027"/>
  <c r="D1027"/>
  <c r="E1027"/>
  <c r="A1028"/>
  <c r="C1028"/>
  <c r="D1028"/>
  <c r="E1028"/>
  <c r="A1029"/>
  <c r="C1029"/>
  <c r="D1029"/>
  <c r="E1029"/>
  <c r="A1030"/>
  <c r="C1030"/>
  <c r="E1030"/>
  <c r="A1031"/>
  <c r="C1031"/>
  <c r="E1031"/>
  <c r="A1032"/>
  <c r="C1032"/>
  <c r="E1032"/>
  <c r="A1033"/>
  <c r="C1033"/>
  <c r="D1033"/>
  <c r="E1033"/>
  <c r="A1034"/>
  <c r="C1034"/>
  <c r="D1034"/>
  <c r="E1034"/>
  <c r="A1035"/>
  <c r="C1035"/>
  <c r="D1035"/>
  <c r="E1035"/>
  <c r="A1036"/>
  <c r="C1036"/>
  <c r="D1036"/>
  <c r="E1036"/>
  <c r="A1037"/>
  <c r="C1037"/>
  <c r="E1037"/>
  <c r="A1038"/>
  <c r="C1038"/>
  <c r="E1038"/>
  <c r="A1039"/>
  <c r="C1039"/>
  <c r="E1039"/>
  <c r="A1040"/>
  <c r="C1040"/>
  <c r="E1040"/>
  <c r="A1041"/>
  <c r="C1041"/>
  <c r="E1041"/>
  <c r="A1042"/>
  <c r="C1042"/>
  <c r="E1042"/>
  <c r="A1043"/>
  <c r="C1043"/>
  <c r="E1043"/>
  <c r="A1044"/>
  <c r="C1044"/>
  <c r="E1044"/>
  <c r="A1045"/>
  <c r="E1045"/>
  <c r="A1046"/>
  <c r="C1046"/>
  <c r="E1046"/>
  <c r="A1047"/>
  <c r="C1047"/>
  <c r="E1047"/>
  <c r="A1048"/>
  <c r="C1048"/>
  <c r="E1048"/>
  <c r="A1049"/>
  <c r="C1049"/>
  <c r="E1049"/>
  <c r="A1050"/>
  <c r="C1050"/>
  <c r="E1050"/>
  <c r="A1051"/>
  <c r="C1051"/>
  <c r="E1051"/>
  <c r="A1052"/>
  <c r="C1052"/>
  <c r="E1052"/>
  <c r="A1053"/>
  <c r="C1053"/>
  <c r="E1053"/>
  <c r="A1054"/>
  <c r="C1054"/>
  <c r="E1054"/>
  <c r="A1055"/>
  <c r="C1055"/>
  <c r="E1055"/>
  <c r="A1056"/>
  <c r="C1056"/>
  <c r="E1056"/>
  <c r="A1057"/>
  <c r="C1057"/>
  <c r="E1057"/>
  <c r="A1058"/>
  <c r="C1058"/>
  <c r="E1058"/>
  <c r="A1059"/>
  <c r="C1059"/>
  <c r="E1059"/>
  <c r="A1060"/>
  <c r="C1060"/>
  <c r="E1060"/>
  <c r="A1061"/>
  <c r="C1061"/>
  <c r="E1061"/>
  <c r="A1062"/>
  <c r="C1062"/>
  <c r="E1062"/>
  <c r="A1063"/>
  <c r="C1063"/>
  <c r="E1063"/>
  <c r="A1064"/>
  <c r="C1064"/>
  <c r="E1064"/>
  <c r="A1065"/>
  <c r="C1065"/>
  <c r="E1065"/>
  <c r="A1066"/>
  <c r="C1066"/>
  <c r="E1066"/>
  <c r="A7"/>
  <c r="C7"/>
  <c r="E7"/>
  <c r="E6"/>
  <c r="D6"/>
  <c r="C6"/>
  <c r="B6"/>
  <c r="A6"/>
  <c r="B9"/>
  <c r="B10"/>
  <c r="B11"/>
  <c r="B13"/>
  <c r="B14"/>
  <c r="B16"/>
  <c r="B17"/>
  <c r="B19"/>
  <c r="B20"/>
  <c r="B21"/>
  <c r="B22"/>
  <c r="B24"/>
  <c r="B25"/>
  <c r="B26"/>
  <c r="B27"/>
  <c r="B28"/>
  <c r="B30"/>
  <c r="B31"/>
  <c r="B36"/>
  <c r="B40"/>
  <c r="B41"/>
  <c r="B42"/>
  <c r="B43"/>
  <c r="B44"/>
  <c r="B45"/>
  <c r="B47"/>
  <c r="B48"/>
  <c r="B49"/>
  <c r="F49" s="1"/>
  <c r="B51"/>
  <c r="B52"/>
  <c r="B54"/>
  <c r="B55"/>
  <c r="B56"/>
  <c r="B61"/>
  <c r="F61" s="1"/>
  <c r="B63"/>
  <c r="B64"/>
  <c r="B66"/>
  <c r="B67"/>
  <c r="B68"/>
  <c r="B69"/>
  <c r="B72"/>
  <c r="B73"/>
  <c r="B75"/>
  <c r="B76"/>
  <c r="B78"/>
  <c r="B79"/>
  <c r="B80"/>
  <c r="B81"/>
  <c r="B82"/>
  <c r="B83"/>
  <c r="B84"/>
  <c r="B86"/>
  <c r="B87"/>
  <c r="B88"/>
  <c r="B90"/>
  <c r="B92"/>
  <c r="B93"/>
  <c r="B94"/>
  <c r="B95"/>
  <c r="B96"/>
  <c r="B97"/>
  <c r="B100"/>
  <c r="B101"/>
  <c r="B102"/>
  <c r="B103"/>
  <c r="B104"/>
  <c r="B105"/>
  <c r="B106"/>
  <c r="B112"/>
  <c r="B115"/>
  <c r="B120"/>
  <c r="B121"/>
  <c r="B122"/>
  <c r="B123"/>
  <c r="B125"/>
  <c r="B126"/>
  <c r="F126" s="1"/>
  <c r="B129"/>
  <c r="B130"/>
  <c r="B131"/>
  <c r="B133"/>
  <c r="B134"/>
  <c r="B135"/>
  <c r="B138"/>
  <c r="B139"/>
  <c r="B140"/>
  <c r="B141"/>
  <c r="B142"/>
  <c r="B143"/>
  <c r="B144"/>
  <c r="B145"/>
  <c r="B147"/>
  <c r="B148"/>
  <c r="B149"/>
  <c r="B151"/>
  <c r="B152"/>
  <c r="B153"/>
  <c r="B155"/>
  <c r="F155" s="1"/>
  <c r="B156"/>
  <c r="B157"/>
  <c r="B159"/>
  <c r="B160"/>
  <c r="B166"/>
  <c r="B170"/>
  <c r="B171"/>
  <c r="B172"/>
  <c r="B182"/>
  <c r="B184"/>
  <c r="B185"/>
  <c r="B186"/>
  <c r="B188"/>
  <c r="B189"/>
  <c r="B190"/>
  <c r="B191"/>
  <c r="B192"/>
  <c r="B195"/>
  <c r="B196"/>
  <c r="F196" s="1"/>
  <c r="B200"/>
  <c r="B202"/>
  <c r="B206"/>
  <c r="B207"/>
  <c r="B208"/>
  <c r="B209"/>
  <c r="B218"/>
  <c r="B219"/>
  <c r="B221"/>
  <c r="B222"/>
  <c r="B223"/>
  <c r="B225"/>
  <c r="F225" s="1"/>
  <c r="B229"/>
  <c r="B231"/>
  <c r="B234"/>
  <c r="B235"/>
  <c r="B237"/>
  <c r="B239"/>
  <c r="B241"/>
  <c r="B242"/>
  <c r="B243"/>
  <c r="B247"/>
  <c r="B249"/>
  <c r="B250"/>
  <c r="B253"/>
  <c r="B254"/>
  <c r="B255"/>
  <c r="B261"/>
  <c r="B262"/>
  <c r="B263"/>
  <c r="B268"/>
  <c r="B272"/>
  <c r="B288"/>
  <c r="B292"/>
  <c r="B298"/>
  <c r="B302"/>
  <c r="B306"/>
  <c r="B308"/>
  <c r="B312"/>
  <c r="B314"/>
  <c r="B315"/>
  <c r="B316"/>
  <c r="B318"/>
  <c r="B319"/>
  <c r="B320"/>
  <c r="B322"/>
  <c r="B329"/>
  <c r="B336"/>
  <c r="B340"/>
  <c r="B348"/>
  <c r="B356"/>
  <c r="B364"/>
  <c r="B369"/>
  <c r="B370"/>
  <c r="B371"/>
  <c r="B372"/>
  <c r="B374"/>
  <c r="B376"/>
  <c r="B379"/>
  <c r="B383"/>
  <c r="B388"/>
  <c r="B391"/>
  <c r="B394"/>
  <c r="B396"/>
  <c r="B398"/>
  <c r="B400"/>
  <c r="B402"/>
  <c r="B403"/>
  <c r="B407"/>
  <c r="B408"/>
  <c r="B410"/>
  <c r="B411"/>
  <c r="B415"/>
  <c r="F415" s="1"/>
  <c r="B422"/>
  <c r="B423"/>
  <c r="B424"/>
  <c r="B428"/>
  <c r="B430"/>
  <c r="B433"/>
  <c r="B434"/>
  <c r="B435"/>
  <c r="B436"/>
  <c r="B440"/>
  <c r="B442"/>
  <c r="B443"/>
  <c r="B444"/>
  <c r="B445"/>
  <c r="B446"/>
  <c r="B448"/>
  <c r="B449"/>
  <c r="B450"/>
  <c r="B451"/>
  <c r="B452"/>
  <c r="B453"/>
  <c r="B456"/>
  <c r="F456" s="1"/>
  <c r="B457"/>
  <c r="B458"/>
  <c r="B462"/>
  <c r="B463"/>
  <c r="B464"/>
  <c r="B465"/>
  <c r="B466"/>
  <c r="B470"/>
  <c r="B471"/>
  <c r="B472"/>
  <c r="B473"/>
  <c r="B474"/>
  <c r="B475"/>
  <c r="B477"/>
  <c r="B478"/>
  <c r="B479"/>
  <c r="B482"/>
  <c r="B483"/>
  <c r="B484"/>
  <c r="B485"/>
  <c r="B486"/>
  <c r="B488"/>
  <c r="B489"/>
  <c r="B491"/>
  <c r="B495"/>
  <c r="B496"/>
  <c r="B497"/>
  <c r="B500"/>
  <c r="B504"/>
  <c r="B505"/>
  <c r="B506"/>
  <c r="B508"/>
  <c r="B509"/>
  <c r="B510"/>
  <c r="B511"/>
  <c r="B514"/>
  <c r="B515"/>
  <c r="B517"/>
  <c r="B518"/>
  <c r="B519"/>
  <c r="B520"/>
  <c r="B521"/>
  <c r="B522"/>
  <c r="B523"/>
  <c r="B524"/>
  <c r="B525"/>
  <c r="B526"/>
  <c r="B527"/>
  <c r="B528"/>
  <c r="B531"/>
  <c r="B533"/>
  <c r="B534"/>
  <c r="B535"/>
  <c r="B536"/>
  <c r="B537"/>
  <c r="B543"/>
  <c r="B544"/>
  <c r="B547"/>
  <c r="B549"/>
  <c r="B550"/>
  <c r="B552"/>
  <c r="B554"/>
  <c r="B555"/>
  <c r="B557"/>
  <c r="B558"/>
  <c r="B559"/>
  <c r="B560"/>
  <c r="B561"/>
  <c r="B563"/>
  <c r="B565"/>
  <c r="B566"/>
  <c r="B568"/>
  <c r="B569"/>
  <c r="B573"/>
  <c r="B574"/>
  <c r="B576"/>
  <c r="B581"/>
  <c r="B582"/>
  <c r="B583"/>
  <c r="B584"/>
  <c r="B589"/>
  <c r="B591"/>
  <c r="B597"/>
  <c r="B599"/>
  <c r="B601"/>
  <c r="B602"/>
  <c r="B605"/>
  <c r="B609"/>
  <c r="B615"/>
  <c r="B618"/>
  <c r="B621"/>
  <c r="B623"/>
  <c r="B626"/>
  <c r="B634"/>
  <c r="B635"/>
  <c r="B637"/>
  <c r="B638"/>
  <c r="B641"/>
  <c r="B642"/>
  <c r="B643"/>
  <c r="B646"/>
  <c r="B647"/>
  <c r="B650"/>
  <c r="B652"/>
  <c r="B653"/>
  <c r="B655"/>
  <c r="B656"/>
  <c r="B658"/>
  <c r="B660"/>
  <c r="B661"/>
  <c r="B667"/>
  <c r="B668"/>
  <c r="B671"/>
  <c r="B672"/>
  <c r="B675"/>
  <c r="B676"/>
  <c r="B677"/>
  <c r="B682"/>
  <c r="B683"/>
  <c r="B684"/>
  <c r="B685"/>
  <c r="B686"/>
  <c r="B687"/>
  <c r="B689"/>
  <c r="B691"/>
  <c r="B692"/>
  <c r="B693"/>
  <c r="B696"/>
  <c r="B697"/>
  <c r="B698"/>
  <c r="B700"/>
  <c r="B701"/>
  <c r="B703"/>
  <c r="B704"/>
  <c r="B705"/>
  <c r="B707"/>
  <c r="B708"/>
  <c r="B711"/>
  <c r="B713"/>
  <c r="B714"/>
  <c r="B715"/>
  <c r="B719"/>
  <c r="B723"/>
  <c r="B724"/>
  <c r="B726"/>
  <c r="B730"/>
  <c r="B734"/>
  <c r="B735"/>
  <c r="B752"/>
  <c r="B763"/>
  <c r="B766"/>
  <c r="B767"/>
  <c r="B768"/>
  <c r="B769"/>
  <c r="B782"/>
  <c r="B784"/>
  <c r="B796"/>
  <c r="B798"/>
  <c r="B799"/>
  <c r="B803"/>
  <c r="B804"/>
  <c r="B805"/>
  <c r="B807"/>
  <c r="B808"/>
  <c r="B811"/>
  <c r="B812"/>
  <c r="B813"/>
  <c r="B815"/>
  <c r="B816"/>
  <c r="B817"/>
  <c r="B818"/>
  <c r="B822"/>
  <c r="B823"/>
  <c r="B824"/>
  <c r="B826"/>
  <c r="B827"/>
  <c r="B828"/>
  <c r="B830"/>
  <c r="B835"/>
  <c r="B838"/>
  <c r="B843"/>
  <c r="B854"/>
  <c r="B857"/>
  <c r="B860"/>
  <c r="B861"/>
  <c r="B862"/>
  <c r="B863"/>
  <c r="B864"/>
  <c r="B867"/>
  <c r="B869"/>
  <c r="B870"/>
  <c r="B871"/>
  <c r="B872"/>
  <c r="B874"/>
  <c r="B875"/>
  <c r="B876"/>
  <c r="B877"/>
  <c r="B879"/>
  <c r="B882"/>
  <c r="B883"/>
  <c r="B884"/>
  <c r="B886"/>
  <c r="B888"/>
  <c r="B891"/>
  <c r="B892"/>
  <c r="B893"/>
  <c r="B894"/>
  <c r="B895"/>
  <c r="B900"/>
  <c r="B901"/>
  <c r="B902"/>
  <c r="B903"/>
  <c r="B906"/>
  <c r="B907"/>
  <c r="B908"/>
  <c r="B909"/>
  <c r="B916"/>
  <c r="B917"/>
  <c r="B919"/>
  <c r="B920"/>
  <c r="B927"/>
  <c r="B932"/>
  <c r="B948"/>
  <c r="B956"/>
  <c r="B968"/>
  <c r="B982"/>
  <c r="B995"/>
  <c r="B1004"/>
  <c r="B1014"/>
  <c r="B1020"/>
  <c r="B1028"/>
  <c r="B1030"/>
  <c r="B1031"/>
  <c r="W370" i="55"/>
  <c r="X370" s="1"/>
  <c r="W371"/>
  <c r="X371" s="1"/>
  <c r="W372"/>
  <c r="Y372" s="1"/>
  <c r="B1036" i="58" s="1"/>
  <c r="W373" i="55"/>
  <c r="Y373" s="1"/>
  <c r="W374"/>
  <c r="Y374" s="1"/>
  <c r="B1038" i="58" s="1"/>
  <c r="W375" i="55"/>
  <c r="Y375" s="1"/>
  <c r="B1039" i="58" s="1"/>
  <c r="W376" i="55"/>
  <c r="W377"/>
  <c r="Y377" s="1"/>
  <c r="B1041" i="58" s="1"/>
  <c r="W378" i="55"/>
  <c r="Y378" s="1"/>
  <c r="B1042" i="58" s="1"/>
  <c r="W379" i="55"/>
  <c r="Y379" s="1"/>
  <c r="B1043" i="58" s="1"/>
  <c r="W380" i="55"/>
  <c r="Y380" s="1"/>
  <c r="W381"/>
  <c r="Y381" s="1"/>
  <c r="B1045" i="58" s="1"/>
  <c r="W382" i="55"/>
  <c r="Y382" s="1"/>
  <c r="W383"/>
  <c r="W384"/>
  <c r="Y384" s="1"/>
  <c r="B1048" i="58" s="1"/>
  <c r="W385" i="55"/>
  <c r="Y385" s="1"/>
  <c r="B1049" i="58" s="1"/>
  <c r="W386" i="55"/>
  <c r="Y386" s="1"/>
  <c r="B1050" i="58" s="1"/>
  <c r="W387" i="55"/>
  <c r="Y387" s="1"/>
  <c r="B1051" i="58" s="1"/>
  <c r="W388" i="55"/>
  <c r="Y388" s="1"/>
  <c r="B1052" i="58" s="1"/>
  <c r="W389" i="55"/>
  <c r="Y389" s="1"/>
  <c r="B1053" i="58" s="1"/>
  <c r="W390" i="55"/>
  <c r="W391"/>
  <c r="Y391" s="1"/>
  <c r="B1055" i="58" s="1"/>
  <c r="W392" i="55"/>
  <c r="W393"/>
  <c r="Y393" s="1"/>
  <c r="B1057" i="58" s="1"/>
  <c r="W394" i="55"/>
  <c r="Y394" s="1"/>
  <c r="B1058" i="58" s="1"/>
  <c r="W395" i="55"/>
  <c r="Y395" s="1"/>
  <c r="B1059" i="58" s="1"/>
  <c r="W396" i="55"/>
  <c r="Y396" s="1"/>
  <c r="B1060" i="58" s="1"/>
  <c r="W397" i="55"/>
  <c r="Y397" s="1"/>
  <c r="B1061" i="58" s="1"/>
  <c r="W398" i="55"/>
  <c r="Y398" s="1"/>
  <c r="B1062" i="58" s="1"/>
  <c r="W399" i="55"/>
  <c r="W400"/>
  <c r="Y400" s="1"/>
  <c r="W401"/>
  <c r="Y401" s="1"/>
  <c r="B1065" i="58" s="1"/>
  <c r="W402" i="55"/>
  <c r="Y402" s="1"/>
  <c r="B1066" i="58" s="1"/>
  <c r="W403" i="55"/>
  <c r="Y403" s="1"/>
  <c r="W404"/>
  <c r="Y404" s="1"/>
  <c r="W405"/>
  <c r="Y405" s="1"/>
  <c r="W406"/>
  <c r="W407"/>
  <c r="Y407" s="1"/>
  <c r="W408"/>
  <c r="W409"/>
  <c r="Y409" s="1"/>
  <c r="W410"/>
  <c r="Y410" s="1"/>
  <c r="W411"/>
  <c r="Y411" s="1"/>
  <c r="W412"/>
  <c r="Y412" s="1"/>
  <c r="W413"/>
  <c r="Y413" s="1"/>
  <c r="W414"/>
  <c r="Y414" s="1"/>
  <c r="W415"/>
  <c r="Y415" s="1"/>
  <c r="W416"/>
  <c r="Y416" s="1"/>
  <c r="W417"/>
  <c r="Y417" s="1"/>
  <c r="W418"/>
  <c r="Y418" s="1"/>
  <c r="W419"/>
  <c r="Y419" s="1"/>
  <c r="W420"/>
  <c r="Y420" s="1"/>
  <c r="W421"/>
  <c r="Y421" s="1"/>
  <c r="W422"/>
  <c r="W423"/>
  <c r="Y423" s="1"/>
  <c r="W424"/>
  <c r="W425"/>
  <c r="Y425" s="1"/>
  <c r="W426"/>
  <c r="Y426" s="1"/>
  <c r="W427"/>
  <c r="Y427" s="1"/>
  <c r="W428"/>
  <c r="Y428" s="1"/>
  <c r="W429"/>
  <c r="Y429" s="1"/>
  <c r="W430"/>
  <c r="Y430" s="1"/>
  <c r="W431"/>
  <c r="Y431" s="1"/>
  <c r="W432"/>
  <c r="Y432" s="1"/>
  <c r="W433"/>
  <c r="Y433" s="1"/>
  <c r="W434"/>
  <c r="Y434" s="1"/>
  <c r="W435"/>
  <c r="Y435" s="1"/>
  <c r="W436"/>
  <c r="Y436" s="1"/>
  <c r="W437"/>
  <c r="Y437" s="1"/>
  <c r="W438"/>
  <c r="W439"/>
  <c r="Y439" s="1"/>
  <c r="W440"/>
  <c r="W441"/>
  <c r="Y441" s="1"/>
  <c r="W442"/>
  <c r="Y442" s="1"/>
  <c r="W443"/>
  <c r="Y443" s="1"/>
  <c r="W444"/>
  <c r="Y444" s="1"/>
  <c r="W445"/>
  <c r="Y445" s="1"/>
  <c r="W446"/>
  <c r="Y446" s="1"/>
  <c r="W447"/>
  <c r="Y447" s="1"/>
  <c r="W448"/>
  <c r="Y448" s="1"/>
  <c r="W449"/>
  <c r="Y449" s="1"/>
  <c r="W450"/>
  <c r="Y450" s="1"/>
  <c r="W451"/>
  <c r="Y451" s="1"/>
  <c r="W452"/>
  <c r="Y452" s="1"/>
  <c r="W453"/>
  <c r="Y453" s="1"/>
  <c r="W454"/>
  <c r="W455"/>
  <c r="Y455" s="1"/>
  <c r="B1067" i="58" s="1"/>
  <c r="W456" i="55"/>
  <c r="W457"/>
  <c r="Y457" s="1"/>
  <c r="B1069" i="58" s="1"/>
  <c r="W458" i="55"/>
  <c r="Y458" s="1"/>
  <c r="B1070" i="58" s="1"/>
  <c r="W459" i="55"/>
  <c r="Y459" s="1"/>
  <c r="B1071" i="58" s="1"/>
  <c r="W460" i="55"/>
  <c r="Y460" s="1"/>
  <c r="W461"/>
  <c r="Y461" s="1"/>
  <c r="B1073" i="58" s="1"/>
  <c r="W462" i="55"/>
  <c r="W463"/>
  <c r="Y463" s="1"/>
  <c r="W464"/>
  <c r="X464" s="1"/>
  <c r="W465"/>
  <c r="X465" s="1"/>
  <c r="W466"/>
  <c r="Y466" s="1"/>
  <c r="Z466" s="1"/>
  <c r="W467"/>
  <c r="X467" s="1"/>
  <c r="W468"/>
  <c r="Y468" s="1"/>
  <c r="W469"/>
  <c r="X469" s="1"/>
  <c r="W470"/>
  <c r="X470" s="1"/>
  <c r="W471"/>
  <c r="Y471" s="1"/>
  <c r="Z471" s="1"/>
  <c r="W472"/>
  <c r="Y472" s="1"/>
  <c r="W473"/>
  <c r="Y473" s="1"/>
  <c r="B1085" i="58" s="1"/>
  <c r="W474" i="55"/>
  <c r="Y474" s="1"/>
  <c r="W475"/>
  <c r="X475" s="1"/>
  <c r="W476"/>
  <c r="X476" s="1"/>
  <c r="W477"/>
  <c r="X477" s="1"/>
  <c r="W478"/>
  <c r="X478" s="1"/>
  <c r="W479"/>
  <c r="X479" s="1"/>
  <c r="W480"/>
  <c r="X480" s="1"/>
  <c r="W481"/>
  <c r="X481" s="1"/>
  <c r="W482"/>
  <c r="X482" s="1"/>
  <c r="W483"/>
  <c r="X483" s="1"/>
  <c r="W484"/>
  <c r="X484" s="1"/>
  <c r="W485"/>
  <c r="X485" s="1"/>
  <c r="V8"/>
  <c r="V11"/>
  <c r="V24"/>
  <c r="V30"/>
  <c r="V36"/>
  <c r="V43"/>
  <c r="V49"/>
  <c r="V55"/>
  <c r="V57"/>
  <c r="V63"/>
  <c r="V72"/>
  <c r="V74"/>
  <c r="V78"/>
  <c r="V95"/>
  <c r="V101"/>
  <c r="V105"/>
  <c r="V116"/>
  <c r="V119"/>
  <c r="V120"/>
  <c r="V126"/>
  <c r="V133"/>
  <c r="V148"/>
  <c r="V156"/>
  <c r="V163"/>
  <c r="V165"/>
  <c r="V166"/>
  <c r="V182"/>
  <c r="V187"/>
  <c r="V203"/>
  <c r="V210"/>
  <c r="V230"/>
  <c r="V231"/>
  <c r="V233"/>
  <c r="V242"/>
  <c r="V245"/>
  <c r="V246"/>
  <c r="V247"/>
  <c r="V248"/>
  <c r="V249"/>
  <c r="V250"/>
  <c r="V254"/>
  <c r="V255"/>
  <c r="V256"/>
  <c r="V257"/>
  <c r="V258"/>
  <c r="V259"/>
  <c r="V370"/>
  <c r="V371"/>
  <c r="V372"/>
  <c r="V463"/>
  <c r="V464"/>
  <c r="V465"/>
  <c r="V466"/>
  <c r="V467"/>
  <c r="V468"/>
  <c r="V469"/>
  <c r="V470"/>
  <c r="V471"/>
  <c r="V472"/>
  <c r="V473"/>
  <c r="V474"/>
  <c r="V475"/>
  <c r="V476"/>
  <c r="V477"/>
  <c r="V478"/>
  <c r="V479"/>
  <c r="V480"/>
  <c r="V481"/>
  <c r="V482"/>
  <c r="V483"/>
  <c r="V484"/>
  <c r="V485"/>
  <c r="V486"/>
  <c r="V487"/>
  <c r="X468"/>
  <c r="B771" i="58"/>
  <c r="B978"/>
  <c r="Y370" i="55"/>
  <c r="Z370" s="1"/>
  <c r="B986" i="58"/>
  <c r="B970"/>
  <c r="B890"/>
  <c r="B858"/>
  <c r="B842"/>
  <c r="B810"/>
  <c r="B778"/>
  <c r="B762"/>
  <c r="B991"/>
  <c r="B831"/>
  <c r="B967"/>
  <c r="B595"/>
  <c r="B575"/>
  <c r="F575" s="1"/>
  <c r="B567"/>
  <c r="F567" s="1"/>
  <c r="B551"/>
  <c r="B529"/>
  <c r="X372" i="55"/>
  <c r="B1025" i="58"/>
  <c r="B989"/>
  <c r="B969"/>
  <c r="B933"/>
  <c r="B905"/>
  <c r="B897"/>
  <c r="B889"/>
  <c r="B881"/>
  <c r="B873"/>
  <c r="B865"/>
  <c r="B845"/>
  <c r="B837"/>
  <c r="F837" s="1"/>
  <c r="B833"/>
  <c r="B829"/>
  <c r="B821"/>
  <c r="B801"/>
  <c r="B781"/>
  <c r="B773"/>
  <c r="B765"/>
  <c r="B761"/>
  <c r="B608"/>
  <c r="B604"/>
  <c r="B600"/>
  <c r="B596"/>
  <c r="B592"/>
  <c r="B744"/>
  <c r="B740"/>
  <c r="B738"/>
  <c r="B736"/>
  <c r="B732"/>
  <c r="B728"/>
  <c r="B722"/>
  <c r="B720"/>
  <c r="B716"/>
  <c r="B712"/>
  <c r="B710"/>
  <c r="B702"/>
  <c r="B694"/>
  <c r="B688"/>
  <c r="B674"/>
  <c r="B666"/>
  <c r="B654"/>
  <c r="B648"/>
  <c r="B644"/>
  <c r="B640"/>
  <c r="B636"/>
  <c r="B632"/>
  <c r="B628"/>
  <c r="B624"/>
  <c r="B622"/>
  <c r="B620"/>
  <c r="B616"/>
  <c r="B614"/>
  <c r="B577"/>
  <c r="B553"/>
  <c r="B541"/>
  <c r="B606"/>
  <c r="B594"/>
  <c r="B590"/>
  <c r="B747"/>
  <c r="B745"/>
  <c r="B737"/>
  <c r="B733"/>
  <c r="B729"/>
  <c r="B725"/>
  <c r="B721"/>
  <c r="B709"/>
  <c r="B681"/>
  <c r="B663"/>
  <c r="B649"/>
  <c r="B629"/>
  <c r="B627"/>
  <c r="B619"/>
  <c r="B441"/>
  <c r="B429"/>
  <c r="F429" s="1"/>
  <c r="B425"/>
  <c r="B421"/>
  <c r="F421" s="1"/>
  <c r="B417"/>
  <c r="B413"/>
  <c r="B409"/>
  <c r="B397"/>
  <c r="B393"/>
  <c r="B389"/>
  <c r="B385"/>
  <c r="B381"/>
  <c r="B377"/>
  <c r="B173"/>
  <c r="B367"/>
  <c r="B365"/>
  <c r="B363"/>
  <c r="B361"/>
  <c r="B355"/>
  <c r="B353"/>
  <c r="F353" s="1"/>
  <c r="B351"/>
  <c r="F351" s="1"/>
  <c r="B341"/>
  <c r="F341" s="1"/>
  <c r="B337"/>
  <c r="B335"/>
  <c r="B333"/>
  <c r="B325"/>
  <c r="B321"/>
  <c r="B317"/>
  <c r="B313"/>
  <c r="B311"/>
  <c r="B307"/>
  <c r="B305"/>
  <c r="F305" s="1"/>
  <c r="B303"/>
  <c r="B301"/>
  <c r="B297"/>
  <c r="B295"/>
  <c r="B293"/>
  <c r="B291"/>
  <c r="B289"/>
  <c r="B287"/>
  <c r="B285"/>
  <c r="F285" s="1"/>
  <c r="B281"/>
  <c r="B279"/>
  <c r="B277"/>
  <c r="B275"/>
  <c r="B273"/>
  <c r="B271"/>
  <c r="B269"/>
  <c r="B267"/>
  <c r="B265"/>
  <c r="B201"/>
  <c r="B213"/>
  <c r="B197"/>
  <c r="B360"/>
  <c r="B354"/>
  <c r="B350"/>
  <c r="F350" s="1"/>
  <c r="B338"/>
  <c r="B334"/>
  <c r="B330"/>
  <c r="B326"/>
  <c r="B324"/>
  <c r="B310"/>
  <c r="B300"/>
  <c r="B296"/>
  <c r="B286"/>
  <c r="B282"/>
  <c r="F282" s="1"/>
  <c r="B280"/>
  <c r="B278"/>
  <c r="B274"/>
  <c r="B270"/>
  <c r="B266"/>
  <c r="B264"/>
  <c r="B260"/>
  <c r="B256"/>
  <c r="B248"/>
  <c r="B244"/>
  <c r="B240"/>
  <c r="B236"/>
  <c r="B228"/>
  <c r="F228" s="1"/>
  <c r="B220"/>
  <c r="B177"/>
  <c r="F177" s="1"/>
  <c r="T370" i="55"/>
  <c r="T371"/>
  <c r="T372"/>
  <c r="T463"/>
  <c r="T464"/>
  <c r="T465"/>
  <c r="T466"/>
  <c r="T467"/>
  <c r="T468"/>
  <c r="T469"/>
  <c r="T470"/>
  <c r="T471"/>
  <c r="T472"/>
  <c r="T473"/>
  <c r="T474"/>
  <c r="T475"/>
  <c r="T476"/>
  <c r="T477"/>
  <c r="T478"/>
  <c r="T479"/>
  <c r="T480"/>
  <c r="T481"/>
  <c r="T482"/>
  <c r="T483"/>
  <c r="T484"/>
  <c r="T485"/>
  <c r="T486"/>
  <c r="T487"/>
  <c r="T488"/>
  <c r="T489"/>
  <c r="T490"/>
  <c r="T491"/>
  <c r="I3604" i="1"/>
  <c r="K3604" s="1"/>
  <c r="A1067" i="58"/>
  <c r="C1067"/>
  <c r="E1067"/>
  <c r="A1068"/>
  <c r="C1068"/>
  <c r="E1068"/>
  <c r="A1069"/>
  <c r="C1069"/>
  <c r="E1069"/>
  <c r="A1070"/>
  <c r="C1070"/>
  <c r="E1070"/>
  <c r="A1071"/>
  <c r="C1071"/>
  <c r="E1071"/>
  <c r="A1072"/>
  <c r="C1072"/>
  <c r="E1072"/>
  <c r="A1073"/>
  <c r="E1073"/>
  <c r="A1074"/>
  <c r="E1074"/>
  <c r="A1075"/>
  <c r="C1075"/>
  <c r="D1075"/>
  <c r="E1075"/>
  <c r="A1076"/>
  <c r="C1076"/>
  <c r="D1076"/>
  <c r="E1076"/>
  <c r="A1077"/>
  <c r="C1077"/>
  <c r="D1077"/>
  <c r="E1077"/>
  <c r="A1078"/>
  <c r="C1078"/>
  <c r="D1078"/>
  <c r="E1078"/>
  <c r="A1079"/>
  <c r="C1079"/>
  <c r="D1079"/>
  <c r="E1079"/>
  <c r="A1080"/>
  <c r="C1080"/>
  <c r="D1080"/>
  <c r="E1080"/>
  <c r="A1081"/>
  <c r="C1081"/>
  <c r="D1081"/>
  <c r="E1081"/>
  <c r="A1082"/>
  <c r="C1082"/>
  <c r="D1082"/>
  <c r="E1082"/>
  <c r="A1083"/>
  <c r="C1083"/>
  <c r="D1083"/>
  <c r="E1083"/>
  <c r="A1084"/>
  <c r="C1084"/>
  <c r="D1084"/>
  <c r="E1084"/>
  <c r="A1085"/>
  <c r="C1085"/>
  <c r="D1085"/>
  <c r="E1085"/>
  <c r="A1086"/>
  <c r="C1086"/>
  <c r="D1086"/>
  <c r="E1086"/>
  <c r="A1087"/>
  <c r="C1087"/>
  <c r="D1087"/>
  <c r="E1087"/>
  <c r="A1088"/>
  <c r="C1088"/>
  <c r="D1088"/>
  <c r="E1088"/>
  <c r="A1089"/>
  <c r="C1089"/>
  <c r="D1089"/>
  <c r="E1089"/>
  <c r="A1090"/>
  <c r="C1090"/>
  <c r="D1090"/>
  <c r="E1090"/>
  <c r="A1091"/>
  <c r="C1091"/>
  <c r="D1091"/>
  <c r="E1091"/>
  <c r="A1092"/>
  <c r="C1092"/>
  <c r="D1092"/>
  <c r="E1092"/>
  <c r="A1093"/>
  <c r="C1093"/>
  <c r="D1093"/>
  <c r="E1093"/>
  <c r="A1094"/>
  <c r="C1094"/>
  <c r="D1094"/>
  <c r="E1094"/>
  <c r="A1095"/>
  <c r="C1095"/>
  <c r="D1095"/>
  <c r="E1095"/>
  <c r="A1096"/>
  <c r="C1096"/>
  <c r="D1096"/>
  <c r="E1096"/>
  <c r="A1097"/>
  <c r="C1097"/>
  <c r="D1097"/>
  <c r="E1097"/>
  <c r="A1098"/>
  <c r="C1098"/>
  <c r="D1098"/>
  <c r="E1098"/>
  <c r="A1099"/>
  <c r="C1099"/>
  <c r="D1099"/>
  <c r="E1099"/>
  <c r="A1100"/>
  <c r="B1100"/>
  <c r="C1100"/>
  <c r="D1100"/>
  <c r="E1100"/>
  <c r="A1101"/>
  <c r="B1101"/>
  <c r="C1101"/>
  <c r="D1101"/>
  <c r="E1101"/>
  <c r="A1102"/>
  <c r="B1102"/>
  <c r="C1102"/>
  <c r="D1102"/>
  <c r="E1102"/>
  <c r="A1103"/>
  <c r="B1103"/>
  <c r="C1103"/>
  <c r="D1103"/>
  <c r="E1103"/>
  <c r="A1104"/>
  <c r="B1104"/>
  <c r="C1104"/>
  <c r="D1104"/>
  <c r="E1104"/>
  <c r="A1105"/>
  <c r="B1105"/>
  <c r="C1105"/>
  <c r="D1105"/>
  <c r="E1105"/>
  <c r="A1106"/>
  <c r="B1106"/>
  <c r="C1106"/>
  <c r="D1106"/>
  <c r="E1106"/>
  <c r="A1107"/>
  <c r="B1107"/>
  <c r="C1107"/>
  <c r="D1107"/>
  <c r="E1107"/>
  <c r="I3511" i="1"/>
  <c r="AS391"/>
  <c r="R3664" i="11"/>
  <c r="R3663"/>
  <c r="R3662"/>
  <c r="R3661"/>
  <c r="R3716" i="1"/>
  <c r="R3717"/>
  <c r="R3718"/>
  <c r="R3719"/>
  <c r="R3721"/>
  <c r="R3242" i="11"/>
  <c r="R3241"/>
  <c r="R3239"/>
  <c r="S3241" s="1"/>
  <c r="R2298" i="1"/>
  <c r="R3568"/>
  <c r="R3563"/>
  <c r="D5" i="25"/>
  <c r="F5" s="1"/>
  <c r="D6"/>
  <c r="F6" s="1"/>
  <c r="D7"/>
  <c r="F7" s="1"/>
  <c r="F8"/>
  <c r="F9"/>
  <c r="F10"/>
  <c r="F11"/>
  <c r="F12"/>
  <c r="F13"/>
  <c r="F14"/>
  <c r="F15"/>
  <c r="F25"/>
  <c r="F26"/>
  <c r="F27"/>
  <c r="F28"/>
  <c r="J36"/>
  <c r="F37"/>
  <c r="J37"/>
  <c r="D38"/>
  <c r="F38"/>
  <c r="J38"/>
  <c r="D39"/>
  <c r="F39"/>
  <c r="J39"/>
  <c r="D40"/>
  <c r="F40" s="1"/>
  <c r="J40"/>
  <c r="D41"/>
  <c r="F41"/>
  <c r="I41"/>
  <c r="J41"/>
  <c r="J42"/>
  <c r="D60"/>
  <c r="F60" s="1"/>
  <c r="F61"/>
  <c r="F62"/>
  <c r="F63"/>
  <c r="F64"/>
  <c r="F88"/>
  <c r="D89"/>
  <c r="F89" s="1"/>
  <c r="D111"/>
  <c r="F90"/>
  <c r="F91"/>
  <c r="F92"/>
  <c r="F110"/>
  <c r="C112"/>
  <c r="F112"/>
  <c r="F113"/>
  <c r="F114"/>
  <c r="D136"/>
  <c r="F136" s="1"/>
  <c r="C138"/>
  <c r="C161" s="1"/>
  <c r="D138"/>
  <c r="D161" s="1"/>
  <c r="F161" s="1"/>
  <c r="D139"/>
  <c r="D305" s="1"/>
  <c r="F305" s="1"/>
  <c r="F140"/>
  <c r="F163"/>
  <c r="E187"/>
  <c r="E190"/>
  <c r="E188"/>
  <c r="D194"/>
  <c r="D197" s="1"/>
  <c r="A194" s="1"/>
  <c r="G194" s="1"/>
  <c r="D195"/>
  <c r="D196"/>
  <c r="D198"/>
  <c r="G198"/>
  <c r="A199"/>
  <c r="D199"/>
  <c r="D200"/>
  <c r="A200" s="1"/>
  <c r="G200" s="1"/>
  <c r="G201"/>
  <c r="D203"/>
  <c r="D205" s="1"/>
  <c r="A203" s="1"/>
  <c r="G203" s="1"/>
  <c r="D204"/>
  <c r="G206"/>
  <c r="D207"/>
  <c r="A207" s="1"/>
  <c r="G208"/>
  <c r="G211"/>
  <c r="G212"/>
  <c r="G213"/>
  <c r="G214"/>
  <c r="F250"/>
  <c r="F252"/>
  <c r="F253"/>
  <c r="F254"/>
  <c r="F255"/>
  <c r="F257"/>
  <c r="F258"/>
  <c r="F259"/>
  <c r="F260"/>
  <c r="F261"/>
  <c r="D267"/>
  <c r="F267"/>
  <c r="D268"/>
  <c r="F268"/>
  <c r="D269"/>
  <c r="F269"/>
  <c r="F280"/>
  <c r="F292" s="1"/>
  <c r="F293" s="1"/>
  <c r="F281"/>
  <c r="F282"/>
  <c r="F283"/>
  <c r="F284"/>
  <c r="F285"/>
  <c r="D286"/>
  <c r="F286"/>
  <c r="F287"/>
  <c r="F288"/>
  <c r="D289"/>
  <c r="F289"/>
  <c r="F290"/>
  <c r="F291"/>
  <c r="D302"/>
  <c r="F302"/>
  <c r="D306"/>
  <c r="F306"/>
  <c r="G318"/>
  <c r="G329" s="1"/>
  <c r="G320"/>
  <c r="G322"/>
  <c r="G324"/>
  <c r="G326"/>
  <c r="G328"/>
  <c r="G334"/>
  <c r="G336"/>
  <c r="G338"/>
  <c r="G342"/>
  <c r="A343"/>
  <c r="G343" s="1"/>
  <c r="G344"/>
  <c r="G345"/>
  <c r="G346"/>
  <c r="G353"/>
  <c r="G354"/>
  <c r="G357" s="1"/>
  <c r="E347" s="1"/>
  <c r="G347" s="1"/>
  <c r="G355"/>
  <c r="G363"/>
  <c r="G365"/>
  <c r="G374" s="1"/>
  <c r="G367"/>
  <c r="G369"/>
  <c r="G371"/>
  <c r="G373"/>
  <c r="G379"/>
  <c r="G381"/>
  <c r="G383"/>
  <c r="G387"/>
  <c r="G388"/>
  <c r="G389"/>
  <c r="G390"/>
  <c r="G391"/>
  <c r="G398"/>
  <c r="G402" s="1"/>
  <c r="E392" s="1"/>
  <c r="G392" s="1"/>
  <c r="G394" s="1"/>
  <c r="G395" s="1"/>
  <c r="G399"/>
  <c r="G400"/>
  <c r="G408"/>
  <c r="G419" s="1"/>
  <c r="G410"/>
  <c r="G412"/>
  <c r="G414"/>
  <c r="G416"/>
  <c r="G418"/>
  <c r="G424"/>
  <c r="G426"/>
  <c r="G428"/>
  <c r="A433"/>
  <c r="G433" s="1"/>
  <c r="G434"/>
  <c r="G435"/>
  <c r="G436"/>
  <c r="G443"/>
  <c r="G444"/>
  <c r="G447" s="1"/>
  <c r="E437" s="1"/>
  <c r="G437" s="1"/>
  <c r="G445"/>
  <c r="G453"/>
  <c r="G455"/>
  <c r="G457"/>
  <c r="G459"/>
  <c r="G461"/>
  <c r="G463"/>
  <c r="G465"/>
  <c r="G466"/>
  <c r="G471"/>
  <c r="G473"/>
  <c r="A484" s="1"/>
  <c r="G484" s="1"/>
  <c r="G472"/>
  <c r="G475"/>
  <c r="G476"/>
  <c r="G477"/>
  <c r="G479"/>
  <c r="G485"/>
  <c r="G486"/>
  <c r="G487"/>
  <c r="G494"/>
  <c r="G495"/>
  <c r="G496"/>
  <c r="G498"/>
  <c r="E488" s="1"/>
  <c r="G503"/>
  <c r="G504"/>
  <c r="G505"/>
  <c r="G506"/>
  <c r="A515"/>
  <c r="G515" s="1"/>
  <c r="G508"/>
  <c r="A516" s="1"/>
  <c r="G516" s="1"/>
  <c r="G510"/>
  <c r="A517"/>
  <c r="E531"/>
  <c r="E532"/>
  <c r="E534" s="1"/>
  <c r="A546" s="1"/>
  <c r="E537"/>
  <c r="E540"/>
  <c r="A548" s="1"/>
  <c r="F540"/>
  <c r="E542"/>
  <c r="E543"/>
  <c r="A549" s="1"/>
  <c r="A547"/>
  <c r="D548"/>
  <c r="D585" s="1"/>
  <c r="G558"/>
  <c r="E567"/>
  <c r="E568"/>
  <c r="E570" s="1"/>
  <c r="A583" s="1"/>
  <c r="E573"/>
  <c r="E576"/>
  <c r="A585" s="1"/>
  <c r="F576"/>
  <c r="E578"/>
  <c r="E579" s="1"/>
  <c r="A586" s="1"/>
  <c r="A584"/>
  <c r="E602"/>
  <c r="E603"/>
  <c r="E605" s="1"/>
  <c r="A618" s="1"/>
  <c r="E608"/>
  <c r="E611"/>
  <c r="A620" s="1"/>
  <c r="F611"/>
  <c r="E613"/>
  <c r="E614" s="1"/>
  <c r="A621" s="1"/>
  <c r="A619"/>
  <c r="E638"/>
  <c r="E639"/>
  <c r="E641" s="1"/>
  <c r="A654" s="1"/>
  <c r="E644"/>
  <c r="E647"/>
  <c r="A656" s="1"/>
  <c r="F647"/>
  <c r="E649"/>
  <c r="E650" s="1"/>
  <c r="A657" s="1"/>
  <c r="A655"/>
  <c r="E674"/>
  <c r="E675"/>
  <c r="E677" s="1"/>
  <c r="A690" s="1"/>
  <c r="E680"/>
  <c r="E683"/>
  <c r="A692" s="1"/>
  <c r="F683"/>
  <c r="E685"/>
  <c r="E686" s="1"/>
  <c r="A691"/>
  <c r="A693"/>
  <c r="H3" i="1"/>
  <c r="J3"/>
  <c r="O3"/>
  <c r="U3" s="1"/>
  <c r="Q3"/>
  <c r="W3"/>
  <c r="X9"/>
  <c r="AG9"/>
  <c r="AH9"/>
  <c r="AI9"/>
  <c r="AJ9"/>
  <c r="AK9"/>
  <c r="W10"/>
  <c r="W11" s="1"/>
  <c r="W12" s="1"/>
  <c r="W13" s="1"/>
  <c r="W14" s="1"/>
  <c r="W15" s="1"/>
  <c r="X10"/>
  <c r="AG10"/>
  <c r="AH10"/>
  <c r="AI10"/>
  <c r="AJ10"/>
  <c r="AK10"/>
  <c r="A11"/>
  <c r="A12" s="1"/>
  <c r="A13" s="1"/>
  <c r="A14" s="1"/>
  <c r="P11"/>
  <c r="R11" s="1"/>
  <c r="X11"/>
  <c r="X47" s="1"/>
  <c r="AG11"/>
  <c r="AH11"/>
  <c r="AI11"/>
  <c r="AJ11"/>
  <c r="AK11"/>
  <c r="A15"/>
  <c r="A16" s="1"/>
  <c r="A17" s="1"/>
  <c r="A18" s="1"/>
  <c r="A19"/>
  <c r="A20" s="1"/>
  <c r="A21" s="1"/>
  <c r="A22" s="1"/>
  <c r="A23" s="1"/>
  <c r="A24" s="1"/>
  <c r="A25" s="1"/>
  <c r="A26" s="1"/>
  <c r="A27" s="1"/>
  <c r="A28" s="1"/>
  <c r="A29" s="1"/>
  <c r="A30" s="1"/>
  <c r="A31" s="1"/>
  <c r="A32" s="1"/>
  <c r="A33" s="1"/>
  <c r="A34" s="1"/>
  <c r="A35" s="1"/>
  <c r="A38" s="1"/>
  <c r="A39" s="1"/>
  <c r="A40" s="1"/>
  <c r="A44" s="1"/>
  <c r="A45" s="1"/>
  <c r="A46" s="1"/>
  <c r="A47" s="1"/>
  <c r="A48" s="1"/>
  <c r="A49" s="1"/>
  <c r="A50" s="1"/>
  <c r="A51" s="1"/>
  <c r="A52" s="1"/>
  <c r="A53" s="1"/>
  <c r="A54" s="1"/>
  <c r="A55" s="1"/>
  <c r="A56" s="1"/>
  <c r="A57" s="1"/>
  <c r="A58" s="1"/>
  <c r="A59" s="1"/>
  <c r="A60" s="1"/>
  <c r="A61"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140" s="1"/>
  <c r="A141" s="1"/>
  <c r="A142" s="1"/>
  <c r="A143" s="1"/>
  <c r="A144" s="1"/>
  <c r="A145" s="1"/>
  <c r="A146" s="1"/>
  <c r="A148" s="1"/>
  <c r="A150" s="1"/>
  <c r="A151" s="1"/>
  <c r="A195" s="1"/>
  <c r="A196" s="1"/>
  <c r="A197" s="1"/>
  <c r="A198" s="1"/>
  <c r="A199" s="1"/>
  <c r="A200" s="1"/>
  <c r="A201" s="1"/>
  <c r="A202" s="1"/>
  <c r="A203" s="1"/>
  <c r="A204" s="1"/>
  <c r="A205" s="1"/>
  <c r="A206" s="1"/>
  <c r="A207" s="1"/>
  <c r="A208" s="1"/>
  <c r="A209" s="1"/>
  <c r="AG12"/>
  <c r="AH12"/>
  <c r="AI12"/>
  <c r="AJ12"/>
  <c r="AK12"/>
  <c r="AG13"/>
  <c r="AH13"/>
  <c r="AI13"/>
  <c r="AJ13"/>
  <c r="C14"/>
  <c r="AK13"/>
  <c r="AG14"/>
  <c r="AH14"/>
  <c r="AI14"/>
  <c r="AJ14"/>
  <c r="AK14"/>
  <c r="AG15"/>
  <c r="AH15"/>
  <c r="AI15"/>
  <c r="AJ15"/>
  <c r="AK15"/>
  <c r="X16"/>
  <c r="X17" s="1"/>
  <c r="AG16"/>
  <c r="AH16"/>
  <c r="AI16"/>
  <c r="AJ16"/>
  <c r="AK16"/>
  <c r="AG17"/>
  <c r="AH17"/>
  <c r="AI17"/>
  <c r="AJ17"/>
  <c r="D48" i="25"/>
  <c r="F48" s="1"/>
  <c r="AK17" i="1"/>
  <c r="X18"/>
  <c r="X29" s="1"/>
  <c r="X34" s="1"/>
  <c r="AG18"/>
  <c r="AH18"/>
  <c r="AI18"/>
  <c r="AJ18"/>
  <c r="AK18"/>
  <c r="W19"/>
  <c r="X19"/>
  <c r="X20" s="1"/>
  <c r="AG19"/>
  <c r="AH19"/>
  <c r="AI19"/>
  <c r="AJ19"/>
  <c r="AK19"/>
  <c r="W20"/>
  <c r="AG20"/>
  <c r="AH20"/>
  <c r="AI20"/>
  <c r="AJ20"/>
  <c r="D50" i="25"/>
  <c r="D73" s="1"/>
  <c r="D101" s="1"/>
  <c r="AK20" i="1"/>
  <c r="X21"/>
  <c r="AG21"/>
  <c r="AH21"/>
  <c r="AI21"/>
  <c r="AJ21"/>
  <c r="AK21"/>
  <c r="C22"/>
  <c r="AC22"/>
  <c r="C87" s="1"/>
  <c r="AG22"/>
  <c r="AH22"/>
  <c r="AI22"/>
  <c r="AJ22"/>
  <c r="AK22"/>
  <c r="X23"/>
  <c r="AG23"/>
  <c r="AH23"/>
  <c r="AI23"/>
  <c r="AJ23"/>
  <c r="I1237"/>
  <c r="K1237" s="1"/>
  <c r="AK23"/>
  <c r="AG24"/>
  <c r="AH24"/>
  <c r="AI24"/>
  <c r="AJ24"/>
  <c r="C18"/>
  <c r="AK24"/>
  <c r="X25"/>
  <c r="X26" s="1"/>
  <c r="X27" s="1"/>
  <c r="X28" s="1"/>
  <c r="AG25"/>
  <c r="AH25"/>
  <c r="AI25"/>
  <c r="AJ25"/>
  <c r="C25"/>
  <c r="AK25"/>
  <c r="AG26"/>
  <c r="AH26"/>
  <c r="AI26"/>
  <c r="AJ26"/>
  <c r="AK26"/>
  <c r="AG27"/>
  <c r="AH27"/>
  <c r="AI27"/>
  <c r="AJ27"/>
  <c r="AK27"/>
  <c r="AG28"/>
  <c r="AH28"/>
  <c r="AI28"/>
  <c r="AJ28"/>
  <c r="C26"/>
  <c r="AK28"/>
  <c r="E29"/>
  <c r="W29"/>
  <c r="AG29"/>
  <c r="AH29"/>
  <c r="AI29"/>
  <c r="AJ29"/>
  <c r="AK29"/>
  <c r="C30"/>
  <c r="AC30"/>
  <c r="C140" s="1"/>
  <c r="I1221" s="1"/>
  <c r="K1221" s="1"/>
  <c r="AG30"/>
  <c r="AH30"/>
  <c r="AI30"/>
  <c r="AJ30"/>
  <c r="AK30"/>
  <c r="X31"/>
  <c r="AG31"/>
  <c r="AH31"/>
  <c r="AI31"/>
  <c r="AJ31"/>
  <c r="AK31"/>
  <c r="X32"/>
  <c r="X33" s="1"/>
  <c r="AG32"/>
  <c r="AH32"/>
  <c r="AI32"/>
  <c r="AJ32"/>
  <c r="E207" i="25"/>
  <c r="AK32" i="1"/>
  <c r="AG33"/>
  <c r="AH33"/>
  <c r="AI33"/>
  <c r="AJ33"/>
  <c r="AK33"/>
  <c r="D34"/>
  <c r="W34"/>
  <c r="W44" s="1"/>
  <c r="AG34"/>
  <c r="AH34"/>
  <c r="AI34"/>
  <c r="AJ34"/>
  <c r="AK34"/>
  <c r="AG35"/>
  <c r="AH35"/>
  <c r="AI35"/>
  <c r="AJ35"/>
  <c r="AK35"/>
  <c r="AG36"/>
  <c r="AH36"/>
  <c r="AI36"/>
  <c r="AJ36"/>
  <c r="AK36"/>
  <c r="AG37"/>
  <c r="AH37"/>
  <c r="AI37"/>
  <c r="AJ37"/>
  <c r="AK37"/>
  <c r="X38"/>
  <c r="AG38"/>
  <c r="AH38"/>
  <c r="AI38"/>
  <c r="AJ38"/>
  <c r="AK38"/>
  <c r="X39"/>
  <c r="AG39"/>
  <c r="AH39"/>
  <c r="AI39"/>
  <c r="AJ39"/>
  <c r="AK39"/>
  <c r="X44"/>
  <c r="X45" s="1"/>
  <c r="AG44"/>
  <c r="AH44"/>
  <c r="AI44"/>
  <c r="AJ44"/>
  <c r="C19"/>
  <c r="AK44"/>
  <c r="AG45"/>
  <c r="AH45"/>
  <c r="AI45"/>
  <c r="AJ45"/>
  <c r="AK45"/>
  <c r="X46"/>
  <c r="AG46"/>
  <c r="AH46"/>
  <c r="AI46"/>
  <c r="AJ46"/>
  <c r="AF457"/>
  <c r="AF458" s="1"/>
  <c r="AF459" s="1"/>
  <c r="AF460" s="1"/>
  <c r="AF461" s="1"/>
  <c r="AF462" s="1"/>
  <c r="AF463" s="1"/>
  <c r="AF464" s="1"/>
  <c r="AF465" s="1"/>
  <c r="AF466" s="1"/>
  <c r="AK46"/>
  <c r="AG47"/>
  <c r="AH47"/>
  <c r="AI47"/>
  <c r="AJ47"/>
  <c r="AK47"/>
  <c r="X48"/>
  <c r="AG48"/>
  <c r="AH48"/>
  <c r="AI48"/>
  <c r="AJ48"/>
  <c r="AK48"/>
  <c r="X49"/>
  <c r="X50" s="1"/>
  <c r="AG49"/>
  <c r="AH49"/>
  <c r="AI49"/>
  <c r="AJ49"/>
  <c r="AK49"/>
  <c r="AG50"/>
  <c r="AH50"/>
  <c r="AI50"/>
  <c r="AJ50"/>
  <c r="AK50"/>
  <c r="AJ51"/>
  <c r="AG52"/>
  <c r="AH52"/>
  <c r="AI52"/>
  <c r="AJ52"/>
  <c r="AK52"/>
  <c r="AG53"/>
  <c r="AH53"/>
  <c r="AI53"/>
  <c r="AJ53"/>
  <c r="AK53"/>
  <c r="AH59"/>
  <c r="AI59"/>
  <c r="AJ59"/>
  <c r="AH60"/>
  <c r="AI60"/>
  <c r="AJ60"/>
  <c r="AH62"/>
  <c r="AI62"/>
  <c r="AJ62"/>
  <c r="AH63"/>
  <c r="AI63"/>
  <c r="AJ63"/>
  <c r="AH64"/>
  <c r="AI64"/>
  <c r="AH65"/>
  <c r="AH66"/>
  <c r="AP66"/>
  <c r="AH67"/>
  <c r="AH68"/>
  <c r="AH69"/>
  <c r="AH70"/>
  <c r="AH71"/>
  <c r="AH72"/>
  <c r="AH73"/>
  <c r="AH74"/>
  <c r="AH75"/>
  <c r="AH76"/>
  <c r="AH77"/>
  <c r="AH78"/>
  <c r="AH79"/>
  <c r="AH80"/>
  <c r="AH81"/>
  <c r="AH82"/>
  <c r="AH83"/>
  <c r="AH84"/>
  <c r="AH85"/>
  <c r="AH86"/>
  <c r="AH87"/>
  <c r="AH88"/>
  <c r="AP88"/>
  <c r="AH89"/>
  <c r="AH90"/>
  <c r="AN90"/>
  <c r="AP90"/>
  <c r="AH91"/>
  <c r="AN91"/>
  <c r="AH92"/>
  <c r="AH93"/>
  <c r="AH94"/>
  <c r="AH95"/>
  <c r="AH96"/>
  <c r="AH97"/>
  <c r="AH98"/>
  <c r="AH99"/>
  <c r="AH100"/>
  <c r="AH101"/>
  <c r="AH102"/>
  <c r="AH103"/>
  <c r="AH104"/>
  <c r="AH105"/>
  <c r="AH106"/>
  <c r="AH107"/>
  <c r="AH108"/>
  <c r="AP108"/>
  <c r="AH109"/>
  <c r="AH110"/>
  <c r="AP110"/>
  <c r="AH111"/>
  <c r="AH112"/>
  <c r="AH113"/>
  <c r="AH114"/>
  <c r="AH115"/>
  <c r="AH116"/>
  <c r="AU116"/>
  <c r="AV116" s="1"/>
  <c r="AH117"/>
  <c r="AU117"/>
  <c r="AV117"/>
  <c r="AH118"/>
  <c r="AH119"/>
  <c r="AU119"/>
  <c r="AV119"/>
  <c r="AH120"/>
  <c r="AH121"/>
  <c r="AU121"/>
  <c r="AV121"/>
  <c r="AH122"/>
  <c r="AH123"/>
  <c r="AH124"/>
  <c r="AH125"/>
  <c r="AH126"/>
  <c r="AE132"/>
  <c r="AE133"/>
  <c r="AP133"/>
  <c r="AE134"/>
  <c r="AE135"/>
  <c r="AN135"/>
  <c r="AP135"/>
  <c r="AE136"/>
  <c r="AE137"/>
  <c r="AE138"/>
  <c r="AE139"/>
  <c r="AE140"/>
  <c r="AE141"/>
  <c r="AU141"/>
  <c r="AV141"/>
  <c r="AE142"/>
  <c r="AU142"/>
  <c r="AV142" s="1"/>
  <c r="AE143"/>
  <c r="AE144"/>
  <c r="AU144"/>
  <c r="AV144" s="1"/>
  <c r="AE145"/>
  <c r="AE146"/>
  <c r="AU146"/>
  <c r="AV146" s="1"/>
  <c r="AE147"/>
  <c r="AU147"/>
  <c r="AV147"/>
  <c r="AE148"/>
  <c r="AU148"/>
  <c r="AV148"/>
  <c r="AE149"/>
  <c r="AU149"/>
  <c r="AV149"/>
  <c r="AE150"/>
  <c r="AE151"/>
  <c r="AE152"/>
  <c r="AU152"/>
  <c r="AV152"/>
  <c r="AE153"/>
  <c r="AU153"/>
  <c r="AV153"/>
  <c r="P154"/>
  <c r="R154" s="1"/>
  <c r="AE154"/>
  <c r="AE155"/>
  <c r="AU155"/>
  <c r="AV155"/>
  <c r="I156"/>
  <c r="K156" s="1"/>
  <c r="AE156"/>
  <c r="AE157"/>
  <c r="AU157"/>
  <c r="AV157" s="1"/>
  <c r="I158"/>
  <c r="K158" s="1"/>
  <c r="AE158"/>
  <c r="AE159"/>
  <c r="I160"/>
  <c r="K160" s="1"/>
  <c r="AE160"/>
  <c r="AE161"/>
  <c r="AE162"/>
  <c r="AE163"/>
  <c r="AU163"/>
  <c r="AV163" s="1"/>
  <c r="AE164"/>
  <c r="AP164"/>
  <c r="AU164"/>
  <c r="AV164" s="1"/>
  <c r="AE165"/>
  <c r="AU165"/>
  <c r="AV165"/>
  <c r="AE166"/>
  <c r="AN166"/>
  <c r="AP166"/>
  <c r="AE167"/>
  <c r="AN167"/>
  <c r="AE168"/>
  <c r="AE169"/>
  <c r="AE170"/>
  <c r="AE171"/>
  <c r="AE172"/>
  <c r="AU172"/>
  <c r="AV172"/>
  <c r="AE173"/>
  <c r="AU173"/>
  <c r="AV173"/>
  <c r="AE174"/>
  <c r="AE175"/>
  <c r="AU175"/>
  <c r="AV175"/>
  <c r="AE176"/>
  <c r="AE177"/>
  <c r="AU177"/>
  <c r="AV177"/>
  <c r="AE178"/>
  <c r="AU178"/>
  <c r="AV178"/>
  <c r="AE179"/>
  <c r="AU179"/>
  <c r="AV179" s="1"/>
  <c r="AE180"/>
  <c r="AU180"/>
  <c r="AV180"/>
  <c r="AE181"/>
  <c r="AU181"/>
  <c r="AV181" s="1"/>
  <c r="AE182"/>
  <c r="AE183"/>
  <c r="AE184"/>
  <c r="AU184"/>
  <c r="AV184"/>
  <c r="AE185"/>
  <c r="AU185"/>
  <c r="AV185" s="1"/>
  <c r="AE186"/>
  <c r="AE187"/>
  <c r="AU187"/>
  <c r="AV187" s="1"/>
  <c r="I188"/>
  <c r="K188" s="1"/>
  <c r="AE188"/>
  <c r="I189"/>
  <c r="K189" s="1"/>
  <c r="AE189"/>
  <c r="AU189"/>
  <c r="AV189" s="1"/>
  <c r="AE190"/>
  <c r="AE191"/>
  <c r="AE192"/>
  <c r="AE193"/>
  <c r="AE194"/>
  <c r="AE195"/>
  <c r="AU195"/>
  <c r="AV195" s="1"/>
  <c r="AE196"/>
  <c r="AU196"/>
  <c r="AV196"/>
  <c r="AE197"/>
  <c r="AU197"/>
  <c r="AV197" s="1"/>
  <c r="AE198"/>
  <c r="AU198"/>
  <c r="AV198" s="1"/>
  <c r="AE199"/>
  <c r="AU199"/>
  <c r="AV199"/>
  <c r="AE200"/>
  <c r="AU200"/>
  <c r="AV200"/>
  <c r="AE201"/>
  <c r="AU201"/>
  <c r="AV201" s="1"/>
  <c r="AE202"/>
  <c r="AU202"/>
  <c r="AV202"/>
  <c r="AE203"/>
  <c r="AU203"/>
  <c r="AV203"/>
  <c r="AE204"/>
  <c r="AU204"/>
  <c r="AV204"/>
  <c r="AE205"/>
  <c r="AU205"/>
  <c r="AV205" s="1"/>
  <c r="AE206"/>
  <c r="AU206"/>
  <c r="AV206"/>
  <c r="AE207"/>
  <c r="AU207"/>
  <c r="AV207" s="1"/>
  <c r="AE208"/>
  <c r="AU208"/>
  <c r="AV208"/>
  <c r="AE209"/>
  <c r="AU209"/>
  <c r="AV209" s="1"/>
  <c r="AE210"/>
  <c r="AU210"/>
  <c r="AV210" s="1"/>
  <c r="AE211"/>
  <c r="AU211"/>
  <c r="AV211" s="1"/>
  <c r="AE212"/>
  <c r="AU212"/>
  <c r="AV212"/>
  <c r="AE213"/>
  <c r="AU213"/>
  <c r="AV213" s="1"/>
  <c r="AE214"/>
  <c r="AU214"/>
  <c r="AV214" s="1"/>
  <c r="P215"/>
  <c r="R215"/>
  <c r="AE215"/>
  <c r="AU215"/>
  <c r="AV215" s="1"/>
  <c r="AE216"/>
  <c r="AU216"/>
  <c r="AV216"/>
  <c r="P217"/>
  <c r="R217"/>
  <c r="AE217"/>
  <c r="AU217"/>
  <c r="AV217" s="1"/>
  <c r="P218"/>
  <c r="R218" s="1"/>
  <c r="AE218"/>
  <c r="AU218"/>
  <c r="AV218" s="1"/>
  <c r="P219"/>
  <c r="R219"/>
  <c r="AE219"/>
  <c r="AU219"/>
  <c r="AV219" s="1"/>
  <c r="P220"/>
  <c r="R220"/>
  <c r="AE220"/>
  <c r="AU220"/>
  <c r="AV220"/>
  <c r="P221"/>
  <c r="R221" s="1"/>
  <c r="AE221"/>
  <c r="P222"/>
  <c r="R222"/>
  <c r="AE222"/>
  <c r="AE223"/>
  <c r="AE224"/>
  <c r="AE225"/>
  <c r="AE226"/>
  <c r="AE227"/>
  <c r="AE228"/>
  <c r="AE229"/>
  <c r="AE230"/>
  <c r="AE231"/>
  <c r="AE232"/>
  <c r="AE233"/>
  <c r="AE234"/>
  <c r="AE235"/>
  <c r="AE236"/>
  <c r="AE237"/>
  <c r="AE238"/>
  <c r="AE239"/>
  <c r="AE240"/>
  <c r="AE241"/>
  <c r="AE242"/>
  <c r="AE243"/>
  <c r="I244"/>
  <c r="K244"/>
  <c r="AE244"/>
  <c r="AE245"/>
  <c r="AE246"/>
  <c r="AE247"/>
  <c r="K248"/>
  <c r="AE248"/>
  <c r="AE249"/>
  <c r="AE250"/>
  <c r="AE251"/>
  <c r="AE252"/>
  <c r="AE253"/>
  <c r="AE254"/>
  <c r="AE255"/>
  <c r="AE256"/>
  <c r="AE257"/>
  <c r="AE258"/>
  <c r="I259"/>
  <c r="K259" s="1"/>
  <c r="AE259"/>
  <c r="K260"/>
  <c r="AE260"/>
  <c r="AE261"/>
  <c r="AE262"/>
  <c r="AE263"/>
  <c r="AE264"/>
  <c r="AE265"/>
  <c r="AE266"/>
  <c r="AE267"/>
  <c r="AE268"/>
  <c r="AE269"/>
  <c r="AE270"/>
  <c r="AE271"/>
  <c r="AE272"/>
  <c r="AE273"/>
  <c r="AE274"/>
  <c r="AE275"/>
  <c r="AE276"/>
  <c r="AC277"/>
  <c r="AD277"/>
  <c r="AE277"/>
  <c r="AC278"/>
  <c r="AC283" s="1"/>
  <c r="AD278"/>
  <c r="AE278"/>
  <c r="AC279"/>
  <c r="AD279"/>
  <c r="AE279"/>
  <c r="AC280"/>
  <c r="AD280"/>
  <c r="AD283" s="1"/>
  <c r="AE280"/>
  <c r="AC281"/>
  <c r="AD281"/>
  <c r="AE281"/>
  <c r="AE282"/>
  <c r="AE283"/>
  <c r="AE284"/>
  <c r="AE285"/>
  <c r="AE286"/>
  <c r="AE287"/>
  <c r="AE288"/>
  <c r="AE289"/>
  <c r="AE290"/>
  <c r="AE291"/>
  <c r="AE292"/>
  <c r="AE293"/>
  <c r="AE294"/>
  <c r="AE295"/>
  <c r="AE296"/>
  <c r="AE297"/>
  <c r="AE298"/>
  <c r="AE299"/>
  <c r="AE300"/>
  <c r="AE301"/>
  <c r="AE302"/>
  <c r="AE303"/>
  <c r="AE304"/>
  <c r="AE305"/>
  <c r="AE306"/>
  <c r="AE307"/>
  <c r="AE308"/>
  <c r="AE309"/>
  <c r="AE310"/>
  <c r="H314"/>
  <c r="AD314"/>
  <c r="AD427" s="1"/>
  <c r="H336"/>
  <c r="AD336"/>
  <c r="AD365" s="1"/>
  <c r="F338"/>
  <c r="H338"/>
  <c r="AB338"/>
  <c r="AD338"/>
  <c r="F339"/>
  <c r="AB339"/>
  <c r="X344"/>
  <c r="H356"/>
  <c r="H358"/>
  <c r="AD367"/>
  <c r="P370"/>
  <c r="R370" s="1"/>
  <c r="H380"/>
  <c r="F382"/>
  <c r="H382"/>
  <c r="AD389"/>
  <c r="AB391"/>
  <c r="AD391"/>
  <c r="H411"/>
  <c r="F413"/>
  <c r="H413"/>
  <c r="F414"/>
  <c r="X419"/>
  <c r="AD425"/>
  <c r="AB427"/>
  <c r="AB431"/>
  <c r="AB432"/>
  <c r="AB433"/>
  <c r="AB434"/>
  <c r="AB435"/>
  <c r="P436"/>
  <c r="R436"/>
  <c r="P442"/>
  <c r="R442" s="1"/>
  <c r="P443"/>
  <c r="R443" s="1"/>
  <c r="P444"/>
  <c r="R444" s="1"/>
  <c r="P453"/>
  <c r="R453" s="1"/>
  <c r="P455"/>
  <c r="R455" s="1"/>
  <c r="AJ455"/>
  <c r="P460"/>
  <c r="R460"/>
  <c r="P461"/>
  <c r="R461" s="1"/>
  <c r="P462"/>
  <c r="R462" s="1"/>
  <c r="AE467"/>
  <c r="AE468"/>
  <c r="AE469"/>
  <c r="AE470"/>
  <c r="AE471"/>
  <c r="AE472"/>
  <c r="P473"/>
  <c r="R473" s="1"/>
  <c r="AE473"/>
  <c r="AE474"/>
  <c r="AE482"/>
  <c r="AB483"/>
  <c r="AE483"/>
  <c r="AE484"/>
  <c r="P485"/>
  <c r="R485" s="1"/>
  <c r="AE485"/>
  <c r="P486"/>
  <c r="R486"/>
  <c r="AE486"/>
  <c r="P487"/>
  <c r="R487" s="1"/>
  <c r="AE487"/>
  <c r="AE488"/>
  <c r="AE489"/>
  <c r="AE490"/>
  <c r="AE491"/>
  <c r="AE492"/>
  <c r="AE493"/>
  <c r="AE494"/>
  <c r="I495"/>
  <c r="K495" s="1"/>
  <c r="AE495"/>
  <c r="AE496"/>
  <c r="AE497"/>
  <c r="AE498"/>
  <c r="AE499"/>
  <c r="AE500"/>
  <c r="AE501"/>
  <c r="P502"/>
  <c r="R502" s="1"/>
  <c r="AE502"/>
  <c r="AE503"/>
  <c r="P504"/>
  <c r="R504" s="1"/>
  <c r="AE504"/>
  <c r="P505"/>
  <c r="R505" s="1"/>
  <c r="AE505"/>
  <c r="AE506"/>
  <c r="AE507"/>
  <c r="AE508"/>
  <c r="AE509"/>
  <c r="R510"/>
  <c r="AE510"/>
  <c r="AE511"/>
  <c r="AE512"/>
  <c r="AE513"/>
  <c r="AE514"/>
  <c r="AE515"/>
  <c r="AE516"/>
  <c r="AE517"/>
  <c r="AE518"/>
  <c r="AE519"/>
  <c r="P520"/>
  <c r="R520" s="1"/>
  <c r="AE520"/>
  <c r="AE521"/>
  <c r="P522"/>
  <c r="R522" s="1"/>
  <c r="AE522"/>
  <c r="P523"/>
  <c r="R523" s="1"/>
  <c r="AE523"/>
  <c r="AE524"/>
  <c r="AE525"/>
  <c r="AE526"/>
  <c r="AE527"/>
  <c r="R528"/>
  <c r="AE528"/>
  <c r="AE529"/>
  <c r="AE530"/>
  <c r="AE531"/>
  <c r="AE532"/>
  <c r="AE533"/>
  <c r="AB534"/>
  <c r="AE534"/>
  <c r="AE535"/>
  <c r="AE536"/>
  <c r="AE537"/>
  <c r="AE538"/>
  <c r="AE539"/>
  <c r="P540"/>
  <c r="R540" s="1"/>
  <c r="AE540"/>
  <c r="AE541"/>
  <c r="P542"/>
  <c r="R542" s="1"/>
  <c r="AE542"/>
  <c r="P551"/>
  <c r="R551" s="1"/>
  <c r="W551"/>
  <c r="AC551"/>
  <c r="AE551"/>
  <c r="W552"/>
  <c r="AC552" s="1"/>
  <c r="AE552"/>
  <c r="AE553"/>
  <c r="AE554"/>
  <c r="AE555"/>
  <c r="E556"/>
  <c r="R556"/>
  <c r="AE556"/>
  <c r="AE557"/>
  <c r="V558"/>
  <c r="AB558"/>
  <c r="AE558"/>
  <c r="AE559"/>
  <c r="AE560"/>
  <c r="AE561"/>
  <c r="M562"/>
  <c r="M566" s="1"/>
  <c r="AE562"/>
  <c r="M563"/>
  <c r="AE563"/>
  <c r="M564"/>
  <c r="AE564"/>
  <c r="M565"/>
  <c r="AE565"/>
  <c r="AE566"/>
  <c r="AE567"/>
  <c r="AC569"/>
  <c r="AB575"/>
  <c r="AC575"/>
  <c r="AD575"/>
  <c r="AE575"/>
  <c r="AE576"/>
  <c r="AE577"/>
  <c r="AE578"/>
  <c r="AE579"/>
  <c r="AE580"/>
  <c r="P581"/>
  <c r="R581"/>
  <c r="AE581"/>
  <c r="AE582"/>
  <c r="AE583"/>
  <c r="AE584"/>
  <c r="I585"/>
  <c r="K585" s="1"/>
  <c r="AE585"/>
  <c r="R586"/>
  <c r="AE586"/>
  <c r="R587"/>
  <c r="AE587"/>
  <c r="P588"/>
  <c r="R588" s="1"/>
  <c r="V588"/>
  <c r="AE588"/>
  <c r="AE589"/>
  <c r="AE590"/>
  <c r="AE591"/>
  <c r="AE592"/>
  <c r="AE593"/>
  <c r="AE594"/>
  <c r="AE595"/>
  <c r="AE596"/>
  <c r="AE597"/>
  <c r="AE598"/>
  <c r="AE599"/>
  <c r="AE600"/>
  <c r="AE601"/>
  <c r="AE602"/>
  <c r="AE603"/>
  <c r="AE604"/>
  <c r="E605"/>
  <c r="AE605"/>
  <c r="AE606"/>
  <c r="I607"/>
  <c r="K607" s="1"/>
  <c r="AE607"/>
  <c r="AE608"/>
  <c r="AE609"/>
  <c r="AE610"/>
  <c r="E611"/>
  <c r="E612" s="1"/>
  <c r="AE611"/>
  <c r="AE612"/>
  <c r="AE613"/>
  <c r="AE614"/>
  <c r="AE615"/>
  <c r="AE616"/>
  <c r="AE617"/>
  <c r="C618"/>
  <c r="AE618"/>
  <c r="AE619"/>
  <c r="AE620"/>
  <c r="AE621"/>
  <c r="I622"/>
  <c r="K622" s="1"/>
  <c r="AE622"/>
  <c r="AE623"/>
  <c r="AE624"/>
  <c r="AE625"/>
  <c r="AE626"/>
  <c r="AE627"/>
  <c r="AE628"/>
  <c r="AE629"/>
  <c r="AE630"/>
  <c r="AE631"/>
  <c r="P632"/>
  <c r="R632" s="1"/>
  <c r="AE632"/>
  <c r="AE633"/>
  <c r="AE634"/>
  <c r="AE635"/>
  <c r="AE636"/>
  <c r="AE637"/>
  <c r="AE638"/>
  <c r="AE639"/>
  <c r="AE640"/>
  <c r="P645"/>
  <c r="R645" s="1"/>
  <c r="X651"/>
  <c r="AD651"/>
  <c r="AF651" s="1"/>
  <c r="P661"/>
  <c r="R661" s="1"/>
  <c r="P662"/>
  <c r="R662" s="1"/>
  <c r="P663"/>
  <c r="R663" s="1"/>
  <c r="AE676"/>
  <c r="AE677"/>
  <c r="AE678"/>
  <c r="AE679"/>
  <c r="AE680"/>
  <c r="P681"/>
  <c r="R681" s="1"/>
  <c r="R685" s="1"/>
  <c r="AE681"/>
  <c r="AE682"/>
  <c r="I683"/>
  <c r="K683" s="1"/>
  <c r="K687" s="1"/>
  <c r="I689" s="1"/>
  <c r="AE683"/>
  <c r="I684"/>
  <c r="K684"/>
  <c r="AE684"/>
  <c r="K685"/>
  <c r="AE685"/>
  <c r="AA686"/>
  <c r="AE686"/>
  <c r="AC687"/>
  <c r="AE687"/>
  <c r="AE831" s="1"/>
  <c r="AC688"/>
  <c r="AE688"/>
  <c r="AE689"/>
  <c r="AE690"/>
  <c r="P691"/>
  <c r="R691"/>
  <c r="R695" s="1"/>
  <c r="AE691"/>
  <c r="AE692"/>
  <c r="AF692"/>
  <c r="AE693"/>
  <c r="AE694"/>
  <c r="AF694"/>
  <c r="AE695"/>
  <c r="AE696"/>
  <c r="AE697"/>
  <c r="AE698"/>
  <c r="AE699"/>
  <c r="AE700"/>
  <c r="P701"/>
  <c r="R701" s="1"/>
  <c r="R705" s="1"/>
  <c r="AE701"/>
  <c r="I702"/>
  <c r="K702" s="1"/>
  <c r="K707" s="1"/>
  <c r="I709" s="1"/>
  <c r="AE702"/>
  <c r="I703"/>
  <c r="K703"/>
  <c r="AE703"/>
  <c r="K704"/>
  <c r="AE704"/>
  <c r="AE705"/>
  <c r="AE706"/>
  <c r="AE707"/>
  <c r="AE708"/>
  <c r="AE709"/>
  <c r="AE710"/>
  <c r="AE711"/>
  <c r="P712"/>
  <c r="R712"/>
  <c r="R716" s="1"/>
  <c r="S712"/>
  <c r="V712"/>
  <c r="X712" s="1"/>
  <c r="AE712"/>
  <c r="W713"/>
  <c r="AE713"/>
  <c r="AE714"/>
  <c r="AE715"/>
  <c r="V716"/>
  <c r="AE716"/>
  <c r="V717"/>
  <c r="AE717"/>
  <c r="AE718"/>
  <c r="V719"/>
  <c r="AE719"/>
  <c r="I720"/>
  <c r="K720" s="1"/>
  <c r="K726" s="1"/>
  <c r="I728" s="1"/>
  <c r="K728" s="1"/>
  <c r="V720"/>
  <c r="AE720"/>
  <c r="I721"/>
  <c r="K721" s="1"/>
  <c r="AE721"/>
  <c r="AE722"/>
  <c r="I723"/>
  <c r="K723" s="1"/>
  <c r="P723"/>
  <c r="R723" s="1"/>
  <c r="AE723"/>
  <c r="AE724"/>
  <c r="P725"/>
  <c r="R725" s="1"/>
  <c r="AE725"/>
  <c r="P726"/>
  <c r="R726" s="1"/>
  <c r="AE726"/>
  <c r="P727"/>
  <c r="R727" s="1"/>
  <c r="AE727"/>
  <c r="P728"/>
  <c r="R728"/>
  <c r="AE728"/>
  <c r="AE729"/>
  <c r="AE730"/>
  <c r="AE731"/>
  <c r="AE732"/>
  <c r="AE733"/>
  <c r="AE734"/>
  <c r="AE735"/>
  <c r="AE736"/>
  <c r="AE737"/>
  <c r="P738"/>
  <c r="R738"/>
  <c r="AE738"/>
  <c r="AE739"/>
  <c r="P740"/>
  <c r="R740"/>
  <c r="V740"/>
  <c r="AE740"/>
  <c r="P741"/>
  <c r="R741"/>
  <c r="V741"/>
  <c r="AE741"/>
  <c r="P742"/>
  <c r="R742"/>
  <c r="AE742"/>
  <c r="P743"/>
  <c r="R743"/>
  <c r="AE743"/>
  <c r="AE744"/>
  <c r="AE745"/>
  <c r="I746"/>
  <c r="K746"/>
  <c r="AE746"/>
  <c r="AE747"/>
  <c r="AE748"/>
  <c r="AE749"/>
  <c r="AE750"/>
  <c r="AE751"/>
  <c r="AE752"/>
  <c r="AE753"/>
  <c r="P754"/>
  <c r="R754" s="1"/>
  <c r="AE754"/>
  <c r="AE755"/>
  <c r="P756"/>
  <c r="R756" s="1"/>
  <c r="AE756"/>
  <c r="P757"/>
  <c r="R757" s="1"/>
  <c r="AE757"/>
  <c r="P758"/>
  <c r="R758"/>
  <c r="AE758"/>
  <c r="P759"/>
  <c r="R759"/>
  <c r="AE759"/>
  <c r="AE760"/>
  <c r="AE761"/>
  <c r="I762"/>
  <c r="K762"/>
  <c r="I783" s="1"/>
  <c r="K783" s="1"/>
  <c r="AE762"/>
  <c r="I763"/>
  <c r="K763" s="1"/>
  <c r="AE763"/>
  <c r="K764"/>
  <c r="AE764"/>
  <c r="AE765"/>
  <c r="AE766"/>
  <c r="AE767"/>
  <c r="K768"/>
  <c r="AE768"/>
  <c r="K769"/>
  <c r="AE769"/>
  <c r="AE770"/>
  <c r="AE771"/>
  <c r="AE772"/>
  <c r="R773"/>
  <c r="AE773"/>
  <c r="AE774"/>
  <c r="AE775"/>
  <c r="AE776"/>
  <c r="AE777"/>
  <c r="R778"/>
  <c r="AE778"/>
  <c r="AE779"/>
  <c r="AE780"/>
  <c r="AE781"/>
  <c r="AE782"/>
  <c r="AE783"/>
  <c r="AE784"/>
  <c r="AE785"/>
  <c r="I786"/>
  <c r="K786"/>
  <c r="R786"/>
  <c r="AE786"/>
  <c r="A787"/>
  <c r="AE787"/>
  <c r="AE788"/>
  <c r="AE789"/>
  <c r="I790"/>
  <c r="K790"/>
  <c r="AE790"/>
  <c r="K791"/>
  <c r="AE791"/>
  <c r="K792"/>
  <c r="AE792"/>
  <c r="AE793"/>
  <c r="AE794"/>
  <c r="P795"/>
  <c r="R795"/>
  <c r="AE795"/>
  <c r="AE796"/>
  <c r="AE797"/>
  <c r="AE798"/>
  <c r="AE799"/>
  <c r="AE800"/>
  <c r="AE801"/>
  <c r="AE802"/>
  <c r="AE803"/>
  <c r="AE804"/>
  <c r="AE805"/>
  <c r="AE806"/>
  <c r="W807"/>
  <c r="AE807"/>
  <c r="AE808"/>
  <c r="AE809"/>
  <c r="AE810"/>
  <c r="AE811"/>
  <c r="AE812"/>
  <c r="AE813"/>
  <c r="P814"/>
  <c r="R814" s="1"/>
  <c r="AE814"/>
  <c r="R815"/>
  <c r="AE815"/>
  <c r="R816"/>
  <c r="AE816"/>
  <c r="R817"/>
  <c r="AE817"/>
  <c r="R818"/>
  <c r="AE818"/>
  <c r="R819"/>
  <c r="AE819"/>
  <c r="R820"/>
  <c r="AE820"/>
  <c r="AE821"/>
  <c r="W822"/>
  <c r="AE822"/>
  <c r="AE823"/>
  <c r="AE824"/>
  <c r="AE825"/>
  <c r="V826"/>
  <c r="AE826"/>
  <c r="V827"/>
  <c r="AE827"/>
  <c r="V828"/>
  <c r="AE828"/>
  <c r="AE829"/>
  <c r="AE830"/>
  <c r="AE840"/>
  <c r="P841"/>
  <c r="R841"/>
  <c r="AE841"/>
  <c r="R842"/>
  <c r="AE842"/>
  <c r="R843"/>
  <c r="AE843"/>
  <c r="R844"/>
  <c r="AE844"/>
  <c r="R845"/>
  <c r="AE845"/>
  <c r="R846"/>
  <c r="AE846"/>
  <c r="R847"/>
  <c r="AE847"/>
  <c r="AE848"/>
  <c r="AE849"/>
  <c r="AE850"/>
  <c r="AE851"/>
  <c r="AE852"/>
  <c r="AE853"/>
  <c r="AE854"/>
  <c r="AE855"/>
  <c r="AE856"/>
  <c r="P857"/>
  <c r="R857"/>
  <c r="AE857"/>
  <c r="P858"/>
  <c r="R858"/>
  <c r="AE858"/>
  <c r="P859"/>
  <c r="R859" s="1"/>
  <c r="AE859"/>
  <c r="P860"/>
  <c r="R860" s="1"/>
  <c r="AE860"/>
  <c r="AE861"/>
  <c r="AE862"/>
  <c r="P863"/>
  <c r="R863" s="1"/>
  <c r="AE863"/>
  <c r="K864"/>
  <c r="V864"/>
  <c r="X864" s="1"/>
  <c r="AE864"/>
  <c r="K865"/>
  <c r="P865"/>
  <c r="V865"/>
  <c r="X865"/>
  <c r="AE865"/>
  <c r="K866"/>
  <c r="V866"/>
  <c r="X866"/>
  <c r="AE866"/>
  <c r="K867"/>
  <c r="V867"/>
  <c r="X867"/>
  <c r="AE867"/>
  <c r="AE868"/>
  <c r="AE869"/>
  <c r="K870"/>
  <c r="V870"/>
  <c r="X870" s="1"/>
  <c r="AE870"/>
  <c r="AE871"/>
  <c r="AE872"/>
  <c r="AE873"/>
  <c r="AE874"/>
  <c r="AE875"/>
  <c r="AE876"/>
  <c r="P877"/>
  <c r="R877" s="1"/>
  <c r="AE877"/>
  <c r="R878"/>
  <c r="AE878"/>
  <c r="R879"/>
  <c r="AE879"/>
  <c r="R880"/>
  <c r="AE880"/>
  <c r="R881"/>
  <c r="AE881"/>
  <c r="I882"/>
  <c r="K882" s="1"/>
  <c r="R882"/>
  <c r="AE882"/>
  <c r="I883"/>
  <c r="V883" s="1"/>
  <c r="R883"/>
  <c r="AE883"/>
  <c r="I884"/>
  <c r="V884" s="1"/>
  <c r="X884" s="1"/>
  <c r="AE884"/>
  <c r="I885"/>
  <c r="K885" s="1"/>
  <c r="AE885"/>
  <c r="AE886"/>
  <c r="AE887"/>
  <c r="K888"/>
  <c r="V888"/>
  <c r="X888" s="1"/>
  <c r="AE888"/>
  <c r="AE889"/>
  <c r="AE890"/>
  <c r="AE891"/>
  <c r="AE892"/>
  <c r="AE893"/>
  <c r="AE894"/>
  <c r="AE895"/>
  <c r="AE896"/>
  <c r="AE897"/>
  <c r="I898"/>
  <c r="K898" s="1"/>
  <c r="AE898"/>
  <c r="AE899"/>
  <c r="H900"/>
  <c r="AE900"/>
  <c r="AE901"/>
  <c r="AE902"/>
  <c r="AE903"/>
  <c r="H904"/>
  <c r="K904"/>
  <c r="AE904"/>
  <c r="R905"/>
  <c r="AE905"/>
  <c r="R906"/>
  <c r="R911" s="1"/>
  <c r="AE906"/>
  <c r="R907"/>
  <c r="AE907"/>
  <c r="AE908"/>
  <c r="AE909"/>
  <c r="AE910"/>
  <c r="AE911"/>
  <c r="AE912"/>
  <c r="AE913"/>
  <c r="AE914"/>
  <c r="AE915"/>
  <c r="AE916"/>
  <c r="AE917"/>
  <c r="AE918"/>
  <c r="AE919"/>
  <c r="AE920"/>
  <c r="AE921"/>
  <c r="AE922"/>
  <c r="AE923"/>
  <c r="AE924"/>
  <c r="AE925"/>
  <c r="AE926"/>
  <c r="AE927"/>
  <c r="AE928"/>
  <c r="AE929"/>
  <c r="I930"/>
  <c r="K930"/>
  <c r="AE930"/>
  <c r="AE931"/>
  <c r="AE932"/>
  <c r="AE933"/>
  <c r="AE934"/>
  <c r="AE935"/>
  <c r="AE936"/>
  <c r="AE937"/>
  <c r="AE938"/>
  <c r="AE939"/>
  <c r="AE940"/>
  <c r="AE941"/>
  <c r="AE942"/>
  <c r="AE943"/>
  <c r="AE944"/>
  <c r="AE945"/>
  <c r="AE946"/>
  <c r="AE947"/>
  <c r="AE948"/>
  <c r="AE949"/>
  <c r="AE950"/>
  <c r="AE951"/>
  <c r="AE952"/>
  <c r="AE953"/>
  <c r="AE954"/>
  <c r="AE955"/>
  <c r="AE956"/>
  <c r="AE957"/>
  <c r="I958"/>
  <c r="P951" s="1"/>
  <c r="R951" s="1"/>
  <c r="AE958"/>
  <c r="I959"/>
  <c r="P952" s="1"/>
  <c r="R952" s="1"/>
  <c r="AE959"/>
  <c r="I960"/>
  <c r="K960"/>
  <c r="AE960"/>
  <c r="I961"/>
  <c r="P954" s="1"/>
  <c r="R954" s="1"/>
  <c r="AE961"/>
  <c r="I962"/>
  <c r="K962"/>
  <c r="AE962"/>
  <c r="I963"/>
  <c r="P956" s="1"/>
  <c r="R956" s="1"/>
  <c r="AE963"/>
  <c r="K964"/>
  <c r="AE964"/>
  <c r="AE965"/>
  <c r="AE966"/>
  <c r="AE967"/>
  <c r="AE968"/>
  <c r="AE969"/>
  <c r="AE970"/>
  <c r="AE971"/>
  <c r="AE972"/>
  <c r="AE973"/>
  <c r="AE974"/>
  <c r="AE975"/>
  <c r="AE976"/>
  <c r="AE977"/>
  <c r="AE978"/>
  <c r="AE979"/>
  <c r="AE980"/>
  <c r="AE981"/>
  <c r="AE982"/>
  <c r="AE983"/>
  <c r="AE984"/>
  <c r="AE985"/>
  <c r="AE986"/>
  <c r="AE987"/>
  <c r="AE988"/>
  <c r="AE989"/>
  <c r="AE990"/>
  <c r="AE991"/>
  <c r="AE992"/>
  <c r="I993"/>
  <c r="K993" s="1"/>
  <c r="AE993"/>
  <c r="I994"/>
  <c r="K994"/>
  <c r="AE994"/>
  <c r="I995"/>
  <c r="K995"/>
  <c r="AE995"/>
  <c r="I996"/>
  <c r="K996" s="1"/>
  <c r="AE996"/>
  <c r="I997"/>
  <c r="I2843" s="1"/>
  <c r="K2843" s="1"/>
  <c r="AE997"/>
  <c r="I998"/>
  <c r="K998"/>
  <c r="AE998"/>
  <c r="I999"/>
  <c r="K999"/>
  <c r="AE999"/>
  <c r="AE1000"/>
  <c r="AE1001"/>
  <c r="AE1002"/>
  <c r="AE1003"/>
  <c r="AE1004"/>
  <c r="AE1005"/>
  <c r="AE1006"/>
  <c r="AE1007"/>
  <c r="AE1009"/>
  <c r="AE1010"/>
  <c r="AE1011"/>
  <c r="AE1012"/>
  <c r="AE1013"/>
  <c r="AE1014"/>
  <c r="AE1015"/>
  <c r="AE1016"/>
  <c r="AE1017"/>
  <c r="AE1018"/>
  <c r="AE1019"/>
  <c r="AE1020"/>
  <c r="AE1021"/>
  <c r="AE1022"/>
  <c r="I1023"/>
  <c r="P1097"/>
  <c r="AE1023"/>
  <c r="I1024"/>
  <c r="P1098"/>
  <c r="AE1024"/>
  <c r="I1025"/>
  <c r="P1099" s="1"/>
  <c r="AE1025"/>
  <c r="I1026"/>
  <c r="P1100" s="1"/>
  <c r="P1121" s="1"/>
  <c r="R1121" s="1"/>
  <c r="AE1026"/>
  <c r="I1027"/>
  <c r="P1101"/>
  <c r="AE1027"/>
  <c r="I1028"/>
  <c r="K1028"/>
  <c r="AE1028"/>
  <c r="I1029"/>
  <c r="K1029" s="1"/>
  <c r="AE1029"/>
  <c r="AE1030"/>
  <c r="AE1031"/>
  <c r="AE1032"/>
  <c r="AE1033"/>
  <c r="AE1034"/>
  <c r="K1035"/>
  <c r="AE1035"/>
  <c r="AE1036"/>
  <c r="AE1037"/>
  <c r="AE1039"/>
  <c r="AE1040"/>
  <c r="AE1041"/>
  <c r="AE1042"/>
  <c r="AE1043"/>
  <c r="AE1044"/>
  <c r="I1058"/>
  <c r="AE1067" s="1"/>
  <c r="AG1067" s="1"/>
  <c r="K1058"/>
  <c r="I1060"/>
  <c r="P1053" s="1"/>
  <c r="R1053" s="1"/>
  <c r="I1061"/>
  <c r="AE1070" s="1"/>
  <c r="AG1070" s="1"/>
  <c r="I1062"/>
  <c r="P996" s="1"/>
  <c r="R996" s="1"/>
  <c r="AE1071"/>
  <c r="AG1071" s="1"/>
  <c r="I1063"/>
  <c r="AE1072" s="1"/>
  <c r="AG1072" s="1"/>
  <c r="I1064"/>
  <c r="P1057"/>
  <c r="R1057" s="1"/>
  <c r="I1065"/>
  <c r="AE1074"/>
  <c r="AG1074"/>
  <c r="K1065"/>
  <c r="P1069"/>
  <c r="R1069" s="1"/>
  <c r="P1072"/>
  <c r="R1072" s="1"/>
  <c r="P1074"/>
  <c r="R1074" s="1"/>
  <c r="K1075"/>
  <c r="I1077"/>
  <c r="K1077"/>
  <c r="I1078"/>
  <c r="K1078" s="1"/>
  <c r="I1080"/>
  <c r="K1080"/>
  <c r="AE1080"/>
  <c r="AE1081"/>
  <c r="AE1082"/>
  <c r="AE1083"/>
  <c r="AE1084"/>
  <c r="AE1085"/>
  <c r="AE1086"/>
  <c r="AE1087"/>
  <c r="AE1088"/>
  <c r="AE1089"/>
  <c r="H1090"/>
  <c r="I1090"/>
  <c r="K1090" s="1"/>
  <c r="AE1090"/>
  <c r="AE1091"/>
  <c r="I1092"/>
  <c r="K1092" s="1"/>
  <c r="AE1092"/>
  <c r="I1093"/>
  <c r="K1093"/>
  <c r="AE1093"/>
  <c r="AE1094"/>
  <c r="I1095"/>
  <c r="K1095"/>
  <c r="R1095"/>
  <c r="AE1095"/>
  <c r="AE1096"/>
  <c r="AE1097"/>
  <c r="AE1098"/>
  <c r="AE1099"/>
  <c r="AE1100"/>
  <c r="AE1101"/>
  <c r="P1102"/>
  <c r="R1102" s="1"/>
  <c r="AE1102"/>
  <c r="AE1103"/>
  <c r="AE1104"/>
  <c r="H1106"/>
  <c r="I1106"/>
  <c r="K1106" s="1"/>
  <c r="AE1106"/>
  <c r="AE1107"/>
  <c r="I1108"/>
  <c r="K1108" s="1"/>
  <c r="AE1108"/>
  <c r="I1109"/>
  <c r="K1109"/>
  <c r="AE1109"/>
  <c r="I1110"/>
  <c r="K1110"/>
  <c r="AE1110"/>
  <c r="AE1111"/>
  <c r="AE1112"/>
  <c r="AE1113"/>
  <c r="AE1114"/>
  <c r="AE1115"/>
  <c r="AE1116"/>
  <c r="AE1117"/>
  <c r="AE1118"/>
  <c r="AE1119"/>
  <c r="AE1121"/>
  <c r="AE1122"/>
  <c r="AE1123"/>
  <c r="AE1124"/>
  <c r="AE1125"/>
  <c r="AE1126"/>
  <c r="AE1127"/>
  <c r="AE1128"/>
  <c r="AE1129"/>
  <c r="AE1130"/>
  <c r="AE1131"/>
  <c r="AE1132"/>
  <c r="K1133"/>
  <c r="AE1133"/>
  <c r="AE1134"/>
  <c r="I1135"/>
  <c r="K1135" s="1"/>
  <c r="AE1135"/>
  <c r="I1136"/>
  <c r="K1136" s="1"/>
  <c r="AE1136"/>
  <c r="K1137"/>
  <c r="AE1137"/>
  <c r="K1138"/>
  <c r="AE1138"/>
  <c r="AE1139"/>
  <c r="AE1140"/>
  <c r="AE1141"/>
  <c r="AE1142"/>
  <c r="AE1143"/>
  <c r="AE1144"/>
  <c r="Q1145"/>
  <c r="AE1145"/>
  <c r="AE1146"/>
  <c r="AE1147"/>
  <c r="I1148"/>
  <c r="K1148" s="1"/>
  <c r="AE1148"/>
  <c r="I1149"/>
  <c r="K1149" s="1"/>
  <c r="AE1149"/>
  <c r="AE1150"/>
  <c r="P1152"/>
  <c r="AE1152"/>
  <c r="P1153"/>
  <c r="AE1153"/>
  <c r="P1154"/>
  <c r="AE1154"/>
  <c r="AE1155"/>
  <c r="X1156"/>
  <c r="AE1156"/>
  <c r="AE1157"/>
  <c r="AE1158"/>
  <c r="AE1159"/>
  <c r="AE1160"/>
  <c r="AE1161"/>
  <c r="I1162"/>
  <c r="K1162"/>
  <c r="AE1162"/>
  <c r="I1163"/>
  <c r="K1163" s="1"/>
  <c r="AE1163"/>
  <c r="AE1164"/>
  <c r="AE1165"/>
  <c r="AE1166"/>
  <c r="AE1167"/>
  <c r="AE1168"/>
  <c r="AE1169"/>
  <c r="AE1170"/>
  <c r="AE1171"/>
  <c r="AE1172"/>
  <c r="AE1173"/>
  <c r="AE1174"/>
  <c r="AE1175"/>
  <c r="AE1176"/>
  <c r="AE1177"/>
  <c r="AE1178"/>
  <c r="K1179"/>
  <c r="Q1179"/>
  <c r="AE1179"/>
  <c r="K1180"/>
  <c r="AE1180"/>
  <c r="K1181"/>
  <c r="AE1181"/>
  <c r="AE1182"/>
  <c r="AE1183"/>
  <c r="AE1184"/>
  <c r="AE1185"/>
  <c r="AE1186"/>
  <c r="AE1187"/>
  <c r="AE1188"/>
  <c r="AE1189"/>
  <c r="AE1190"/>
  <c r="AD1191"/>
  <c r="AE1191"/>
  <c r="AE1197" s="1"/>
  <c r="AK1191"/>
  <c r="AE1192"/>
  <c r="AE1193"/>
  <c r="K1194"/>
  <c r="AE1194"/>
  <c r="K1196"/>
  <c r="AE1205"/>
  <c r="AE1206"/>
  <c r="AE1212"/>
  <c r="AE1213"/>
  <c r="AE1214"/>
  <c r="AC1215"/>
  <c r="AE1215"/>
  <c r="AD1216"/>
  <c r="AE1216"/>
  <c r="AE1217"/>
  <c r="R1218"/>
  <c r="T1218"/>
  <c r="AB1218"/>
  <c r="AE1218"/>
  <c r="AE1219"/>
  <c r="AE1220"/>
  <c r="AE1221"/>
  <c r="AE1222"/>
  <c r="AE1223"/>
  <c r="AB1224"/>
  <c r="AD1224"/>
  <c r="AE1224"/>
  <c r="AE1225"/>
  <c r="AE1226"/>
  <c r="AE1227"/>
  <c r="AE1228"/>
  <c r="S1229"/>
  <c r="AB1229"/>
  <c r="AE1229"/>
  <c r="AE1230"/>
  <c r="AE1231"/>
  <c r="AE1232"/>
  <c r="AE1233"/>
  <c r="I1234"/>
  <c r="K1234"/>
  <c r="AE1234"/>
  <c r="I1235"/>
  <c r="K1235" s="1"/>
  <c r="AE1235"/>
  <c r="I1236"/>
  <c r="K1236" s="1"/>
  <c r="AE1236"/>
  <c r="R1237"/>
  <c r="AE1237"/>
  <c r="AE1238"/>
  <c r="AE1239"/>
  <c r="X1240"/>
  <c r="AE1240"/>
  <c r="AE1241"/>
  <c r="AE1242"/>
  <c r="AE1243"/>
  <c r="AD1244"/>
  <c r="AE1244"/>
  <c r="AE1245"/>
  <c r="AE1246"/>
  <c r="AE1247"/>
  <c r="AE1248"/>
  <c r="AE1249"/>
  <c r="AE1250"/>
  <c r="I1251"/>
  <c r="K1251" s="1"/>
  <c r="AE1251"/>
  <c r="AD1252"/>
  <c r="AE1252"/>
  <c r="AE1253"/>
  <c r="AE1254"/>
  <c r="AE1255"/>
  <c r="AB1256"/>
  <c r="AB1228" s="1"/>
  <c r="AE1256"/>
  <c r="AE1257"/>
  <c r="AE1258"/>
  <c r="K1259"/>
  <c r="AE1259"/>
  <c r="R1260"/>
  <c r="AE1261"/>
  <c r="AE1262"/>
  <c r="AE1263"/>
  <c r="AE1264"/>
  <c r="AB1265"/>
  <c r="AD1265"/>
  <c r="AC1265"/>
  <c r="AE1265"/>
  <c r="AB1266"/>
  <c r="AC1266"/>
  <c r="AD1266"/>
  <c r="AE1266"/>
  <c r="P1267"/>
  <c r="R1267"/>
  <c r="AC1267"/>
  <c r="AE1267"/>
  <c r="AC1268"/>
  <c r="AE1268"/>
  <c r="AC1269"/>
  <c r="AE1269"/>
  <c r="AD1270"/>
  <c r="AE1270"/>
  <c r="AE1271"/>
  <c r="I1272"/>
  <c r="K1272"/>
  <c r="AE1272"/>
  <c r="I1273"/>
  <c r="K1273" s="1"/>
  <c r="AE1273"/>
  <c r="AE1274"/>
  <c r="AE1275"/>
  <c r="AE1276"/>
  <c r="AE1277"/>
  <c r="AE1278"/>
  <c r="AE1279"/>
  <c r="X1280"/>
  <c r="AE1280"/>
  <c r="AE1281"/>
  <c r="V1282"/>
  <c r="AE1282"/>
  <c r="AE1283"/>
  <c r="AE1284"/>
  <c r="AE1285"/>
  <c r="K1286"/>
  <c r="AE1286"/>
  <c r="AE1287"/>
  <c r="V1288"/>
  <c r="X1288" s="1"/>
  <c r="AE1288"/>
  <c r="AE1289"/>
  <c r="AE1290"/>
  <c r="AE1291"/>
  <c r="AE1292"/>
  <c r="AE1293"/>
  <c r="AE1294"/>
  <c r="AE1295"/>
  <c r="AE1296"/>
  <c r="AE1297"/>
  <c r="AE1298"/>
  <c r="AE1299"/>
  <c r="AE1300"/>
  <c r="X1301"/>
  <c r="AE1301"/>
  <c r="AE1302"/>
  <c r="R1303"/>
  <c r="AE1303"/>
  <c r="AE1304"/>
  <c r="P1305"/>
  <c r="AE1305"/>
  <c r="AE1306"/>
  <c r="X1307"/>
  <c r="AE1307"/>
  <c r="V1308"/>
  <c r="AE1308"/>
  <c r="AE1309"/>
  <c r="AE1310"/>
  <c r="AE1311"/>
  <c r="AE1312"/>
  <c r="AE1313"/>
  <c r="AE1314"/>
  <c r="AE1315"/>
  <c r="AE1316"/>
  <c r="AE1317"/>
  <c r="AE1318"/>
  <c r="AE1319"/>
  <c r="AE1320"/>
  <c r="X1321"/>
  <c r="AE1321"/>
  <c r="R1322"/>
  <c r="AE1322"/>
  <c r="P1323"/>
  <c r="P1304" s="1"/>
  <c r="R1304" s="1"/>
  <c r="AE1323"/>
  <c r="AE1324"/>
  <c r="AE1325"/>
  <c r="AE1326"/>
  <c r="V1327"/>
  <c r="X1327" s="1"/>
  <c r="AE1327"/>
  <c r="V1328"/>
  <c r="AE1328"/>
  <c r="AE1329"/>
  <c r="AE1330"/>
  <c r="AE1331"/>
  <c r="AE1332"/>
  <c r="AE1333"/>
  <c r="X1334"/>
  <c r="AE1334"/>
  <c r="R1335"/>
  <c r="AE1335"/>
  <c r="AE1336"/>
  <c r="AE1337"/>
  <c r="AE1338"/>
  <c r="AE1339"/>
  <c r="AE1340"/>
  <c r="X1341"/>
  <c r="AE1341"/>
  <c r="V1342"/>
  <c r="X1342" s="1"/>
  <c r="AE1342"/>
  <c r="X1343"/>
  <c r="AE1343"/>
  <c r="AE1344"/>
  <c r="X1345"/>
  <c r="AE1345"/>
  <c r="AE1346"/>
  <c r="AE1347"/>
  <c r="AE1348"/>
  <c r="AE1349"/>
  <c r="Y1350"/>
  <c r="AE1350"/>
  <c r="AE1351"/>
  <c r="AE1352"/>
  <c r="AE1353"/>
  <c r="AE1354"/>
  <c r="V1355"/>
  <c r="X1355"/>
  <c r="AE1355"/>
  <c r="R1356"/>
  <c r="V1356"/>
  <c r="AB1354"/>
  <c r="AE1356"/>
  <c r="AE1357"/>
  <c r="R1358"/>
  <c r="R1360"/>
  <c r="R1361" s="1"/>
  <c r="AE1358"/>
  <c r="I1359"/>
  <c r="K1359"/>
  <c r="V1359"/>
  <c r="AB1357" s="1"/>
  <c r="AE1359"/>
  <c r="V1360"/>
  <c r="D24" i="25" s="1"/>
  <c r="F24" s="1"/>
  <c r="AE1360" i="1"/>
  <c r="V1361"/>
  <c r="AB1359" s="1"/>
  <c r="AE1361"/>
  <c r="AE1362"/>
  <c r="V1363"/>
  <c r="X1363" s="1"/>
  <c r="AE1363"/>
  <c r="V1364"/>
  <c r="AB1362" s="1"/>
  <c r="AE1364"/>
  <c r="V1365"/>
  <c r="AE1365"/>
  <c r="AE1366"/>
  <c r="AE1367"/>
  <c r="AE1368"/>
  <c r="AE1369"/>
  <c r="AE1370"/>
  <c r="AE1371"/>
  <c r="AE1372"/>
  <c r="AE1373"/>
  <c r="AE1374"/>
  <c r="P1375"/>
  <c r="R1375" s="1"/>
  <c r="AE1375"/>
  <c r="AE1376"/>
  <c r="AE1377"/>
  <c r="I1378"/>
  <c r="K1378" s="1"/>
  <c r="AE1378"/>
  <c r="AE1379"/>
  <c r="AE1380"/>
  <c r="I1381"/>
  <c r="K1381"/>
  <c r="P1381"/>
  <c r="R1381" s="1"/>
  <c r="AE1381"/>
  <c r="AE1382"/>
  <c r="P1383"/>
  <c r="R1383"/>
  <c r="AE1383"/>
  <c r="AE1384"/>
  <c r="AE1385"/>
  <c r="AE1386"/>
  <c r="AE1387"/>
  <c r="AE1388"/>
  <c r="AE1389"/>
  <c r="AE1390"/>
  <c r="AE1391"/>
  <c r="AE1392"/>
  <c r="AE1393"/>
  <c r="R1394"/>
  <c r="AE1394"/>
  <c r="P1395"/>
  <c r="R1395"/>
  <c r="AE1395"/>
  <c r="P1396"/>
  <c r="V1357" s="1"/>
  <c r="AE1396"/>
  <c r="P1397"/>
  <c r="R1397" s="1"/>
  <c r="AE1397"/>
  <c r="R1398"/>
  <c r="AE1398"/>
  <c r="R1399"/>
  <c r="AE1399"/>
  <c r="R1400"/>
  <c r="AE1400"/>
  <c r="AE1401"/>
  <c r="R1402"/>
  <c r="AE1402"/>
  <c r="R1403"/>
  <c r="AE1403"/>
  <c r="R1404"/>
  <c r="AE1404"/>
  <c r="S1405"/>
  <c r="AE1405"/>
  <c r="S1406"/>
  <c r="AE1406"/>
  <c r="L1407"/>
  <c r="S1407"/>
  <c r="AE1407"/>
  <c r="S1408"/>
  <c r="AE1408"/>
  <c r="S1409"/>
  <c r="AE1409"/>
  <c r="AE1410"/>
  <c r="P1411"/>
  <c r="V1372" s="1"/>
  <c r="AE1411"/>
  <c r="P1412"/>
  <c r="V1373"/>
  <c r="AE1412"/>
  <c r="AE1413"/>
  <c r="AE1414"/>
  <c r="P1415"/>
  <c r="R1415" s="1"/>
  <c r="AE1415"/>
  <c r="P1416"/>
  <c r="P1433" s="1"/>
  <c r="R1433" s="1"/>
  <c r="V1377"/>
  <c r="R1416"/>
  <c r="AE1416"/>
  <c r="P1417"/>
  <c r="P1434"/>
  <c r="AE1417"/>
  <c r="AE1418"/>
  <c r="P1419"/>
  <c r="P1436"/>
  <c r="AE1419"/>
  <c r="P1420"/>
  <c r="R1420"/>
  <c r="Y1420"/>
  <c r="AE1420"/>
  <c r="P1421"/>
  <c r="V1382"/>
  <c r="R1421"/>
  <c r="AE1421"/>
  <c r="L1422"/>
  <c r="Y1422"/>
  <c r="AE1422"/>
  <c r="AE1423"/>
  <c r="AE1424"/>
  <c r="AE1425"/>
  <c r="AE1426"/>
  <c r="AE1427"/>
  <c r="AE1428"/>
  <c r="AE1429"/>
  <c r="X1430"/>
  <c r="AE1430"/>
  <c r="X1431"/>
  <c r="AE1431"/>
  <c r="X1432"/>
  <c r="AE1432"/>
  <c r="S1433"/>
  <c r="AE1433"/>
  <c r="AE1434"/>
  <c r="AE1435"/>
  <c r="U1436"/>
  <c r="AE1436"/>
  <c r="P1437"/>
  <c r="R1437"/>
  <c r="AE1437"/>
  <c r="P1438"/>
  <c r="P1454" s="1"/>
  <c r="R1454" s="1"/>
  <c r="AE1438"/>
  <c r="AE1439"/>
  <c r="I1440"/>
  <c r="K1440" s="1"/>
  <c r="AE1440"/>
  <c r="AE1441"/>
  <c r="AE1442"/>
  <c r="AE1443"/>
  <c r="AE1444"/>
  <c r="AE1445"/>
  <c r="AE1446"/>
  <c r="AE1447"/>
  <c r="AE1448"/>
  <c r="AE1449"/>
  <c r="AE1450"/>
  <c r="AE1451"/>
  <c r="AE1452"/>
  <c r="AE1453"/>
  <c r="AE1454"/>
  <c r="M1455"/>
  <c r="AE1455"/>
  <c r="AE1456"/>
  <c r="S1457"/>
  <c r="AE1457"/>
  <c r="AE1458"/>
  <c r="AE1459"/>
  <c r="AE1460"/>
  <c r="AE1461"/>
  <c r="AE1462"/>
  <c r="AE1463"/>
  <c r="AE1464"/>
  <c r="AE1465"/>
  <c r="AE1466"/>
  <c r="AE1467"/>
  <c r="AE1468"/>
  <c r="AE1469"/>
  <c r="AE1470"/>
  <c r="AE1471"/>
  <c r="AE1472"/>
  <c r="AE1473"/>
  <c r="AE1474"/>
  <c r="AE1475"/>
  <c r="AE1476"/>
  <c r="AE1477"/>
  <c r="AE1478"/>
  <c r="AE1479"/>
  <c r="AE1480"/>
  <c r="AE1481"/>
  <c r="AE1482"/>
  <c r="AE1483"/>
  <c r="AE1484"/>
  <c r="S1485"/>
  <c r="T1485" s="1"/>
  <c r="U1485"/>
  <c r="AE1485"/>
  <c r="AE1486"/>
  <c r="AE1487"/>
  <c r="AE1488"/>
  <c r="AE1489"/>
  <c r="AE1490"/>
  <c r="AE1491"/>
  <c r="AE1492"/>
  <c r="AE1493"/>
  <c r="AE1494"/>
  <c r="AE1495"/>
  <c r="AE1496"/>
  <c r="O1497"/>
  <c r="AE1497"/>
  <c r="O1498"/>
  <c r="AE1498"/>
  <c r="O1499"/>
  <c r="AE1499"/>
  <c r="AE1500"/>
  <c r="AE1501"/>
  <c r="AE1502"/>
  <c r="M1503"/>
  <c r="AE1503"/>
  <c r="AE1504"/>
  <c r="AE1505"/>
  <c r="AE1506"/>
  <c r="AE1507"/>
  <c r="I1508"/>
  <c r="K1508"/>
  <c r="AE1508"/>
  <c r="AE1509"/>
  <c r="AE1510"/>
  <c r="AE1511"/>
  <c r="AE1512"/>
  <c r="AE1513"/>
  <c r="AE1514"/>
  <c r="AE1515"/>
  <c r="AE1516"/>
  <c r="AE1517"/>
  <c r="AE1518"/>
  <c r="AE1519"/>
  <c r="I1520"/>
  <c r="K1520" s="1"/>
  <c r="AE1520"/>
  <c r="AE1521"/>
  <c r="AE1522"/>
  <c r="AE1523"/>
  <c r="R1524"/>
  <c r="AE1524"/>
  <c r="AE1525"/>
  <c r="AE1526"/>
  <c r="AE1527"/>
  <c r="AE1528"/>
  <c r="AE1529"/>
  <c r="AE1530"/>
  <c r="AE1531"/>
  <c r="AE1532"/>
  <c r="AE1533"/>
  <c r="AE1534"/>
  <c r="I1535"/>
  <c r="K1535"/>
  <c r="AE1535"/>
  <c r="AE1536"/>
  <c r="I1537"/>
  <c r="K1537"/>
  <c r="AE1537"/>
  <c r="AE1538"/>
  <c r="AE1539"/>
  <c r="AE1540"/>
  <c r="AE1541"/>
  <c r="AE1542"/>
  <c r="AE1543"/>
  <c r="AE1544"/>
  <c r="AE1545"/>
  <c r="AE1546"/>
  <c r="AE1547"/>
  <c r="AE1548"/>
  <c r="AE1549"/>
  <c r="I1550"/>
  <c r="I3199" s="1"/>
  <c r="P1550"/>
  <c r="R1550" s="1"/>
  <c r="AE1550"/>
  <c r="AE1551"/>
  <c r="P1552"/>
  <c r="R1552" s="1"/>
  <c r="AE1552"/>
  <c r="AE1553"/>
  <c r="AE1554"/>
  <c r="AE1555"/>
  <c r="AE1556"/>
  <c r="AE1557"/>
  <c r="AE1558"/>
  <c r="AE1559"/>
  <c r="AE1560"/>
  <c r="AE1561"/>
  <c r="I1562"/>
  <c r="K1562" s="1"/>
  <c r="AE1562"/>
  <c r="AE1563"/>
  <c r="AE1564"/>
  <c r="K1565"/>
  <c r="AE1565"/>
  <c r="I1566"/>
  <c r="K1566" s="1"/>
  <c r="AE1566"/>
  <c r="AE1567"/>
  <c r="AE1568"/>
  <c r="AE1569"/>
  <c r="AE1570"/>
  <c r="AE1571"/>
  <c r="AE1572"/>
  <c r="AE1573"/>
  <c r="AE1574"/>
  <c r="AE1575"/>
  <c r="AE1576"/>
  <c r="I1577"/>
  <c r="K1577" s="1"/>
  <c r="AE1577"/>
  <c r="AE1578"/>
  <c r="AE1579"/>
  <c r="AE1580"/>
  <c r="K1581"/>
  <c r="AE1581"/>
  <c r="AE1582"/>
  <c r="AE1583"/>
  <c r="AE1584"/>
  <c r="AE1585"/>
  <c r="AE1586"/>
  <c r="AE1587"/>
  <c r="AE1588"/>
  <c r="AE1589"/>
  <c r="I1590"/>
  <c r="K1590" s="1"/>
  <c r="AE1590"/>
  <c r="AE1591"/>
  <c r="AE1592"/>
  <c r="AE1593"/>
  <c r="K1594"/>
  <c r="AE1594"/>
  <c r="AE1595"/>
  <c r="AE1596"/>
  <c r="AE1597"/>
  <c r="AE1598"/>
  <c r="AE1599"/>
  <c r="AE1600"/>
  <c r="AE1601"/>
  <c r="AE1602"/>
  <c r="AE1603"/>
  <c r="AE1604"/>
  <c r="AE1605"/>
  <c r="P1606"/>
  <c r="AE1606"/>
  <c r="AE1607"/>
  <c r="AE1608"/>
  <c r="AE1609"/>
  <c r="AE1610"/>
  <c r="AE1611"/>
  <c r="AE1612"/>
  <c r="AE1613"/>
  <c r="AE1614"/>
  <c r="AE1615"/>
  <c r="AE1616"/>
  <c r="I1617"/>
  <c r="K1617" s="1"/>
  <c r="AE1617"/>
  <c r="O1618"/>
  <c r="AE1618"/>
  <c r="AE1619"/>
  <c r="AE1620"/>
  <c r="AE1621"/>
  <c r="AE1622"/>
  <c r="AE1623"/>
  <c r="AE1624"/>
  <c r="AE1625"/>
  <c r="AE1626"/>
  <c r="AE1627"/>
  <c r="AE1628"/>
  <c r="I1629"/>
  <c r="K1629"/>
  <c r="AE1629"/>
  <c r="I1630"/>
  <c r="K1630" s="1"/>
  <c r="AE1630"/>
  <c r="I1631"/>
  <c r="P1631"/>
  <c r="R1631"/>
  <c r="Q1631"/>
  <c r="AE1631"/>
  <c r="I1632"/>
  <c r="K1632"/>
  <c r="Q1632"/>
  <c r="R1632"/>
  <c r="AE1632"/>
  <c r="I1633"/>
  <c r="P1635"/>
  <c r="R1635" s="1"/>
  <c r="Q1633"/>
  <c r="AE1633"/>
  <c r="Q1634"/>
  <c r="R1634"/>
  <c r="AE1634"/>
  <c r="Q1635"/>
  <c r="AE1635"/>
  <c r="AE1636"/>
  <c r="P1637"/>
  <c r="AE1637"/>
  <c r="R1638"/>
  <c r="AE1638"/>
  <c r="AE1639"/>
  <c r="AE1640"/>
  <c r="AE1641"/>
  <c r="AE1642"/>
  <c r="S1643"/>
  <c r="AE1643"/>
  <c r="AE1644"/>
  <c r="AE1645"/>
  <c r="AE1646"/>
  <c r="AE1647"/>
  <c r="AE1648"/>
  <c r="AE1649"/>
  <c r="AE1650"/>
  <c r="AE1651"/>
  <c r="AE1652"/>
  <c r="AE1653"/>
  <c r="AE1654"/>
  <c r="AE1655"/>
  <c r="AE1656"/>
  <c r="AE1657"/>
  <c r="AE1658"/>
  <c r="AE1659"/>
  <c r="AE1660"/>
  <c r="AE1661"/>
  <c r="AE1662"/>
  <c r="AE1663"/>
  <c r="AE1664"/>
  <c r="AE1665"/>
  <c r="AE1666"/>
  <c r="AE1667"/>
  <c r="AE1668"/>
  <c r="K1669"/>
  <c r="K1673"/>
  <c r="AE1669"/>
  <c r="K1670"/>
  <c r="AE1670"/>
  <c r="AE1671"/>
  <c r="AE1672"/>
  <c r="AE1673"/>
  <c r="AE1674"/>
  <c r="AE1675"/>
  <c r="AE1676"/>
  <c r="AE1677"/>
  <c r="AE1678"/>
  <c r="AE1679"/>
  <c r="AE1680"/>
  <c r="K1681"/>
  <c r="K1685"/>
  <c r="AE1681"/>
  <c r="AE1682"/>
  <c r="K1683"/>
  <c r="AE1683"/>
  <c r="AE1684"/>
  <c r="AE1685"/>
  <c r="AE1686"/>
  <c r="AE1687"/>
  <c r="AE1688"/>
  <c r="AE1689"/>
  <c r="K1690"/>
  <c r="AE1690"/>
  <c r="AE1691"/>
  <c r="AE1692"/>
  <c r="K1693"/>
  <c r="AE1693"/>
  <c r="AE1694"/>
  <c r="AE1695"/>
  <c r="AE1696"/>
  <c r="K1697"/>
  <c r="K1698"/>
  <c r="K1700" s="1"/>
  <c r="AE1697"/>
  <c r="AE1698"/>
  <c r="K1724"/>
  <c r="K1725"/>
  <c r="K1726"/>
  <c r="K1754"/>
  <c r="K1757"/>
  <c r="K1758"/>
  <c r="K1759"/>
  <c r="K1771"/>
  <c r="I1772"/>
  <c r="K1772" s="1"/>
  <c r="I1773"/>
  <c r="K1773"/>
  <c r="I1788"/>
  <c r="K1788" s="1"/>
  <c r="K1789"/>
  <c r="K1796"/>
  <c r="K1799"/>
  <c r="K1800"/>
  <c r="C241" i="55" s="1"/>
  <c r="F241" s="1"/>
  <c r="I1807" i="1"/>
  <c r="K1807"/>
  <c r="I1809"/>
  <c r="I1810"/>
  <c r="K1815"/>
  <c r="I1825"/>
  <c r="K1825" s="1"/>
  <c r="I1827"/>
  <c r="K1827"/>
  <c r="I1828"/>
  <c r="K1828" s="1"/>
  <c r="K1833"/>
  <c r="I1843"/>
  <c r="K1843"/>
  <c r="I1845"/>
  <c r="K1845" s="1"/>
  <c r="I1846"/>
  <c r="K1846"/>
  <c r="K1851"/>
  <c r="P1860"/>
  <c r="P1891"/>
  <c r="R1861"/>
  <c r="R1862"/>
  <c r="P1867"/>
  <c r="P1868"/>
  <c r="P1899"/>
  <c r="P1869"/>
  <c r="I1873"/>
  <c r="K1873"/>
  <c r="R1880"/>
  <c r="I1881"/>
  <c r="K1881" s="1"/>
  <c r="P1881"/>
  <c r="R1881"/>
  <c r="I1882"/>
  <c r="K1882" s="1"/>
  <c r="K1889"/>
  <c r="I1890"/>
  <c r="K1890" s="1"/>
  <c r="R1890"/>
  <c r="R1892"/>
  <c r="R1893"/>
  <c r="I1898"/>
  <c r="P1898"/>
  <c r="P1900"/>
  <c r="I1910"/>
  <c r="K1910" s="1"/>
  <c r="I1911"/>
  <c r="K1911"/>
  <c r="R1911"/>
  <c r="I1912"/>
  <c r="K1912" s="1"/>
  <c r="P1912"/>
  <c r="R1912"/>
  <c r="I1925"/>
  <c r="K1925" s="1"/>
  <c r="K1928"/>
  <c r="K1939"/>
  <c r="K1942"/>
  <c r="K1944"/>
  <c r="N1946"/>
  <c r="I1971"/>
  <c r="K1971" s="1"/>
  <c r="I1972"/>
  <c r="P1972" s="1"/>
  <c r="R1972" s="1"/>
  <c r="P1978"/>
  <c r="I1989"/>
  <c r="K1989" s="1"/>
  <c r="P1991"/>
  <c r="P1993"/>
  <c r="P1999"/>
  <c r="I2008"/>
  <c r="P2009" s="1"/>
  <c r="R2009" s="1"/>
  <c r="P2017"/>
  <c r="I2027"/>
  <c r="P2027" s="1"/>
  <c r="R2027" s="1"/>
  <c r="K2027"/>
  <c r="P2035"/>
  <c r="I2052"/>
  <c r="K2052"/>
  <c r="K2053"/>
  <c r="I2054"/>
  <c r="K2054" s="1"/>
  <c r="I2055"/>
  <c r="K2055"/>
  <c r="I2076"/>
  <c r="K2076" s="1"/>
  <c r="I2077"/>
  <c r="K2077"/>
  <c r="I2078"/>
  <c r="K2078" s="1"/>
  <c r="I2079"/>
  <c r="K2079"/>
  <c r="I2096"/>
  <c r="K2096" s="1"/>
  <c r="K2101" s="1"/>
  <c r="I2097"/>
  <c r="K2097"/>
  <c r="K2098"/>
  <c r="K2099"/>
  <c r="I2107"/>
  <c r="K2107" s="1"/>
  <c r="I2119"/>
  <c r="K2119"/>
  <c r="K2122"/>
  <c r="C104" i="55" s="1"/>
  <c r="F104" s="1"/>
  <c r="I2127" i="1"/>
  <c r="K2127"/>
  <c r="I2132"/>
  <c r="K2132" s="1"/>
  <c r="I2134"/>
  <c r="K2134" s="1"/>
  <c r="I2147"/>
  <c r="K2147"/>
  <c r="I2152"/>
  <c r="K2152" s="1"/>
  <c r="I2154"/>
  <c r="K2154" s="1"/>
  <c r="R2154"/>
  <c r="P2159"/>
  <c r="R2159" s="1"/>
  <c r="I2166"/>
  <c r="K2166"/>
  <c r="I2167"/>
  <c r="K2167" s="1"/>
  <c r="H2177"/>
  <c r="I2179"/>
  <c r="K2179"/>
  <c r="I2180"/>
  <c r="K2180" s="1"/>
  <c r="I2192"/>
  <c r="K2192"/>
  <c r="K2196" s="1"/>
  <c r="J2200"/>
  <c r="K2200"/>
  <c r="K2203"/>
  <c r="I2205"/>
  <c r="K2205" s="1"/>
  <c r="K2209" s="1"/>
  <c r="I2215"/>
  <c r="K2215" s="1"/>
  <c r="K2219" s="1"/>
  <c r="I2224"/>
  <c r="K2224" s="1"/>
  <c r="K2228" s="1"/>
  <c r="I2247"/>
  <c r="K2247" s="1"/>
  <c r="I2248"/>
  <c r="K2248"/>
  <c r="I2249"/>
  <c r="K2249" s="1"/>
  <c r="I2250"/>
  <c r="K2250"/>
  <c r="K2251"/>
  <c r="M2258"/>
  <c r="L2262"/>
  <c r="L2263"/>
  <c r="L2273"/>
  <c r="K2298"/>
  <c r="I2300"/>
  <c r="P2300"/>
  <c r="R2300"/>
  <c r="K2300"/>
  <c r="H2302"/>
  <c r="O2302"/>
  <c r="I2302"/>
  <c r="L2310"/>
  <c r="L2311" s="1"/>
  <c r="I2312"/>
  <c r="K2312"/>
  <c r="I2313"/>
  <c r="K2313" s="1"/>
  <c r="I2314"/>
  <c r="K2314" s="1"/>
  <c r="I2315"/>
  <c r="K2315" s="1"/>
  <c r="E2316"/>
  <c r="I2316"/>
  <c r="K2316"/>
  <c r="K2330"/>
  <c r="I2331"/>
  <c r="K2331" s="1"/>
  <c r="R2337"/>
  <c r="P2338"/>
  <c r="R2338"/>
  <c r="R2348"/>
  <c r="D2350"/>
  <c r="K2367"/>
  <c r="K2368"/>
  <c r="K2369"/>
  <c r="P2374"/>
  <c r="R2374"/>
  <c r="P2375"/>
  <c r="R2375" s="1"/>
  <c r="K2390"/>
  <c r="K2391"/>
  <c r="R2394"/>
  <c r="E2395"/>
  <c r="E2396" s="1"/>
  <c r="R2395"/>
  <c r="R2396"/>
  <c r="R2397"/>
  <c r="R2398"/>
  <c r="R2399"/>
  <c r="K2400"/>
  <c r="R2400"/>
  <c r="R2401"/>
  <c r="R2402"/>
  <c r="R2403"/>
  <c r="R2404"/>
  <c r="R2405"/>
  <c r="R2406"/>
  <c r="R2407"/>
  <c r="R2408"/>
  <c r="R2409"/>
  <c r="R2410"/>
  <c r="I2411"/>
  <c r="K2411" s="1"/>
  <c r="R2411"/>
  <c r="P2412"/>
  <c r="R2412" s="1"/>
  <c r="K2425"/>
  <c r="I2429"/>
  <c r="K2429" s="1"/>
  <c r="R2432"/>
  <c r="P2436"/>
  <c r="R2440"/>
  <c r="I2445"/>
  <c r="K2445"/>
  <c r="I2465"/>
  <c r="I2469"/>
  <c r="I2488"/>
  <c r="I2470"/>
  <c r="I2489" s="1"/>
  <c r="K2489" s="1"/>
  <c r="I2471"/>
  <c r="I2472"/>
  <c r="K2472"/>
  <c r="H2475"/>
  <c r="I2482"/>
  <c r="I2484" s="1"/>
  <c r="F2488" s="1"/>
  <c r="H2490"/>
  <c r="I2506"/>
  <c r="P2507"/>
  <c r="P2513" s="1"/>
  <c r="M2517" s="1"/>
  <c r="P2508"/>
  <c r="P2509"/>
  <c r="P2510"/>
  <c r="I2512"/>
  <c r="K2512"/>
  <c r="K2513"/>
  <c r="R2513"/>
  <c r="K2517"/>
  <c r="P2520"/>
  <c r="R2520"/>
  <c r="N2525"/>
  <c r="I2537"/>
  <c r="K2543"/>
  <c r="K2546"/>
  <c r="I2572"/>
  <c r="P2572"/>
  <c r="H2577"/>
  <c r="K2578"/>
  <c r="P2579"/>
  <c r="R2579" s="1"/>
  <c r="O2583"/>
  <c r="V2592"/>
  <c r="S2607" s="1"/>
  <c r="V2594"/>
  <c r="V2595"/>
  <c r="V2599"/>
  <c r="V2600"/>
  <c r="V2601" s="1"/>
  <c r="S2606" s="1"/>
  <c r="X2606" s="1"/>
  <c r="S2604"/>
  <c r="Z2604"/>
  <c r="V2606"/>
  <c r="AE2606"/>
  <c r="AB2621"/>
  <c r="I2607"/>
  <c r="V2608"/>
  <c r="AE2608"/>
  <c r="AE2610" s="1"/>
  <c r="AB2619" s="1"/>
  <c r="V2609"/>
  <c r="AE2609"/>
  <c r="V2610"/>
  <c r="Z2610"/>
  <c r="V2611"/>
  <c r="I2612"/>
  <c r="H3857" s="1"/>
  <c r="X2612"/>
  <c r="K2613"/>
  <c r="V2613"/>
  <c r="AE2613"/>
  <c r="AE2614"/>
  <c r="AE2615" s="1"/>
  <c r="AB2620" s="1"/>
  <c r="AB2618"/>
  <c r="AE2626"/>
  <c r="AG2626" s="1"/>
  <c r="I2628"/>
  <c r="I2632"/>
  <c r="I2633" s="1"/>
  <c r="K2632"/>
  <c r="P2635"/>
  <c r="M2644"/>
  <c r="K2638"/>
  <c r="K2640"/>
  <c r="P2640"/>
  <c r="M2645"/>
  <c r="R2645" s="1"/>
  <c r="AE2640"/>
  <c r="K2641"/>
  <c r="K2642"/>
  <c r="AE2642"/>
  <c r="AE2644" s="1"/>
  <c r="AB2653" s="1"/>
  <c r="K2643"/>
  <c r="M2643"/>
  <c r="AE2643"/>
  <c r="K2644"/>
  <c r="K2645"/>
  <c r="P2645"/>
  <c r="P2647"/>
  <c r="R2647"/>
  <c r="AE2647"/>
  <c r="AE2649" s="1"/>
  <c r="AB2654" s="1"/>
  <c r="P2648"/>
  <c r="AE2648"/>
  <c r="P2649"/>
  <c r="P2650"/>
  <c r="R2650"/>
  <c r="P2651"/>
  <c r="R2651" s="1"/>
  <c r="P2652"/>
  <c r="R2652"/>
  <c r="AB2652"/>
  <c r="AE2654"/>
  <c r="AB2655"/>
  <c r="AG2656"/>
  <c r="AG2657"/>
  <c r="AG2658"/>
  <c r="AG2659"/>
  <c r="AG2660"/>
  <c r="AE2662"/>
  <c r="AG2662" s="1"/>
  <c r="I2667"/>
  <c r="K2668"/>
  <c r="I2670"/>
  <c r="K2670" s="1"/>
  <c r="I2671"/>
  <c r="K2671"/>
  <c r="I2672"/>
  <c r="K2672" s="1"/>
  <c r="I2673"/>
  <c r="K2673" s="1"/>
  <c r="P2680"/>
  <c r="I2683"/>
  <c r="K2683"/>
  <c r="I2687"/>
  <c r="K2687" s="1"/>
  <c r="K2688"/>
  <c r="L2691"/>
  <c r="I2700"/>
  <c r="K2700" s="1"/>
  <c r="I2714"/>
  <c r="K2714"/>
  <c r="I2720"/>
  <c r="K2720" s="1"/>
  <c r="I2736"/>
  <c r="K2736"/>
  <c r="E2758"/>
  <c r="E2759" s="1"/>
  <c r="E2763" s="1"/>
  <c r="E2760"/>
  <c r="E2762"/>
  <c r="I2766"/>
  <c r="K2766" s="1"/>
  <c r="I2767"/>
  <c r="K2767"/>
  <c r="K2776"/>
  <c r="K2777"/>
  <c r="Y2780"/>
  <c r="L2781"/>
  <c r="F2818" s="1"/>
  <c r="S2784"/>
  <c r="V2787"/>
  <c r="X2787"/>
  <c r="S2788"/>
  <c r="S2789"/>
  <c r="V2789"/>
  <c r="X2789"/>
  <c r="S2790"/>
  <c r="V2790"/>
  <c r="X2790"/>
  <c r="S2791"/>
  <c r="V2791"/>
  <c r="S2792"/>
  <c r="V2792"/>
  <c r="X2792" s="1"/>
  <c r="S2793"/>
  <c r="AE2793"/>
  <c r="AG2793"/>
  <c r="S2794"/>
  <c r="AE2794"/>
  <c r="AG2794" s="1"/>
  <c r="K2795"/>
  <c r="S2795"/>
  <c r="AE2795"/>
  <c r="AG2795" s="1"/>
  <c r="AE2796"/>
  <c r="AG2796"/>
  <c r="F2817"/>
  <c r="S2785" s="1"/>
  <c r="K2821"/>
  <c r="K2822"/>
  <c r="K2823"/>
  <c r="K2824"/>
  <c r="M2824"/>
  <c r="V2793"/>
  <c r="X2793" s="1"/>
  <c r="M2825"/>
  <c r="P2828"/>
  <c r="P2861" s="1"/>
  <c r="R2861" s="1"/>
  <c r="R2828"/>
  <c r="P2829"/>
  <c r="R2829" s="1"/>
  <c r="P2830"/>
  <c r="R2830"/>
  <c r="P2831"/>
  <c r="R2831" s="1"/>
  <c r="J2834"/>
  <c r="K2837"/>
  <c r="K2838"/>
  <c r="I2839"/>
  <c r="I2841"/>
  <c r="I2977"/>
  <c r="I2842"/>
  <c r="I2844"/>
  <c r="P2833"/>
  <c r="R2833" s="1"/>
  <c r="I2857"/>
  <c r="M2857"/>
  <c r="M2858"/>
  <c r="P2862"/>
  <c r="R2862" s="1"/>
  <c r="I2868"/>
  <c r="K2868" s="1"/>
  <c r="K2869"/>
  <c r="K2870"/>
  <c r="I2871"/>
  <c r="K2871" s="1"/>
  <c r="I2872"/>
  <c r="K2872"/>
  <c r="I2873"/>
  <c r="K2873" s="1"/>
  <c r="I2874"/>
  <c r="K2874"/>
  <c r="K2886"/>
  <c r="I2887"/>
  <c r="K2887" s="1"/>
  <c r="P2926"/>
  <c r="P2927"/>
  <c r="P2928"/>
  <c r="I2966"/>
  <c r="I2967"/>
  <c r="I2970"/>
  <c r="I2973"/>
  <c r="K2973" s="1"/>
  <c r="P2981"/>
  <c r="R2981" s="1"/>
  <c r="K2998"/>
  <c r="I3008"/>
  <c r="K3008" s="1"/>
  <c r="K3012"/>
  <c r="K3015"/>
  <c r="K3017"/>
  <c r="K3020"/>
  <c r="K3044"/>
  <c r="I3058"/>
  <c r="P3065" s="1"/>
  <c r="R3065" s="1"/>
  <c r="F3059"/>
  <c r="K3059"/>
  <c r="F3078"/>
  <c r="K3085"/>
  <c r="V3104"/>
  <c r="V3105"/>
  <c r="I3106"/>
  <c r="P2080" s="1"/>
  <c r="K3106"/>
  <c r="V3107"/>
  <c r="K3108"/>
  <c r="AF3108"/>
  <c r="I3109"/>
  <c r="V3110"/>
  <c r="V3112" s="1"/>
  <c r="AH3110"/>
  <c r="AQ3110"/>
  <c r="AS3110"/>
  <c r="I3111"/>
  <c r="P2085" s="1"/>
  <c r="V3111"/>
  <c r="AQ3111"/>
  <c r="AS3111" s="1"/>
  <c r="AU3111"/>
  <c r="I3113"/>
  <c r="V3125" s="1"/>
  <c r="X3125" s="1"/>
  <c r="K3113"/>
  <c r="V3118"/>
  <c r="X3118" s="1"/>
  <c r="V3119"/>
  <c r="V3136" s="1"/>
  <c r="X3120"/>
  <c r="V3121"/>
  <c r="I4071" s="1"/>
  <c r="K4071" s="1"/>
  <c r="K3122"/>
  <c r="R3122"/>
  <c r="X3122"/>
  <c r="K3123"/>
  <c r="R3123"/>
  <c r="V3135"/>
  <c r="X3135"/>
  <c r="V3137"/>
  <c r="X3137" s="1"/>
  <c r="V3139"/>
  <c r="V3164" s="1"/>
  <c r="D551" i="25" s="1"/>
  <c r="X3139" i="1"/>
  <c r="P3143"/>
  <c r="P3144"/>
  <c r="M3156"/>
  <c r="P3146"/>
  <c r="M3157" s="1"/>
  <c r="P3149"/>
  <c r="P3151" s="1"/>
  <c r="M3158" s="1"/>
  <c r="P3150"/>
  <c r="F3151"/>
  <c r="I3151"/>
  <c r="U3151"/>
  <c r="U3152"/>
  <c r="I3153"/>
  <c r="K3153"/>
  <c r="U3153"/>
  <c r="I3154"/>
  <c r="K3154"/>
  <c r="U3154"/>
  <c r="I3155"/>
  <c r="K3155" s="1"/>
  <c r="U3155"/>
  <c r="I3156"/>
  <c r="U3156"/>
  <c r="I3157"/>
  <c r="K3157" s="1"/>
  <c r="I3158"/>
  <c r="K3158"/>
  <c r="K3159"/>
  <c r="M3159"/>
  <c r="P3161"/>
  <c r="R3161" s="1"/>
  <c r="I3171"/>
  <c r="K3171" s="1"/>
  <c r="R3193"/>
  <c r="R3194"/>
  <c r="P3196"/>
  <c r="R3196" s="1"/>
  <c r="L3197"/>
  <c r="P3197"/>
  <c r="R3197" s="1"/>
  <c r="R3198"/>
  <c r="R3199"/>
  <c r="R3200"/>
  <c r="R3201"/>
  <c r="S3201"/>
  <c r="T3201"/>
  <c r="P3202"/>
  <c r="P3237" s="1"/>
  <c r="I3213"/>
  <c r="K3213"/>
  <c r="L3179"/>
  <c r="L3213"/>
  <c r="P3226"/>
  <c r="R3226"/>
  <c r="R3227"/>
  <c r="I3228"/>
  <c r="K3228" s="1"/>
  <c r="L3194" s="1"/>
  <c r="R3228"/>
  <c r="R3229"/>
  <c r="P3231"/>
  <c r="R3231"/>
  <c r="P3232"/>
  <c r="P3233"/>
  <c r="R3233"/>
  <c r="P3234"/>
  <c r="P3235"/>
  <c r="P3336"/>
  <c r="R3336"/>
  <c r="R3235"/>
  <c r="P3236"/>
  <c r="R3236"/>
  <c r="L3239"/>
  <c r="V3252"/>
  <c r="X3252" s="1"/>
  <c r="V3255"/>
  <c r="X3255"/>
  <c r="V3256"/>
  <c r="X3256" s="1"/>
  <c r="V3257"/>
  <c r="X3257"/>
  <c r="V3258"/>
  <c r="X3258" s="1"/>
  <c r="V3259"/>
  <c r="X3259"/>
  <c r="V3260"/>
  <c r="X3260" s="1"/>
  <c r="R3263"/>
  <c r="K3265"/>
  <c r="P3267"/>
  <c r="R3267"/>
  <c r="P3268"/>
  <c r="R3268" s="1"/>
  <c r="I3269"/>
  <c r="K3269"/>
  <c r="L3235" s="1"/>
  <c r="P3269"/>
  <c r="I3329"/>
  <c r="P3270"/>
  <c r="K3284"/>
  <c r="K3287"/>
  <c r="K3288"/>
  <c r="K3289"/>
  <c r="K3290"/>
  <c r="K3291"/>
  <c r="K3292"/>
  <c r="I3293"/>
  <c r="K3293" s="1"/>
  <c r="P3296"/>
  <c r="R3296"/>
  <c r="P3302"/>
  <c r="R3302" s="1"/>
  <c r="P3303"/>
  <c r="R3303"/>
  <c r="I3304"/>
  <c r="K3304" s="1"/>
  <c r="I3305"/>
  <c r="K3305"/>
  <c r="I3306"/>
  <c r="K3306" s="1"/>
  <c r="I3307"/>
  <c r="K3307"/>
  <c r="I3310"/>
  <c r="K3310" s="1"/>
  <c r="I3312"/>
  <c r="I3313"/>
  <c r="K3323"/>
  <c r="P3328"/>
  <c r="R3328"/>
  <c r="P3329"/>
  <c r="R3329" s="1"/>
  <c r="P3330"/>
  <c r="R3330" s="1"/>
  <c r="I3331"/>
  <c r="I3433"/>
  <c r="P3337"/>
  <c r="R3337" s="1"/>
  <c r="K3343"/>
  <c r="I3344"/>
  <c r="K3344" s="1"/>
  <c r="I3369"/>
  <c r="K3369"/>
  <c r="I3392"/>
  <c r="P3406"/>
  <c r="I3533"/>
  <c r="I3411"/>
  <c r="F3426" s="1"/>
  <c r="I3412"/>
  <c r="F3423" s="1"/>
  <c r="I3413"/>
  <c r="I3415" s="1"/>
  <c r="F3424" s="1"/>
  <c r="I3414"/>
  <c r="I3418"/>
  <c r="I3419"/>
  <c r="I3425"/>
  <c r="K3427"/>
  <c r="K3428"/>
  <c r="K3429"/>
  <c r="K3430"/>
  <c r="K3431"/>
  <c r="R3441"/>
  <c r="P3442"/>
  <c r="R3442" s="1"/>
  <c r="P3443"/>
  <c r="R3443"/>
  <c r="P3447"/>
  <c r="R3447"/>
  <c r="P3450"/>
  <c r="R3450"/>
  <c r="K3457"/>
  <c r="P3463"/>
  <c r="R3463"/>
  <c r="I3465"/>
  <c r="K3465" s="1"/>
  <c r="P3465"/>
  <c r="R3465"/>
  <c r="I3469"/>
  <c r="J3480"/>
  <c r="J3481"/>
  <c r="J3482"/>
  <c r="K3484"/>
  <c r="I3487"/>
  <c r="K3487" s="1"/>
  <c r="I3488"/>
  <c r="K3488"/>
  <c r="I3489"/>
  <c r="K3489" s="1"/>
  <c r="I3490"/>
  <c r="K3490"/>
  <c r="I3491"/>
  <c r="K3491" s="1"/>
  <c r="I3492"/>
  <c r="K3492"/>
  <c r="M3510"/>
  <c r="K3511"/>
  <c r="P3519"/>
  <c r="R3519"/>
  <c r="I3524"/>
  <c r="F3525" s="1"/>
  <c r="K3525" s="1"/>
  <c r="F3526"/>
  <c r="P3528"/>
  <c r="M3529"/>
  <c r="M3530" s="1"/>
  <c r="I3529"/>
  <c r="K3529"/>
  <c r="P3529"/>
  <c r="R3529" s="1"/>
  <c r="I3530"/>
  <c r="K3530"/>
  <c r="I3532"/>
  <c r="P3536" s="1"/>
  <c r="P3533"/>
  <c r="R3533"/>
  <c r="I3540"/>
  <c r="F3542" s="1"/>
  <c r="K3542" s="1"/>
  <c r="V3540"/>
  <c r="S3542" s="1"/>
  <c r="AE3540"/>
  <c r="AB3541" s="1"/>
  <c r="F3541"/>
  <c r="K3541" s="1"/>
  <c r="S3541"/>
  <c r="AE3541"/>
  <c r="AG3541"/>
  <c r="AB3542"/>
  <c r="P3544"/>
  <c r="I3545"/>
  <c r="V3545"/>
  <c r="K3545"/>
  <c r="P3545"/>
  <c r="AE3545"/>
  <c r="AE3561"/>
  <c r="I3546"/>
  <c r="K3546" s="1"/>
  <c r="V3546"/>
  <c r="X3546" s="1"/>
  <c r="AE3546"/>
  <c r="AG3546"/>
  <c r="P3549"/>
  <c r="R3549" s="1"/>
  <c r="V3556"/>
  <c r="S3558" s="1"/>
  <c r="S3557"/>
  <c r="AE3556"/>
  <c r="AB3558" s="1"/>
  <c r="AB3557"/>
  <c r="AE3557"/>
  <c r="K3560"/>
  <c r="I3563"/>
  <c r="K3565"/>
  <c r="V3572"/>
  <c r="S3573" s="1"/>
  <c r="S3574"/>
  <c r="I3576"/>
  <c r="K3576" s="1"/>
  <c r="K3578" s="1"/>
  <c r="K3579" s="1"/>
  <c r="I3580" s="1"/>
  <c r="K3580" s="1"/>
  <c r="I3577"/>
  <c r="K3577"/>
  <c r="I3586"/>
  <c r="K3586" s="1"/>
  <c r="I3587"/>
  <c r="K3587"/>
  <c r="K3588"/>
  <c r="K3589" s="1"/>
  <c r="V3587"/>
  <c r="S3588"/>
  <c r="S3589"/>
  <c r="X3597"/>
  <c r="V3604"/>
  <c r="S3605"/>
  <c r="S3606"/>
  <c r="I3605"/>
  <c r="K3605" s="1"/>
  <c r="K3606"/>
  <c r="K3607"/>
  <c r="K3608"/>
  <c r="K3609"/>
  <c r="K3610"/>
  <c r="X3614"/>
  <c r="W3619"/>
  <c r="S3620" s="1"/>
  <c r="S3621" s="1"/>
  <c r="J3620"/>
  <c r="H3627"/>
  <c r="I3627"/>
  <c r="K3627"/>
  <c r="K3629"/>
  <c r="I3630"/>
  <c r="K3630"/>
  <c r="I3631"/>
  <c r="K3631" s="1"/>
  <c r="V3637"/>
  <c r="X3637"/>
  <c r="V3638"/>
  <c r="X3638" s="1"/>
  <c r="V3639"/>
  <c r="X3639"/>
  <c r="X3640"/>
  <c r="X3641"/>
  <c r="X3642"/>
  <c r="X3643"/>
  <c r="X3644"/>
  <c r="X3645"/>
  <c r="X3646"/>
  <c r="X3647"/>
  <c r="X3648"/>
  <c r="X3650" s="1"/>
  <c r="X3658"/>
  <c r="X3659"/>
  <c r="X3661"/>
  <c r="X3663"/>
  <c r="X3664"/>
  <c r="K3665"/>
  <c r="X3665"/>
  <c r="X3666"/>
  <c r="K3667"/>
  <c r="X3667"/>
  <c r="K3673"/>
  <c r="V3673"/>
  <c r="X3673" s="1"/>
  <c r="K3674"/>
  <c r="V3674"/>
  <c r="X3674" s="1"/>
  <c r="V3675"/>
  <c r="X3675" s="1"/>
  <c r="F3684"/>
  <c r="H3684"/>
  <c r="H3685"/>
  <c r="F3686"/>
  <c r="K3686" s="1"/>
  <c r="V3687"/>
  <c r="X3687"/>
  <c r="F3688"/>
  <c r="K3688" s="1"/>
  <c r="H3688"/>
  <c r="H3689"/>
  <c r="V3689"/>
  <c r="X3689" s="1"/>
  <c r="H3690"/>
  <c r="H3691"/>
  <c r="V3691"/>
  <c r="X3691" s="1"/>
  <c r="H3692"/>
  <c r="V3693"/>
  <c r="X3693"/>
  <c r="F3694"/>
  <c r="H3694"/>
  <c r="I3694"/>
  <c r="V3694"/>
  <c r="X3694" s="1"/>
  <c r="F3695"/>
  <c r="K3695"/>
  <c r="H3695"/>
  <c r="I3695"/>
  <c r="V3695"/>
  <c r="X3695"/>
  <c r="H3696"/>
  <c r="V3696"/>
  <c r="X3696"/>
  <c r="V3697"/>
  <c r="X3697" s="1"/>
  <c r="K3706"/>
  <c r="X3706"/>
  <c r="I3707"/>
  <c r="K3707" s="1"/>
  <c r="X3707"/>
  <c r="X3708"/>
  <c r="X3709"/>
  <c r="N3712"/>
  <c r="J3716"/>
  <c r="K3716"/>
  <c r="J3717"/>
  <c r="K3717"/>
  <c r="J3718"/>
  <c r="K3718"/>
  <c r="J3719"/>
  <c r="V3719"/>
  <c r="J3720"/>
  <c r="V3720"/>
  <c r="X3720"/>
  <c r="V3721"/>
  <c r="X3721" s="1"/>
  <c r="V3722"/>
  <c r="X3722"/>
  <c r="V3723"/>
  <c r="X3723" s="1"/>
  <c r="I3725"/>
  <c r="K3725" s="1"/>
  <c r="K3737"/>
  <c r="I3738"/>
  <c r="I3762" s="1"/>
  <c r="K3762" s="1"/>
  <c r="K3753"/>
  <c r="I3764"/>
  <c r="K3764" s="1"/>
  <c r="K3765" s="1"/>
  <c r="K3766"/>
  <c r="K3767" s="1"/>
  <c r="K3768"/>
  <c r="K3769"/>
  <c r="I3770"/>
  <c r="K3770" s="1"/>
  <c r="K3784"/>
  <c r="K3785"/>
  <c r="K3786"/>
  <c r="K3787"/>
  <c r="K3788"/>
  <c r="K3789"/>
  <c r="K3790"/>
  <c r="K3791"/>
  <c r="K3792"/>
  <c r="I3797"/>
  <c r="K3797"/>
  <c r="I3799"/>
  <c r="K3799" s="1"/>
  <c r="K3808"/>
  <c r="K3824"/>
  <c r="I3832"/>
  <c r="K3832" s="1"/>
  <c r="I3843"/>
  <c r="H3845"/>
  <c r="H3846"/>
  <c r="H3847"/>
  <c r="H3848"/>
  <c r="H3858"/>
  <c r="I3864"/>
  <c r="H3866"/>
  <c r="H3872" s="1"/>
  <c r="E3876" s="1"/>
  <c r="H3867"/>
  <c r="H3868"/>
  <c r="H3869"/>
  <c r="H3888"/>
  <c r="G3899"/>
  <c r="G3902" s="1"/>
  <c r="G3903" s="1"/>
  <c r="E3900"/>
  <c r="G3900" s="1"/>
  <c r="K3925"/>
  <c r="K3926"/>
  <c r="K3927"/>
  <c r="K3928"/>
  <c r="K3931"/>
  <c r="I3943"/>
  <c r="K3943" s="1"/>
  <c r="I3944"/>
  <c r="I3960" s="1"/>
  <c r="K3944"/>
  <c r="I3945"/>
  <c r="K3945" s="1"/>
  <c r="I3946"/>
  <c r="I3962" s="1"/>
  <c r="K3946"/>
  <c r="K3949"/>
  <c r="K3951"/>
  <c r="I3959"/>
  <c r="K3959"/>
  <c r="H3961"/>
  <c r="I3961"/>
  <c r="K3961" s="1"/>
  <c r="H3965"/>
  <c r="I3965"/>
  <c r="K3965" s="1"/>
  <c r="I3967"/>
  <c r="I3984" s="1"/>
  <c r="I3976"/>
  <c r="K3976" s="1"/>
  <c r="I3978"/>
  <c r="K3978" s="1"/>
  <c r="I3982"/>
  <c r="K3982" s="1"/>
  <c r="K3996"/>
  <c r="I4012"/>
  <c r="K4014"/>
  <c r="I4029"/>
  <c r="K4029" s="1"/>
  <c r="I4041"/>
  <c r="K4041"/>
  <c r="J4052"/>
  <c r="J4053"/>
  <c r="J4055"/>
  <c r="F4067"/>
  <c r="J4058"/>
  <c r="F4068" s="1"/>
  <c r="K4068" s="1"/>
  <c r="J4061"/>
  <c r="K4061"/>
  <c r="J4063"/>
  <c r="J4064" s="1"/>
  <c r="F4070" s="1"/>
  <c r="K4070" s="1"/>
  <c r="I4068"/>
  <c r="F4069"/>
  <c r="K4069" s="1"/>
  <c r="I4069"/>
  <c r="I4070"/>
  <c r="I4072"/>
  <c r="K4072"/>
  <c r="L4079"/>
  <c r="H3" i="11"/>
  <c r="J3"/>
  <c r="O3"/>
  <c r="Q3"/>
  <c r="U3"/>
  <c r="W3"/>
  <c r="AG6"/>
  <c r="AK8"/>
  <c r="X9"/>
  <c r="X10" s="1"/>
  <c r="Z9"/>
  <c r="Z10" s="1"/>
  <c r="AK9"/>
  <c r="C10"/>
  <c r="P180" s="1"/>
  <c r="R180" s="1"/>
  <c r="W10"/>
  <c r="AK10"/>
  <c r="A11"/>
  <c r="C11"/>
  <c r="I774" s="1"/>
  <c r="I357"/>
  <c r="K357" s="1"/>
  <c r="P11"/>
  <c r="R11"/>
  <c r="X11"/>
  <c r="X12" s="1"/>
  <c r="X13" s="1"/>
  <c r="X14" s="1"/>
  <c r="X15" s="1"/>
  <c r="AK11"/>
  <c r="A12"/>
  <c r="C12"/>
  <c r="I536" s="1"/>
  <c r="K536" s="1"/>
  <c r="P83"/>
  <c r="R83" s="1"/>
  <c r="W12"/>
  <c r="AK12"/>
  <c r="A13"/>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3"/>
  <c r="P321" s="1"/>
  <c r="R321" s="1"/>
  <c r="W13"/>
  <c r="AK13"/>
  <c r="C14"/>
  <c r="D14"/>
  <c r="W14"/>
  <c r="AK14"/>
  <c r="C15"/>
  <c r="W15"/>
  <c r="AK15"/>
  <c r="C16"/>
  <c r="D16"/>
  <c r="X16"/>
  <c r="X17" s="1"/>
  <c r="Z16"/>
  <c r="AC16" s="1"/>
  <c r="C78" s="1"/>
  <c r="AK16"/>
  <c r="C17"/>
  <c r="D17"/>
  <c r="AK17"/>
  <c r="C18"/>
  <c r="I11" s="1"/>
  <c r="K11" s="1"/>
  <c r="X18"/>
  <c r="X34" s="1"/>
  <c r="Z18"/>
  <c r="AK18"/>
  <c r="W19"/>
  <c r="X19"/>
  <c r="X20" s="1"/>
  <c r="Z19"/>
  <c r="AC19" s="1"/>
  <c r="AK19"/>
  <c r="W20"/>
  <c r="AK20"/>
  <c r="X21"/>
  <c r="AC21"/>
  <c r="C83" s="1"/>
  <c r="AK21"/>
  <c r="AC22"/>
  <c r="C84" s="1"/>
  <c r="AK22"/>
  <c r="X23"/>
  <c r="Z23"/>
  <c r="AC23" s="1"/>
  <c r="C85" s="1"/>
  <c r="AK23"/>
  <c r="P24"/>
  <c r="R24" s="1"/>
  <c r="AC24"/>
  <c r="C86" s="1"/>
  <c r="P704" s="1"/>
  <c r="AK24"/>
  <c r="C25"/>
  <c r="P25"/>
  <c r="R25" s="1"/>
  <c r="AC25"/>
  <c r="C87" s="1"/>
  <c r="I2166" s="1"/>
  <c r="K2166" s="1"/>
  <c r="AK25"/>
  <c r="C26"/>
  <c r="I167" s="1"/>
  <c r="K167" s="1"/>
  <c r="AC26"/>
  <c r="C88" s="1"/>
  <c r="AK26"/>
  <c r="C27"/>
  <c r="AC27"/>
  <c r="C89" s="1"/>
  <c r="AK27"/>
  <c r="AC28"/>
  <c r="AK28"/>
  <c r="C29"/>
  <c r="I29"/>
  <c r="K29" s="1"/>
  <c r="W29"/>
  <c r="AK29"/>
  <c r="C30"/>
  <c r="D30"/>
  <c r="AC30"/>
  <c r="C136" s="1"/>
  <c r="I1168" s="1"/>
  <c r="K1168" s="1"/>
  <c r="AK30"/>
  <c r="C31"/>
  <c r="P691" s="1"/>
  <c r="D31"/>
  <c r="AK31"/>
  <c r="D32"/>
  <c r="AC32"/>
  <c r="C138" s="1"/>
  <c r="AK32"/>
  <c r="D33"/>
  <c r="AC33"/>
  <c r="AK33"/>
  <c r="W34"/>
  <c r="Y34"/>
  <c r="AK34"/>
  <c r="W35"/>
  <c r="AK35"/>
  <c r="W36"/>
  <c r="AK36"/>
  <c r="W37"/>
  <c r="AC38"/>
  <c r="C35" s="1"/>
  <c r="D40"/>
  <c r="C41"/>
  <c r="I46"/>
  <c r="K46" s="1"/>
  <c r="P52"/>
  <c r="R52" s="1"/>
  <c r="P54"/>
  <c r="R54"/>
  <c r="I55"/>
  <c r="K55" s="1"/>
  <c r="C61"/>
  <c r="P430" s="1"/>
  <c r="R430" s="1"/>
  <c r="D61"/>
  <c r="I65"/>
  <c r="K65" s="1"/>
  <c r="C66"/>
  <c r="C67"/>
  <c r="I18"/>
  <c r="K18" s="1"/>
  <c r="P68"/>
  <c r="R68"/>
  <c r="P69"/>
  <c r="R69" s="1"/>
  <c r="I72"/>
  <c r="K72" s="1"/>
  <c r="I74"/>
  <c r="K74" s="1"/>
  <c r="I81"/>
  <c r="K81" s="1"/>
  <c r="P81"/>
  <c r="R81" s="1"/>
  <c r="I82"/>
  <c r="K82"/>
  <c r="P84"/>
  <c r="R84" s="1"/>
  <c r="C90"/>
  <c r="I94"/>
  <c r="K94"/>
  <c r="I95"/>
  <c r="K95" s="1"/>
  <c r="I123"/>
  <c r="K123"/>
  <c r="K126" s="1"/>
  <c r="K128" s="1"/>
  <c r="K129" s="1"/>
  <c r="I140"/>
  <c r="K140"/>
  <c r="C141"/>
  <c r="I152"/>
  <c r="K152" s="1"/>
  <c r="I154"/>
  <c r="K154" s="1"/>
  <c r="I155"/>
  <c r="K155" s="1"/>
  <c r="K156"/>
  <c r="I184"/>
  <c r="K184" s="1"/>
  <c r="K185"/>
  <c r="P191"/>
  <c r="R191"/>
  <c r="P193"/>
  <c r="R193" s="1"/>
  <c r="I197"/>
  <c r="K197"/>
  <c r="I198"/>
  <c r="K198" s="1"/>
  <c r="I211"/>
  <c r="K211" s="1"/>
  <c r="P211"/>
  <c r="R211" s="1"/>
  <c r="I212"/>
  <c r="K212" s="1"/>
  <c r="P212"/>
  <c r="R212" s="1"/>
  <c r="I213"/>
  <c r="K213"/>
  <c r="P213"/>
  <c r="R213" s="1"/>
  <c r="P214"/>
  <c r="R214"/>
  <c r="P215"/>
  <c r="R215" s="1"/>
  <c r="P216"/>
  <c r="R216" s="1"/>
  <c r="P217"/>
  <c r="R217" s="1"/>
  <c r="P218"/>
  <c r="R218" s="1"/>
  <c r="I227"/>
  <c r="K227"/>
  <c r="I228"/>
  <c r="K228" s="1"/>
  <c r="I240"/>
  <c r="K240" s="1"/>
  <c r="K244"/>
  <c r="K255"/>
  <c r="K256"/>
  <c r="I270"/>
  <c r="K270" s="1"/>
  <c r="K282"/>
  <c r="P284"/>
  <c r="R284" s="1"/>
  <c r="P286"/>
  <c r="R286"/>
  <c r="P296"/>
  <c r="R296" s="1"/>
  <c r="I297"/>
  <c r="K297" s="1"/>
  <c r="I298"/>
  <c r="K298"/>
  <c r="P298"/>
  <c r="R298" s="1"/>
  <c r="I299"/>
  <c r="K299"/>
  <c r="I300"/>
  <c r="K300" s="1"/>
  <c r="P307"/>
  <c r="R307" s="1"/>
  <c r="P309"/>
  <c r="R309"/>
  <c r="H310"/>
  <c r="H332"/>
  <c r="F334"/>
  <c r="H334"/>
  <c r="F335"/>
  <c r="H352"/>
  <c r="F354"/>
  <c r="H354"/>
  <c r="F355"/>
  <c r="P366"/>
  <c r="R366"/>
  <c r="H376"/>
  <c r="P377"/>
  <c r="R377" s="1"/>
  <c r="F378"/>
  <c r="H378"/>
  <c r="P378"/>
  <c r="R378" s="1"/>
  <c r="I380"/>
  <c r="K380" s="1"/>
  <c r="I381"/>
  <c r="K381" s="1"/>
  <c r="I383"/>
  <c r="K383"/>
  <c r="P391"/>
  <c r="R391" s="1"/>
  <c r="P392"/>
  <c r="R392" s="1"/>
  <c r="I394"/>
  <c r="K394"/>
  <c r="H407"/>
  <c r="F409"/>
  <c r="H409"/>
  <c r="P432"/>
  <c r="R432" s="1"/>
  <c r="P438"/>
  <c r="R438"/>
  <c r="P439"/>
  <c r="R439" s="1"/>
  <c r="P440"/>
  <c r="R440"/>
  <c r="P451"/>
  <c r="R451" s="1"/>
  <c r="P456"/>
  <c r="R456"/>
  <c r="P457"/>
  <c r="R457" s="1"/>
  <c r="P458"/>
  <c r="R458"/>
  <c r="P469"/>
  <c r="R469" s="1"/>
  <c r="P474"/>
  <c r="R474"/>
  <c r="P475"/>
  <c r="R475" s="1"/>
  <c r="P476"/>
  <c r="R476"/>
  <c r="I484"/>
  <c r="K484" s="1"/>
  <c r="P491"/>
  <c r="R491"/>
  <c r="P493"/>
  <c r="R493" s="1"/>
  <c r="P494"/>
  <c r="R494"/>
  <c r="P495"/>
  <c r="R495" s="1"/>
  <c r="I496"/>
  <c r="K496"/>
  <c r="R499"/>
  <c r="I500"/>
  <c r="K500" s="1"/>
  <c r="K507"/>
  <c r="P509"/>
  <c r="R509" s="1"/>
  <c r="P511"/>
  <c r="R511"/>
  <c r="P512"/>
  <c r="R512" s="1"/>
  <c r="R517"/>
  <c r="I519"/>
  <c r="K519" s="1"/>
  <c r="I520"/>
  <c r="K520" s="1"/>
  <c r="J527"/>
  <c r="J528"/>
  <c r="J529"/>
  <c r="P529"/>
  <c r="R529" s="1"/>
  <c r="J530"/>
  <c r="J531"/>
  <c r="P531"/>
  <c r="R531"/>
  <c r="P532"/>
  <c r="R532" s="1"/>
  <c r="P534"/>
  <c r="R534" s="1"/>
  <c r="P535"/>
  <c r="R535" s="1"/>
  <c r="P536"/>
  <c r="R536" s="1"/>
  <c r="R537"/>
  <c r="J543"/>
  <c r="J544"/>
  <c r="J545"/>
  <c r="J546"/>
  <c r="J547"/>
  <c r="P555"/>
  <c r="R555" s="1"/>
  <c r="I559"/>
  <c r="K559"/>
  <c r="K564"/>
  <c r="K567" s="1"/>
  <c r="I568" s="1"/>
  <c r="K568" s="1"/>
  <c r="I569" s="1"/>
  <c r="K569" s="1"/>
  <c r="I570" s="1"/>
  <c r="K570" s="1"/>
  <c r="I571" s="1"/>
  <c r="K571" s="1"/>
  <c r="I572" s="1"/>
  <c r="K572" s="1"/>
  <c r="I560"/>
  <c r="K560" s="1"/>
  <c r="P560"/>
  <c r="R560"/>
  <c r="I561"/>
  <c r="K561" s="1"/>
  <c r="P561"/>
  <c r="R561"/>
  <c r="P562"/>
  <c r="R562" s="1"/>
  <c r="J568"/>
  <c r="J569"/>
  <c r="J570"/>
  <c r="J571"/>
  <c r="J572"/>
  <c r="I575"/>
  <c r="K575"/>
  <c r="I577"/>
  <c r="K577" s="1"/>
  <c r="J583"/>
  <c r="J584"/>
  <c r="J585"/>
  <c r="J586"/>
  <c r="J587"/>
  <c r="I590"/>
  <c r="K590" s="1"/>
  <c r="I592"/>
  <c r="K592" s="1"/>
  <c r="C593"/>
  <c r="P607"/>
  <c r="R607" s="1"/>
  <c r="P620"/>
  <c r="R620"/>
  <c r="I622"/>
  <c r="K622" s="1"/>
  <c r="P636"/>
  <c r="R636" s="1"/>
  <c r="P637"/>
  <c r="R637"/>
  <c r="P638"/>
  <c r="R638" s="1"/>
  <c r="I643"/>
  <c r="K643"/>
  <c r="K647"/>
  <c r="K649" s="1"/>
  <c r="K650" s="1"/>
  <c r="K651" s="1"/>
  <c r="K652" s="1"/>
  <c r="K653" s="1"/>
  <c r="I644"/>
  <c r="K644"/>
  <c r="K645"/>
  <c r="P648"/>
  <c r="R648" s="1"/>
  <c r="R652" s="1"/>
  <c r="P658"/>
  <c r="R658"/>
  <c r="R662" s="1"/>
  <c r="I662"/>
  <c r="K662" s="1"/>
  <c r="K667" s="1"/>
  <c r="K669" s="1"/>
  <c r="K670" s="1"/>
  <c r="K671" s="1"/>
  <c r="K672" s="1"/>
  <c r="K673" s="1"/>
  <c r="I663"/>
  <c r="K663"/>
  <c r="K664"/>
  <c r="P668"/>
  <c r="R668"/>
  <c r="R672"/>
  <c r="P679"/>
  <c r="R679" s="1"/>
  <c r="R683" s="1"/>
  <c r="I680"/>
  <c r="K680"/>
  <c r="I681"/>
  <c r="K681" s="1"/>
  <c r="I683"/>
  <c r="K683"/>
  <c r="I689"/>
  <c r="K689" s="1"/>
  <c r="P690"/>
  <c r="R690"/>
  <c r="R691"/>
  <c r="P692"/>
  <c r="R692"/>
  <c r="P693"/>
  <c r="R693"/>
  <c r="P694"/>
  <c r="R694"/>
  <c r="P695"/>
  <c r="R695"/>
  <c r="P705"/>
  <c r="R705"/>
  <c r="I706"/>
  <c r="K706"/>
  <c r="P706"/>
  <c r="R706" s="1"/>
  <c r="P707"/>
  <c r="R707"/>
  <c r="I708"/>
  <c r="K708" s="1"/>
  <c r="P708"/>
  <c r="R708"/>
  <c r="P709"/>
  <c r="R709" s="1"/>
  <c r="P710"/>
  <c r="R710"/>
  <c r="P721"/>
  <c r="R721" s="1"/>
  <c r="I722"/>
  <c r="K722"/>
  <c r="I743" s="1"/>
  <c r="K743" s="1"/>
  <c r="I723"/>
  <c r="K723" s="1"/>
  <c r="P723"/>
  <c r="R723"/>
  <c r="K724"/>
  <c r="P724"/>
  <c r="R724" s="1"/>
  <c r="I725"/>
  <c r="K725"/>
  <c r="P725"/>
  <c r="R725" s="1"/>
  <c r="I726"/>
  <c r="K726" s="1"/>
  <c r="P726"/>
  <c r="R726" s="1"/>
  <c r="I727"/>
  <c r="K727" s="1"/>
  <c r="K728"/>
  <c r="K729"/>
  <c r="R740"/>
  <c r="R745"/>
  <c r="I746"/>
  <c r="K746" s="1"/>
  <c r="I747"/>
  <c r="K747"/>
  <c r="I748"/>
  <c r="K748" s="1"/>
  <c r="I749"/>
  <c r="K749"/>
  <c r="K750"/>
  <c r="K751"/>
  <c r="K752"/>
  <c r="R753"/>
  <c r="A754"/>
  <c r="P762"/>
  <c r="R762"/>
  <c r="R769"/>
  <c r="R771"/>
  <c r="P764"/>
  <c r="R764"/>
  <c r="I772"/>
  <c r="K772"/>
  <c r="K774"/>
  <c r="I775"/>
  <c r="K775"/>
  <c r="I776"/>
  <c r="K776"/>
  <c r="R779"/>
  <c r="R792"/>
  <c r="P782"/>
  <c r="R782"/>
  <c r="I783"/>
  <c r="K783"/>
  <c r="R783"/>
  <c r="R784"/>
  <c r="R785"/>
  <c r="R786"/>
  <c r="R788"/>
  <c r="R789"/>
  <c r="R798"/>
  <c r="R810"/>
  <c r="P801"/>
  <c r="R801"/>
  <c r="R802"/>
  <c r="R803"/>
  <c r="R804"/>
  <c r="R805"/>
  <c r="R806"/>
  <c r="R807"/>
  <c r="K817"/>
  <c r="K818"/>
  <c r="K819"/>
  <c r="K820"/>
  <c r="I821"/>
  <c r="K821"/>
  <c r="I822"/>
  <c r="K822"/>
  <c r="K823"/>
  <c r="I824"/>
  <c r="K824" s="1"/>
  <c r="R834"/>
  <c r="K835"/>
  <c r="K836"/>
  <c r="K837"/>
  <c r="P837"/>
  <c r="R837" s="1"/>
  <c r="K838"/>
  <c r="R838"/>
  <c r="I839"/>
  <c r="K839" s="1"/>
  <c r="R839"/>
  <c r="I840"/>
  <c r="K840" s="1"/>
  <c r="R840"/>
  <c r="K841"/>
  <c r="R841"/>
  <c r="I843"/>
  <c r="K843" s="1"/>
  <c r="R843"/>
  <c r="R844"/>
  <c r="R847"/>
  <c r="K853"/>
  <c r="K854"/>
  <c r="H855"/>
  <c r="K855"/>
  <c r="P855"/>
  <c r="R855"/>
  <c r="K856"/>
  <c r="P856"/>
  <c r="R856" s="1"/>
  <c r="I857"/>
  <c r="K857" s="1"/>
  <c r="I858"/>
  <c r="K858" s="1"/>
  <c r="H859"/>
  <c r="K859"/>
  <c r="I860"/>
  <c r="K860" s="1"/>
  <c r="R869"/>
  <c r="R875" s="1"/>
  <c r="R870"/>
  <c r="R871"/>
  <c r="I880"/>
  <c r="K880"/>
  <c r="I887"/>
  <c r="K887" s="1"/>
  <c r="I914"/>
  <c r="K914"/>
  <c r="I915"/>
  <c r="K915" s="1"/>
  <c r="I916"/>
  <c r="K916" s="1"/>
  <c r="I917"/>
  <c r="K917" s="1"/>
  <c r="I918"/>
  <c r="K918" s="1"/>
  <c r="I919"/>
  <c r="K919" s="1"/>
  <c r="I920"/>
  <c r="K920"/>
  <c r="I949"/>
  <c r="K949" s="1"/>
  <c r="I950"/>
  <c r="K950"/>
  <c r="I951"/>
  <c r="K951" s="1"/>
  <c r="I952"/>
  <c r="K952" s="1"/>
  <c r="I953"/>
  <c r="K953" s="1"/>
  <c r="I954"/>
  <c r="K954" s="1"/>
  <c r="I955"/>
  <c r="K955" s="1"/>
  <c r="I978"/>
  <c r="K978"/>
  <c r="I979"/>
  <c r="K979" s="1"/>
  <c r="I980"/>
  <c r="K980"/>
  <c r="I981"/>
  <c r="K981" s="1"/>
  <c r="I982"/>
  <c r="K982" s="1"/>
  <c r="I983"/>
  <c r="K983" s="1"/>
  <c r="I984"/>
  <c r="K984" s="1"/>
  <c r="I1013"/>
  <c r="K1013" s="1"/>
  <c r="I1014"/>
  <c r="K1014"/>
  <c r="I1015"/>
  <c r="K1015" s="1"/>
  <c r="I1016"/>
  <c r="K1016"/>
  <c r="I1017"/>
  <c r="K1017" s="1"/>
  <c r="I1018"/>
  <c r="K1018" s="1"/>
  <c r="I1019"/>
  <c r="K1019" s="1"/>
  <c r="I1020"/>
  <c r="K1020" s="1"/>
  <c r="I1030"/>
  <c r="K1030" s="1"/>
  <c r="I1031"/>
  <c r="K1031"/>
  <c r="I1032"/>
  <c r="K1032" s="1"/>
  <c r="I1033"/>
  <c r="K1033"/>
  <c r="I1034"/>
  <c r="K1034" s="1"/>
  <c r="I1035"/>
  <c r="K1035" s="1"/>
  <c r="I1045"/>
  <c r="K1045" s="1"/>
  <c r="I1046"/>
  <c r="K1046" s="1"/>
  <c r="I1047"/>
  <c r="K1047" s="1"/>
  <c r="I1048"/>
  <c r="K1048"/>
  <c r="I1049"/>
  <c r="K1049" s="1"/>
  <c r="I1050"/>
  <c r="K1050"/>
  <c r="I1060"/>
  <c r="K1060" s="1"/>
  <c r="I1061"/>
  <c r="K1061" s="1"/>
  <c r="I1062"/>
  <c r="K1062" s="1"/>
  <c r="I1063"/>
  <c r="K1063" s="1"/>
  <c r="I1064"/>
  <c r="K1064" s="1"/>
  <c r="I1085"/>
  <c r="K1085"/>
  <c r="K1086"/>
  <c r="I1087"/>
  <c r="K1087"/>
  <c r="K1088"/>
  <c r="I1089"/>
  <c r="K1089" s="1"/>
  <c r="K1090"/>
  <c r="K1091"/>
  <c r="I1101"/>
  <c r="K1101" s="1"/>
  <c r="I1102"/>
  <c r="K1102" s="1"/>
  <c r="I1103"/>
  <c r="K1103" s="1"/>
  <c r="I1104"/>
  <c r="K1104" s="1"/>
  <c r="I1114"/>
  <c r="K1114"/>
  <c r="I1115"/>
  <c r="K1115"/>
  <c r="I1116"/>
  <c r="K1116" s="1"/>
  <c r="I1117"/>
  <c r="K1117" s="1"/>
  <c r="I1131"/>
  <c r="K1131" s="1"/>
  <c r="K1132"/>
  <c r="K1133"/>
  <c r="I1134"/>
  <c r="K1134" s="1"/>
  <c r="K1138" s="1"/>
  <c r="K1140" s="1"/>
  <c r="I1146"/>
  <c r="K1146" s="1"/>
  <c r="I1156"/>
  <c r="K1156"/>
  <c r="I1157"/>
  <c r="K1157" s="1"/>
  <c r="I1158"/>
  <c r="K1158"/>
  <c r="I1172"/>
  <c r="K1172" s="1"/>
  <c r="I1173"/>
  <c r="K1173" s="1"/>
  <c r="I1174"/>
  <c r="K1174" s="1"/>
  <c r="I1175"/>
  <c r="K1175" s="1"/>
  <c r="I1176"/>
  <c r="K1176" s="1"/>
  <c r="I1177"/>
  <c r="K1177"/>
  <c r="I1178"/>
  <c r="K1178" s="1"/>
  <c r="I1179"/>
  <c r="K1179"/>
  <c r="I1181"/>
  <c r="K1181" s="1"/>
  <c r="I1182"/>
  <c r="K1182" s="1"/>
  <c r="I1183"/>
  <c r="K1183" s="1"/>
  <c r="I1184"/>
  <c r="K1184" s="1"/>
  <c r="I1185"/>
  <c r="K1185" s="1"/>
  <c r="I1198"/>
  <c r="K1198"/>
  <c r="I1201"/>
  <c r="K1201" s="1"/>
  <c r="I1202"/>
  <c r="K1202"/>
  <c r="I1203"/>
  <c r="K1203" s="1"/>
  <c r="I1204"/>
  <c r="K1204" s="1"/>
  <c r="I1205"/>
  <c r="K1205" s="1"/>
  <c r="I1206"/>
  <c r="K1206" s="1"/>
  <c r="I1207"/>
  <c r="K1207" s="1"/>
  <c r="I1208"/>
  <c r="K1208"/>
  <c r="I1209"/>
  <c r="K1209" s="1"/>
  <c r="I1219"/>
  <c r="K1219"/>
  <c r="I1220"/>
  <c r="K1220" s="1"/>
  <c r="I1222"/>
  <c r="K1222" s="1"/>
  <c r="I1223"/>
  <c r="K1223" s="1"/>
  <c r="I1236"/>
  <c r="K1236" s="1"/>
  <c r="I1237"/>
  <c r="K1237" s="1"/>
  <c r="I1238"/>
  <c r="K1238"/>
  <c r="I1239"/>
  <c r="K1239" s="1"/>
  <c r="I1255"/>
  <c r="K1255"/>
  <c r="I1256"/>
  <c r="K1256" s="1"/>
  <c r="I1257"/>
  <c r="K1257" s="1"/>
  <c r="I1269"/>
  <c r="K1269" s="1"/>
  <c r="I1270"/>
  <c r="K1270" s="1"/>
  <c r="I1271"/>
  <c r="K1271" s="1"/>
  <c r="I1285"/>
  <c r="K1285" s="1"/>
  <c r="I1288"/>
  <c r="K1288" s="1"/>
  <c r="I1289"/>
  <c r="K1289"/>
  <c r="I1290"/>
  <c r="K1290" s="1"/>
  <c r="I1292"/>
  <c r="K1292"/>
  <c r="I1307"/>
  <c r="K1307"/>
  <c r="I1310"/>
  <c r="K1310"/>
  <c r="I1311"/>
  <c r="K1311"/>
  <c r="I1312"/>
  <c r="K1312"/>
  <c r="I1314"/>
  <c r="K1314"/>
  <c r="I1325"/>
  <c r="K1325"/>
  <c r="I1326"/>
  <c r="K1326"/>
  <c r="I1327"/>
  <c r="K1327"/>
  <c r="I1338"/>
  <c r="K1338"/>
  <c r="I1340"/>
  <c r="K1340"/>
  <c r="I1350"/>
  <c r="K1350"/>
  <c r="I1351"/>
  <c r="K1351"/>
  <c r="I1352"/>
  <c r="K1352"/>
  <c r="I1365"/>
  <c r="K1365"/>
  <c r="I1366"/>
  <c r="K1366"/>
  <c r="I1367"/>
  <c r="K1367"/>
  <c r="I1368"/>
  <c r="K1368"/>
  <c r="I1385"/>
  <c r="K1385"/>
  <c r="I1386"/>
  <c r="K1386"/>
  <c r="I1397"/>
  <c r="K1397"/>
  <c r="I1398"/>
  <c r="K1398"/>
  <c r="I1410"/>
  <c r="K1410"/>
  <c r="I1411"/>
  <c r="K1411"/>
  <c r="I1422"/>
  <c r="K1422"/>
  <c r="I1423"/>
  <c r="K1423"/>
  <c r="I1424"/>
  <c r="K1424"/>
  <c r="I1436"/>
  <c r="K1436"/>
  <c r="K1442" s="1"/>
  <c r="K1444" s="1"/>
  <c r="I1437"/>
  <c r="K1437"/>
  <c r="I1438"/>
  <c r="K1438"/>
  <c r="I1439"/>
  <c r="K1439"/>
  <c r="K1448"/>
  <c r="I1449"/>
  <c r="K1449"/>
  <c r="I1450"/>
  <c r="K1450" s="1"/>
  <c r="I1451"/>
  <c r="K1451"/>
  <c r="I1463"/>
  <c r="K1463" s="1"/>
  <c r="I1464"/>
  <c r="K1464"/>
  <c r="I1465"/>
  <c r="K1465" s="1"/>
  <c r="I1466"/>
  <c r="K1466"/>
  <c r="I1478"/>
  <c r="K1478" s="1"/>
  <c r="I1479"/>
  <c r="K1479"/>
  <c r="I1490"/>
  <c r="K1490" s="1"/>
  <c r="I1492"/>
  <c r="K1492"/>
  <c r="K1493"/>
  <c r="I1494"/>
  <c r="K1494"/>
  <c r="I1495"/>
  <c r="K1495"/>
  <c r="I1505"/>
  <c r="K1505"/>
  <c r="I1506"/>
  <c r="K1506"/>
  <c r="O1506"/>
  <c r="I1507"/>
  <c r="K1507"/>
  <c r="O1507"/>
  <c r="I1508"/>
  <c r="K1508"/>
  <c r="K1509"/>
  <c r="I1518"/>
  <c r="K1518" s="1"/>
  <c r="I1519"/>
  <c r="K1519"/>
  <c r="I1520"/>
  <c r="K1520" s="1"/>
  <c r="I1521"/>
  <c r="K1521"/>
  <c r="K1522"/>
  <c r="I1533"/>
  <c r="K1533"/>
  <c r="I1534"/>
  <c r="K1534"/>
  <c r="I1545"/>
  <c r="K1545"/>
  <c r="I1546"/>
  <c r="K1546"/>
  <c r="I1557"/>
  <c r="K1557"/>
  <c r="I1558"/>
  <c r="K1558"/>
  <c r="I1559"/>
  <c r="K1559"/>
  <c r="I1560"/>
  <c r="K1560"/>
  <c r="I1561"/>
  <c r="K1561"/>
  <c r="I1562"/>
  <c r="K1562"/>
  <c r="I1576"/>
  <c r="K1576"/>
  <c r="I1577"/>
  <c r="K1577"/>
  <c r="I1578"/>
  <c r="K1578"/>
  <c r="I1579"/>
  <c r="K1579"/>
  <c r="K1597"/>
  <c r="K1598"/>
  <c r="K1601" s="1"/>
  <c r="K1609"/>
  <c r="K1613" s="1"/>
  <c r="K1618"/>
  <c r="K1621"/>
  <c r="K1625"/>
  <c r="K1628" s="1"/>
  <c r="I1638"/>
  <c r="K1638"/>
  <c r="I1639"/>
  <c r="K1639" s="1"/>
  <c r="I1640"/>
  <c r="K1640"/>
  <c r="K1652"/>
  <c r="K1653"/>
  <c r="K1654"/>
  <c r="I1681"/>
  <c r="K1681"/>
  <c r="K1682"/>
  <c r="K1685"/>
  <c r="K1686"/>
  <c r="K1687"/>
  <c r="I1688"/>
  <c r="K1688"/>
  <c r="K1699"/>
  <c r="K1700"/>
  <c r="K1701"/>
  <c r="I1702"/>
  <c r="K1702"/>
  <c r="I1703"/>
  <c r="K1703" s="1"/>
  <c r="I1711"/>
  <c r="K1711"/>
  <c r="K1713"/>
  <c r="K1714"/>
  <c r="I1715"/>
  <c r="K1715"/>
  <c r="K1716"/>
  <c r="K1717"/>
  <c r="K1724"/>
  <c r="K1727"/>
  <c r="I1735"/>
  <c r="K1735" s="1"/>
  <c r="I1737"/>
  <c r="K1737"/>
  <c r="I1738"/>
  <c r="K1738" s="1"/>
  <c r="I1739"/>
  <c r="K1739"/>
  <c r="I1740"/>
  <c r="K1740" s="1"/>
  <c r="I1741"/>
  <c r="K1741"/>
  <c r="I1742"/>
  <c r="K1742" s="1"/>
  <c r="I1753"/>
  <c r="K1753"/>
  <c r="I1755"/>
  <c r="K1755" s="1"/>
  <c r="I1756"/>
  <c r="K1756"/>
  <c r="I1757"/>
  <c r="K1757" s="1"/>
  <c r="I1758"/>
  <c r="K1758"/>
  <c r="I1759"/>
  <c r="K1759" s="1"/>
  <c r="I1760"/>
  <c r="K1760"/>
  <c r="I1771"/>
  <c r="K1771" s="1"/>
  <c r="I1773"/>
  <c r="K1773"/>
  <c r="I1774"/>
  <c r="K1774" s="1"/>
  <c r="I1775"/>
  <c r="K1775"/>
  <c r="I1776"/>
  <c r="K1776" s="1"/>
  <c r="I1777"/>
  <c r="K1777"/>
  <c r="I1778"/>
  <c r="K1778" s="1"/>
  <c r="I1801"/>
  <c r="I1802"/>
  <c r="K1802"/>
  <c r="I1809"/>
  <c r="I1810"/>
  <c r="K1810"/>
  <c r="I1817"/>
  <c r="I1818" s="1"/>
  <c r="K1818" s="1"/>
  <c r="I1829"/>
  <c r="K1829" s="1"/>
  <c r="I1832"/>
  <c r="K1832"/>
  <c r="I1833"/>
  <c r="K1833" s="1"/>
  <c r="I1834"/>
  <c r="K1834"/>
  <c r="I1835"/>
  <c r="K1835" s="1"/>
  <c r="I1844"/>
  <c r="K1844"/>
  <c r="I1858"/>
  <c r="K1858" s="1"/>
  <c r="I1865"/>
  <c r="K1865"/>
  <c r="I1866"/>
  <c r="K1866" s="1"/>
  <c r="I1867"/>
  <c r="K1867"/>
  <c r="I1890"/>
  <c r="K1890" s="1"/>
  <c r="I1891"/>
  <c r="K1891"/>
  <c r="I1892"/>
  <c r="K1892" s="1"/>
  <c r="I1894"/>
  <c r="K1894"/>
  <c r="I1895"/>
  <c r="K1895" s="1"/>
  <c r="I1896"/>
  <c r="K1896"/>
  <c r="I1908"/>
  <c r="K1908" s="1"/>
  <c r="I1915"/>
  <c r="K1915"/>
  <c r="I1916"/>
  <c r="K1916" s="1"/>
  <c r="I1917"/>
  <c r="K1917"/>
  <c r="I1928"/>
  <c r="K1928" s="1"/>
  <c r="K1938" s="1"/>
  <c r="I1930"/>
  <c r="K1930"/>
  <c r="I1931"/>
  <c r="K1931"/>
  <c r="I1932"/>
  <c r="K1932"/>
  <c r="I1934"/>
  <c r="K1934"/>
  <c r="I1935"/>
  <c r="K1935"/>
  <c r="I1947"/>
  <c r="K1947"/>
  <c r="I1949"/>
  <c r="K1949"/>
  <c r="I1950"/>
  <c r="K1950"/>
  <c r="I1951"/>
  <c r="K1951"/>
  <c r="I1953"/>
  <c r="K1953"/>
  <c r="I1954"/>
  <c r="K1954"/>
  <c r="I1972"/>
  <c r="K1972"/>
  <c r="I1973"/>
  <c r="K1973"/>
  <c r="I1974"/>
  <c r="K1974"/>
  <c r="K1984" s="1"/>
  <c r="K1986" s="1"/>
  <c r="I1975"/>
  <c r="K1975"/>
  <c r="I1976"/>
  <c r="K1976"/>
  <c r="I1977"/>
  <c r="K1977"/>
  <c r="I1978"/>
  <c r="K1978"/>
  <c r="I1996"/>
  <c r="K1996"/>
  <c r="I1997"/>
  <c r="K1997"/>
  <c r="I1998"/>
  <c r="K1998"/>
  <c r="K2008" s="1"/>
  <c r="K2010" s="1"/>
  <c r="I1999"/>
  <c r="K1999"/>
  <c r="I2000"/>
  <c r="K2000"/>
  <c r="I2001"/>
  <c r="K2001"/>
  <c r="I2002"/>
  <c r="K2002"/>
  <c r="K2016"/>
  <c r="K2017"/>
  <c r="K2021" s="1"/>
  <c r="K2018"/>
  <c r="I2027"/>
  <c r="K2027"/>
  <c r="I2029"/>
  <c r="K2029"/>
  <c r="I2030"/>
  <c r="K2030"/>
  <c r="I2031"/>
  <c r="K2031"/>
  <c r="I2039"/>
  <c r="K2039"/>
  <c r="K2042"/>
  <c r="I2047"/>
  <c r="K2047" s="1"/>
  <c r="I2048"/>
  <c r="K2048"/>
  <c r="I2049"/>
  <c r="K2049" s="1"/>
  <c r="I2050"/>
  <c r="K2050"/>
  <c r="I2052"/>
  <c r="K2052" s="1"/>
  <c r="I2053"/>
  <c r="K2053"/>
  <c r="I2054"/>
  <c r="K2054" s="1"/>
  <c r="I2055"/>
  <c r="K2055"/>
  <c r="I2056"/>
  <c r="K2056" s="1"/>
  <c r="I2067"/>
  <c r="K2067"/>
  <c r="I2068"/>
  <c r="K2068" s="1"/>
  <c r="I2069"/>
  <c r="K2069"/>
  <c r="I2070"/>
  <c r="K2070" s="1"/>
  <c r="I2072"/>
  <c r="K2072"/>
  <c r="I2073"/>
  <c r="K2073" s="1"/>
  <c r="I2074"/>
  <c r="K2074"/>
  <c r="I2075"/>
  <c r="K2075" s="1"/>
  <c r="I2076"/>
  <c r="K2076"/>
  <c r="I2086"/>
  <c r="K2086" s="1"/>
  <c r="I2087"/>
  <c r="K2087"/>
  <c r="I2088"/>
  <c r="K2088" s="1"/>
  <c r="H2097"/>
  <c r="I2099"/>
  <c r="K2099"/>
  <c r="I2100"/>
  <c r="K2100"/>
  <c r="I2101"/>
  <c r="K2101"/>
  <c r="I2112"/>
  <c r="K2112"/>
  <c r="K2116"/>
  <c r="I2125"/>
  <c r="K2125" s="1"/>
  <c r="K2129" s="1"/>
  <c r="I2135"/>
  <c r="K2135"/>
  <c r="K2139" s="1"/>
  <c r="I2144"/>
  <c r="K2144"/>
  <c r="K2148"/>
  <c r="I2167"/>
  <c r="K2167"/>
  <c r="I2168"/>
  <c r="K2168"/>
  <c r="I2169"/>
  <c r="K2169"/>
  <c r="I2170"/>
  <c r="K2170"/>
  <c r="K2171"/>
  <c r="I2172"/>
  <c r="K2172"/>
  <c r="K2218"/>
  <c r="K2225" s="1"/>
  <c r="K2227" s="1"/>
  <c r="I2219"/>
  <c r="K2219"/>
  <c r="I2220"/>
  <c r="K2220"/>
  <c r="I2221"/>
  <c r="K2221"/>
  <c r="I2222"/>
  <c r="K2222"/>
  <c r="K2232"/>
  <c r="K2233"/>
  <c r="K2234"/>
  <c r="K2235"/>
  <c r="I2236"/>
  <c r="K2236" s="1"/>
  <c r="I2237"/>
  <c r="K2237"/>
  <c r="I2262"/>
  <c r="K2262" s="1"/>
  <c r="K2263"/>
  <c r="K2265"/>
  <c r="K2266"/>
  <c r="K2267"/>
  <c r="K2268"/>
  <c r="I2307"/>
  <c r="K2307"/>
  <c r="I2308"/>
  <c r="K2308"/>
  <c r="K2309"/>
  <c r="K2310"/>
  <c r="K2321"/>
  <c r="K2322"/>
  <c r="K2323"/>
  <c r="K2324"/>
  <c r="K2325"/>
  <c r="K2332" s="1"/>
  <c r="K2336" s="1"/>
  <c r="K2326"/>
  <c r="I2327"/>
  <c r="K2327"/>
  <c r="I2328"/>
  <c r="K2328"/>
  <c r="I2361"/>
  <c r="I2362"/>
  <c r="K2363"/>
  <c r="I2368"/>
  <c r="K2368" s="1"/>
  <c r="I2369"/>
  <c r="K2369"/>
  <c r="K2370"/>
  <c r="I2371"/>
  <c r="K2371"/>
  <c r="I2372"/>
  <c r="K2372"/>
  <c r="I2373"/>
  <c r="K2373"/>
  <c r="K2375"/>
  <c r="I2387"/>
  <c r="K2387" s="1"/>
  <c r="I2388"/>
  <c r="K2388"/>
  <c r="I2424"/>
  <c r="K2424" s="1"/>
  <c r="I2425"/>
  <c r="K2425"/>
  <c r="K2426"/>
  <c r="I2427"/>
  <c r="K2427"/>
  <c r="I2428"/>
  <c r="I2442" s="1"/>
  <c r="K2442" s="1"/>
  <c r="K2428"/>
  <c r="I2429"/>
  <c r="K2429"/>
  <c r="K2430"/>
  <c r="K2431"/>
  <c r="I2466"/>
  <c r="K2466"/>
  <c r="I2467"/>
  <c r="K2467"/>
  <c r="K2469"/>
  <c r="K2470"/>
  <c r="K2490"/>
  <c r="K2493"/>
  <c r="K2497"/>
  <c r="K2502" s="1"/>
  <c r="K2498"/>
  <c r="K2505"/>
  <c r="K2506"/>
  <c r="K2509" s="1"/>
  <c r="K2510" s="1"/>
  <c r="I2499" s="1"/>
  <c r="K2499" s="1"/>
  <c r="K2507"/>
  <c r="I2524"/>
  <c r="K2524"/>
  <c r="I2525"/>
  <c r="K2525"/>
  <c r="I2526"/>
  <c r="K2526"/>
  <c r="I2527"/>
  <c r="K2527"/>
  <c r="I2528"/>
  <c r="K2528"/>
  <c r="I2529"/>
  <c r="K2529"/>
  <c r="I2530"/>
  <c r="K2530"/>
  <c r="I2531"/>
  <c r="K2531"/>
  <c r="K2557"/>
  <c r="I2558"/>
  <c r="K2558"/>
  <c r="I2559"/>
  <c r="I2590" s="1"/>
  <c r="K2590" s="1"/>
  <c r="I2560"/>
  <c r="K2560"/>
  <c r="I2561"/>
  <c r="I2592" s="1"/>
  <c r="K2592" s="1"/>
  <c r="I2562"/>
  <c r="K2562"/>
  <c r="I2563"/>
  <c r="I2594" s="1"/>
  <c r="K2594" s="1"/>
  <c r="I2564"/>
  <c r="K2564"/>
  <c r="I2589"/>
  <c r="K2589" s="1"/>
  <c r="I2591"/>
  <c r="K2591" s="1"/>
  <c r="I2593"/>
  <c r="K2593" s="1"/>
  <c r="I2595"/>
  <c r="K2595" s="1"/>
  <c r="K2604"/>
  <c r="K2609" s="1"/>
  <c r="I2605"/>
  <c r="K2605"/>
  <c r="I2606"/>
  <c r="K2606"/>
  <c r="I2607"/>
  <c r="K2607" s="1"/>
  <c r="I2624"/>
  <c r="K2624"/>
  <c r="I2625"/>
  <c r="K2625" s="1"/>
  <c r="K2628" s="1"/>
  <c r="K2629" s="1"/>
  <c r="I2614" s="1"/>
  <c r="K2614" s="1"/>
  <c r="K2626"/>
  <c r="K2633"/>
  <c r="K2643" s="1"/>
  <c r="K2645" s="1"/>
  <c r="K2634"/>
  <c r="K2635"/>
  <c r="K2636"/>
  <c r="K2637"/>
  <c r="K2638"/>
  <c r="K2639"/>
  <c r="K2640"/>
  <c r="I2665"/>
  <c r="K2665"/>
  <c r="I2667"/>
  <c r="K2667"/>
  <c r="I2668"/>
  <c r="K2668"/>
  <c r="I2669"/>
  <c r="K2669"/>
  <c r="I2670"/>
  <c r="K2670"/>
  <c r="K2680"/>
  <c r="K2700"/>
  <c r="K2701"/>
  <c r="K2707"/>
  <c r="K2710" s="1"/>
  <c r="K2711" s="1"/>
  <c r="K2703" s="1"/>
  <c r="K2708"/>
  <c r="K2715"/>
  <c r="K2716"/>
  <c r="K2723"/>
  <c r="K2724"/>
  <c r="K2725"/>
  <c r="K2727" s="1"/>
  <c r="K2728" s="1"/>
  <c r="K2717" s="1"/>
  <c r="K2732"/>
  <c r="K2733"/>
  <c r="K2736" s="1"/>
  <c r="K2734"/>
  <c r="K2735"/>
  <c r="K2743"/>
  <c r="K2744"/>
  <c r="K2745"/>
  <c r="K2752"/>
  <c r="K2753"/>
  <c r="K2754"/>
  <c r="K2755"/>
  <c r="K2756"/>
  <c r="K2757"/>
  <c r="I2758"/>
  <c r="K2758"/>
  <c r="I2759"/>
  <c r="K2759"/>
  <c r="I2760"/>
  <c r="K2760"/>
  <c r="K2783"/>
  <c r="K2784"/>
  <c r="K2785"/>
  <c r="K2786"/>
  <c r="K2787"/>
  <c r="K2788"/>
  <c r="I2789"/>
  <c r="K2789"/>
  <c r="I2790"/>
  <c r="K2790"/>
  <c r="K2798"/>
  <c r="K2799"/>
  <c r="K2807"/>
  <c r="K2808"/>
  <c r="K2810"/>
  <c r="K2811"/>
  <c r="K2802" s="1"/>
  <c r="K2815"/>
  <c r="K2816"/>
  <c r="K2817"/>
  <c r="K2818"/>
  <c r="K2825"/>
  <c r="K2826"/>
  <c r="K2827"/>
  <c r="K2829" s="1"/>
  <c r="K2830" s="1"/>
  <c r="I2819" s="1"/>
  <c r="K2819" s="1"/>
  <c r="K2843"/>
  <c r="K2844"/>
  <c r="K2845"/>
  <c r="I2908"/>
  <c r="K2847"/>
  <c r="P2847"/>
  <c r="R2847"/>
  <c r="R2848"/>
  <c r="K2849"/>
  <c r="P2849"/>
  <c r="P2882"/>
  <c r="R2882"/>
  <c r="K2850"/>
  <c r="K2893"/>
  <c r="K3860"/>
  <c r="K2851"/>
  <c r="K2880" s="1"/>
  <c r="K2891" s="1"/>
  <c r="P2851"/>
  <c r="R2851"/>
  <c r="P2852"/>
  <c r="R2852"/>
  <c r="P2853"/>
  <c r="R2853"/>
  <c r="I2854"/>
  <c r="I3005" s="1"/>
  <c r="K3005" s="1"/>
  <c r="O2854"/>
  <c r="O2887" s="1"/>
  <c r="P2854"/>
  <c r="R2854"/>
  <c r="Q2854"/>
  <c r="I2855"/>
  <c r="K2855"/>
  <c r="P2855"/>
  <c r="P2888"/>
  <c r="R2888" s="1"/>
  <c r="I2856"/>
  <c r="I3819"/>
  <c r="K3819"/>
  <c r="R2856"/>
  <c r="L2859"/>
  <c r="S2863"/>
  <c r="T2863"/>
  <c r="K2866"/>
  <c r="K2867"/>
  <c r="K2868"/>
  <c r="H2869"/>
  <c r="H2872" s="1"/>
  <c r="K2869"/>
  <c r="P2870"/>
  <c r="R2870"/>
  <c r="K2871"/>
  <c r="P2871"/>
  <c r="R2871"/>
  <c r="I2872"/>
  <c r="K2872" s="1"/>
  <c r="P2872"/>
  <c r="R2872"/>
  <c r="P2873"/>
  <c r="R2873" s="1"/>
  <c r="P2880"/>
  <c r="R2880"/>
  <c r="P2881"/>
  <c r="R2881"/>
  <c r="L2883"/>
  <c r="O2884"/>
  <c r="P2886"/>
  <c r="R2886"/>
  <c r="O2888"/>
  <c r="R2889"/>
  <c r="K2896"/>
  <c r="T2896"/>
  <c r="S2897"/>
  <c r="L2898"/>
  <c r="H2905"/>
  <c r="I2905"/>
  <c r="I3028" s="1"/>
  <c r="K3028" s="1"/>
  <c r="K2905"/>
  <c r="H2906"/>
  <c r="I2906"/>
  <c r="K2906"/>
  <c r="H2907"/>
  <c r="I2907"/>
  <c r="K2907"/>
  <c r="H2908"/>
  <c r="H2909"/>
  <c r="H2910"/>
  <c r="I2910"/>
  <c r="K2910"/>
  <c r="H2911"/>
  <c r="I2911"/>
  <c r="K2911"/>
  <c r="K2912"/>
  <c r="H2913"/>
  <c r="H2915" s="1"/>
  <c r="I2913"/>
  <c r="K2913"/>
  <c r="I2915"/>
  <c r="K2915" s="1"/>
  <c r="H2917"/>
  <c r="I2917"/>
  <c r="I3040" s="1"/>
  <c r="K3040" s="1"/>
  <c r="K2917"/>
  <c r="L2920"/>
  <c r="I2923"/>
  <c r="K2925"/>
  <c r="I2931"/>
  <c r="I2941" s="1"/>
  <c r="K2935"/>
  <c r="M2935"/>
  <c r="I2936"/>
  <c r="K2936" s="1"/>
  <c r="I2939"/>
  <c r="I3057" s="1"/>
  <c r="K2939"/>
  <c r="I2956"/>
  <c r="K2956" s="1"/>
  <c r="K2957"/>
  <c r="M2957"/>
  <c r="N2957"/>
  <c r="L2964"/>
  <c r="I2974"/>
  <c r="K2974" s="1"/>
  <c r="K2984"/>
  <c r="I2995"/>
  <c r="K2995"/>
  <c r="I2996"/>
  <c r="I3682" s="1"/>
  <c r="K3682" s="1"/>
  <c r="K2996"/>
  <c r="I2997"/>
  <c r="K2997"/>
  <c r="I2998"/>
  <c r="K2998"/>
  <c r="I2999"/>
  <c r="K2999"/>
  <c r="I3000"/>
  <c r="K3000"/>
  <c r="I3001"/>
  <c r="K3001"/>
  <c r="I3002"/>
  <c r="K3002"/>
  <c r="K3019" s="1"/>
  <c r="I3006"/>
  <c r="K3006" s="1"/>
  <c r="I3007"/>
  <c r="K3007"/>
  <c r="L3011"/>
  <c r="L3022"/>
  <c r="I3029"/>
  <c r="K3029" s="1"/>
  <c r="I3033"/>
  <c r="K3033"/>
  <c r="I3035"/>
  <c r="K3035" s="1"/>
  <c r="I3036"/>
  <c r="K3036"/>
  <c r="I3038"/>
  <c r="K3038" s="1"/>
  <c r="L3042"/>
  <c r="L3043"/>
  <c r="K3046"/>
  <c r="I3053"/>
  <c r="I3898" s="1"/>
  <c r="K3898" s="1"/>
  <c r="K3053"/>
  <c r="L3062"/>
  <c r="R3071"/>
  <c r="R3074"/>
  <c r="L3080"/>
  <c r="S3080"/>
  <c r="K3088"/>
  <c r="M3094"/>
  <c r="K3098"/>
  <c r="I3101"/>
  <c r="P3494"/>
  <c r="R3494" s="1"/>
  <c r="L3105"/>
  <c r="I3112"/>
  <c r="K3112"/>
  <c r="P3112"/>
  <c r="P3129" s="1"/>
  <c r="R3112"/>
  <c r="K3113"/>
  <c r="P3113"/>
  <c r="R3113" s="1"/>
  <c r="S3118"/>
  <c r="L3119"/>
  <c r="S3119"/>
  <c r="T3119"/>
  <c r="L3122"/>
  <c r="R3126"/>
  <c r="P3127"/>
  <c r="R3127" s="1"/>
  <c r="R3129"/>
  <c r="K3132"/>
  <c r="L3133"/>
  <c r="S3133"/>
  <c r="I3139"/>
  <c r="K3139"/>
  <c r="I3140"/>
  <c r="K3140" s="1"/>
  <c r="K3141" s="1"/>
  <c r="K3142" s="1"/>
  <c r="K3134" s="1"/>
  <c r="K3135" s="1"/>
  <c r="K3150"/>
  <c r="K3151"/>
  <c r="M3154"/>
  <c r="I3158"/>
  <c r="K3158"/>
  <c r="K3169"/>
  <c r="I3170"/>
  <c r="I3181"/>
  <c r="K3181"/>
  <c r="K3180"/>
  <c r="K3191"/>
  <c r="K3192"/>
  <c r="K3206"/>
  <c r="I3207"/>
  <c r="K3207"/>
  <c r="K3217"/>
  <c r="J3222"/>
  <c r="I3222"/>
  <c r="I3335"/>
  <c r="K3230"/>
  <c r="I3231"/>
  <c r="K3231" s="1"/>
  <c r="K3240"/>
  <c r="K3241"/>
  <c r="L3244"/>
  <c r="I3247"/>
  <c r="I3248"/>
  <c r="K3248"/>
  <c r="I3249"/>
  <c r="K3249"/>
  <c r="K3257"/>
  <c r="I3258"/>
  <c r="K3258" s="1"/>
  <c r="K3289"/>
  <c r="K3290"/>
  <c r="L3294"/>
  <c r="K3306"/>
  <c r="K3307"/>
  <c r="K3308"/>
  <c r="K3309"/>
  <c r="K3312"/>
  <c r="K3313"/>
  <c r="L3313"/>
  <c r="K3314"/>
  <c r="N3314"/>
  <c r="K3315"/>
  <c r="K3316"/>
  <c r="K3345"/>
  <c r="I3351"/>
  <c r="K3351"/>
  <c r="I3352"/>
  <c r="I3406" s="1"/>
  <c r="K3406" s="1"/>
  <c r="K3352"/>
  <c r="I3353"/>
  <c r="K3353"/>
  <c r="K3354"/>
  <c r="J3368"/>
  <c r="I3376"/>
  <c r="K3376"/>
  <c r="K3384"/>
  <c r="K3389"/>
  <c r="K3396"/>
  <c r="L3399"/>
  <c r="M3399"/>
  <c r="N3399" s="1"/>
  <c r="O3399" s="1"/>
  <c r="P3399"/>
  <c r="I3405"/>
  <c r="I3424" s="1"/>
  <c r="I3407"/>
  <c r="I3426" s="1"/>
  <c r="H3415"/>
  <c r="I3415"/>
  <c r="K3415"/>
  <c r="L3415"/>
  <c r="L3418"/>
  <c r="M3418" s="1"/>
  <c r="N3418" s="1"/>
  <c r="K3436"/>
  <c r="K3438"/>
  <c r="I3454"/>
  <c r="I3454" i="27"/>
  <c r="K3454" s="1"/>
  <c r="K3455" i="11"/>
  <c r="I3464"/>
  <c r="K3464"/>
  <c r="I3465"/>
  <c r="K3465" s="1"/>
  <c r="K3467"/>
  <c r="I3476"/>
  <c r="K3476"/>
  <c r="I3478"/>
  <c r="K3478"/>
  <c r="I3494"/>
  <c r="K3494" s="1"/>
  <c r="K3495"/>
  <c r="P3495"/>
  <c r="R3495"/>
  <c r="I3496"/>
  <c r="P3496"/>
  <c r="R3496"/>
  <c r="K3496"/>
  <c r="I3497"/>
  <c r="P3497"/>
  <c r="R3497"/>
  <c r="K3497"/>
  <c r="S3501"/>
  <c r="I3503"/>
  <c r="P3503"/>
  <c r="R3503"/>
  <c r="I3504"/>
  <c r="I3505"/>
  <c r="P3505"/>
  <c r="R3505"/>
  <c r="I3506"/>
  <c r="I3590"/>
  <c r="K3590"/>
  <c r="K3513"/>
  <c r="K3515" s="1"/>
  <c r="K3521"/>
  <c r="K3524"/>
  <c r="L3524"/>
  <c r="I3533"/>
  <c r="K3533"/>
  <c r="I3534"/>
  <c r="K3534"/>
  <c r="I3535"/>
  <c r="K3535"/>
  <c r="L3539"/>
  <c r="K3545"/>
  <c r="K3547" s="1"/>
  <c r="H3553"/>
  <c r="I3553"/>
  <c r="K3553" s="1"/>
  <c r="K3556" s="1"/>
  <c r="M3556"/>
  <c r="L3561"/>
  <c r="M3561"/>
  <c r="N3561"/>
  <c r="O3561" s="1"/>
  <c r="I3562"/>
  <c r="K3562" s="1"/>
  <c r="N3562"/>
  <c r="I3563"/>
  <c r="K3563" s="1"/>
  <c r="N3563"/>
  <c r="M3567"/>
  <c r="K3578"/>
  <c r="K3579"/>
  <c r="K3580"/>
  <c r="L3584"/>
  <c r="I3587"/>
  <c r="K3587"/>
  <c r="I3605"/>
  <c r="J3605"/>
  <c r="K3605"/>
  <c r="L3605"/>
  <c r="K3612"/>
  <c r="K3613"/>
  <c r="P3613"/>
  <c r="R3613"/>
  <c r="I3614"/>
  <c r="I3614" i="27"/>
  <c r="P3614" i="11"/>
  <c r="R3614"/>
  <c r="I3622"/>
  <c r="P3623" s="1"/>
  <c r="R3623" s="1"/>
  <c r="K3622"/>
  <c r="I3624"/>
  <c r="I3731" s="1"/>
  <c r="K3731" s="1"/>
  <c r="P3625"/>
  <c r="I3625"/>
  <c r="K3625"/>
  <c r="K3634"/>
  <c r="K3635"/>
  <c r="R3635"/>
  <c r="R3642"/>
  <c r="K3643"/>
  <c r="P3643"/>
  <c r="R3643" s="1"/>
  <c r="I3644"/>
  <c r="K3644"/>
  <c r="I3662"/>
  <c r="I3669" s="1"/>
  <c r="K3669" s="1"/>
  <c r="R3665"/>
  <c r="R3668"/>
  <c r="R3669" s="1"/>
  <c r="R3671" s="1"/>
  <c r="I3665"/>
  <c r="K3665"/>
  <c r="I3666"/>
  <c r="I3719"/>
  <c r="I3667"/>
  <c r="K3667"/>
  <c r="K3670"/>
  <c r="K3671"/>
  <c r="K3672"/>
  <c r="D3674"/>
  <c r="I3683"/>
  <c r="K3683" s="1"/>
  <c r="I3685"/>
  <c r="K3685"/>
  <c r="L3689"/>
  <c r="M3689"/>
  <c r="I3694"/>
  <c r="K3694"/>
  <c r="K3699"/>
  <c r="K3708"/>
  <c r="K3710"/>
  <c r="K3718"/>
  <c r="H3719"/>
  <c r="K3720"/>
  <c r="K3721"/>
  <c r="K3722"/>
  <c r="I3725"/>
  <c r="K3725"/>
  <c r="K3739"/>
  <c r="J3742"/>
  <c r="K3740"/>
  <c r="L3744"/>
  <c r="K3757"/>
  <c r="I3758"/>
  <c r="K3758" s="1"/>
  <c r="H3759"/>
  <c r="K3759"/>
  <c r="K3765"/>
  <c r="K3766"/>
  <c r="K3770"/>
  <c r="K3771"/>
  <c r="K3777"/>
  <c r="K3778"/>
  <c r="K3786"/>
  <c r="K3787"/>
  <c r="I3804"/>
  <c r="K3804"/>
  <c r="I3805"/>
  <c r="K3805" s="1"/>
  <c r="I3806"/>
  <c r="K3806"/>
  <c r="I3808"/>
  <c r="K3808" s="1"/>
  <c r="K3809"/>
  <c r="K3859"/>
  <c r="I3810"/>
  <c r="K3810" s="1"/>
  <c r="I3811"/>
  <c r="K3811"/>
  <c r="I3812"/>
  <c r="K3812" s="1"/>
  <c r="K3846" s="1"/>
  <c r="K3858" s="1"/>
  <c r="I3813"/>
  <c r="K3813" s="1"/>
  <c r="K3814"/>
  <c r="K3816"/>
  <c r="K3882"/>
  <c r="K3817"/>
  <c r="I3818"/>
  <c r="K3818"/>
  <c r="K3883"/>
  <c r="L3824"/>
  <c r="I3833"/>
  <c r="K3833"/>
  <c r="I3834"/>
  <c r="K3834" s="1"/>
  <c r="I3835"/>
  <c r="K3835"/>
  <c r="I3836"/>
  <c r="K3836" s="1"/>
  <c r="H3847"/>
  <c r="K3847"/>
  <c r="L3850"/>
  <c r="K3861"/>
  <c r="L3866"/>
  <c r="K3884"/>
  <c r="L3888"/>
  <c r="K3899"/>
  <c r="I3902"/>
  <c r="K3902" s="1"/>
  <c r="I3903"/>
  <c r="K3903" s="1"/>
  <c r="L3908"/>
  <c r="I3918"/>
  <c r="K3918"/>
  <c r="I3919"/>
  <c r="K3919"/>
  <c r="I3929"/>
  <c r="K3929"/>
  <c r="I3930"/>
  <c r="K3930"/>
  <c r="I3931"/>
  <c r="K3931"/>
  <c r="I3932"/>
  <c r="K3932"/>
  <c r="K3942"/>
  <c r="I3943"/>
  <c r="K3943"/>
  <c r="L3950"/>
  <c r="L3951"/>
  <c r="I3958"/>
  <c r="K3958"/>
  <c r="K3983"/>
  <c r="K3984"/>
  <c r="L3988"/>
  <c r="K4004"/>
  <c r="K4019"/>
  <c r="J4030"/>
  <c r="K4039"/>
  <c r="I4048"/>
  <c r="K4048"/>
  <c r="K4063"/>
  <c r="F4064"/>
  <c r="K4064"/>
  <c r="K4070"/>
  <c r="K4072"/>
  <c r="K4073"/>
  <c r="I4074"/>
  <c r="K4074"/>
  <c r="K4075"/>
  <c r="K4078"/>
  <c r="K4079"/>
  <c r="K4080"/>
  <c r="K4081"/>
  <c r="K4082"/>
  <c r="K4083"/>
  <c r="K4084"/>
  <c r="K4085"/>
  <c r="K4086"/>
  <c r="Z18" i="1"/>
  <c r="AC18" s="1"/>
  <c r="C83" s="1"/>
  <c r="Z44"/>
  <c r="Z45" s="1"/>
  <c r="AC45" s="1"/>
  <c r="Z21"/>
  <c r="AC21" s="1"/>
  <c r="C86" s="1"/>
  <c r="I1356" s="1"/>
  <c r="K1356" s="1"/>
  <c r="T12" i="4"/>
  <c r="Z31" i="1"/>
  <c r="AC31" s="1"/>
  <c r="I2299" s="1"/>
  <c r="U14" i="4"/>
  <c r="V14"/>
  <c r="U16"/>
  <c r="U20" s="1"/>
  <c r="U17"/>
  <c r="U18"/>
  <c r="U19"/>
  <c r="E21"/>
  <c r="H25"/>
  <c r="H3" i="27"/>
  <c r="J3"/>
  <c r="O3"/>
  <c r="Q3"/>
  <c r="U3"/>
  <c r="W3"/>
  <c r="AG6"/>
  <c r="AK8"/>
  <c r="X9"/>
  <c r="X10"/>
  <c r="Z9"/>
  <c r="AC9"/>
  <c r="C68"/>
  <c r="I294"/>
  <c r="K294" s="1"/>
  <c r="K303" s="1"/>
  <c r="K305" s="1"/>
  <c r="AK9"/>
  <c r="C10"/>
  <c r="P81"/>
  <c r="W10"/>
  <c r="AK10"/>
  <c r="A11"/>
  <c r="C11"/>
  <c r="P191"/>
  <c r="R191" s="1"/>
  <c r="P11"/>
  <c r="R11" s="1"/>
  <c r="X11"/>
  <c r="X12"/>
  <c r="X13"/>
  <c r="X14" s="1"/>
  <c r="X15" s="1"/>
  <c r="AK11"/>
  <c r="A12"/>
  <c r="C12"/>
  <c r="W12"/>
  <c r="AK12"/>
  <c r="A13"/>
  <c r="C13"/>
  <c r="W13"/>
  <c r="AK13"/>
  <c r="A14"/>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4"/>
  <c r="D14"/>
  <c r="W14"/>
  <c r="AK14"/>
  <c r="C15"/>
  <c r="W15"/>
  <c r="AK15"/>
  <c r="C16"/>
  <c r="D16"/>
  <c r="I1134"/>
  <c r="K1134" s="1"/>
  <c r="X16"/>
  <c r="X17"/>
  <c r="Z16"/>
  <c r="AC16" s="1"/>
  <c r="C78" s="1"/>
  <c r="AK16"/>
  <c r="C17"/>
  <c r="D17"/>
  <c r="AK17"/>
  <c r="C18"/>
  <c r="I46" s="1"/>
  <c r="K46" s="1"/>
  <c r="I18"/>
  <c r="K18"/>
  <c r="X18"/>
  <c r="X29"/>
  <c r="Z18"/>
  <c r="AC18"/>
  <c r="C80" s="1"/>
  <c r="AK18"/>
  <c r="W19"/>
  <c r="X19"/>
  <c r="X20" s="1"/>
  <c r="Z19"/>
  <c r="AK19"/>
  <c r="I20"/>
  <c r="K20" s="1"/>
  <c r="W20"/>
  <c r="AK20"/>
  <c r="X21"/>
  <c r="AC21"/>
  <c r="C83"/>
  <c r="I1285"/>
  <c r="K1285"/>
  <c r="AK21"/>
  <c r="AC22"/>
  <c r="C84"/>
  <c r="I1421" s="1"/>
  <c r="K1421" s="1"/>
  <c r="K1427" s="1"/>
  <c r="K1429" s="1"/>
  <c r="P375"/>
  <c r="R375" s="1"/>
  <c r="AK22"/>
  <c r="X23"/>
  <c r="Z23"/>
  <c r="AC23" s="1"/>
  <c r="C85" s="1"/>
  <c r="AK23"/>
  <c r="P24"/>
  <c r="R24" s="1"/>
  <c r="AC24"/>
  <c r="C86"/>
  <c r="P689"/>
  <c r="R689" s="1"/>
  <c r="R698" s="1"/>
  <c r="R700" s="1"/>
  <c r="AK24"/>
  <c r="C25"/>
  <c r="AC25"/>
  <c r="C87" s="1"/>
  <c r="I2166" s="1"/>
  <c r="K2166" s="1"/>
  <c r="AK25"/>
  <c r="C26"/>
  <c r="I83"/>
  <c r="I111"/>
  <c r="AC26"/>
  <c r="C88" s="1"/>
  <c r="AK26"/>
  <c r="C27"/>
  <c r="P25" s="1"/>
  <c r="R25" s="1"/>
  <c r="AC27"/>
  <c r="C89" s="1"/>
  <c r="AK27"/>
  <c r="AC28"/>
  <c r="C90"/>
  <c r="AK28"/>
  <c r="C29"/>
  <c r="W29"/>
  <c r="AK29"/>
  <c r="C30"/>
  <c r="D30"/>
  <c r="I1014" s="1"/>
  <c r="AC30"/>
  <c r="C136"/>
  <c r="I1168"/>
  <c r="K1168" s="1"/>
  <c r="AK30"/>
  <c r="C31"/>
  <c r="P706" s="1"/>
  <c r="R706" s="1"/>
  <c r="D31"/>
  <c r="I1031" s="1"/>
  <c r="K1031" s="1"/>
  <c r="AK31"/>
  <c r="D32"/>
  <c r="AC32"/>
  <c r="C138" s="1"/>
  <c r="AK32"/>
  <c r="D33"/>
  <c r="AC33"/>
  <c r="AK33"/>
  <c r="W34"/>
  <c r="Y34"/>
  <c r="AK34"/>
  <c r="W35"/>
  <c r="AK35"/>
  <c r="W36"/>
  <c r="AK36"/>
  <c r="W37"/>
  <c r="AC38"/>
  <c r="C140"/>
  <c r="D40"/>
  <c r="C41"/>
  <c r="P53"/>
  <c r="R53" s="1"/>
  <c r="C61"/>
  <c r="P630" s="1"/>
  <c r="R630" s="1"/>
  <c r="D61"/>
  <c r="I123"/>
  <c r="C66"/>
  <c r="C67"/>
  <c r="I72" s="1"/>
  <c r="K72" s="1"/>
  <c r="P68"/>
  <c r="R68"/>
  <c r="R81"/>
  <c r="I82"/>
  <c r="K82" s="1"/>
  <c r="P82"/>
  <c r="R82"/>
  <c r="K83"/>
  <c r="P84"/>
  <c r="R84"/>
  <c r="I96"/>
  <c r="K96"/>
  <c r="K111"/>
  <c r="K123"/>
  <c r="K126" s="1"/>
  <c r="K128" s="1"/>
  <c r="K129" s="1"/>
  <c r="K132"/>
  <c r="K133" s="1"/>
  <c r="C137"/>
  <c r="I1544"/>
  <c r="K1544"/>
  <c r="C139"/>
  <c r="I140"/>
  <c r="K140"/>
  <c r="C141"/>
  <c r="I152"/>
  <c r="K152"/>
  <c r="I154"/>
  <c r="K154" s="1"/>
  <c r="K156"/>
  <c r="I167"/>
  <c r="K167"/>
  <c r="I175"/>
  <c r="K175"/>
  <c r="P180"/>
  <c r="R180"/>
  <c r="I184"/>
  <c r="K184"/>
  <c r="K185"/>
  <c r="P192"/>
  <c r="R192"/>
  <c r="I196"/>
  <c r="K196"/>
  <c r="I198"/>
  <c r="K198"/>
  <c r="P211"/>
  <c r="R211"/>
  <c r="P213"/>
  <c r="R213" s="1"/>
  <c r="P214"/>
  <c r="R214"/>
  <c r="P215"/>
  <c r="R215" s="1"/>
  <c r="P216"/>
  <c r="R216"/>
  <c r="P217"/>
  <c r="R217" s="1"/>
  <c r="P218"/>
  <c r="R218"/>
  <c r="I240"/>
  <c r="K240" s="1"/>
  <c r="K244"/>
  <c r="K255"/>
  <c r="K256"/>
  <c r="P267"/>
  <c r="R267"/>
  <c r="I273"/>
  <c r="K273"/>
  <c r="K282"/>
  <c r="P285"/>
  <c r="R285"/>
  <c r="I297"/>
  <c r="K297" s="1"/>
  <c r="P297"/>
  <c r="R297"/>
  <c r="I299"/>
  <c r="K299" s="1"/>
  <c r="P307"/>
  <c r="R307"/>
  <c r="P309"/>
  <c r="R309" s="1"/>
  <c r="H310"/>
  <c r="I312"/>
  <c r="K312"/>
  <c r="I314"/>
  <c r="K314"/>
  <c r="P320"/>
  <c r="R320"/>
  <c r="H332"/>
  <c r="F334"/>
  <c r="H334"/>
  <c r="F335"/>
  <c r="I336"/>
  <c r="K336"/>
  <c r="P336"/>
  <c r="R336"/>
  <c r="I338"/>
  <c r="K338"/>
  <c r="P338"/>
  <c r="R338"/>
  <c r="P348"/>
  <c r="R348"/>
  <c r="P350"/>
  <c r="R350"/>
  <c r="H352"/>
  <c r="F354"/>
  <c r="H354"/>
  <c r="F355"/>
  <c r="I356"/>
  <c r="K356"/>
  <c r="I358"/>
  <c r="K358"/>
  <c r="P362"/>
  <c r="R362"/>
  <c r="P364"/>
  <c r="R364"/>
  <c r="P366"/>
  <c r="R366"/>
  <c r="H376"/>
  <c r="P377"/>
  <c r="R377" s="1"/>
  <c r="F378"/>
  <c r="H378"/>
  <c r="I381"/>
  <c r="K381" s="1"/>
  <c r="I383"/>
  <c r="K383"/>
  <c r="P391"/>
  <c r="R391" s="1"/>
  <c r="H407"/>
  <c r="F409"/>
  <c r="H409"/>
  <c r="I412"/>
  <c r="K412"/>
  <c r="I414"/>
  <c r="K414"/>
  <c r="P431"/>
  <c r="R431"/>
  <c r="P432"/>
  <c r="R432"/>
  <c r="P438"/>
  <c r="R438"/>
  <c r="P439"/>
  <c r="R439"/>
  <c r="P440"/>
  <c r="R440"/>
  <c r="I445"/>
  <c r="K445"/>
  <c r="I446"/>
  <c r="K446"/>
  <c r="I448"/>
  <c r="K448"/>
  <c r="P449"/>
  <c r="R449"/>
  <c r="P450"/>
  <c r="R450"/>
  <c r="P451"/>
  <c r="R451"/>
  <c r="P456"/>
  <c r="R456"/>
  <c r="P457"/>
  <c r="R457"/>
  <c r="P458"/>
  <c r="R458"/>
  <c r="P467"/>
  <c r="R467"/>
  <c r="P468"/>
  <c r="R468"/>
  <c r="P469"/>
  <c r="R469"/>
  <c r="I474"/>
  <c r="K474"/>
  <c r="P474"/>
  <c r="R474"/>
  <c r="P475"/>
  <c r="R475"/>
  <c r="P476"/>
  <c r="R476"/>
  <c r="I481"/>
  <c r="K481"/>
  <c r="I482"/>
  <c r="K482"/>
  <c r="I484"/>
  <c r="K484"/>
  <c r="P491"/>
  <c r="R491"/>
  <c r="P493"/>
  <c r="R493"/>
  <c r="P494"/>
  <c r="R494"/>
  <c r="P495"/>
  <c r="R495"/>
  <c r="P497"/>
  <c r="R497"/>
  <c r="I499"/>
  <c r="K499"/>
  <c r="R499"/>
  <c r="I500"/>
  <c r="K500" s="1"/>
  <c r="K507"/>
  <c r="P509"/>
  <c r="R509"/>
  <c r="P511"/>
  <c r="R511"/>
  <c r="P512"/>
  <c r="R512"/>
  <c r="P513"/>
  <c r="R513"/>
  <c r="P515"/>
  <c r="R515"/>
  <c r="R517"/>
  <c r="I520"/>
  <c r="K520"/>
  <c r="J527"/>
  <c r="J528"/>
  <c r="J529"/>
  <c r="P529"/>
  <c r="R529"/>
  <c r="J530"/>
  <c r="J531"/>
  <c r="P531"/>
  <c r="R531"/>
  <c r="P532"/>
  <c r="R532"/>
  <c r="P533"/>
  <c r="R533"/>
  <c r="I535"/>
  <c r="K535"/>
  <c r="P535"/>
  <c r="R535"/>
  <c r="R537"/>
  <c r="J543"/>
  <c r="J544"/>
  <c r="J545"/>
  <c r="J546"/>
  <c r="J547"/>
  <c r="P553"/>
  <c r="R553"/>
  <c r="R566" s="1"/>
  <c r="R568" s="1"/>
  <c r="P554"/>
  <c r="R554"/>
  <c r="P555"/>
  <c r="R555"/>
  <c r="I559"/>
  <c r="K559"/>
  <c r="I560"/>
  <c r="K560"/>
  <c r="P560"/>
  <c r="R560"/>
  <c r="P561"/>
  <c r="R561"/>
  <c r="P562"/>
  <c r="R562"/>
  <c r="J568"/>
  <c r="J569"/>
  <c r="J570"/>
  <c r="J571"/>
  <c r="J572"/>
  <c r="I575"/>
  <c r="K575"/>
  <c r="I577"/>
  <c r="K577" s="1"/>
  <c r="I578"/>
  <c r="K578"/>
  <c r="J583"/>
  <c r="J584"/>
  <c r="J585"/>
  <c r="J586"/>
  <c r="J587"/>
  <c r="I590"/>
  <c r="K590"/>
  <c r="I592"/>
  <c r="K592"/>
  <c r="C593"/>
  <c r="I593"/>
  <c r="K593"/>
  <c r="P600"/>
  <c r="R600" s="1"/>
  <c r="P607"/>
  <c r="R607"/>
  <c r="P618"/>
  <c r="R618" s="1"/>
  <c r="P620"/>
  <c r="R620"/>
  <c r="I622"/>
  <c r="K622" s="1"/>
  <c r="P636"/>
  <c r="R636" s="1"/>
  <c r="P637"/>
  <c r="R637"/>
  <c r="P638"/>
  <c r="R638" s="1"/>
  <c r="I643"/>
  <c r="K643"/>
  <c r="I644"/>
  <c r="K644"/>
  <c r="K645"/>
  <c r="K647" s="1"/>
  <c r="K649" s="1"/>
  <c r="K650" s="1"/>
  <c r="K651" s="1"/>
  <c r="K652" s="1"/>
  <c r="K653" s="1"/>
  <c r="P648"/>
  <c r="R648"/>
  <c r="R652"/>
  <c r="P658"/>
  <c r="R658" s="1"/>
  <c r="R662" s="1"/>
  <c r="I662"/>
  <c r="K662"/>
  <c r="K667" s="1"/>
  <c r="K669" s="1"/>
  <c r="K670" s="1"/>
  <c r="K671" s="1"/>
  <c r="K672" s="1"/>
  <c r="K673" s="1"/>
  <c r="I663"/>
  <c r="K663"/>
  <c r="K664"/>
  <c r="P668"/>
  <c r="R668"/>
  <c r="R672"/>
  <c r="P679"/>
  <c r="R679"/>
  <c r="R683"/>
  <c r="I680"/>
  <c r="K680" s="1"/>
  <c r="K686" s="1"/>
  <c r="I688" s="1"/>
  <c r="K688" s="1"/>
  <c r="I681"/>
  <c r="K681"/>
  <c r="I683"/>
  <c r="K683"/>
  <c r="I689"/>
  <c r="K689"/>
  <c r="I690"/>
  <c r="K690"/>
  <c r="P690"/>
  <c r="R690"/>
  <c r="P691"/>
  <c r="R691"/>
  <c r="P692"/>
  <c r="R692"/>
  <c r="P693"/>
  <c r="R693"/>
  <c r="P694"/>
  <c r="R694"/>
  <c r="P695"/>
  <c r="R695"/>
  <c r="P705"/>
  <c r="R705"/>
  <c r="I706"/>
  <c r="I2361" s="1"/>
  <c r="K706"/>
  <c r="P707"/>
  <c r="R707"/>
  <c r="I708"/>
  <c r="K708"/>
  <c r="P708"/>
  <c r="R708"/>
  <c r="P709"/>
  <c r="R709"/>
  <c r="P710"/>
  <c r="R710"/>
  <c r="P721"/>
  <c r="R721"/>
  <c r="I722"/>
  <c r="K722"/>
  <c r="I743" s="1"/>
  <c r="K743" s="1"/>
  <c r="P722"/>
  <c r="R722"/>
  <c r="I723"/>
  <c r="K723"/>
  <c r="P723"/>
  <c r="R723"/>
  <c r="K724"/>
  <c r="P724"/>
  <c r="R724"/>
  <c r="I725"/>
  <c r="K725" s="1"/>
  <c r="P725"/>
  <c r="R725"/>
  <c r="I726"/>
  <c r="K726" s="1"/>
  <c r="P726"/>
  <c r="R726"/>
  <c r="I727"/>
  <c r="K727" s="1"/>
  <c r="K728"/>
  <c r="K729"/>
  <c r="R740"/>
  <c r="R745"/>
  <c r="I746"/>
  <c r="K746"/>
  <c r="I747"/>
  <c r="K747" s="1"/>
  <c r="I748"/>
  <c r="K748"/>
  <c r="I749"/>
  <c r="K749" s="1"/>
  <c r="K750"/>
  <c r="K751"/>
  <c r="K752"/>
  <c r="R753"/>
  <c r="A754"/>
  <c r="P762"/>
  <c r="R762"/>
  <c r="R769" s="1"/>
  <c r="R771" s="1"/>
  <c r="P764"/>
  <c r="R764"/>
  <c r="I772"/>
  <c r="K772"/>
  <c r="I774"/>
  <c r="K774"/>
  <c r="I775"/>
  <c r="K775"/>
  <c r="I776"/>
  <c r="K776"/>
  <c r="R779"/>
  <c r="P782"/>
  <c r="R782"/>
  <c r="I783"/>
  <c r="K783" s="1"/>
  <c r="R783"/>
  <c r="R784"/>
  <c r="R785"/>
  <c r="R786"/>
  <c r="R788"/>
  <c r="R789"/>
  <c r="R792"/>
  <c r="R798"/>
  <c r="P801"/>
  <c r="R801"/>
  <c r="R802"/>
  <c r="R803"/>
  <c r="R804"/>
  <c r="R805"/>
  <c r="R806"/>
  <c r="R807"/>
  <c r="R810"/>
  <c r="K817"/>
  <c r="K818"/>
  <c r="K819"/>
  <c r="K820"/>
  <c r="I821"/>
  <c r="K821"/>
  <c r="I822"/>
  <c r="K822"/>
  <c r="K823"/>
  <c r="I824"/>
  <c r="K824" s="1"/>
  <c r="R834"/>
  <c r="K835"/>
  <c r="K836"/>
  <c r="K837"/>
  <c r="P837"/>
  <c r="R837"/>
  <c r="K838"/>
  <c r="R838"/>
  <c r="I839"/>
  <c r="K839"/>
  <c r="R839"/>
  <c r="I840"/>
  <c r="K840"/>
  <c r="R840"/>
  <c r="K841"/>
  <c r="R841"/>
  <c r="I843"/>
  <c r="K843"/>
  <c r="R843"/>
  <c r="R844"/>
  <c r="R847"/>
  <c r="K853"/>
  <c r="K854"/>
  <c r="H855"/>
  <c r="K855"/>
  <c r="P855"/>
  <c r="R855"/>
  <c r="K856"/>
  <c r="P856"/>
  <c r="R856"/>
  <c r="R858"/>
  <c r="R860" s="1"/>
  <c r="I857"/>
  <c r="K857"/>
  <c r="I858"/>
  <c r="K858" s="1"/>
  <c r="H859"/>
  <c r="K859"/>
  <c r="I860"/>
  <c r="K860" s="1"/>
  <c r="R869"/>
  <c r="R870"/>
  <c r="R875" s="1"/>
  <c r="R871"/>
  <c r="I880"/>
  <c r="K880"/>
  <c r="I887"/>
  <c r="K887" s="1"/>
  <c r="I914"/>
  <c r="K914"/>
  <c r="I915"/>
  <c r="K915" s="1"/>
  <c r="I916"/>
  <c r="K916"/>
  <c r="I917"/>
  <c r="K917" s="1"/>
  <c r="I918"/>
  <c r="K918"/>
  <c r="I919"/>
  <c r="K919" s="1"/>
  <c r="I920"/>
  <c r="K920"/>
  <c r="I949"/>
  <c r="K949" s="1"/>
  <c r="I950"/>
  <c r="K950"/>
  <c r="I951"/>
  <c r="K951" s="1"/>
  <c r="I952"/>
  <c r="K952"/>
  <c r="I953"/>
  <c r="K953" s="1"/>
  <c r="I954"/>
  <c r="K954"/>
  <c r="I955"/>
  <c r="K955" s="1"/>
  <c r="I978"/>
  <c r="K978"/>
  <c r="I979"/>
  <c r="K979" s="1"/>
  <c r="I980"/>
  <c r="K980"/>
  <c r="I981"/>
  <c r="K981" s="1"/>
  <c r="I982"/>
  <c r="K982"/>
  <c r="I983"/>
  <c r="K983" s="1"/>
  <c r="I984"/>
  <c r="K984"/>
  <c r="I1013"/>
  <c r="I2524" s="1"/>
  <c r="K2524" s="1"/>
  <c r="I1015"/>
  <c r="I2526" s="1"/>
  <c r="K2526" s="1"/>
  <c r="I1016"/>
  <c r="K1016"/>
  <c r="I1017"/>
  <c r="I2528" s="1"/>
  <c r="K2528" s="1"/>
  <c r="I1018"/>
  <c r="K1018"/>
  <c r="I1019"/>
  <c r="I2530" s="1"/>
  <c r="K2530" s="1"/>
  <c r="I1020"/>
  <c r="K1020"/>
  <c r="I1030"/>
  <c r="K1030" s="1"/>
  <c r="I1032"/>
  <c r="K1032" s="1"/>
  <c r="I1033"/>
  <c r="K1033"/>
  <c r="I1034"/>
  <c r="K1034" s="1"/>
  <c r="I1035"/>
  <c r="K1035"/>
  <c r="I1045"/>
  <c r="K1045" s="1"/>
  <c r="I1047"/>
  <c r="K1047" s="1"/>
  <c r="I1048"/>
  <c r="K1048"/>
  <c r="I1049"/>
  <c r="K1049" s="1"/>
  <c r="I1050"/>
  <c r="K1050"/>
  <c r="I1060"/>
  <c r="K1060" s="1"/>
  <c r="I1061"/>
  <c r="K1061"/>
  <c r="I1062"/>
  <c r="K1062" s="1"/>
  <c r="I1063"/>
  <c r="K1063"/>
  <c r="I1064"/>
  <c r="K1064" s="1"/>
  <c r="I1085"/>
  <c r="K1085"/>
  <c r="K1086"/>
  <c r="K1088"/>
  <c r="I1089"/>
  <c r="K1089" s="1"/>
  <c r="K1090"/>
  <c r="K1091"/>
  <c r="I1101"/>
  <c r="K1101" s="1"/>
  <c r="I1102"/>
  <c r="K1102" s="1"/>
  <c r="I1103"/>
  <c r="K1103"/>
  <c r="I1104"/>
  <c r="K1104" s="1"/>
  <c r="I1114"/>
  <c r="K1114"/>
  <c r="I1115"/>
  <c r="K1115"/>
  <c r="I1116"/>
  <c r="K1116" s="1"/>
  <c r="K1120" s="1"/>
  <c r="K1122" s="1"/>
  <c r="I1117"/>
  <c r="K1117"/>
  <c r="I1131"/>
  <c r="K1131" s="1"/>
  <c r="K1138" s="1"/>
  <c r="K1140" s="1"/>
  <c r="K1132"/>
  <c r="K1133"/>
  <c r="I1146"/>
  <c r="K1146"/>
  <c r="I1156"/>
  <c r="K1156" s="1"/>
  <c r="I1157"/>
  <c r="K1157"/>
  <c r="I1158"/>
  <c r="K1158" s="1"/>
  <c r="I1172"/>
  <c r="K1172"/>
  <c r="I1173"/>
  <c r="K1173" s="1"/>
  <c r="I1174"/>
  <c r="K1174"/>
  <c r="I1175"/>
  <c r="K1175" s="1"/>
  <c r="I1176"/>
  <c r="K1176"/>
  <c r="I1177"/>
  <c r="K1177" s="1"/>
  <c r="I1178"/>
  <c r="K1178"/>
  <c r="I1179"/>
  <c r="K1179" s="1"/>
  <c r="I1181"/>
  <c r="K1181"/>
  <c r="I1182"/>
  <c r="K1182" s="1"/>
  <c r="I1183"/>
  <c r="K1183"/>
  <c r="I1184"/>
  <c r="K1184" s="1"/>
  <c r="I1185"/>
  <c r="K1185"/>
  <c r="I1198"/>
  <c r="K1198" s="1"/>
  <c r="I1201"/>
  <c r="K1201"/>
  <c r="I1202"/>
  <c r="K1202" s="1"/>
  <c r="I1203"/>
  <c r="K1203"/>
  <c r="I1204"/>
  <c r="K1204" s="1"/>
  <c r="I1205"/>
  <c r="K1205"/>
  <c r="I1206"/>
  <c r="K1206" s="1"/>
  <c r="I1207"/>
  <c r="K1207"/>
  <c r="I1208"/>
  <c r="K1208" s="1"/>
  <c r="I1209"/>
  <c r="K1209"/>
  <c r="I1219"/>
  <c r="K1219" s="1"/>
  <c r="I1220"/>
  <c r="K1220"/>
  <c r="I1222"/>
  <c r="K1222" s="1"/>
  <c r="I1223"/>
  <c r="K1223"/>
  <c r="I1236"/>
  <c r="K1236" s="1"/>
  <c r="I1237"/>
  <c r="K1237"/>
  <c r="I1238"/>
  <c r="K1238" s="1"/>
  <c r="I1239"/>
  <c r="K1239"/>
  <c r="I1255"/>
  <c r="K1255" s="1"/>
  <c r="I1256"/>
  <c r="K1256"/>
  <c r="I1257"/>
  <c r="K1257" s="1"/>
  <c r="I1269"/>
  <c r="K1269"/>
  <c r="I1270"/>
  <c r="K1270" s="1"/>
  <c r="I1271"/>
  <c r="K1271"/>
  <c r="I1288"/>
  <c r="K1288" s="1"/>
  <c r="I1289"/>
  <c r="K1289"/>
  <c r="I1290"/>
  <c r="K1290" s="1"/>
  <c r="I1291"/>
  <c r="K1291"/>
  <c r="I1292"/>
  <c r="K1292" s="1"/>
  <c r="I1307"/>
  <c r="K1307"/>
  <c r="I1310"/>
  <c r="K1310" s="1"/>
  <c r="I1311"/>
  <c r="K1311"/>
  <c r="I1312"/>
  <c r="K1312" s="1"/>
  <c r="I1313"/>
  <c r="K1313"/>
  <c r="I1314"/>
  <c r="K1314" s="1"/>
  <c r="I1325"/>
  <c r="K1325"/>
  <c r="I1326"/>
  <c r="K1326" s="1"/>
  <c r="I1327"/>
  <c r="K1327"/>
  <c r="I1338"/>
  <c r="K1338" s="1"/>
  <c r="I1339"/>
  <c r="K1339"/>
  <c r="I1340"/>
  <c r="K1340" s="1"/>
  <c r="I1350"/>
  <c r="K1350"/>
  <c r="I1351"/>
  <c r="K1351" s="1"/>
  <c r="I1352"/>
  <c r="K1352"/>
  <c r="I1365"/>
  <c r="K1365" s="1"/>
  <c r="I1366"/>
  <c r="K1366"/>
  <c r="I1367"/>
  <c r="K1367" s="1"/>
  <c r="I1368"/>
  <c r="K1368"/>
  <c r="I1385"/>
  <c r="K1385" s="1"/>
  <c r="I1386"/>
  <c r="K1386"/>
  <c r="I1397"/>
  <c r="K1397" s="1"/>
  <c r="I1398"/>
  <c r="K1398"/>
  <c r="I1410"/>
  <c r="K1410" s="1"/>
  <c r="I1411"/>
  <c r="K1411"/>
  <c r="I1422"/>
  <c r="K1422" s="1"/>
  <c r="I1423"/>
  <c r="K1423"/>
  <c r="I1424"/>
  <c r="K1424" s="1"/>
  <c r="I1436"/>
  <c r="K1436"/>
  <c r="I1437"/>
  <c r="K1437"/>
  <c r="I1438"/>
  <c r="K1438" s="1"/>
  <c r="K1442" s="1"/>
  <c r="K1444" s="1"/>
  <c r="I1439"/>
  <c r="K1439"/>
  <c r="K1448"/>
  <c r="I1449"/>
  <c r="K1449"/>
  <c r="I1450"/>
  <c r="K1450"/>
  <c r="I1451"/>
  <c r="K1451"/>
  <c r="I1463"/>
  <c r="K1463"/>
  <c r="I1464"/>
  <c r="K1464"/>
  <c r="I1465"/>
  <c r="K1465"/>
  <c r="I1466"/>
  <c r="K1466"/>
  <c r="I1478"/>
  <c r="K1478"/>
  <c r="I1479"/>
  <c r="K1479"/>
  <c r="I1490"/>
  <c r="K1490"/>
  <c r="I1492"/>
  <c r="K1492"/>
  <c r="K1493"/>
  <c r="I1494"/>
  <c r="K1494" s="1"/>
  <c r="I1495"/>
  <c r="K1495"/>
  <c r="I1505"/>
  <c r="K1505"/>
  <c r="I1506"/>
  <c r="K1506" s="1"/>
  <c r="O1506"/>
  <c r="I1507"/>
  <c r="K1507"/>
  <c r="O1507"/>
  <c r="I1508"/>
  <c r="K1508"/>
  <c r="K1509"/>
  <c r="I1518"/>
  <c r="K1518"/>
  <c r="I1519"/>
  <c r="K1519"/>
  <c r="I1520"/>
  <c r="K1520"/>
  <c r="I1521"/>
  <c r="K1521"/>
  <c r="K1522"/>
  <c r="I1533"/>
  <c r="K1533"/>
  <c r="I1534"/>
  <c r="K1534" s="1"/>
  <c r="I1545"/>
  <c r="K1545"/>
  <c r="I1546"/>
  <c r="K1546" s="1"/>
  <c r="I1557"/>
  <c r="K1557"/>
  <c r="I1558"/>
  <c r="K1558" s="1"/>
  <c r="I1559"/>
  <c r="K1559"/>
  <c r="I1560"/>
  <c r="K1560" s="1"/>
  <c r="I1561"/>
  <c r="K1561"/>
  <c r="I1562"/>
  <c r="K1562" s="1"/>
  <c r="I1576"/>
  <c r="K1576"/>
  <c r="I1577"/>
  <c r="K1577" s="1"/>
  <c r="I1578"/>
  <c r="K1578"/>
  <c r="I1579"/>
  <c r="K1579" s="1"/>
  <c r="K1597"/>
  <c r="K1598"/>
  <c r="K1601" s="1"/>
  <c r="K1609"/>
  <c r="K1613"/>
  <c r="K1618"/>
  <c r="K1621"/>
  <c r="K1625"/>
  <c r="K1628"/>
  <c r="I1638"/>
  <c r="K1638"/>
  <c r="I1639"/>
  <c r="K1639"/>
  <c r="I1640"/>
  <c r="K1640"/>
  <c r="K1652"/>
  <c r="K1653"/>
  <c r="K1654"/>
  <c r="I1681"/>
  <c r="K1681" s="1"/>
  <c r="K1682"/>
  <c r="K1685"/>
  <c r="K1686"/>
  <c r="K1687"/>
  <c r="I1688"/>
  <c r="K1688"/>
  <c r="K1699"/>
  <c r="K1700"/>
  <c r="K1701"/>
  <c r="I1703"/>
  <c r="K1703"/>
  <c r="K1713"/>
  <c r="K1714"/>
  <c r="I1715"/>
  <c r="K1715"/>
  <c r="K1716"/>
  <c r="K1717"/>
  <c r="K1724"/>
  <c r="K1727"/>
  <c r="I1735"/>
  <c r="K1735"/>
  <c r="I1737"/>
  <c r="K1737"/>
  <c r="I1738"/>
  <c r="K1738"/>
  <c r="I1739"/>
  <c r="K1739"/>
  <c r="I1740"/>
  <c r="K1740"/>
  <c r="I1741"/>
  <c r="K1741"/>
  <c r="I1742"/>
  <c r="K1742"/>
  <c r="I1753"/>
  <c r="K1753"/>
  <c r="I1755"/>
  <c r="K1755"/>
  <c r="I1756"/>
  <c r="K1756"/>
  <c r="I1757"/>
  <c r="K1757"/>
  <c r="I1758"/>
  <c r="K1758"/>
  <c r="I1759"/>
  <c r="K1759"/>
  <c r="I1760"/>
  <c r="K1760"/>
  <c r="I1771"/>
  <c r="K1771"/>
  <c r="I1773"/>
  <c r="K1773"/>
  <c r="I1774"/>
  <c r="K1774"/>
  <c r="I1775"/>
  <c r="K1775"/>
  <c r="I1776"/>
  <c r="K1776"/>
  <c r="I1777"/>
  <c r="K1777"/>
  <c r="I1778"/>
  <c r="K1778"/>
  <c r="I1801"/>
  <c r="I1802"/>
  <c r="K1802"/>
  <c r="I1809"/>
  <c r="I1810" s="1"/>
  <c r="K1810" s="1"/>
  <c r="I1817"/>
  <c r="I1818" s="1"/>
  <c r="K1818" s="1"/>
  <c r="I1829"/>
  <c r="K1829" s="1"/>
  <c r="I1830"/>
  <c r="K1830"/>
  <c r="I1832"/>
  <c r="K1832" s="1"/>
  <c r="I1833"/>
  <c r="K1833"/>
  <c r="I1834"/>
  <c r="K1834" s="1"/>
  <c r="I1835"/>
  <c r="K1835"/>
  <c r="I1844"/>
  <c r="I1845" s="1"/>
  <c r="K1845" s="1"/>
  <c r="I1858"/>
  <c r="K1858" s="1"/>
  <c r="I1865"/>
  <c r="K1865"/>
  <c r="I1866"/>
  <c r="K1866" s="1"/>
  <c r="I1867"/>
  <c r="K1867"/>
  <c r="I1890"/>
  <c r="K1890" s="1"/>
  <c r="I1891"/>
  <c r="K1891"/>
  <c r="I1892"/>
  <c r="K1892" s="1"/>
  <c r="I1894"/>
  <c r="K1894"/>
  <c r="I1895"/>
  <c r="K1895" s="1"/>
  <c r="I1896"/>
  <c r="K1896"/>
  <c r="I1908"/>
  <c r="K1908" s="1"/>
  <c r="I1915"/>
  <c r="K1915"/>
  <c r="I1916"/>
  <c r="K1916" s="1"/>
  <c r="I1917"/>
  <c r="K1917"/>
  <c r="I1928"/>
  <c r="K1928" s="1"/>
  <c r="K1938" s="1"/>
  <c r="I1930"/>
  <c r="K1930"/>
  <c r="I1931"/>
  <c r="K1931"/>
  <c r="I1932"/>
  <c r="K1932"/>
  <c r="I1934"/>
  <c r="K1934"/>
  <c r="I1935"/>
  <c r="K1935"/>
  <c r="I1947"/>
  <c r="K1947"/>
  <c r="I1949"/>
  <c r="K1949"/>
  <c r="I1950"/>
  <c r="K1950"/>
  <c r="I1951"/>
  <c r="K1951"/>
  <c r="I1953"/>
  <c r="K1953"/>
  <c r="I1954"/>
  <c r="K1954"/>
  <c r="I1972"/>
  <c r="K1972"/>
  <c r="I1973"/>
  <c r="K1973"/>
  <c r="I1974"/>
  <c r="K1974"/>
  <c r="K1984" s="1"/>
  <c r="K1986" s="1"/>
  <c r="I1975"/>
  <c r="K1975"/>
  <c r="I1976"/>
  <c r="K1976"/>
  <c r="I1977"/>
  <c r="K1977"/>
  <c r="I1978"/>
  <c r="K1978"/>
  <c r="I1996"/>
  <c r="K1996"/>
  <c r="I1997"/>
  <c r="K1997"/>
  <c r="I1998"/>
  <c r="K1998"/>
  <c r="K2008" s="1"/>
  <c r="K2010" s="1"/>
  <c r="I1999"/>
  <c r="K1999"/>
  <c r="I2000"/>
  <c r="K2000"/>
  <c r="I2001"/>
  <c r="K2001"/>
  <c r="I2002"/>
  <c r="K2002"/>
  <c r="K2016"/>
  <c r="K2017"/>
  <c r="K2018"/>
  <c r="K2021" s="1"/>
  <c r="I2027"/>
  <c r="K2027"/>
  <c r="I2029"/>
  <c r="K2029"/>
  <c r="I2030"/>
  <c r="K2030"/>
  <c r="I2031"/>
  <c r="K2031"/>
  <c r="I2039"/>
  <c r="K2039"/>
  <c r="K2042"/>
  <c r="I2047"/>
  <c r="K2047" s="1"/>
  <c r="I2048"/>
  <c r="K2048"/>
  <c r="I2049"/>
  <c r="K2049" s="1"/>
  <c r="I2050"/>
  <c r="K2050"/>
  <c r="I2052"/>
  <c r="K2052" s="1"/>
  <c r="I2053"/>
  <c r="K2053"/>
  <c r="I2054"/>
  <c r="K2054" s="1"/>
  <c r="I2055"/>
  <c r="K2055"/>
  <c r="I2056"/>
  <c r="K2056" s="1"/>
  <c r="I2067"/>
  <c r="K2067"/>
  <c r="I2068"/>
  <c r="K2068" s="1"/>
  <c r="I2069"/>
  <c r="K2069"/>
  <c r="I2070"/>
  <c r="K2070" s="1"/>
  <c r="I2072"/>
  <c r="K2072"/>
  <c r="I2073"/>
  <c r="K2073" s="1"/>
  <c r="K2077" s="1"/>
  <c r="I2074"/>
  <c r="K2074"/>
  <c r="I2075"/>
  <c r="K2075"/>
  <c r="I2076"/>
  <c r="K2076"/>
  <c r="I2086"/>
  <c r="K2086"/>
  <c r="I2087"/>
  <c r="K2087"/>
  <c r="I2088"/>
  <c r="K2088"/>
  <c r="H2097"/>
  <c r="I2099"/>
  <c r="K2099" s="1"/>
  <c r="K2103" s="1"/>
  <c r="K2105" s="1"/>
  <c r="K2107" s="1"/>
  <c r="I2100"/>
  <c r="K2100"/>
  <c r="I2101"/>
  <c r="K2101"/>
  <c r="I2112"/>
  <c r="K2112"/>
  <c r="K2116"/>
  <c r="I2125"/>
  <c r="K2125" s="1"/>
  <c r="K2129" s="1"/>
  <c r="I2135"/>
  <c r="K2135"/>
  <c r="K2139" s="1"/>
  <c r="I2144"/>
  <c r="K2144"/>
  <c r="K2148"/>
  <c r="I2167"/>
  <c r="K2167"/>
  <c r="I2168"/>
  <c r="K2168"/>
  <c r="I2169"/>
  <c r="K2169"/>
  <c r="I2170"/>
  <c r="K2170"/>
  <c r="K2171"/>
  <c r="I2172"/>
  <c r="K2172"/>
  <c r="K2218"/>
  <c r="K2225" s="1"/>
  <c r="K2227" s="1"/>
  <c r="I2219"/>
  <c r="K2219"/>
  <c r="I2220"/>
  <c r="K2220"/>
  <c r="I2221"/>
  <c r="K2221"/>
  <c r="I2222"/>
  <c r="K2222"/>
  <c r="K2232"/>
  <c r="K2233"/>
  <c r="K2234"/>
  <c r="K2235"/>
  <c r="I2236"/>
  <c r="K2236" s="1"/>
  <c r="I2237"/>
  <c r="K2237"/>
  <c r="I2262"/>
  <c r="I2664" s="1"/>
  <c r="K2664" s="1"/>
  <c r="K2263"/>
  <c r="K2265"/>
  <c r="K2266"/>
  <c r="K2267"/>
  <c r="K2268"/>
  <c r="I2307"/>
  <c r="K2307"/>
  <c r="I2308"/>
  <c r="K2308"/>
  <c r="K2309"/>
  <c r="K2310"/>
  <c r="K2321"/>
  <c r="K2322"/>
  <c r="K2323"/>
  <c r="K2324"/>
  <c r="K2325"/>
  <c r="K2326"/>
  <c r="I2327"/>
  <c r="K2327"/>
  <c r="I2328"/>
  <c r="K2328"/>
  <c r="I2362"/>
  <c r="K2362"/>
  <c r="K2363"/>
  <c r="I2368"/>
  <c r="K2368"/>
  <c r="I2369"/>
  <c r="K2369" s="1"/>
  <c r="K2370"/>
  <c r="I2371"/>
  <c r="I2388"/>
  <c r="K2388" s="1"/>
  <c r="I2372"/>
  <c r="I2389" s="1"/>
  <c r="K2389" s="1"/>
  <c r="K2372"/>
  <c r="I2373"/>
  <c r="K2373" s="1"/>
  <c r="K2375"/>
  <c r="I2424"/>
  <c r="K2424"/>
  <c r="K2426"/>
  <c r="I2427"/>
  <c r="K2427"/>
  <c r="I2428"/>
  <c r="I2442" s="1"/>
  <c r="K2442" s="1"/>
  <c r="I2429"/>
  <c r="K2429"/>
  <c r="K2430"/>
  <c r="K2431"/>
  <c r="I2441"/>
  <c r="K2441" s="1"/>
  <c r="I2466"/>
  <c r="K2466" s="1"/>
  <c r="I2467"/>
  <c r="K2467"/>
  <c r="K2469"/>
  <c r="K2470"/>
  <c r="K2490"/>
  <c r="K2493"/>
  <c r="K2497"/>
  <c r="K2498"/>
  <c r="K2505"/>
  <c r="K2509" s="1"/>
  <c r="K2510" s="1"/>
  <c r="I2499" s="1"/>
  <c r="K2499" s="1"/>
  <c r="K2506"/>
  <c r="K2507"/>
  <c r="I2527"/>
  <c r="K2527" s="1"/>
  <c r="I2529"/>
  <c r="K2529" s="1"/>
  <c r="I2531"/>
  <c r="K2531" s="1"/>
  <c r="K2557"/>
  <c r="I2558"/>
  <c r="I2589"/>
  <c r="K2589" s="1"/>
  <c r="I2559"/>
  <c r="I2590" s="1"/>
  <c r="K2590" s="1"/>
  <c r="K2559"/>
  <c r="I2560"/>
  <c r="I2591" s="1"/>
  <c r="K2591" s="1"/>
  <c r="I2561"/>
  <c r="K2561"/>
  <c r="I2562"/>
  <c r="I2593"/>
  <c r="K2593"/>
  <c r="I2563"/>
  <c r="K2563" s="1"/>
  <c r="I2564"/>
  <c r="I2595"/>
  <c r="K2595"/>
  <c r="I2592"/>
  <c r="K2592"/>
  <c r="K2604"/>
  <c r="I2605"/>
  <c r="K2605"/>
  <c r="I2606"/>
  <c r="K2606"/>
  <c r="K2609" s="1"/>
  <c r="I2607"/>
  <c r="K2607"/>
  <c r="I2624"/>
  <c r="K2624"/>
  <c r="I2625"/>
  <c r="K2625"/>
  <c r="K2626"/>
  <c r="K2633"/>
  <c r="K2643" s="1"/>
  <c r="K2645" s="1"/>
  <c r="K2634"/>
  <c r="K2635"/>
  <c r="K2636"/>
  <c r="K2637"/>
  <c r="K2638"/>
  <c r="K2639"/>
  <c r="K2640"/>
  <c r="I2665"/>
  <c r="K2665" s="1"/>
  <c r="I2667"/>
  <c r="K2667"/>
  <c r="I2668"/>
  <c r="K2668" s="1"/>
  <c r="I2669"/>
  <c r="K2669"/>
  <c r="I2670"/>
  <c r="K2670" s="1"/>
  <c r="K2680"/>
  <c r="I2694"/>
  <c r="K2694"/>
  <c r="K2700"/>
  <c r="K2701"/>
  <c r="K2707"/>
  <c r="K2710" s="1"/>
  <c r="K2711" s="1"/>
  <c r="K2703" s="1"/>
  <c r="K2708"/>
  <c r="K2715"/>
  <c r="K2716"/>
  <c r="K2723"/>
  <c r="K2724"/>
  <c r="K2725"/>
  <c r="K2727" s="1"/>
  <c r="K2728" s="1"/>
  <c r="K2717" s="1"/>
  <c r="K2732"/>
  <c r="K2736" s="1"/>
  <c r="K2733"/>
  <c r="K2734"/>
  <c r="K2735"/>
  <c r="K2743"/>
  <c r="K2745"/>
  <c r="K2748"/>
  <c r="K2744"/>
  <c r="K2752"/>
  <c r="K2753"/>
  <c r="K2754"/>
  <c r="K2755"/>
  <c r="K2756"/>
  <c r="K2757"/>
  <c r="K2783"/>
  <c r="K2792" s="1"/>
  <c r="K2794" s="1"/>
  <c r="K2784"/>
  <c r="K2785"/>
  <c r="K2786"/>
  <c r="K2787"/>
  <c r="K2788"/>
  <c r="I2789"/>
  <c r="K2789" s="1"/>
  <c r="I2790"/>
  <c r="K2790"/>
  <c r="K2798"/>
  <c r="K2799"/>
  <c r="K2807"/>
  <c r="K2810"/>
  <c r="K2811"/>
  <c r="K2802" s="1"/>
  <c r="K2808"/>
  <c r="K2815"/>
  <c r="K2816"/>
  <c r="K2817"/>
  <c r="K2818"/>
  <c r="K2825"/>
  <c r="K2826"/>
  <c r="K2829" s="1"/>
  <c r="K2830" s="1"/>
  <c r="I2819" s="1"/>
  <c r="K2819" s="1"/>
  <c r="K2827"/>
  <c r="I2843"/>
  <c r="I2905" s="1"/>
  <c r="I2844"/>
  <c r="I2906" s="1"/>
  <c r="K2906" s="1"/>
  <c r="I2845"/>
  <c r="K2845" s="1"/>
  <c r="I2846"/>
  <c r="K2846" s="1"/>
  <c r="K2847"/>
  <c r="R2848"/>
  <c r="I2849"/>
  <c r="I3801" s="1"/>
  <c r="K3801" s="1"/>
  <c r="I2850"/>
  <c r="I3802" s="1"/>
  <c r="K3802" s="1"/>
  <c r="I2851"/>
  <c r="P2853" s="1"/>
  <c r="R2853" s="1"/>
  <c r="P2851"/>
  <c r="P2884" s="1"/>
  <c r="R2884" s="1"/>
  <c r="I2852"/>
  <c r="I2854"/>
  <c r="I3005" s="1"/>
  <c r="K3005" s="1"/>
  <c r="I2855"/>
  <c r="I3809" s="1"/>
  <c r="K3809" s="1"/>
  <c r="K3874" s="1"/>
  <c r="R2855"/>
  <c r="I2856"/>
  <c r="I3810" s="1"/>
  <c r="K3810" s="1"/>
  <c r="R2856"/>
  <c r="L2860"/>
  <c r="R2860"/>
  <c r="T2863"/>
  <c r="I2866"/>
  <c r="I3503" s="1"/>
  <c r="I2867"/>
  <c r="I3158" s="1"/>
  <c r="I2868"/>
  <c r="I3922" s="1"/>
  <c r="K3922" s="1"/>
  <c r="I2869"/>
  <c r="I2760" s="1"/>
  <c r="K2760" s="1"/>
  <c r="I2870"/>
  <c r="I2871"/>
  <c r="I2872"/>
  <c r="K2872" s="1"/>
  <c r="K2881"/>
  <c r="P2881"/>
  <c r="R2881" s="1"/>
  <c r="L2884"/>
  <c r="P2888"/>
  <c r="R2888" s="1"/>
  <c r="R2889"/>
  <c r="K2894"/>
  <c r="K2895"/>
  <c r="K2896"/>
  <c r="S2896"/>
  <c r="L2899"/>
  <c r="H2905"/>
  <c r="H2909"/>
  <c r="H2910"/>
  <c r="H2936"/>
  <c r="H2911"/>
  <c r="K2912"/>
  <c r="L2921"/>
  <c r="I2923"/>
  <c r="K2925"/>
  <c r="K2935"/>
  <c r="M2935"/>
  <c r="H2937"/>
  <c r="L2945"/>
  <c r="I2957"/>
  <c r="K2957" s="1"/>
  <c r="L2957"/>
  <c r="M2957" s="1"/>
  <c r="N2957" s="1"/>
  <c r="L2965"/>
  <c r="I2984"/>
  <c r="K2984" s="1"/>
  <c r="I2999"/>
  <c r="K2999"/>
  <c r="L3011"/>
  <c r="K3020"/>
  <c r="M3023"/>
  <c r="I3035"/>
  <c r="K3035"/>
  <c r="L3044"/>
  <c r="L3063"/>
  <c r="R3071"/>
  <c r="K3078"/>
  <c r="L3080"/>
  <c r="K3088"/>
  <c r="K3090"/>
  <c r="L3092"/>
  <c r="K3098"/>
  <c r="I3101"/>
  <c r="P3074" s="1"/>
  <c r="R3074" s="1"/>
  <c r="L3105"/>
  <c r="I3112"/>
  <c r="I3494"/>
  <c r="P3112"/>
  <c r="R3112" s="1"/>
  <c r="K3113"/>
  <c r="P3113"/>
  <c r="R3113"/>
  <c r="S3118"/>
  <c r="L3119"/>
  <c r="R3126"/>
  <c r="P3127"/>
  <c r="R3127"/>
  <c r="K3132"/>
  <c r="K3150"/>
  <c r="K3151"/>
  <c r="K3169"/>
  <c r="I3170"/>
  <c r="K3170" s="1"/>
  <c r="K3180"/>
  <c r="K3182"/>
  <c r="K3191"/>
  <c r="K3192"/>
  <c r="K3206"/>
  <c r="I3207"/>
  <c r="K3207"/>
  <c r="K3217"/>
  <c r="K3219"/>
  <c r="J3222"/>
  <c r="M3222"/>
  <c r="N3222"/>
  <c r="I3222"/>
  <c r="K3230"/>
  <c r="I3231"/>
  <c r="K3231"/>
  <c r="K3232"/>
  <c r="K3240"/>
  <c r="K3241"/>
  <c r="K3257"/>
  <c r="I3258"/>
  <c r="K3258" s="1"/>
  <c r="I3259"/>
  <c r="I3274"/>
  <c r="K3274"/>
  <c r="K3289"/>
  <c r="K3290"/>
  <c r="I3306"/>
  <c r="K3306" s="1"/>
  <c r="I3307"/>
  <c r="K3307" s="1"/>
  <c r="I3308"/>
  <c r="K3308" s="1"/>
  <c r="I3309"/>
  <c r="K3309" s="1"/>
  <c r="I3310"/>
  <c r="I3311"/>
  <c r="I3312"/>
  <c r="K3312" s="1"/>
  <c r="I3313"/>
  <c r="K3313" s="1"/>
  <c r="I3314"/>
  <c r="K3314" s="1"/>
  <c r="I3315"/>
  <c r="K3315" s="1"/>
  <c r="I3316"/>
  <c r="K3316" s="1"/>
  <c r="K3331"/>
  <c r="K3345"/>
  <c r="H3354"/>
  <c r="I3354"/>
  <c r="I3587" s="1"/>
  <c r="K3587" s="1"/>
  <c r="J3368"/>
  <c r="K3376"/>
  <c r="H3384"/>
  <c r="I3384"/>
  <c r="K3384" s="1"/>
  <c r="I3389"/>
  <c r="K3389" s="1"/>
  <c r="I3464" s="1"/>
  <c r="K3464" s="1"/>
  <c r="I3396"/>
  <c r="L3396"/>
  <c r="L3415" s="1"/>
  <c r="M3396"/>
  <c r="N3396"/>
  <c r="O3396"/>
  <c r="L3399"/>
  <c r="M3399" s="1"/>
  <c r="N3399" s="1"/>
  <c r="O3399" s="1"/>
  <c r="L3418"/>
  <c r="K3436"/>
  <c r="K3438"/>
  <c r="H3455"/>
  <c r="I3455"/>
  <c r="K3455" s="1"/>
  <c r="H3464"/>
  <c r="H3465"/>
  <c r="I3478"/>
  <c r="K3478" s="1"/>
  <c r="K3480"/>
  <c r="K3495"/>
  <c r="P3495"/>
  <c r="R3495"/>
  <c r="I3496"/>
  <c r="I3497"/>
  <c r="R3501"/>
  <c r="K3513"/>
  <c r="K3514"/>
  <c r="K3515" s="1"/>
  <c r="K3521"/>
  <c r="K3523"/>
  <c r="I3533"/>
  <c r="K3533" s="1"/>
  <c r="I3535"/>
  <c r="K3535" s="1"/>
  <c r="H3545"/>
  <c r="I3545"/>
  <c r="K3545" s="1"/>
  <c r="K3547" s="1"/>
  <c r="H3553"/>
  <c r="I3553"/>
  <c r="K3553"/>
  <c r="K3556" s="1"/>
  <c r="K3561"/>
  <c r="O3561"/>
  <c r="K3562"/>
  <c r="I3563"/>
  <c r="K3563" s="1"/>
  <c r="H3578"/>
  <c r="I3578"/>
  <c r="K3578" s="1"/>
  <c r="H3579"/>
  <c r="I3579"/>
  <c r="K3579" s="1"/>
  <c r="H3580"/>
  <c r="I3580"/>
  <c r="K3580" s="1"/>
  <c r="I3605"/>
  <c r="J3605"/>
  <c r="K3605"/>
  <c r="L3605"/>
  <c r="H3612"/>
  <c r="I3612"/>
  <c r="K3612" s="1"/>
  <c r="K3613"/>
  <c r="R3613"/>
  <c r="P3614"/>
  <c r="R3614"/>
  <c r="I3616"/>
  <c r="K3616" s="1"/>
  <c r="K3618"/>
  <c r="R3623"/>
  <c r="R3627" s="1"/>
  <c r="R3628" s="1"/>
  <c r="R3624"/>
  <c r="R3625"/>
  <c r="R3626"/>
  <c r="H3634"/>
  <c r="I3634"/>
  <c r="K3634" s="1"/>
  <c r="H3635"/>
  <c r="I3635"/>
  <c r="K3635" s="1"/>
  <c r="R3635"/>
  <c r="K3637"/>
  <c r="H3643"/>
  <c r="I3643"/>
  <c r="K3643" s="1"/>
  <c r="I3644"/>
  <c r="K3644" s="1"/>
  <c r="K3649"/>
  <c r="I3665"/>
  <c r="K3665" s="1"/>
  <c r="I3666"/>
  <c r="K3666" s="1"/>
  <c r="I3667"/>
  <c r="K3667" s="1"/>
  <c r="H3670"/>
  <c r="I3670"/>
  <c r="K3670" s="1"/>
  <c r="K3671"/>
  <c r="K3672"/>
  <c r="D3674"/>
  <c r="K3675"/>
  <c r="I3683"/>
  <c r="K3683" s="1"/>
  <c r="L3689"/>
  <c r="H3694"/>
  <c r="I3694"/>
  <c r="K3694" s="1"/>
  <c r="H3699"/>
  <c r="I3699"/>
  <c r="K3699" s="1"/>
  <c r="H3708"/>
  <c r="I3708"/>
  <c r="K3708" s="1"/>
  <c r="I3710"/>
  <c r="K3710" s="1"/>
  <c r="H3718"/>
  <c r="I3718"/>
  <c r="K3718" s="1"/>
  <c r="H3719"/>
  <c r="K3720"/>
  <c r="I3721"/>
  <c r="K3721" s="1"/>
  <c r="I3722"/>
  <c r="K3722" s="1"/>
  <c r="L3724"/>
  <c r="I3725"/>
  <c r="K3725" s="1"/>
  <c r="K3739"/>
  <c r="K3740"/>
  <c r="J3742" s="1"/>
  <c r="K3742" s="1"/>
  <c r="K3760" s="1"/>
  <c r="K3757"/>
  <c r="I3758"/>
  <c r="K3758" s="1"/>
  <c r="K3759"/>
  <c r="H3765"/>
  <c r="I3765"/>
  <c r="K3765" s="1"/>
  <c r="I3766"/>
  <c r="K3766" s="1"/>
  <c r="H3770"/>
  <c r="I3770"/>
  <c r="K3770" s="1"/>
  <c r="R3770"/>
  <c r="I3771"/>
  <c r="I3778" s="1"/>
  <c r="K3778" s="1"/>
  <c r="R3771"/>
  <c r="H3777"/>
  <c r="I3777"/>
  <c r="K3777" s="1"/>
  <c r="R3777"/>
  <c r="H3778"/>
  <c r="O3778"/>
  <c r="P3778"/>
  <c r="R3778"/>
  <c r="I3795"/>
  <c r="K3795" s="1"/>
  <c r="K3798"/>
  <c r="K3800"/>
  <c r="K3804"/>
  <c r="K3805"/>
  <c r="I3806"/>
  <c r="K3806"/>
  <c r="K3807"/>
  <c r="K3873" s="1"/>
  <c r="K3808"/>
  <c r="K3811"/>
  <c r="K3813"/>
  <c r="I3827"/>
  <c r="K3827" s="1"/>
  <c r="K3838"/>
  <c r="K3852"/>
  <c r="N3852"/>
  <c r="K3853"/>
  <c r="K3854"/>
  <c r="N3856"/>
  <c r="K3875"/>
  <c r="K3876"/>
  <c r="K3890"/>
  <c r="I3893"/>
  <c r="K3893"/>
  <c r="M3893"/>
  <c r="K3894"/>
  <c r="H3911"/>
  <c r="L3918"/>
  <c r="I3933"/>
  <c r="K3933" s="1"/>
  <c r="I3934"/>
  <c r="K3934" s="1"/>
  <c r="I3935"/>
  <c r="K3935" s="1"/>
  <c r="I3949"/>
  <c r="K3949"/>
  <c r="A9" i="32"/>
  <c r="A10" s="1"/>
  <c r="F10" s="1"/>
  <c r="F11"/>
  <c r="F15"/>
  <c r="A24"/>
  <c r="A25"/>
  <c r="A26"/>
  <c r="F26" s="1"/>
  <c r="E24"/>
  <c r="F24"/>
  <c r="E25"/>
  <c r="E89" s="1"/>
  <c r="E149" s="1"/>
  <c r="I25"/>
  <c r="I26"/>
  <c r="I27"/>
  <c r="M31"/>
  <c r="G32"/>
  <c r="E33"/>
  <c r="G33"/>
  <c r="G35" s="1"/>
  <c r="A45"/>
  <c r="D49"/>
  <c r="D112" s="1"/>
  <c r="D50"/>
  <c r="D113" s="1"/>
  <c r="D52"/>
  <c r="D115" s="1"/>
  <c r="D53"/>
  <c r="D116" s="1"/>
  <c r="A73"/>
  <c r="A74" s="1"/>
  <c r="F74" s="1"/>
  <c r="F75"/>
  <c r="F79"/>
  <c r="G86"/>
  <c r="A88" s="1"/>
  <c r="E88"/>
  <c r="E148" s="1"/>
  <c r="E90"/>
  <c r="E150" s="1"/>
  <c r="E96"/>
  <c r="G96"/>
  <c r="G131"/>
  <c r="A133"/>
  <c r="A134"/>
  <c r="F134"/>
  <c r="F135"/>
  <c r="F139"/>
  <c r="G146"/>
  <c r="A148"/>
  <c r="E156"/>
  <c r="G156" s="1"/>
  <c r="C29" i="55"/>
  <c r="F29" s="1"/>
  <c r="C60"/>
  <c r="F60" s="1"/>
  <c r="C62"/>
  <c r="F62" s="1"/>
  <c r="C65"/>
  <c r="F65" s="1"/>
  <c r="C66"/>
  <c r="X66" s="1"/>
  <c r="AJ70"/>
  <c r="C83"/>
  <c r="F83" s="1"/>
  <c r="C86"/>
  <c r="C87"/>
  <c r="F87" s="1"/>
  <c r="C88"/>
  <c r="F88" s="1"/>
  <c r="C89"/>
  <c r="F89" s="1"/>
  <c r="C94"/>
  <c r="F94" s="1"/>
  <c r="C102"/>
  <c r="F102" s="1"/>
  <c r="D414" i="58"/>
  <c r="D418"/>
  <c r="C107" i="55"/>
  <c r="F107" s="1"/>
  <c r="C168"/>
  <c r="F168" s="1"/>
  <c r="C180"/>
  <c r="F180" s="1"/>
  <c r="D698" i="58"/>
  <c r="C208" i="55"/>
  <c r="F208" s="1"/>
  <c r="C209"/>
  <c r="F209" s="1"/>
  <c r="B217"/>
  <c r="C715" i="58" s="1"/>
  <c r="B221" i="55"/>
  <c r="C719" i="58" s="1"/>
  <c r="B222" i="55"/>
  <c r="C720" i="58" s="1"/>
  <c r="A739"/>
  <c r="C825"/>
  <c r="D891"/>
  <c r="D258" i="55"/>
  <c r="E925" i="58" s="1"/>
  <c r="D1026"/>
  <c r="C373" i="55"/>
  <c r="C380"/>
  <c r="B381"/>
  <c r="C1045" i="58" s="1"/>
  <c r="C426" i="55"/>
  <c r="X426" s="1"/>
  <c r="C427"/>
  <c r="B461"/>
  <c r="C1073" i="58" s="1"/>
  <c r="B462" i="55"/>
  <c r="C1074" i="58" s="1"/>
  <c r="G10" i="57"/>
  <c r="A3" i="58"/>
  <c r="F6"/>
  <c r="A1108"/>
  <c r="B1108"/>
  <c r="C1108"/>
  <c r="D1108"/>
  <c r="E1108"/>
  <c r="A1109"/>
  <c r="B1109"/>
  <c r="C1109"/>
  <c r="D1109"/>
  <c r="E1109"/>
  <c r="A1110"/>
  <c r="B1110"/>
  <c r="C1110"/>
  <c r="D1110"/>
  <c r="E1110"/>
  <c r="A1111"/>
  <c r="B1111"/>
  <c r="C1111"/>
  <c r="D1111"/>
  <c r="E1111"/>
  <c r="A1112"/>
  <c r="B1112"/>
  <c r="C1112"/>
  <c r="D1112"/>
  <c r="E1112"/>
  <c r="A1113"/>
  <c r="B1113"/>
  <c r="C1113"/>
  <c r="D1113"/>
  <c r="E1113"/>
  <c r="A1114"/>
  <c r="B1114"/>
  <c r="C1114"/>
  <c r="D1114"/>
  <c r="E1114"/>
  <c r="A1115"/>
  <c r="B1115"/>
  <c r="C1115"/>
  <c r="D1115"/>
  <c r="E1115"/>
  <c r="A1116"/>
  <c r="B1116"/>
  <c r="C1116"/>
  <c r="D1116"/>
  <c r="E1116"/>
  <c r="A1117"/>
  <c r="B1117"/>
  <c r="C1117"/>
  <c r="D1117"/>
  <c r="E1117"/>
  <c r="A1118"/>
  <c r="B1118"/>
  <c r="C1118"/>
  <c r="D1118"/>
  <c r="E1118"/>
  <c r="A1119"/>
  <c r="B1119"/>
  <c r="C1119"/>
  <c r="D1119"/>
  <c r="E1119"/>
  <c r="A1120"/>
  <c r="B1120"/>
  <c r="C1120"/>
  <c r="D1120"/>
  <c r="E1120"/>
  <c r="A1121"/>
  <c r="B1121"/>
  <c r="C1121"/>
  <c r="D1121"/>
  <c r="F1121" s="1"/>
  <c r="E1121"/>
  <c r="A1122"/>
  <c r="B1122"/>
  <c r="C1122"/>
  <c r="D1122"/>
  <c r="E1122"/>
  <c r="A1123"/>
  <c r="B1123"/>
  <c r="C1123"/>
  <c r="D1123"/>
  <c r="E1123"/>
  <c r="A1124"/>
  <c r="B1124"/>
  <c r="C1124"/>
  <c r="D1124"/>
  <c r="E1124"/>
  <c r="A1125"/>
  <c r="B1125"/>
  <c r="C1125"/>
  <c r="D1125"/>
  <c r="F1125" s="1"/>
  <c r="E1125"/>
  <c r="A1126"/>
  <c r="B1126"/>
  <c r="C1126"/>
  <c r="D1126"/>
  <c r="E1126"/>
  <c r="A1127"/>
  <c r="B1127"/>
  <c r="C1127"/>
  <c r="D1127"/>
  <c r="E1127"/>
  <c r="A1128"/>
  <c r="B1128"/>
  <c r="C1128"/>
  <c r="D1128"/>
  <c r="E1128"/>
  <c r="A1129"/>
  <c r="B1129"/>
  <c r="C1129"/>
  <c r="D1129"/>
  <c r="E1129"/>
  <c r="A1130"/>
  <c r="B1130"/>
  <c r="C1130"/>
  <c r="D1130"/>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E1155"/>
  <c r="A1156"/>
  <c r="B1156"/>
  <c r="C1156"/>
  <c r="D1156"/>
  <c r="E1156"/>
  <c r="A1157"/>
  <c r="B1157"/>
  <c r="C1157"/>
  <c r="D1157"/>
  <c r="E1157"/>
  <c r="A1158"/>
  <c r="B1158"/>
  <c r="C1158"/>
  <c r="D1158"/>
  <c r="E1158"/>
  <c r="A1159"/>
  <c r="B1159"/>
  <c r="C1159"/>
  <c r="D1159"/>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9" i="50"/>
  <c r="A10"/>
  <c r="F10" s="1"/>
  <c r="F11"/>
  <c r="F15"/>
  <c r="A24"/>
  <c r="F24" s="1"/>
  <c r="E25"/>
  <c r="I25"/>
  <c r="I26"/>
  <c r="I27"/>
  <c r="M31"/>
  <c r="G32"/>
  <c r="G33"/>
  <c r="G35"/>
  <c r="D49"/>
  <c r="D112" s="1"/>
  <c r="D50"/>
  <c r="D113" s="1"/>
  <c r="G71"/>
  <c r="A73"/>
  <c r="A74" s="1"/>
  <c r="F74" s="1"/>
  <c r="F75"/>
  <c r="F79"/>
  <c r="G86"/>
  <c r="A88" s="1"/>
  <c r="E88"/>
  <c r="E148" s="1"/>
  <c r="E89"/>
  <c r="G96"/>
  <c r="E97"/>
  <c r="G97" s="1"/>
  <c r="D115"/>
  <c r="D116"/>
  <c r="G131"/>
  <c r="A133"/>
  <c r="A134"/>
  <c r="F134" s="1"/>
  <c r="F135"/>
  <c r="F139"/>
  <c r="G146"/>
  <c r="A148" s="1"/>
  <c r="E149"/>
  <c r="E150"/>
  <c r="E156"/>
  <c r="G156"/>
  <c r="E157"/>
  <c r="G157" s="1"/>
  <c r="G159" s="1"/>
  <c r="M3515" i="11"/>
  <c r="K3222"/>
  <c r="I3218"/>
  <c r="K3218"/>
  <c r="K3424"/>
  <c r="I3446"/>
  <c r="I3486"/>
  <c r="K3486"/>
  <c r="I3719" i="27"/>
  <c r="K3719" s="1"/>
  <c r="K3719" i="11"/>
  <c r="L3759"/>
  <c r="K2854"/>
  <c r="I2914"/>
  <c r="I2938"/>
  <c r="K2852"/>
  <c r="K2892" s="1"/>
  <c r="I2909"/>
  <c r="I2937"/>
  <c r="K2361"/>
  <c r="I2408"/>
  <c r="K2408" s="1"/>
  <c r="K2414" s="1"/>
  <c r="K2416" s="1"/>
  <c r="I2422" s="1"/>
  <c r="K2422" s="1"/>
  <c r="K2433" s="1"/>
  <c r="K2435" s="1"/>
  <c r="K2451" s="1"/>
  <c r="I3351" i="27"/>
  <c r="K3351" s="1"/>
  <c r="M3741" i="11"/>
  <c r="I3693"/>
  <c r="K3693"/>
  <c r="I3686"/>
  <c r="K3686" s="1"/>
  <c r="K3666"/>
  <c r="K3624"/>
  <c r="I3572"/>
  <c r="K3572" s="1"/>
  <c r="I3570"/>
  <c r="K3570"/>
  <c r="K3405"/>
  <c r="I2932"/>
  <c r="I3050"/>
  <c r="K2804"/>
  <c r="I2441"/>
  <c r="K2441" s="1"/>
  <c r="I2389"/>
  <c r="K2389"/>
  <c r="K2391" s="1"/>
  <c r="K1765"/>
  <c r="K1767"/>
  <c r="I1811"/>
  <c r="K1811" s="1"/>
  <c r="K1455"/>
  <c r="K1457"/>
  <c r="K2362"/>
  <c r="I2410"/>
  <c r="K2410"/>
  <c r="I3807"/>
  <c r="K3807"/>
  <c r="K2739"/>
  <c r="K1747"/>
  <c r="K1749"/>
  <c r="I1803"/>
  <c r="K1803" s="1"/>
  <c r="P2846"/>
  <c r="P2858"/>
  <c r="R2858"/>
  <c r="R2849"/>
  <c r="I3645"/>
  <c r="K3645"/>
  <c r="K3170"/>
  <c r="I3054"/>
  <c r="I2934"/>
  <c r="P2885"/>
  <c r="R2885"/>
  <c r="K2748"/>
  <c r="K2103"/>
  <c r="K2105"/>
  <c r="K2107"/>
  <c r="K2077"/>
  <c r="I2951"/>
  <c r="I2961"/>
  <c r="K2057"/>
  <c r="K1957"/>
  <c r="K1870"/>
  <c r="K1783"/>
  <c r="K1785"/>
  <c r="I1819" s="1"/>
  <c r="K1819" s="1"/>
  <c r="K1566"/>
  <c r="K1569" s="1"/>
  <c r="K1469"/>
  <c r="K1471"/>
  <c r="I1830"/>
  <c r="K1830" s="1"/>
  <c r="K1837" s="1"/>
  <c r="K1839" s="1"/>
  <c r="I1846" s="1"/>
  <c r="K1846" s="1"/>
  <c r="A206"/>
  <c r="A207"/>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I1831"/>
  <c r="K1831"/>
  <c r="K1801"/>
  <c r="I35"/>
  <c r="K35"/>
  <c r="I63"/>
  <c r="K63" s="1"/>
  <c r="I20"/>
  <c r="K20"/>
  <c r="I53"/>
  <c r="K53" s="1"/>
  <c r="I27"/>
  <c r="K27"/>
  <c r="I9"/>
  <c r="K9" s="1"/>
  <c r="I44"/>
  <c r="K44"/>
  <c r="AE2620" i="1"/>
  <c r="AG2620"/>
  <c r="Z29"/>
  <c r="Z34" s="1"/>
  <c r="AC34" s="1"/>
  <c r="C80" s="1"/>
  <c r="I447" s="1"/>
  <c r="K447" s="1"/>
  <c r="K2364" i="11"/>
  <c r="I2365" s="1"/>
  <c r="I2367" s="1"/>
  <c r="K2367" s="1"/>
  <c r="K2376" s="1"/>
  <c r="I3032"/>
  <c r="K3032" s="1"/>
  <c r="K2909"/>
  <c r="K3446"/>
  <c r="K3054"/>
  <c r="I3900"/>
  <c r="K3900" s="1"/>
  <c r="I2952"/>
  <c r="I2973"/>
  <c r="K2973"/>
  <c r="I2972"/>
  <c r="K2972" s="1"/>
  <c r="I3913"/>
  <c r="K3913"/>
  <c r="K2951"/>
  <c r="K2934"/>
  <c r="I2954"/>
  <c r="K2954" s="1"/>
  <c r="I3052"/>
  <c r="K3052" s="1"/>
  <c r="P2879"/>
  <c r="R2879"/>
  <c r="R2846"/>
  <c r="I3037"/>
  <c r="K3037"/>
  <c r="I3916"/>
  <c r="K3916" s="1"/>
  <c r="K2952"/>
  <c r="I3370" i="1"/>
  <c r="D71" i="25"/>
  <c r="D99" s="1"/>
  <c r="D120" s="1"/>
  <c r="F120" s="1"/>
  <c r="R1305" i="1"/>
  <c r="P1324"/>
  <c r="R1324" s="1"/>
  <c r="I20"/>
  <c r="K20" s="1"/>
  <c r="A206" i="27"/>
  <c r="A207" s="1"/>
  <c r="A264"/>
  <c r="A265"/>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705"/>
  <c r="K1549"/>
  <c r="K1551"/>
  <c r="F148" i="32"/>
  <c r="A149"/>
  <c r="A150"/>
  <c r="F150"/>
  <c r="I3532" i="27"/>
  <c r="K3532" s="1"/>
  <c r="K3494"/>
  <c r="K2822"/>
  <c r="K2804"/>
  <c r="K2720"/>
  <c r="K2332"/>
  <c r="K2336" s="1"/>
  <c r="K2090"/>
  <c r="K2092"/>
  <c r="K1783"/>
  <c r="K1785" s="1"/>
  <c r="I1819" s="1"/>
  <c r="K1819" s="1"/>
  <c r="K1566"/>
  <c r="K1569" s="1"/>
  <c r="K1482"/>
  <c r="K1484"/>
  <c r="K1469"/>
  <c r="K1471" s="1"/>
  <c r="K1455"/>
  <c r="K1457"/>
  <c r="K712"/>
  <c r="K714" s="1"/>
  <c r="I720" s="1"/>
  <c r="K720"/>
  <c r="F88" i="32"/>
  <c r="A89"/>
  <c r="A90"/>
  <c r="F90"/>
  <c r="K1765" i="27"/>
  <c r="K1767" s="1"/>
  <c r="I1811" s="1"/>
  <c r="K1811" s="1"/>
  <c r="K3222"/>
  <c r="I3218"/>
  <c r="K3218"/>
  <c r="I3335"/>
  <c r="I2269"/>
  <c r="I1092"/>
  <c r="K1092"/>
  <c r="F149" i="32"/>
  <c r="F152" s="1"/>
  <c r="K2628" i="27"/>
  <c r="K2629"/>
  <c r="I2614" s="1"/>
  <c r="K2614" s="1"/>
  <c r="K2057"/>
  <c r="K1957"/>
  <c r="K1870"/>
  <c r="K1747"/>
  <c r="K1749" s="1"/>
  <c r="I1803" s="1"/>
  <c r="K1803"/>
  <c r="K1498"/>
  <c r="K693"/>
  <c r="K695"/>
  <c r="K764"/>
  <c r="I63"/>
  <c r="K63" s="1"/>
  <c r="I270"/>
  <c r="K270"/>
  <c r="I496"/>
  <c r="K496" s="1"/>
  <c r="I9"/>
  <c r="K9"/>
  <c r="I44"/>
  <c r="K44" s="1"/>
  <c r="K3259"/>
  <c r="I3053"/>
  <c r="K2854"/>
  <c r="K2851"/>
  <c r="K2880" s="1"/>
  <c r="K2891" s="1"/>
  <c r="R479"/>
  <c r="R481" s="1"/>
  <c r="R461"/>
  <c r="R463"/>
  <c r="I53"/>
  <c r="K53" s="1"/>
  <c r="I27"/>
  <c r="K27"/>
  <c r="K2090" i="11"/>
  <c r="K2092" s="1"/>
  <c r="K1498"/>
  <c r="C35" i="27"/>
  <c r="I243"/>
  <c r="K243" s="1"/>
  <c r="K2822" i="11"/>
  <c r="K2908"/>
  <c r="I3031"/>
  <c r="K3031" s="1"/>
  <c r="I946"/>
  <c r="K946" s="1"/>
  <c r="I1012"/>
  <c r="I911"/>
  <c r="K3112" i="27"/>
  <c r="K2564"/>
  <c r="K2562"/>
  <c r="K2560"/>
  <c r="K2558"/>
  <c r="I2410"/>
  <c r="K2410" s="1"/>
  <c r="K2371"/>
  <c r="I1831"/>
  <c r="K1831" s="1"/>
  <c r="K1837" s="1"/>
  <c r="K1839"/>
  <c r="I1846" s="1"/>
  <c r="K1846" s="1"/>
  <c r="K1801"/>
  <c r="K1805" s="1"/>
  <c r="I1702"/>
  <c r="K1702" s="1"/>
  <c r="I1517"/>
  <c r="K1517"/>
  <c r="K1524" s="1"/>
  <c r="K1526" s="1"/>
  <c r="I94"/>
  <c r="K94"/>
  <c r="I35"/>
  <c r="K35" s="1"/>
  <c r="K2720" i="11"/>
  <c r="K2705"/>
  <c r="K1482"/>
  <c r="K1484" s="1"/>
  <c r="R858"/>
  <c r="R860"/>
  <c r="P69" i="27"/>
  <c r="R69" s="1"/>
  <c r="I213"/>
  <c r="K213" s="1"/>
  <c r="P286"/>
  <c r="R286" s="1"/>
  <c r="I300"/>
  <c r="K300"/>
  <c r="I359"/>
  <c r="K359" s="1"/>
  <c r="I483"/>
  <c r="K483" s="1"/>
  <c r="P536"/>
  <c r="R536" s="1"/>
  <c r="P54"/>
  <c r="R54"/>
  <c r="P193"/>
  <c r="R193" s="1"/>
  <c r="I228"/>
  <c r="K228" s="1"/>
  <c r="I274"/>
  <c r="K274" s="1"/>
  <c r="P298"/>
  <c r="R298"/>
  <c r="I315"/>
  <c r="K315" s="1"/>
  <c r="P321"/>
  <c r="R321" s="1"/>
  <c r="I339"/>
  <c r="K339" s="1"/>
  <c r="P365"/>
  <c r="R365"/>
  <c r="P378"/>
  <c r="R378" s="1"/>
  <c r="P392"/>
  <c r="R392" s="1"/>
  <c r="P498"/>
  <c r="R498" s="1"/>
  <c r="P516"/>
  <c r="R516"/>
  <c r="I212"/>
  <c r="K212" s="1"/>
  <c r="I227"/>
  <c r="K227" s="1"/>
  <c r="P308"/>
  <c r="R308" s="1"/>
  <c r="P349"/>
  <c r="R349"/>
  <c r="P363"/>
  <c r="R363" s="1"/>
  <c r="I382"/>
  <c r="K382" s="1"/>
  <c r="P83"/>
  <c r="R83" s="1"/>
  <c r="I197"/>
  <c r="K197"/>
  <c r="P337"/>
  <c r="R337" s="1"/>
  <c r="I413"/>
  <c r="K413" s="1"/>
  <c r="I447"/>
  <c r="K447" s="1"/>
  <c r="I536"/>
  <c r="K536"/>
  <c r="I561"/>
  <c r="K561" s="1"/>
  <c r="K564"/>
  <c r="K567" s="1"/>
  <c r="I568" s="1"/>
  <c r="K568" s="1"/>
  <c r="I569" s="1"/>
  <c r="K569" s="1"/>
  <c r="I570" s="1"/>
  <c r="K570" s="1"/>
  <c r="I571" s="1"/>
  <c r="K571" s="1"/>
  <c r="I572" s="1"/>
  <c r="K572" s="1"/>
  <c r="I623"/>
  <c r="K623" s="1"/>
  <c r="I95"/>
  <c r="K95"/>
  <c r="K2792" i="11"/>
  <c r="K2794" s="1"/>
  <c r="Z26" i="1"/>
  <c r="Z27" s="1"/>
  <c r="AC27" s="1"/>
  <c r="C92" s="1"/>
  <c r="P534" i="27"/>
  <c r="R534"/>
  <c r="R541" s="1"/>
  <c r="R543" s="1"/>
  <c r="P496"/>
  <c r="R496"/>
  <c r="R503" s="1"/>
  <c r="R505" s="1"/>
  <c r="I480"/>
  <c r="K480"/>
  <c r="I459"/>
  <c r="K459" s="1"/>
  <c r="I426"/>
  <c r="K426" s="1"/>
  <c r="I394"/>
  <c r="K394" s="1"/>
  <c r="I380"/>
  <c r="K380"/>
  <c r="P376"/>
  <c r="R376" s="1"/>
  <c r="I357"/>
  <c r="K357" s="1"/>
  <c r="P284"/>
  <c r="R284" s="1"/>
  <c r="I226"/>
  <c r="K226"/>
  <c r="P67"/>
  <c r="R67" s="1"/>
  <c r="P52"/>
  <c r="R52" s="1"/>
  <c r="I3700" i="11"/>
  <c r="I3709" s="1"/>
  <c r="K3709" s="1"/>
  <c r="K3712" s="1"/>
  <c r="I3589"/>
  <c r="K3589" s="1"/>
  <c r="I3532"/>
  <c r="I3971" s="1"/>
  <c r="K3971" s="1"/>
  <c r="K3506"/>
  <c r="K3505"/>
  <c r="K3504"/>
  <c r="K3503"/>
  <c r="I3003"/>
  <c r="K3003"/>
  <c r="P2884"/>
  <c r="R2884" s="1"/>
  <c r="P2850"/>
  <c r="K2846"/>
  <c r="I2440"/>
  <c r="K2440" s="1"/>
  <c r="K2444" s="1"/>
  <c r="K2446"/>
  <c r="K2448" s="1"/>
  <c r="I1845"/>
  <c r="K1845" s="1"/>
  <c r="K1849" s="1"/>
  <c r="K1809"/>
  <c r="K1813" s="1"/>
  <c r="P720"/>
  <c r="R720"/>
  <c r="R704"/>
  <c r="R713" s="1"/>
  <c r="R715" s="1"/>
  <c r="P630"/>
  <c r="R630" s="1"/>
  <c r="P618"/>
  <c r="R618"/>
  <c r="P600"/>
  <c r="R600" s="1"/>
  <c r="P554"/>
  <c r="R554" s="1"/>
  <c r="P516"/>
  <c r="R516" s="1"/>
  <c r="P514"/>
  <c r="R514"/>
  <c r="P498"/>
  <c r="R498"/>
  <c r="P497"/>
  <c r="R497" s="1"/>
  <c r="I483"/>
  <c r="K483" s="1"/>
  <c r="I481"/>
  <c r="K481" s="1"/>
  <c r="P467"/>
  <c r="R467"/>
  <c r="P450"/>
  <c r="R450" s="1"/>
  <c r="I448"/>
  <c r="K448" s="1"/>
  <c r="I446"/>
  <c r="K446" s="1"/>
  <c r="P431"/>
  <c r="R431"/>
  <c r="R443" s="1"/>
  <c r="R445" s="1"/>
  <c r="I426"/>
  <c r="K426"/>
  <c r="I413"/>
  <c r="K413" s="1"/>
  <c r="I411"/>
  <c r="K411" s="1"/>
  <c r="P364"/>
  <c r="R364" s="1"/>
  <c r="P362"/>
  <c r="R362"/>
  <c r="I358"/>
  <c r="K358" s="1"/>
  <c r="I356"/>
  <c r="K356" s="1"/>
  <c r="P349"/>
  <c r="R349" s="1"/>
  <c r="I339"/>
  <c r="K339"/>
  <c r="I338"/>
  <c r="K338" s="1"/>
  <c r="I337"/>
  <c r="K337" s="1"/>
  <c r="I336"/>
  <c r="K336" s="1"/>
  <c r="P320"/>
  <c r="R320"/>
  <c r="I315"/>
  <c r="K315" s="1"/>
  <c r="I313"/>
  <c r="K313" s="1"/>
  <c r="I274"/>
  <c r="K274" s="1"/>
  <c r="I272"/>
  <c r="K272"/>
  <c r="P267"/>
  <c r="R267" s="1"/>
  <c r="I175"/>
  <c r="K175" s="1"/>
  <c r="I110"/>
  <c r="K110" s="1"/>
  <c r="K114" s="1"/>
  <c r="K116" s="1"/>
  <c r="K118" s="1"/>
  <c r="K119" s="1"/>
  <c r="I83"/>
  <c r="L3562"/>
  <c r="P3506"/>
  <c r="R3506"/>
  <c r="I576" i="27"/>
  <c r="K576" s="1"/>
  <c r="K581" s="1"/>
  <c r="I583" s="1"/>
  <c r="I519"/>
  <c r="K519"/>
  <c r="P514"/>
  <c r="R514" s="1"/>
  <c r="R521"/>
  <c r="R523" s="1"/>
  <c r="I498"/>
  <c r="K498" s="1"/>
  <c r="I411"/>
  <c r="K411"/>
  <c r="P390"/>
  <c r="R390" s="1"/>
  <c r="I337"/>
  <c r="K337" s="1"/>
  <c r="P319"/>
  <c r="R319" s="1"/>
  <c r="I313"/>
  <c r="K313"/>
  <c r="I298"/>
  <c r="K298" s="1"/>
  <c r="P296"/>
  <c r="R296" s="1"/>
  <c r="I272"/>
  <c r="K272" s="1"/>
  <c r="I211"/>
  <c r="K211"/>
  <c r="I3198" i="11"/>
  <c r="K3198" s="1"/>
  <c r="I2264"/>
  <c r="I2666" s="1"/>
  <c r="K2666" s="1"/>
  <c r="P553"/>
  <c r="R553" s="1"/>
  <c r="P515"/>
  <c r="R515" s="1"/>
  <c r="I499"/>
  <c r="K499"/>
  <c r="I498"/>
  <c r="K498" s="1"/>
  <c r="P496"/>
  <c r="R496"/>
  <c r="R503" s="1"/>
  <c r="R505" s="1"/>
  <c r="I482"/>
  <c r="K482"/>
  <c r="I480"/>
  <c r="K480" s="1"/>
  <c r="I474"/>
  <c r="K474"/>
  <c r="P468"/>
  <c r="R468" s="1"/>
  <c r="I459"/>
  <c r="K459"/>
  <c r="P449"/>
  <c r="R449" s="1"/>
  <c r="R461" s="1"/>
  <c r="R463" s="1"/>
  <c r="I447"/>
  <c r="K447" s="1"/>
  <c r="I445"/>
  <c r="K445"/>
  <c r="I414"/>
  <c r="K414" s="1"/>
  <c r="I412"/>
  <c r="K412"/>
  <c r="P365"/>
  <c r="R365" s="1"/>
  <c r="P363"/>
  <c r="R363"/>
  <c r="I359"/>
  <c r="K359" s="1"/>
  <c r="P350"/>
  <c r="R350"/>
  <c r="P348"/>
  <c r="R348" s="1"/>
  <c r="P338"/>
  <c r="R338"/>
  <c r="P337"/>
  <c r="R337" s="1"/>
  <c r="P336"/>
  <c r="R336"/>
  <c r="P319"/>
  <c r="R319" s="1"/>
  <c r="I314"/>
  <c r="K314"/>
  <c r="I312"/>
  <c r="K312" s="1"/>
  <c r="I273"/>
  <c r="K273"/>
  <c r="P2519" i="1"/>
  <c r="R2519" s="1"/>
  <c r="K2470"/>
  <c r="I2541"/>
  <c r="K2541" s="1"/>
  <c r="J618"/>
  <c r="V596" s="1"/>
  <c r="G375" i="25"/>
  <c r="G376" s="1"/>
  <c r="D137"/>
  <c r="F111"/>
  <c r="I3809" i="1"/>
  <c r="K3809"/>
  <c r="P3534"/>
  <c r="P3440"/>
  <c r="R3440" s="1"/>
  <c r="P3365"/>
  <c r="P3335"/>
  <c r="R3335" s="1"/>
  <c r="P3333"/>
  <c r="R3333"/>
  <c r="P3165"/>
  <c r="R3165"/>
  <c r="P3162"/>
  <c r="R3162" s="1"/>
  <c r="V3160"/>
  <c r="X3160"/>
  <c r="I2979"/>
  <c r="K2844"/>
  <c r="K2826"/>
  <c r="AE2797"/>
  <c r="AG2797"/>
  <c r="X2791"/>
  <c r="P2679"/>
  <c r="P1989"/>
  <c r="R1989"/>
  <c r="P1971"/>
  <c r="R1971" s="1"/>
  <c r="F272" i="25"/>
  <c r="D256"/>
  <c r="F256" s="1"/>
  <c r="F264" s="1"/>
  <c r="F265" s="1"/>
  <c r="I39"/>
  <c r="P1541" i="1"/>
  <c r="R1541" s="1"/>
  <c r="K2825"/>
  <c r="P2832"/>
  <c r="R2832"/>
  <c r="S2786"/>
  <c r="AE2625"/>
  <c r="AG2625"/>
  <c r="X2611"/>
  <c r="Z2609" s="1"/>
  <c r="X2610"/>
  <c r="AE2624"/>
  <c r="AG2624" s="1"/>
  <c r="Z2607"/>
  <c r="AE2623"/>
  <c r="AG2623"/>
  <c r="X2609"/>
  <c r="I2490"/>
  <c r="K2490"/>
  <c r="K2471"/>
  <c r="I2542"/>
  <c r="K2542" s="1"/>
  <c r="K1633"/>
  <c r="X1382"/>
  <c r="V1399"/>
  <c r="X1399" s="1"/>
  <c r="V899"/>
  <c r="X899"/>
  <c r="X883"/>
  <c r="I49"/>
  <c r="K49" s="1"/>
  <c r="I68"/>
  <c r="K68"/>
  <c r="V3656"/>
  <c r="V3686" s="1"/>
  <c r="V3261"/>
  <c r="X3261"/>
  <c r="AE2798"/>
  <c r="AG2798" s="1"/>
  <c r="V2794"/>
  <c r="X2794"/>
  <c r="P2678"/>
  <c r="Z2606"/>
  <c r="X2608"/>
  <c r="AE2622"/>
  <c r="AG2622" s="1"/>
  <c r="K1809"/>
  <c r="I2738"/>
  <c r="K2738"/>
  <c r="R1101"/>
  <c r="P1122"/>
  <c r="R1122" s="1"/>
  <c r="P1058"/>
  <c r="R1058"/>
  <c r="G488" i="25"/>
  <c r="E517"/>
  <c r="G517"/>
  <c r="G519"/>
  <c r="G520"/>
  <c r="G330"/>
  <c r="G331" s="1"/>
  <c r="I4027" i="1"/>
  <c r="I4040" s="1"/>
  <c r="K4040" s="1"/>
  <c r="K4012"/>
  <c r="V3562"/>
  <c r="P3334"/>
  <c r="R3334"/>
  <c r="I2980"/>
  <c r="K2980"/>
  <c r="V2596"/>
  <c r="S2605"/>
  <c r="I1874"/>
  <c r="K1874"/>
  <c r="R2648"/>
  <c r="E209" i="25"/>
  <c r="G209" s="1"/>
  <c r="I1899" i="1"/>
  <c r="K1899"/>
  <c r="K1898"/>
  <c r="K1810"/>
  <c r="I2739"/>
  <c r="K2739"/>
  <c r="R1436"/>
  <c r="P1452"/>
  <c r="R1452" s="1"/>
  <c r="P1525"/>
  <c r="R1525" s="1"/>
  <c r="P2677"/>
  <c r="Z2608"/>
  <c r="I2511"/>
  <c r="L1604"/>
  <c r="L1605" s="1"/>
  <c r="G349" i="25"/>
  <c r="G350"/>
  <c r="P1051" i="1"/>
  <c r="R1051"/>
  <c r="P998"/>
  <c r="R998" s="1"/>
  <c r="P994"/>
  <c r="R994"/>
  <c r="P992"/>
  <c r="R992" s="1"/>
  <c r="D31"/>
  <c r="R1419"/>
  <c r="V1380"/>
  <c r="X1361"/>
  <c r="X1360"/>
  <c r="X1359"/>
  <c r="V1247"/>
  <c r="X1247" s="1"/>
  <c r="P1244"/>
  <c r="R1244" s="1"/>
  <c r="I1079"/>
  <c r="P1076"/>
  <c r="R1076" s="1"/>
  <c r="K1062"/>
  <c r="K1060"/>
  <c r="K1027"/>
  <c r="P999"/>
  <c r="R999"/>
  <c r="P995"/>
  <c r="R995"/>
  <c r="V904"/>
  <c r="X904"/>
  <c r="V900"/>
  <c r="X900"/>
  <c r="I899"/>
  <c r="K899"/>
  <c r="K883"/>
  <c r="V882"/>
  <c r="X882" s="1"/>
  <c r="D16"/>
  <c r="G467" i="25"/>
  <c r="G468" s="1"/>
  <c r="A483" s="1"/>
  <c r="G483" s="1"/>
  <c r="G490" s="1"/>
  <c r="G491" s="1"/>
  <c r="G420"/>
  <c r="G421"/>
  <c r="A432" s="1"/>
  <c r="G432" s="1"/>
  <c r="G439" s="1"/>
  <c r="G440" s="1"/>
  <c r="D304"/>
  <c r="F304" s="1"/>
  <c r="F139"/>
  <c r="AB1361" i="1"/>
  <c r="P1073"/>
  <c r="R1073" s="1"/>
  <c r="P1071"/>
  <c r="R1071" s="1"/>
  <c r="AE1069"/>
  <c r="AG1069" s="1"/>
  <c r="P1056"/>
  <c r="R1056" s="1"/>
  <c r="P1055"/>
  <c r="R1055" s="1"/>
  <c r="P955"/>
  <c r="R955" s="1"/>
  <c r="C17"/>
  <c r="P2339" s="1"/>
  <c r="R2339" s="1"/>
  <c r="D162" i="25"/>
  <c r="F162"/>
  <c r="R1396" i="1"/>
  <c r="AB1358"/>
  <c r="AB1375"/>
  <c r="X1356"/>
  <c r="K1063"/>
  <c r="I900"/>
  <c r="K900"/>
  <c r="K1079"/>
  <c r="I1094"/>
  <c r="K1094" s="1"/>
  <c r="R3365"/>
  <c r="P3399"/>
  <c r="R3399"/>
  <c r="I153" i="27"/>
  <c r="K153"/>
  <c r="I1683"/>
  <c r="K1683"/>
  <c r="I183"/>
  <c r="K183"/>
  <c r="K188" s="1"/>
  <c r="K2269"/>
  <c r="I2671"/>
  <c r="K2671"/>
  <c r="K4027" i="1"/>
  <c r="P2865"/>
  <c r="R2865"/>
  <c r="I2576"/>
  <c r="P2577" s="1"/>
  <c r="R2577" s="1"/>
  <c r="K2264" i="11"/>
  <c r="R2850"/>
  <c r="P2883"/>
  <c r="R2883" s="1"/>
  <c r="I1076" i="1"/>
  <c r="K1076" s="1"/>
  <c r="K2511"/>
  <c r="P2518"/>
  <c r="R2518"/>
  <c r="P1469"/>
  <c r="P1500" s="1"/>
  <c r="V1415"/>
  <c r="X1415" s="1"/>
  <c r="P2986"/>
  <c r="R2986"/>
  <c r="I3064"/>
  <c r="K2979"/>
  <c r="R3534"/>
  <c r="P3550"/>
  <c r="R3550" s="1"/>
  <c r="K583" i="27"/>
  <c r="I584" s="1"/>
  <c r="K3532" i="11"/>
  <c r="I3368" i="27"/>
  <c r="K3368" s="1"/>
  <c r="I3363" s="1"/>
  <c r="K3363" s="1"/>
  <c r="K3335"/>
  <c r="I3330"/>
  <c r="K3330" s="1"/>
  <c r="K731"/>
  <c r="K733" s="1"/>
  <c r="I740"/>
  <c r="K740" s="1"/>
  <c r="K755" s="1"/>
  <c r="K757" s="1"/>
  <c r="R479" i="11"/>
  <c r="R481" s="1"/>
  <c r="AD1358" i="1"/>
  <c r="I2324"/>
  <c r="K2324" s="1"/>
  <c r="AD1361"/>
  <c r="AB1378"/>
  <c r="AB1395" s="1"/>
  <c r="AD1395" s="1"/>
  <c r="V898"/>
  <c r="X898" s="1"/>
  <c r="X1380"/>
  <c r="V1397"/>
  <c r="P2987"/>
  <c r="R2987"/>
  <c r="I3065"/>
  <c r="I3084"/>
  <c r="K3084" s="1"/>
  <c r="X3562"/>
  <c r="V3578"/>
  <c r="X3578"/>
  <c r="X3656"/>
  <c r="D303" i="25"/>
  <c r="F303" s="1"/>
  <c r="D160"/>
  <c r="F160" s="1"/>
  <c r="F137"/>
  <c r="I96" i="11"/>
  <c r="K96"/>
  <c r="K99" s="1"/>
  <c r="K101" s="1"/>
  <c r="I111"/>
  <c r="K111"/>
  <c r="K83"/>
  <c r="K86"/>
  <c r="K88" s="1"/>
  <c r="K2453"/>
  <c r="K2455"/>
  <c r="F89" i="32"/>
  <c r="F92" s="1"/>
  <c r="AD1378" i="1"/>
  <c r="I3402" i="27"/>
  <c r="K3402" s="1"/>
  <c r="I3397" s="1"/>
  <c r="K3397" s="1"/>
  <c r="L3397" s="1"/>
  <c r="M3397" s="1"/>
  <c r="N3397" s="1"/>
  <c r="O3397" s="1"/>
  <c r="K3064" i="1"/>
  <c r="I3083"/>
  <c r="K3083" s="1"/>
  <c r="P3071"/>
  <c r="R3071" s="1"/>
  <c r="R1469"/>
  <c r="V3593"/>
  <c r="V3610"/>
  <c r="X3610" s="1"/>
  <c r="P3072"/>
  <c r="R3072" s="1"/>
  <c r="K3065"/>
  <c r="I2611"/>
  <c r="K2611" s="1"/>
  <c r="X1397"/>
  <c r="V1413"/>
  <c r="K584" i="27"/>
  <c r="K585" s="1"/>
  <c r="AB1413" i="1"/>
  <c r="AB1430" s="1"/>
  <c r="AD1430" s="1"/>
  <c r="AD1413"/>
  <c r="X1413"/>
  <c r="AB1411"/>
  <c r="AD1411" s="1"/>
  <c r="I3421" i="27"/>
  <c r="K3421" s="1"/>
  <c r="I3416" s="1"/>
  <c r="K3416" s="1"/>
  <c r="L3416" s="1"/>
  <c r="H3856" i="1"/>
  <c r="H3877" s="1"/>
  <c r="X3593"/>
  <c r="AB1428"/>
  <c r="AD1428" s="1"/>
  <c r="J3856"/>
  <c r="B1072" i="58"/>
  <c r="B1099"/>
  <c r="B1083"/>
  <c r="B1098"/>
  <c r="B1086"/>
  <c r="B1078"/>
  <c r="Y470" i="55"/>
  <c r="B1082" i="58" s="1"/>
  <c r="Y464" i="55"/>
  <c r="Z464" s="1"/>
  <c r="X463"/>
  <c r="Y462"/>
  <c r="B1074" i="58" s="1"/>
  <c r="Y456" i="55"/>
  <c r="B1068" i="58" s="1"/>
  <c r="Y454" i="55"/>
  <c r="B910" i="58"/>
  <c r="B806"/>
  <c r="B786"/>
  <c r="B787"/>
  <c r="B57"/>
  <c r="Y406" i="55"/>
  <c r="Y438"/>
  <c r="Y376"/>
  <c r="B1040" i="58" s="1"/>
  <c r="Y440" i="55"/>
  <c r="B971" i="58"/>
  <c r="B802"/>
  <c r="Y408" i="55"/>
  <c r="Y399"/>
  <c r="B1063" i="58" s="1"/>
  <c r="Y392" i="55"/>
  <c r="B1056" i="58" s="1"/>
  <c r="Y390" i="55"/>
  <c r="B1054" i="58" s="1"/>
  <c r="Y383" i="55"/>
  <c r="B1047" i="58" s="1"/>
  <c r="B454"/>
  <c r="B99"/>
  <c r="Y424" i="55"/>
  <c r="Y422"/>
  <c r="B987" i="58"/>
  <c r="B230"/>
  <c r="Y371" i="55"/>
  <c r="Z371" s="1"/>
  <c r="B1010" i="58"/>
  <c r="B926"/>
  <c r="B790"/>
  <c r="F790" s="1"/>
  <c r="B980"/>
  <c r="F980" s="1"/>
  <c r="B950"/>
  <c r="F950" s="1"/>
  <c r="B928"/>
  <c r="B850"/>
  <c r="F850" s="1"/>
  <c r="B834"/>
  <c r="B792"/>
  <c r="F792" s="1"/>
  <c r="B788"/>
  <c r="F788" s="1"/>
  <c r="B780"/>
  <c r="F780" s="1"/>
  <c r="B776"/>
  <c r="F776" s="1"/>
  <c r="B580"/>
  <c r="B572"/>
  <c r="B564"/>
  <c r="B556"/>
  <c r="B548"/>
  <c r="B540"/>
  <c r="B532"/>
  <c r="F532" s="1"/>
  <c r="B512"/>
  <c r="B503"/>
  <c r="B476"/>
  <c r="B459"/>
  <c r="B432"/>
  <c r="B426"/>
  <c r="B420"/>
  <c r="B257"/>
  <c r="B251"/>
  <c r="B179"/>
  <c r="B154"/>
  <c r="F154" s="1"/>
  <c r="B1064"/>
  <c r="B1012"/>
  <c r="B918"/>
  <c r="B896"/>
  <c r="B868"/>
  <c r="B856"/>
  <c r="B498"/>
  <c r="B490"/>
  <c r="B246"/>
  <c r="B226"/>
  <c r="F226" s="1"/>
  <c r="B215"/>
  <c r="F215" s="1"/>
  <c r="B174"/>
  <c r="B168"/>
  <c r="B150"/>
  <c r="Z463" i="55"/>
  <c r="B1075" i="58"/>
  <c r="B952"/>
  <c r="B942"/>
  <c r="B848"/>
  <c r="B836"/>
  <c r="B832"/>
  <c r="B820"/>
  <c r="B800"/>
  <c r="B764"/>
  <c r="B578"/>
  <c r="B570"/>
  <c r="B562"/>
  <c r="F562" s="1"/>
  <c r="B546"/>
  <c r="B538"/>
  <c r="B530"/>
  <c r="B469"/>
  <c r="B392"/>
  <c r="B375"/>
  <c r="B238"/>
  <c r="B210"/>
  <c r="B204"/>
  <c r="F204" s="1"/>
  <c r="B198"/>
  <c r="F198" s="1"/>
  <c r="B183"/>
  <c r="B163"/>
  <c r="F163" s="1"/>
  <c r="B146"/>
  <c r="B136"/>
  <c r="B113"/>
  <c r="F113" s="1"/>
  <c r="B1032"/>
  <c r="B912"/>
  <c r="B904"/>
  <c r="B880"/>
  <c r="B492"/>
  <c r="B416"/>
  <c r="B390"/>
  <c r="B384"/>
  <c r="F384" s="1"/>
  <c r="B259"/>
  <c r="B233"/>
  <c r="B132"/>
  <c r="B109"/>
  <c r="F109" s="1"/>
  <c r="B98"/>
  <c r="B70"/>
  <c r="B1046"/>
  <c r="F986"/>
  <c r="B77"/>
  <c r="B53"/>
  <c r="B37"/>
  <c r="Z372" i="55"/>
  <c r="B89" i="58"/>
  <c r="B74"/>
  <c r="B58"/>
  <c r="F58" s="1"/>
  <c r="B33"/>
  <c r="F129"/>
  <c r="F157"/>
  <c r="Z20" i="11"/>
  <c r="AC20" s="1"/>
  <c r="AC18"/>
  <c r="C80" s="1"/>
  <c r="Z29"/>
  <c r="R1099" i="1"/>
  <c r="P1120"/>
  <c r="R1120" s="1"/>
  <c r="V3624"/>
  <c r="X3624" s="1"/>
  <c r="AG3561"/>
  <c r="X3545"/>
  <c r="V3561"/>
  <c r="X3561" s="1"/>
  <c r="R1098"/>
  <c r="P1119"/>
  <c r="R1119" s="1"/>
  <c r="K2977"/>
  <c r="P2984"/>
  <c r="R2984"/>
  <c r="I3062"/>
  <c r="AG3545"/>
  <c r="K2841"/>
  <c r="K1025"/>
  <c r="P953"/>
  <c r="R953" s="1"/>
  <c r="AE3562"/>
  <c r="V3625" s="1"/>
  <c r="X3625" s="1"/>
  <c r="X3121"/>
  <c r="I2840"/>
  <c r="R1100"/>
  <c r="K1061"/>
  <c r="K1024"/>
  <c r="P3160"/>
  <c r="R3160"/>
  <c r="V3138"/>
  <c r="I3184"/>
  <c r="K3184" s="1"/>
  <c r="I3244"/>
  <c r="K3199"/>
  <c r="K1550"/>
  <c r="H3878"/>
  <c r="H3894" s="1"/>
  <c r="J3894" s="1"/>
  <c r="J3878"/>
  <c r="J3857"/>
  <c r="I2577"/>
  <c r="K2612"/>
  <c r="R1323"/>
  <c r="I1605"/>
  <c r="K1605"/>
  <c r="R811"/>
  <c r="R823"/>
  <c r="P829"/>
  <c r="I1787"/>
  <c r="K1787" s="1"/>
  <c r="I2684"/>
  <c r="I2685" s="1"/>
  <c r="I748"/>
  <c r="P2161"/>
  <c r="R2161" s="1"/>
  <c r="I3798"/>
  <c r="V1337"/>
  <c r="X1337"/>
  <c r="D11"/>
  <c r="I3751"/>
  <c r="K3751" s="1"/>
  <c r="AF451"/>
  <c r="J617"/>
  <c r="V595" s="1"/>
  <c r="AC1201"/>
  <c r="AC1202" s="1"/>
  <c r="AC1203" s="1"/>
  <c r="AC1204" s="1"/>
  <c r="AC1205" s="1"/>
  <c r="AC1206" s="1"/>
  <c r="J601"/>
  <c r="J597"/>
  <c r="I1091"/>
  <c r="K1091"/>
  <c r="I3486"/>
  <c r="K3486" s="1"/>
  <c r="C27"/>
  <c r="I144" s="1"/>
  <c r="K144" s="1"/>
  <c r="I1996"/>
  <c r="V1340"/>
  <c r="AB1338" s="1"/>
  <c r="AC1338" s="1"/>
  <c r="C13"/>
  <c r="I2702" s="1"/>
  <c r="K2702" s="1"/>
  <c r="P2414"/>
  <c r="R2414" s="1"/>
  <c r="I3346"/>
  <c r="K3346"/>
  <c r="I3727"/>
  <c r="J598"/>
  <c r="J593"/>
  <c r="I77"/>
  <c r="K77" s="1"/>
  <c r="I159"/>
  <c r="K159" s="1"/>
  <c r="P655"/>
  <c r="R655" s="1"/>
  <c r="I171"/>
  <c r="P435"/>
  <c r="I923"/>
  <c r="K923" s="1"/>
  <c r="I1132"/>
  <c r="K1132"/>
  <c r="Z23"/>
  <c r="AC23" s="1"/>
  <c r="C88" s="1"/>
  <c r="Q4" i="4"/>
  <c r="Q5" s="1"/>
  <c r="Q6" s="1"/>
  <c r="X3138" i="1"/>
  <c r="V3163"/>
  <c r="D550" i="25" s="1"/>
  <c r="F550" s="1"/>
  <c r="I3081" i="1"/>
  <c r="K3081" s="1"/>
  <c r="K3062"/>
  <c r="P3069"/>
  <c r="R3069"/>
  <c r="K2840"/>
  <c r="I2976"/>
  <c r="I3061" s="1"/>
  <c r="V3577"/>
  <c r="V3592" s="1"/>
  <c r="K3244"/>
  <c r="L3210" s="1"/>
  <c r="I3820" i="11"/>
  <c r="K3820" s="1"/>
  <c r="P2578" i="1"/>
  <c r="R2578" s="1"/>
  <c r="M2584"/>
  <c r="O2584" s="1"/>
  <c r="O2586" s="1"/>
  <c r="O2587" s="1"/>
  <c r="K2577"/>
  <c r="R829"/>
  <c r="R850"/>
  <c r="P874"/>
  <c r="R874"/>
  <c r="R886" s="1"/>
  <c r="K2684"/>
  <c r="K748"/>
  <c r="K752" s="1"/>
  <c r="K754" s="1"/>
  <c r="I760" s="1"/>
  <c r="K760" s="1"/>
  <c r="I780" s="1"/>
  <c r="K780" s="1"/>
  <c r="I1786"/>
  <c r="K1786"/>
  <c r="I1785"/>
  <c r="K1785"/>
  <c r="I387"/>
  <c r="P555"/>
  <c r="R555" s="1"/>
  <c r="I1832"/>
  <c r="K1832" s="1"/>
  <c r="K3719"/>
  <c r="I3811"/>
  <c r="K3811" s="1"/>
  <c r="X1340"/>
  <c r="P2983"/>
  <c r="R2983" s="1"/>
  <c r="K2976"/>
  <c r="X3577"/>
  <c r="X3163"/>
  <c r="F115" i="58"/>
  <c r="I1683" i="11"/>
  <c r="K1683" s="1"/>
  <c r="I153"/>
  <c r="K153"/>
  <c r="I183"/>
  <c r="K183" s="1"/>
  <c r="K188"/>
  <c r="K911"/>
  <c r="I2555"/>
  <c r="F200" i="58"/>
  <c r="I3910" i="27"/>
  <c r="K3910" s="1"/>
  <c r="I1532" i="11"/>
  <c r="K1532"/>
  <c r="K1537" s="1"/>
  <c r="K1539" s="1"/>
  <c r="I1504"/>
  <c r="K1504" s="1"/>
  <c r="K1511" s="1"/>
  <c r="K1513" s="1"/>
  <c r="Z48" i="1"/>
  <c r="AC48" s="1"/>
  <c r="I2694" i="11"/>
  <c r="K2694"/>
  <c r="K3771" i="27"/>
  <c r="I3796"/>
  <c r="K3796" s="1"/>
  <c r="Z24" i="1"/>
  <c r="AC24" s="1"/>
  <c r="C89" s="1"/>
  <c r="AC25"/>
  <c r="C90" s="1"/>
  <c r="V2786" s="1"/>
  <c r="X2786" s="1"/>
  <c r="C140" i="11"/>
  <c r="I243"/>
  <c r="K243" s="1"/>
  <c r="C139"/>
  <c r="C137"/>
  <c r="I888"/>
  <c r="K888" s="1"/>
  <c r="K890" s="1"/>
  <c r="P210"/>
  <c r="R210" s="1"/>
  <c r="R220" s="1"/>
  <c r="R223" s="1"/>
  <c r="I975"/>
  <c r="K975"/>
  <c r="P209"/>
  <c r="R209" s="1"/>
  <c r="I945"/>
  <c r="K945" s="1"/>
  <c r="I1011"/>
  <c r="I1083"/>
  <c r="I2260" s="1"/>
  <c r="I2662" s="1"/>
  <c r="K2662" s="1"/>
  <c r="I881"/>
  <c r="K881" s="1"/>
  <c r="K883"/>
  <c r="I910"/>
  <c r="I974"/>
  <c r="K974" s="1"/>
  <c r="D388" i="58"/>
  <c r="D322"/>
  <c r="K2849" i="27"/>
  <c r="I976" i="11"/>
  <c r="K976" s="1"/>
  <c r="P689"/>
  <c r="R689" s="1"/>
  <c r="R698" s="1"/>
  <c r="R700"/>
  <c r="I2165"/>
  <c r="K2165" s="1"/>
  <c r="K2175"/>
  <c r="K2178" s="1"/>
  <c r="K2211" s="1"/>
  <c r="D588" i="25"/>
  <c r="F588" s="1"/>
  <c r="F551"/>
  <c r="V426" i="55"/>
  <c r="V104"/>
  <c r="I85" i="1"/>
  <c r="K85" s="1"/>
  <c r="P471"/>
  <c r="R471"/>
  <c r="P579"/>
  <c r="R579" s="1"/>
  <c r="K136"/>
  <c r="K137" s="1"/>
  <c r="C13" i="55" s="1"/>
  <c r="F13" s="1"/>
  <c r="I113" i="1"/>
  <c r="K113"/>
  <c r="I2148"/>
  <c r="P643"/>
  <c r="R643" s="1"/>
  <c r="P434"/>
  <c r="I1753"/>
  <c r="K1753"/>
  <c r="K139"/>
  <c r="P625"/>
  <c r="R625" s="1"/>
  <c r="I84"/>
  <c r="K84"/>
  <c r="K1972"/>
  <c r="I98"/>
  <c r="K98" s="1"/>
  <c r="I127"/>
  <c r="K127" s="1"/>
  <c r="K130" s="1"/>
  <c r="K132" s="1"/>
  <c r="K133" s="1"/>
  <c r="P2155"/>
  <c r="R2155" s="1"/>
  <c r="K2148"/>
  <c r="I2554" i="11"/>
  <c r="K910"/>
  <c r="F99" i="25"/>
  <c r="K1011" i="11"/>
  <c r="I2522"/>
  <c r="K2522" s="1"/>
  <c r="I2932" i="27"/>
  <c r="I2952" s="1"/>
  <c r="K2952" s="1"/>
  <c r="L85" i="1"/>
  <c r="C12" i="55"/>
  <c r="F12" s="1"/>
  <c r="K2554" i="11"/>
  <c r="I2585"/>
  <c r="K2585" s="1"/>
  <c r="I3368"/>
  <c r="K3335"/>
  <c r="I3330" s="1"/>
  <c r="K3330" s="1"/>
  <c r="I3616"/>
  <c r="K3101"/>
  <c r="I3115"/>
  <c r="K3115"/>
  <c r="I2974" i="27"/>
  <c r="K2974" s="1"/>
  <c r="I3447" i="11"/>
  <c r="K3426"/>
  <c r="K3355"/>
  <c r="K3356" s="1"/>
  <c r="K3407"/>
  <c r="K3408" s="1"/>
  <c r="K3409" s="1"/>
  <c r="K3398" s="1"/>
  <c r="L3398" s="1"/>
  <c r="M3398" s="1"/>
  <c r="N3398" s="1"/>
  <c r="O3398" s="1"/>
  <c r="P3626"/>
  <c r="R3626" s="1"/>
  <c r="I3267"/>
  <c r="I3353" i="27"/>
  <c r="I3732" i="11"/>
  <c r="I3748" s="1"/>
  <c r="P3650"/>
  <c r="R3650"/>
  <c r="R3625"/>
  <c r="L3135"/>
  <c r="K2192"/>
  <c r="K2272" i="1"/>
  <c r="I3425" i="11"/>
  <c r="K3425" s="1"/>
  <c r="K3427" s="1"/>
  <c r="K3428" s="1"/>
  <c r="K3417" s="1"/>
  <c r="L3417" s="1"/>
  <c r="I3505" i="27"/>
  <c r="K3505" s="1"/>
  <c r="I3266" i="11"/>
  <c r="I3265"/>
  <c r="K3247"/>
  <c r="K3250" s="1"/>
  <c r="K3251" s="1"/>
  <c r="K3243" s="1"/>
  <c r="K2761"/>
  <c r="K2764" s="1"/>
  <c r="I3623"/>
  <c r="I3571"/>
  <c r="K3571" s="1"/>
  <c r="K3573" s="1"/>
  <c r="K3564" s="1"/>
  <c r="I3588"/>
  <c r="K3588"/>
  <c r="K3591" s="1"/>
  <c r="K3592" s="1"/>
  <c r="K3582" s="1"/>
  <c r="P3504"/>
  <c r="R3504"/>
  <c r="R3507" s="1"/>
  <c r="R3498" s="1"/>
  <c r="R3500" s="1"/>
  <c r="K3933"/>
  <c r="I3947"/>
  <c r="K3947" s="1"/>
  <c r="K3507"/>
  <c r="K3536" s="1"/>
  <c r="K3538" s="1"/>
  <c r="I2758" i="27"/>
  <c r="K2758" s="1"/>
  <c r="K2873" i="11"/>
  <c r="K2857"/>
  <c r="K3008" s="1"/>
  <c r="R2875"/>
  <c r="R2877" s="1"/>
  <c r="P2859" s="1"/>
  <c r="K2867" i="27"/>
  <c r="K3838" i="11"/>
  <c r="K3905" s="1"/>
  <c r="K3498"/>
  <c r="K3500" s="1"/>
  <c r="P3648"/>
  <c r="R3648" s="1"/>
  <c r="I3055"/>
  <c r="K3055" s="1"/>
  <c r="K2937"/>
  <c r="I3034"/>
  <c r="K3034" s="1"/>
  <c r="P2887"/>
  <c r="R2887" s="1"/>
  <c r="P2854" i="27"/>
  <c r="P2887" s="1"/>
  <c r="R2887" s="1"/>
  <c r="M3712" i="11"/>
  <c r="K3700"/>
  <c r="K3702" s="1"/>
  <c r="L3702" s="1"/>
  <c r="K2938"/>
  <c r="I3056"/>
  <c r="K3056"/>
  <c r="I2955"/>
  <c r="K2914"/>
  <c r="I2933"/>
  <c r="I3030"/>
  <c r="K3030" s="1"/>
  <c r="I3895"/>
  <c r="K3895" s="1"/>
  <c r="K3050"/>
  <c r="I3073"/>
  <c r="I3914"/>
  <c r="K3914" s="1"/>
  <c r="K2932"/>
  <c r="I3923"/>
  <c r="K3923"/>
  <c r="K2961"/>
  <c r="I3059"/>
  <c r="K3059"/>
  <c r="K2941"/>
  <c r="K2856"/>
  <c r="K2931"/>
  <c r="I3049"/>
  <c r="K3433" i="1"/>
  <c r="I3611"/>
  <c r="P3271"/>
  <c r="P3338" s="1"/>
  <c r="R3338" s="1"/>
  <c r="R3237"/>
  <c r="I4075"/>
  <c r="K4075" s="1"/>
  <c r="R3202"/>
  <c r="K3495" s="1"/>
  <c r="V3142"/>
  <c r="I1066"/>
  <c r="I1081" s="1"/>
  <c r="I1096" s="1"/>
  <c r="K1096" s="1"/>
  <c r="K2488"/>
  <c r="K2493" s="1"/>
  <c r="K2495" s="1"/>
  <c r="I2510"/>
  <c r="P1859"/>
  <c r="R1859"/>
  <c r="I2540"/>
  <c r="K2469"/>
  <c r="K2474" s="1"/>
  <c r="K2476"/>
  <c r="C186" i="55"/>
  <c r="F186" s="1"/>
  <c r="K2008" i="1"/>
  <c r="P1118"/>
  <c r="R1118" s="1"/>
  <c r="R1097"/>
  <c r="P1401"/>
  <c r="K1023"/>
  <c r="K1064"/>
  <c r="P3332"/>
  <c r="R3332" s="1"/>
  <c r="P3265"/>
  <c r="I3325" s="1"/>
  <c r="I3394" s="1"/>
  <c r="K958"/>
  <c r="P1075"/>
  <c r="R1075" s="1"/>
  <c r="I3527"/>
  <c r="K3527" s="1"/>
  <c r="P3445"/>
  <c r="R3445"/>
  <c r="P3298"/>
  <c r="P3164"/>
  <c r="V3123" s="1"/>
  <c r="X3123" s="1"/>
  <c r="AE1073"/>
  <c r="AG1073"/>
  <c r="Z29" i="27"/>
  <c r="Z34"/>
  <c r="AC34" s="1"/>
  <c r="C77"/>
  <c r="I443" s="1"/>
  <c r="K3368" i="11"/>
  <c r="I3363"/>
  <c r="K3363" s="1"/>
  <c r="I3402"/>
  <c r="I3421" s="1"/>
  <c r="I3443" s="1"/>
  <c r="I3483" s="1"/>
  <c r="K3483" s="1"/>
  <c r="K3616"/>
  <c r="P3617"/>
  <c r="R3617" s="1"/>
  <c r="I3647"/>
  <c r="K3647" s="1"/>
  <c r="K2918"/>
  <c r="K2962" s="1"/>
  <c r="I3487"/>
  <c r="K3487" s="1"/>
  <c r="K3488" s="1"/>
  <c r="K3489" s="1"/>
  <c r="K3479" s="1"/>
  <c r="K3447"/>
  <c r="K3448"/>
  <c r="K3449" s="1"/>
  <c r="K3439" s="1"/>
  <c r="K2975"/>
  <c r="K2977"/>
  <c r="K3267"/>
  <c r="I3280"/>
  <c r="K3732"/>
  <c r="K3748"/>
  <c r="P3651"/>
  <c r="R3651" s="1"/>
  <c r="H3123"/>
  <c r="K3840"/>
  <c r="K2942"/>
  <c r="K3060" s="1"/>
  <c r="K3076" s="1"/>
  <c r="K3102" s="1"/>
  <c r="R3075" s="1"/>
  <c r="I3279"/>
  <c r="K3266"/>
  <c r="R2859"/>
  <c r="K3623"/>
  <c r="K3626"/>
  <c r="K3627" s="1"/>
  <c r="K3674" s="1"/>
  <c r="I3730"/>
  <c r="K3730" s="1"/>
  <c r="I3684"/>
  <c r="K3684"/>
  <c r="P3624"/>
  <c r="K3265"/>
  <c r="I3278"/>
  <c r="I3122"/>
  <c r="K3116"/>
  <c r="R3116" s="1"/>
  <c r="R3130" s="1"/>
  <c r="K3041"/>
  <c r="C437" i="55"/>
  <c r="V437" s="1"/>
  <c r="I2985" i="11"/>
  <c r="K2985" s="1"/>
  <c r="I3917"/>
  <c r="K3917" s="1"/>
  <c r="I2958"/>
  <c r="K2955"/>
  <c r="K2933"/>
  <c r="I2953"/>
  <c r="I3051"/>
  <c r="K3073"/>
  <c r="I3941"/>
  <c r="K3941"/>
  <c r="I3099"/>
  <c r="L2977"/>
  <c r="I3894"/>
  <c r="K3894" s="1"/>
  <c r="AE1075" i="1"/>
  <c r="AG1075" s="1"/>
  <c r="I3632"/>
  <c r="K3632"/>
  <c r="K3611"/>
  <c r="R3304"/>
  <c r="R3271"/>
  <c r="V3167"/>
  <c r="X3167" s="1"/>
  <c r="X3142"/>
  <c r="I2575"/>
  <c r="K2540"/>
  <c r="K2545"/>
  <c r="K2548" s="1"/>
  <c r="K2551" s="1"/>
  <c r="I3485"/>
  <c r="K3485" s="1"/>
  <c r="K2510"/>
  <c r="K2515" s="1"/>
  <c r="K2518" s="1"/>
  <c r="P2517"/>
  <c r="R2517" s="1"/>
  <c r="R2522"/>
  <c r="R2524" s="1"/>
  <c r="R1401"/>
  <c r="V1362"/>
  <c r="I3997" s="1"/>
  <c r="P1418"/>
  <c r="R3265"/>
  <c r="R3164"/>
  <c r="P3401"/>
  <c r="R3401"/>
  <c r="R3298"/>
  <c r="P3367"/>
  <c r="R3367" s="1"/>
  <c r="K3402" i="11"/>
  <c r="I3397" s="1"/>
  <c r="K3397"/>
  <c r="K2269" i="1"/>
  <c r="K3280" i="11"/>
  <c r="I3298"/>
  <c r="I3323" s="1"/>
  <c r="K3323" s="1"/>
  <c r="K3279"/>
  <c r="R3624"/>
  <c r="R3627"/>
  <c r="R3628" s="1"/>
  <c r="P3618" s="1"/>
  <c r="P3649"/>
  <c r="R3649" s="1"/>
  <c r="R3652" s="1"/>
  <c r="R3653" s="1"/>
  <c r="P3644" s="1"/>
  <c r="R3644" s="1"/>
  <c r="R3646" s="1"/>
  <c r="S3646" s="1"/>
  <c r="I3337"/>
  <c r="K3337" s="1"/>
  <c r="I3322"/>
  <c r="K3322" s="1"/>
  <c r="K3278"/>
  <c r="K3733"/>
  <c r="K3726" s="1"/>
  <c r="K3727"/>
  <c r="I3747"/>
  <c r="K3747" s="1"/>
  <c r="K3749" s="1"/>
  <c r="K3750" s="1"/>
  <c r="K3743" s="1"/>
  <c r="I3915"/>
  <c r="K3915" s="1"/>
  <c r="K2953"/>
  <c r="I3896"/>
  <c r="K3896"/>
  <c r="K3051"/>
  <c r="P3072"/>
  <c r="R3072" s="1"/>
  <c r="K3099"/>
  <c r="I3904"/>
  <c r="K3904" s="1"/>
  <c r="P1077" i="1"/>
  <c r="R1077" s="1"/>
  <c r="P3373"/>
  <c r="R3373" s="1"/>
  <c r="P2576"/>
  <c r="R2576" s="1"/>
  <c r="R2581" s="1"/>
  <c r="R2583" s="1"/>
  <c r="K3325"/>
  <c r="R1418"/>
  <c r="V1379"/>
  <c r="P1435"/>
  <c r="R1435" s="1"/>
  <c r="K3421" i="11"/>
  <c r="I3416" s="1"/>
  <c r="K3416"/>
  <c r="L3416" s="1"/>
  <c r="M3416" s="1"/>
  <c r="N3416" s="1"/>
  <c r="K3298"/>
  <c r="K3281"/>
  <c r="K3282" s="1"/>
  <c r="K3275" s="1"/>
  <c r="I1111" i="1"/>
  <c r="K1111" s="1"/>
  <c r="P1103"/>
  <c r="P1124" s="1"/>
  <c r="P2834" s="1"/>
  <c r="V1396"/>
  <c r="X1379"/>
  <c r="K3443" i="11"/>
  <c r="I3437" s="1"/>
  <c r="K3437" s="1"/>
  <c r="X1396" i="1"/>
  <c r="V1412"/>
  <c r="AB1410" s="1"/>
  <c r="I3477" i="11"/>
  <c r="K3477" s="1"/>
  <c r="I3628"/>
  <c r="I2827" i="1"/>
  <c r="K2827" s="1"/>
  <c r="I3677" i="11"/>
  <c r="K3677" s="1"/>
  <c r="K3628"/>
  <c r="I3615" s="1"/>
  <c r="K3615" s="1"/>
  <c r="I2646" i="1"/>
  <c r="V2615" s="1"/>
  <c r="K3767" i="11"/>
  <c r="I3944"/>
  <c r="K3944"/>
  <c r="R2855"/>
  <c r="K3583"/>
  <c r="K3584" s="1"/>
  <c r="C432" i="55"/>
  <c r="L3556" i="11"/>
  <c r="I3645" i="27"/>
  <c r="K3645" s="1"/>
  <c r="K3614"/>
  <c r="K3614" i="11"/>
  <c r="I3664"/>
  <c r="I3664" i="27" s="1"/>
  <c r="K3664" s="1"/>
  <c r="K3454" i="11"/>
  <c r="M3584"/>
  <c r="K3662"/>
  <c r="I3662" i="27"/>
  <c r="K3662" s="1"/>
  <c r="K3664" i="11"/>
  <c r="K3058" i="1"/>
  <c r="P2980"/>
  <c r="R2980"/>
  <c r="I3077"/>
  <c r="K3077"/>
  <c r="K2889"/>
  <c r="K2891"/>
  <c r="C185" i="55" s="1"/>
  <c r="F185" s="1"/>
  <c r="P2864" i="1"/>
  <c r="R2864"/>
  <c r="P2863"/>
  <c r="R2863"/>
  <c r="X2613"/>
  <c r="K4088" i="11"/>
  <c r="K4089"/>
  <c r="V3542" i="1"/>
  <c r="X3542"/>
  <c r="V3541"/>
  <c r="X3541" s="1"/>
  <c r="P3530"/>
  <c r="V3558" s="1"/>
  <c r="V3574" s="1"/>
  <c r="X3574" s="1"/>
  <c r="V3557"/>
  <c r="I3356"/>
  <c r="K3356" s="1"/>
  <c r="R3530"/>
  <c r="X3557"/>
  <c r="V3573"/>
  <c r="X3573" s="1"/>
  <c r="V3588"/>
  <c r="V3605" s="1"/>
  <c r="X3605" s="1"/>
  <c r="K3642"/>
  <c r="P1453"/>
  <c r="P1470" s="1"/>
  <c r="R1470" s="1"/>
  <c r="V1381"/>
  <c r="AB1379"/>
  <c r="AD1362"/>
  <c r="X1364"/>
  <c r="AD1359"/>
  <c r="AB1376"/>
  <c r="P1450"/>
  <c r="R1434"/>
  <c r="R1417"/>
  <c r="V1378"/>
  <c r="X1378" s="1"/>
  <c r="V1394"/>
  <c r="X1377"/>
  <c r="AB1392"/>
  <c r="AD1392"/>
  <c r="AD1375"/>
  <c r="I3995"/>
  <c r="I4011" s="1"/>
  <c r="K4011" s="1"/>
  <c r="AD1357"/>
  <c r="AB1374"/>
  <c r="I3994"/>
  <c r="V1376"/>
  <c r="V1393" s="1"/>
  <c r="X1393" s="1"/>
  <c r="P1432"/>
  <c r="X34" i="27"/>
  <c r="X1381" i="1"/>
  <c r="V1398"/>
  <c r="AB1396"/>
  <c r="AD1396" s="1"/>
  <c r="AD1379"/>
  <c r="V1395"/>
  <c r="V1411" s="1"/>
  <c r="X1411" s="1"/>
  <c r="R1450"/>
  <c r="P1467"/>
  <c r="V1410"/>
  <c r="AB1408" s="1"/>
  <c r="AB1425" s="1"/>
  <c r="AD1425" s="1"/>
  <c r="X1394"/>
  <c r="V1426"/>
  <c r="X1426"/>
  <c r="P1448"/>
  <c r="R1432"/>
  <c r="K3994"/>
  <c r="I4010"/>
  <c r="I37" i="25" s="1"/>
  <c r="X1376" i="1"/>
  <c r="P1501"/>
  <c r="R1501" s="1"/>
  <c r="X1398"/>
  <c r="V1414"/>
  <c r="P1498"/>
  <c r="V1459" s="1"/>
  <c r="AB1457" s="1"/>
  <c r="V1428"/>
  <c r="X1428"/>
  <c r="R1467"/>
  <c r="X1395"/>
  <c r="X1410"/>
  <c r="I4026"/>
  <c r="K4026" s="1"/>
  <c r="I38" i="25"/>
  <c r="P1465" i="1"/>
  <c r="P1479" s="1"/>
  <c r="R1448"/>
  <c r="V1409"/>
  <c r="X1409" s="1"/>
  <c r="X1414"/>
  <c r="AB1412"/>
  <c r="AB1409"/>
  <c r="R1498"/>
  <c r="AD1408"/>
  <c r="AB1407"/>
  <c r="AD1407" s="1"/>
  <c r="AB1429"/>
  <c r="AD1429"/>
  <c r="AD1412"/>
  <c r="X1459"/>
  <c r="AD1457"/>
  <c r="R2085"/>
  <c r="M2078"/>
  <c r="M2079" s="1"/>
  <c r="R2064"/>
  <c r="X3660"/>
  <c r="V3162"/>
  <c r="D45" i="32"/>
  <c r="X682" i="1"/>
  <c r="D45" i="50"/>
  <c r="D108" s="1"/>
  <c r="F108" s="1"/>
  <c r="V736" i="1"/>
  <c r="X736" s="1"/>
  <c r="Z712"/>
  <c r="K3533"/>
  <c r="I3549"/>
  <c r="P3537"/>
  <c r="R3406"/>
  <c r="P3372"/>
  <c r="R3372"/>
  <c r="K3329"/>
  <c r="I3398"/>
  <c r="R3536"/>
  <c r="P3552"/>
  <c r="R3552" s="1"/>
  <c r="P3371"/>
  <c r="R3371" s="1"/>
  <c r="R3269"/>
  <c r="I3548"/>
  <c r="K3532"/>
  <c r="P3449"/>
  <c r="R3449"/>
  <c r="P3405"/>
  <c r="R3405"/>
  <c r="I3328"/>
  <c r="I3327"/>
  <c r="I3396" s="1"/>
  <c r="P3300"/>
  <c r="V1389"/>
  <c r="X1389" s="1"/>
  <c r="X1372"/>
  <c r="V1390"/>
  <c r="V1406" s="1"/>
  <c r="X1406" s="1"/>
  <c r="X1373"/>
  <c r="X1357"/>
  <c r="AB1355"/>
  <c r="AD1354"/>
  <c r="AB1371"/>
  <c r="V1358"/>
  <c r="AB1356" s="1"/>
  <c r="AD1356" s="1"/>
  <c r="D23" i="25"/>
  <c r="F23" s="1"/>
  <c r="R1411" i="1"/>
  <c r="P1428"/>
  <c r="P1413"/>
  <c r="P1430" s="1"/>
  <c r="R1430" s="1"/>
  <c r="R1412"/>
  <c r="AB1353"/>
  <c r="I3990" s="1"/>
  <c r="I3991" s="1"/>
  <c r="P1429"/>
  <c r="P1414"/>
  <c r="K443" i="27"/>
  <c r="K451" s="1"/>
  <c r="K453"/>
  <c r="I458" s="1"/>
  <c r="K458" s="1"/>
  <c r="K462" s="1"/>
  <c r="K464" s="1"/>
  <c r="K466" s="1"/>
  <c r="T1225" i="1"/>
  <c r="K3794"/>
  <c r="K3795"/>
  <c r="V3704"/>
  <c r="X3686"/>
  <c r="D549" i="25"/>
  <c r="X3162" i="1"/>
  <c r="R3537"/>
  <c r="P3553"/>
  <c r="R3553"/>
  <c r="K3549"/>
  <c r="K3548"/>
  <c r="AE3548"/>
  <c r="AG3548" s="1"/>
  <c r="V3548"/>
  <c r="I3397"/>
  <c r="K3328"/>
  <c r="R3300"/>
  <c r="P3369"/>
  <c r="R3369"/>
  <c r="P3403"/>
  <c r="R3403"/>
  <c r="AD1371"/>
  <c r="AB1388"/>
  <c r="AD1388" s="1"/>
  <c r="R1429"/>
  <c r="P1445"/>
  <c r="P1444"/>
  <c r="P1461" s="1"/>
  <c r="R1428"/>
  <c r="V1405"/>
  <c r="X1405" s="1"/>
  <c r="AB1370"/>
  <c r="AB1387" s="1"/>
  <c r="AD1387" s="1"/>
  <c r="V1375"/>
  <c r="X1375" s="1"/>
  <c r="V1374"/>
  <c r="V1391" s="1"/>
  <c r="V1407" s="1"/>
  <c r="X1407" s="1"/>
  <c r="X1358"/>
  <c r="AD1355"/>
  <c r="AB1372"/>
  <c r="D36" i="25"/>
  <c r="F36" s="1"/>
  <c r="V3718" i="1"/>
  <c r="X3704"/>
  <c r="V3564"/>
  <c r="X3564" s="1"/>
  <c r="X3548"/>
  <c r="AB1389"/>
  <c r="AD1389" s="1"/>
  <c r="AD1372"/>
  <c r="AB1373"/>
  <c r="P1446"/>
  <c r="P1463" s="1"/>
  <c r="P1494" s="1"/>
  <c r="R1494" s="1"/>
  <c r="X1374"/>
  <c r="AD1370"/>
  <c r="R1445"/>
  <c r="P1462"/>
  <c r="P3715"/>
  <c r="R3715"/>
  <c r="X3718"/>
  <c r="P1493"/>
  <c r="V1454" s="1"/>
  <c r="X1454" s="1"/>
  <c r="R1463"/>
  <c r="V1455"/>
  <c r="X1455" s="1"/>
  <c r="F932" i="58"/>
  <c r="F1211"/>
  <c r="F928"/>
  <c r="F213"/>
  <c r="F651"/>
  <c r="F1193"/>
  <c r="D417"/>
  <c r="D431"/>
  <c r="D368"/>
  <c r="I409" i="27"/>
  <c r="K409" s="1"/>
  <c r="K417" s="1"/>
  <c r="K419" s="1"/>
  <c r="I310"/>
  <c r="K310" s="1"/>
  <c r="K318" s="1"/>
  <c r="K320" s="1"/>
  <c r="I334"/>
  <c r="K334" s="1"/>
  <c r="K342" s="1"/>
  <c r="K344" s="1"/>
  <c r="K346" s="1"/>
  <c r="K347" s="1"/>
  <c r="K348" s="1"/>
  <c r="K349" s="1"/>
  <c r="K350" s="1"/>
  <c r="I888"/>
  <c r="K888"/>
  <c r="K890" s="1"/>
  <c r="P209"/>
  <c r="R209" s="1"/>
  <c r="I1011"/>
  <c r="I2522" s="1"/>
  <c r="K2522" s="1"/>
  <c r="I974"/>
  <c r="K974"/>
  <c r="I2683"/>
  <c r="K2683"/>
  <c r="Z17"/>
  <c r="AC17"/>
  <c r="I2617" s="1"/>
  <c r="P389"/>
  <c r="R389" s="1"/>
  <c r="R395" s="1"/>
  <c r="R397" s="1"/>
  <c r="AC29"/>
  <c r="C91"/>
  <c r="I28"/>
  <c r="K28"/>
  <c r="K32" s="1"/>
  <c r="I1170" s="1"/>
  <c r="K1170" s="1"/>
  <c r="K1188" s="1"/>
  <c r="K1191" s="1"/>
  <c r="P283" s="1"/>
  <c r="R283" s="1"/>
  <c r="R288" s="1"/>
  <c r="R290" s="1"/>
  <c r="I54"/>
  <c r="K54" s="1"/>
  <c r="K58" s="1"/>
  <c r="I10"/>
  <c r="K10"/>
  <c r="N14" s="1"/>
  <c r="I2071"/>
  <c r="K2071" s="1"/>
  <c r="K2079" s="1"/>
  <c r="K2081" s="1"/>
  <c r="P10"/>
  <c r="R10" s="1"/>
  <c r="I497"/>
  <c r="K497" s="1"/>
  <c r="I36"/>
  <c r="K36" s="1"/>
  <c r="K40" s="1"/>
  <c r="I1684"/>
  <c r="K1684"/>
  <c r="K1691" s="1"/>
  <c r="K1693" s="1"/>
  <c r="K2617"/>
  <c r="K3259" i="11"/>
  <c r="I3274"/>
  <c r="K3274" s="1"/>
  <c r="K3277" s="1"/>
  <c r="I1364" i="27"/>
  <c r="K1364" s="1"/>
  <c r="K1371" s="1"/>
  <c r="K1373" s="1"/>
  <c r="I1911" s="1"/>
  <c r="K1911" s="1"/>
  <c r="P295"/>
  <c r="R295" s="1"/>
  <c r="R301" s="1"/>
  <c r="R303" s="1"/>
  <c r="I591"/>
  <c r="K591" s="1"/>
  <c r="K596" s="1"/>
  <c r="K598" s="1"/>
  <c r="K599" s="1"/>
  <c r="K600" s="1"/>
  <c r="K601" s="1"/>
  <c r="K602" s="1"/>
  <c r="K603" s="1"/>
  <c r="I1268"/>
  <c r="K1268" s="1"/>
  <c r="K1274" s="1"/>
  <c r="K1276" s="1"/>
  <c r="P347"/>
  <c r="R347" s="1"/>
  <c r="R353" s="1"/>
  <c r="R355" s="1"/>
  <c r="I1349"/>
  <c r="K1349" s="1"/>
  <c r="K1355" s="1"/>
  <c r="K1357" s="1"/>
  <c r="P79"/>
  <c r="R79" s="1"/>
  <c r="R87" s="1"/>
  <c r="R89" s="1"/>
  <c r="P144"/>
  <c r="R144" s="1"/>
  <c r="R196" s="1"/>
  <c r="R198" s="1"/>
  <c r="R201" s="1"/>
  <c r="R202" s="1"/>
  <c r="R203" s="1"/>
  <c r="R204" s="1"/>
  <c r="P210"/>
  <c r="R210" s="1"/>
  <c r="I1059"/>
  <c r="K1059" s="1"/>
  <c r="K1066" s="1"/>
  <c r="K1068" s="1"/>
  <c r="I911"/>
  <c r="I2555" s="1"/>
  <c r="I946"/>
  <c r="K946" s="1"/>
  <c r="I1044"/>
  <c r="K1044"/>
  <c r="I1029"/>
  <c r="K1029"/>
  <c r="K1037" s="1"/>
  <c r="K1039" s="1"/>
  <c r="I975"/>
  <c r="K975"/>
  <c r="I1084"/>
  <c r="K1084" s="1"/>
  <c r="I945"/>
  <c r="K945" s="1"/>
  <c r="I1083"/>
  <c r="I2260" s="1"/>
  <c r="I881"/>
  <c r="K881" s="1"/>
  <c r="K883" s="1"/>
  <c r="I910"/>
  <c r="K910" s="1"/>
  <c r="Z20"/>
  <c r="AC20" s="1"/>
  <c r="AC19"/>
  <c r="I378"/>
  <c r="K378" s="1"/>
  <c r="K386" s="1"/>
  <c r="K388" s="1"/>
  <c r="I393" s="1"/>
  <c r="K393" s="1"/>
  <c r="K397" s="1"/>
  <c r="K399" s="1"/>
  <c r="K401" s="1"/>
  <c r="K402" s="1"/>
  <c r="K403" s="1"/>
  <c r="K404" s="1"/>
  <c r="K405" s="1"/>
  <c r="I354"/>
  <c r="K354" s="1"/>
  <c r="K362" s="1"/>
  <c r="K364" s="1"/>
  <c r="K366" s="1"/>
  <c r="I2165"/>
  <c r="K2165" s="1"/>
  <c r="K2175" s="1"/>
  <c r="K2178" s="1"/>
  <c r="K2211" s="1"/>
  <c r="P704"/>
  <c r="R704"/>
  <c r="R713" s="1"/>
  <c r="R715" s="1"/>
  <c r="I1254"/>
  <c r="K1254" s="1"/>
  <c r="P23"/>
  <c r="R23"/>
  <c r="I254"/>
  <c r="K254" s="1"/>
  <c r="C79"/>
  <c r="I947"/>
  <c r="K947" s="1"/>
  <c r="I912"/>
  <c r="I976"/>
  <c r="K976"/>
  <c r="K986" s="1"/>
  <c r="K988" s="1"/>
  <c r="I19"/>
  <c r="K19" s="1"/>
  <c r="K23" s="1"/>
  <c r="I271"/>
  <c r="K271" s="1"/>
  <c r="I2051"/>
  <c r="K2051" s="1"/>
  <c r="K2059" s="1"/>
  <c r="K2061" s="1"/>
  <c r="I73"/>
  <c r="K73" s="1"/>
  <c r="K77" s="1"/>
  <c r="I45"/>
  <c r="K45" s="1"/>
  <c r="K49" s="1"/>
  <c r="P22"/>
  <c r="R22" s="1"/>
  <c r="R28" s="1"/>
  <c r="R30" s="1"/>
  <c r="I773"/>
  <c r="K773" s="1"/>
  <c r="I64"/>
  <c r="K64" s="1"/>
  <c r="K68" s="1"/>
  <c r="Z10"/>
  <c r="AC10" s="1"/>
  <c r="C69" s="1"/>
  <c r="I295" s="1"/>
  <c r="K295" s="1"/>
  <c r="P9"/>
  <c r="R9" s="1"/>
  <c r="R14" s="1"/>
  <c r="I1012"/>
  <c r="P720"/>
  <c r="R720" s="1"/>
  <c r="R729" s="1"/>
  <c r="R731" s="1"/>
  <c r="I2683" i="11"/>
  <c r="K2683" s="1"/>
  <c r="C81"/>
  <c r="P619" s="1"/>
  <c r="R619" s="1"/>
  <c r="R623" s="1"/>
  <c r="X29"/>
  <c r="K171" i="1"/>
  <c r="K3738"/>
  <c r="K3740" s="1"/>
  <c r="K3741" s="1"/>
  <c r="C260" i="55" s="1"/>
  <c r="F260" s="1"/>
  <c r="V3589" i="1"/>
  <c r="I1774"/>
  <c r="K1774" s="1"/>
  <c r="I1182"/>
  <c r="K1182" s="1"/>
  <c r="K1186" s="1"/>
  <c r="K1188" s="1"/>
  <c r="I3175"/>
  <c r="I3188" s="1"/>
  <c r="P1309"/>
  <c r="R1309" s="1"/>
  <c r="AJ1205"/>
  <c r="X3119"/>
  <c r="K2667"/>
  <c r="P2674"/>
  <c r="I3105"/>
  <c r="P2079" s="1"/>
  <c r="R2079" s="1"/>
  <c r="I1973"/>
  <c r="P1973" s="1"/>
  <c r="R1973" s="1"/>
  <c r="I86"/>
  <c r="I2149"/>
  <c r="K2149" s="1"/>
  <c r="I485"/>
  <c r="K485" s="1"/>
  <c r="C56" i="55" s="1"/>
  <c r="F56" s="1"/>
  <c r="AF414" i="1"/>
  <c r="AR403" s="1"/>
  <c r="J689"/>
  <c r="K689"/>
  <c r="I690" s="1"/>
  <c r="J709"/>
  <c r="K709" s="1"/>
  <c r="W437"/>
  <c r="W405"/>
  <c r="J602"/>
  <c r="J632"/>
  <c r="J633" s="1"/>
  <c r="J634" s="1"/>
  <c r="J635" s="1"/>
  <c r="J663"/>
  <c r="J664" s="1"/>
  <c r="J665" s="1"/>
  <c r="W490" s="1"/>
  <c r="AC490" s="1"/>
  <c r="J539"/>
  <c r="J540"/>
  <c r="J541" s="1"/>
  <c r="J600"/>
  <c r="J596"/>
  <c r="AJ1201"/>
  <c r="J616"/>
  <c r="V594" s="1"/>
  <c r="J599"/>
  <c r="J594"/>
  <c r="J595"/>
  <c r="T1185"/>
  <c r="J563"/>
  <c r="T1161"/>
  <c r="M97"/>
  <c r="I1059"/>
  <c r="C12"/>
  <c r="V1339"/>
  <c r="X1339" s="1"/>
  <c r="I1634"/>
  <c r="I1783"/>
  <c r="K1783" s="1"/>
  <c r="I2128"/>
  <c r="K2128"/>
  <c r="X3678"/>
  <c r="C10"/>
  <c r="I3256"/>
  <c r="K3256"/>
  <c r="P1378"/>
  <c r="R1378" s="1"/>
  <c r="I2261" i="27"/>
  <c r="I2663" s="1"/>
  <c r="K2663" s="1"/>
  <c r="C164"/>
  <c r="C81"/>
  <c r="P50" s="1"/>
  <c r="R50" s="1"/>
  <c r="R57" s="1"/>
  <c r="R60" s="1"/>
  <c r="I2554"/>
  <c r="K2554" s="1"/>
  <c r="I2523"/>
  <c r="K2523" s="1"/>
  <c r="K1012"/>
  <c r="K912"/>
  <c r="I2556"/>
  <c r="I2587" s="1"/>
  <c r="K2587" s="1"/>
  <c r="P605"/>
  <c r="R605" s="1"/>
  <c r="I139"/>
  <c r="K139" s="1"/>
  <c r="K143" s="1"/>
  <c r="I151"/>
  <c r="K151"/>
  <c r="K160" s="1"/>
  <c r="P2156" i="1"/>
  <c r="R2156" s="1"/>
  <c r="K86"/>
  <c r="K89" s="1"/>
  <c r="K91" s="1"/>
  <c r="X3589"/>
  <c r="V3606"/>
  <c r="P1052"/>
  <c r="R1052" s="1"/>
  <c r="K3105"/>
  <c r="P324"/>
  <c r="R324" s="1"/>
  <c r="I2058"/>
  <c r="K2058" s="1"/>
  <c r="I1256"/>
  <c r="K1256" s="1"/>
  <c r="P58"/>
  <c r="R58" s="1"/>
  <c r="I1152"/>
  <c r="K1152" s="1"/>
  <c r="I1276"/>
  <c r="I1290" s="1"/>
  <c r="K1290" s="1"/>
  <c r="I1831"/>
  <c r="K1831" s="1"/>
  <c r="V3161"/>
  <c r="X3161" s="1"/>
  <c r="X3136"/>
  <c r="K3175"/>
  <c r="C451" i="55"/>
  <c r="V451" s="1"/>
  <c r="W565" i="1"/>
  <c r="AC565" s="1"/>
  <c r="J564"/>
  <c r="W566" s="1"/>
  <c r="AC566" s="1"/>
  <c r="I491"/>
  <c r="K491"/>
  <c r="I1225"/>
  <c r="I1275"/>
  <c r="I1948"/>
  <c r="I415"/>
  <c r="K415" s="1"/>
  <c r="I1204"/>
  <c r="K1204"/>
  <c r="I1482"/>
  <c r="K1482" s="1"/>
  <c r="I1812"/>
  <c r="K1812"/>
  <c r="I554"/>
  <c r="K554" s="1"/>
  <c r="P368"/>
  <c r="R368"/>
  <c r="I902"/>
  <c r="K902" s="1"/>
  <c r="P184"/>
  <c r="R184"/>
  <c r="I1830"/>
  <c r="K1830" s="1"/>
  <c r="I2701"/>
  <c r="K2701"/>
  <c r="P311"/>
  <c r="R311" s="1"/>
  <c r="I2010"/>
  <c r="I1469"/>
  <c r="K1469"/>
  <c r="I430"/>
  <c r="K430" s="1"/>
  <c r="P323"/>
  <c r="R323"/>
  <c r="I398"/>
  <c r="P271"/>
  <c r="R271"/>
  <c r="I886"/>
  <c r="V886" s="1"/>
  <c r="P71"/>
  <c r="R71" s="1"/>
  <c r="P507"/>
  <c r="R507"/>
  <c r="I463"/>
  <c r="K463" s="1"/>
  <c r="I1360"/>
  <c r="K1360"/>
  <c r="I1396"/>
  <c r="K1396" s="1"/>
  <c r="I1409"/>
  <c r="K1409"/>
  <c r="I1254"/>
  <c r="I530"/>
  <c r="K530"/>
  <c r="I340"/>
  <c r="K340" s="1"/>
  <c r="I2153"/>
  <c r="P2160" s="1"/>
  <c r="R2160" s="1"/>
  <c r="P300"/>
  <c r="R300"/>
  <c r="I360"/>
  <c r="V360" s="1"/>
  <c r="I2741"/>
  <c r="K2741" s="1"/>
  <c r="P553"/>
  <c r="R553"/>
  <c r="I449"/>
  <c r="K449" s="1"/>
  <c r="I1308"/>
  <c r="V481"/>
  <c r="AB481" s="1"/>
  <c r="AD481" s="1"/>
  <c r="I1422"/>
  <c r="K1422" s="1"/>
  <c r="V532"/>
  <c r="I384"/>
  <c r="K384" s="1"/>
  <c r="I1437"/>
  <c r="K1437" s="1"/>
  <c r="I1326"/>
  <c r="K1326"/>
  <c r="P340"/>
  <c r="R340" s="1"/>
  <c r="P352"/>
  <c r="R352"/>
  <c r="I2029"/>
  <c r="K2029" s="1"/>
  <c r="I586"/>
  <c r="I1457"/>
  <c r="K1457"/>
  <c r="I301"/>
  <c r="K301" s="1"/>
  <c r="I654"/>
  <c r="K654"/>
  <c r="I1848"/>
  <c r="K1848" s="1"/>
  <c r="P366"/>
  <c r="R366"/>
  <c r="P525"/>
  <c r="R525" s="1"/>
  <c r="I1382"/>
  <c r="K1382"/>
  <c r="I316"/>
  <c r="V316" s="1"/>
  <c r="I2387"/>
  <c r="I2401" s="1"/>
  <c r="I1914"/>
  <c r="K1914"/>
  <c r="I2133"/>
  <c r="K2133" s="1"/>
  <c r="I608"/>
  <c r="K608"/>
  <c r="I1649"/>
  <c r="K1649" s="1"/>
  <c r="I3460"/>
  <c r="P3466" s="1"/>
  <c r="R3466" s="1"/>
  <c r="I624"/>
  <c r="K624"/>
  <c r="I868"/>
  <c r="I3929" s="1"/>
  <c r="K2556" i="27"/>
  <c r="I2585"/>
  <c r="K2585" s="1"/>
  <c r="K2261"/>
  <c r="J565" i="1"/>
  <c r="C6" i="55"/>
  <c r="K92" i="1"/>
  <c r="C7" i="55" s="1"/>
  <c r="F7" s="1"/>
  <c r="V1285" i="1"/>
  <c r="X1285" s="1"/>
  <c r="AB1269"/>
  <c r="AD1269" s="1"/>
  <c r="K1276"/>
  <c r="V586"/>
  <c r="X586"/>
  <c r="K586"/>
  <c r="K2153"/>
  <c r="K1254"/>
  <c r="V1283"/>
  <c r="X1283" s="1"/>
  <c r="I3827"/>
  <c r="K3827" s="1"/>
  <c r="V384"/>
  <c r="V415" s="1"/>
  <c r="X415" s="1"/>
  <c r="K1308"/>
  <c r="P1337"/>
  <c r="K360"/>
  <c r="P1220"/>
  <c r="R1220" s="1"/>
  <c r="T1220" s="1"/>
  <c r="K1225"/>
  <c r="P861"/>
  <c r="R861" s="1"/>
  <c r="V868"/>
  <c r="X868" s="1"/>
  <c r="V398"/>
  <c r="V430" s="1"/>
  <c r="X430" s="1"/>
  <c r="K398"/>
  <c r="P2011"/>
  <c r="R2011"/>
  <c r="K2010"/>
  <c r="K1948"/>
  <c r="I3569"/>
  <c r="K2387"/>
  <c r="AB532"/>
  <c r="AB556" s="1"/>
  <c r="AD556" s="1"/>
  <c r="X532"/>
  <c r="V556"/>
  <c r="X556"/>
  <c r="P2029"/>
  <c r="R2029" s="1"/>
  <c r="X481"/>
  <c r="V340"/>
  <c r="AE340" s="1"/>
  <c r="AG340" s="1"/>
  <c r="AB1268"/>
  <c r="AD1268" s="1"/>
  <c r="I1289"/>
  <c r="K1289"/>
  <c r="K1275"/>
  <c r="K3569"/>
  <c r="P3572"/>
  <c r="R3572" s="1"/>
  <c r="AB1193"/>
  <c r="V1303"/>
  <c r="X1303" s="1"/>
  <c r="R1337"/>
  <c r="AD532"/>
  <c r="AI1193"/>
  <c r="AK1193" s="1"/>
  <c r="AD1193"/>
  <c r="F1127" i="58" l="1"/>
  <c r="F1123"/>
  <c r="C193" i="55"/>
  <c r="F193" s="1"/>
  <c r="C194" i="79"/>
  <c r="V86" i="55"/>
  <c r="F86"/>
  <c r="Z7"/>
  <c r="X7"/>
  <c r="X12"/>
  <c r="Z12"/>
  <c r="X13"/>
  <c r="Z13"/>
  <c r="X208"/>
  <c r="Z208"/>
  <c r="X102"/>
  <c r="Z102"/>
  <c r="X87"/>
  <c r="Z87"/>
  <c r="Z29"/>
  <c r="X29"/>
  <c r="Z56"/>
  <c r="X56"/>
  <c r="X185"/>
  <c r="Z185"/>
  <c r="Z209"/>
  <c r="X209"/>
  <c r="X88"/>
  <c r="Z88"/>
  <c r="X60"/>
  <c r="Z60"/>
  <c r="Z241"/>
  <c r="X241"/>
  <c r="X193"/>
  <c r="Z193"/>
  <c r="X168"/>
  <c r="Z168"/>
  <c r="X107"/>
  <c r="Z107"/>
  <c r="X89"/>
  <c r="Z89"/>
  <c r="X83"/>
  <c r="Z83"/>
  <c r="X62"/>
  <c r="Z62"/>
  <c r="X104"/>
  <c r="Z104"/>
  <c r="X239"/>
  <c r="Z239"/>
  <c r="X260"/>
  <c r="Z260"/>
  <c r="Z186"/>
  <c r="X186"/>
  <c r="X180"/>
  <c r="Z180"/>
  <c r="X94"/>
  <c r="Z94"/>
  <c r="X86"/>
  <c r="Z86"/>
  <c r="X65"/>
  <c r="Z65"/>
  <c r="X238"/>
  <c r="Z238"/>
  <c r="R7"/>
  <c r="T7"/>
  <c r="P7"/>
  <c r="L7"/>
  <c r="N7"/>
  <c r="J7"/>
  <c r="H7"/>
  <c r="R186"/>
  <c r="T186"/>
  <c r="P186"/>
  <c r="L186"/>
  <c r="H186"/>
  <c r="N186"/>
  <c r="J186"/>
  <c r="T180"/>
  <c r="P180"/>
  <c r="R180"/>
  <c r="N180"/>
  <c r="L180"/>
  <c r="H180"/>
  <c r="J180"/>
  <c r="R94"/>
  <c r="T94"/>
  <c r="P94"/>
  <c r="L94"/>
  <c r="N94"/>
  <c r="J94"/>
  <c r="H94"/>
  <c r="R86"/>
  <c r="T86"/>
  <c r="P86"/>
  <c r="L86"/>
  <c r="N86"/>
  <c r="J86"/>
  <c r="H86"/>
  <c r="T65"/>
  <c r="P65"/>
  <c r="R65"/>
  <c r="L65"/>
  <c r="N65"/>
  <c r="J65"/>
  <c r="H65"/>
  <c r="T238"/>
  <c r="P238"/>
  <c r="R238"/>
  <c r="N238"/>
  <c r="L238"/>
  <c r="H238"/>
  <c r="J238"/>
  <c r="R56"/>
  <c r="T56"/>
  <c r="P56"/>
  <c r="N56"/>
  <c r="J56"/>
  <c r="L56"/>
  <c r="H56"/>
  <c r="R12"/>
  <c r="T12"/>
  <c r="N12"/>
  <c r="J12"/>
  <c r="L12"/>
  <c r="H12"/>
  <c r="P12"/>
  <c r="T13"/>
  <c r="P13"/>
  <c r="R13"/>
  <c r="N13"/>
  <c r="J13"/>
  <c r="L13"/>
  <c r="H13"/>
  <c r="T208"/>
  <c r="P208"/>
  <c r="R208"/>
  <c r="N208"/>
  <c r="J208"/>
  <c r="L208"/>
  <c r="H208"/>
  <c r="R102"/>
  <c r="T102"/>
  <c r="P102"/>
  <c r="L102"/>
  <c r="N102"/>
  <c r="H102"/>
  <c r="J102"/>
  <c r="R87"/>
  <c r="T87"/>
  <c r="P87"/>
  <c r="N87"/>
  <c r="J87"/>
  <c r="L87"/>
  <c r="H87"/>
  <c r="R66"/>
  <c r="T66"/>
  <c r="P66"/>
  <c r="L66"/>
  <c r="N66"/>
  <c r="J66"/>
  <c r="H66"/>
  <c r="T29"/>
  <c r="P29"/>
  <c r="R29"/>
  <c r="N29"/>
  <c r="J29"/>
  <c r="L29"/>
  <c r="H29"/>
  <c r="T185"/>
  <c r="P185"/>
  <c r="R185"/>
  <c r="L185"/>
  <c r="H185"/>
  <c r="N185"/>
  <c r="J185"/>
  <c r="T209"/>
  <c r="P209"/>
  <c r="R209"/>
  <c r="L209"/>
  <c r="H209"/>
  <c r="N209"/>
  <c r="J209"/>
  <c r="T88"/>
  <c r="P88"/>
  <c r="R88"/>
  <c r="N88"/>
  <c r="J88"/>
  <c r="L88"/>
  <c r="H88"/>
  <c r="R60"/>
  <c r="T60"/>
  <c r="P60"/>
  <c r="N60"/>
  <c r="J60"/>
  <c r="L60"/>
  <c r="H60"/>
  <c r="R241"/>
  <c r="N241"/>
  <c r="T241"/>
  <c r="P241"/>
  <c r="L241"/>
  <c r="H241"/>
  <c r="J241"/>
  <c r="F6"/>
  <c r="T6"/>
  <c r="P6"/>
  <c r="R6"/>
  <c r="N6"/>
  <c r="J6"/>
  <c r="H6"/>
  <c r="L6"/>
  <c r="T260"/>
  <c r="P260"/>
  <c r="R260"/>
  <c r="N260"/>
  <c r="L260"/>
  <c r="H260"/>
  <c r="J260"/>
  <c r="T193"/>
  <c r="P193"/>
  <c r="R193"/>
  <c r="L193"/>
  <c r="H193"/>
  <c r="N193"/>
  <c r="J193"/>
  <c r="T168"/>
  <c r="P168"/>
  <c r="R168"/>
  <c r="N168"/>
  <c r="J168"/>
  <c r="L168"/>
  <c r="H168"/>
  <c r="R107"/>
  <c r="T107"/>
  <c r="P107"/>
  <c r="N107"/>
  <c r="J107"/>
  <c r="L107"/>
  <c r="H107"/>
  <c r="T89"/>
  <c r="P89"/>
  <c r="R89"/>
  <c r="L89"/>
  <c r="N89"/>
  <c r="J89"/>
  <c r="H89"/>
  <c r="R83"/>
  <c r="T83"/>
  <c r="P83"/>
  <c r="N83"/>
  <c r="J83"/>
  <c r="L83"/>
  <c r="H83"/>
  <c r="R62"/>
  <c r="T62"/>
  <c r="P62"/>
  <c r="L62"/>
  <c r="N62"/>
  <c r="J62"/>
  <c r="H62"/>
  <c r="T104"/>
  <c r="P104"/>
  <c r="R104"/>
  <c r="N104"/>
  <c r="J104"/>
  <c r="L104"/>
  <c r="H104"/>
  <c r="R239"/>
  <c r="N239"/>
  <c r="T239"/>
  <c r="P239"/>
  <c r="L239"/>
  <c r="H239"/>
  <c r="J239"/>
  <c r="B598" i="58"/>
  <c r="F1113"/>
  <c r="B205"/>
  <c r="F205" s="1"/>
  <c r="F828"/>
  <c r="B116"/>
  <c r="F116" s="1"/>
  <c r="B461"/>
  <c r="F461" s="1"/>
  <c r="B438"/>
  <c r="F438" s="1"/>
  <c r="V94" i="55"/>
  <c r="D377" i="58"/>
  <c r="F377" s="1"/>
  <c r="V65" i="55"/>
  <c r="F1010" i="58"/>
  <c r="B613"/>
  <c r="F613" s="1"/>
  <c r="B625"/>
  <c r="F625" s="1"/>
  <c r="X466" i="55"/>
  <c r="F580" i="58"/>
  <c r="F987"/>
  <c r="F454"/>
  <c r="D385"/>
  <c r="V193" i="55"/>
  <c r="D370" i="58"/>
  <c r="D405"/>
  <c r="V260" i="55"/>
  <c r="V208"/>
  <c r="B670" i="58"/>
  <c r="B706"/>
  <c r="F897"/>
  <c r="F978"/>
  <c r="D499"/>
  <c r="B437"/>
  <c r="F437" s="1"/>
  <c r="Y469" i="55"/>
  <c r="B965" i="58"/>
  <c r="B985"/>
  <c r="B607"/>
  <c r="F607" s="1"/>
  <c r="B362"/>
  <c r="V102" i="55"/>
  <c r="B603" i="58"/>
  <c r="F603" s="1"/>
  <c r="Y467" i="55"/>
  <c r="F796" i="58"/>
  <c r="B294"/>
  <c r="F294" s="1"/>
  <c r="B743"/>
  <c r="B571"/>
  <c r="F571" s="1"/>
  <c r="B859"/>
  <c r="B779"/>
  <c r="F779" s="1"/>
  <c r="F1075"/>
  <c r="B983"/>
  <c r="B943"/>
  <c r="F943" s="1"/>
  <c r="B1007"/>
  <c r="B915"/>
  <c r="B1024"/>
  <c r="F1024" s="1"/>
  <c r="B964"/>
  <c r="B774"/>
  <c r="F774" s="1"/>
  <c r="B750"/>
  <c r="B914"/>
  <c r="F914" s="1"/>
  <c r="B412"/>
  <c r="F412" s="1"/>
  <c r="B944"/>
  <c r="B118"/>
  <c r="F118" s="1"/>
  <c r="B760"/>
  <c r="F760" s="1"/>
  <c r="B777"/>
  <c r="F777" s="1"/>
  <c r="B346"/>
  <c r="F1203"/>
  <c r="F1195"/>
  <c r="F1191"/>
  <c r="F1187"/>
  <c r="F1185"/>
  <c r="F1169"/>
  <c r="F1157"/>
  <c r="F1155"/>
  <c r="F1153"/>
  <c r="F1147"/>
  <c r="F1143"/>
  <c r="F1137"/>
  <c r="F1135"/>
  <c r="F1131"/>
  <c r="F1200"/>
  <c r="F1196"/>
  <c r="F1188"/>
  <c r="F1184"/>
  <c r="F1166"/>
  <c r="F1154"/>
  <c r="F1152"/>
  <c r="F1150"/>
  <c r="F1146"/>
  <c r="F1142"/>
  <c r="F1140"/>
  <c r="F1136"/>
  <c r="F1134"/>
  <c r="F1128"/>
  <c r="F1124"/>
  <c r="I3249" i="27"/>
  <c r="I3267" s="1"/>
  <c r="P1382" i="1"/>
  <c r="R1382" s="1"/>
  <c r="I3464"/>
  <c r="I3831" s="1"/>
  <c r="K3831" s="1"/>
  <c r="F836" i="58"/>
  <c r="I3465" i="27"/>
  <c r="K3465" s="1"/>
  <c r="F197" i="58"/>
  <c r="F1025"/>
  <c r="F771"/>
  <c r="F1028"/>
  <c r="F202"/>
  <c r="I2997" i="27"/>
  <c r="K2997" s="1"/>
  <c r="D443" i="58"/>
  <c r="F71" i="25"/>
  <c r="X24" i="1"/>
  <c r="D416" i="58"/>
  <c r="F942"/>
  <c r="F787"/>
  <c r="P2873" i="27"/>
  <c r="R2873" s="1"/>
  <c r="F201" i="58"/>
  <c r="F773"/>
  <c r="F781"/>
  <c r="F778"/>
  <c r="F782"/>
  <c r="F195"/>
  <c r="F106"/>
  <c r="I3920" i="27"/>
  <c r="K3920" s="1"/>
  <c r="F991" i="58"/>
  <c r="F838"/>
  <c r="F1120"/>
  <c r="D631"/>
  <c r="I3140" i="27"/>
  <c r="K3140" s="1"/>
  <c r="I3797"/>
  <c r="K3797" s="1"/>
  <c r="K2869"/>
  <c r="I2914"/>
  <c r="I2938" s="1"/>
  <c r="D704" i="58"/>
  <c r="I2907" i="27"/>
  <c r="I3030" s="1"/>
  <c r="K3030" s="1"/>
  <c r="I1493" i="1"/>
  <c r="K1493" s="1"/>
  <c r="P393"/>
  <c r="R393" s="1"/>
  <c r="X35"/>
  <c r="I3504" i="27"/>
  <c r="I3405"/>
  <c r="I3029"/>
  <c r="K3029" s="1"/>
  <c r="D433" i="58"/>
  <c r="F433" s="1"/>
  <c r="D63"/>
  <c r="F63" s="1"/>
  <c r="K3354" i="27"/>
  <c r="T427" i="55"/>
  <c r="D323" i="58"/>
  <c r="D369"/>
  <c r="I3825" i="27"/>
  <c r="K3825" s="1"/>
  <c r="P948" i="1"/>
  <c r="R948" s="1"/>
  <c r="I3006" i="27"/>
  <c r="K3006" s="1"/>
  <c r="P2847"/>
  <c r="R2847" s="1"/>
  <c r="V427" i="55"/>
  <c r="R2854" i="27"/>
  <c r="I3247"/>
  <c r="D912" i="58"/>
  <c r="F912" s="1"/>
  <c r="I2996" i="27"/>
  <c r="I3682" s="1"/>
  <c r="K2844"/>
  <c r="X427" i="55"/>
  <c r="R2851" i="27"/>
  <c r="P2299" i="1"/>
  <c r="R2299" s="1"/>
  <c r="K2299"/>
  <c r="Z28"/>
  <c r="AC28" s="1"/>
  <c r="P3262" s="1"/>
  <c r="R3262" s="1"/>
  <c r="I2998" i="27"/>
  <c r="K2998" s="1"/>
  <c r="T380" i="55"/>
  <c r="D1044" i="58"/>
  <c r="K2850" i="27"/>
  <c r="K2893" s="1"/>
  <c r="K3851" s="1"/>
  <c r="V380" i="55"/>
  <c r="C70" i="1"/>
  <c r="AC26"/>
  <c r="I2636" s="1"/>
  <c r="D293" i="58"/>
  <c r="D587" i="25"/>
  <c r="F587" s="1"/>
  <c r="V60" i="55"/>
  <c r="I3007" i="27"/>
  <c r="K3007" s="1"/>
  <c r="I3001"/>
  <c r="K3001" s="1"/>
  <c r="I2911"/>
  <c r="K2911" s="1"/>
  <c r="X380" i="55"/>
  <c r="V88"/>
  <c r="I3139" i="27"/>
  <c r="K3139" s="1"/>
  <c r="K3141" s="1"/>
  <c r="K3142" s="1"/>
  <c r="K3134" s="1"/>
  <c r="K3135" s="1"/>
  <c r="L3135" s="1"/>
  <c r="K2856"/>
  <c r="P2846"/>
  <c r="P2879" s="1"/>
  <c r="R2879" s="1"/>
  <c r="F995" i="58"/>
  <c r="W36" i="1"/>
  <c r="K3767" i="27"/>
  <c r="K2201" s="1"/>
  <c r="W45" i="1"/>
  <c r="W48"/>
  <c r="W46"/>
  <c r="W47" s="1"/>
  <c r="W37"/>
  <c r="W35"/>
  <c r="F1177" i="58"/>
  <c r="F1161"/>
  <c r="F1174"/>
  <c r="F1170"/>
  <c r="K3249" i="27"/>
  <c r="F16" i="25"/>
  <c r="F18" s="1"/>
  <c r="P2849" i="27"/>
  <c r="I2917"/>
  <c r="F969" i="58"/>
  <c r="F743"/>
  <c r="F474"/>
  <c r="F409"/>
  <c r="F402"/>
  <c r="F362"/>
  <c r="F26"/>
  <c r="F45" i="50"/>
  <c r="K2843" i="27"/>
  <c r="D147" i="25"/>
  <c r="D169" s="1"/>
  <c r="F169" s="1"/>
  <c r="V87" i="55"/>
  <c r="V29"/>
  <c r="I1592" i="1"/>
  <c r="K1592" s="1"/>
  <c r="I1258"/>
  <c r="K1258" s="1"/>
  <c r="I2428"/>
  <c r="P2435" s="1"/>
  <c r="R2435" s="1"/>
  <c r="I66"/>
  <c r="K66" s="1"/>
  <c r="I811"/>
  <c r="K811" s="1"/>
  <c r="I1229"/>
  <c r="K1229" s="1"/>
  <c r="V107" i="55"/>
  <c r="I2150" i="1"/>
  <c r="K2150" s="1"/>
  <c r="I47"/>
  <c r="K47" s="1"/>
  <c r="I2666"/>
  <c r="K2666" s="1"/>
  <c r="I2637"/>
  <c r="K2637" s="1"/>
  <c r="I1057"/>
  <c r="P1093" s="1"/>
  <c r="I1089"/>
  <c r="K1089" s="1"/>
  <c r="K1098" s="1"/>
  <c r="K1100" s="1"/>
  <c r="I1074"/>
  <c r="K1074" s="1"/>
  <c r="D622" i="25"/>
  <c r="F622" s="1"/>
  <c r="I2817" i="1"/>
  <c r="I2867" s="1"/>
  <c r="K2867" s="1"/>
  <c r="I3322"/>
  <c r="K3322" s="1"/>
  <c r="I1579"/>
  <c r="K1579" s="1"/>
  <c r="I1648"/>
  <c r="K1648" s="1"/>
  <c r="I18"/>
  <c r="K18" s="1"/>
  <c r="V1287"/>
  <c r="X1287" s="1"/>
  <c r="I27"/>
  <c r="K27" s="1"/>
  <c r="D623" i="25"/>
  <c r="F147"/>
  <c r="D59"/>
  <c r="P753" i="1"/>
  <c r="R753" s="1"/>
  <c r="V2784"/>
  <c r="P722"/>
  <c r="R722" s="1"/>
  <c r="D620" i="25"/>
  <c r="D656" s="1"/>
  <c r="F585"/>
  <c r="I3280" i="27"/>
  <c r="K3267"/>
  <c r="I3622"/>
  <c r="K3622" s="1"/>
  <c r="I3570"/>
  <c r="K3570" s="1"/>
  <c r="P3503"/>
  <c r="R3503" s="1"/>
  <c r="K3503"/>
  <c r="V241" i="55"/>
  <c r="D668" i="58"/>
  <c r="I3669" i="27"/>
  <c r="K3669" s="1"/>
  <c r="P3505"/>
  <c r="R3505" s="1"/>
  <c r="I3248"/>
  <c r="K2932"/>
  <c r="P1147" i="1"/>
  <c r="V806"/>
  <c r="X806" s="1"/>
  <c r="F50" i="25"/>
  <c r="X14" i="1"/>
  <c r="X13"/>
  <c r="F33" i="58"/>
  <c r="F174"/>
  <c r="F179"/>
  <c r="P2886" i="27"/>
  <c r="R2886" s="1"/>
  <c r="I3352"/>
  <c r="K2868"/>
  <c r="F301" i="58"/>
  <c r="F745"/>
  <c r="F750"/>
  <c r="F892"/>
  <c r="D24"/>
  <c r="F24" s="1"/>
  <c r="X36" i="1"/>
  <c r="X37" s="1"/>
  <c r="V180" i="55"/>
  <c r="I2933" i="27"/>
  <c r="I3051" s="1"/>
  <c r="I3887" s="1"/>
  <c r="K3887" s="1"/>
  <c r="V646" i="1"/>
  <c r="K2855" i="27"/>
  <c r="D455" i="58"/>
  <c r="I2956" i="27"/>
  <c r="I3056"/>
  <c r="K3056" s="1"/>
  <c r="F548" i="25"/>
  <c r="X15" i="1"/>
  <c r="F37" i="58"/>
  <c r="I3826" i="27"/>
  <c r="K3826" s="1"/>
  <c r="I2759"/>
  <c r="K2759" s="1"/>
  <c r="I3824"/>
  <c r="K3824" s="1"/>
  <c r="F270" i="58"/>
  <c r="F721"/>
  <c r="F740"/>
  <c r="F36"/>
  <c r="F73" i="25"/>
  <c r="P2872" i="27"/>
  <c r="R2872" s="1"/>
  <c r="P2644" i="1"/>
  <c r="R2644" s="1"/>
  <c r="I3050" i="27"/>
  <c r="I3886" s="1"/>
  <c r="K3886" s="1"/>
  <c r="K2996"/>
  <c r="I2913"/>
  <c r="F388" i="58"/>
  <c r="F443"/>
  <c r="K2907" i="27"/>
  <c r="X12" i="1"/>
  <c r="F500" i="58"/>
  <c r="I3159" i="27"/>
  <c r="K3159" s="1"/>
  <c r="F891" i="58"/>
  <c r="I3921" i="27"/>
  <c r="K3921" s="1"/>
  <c r="I3000"/>
  <c r="P379" i="1"/>
  <c r="R379" s="1"/>
  <c r="F747" i="58"/>
  <c r="F600"/>
  <c r="F1036"/>
  <c r="F968"/>
  <c r="F752"/>
  <c r="F1205"/>
  <c r="F1197"/>
  <c r="F1181"/>
  <c r="F1176"/>
  <c r="F1173"/>
  <c r="F1168"/>
  <c r="F1126"/>
  <c r="F1122"/>
  <c r="F1119"/>
  <c r="F1117"/>
  <c r="F1115"/>
  <c r="F1214"/>
  <c r="F1210"/>
  <c r="F1208"/>
  <c r="F1194"/>
  <c r="F1182"/>
  <c r="F1165"/>
  <c r="F1158"/>
  <c r="F1156"/>
  <c r="F1116"/>
  <c r="F1108"/>
  <c r="B347"/>
  <c r="B588"/>
  <c r="D50"/>
  <c r="B936"/>
  <c r="B214"/>
  <c r="F214" s="1"/>
  <c r="B194"/>
  <c r="B128"/>
  <c r="F128" s="1"/>
  <c r="B65"/>
  <c r="F65" s="1"/>
  <c r="B966"/>
  <c r="B227"/>
  <c r="F227" s="1"/>
  <c r="B960"/>
  <c r="F960" s="1"/>
  <c r="B258"/>
  <c r="F258" s="1"/>
  <c r="B212"/>
  <c r="F212" s="1"/>
  <c r="B85"/>
  <c r="F85" s="1"/>
  <c r="B35"/>
  <c r="F35" s="1"/>
  <c r="B418"/>
  <c r="F418" s="1"/>
  <c r="F1078"/>
  <c r="F1085"/>
  <c r="F698"/>
  <c r="B232"/>
  <c r="D398"/>
  <c r="F1086"/>
  <c r="F1083"/>
  <c r="V168" i="55"/>
  <c r="T426"/>
  <c r="D697" i="58"/>
  <c r="F697" s="1"/>
  <c r="V185" i="55"/>
  <c r="D845" i="58"/>
  <c r="F845" s="1"/>
  <c r="D826"/>
  <c r="B1076"/>
  <c r="F1076" s="1"/>
  <c r="F1082"/>
  <c r="Z373" i="55"/>
  <c r="B938" i="58"/>
  <c r="F938" s="1"/>
  <c r="Z427" i="55"/>
  <c r="Z472"/>
  <c r="B1084" i="58"/>
  <c r="F1084" s="1"/>
  <c r="B1080"/>
  <c r="F1080" s="1"/>
  <c r="Z468" i="55"/>
  <c r="B1015" i="58"/>
  <c r="F1015" s="1"/>
  <c r="B924"/>
  <c r="F924" s="1"/>
  <c r="B741"/>
  <c r="F741" s="1"/>
  <c r="B610"/>
  <c r="F610" s="1"/>
  <c r="B447"/>
  <c r="F447" s="1"/>
  <c r="B439"/>
  <c r="F439" s="1"/>
  <c r="B406"/>
  <c r="F406" s="1"/>
  <c r="B387"/>
  <c r="B71"/>
  <c r="F71" s="1"/>
  <c r="B38"/>
  <c r="F38" s="1"/>
  <c r="B15"/>
  <c r="F15" s="1"/>
  <c r="B972"/>
  <c r="B940"/>
  <c r="F940" s="1"/>
  <c r="B795"/>
  <c r="F795" s="1"/>
  <c r="B756"/>
  <c r="B455"/>
  <c r="B399"/>
  <c r="F399" s="1"/>
  <c r="B395"/>
  <c r="F395" s="1"/>
  <c r="B127"/>
  <c r="F127" s="1"/>
  <c r="B32"/>
  <c r="F32" s="1"/>
  <c r="B29"/>
  <c r="F29" s="1"/>
  <c r="B12"/>
  <c r="F12" s="1"/>
  <c r="B1006"/>
  <c r="B731"/>
  <c r="F731" s="1"/>
  <c r="B542"/>
  <c r="F542" s="1"/>
  <c r="B414"/>
  <c r="B404"/>
  <c r="F404" s="1"/>
  <c r="B203"/>
  <c r="F203" s="1"/>
  <c r="B199"/>
  <c r="F199" s="1"/>
  <c r="B181"/>
  <c r="F181" s="1"/>
  <c r="B124"/>
  <c r="F124" s="1"/>
  <c r="Z380" i="55"/>
  <c r="B1044" i="58"/>
  <c r="F1044" s="1"/>
  <c r="B988"/>
  <c r="F988" s="1"/>
  <c r="B899"/>
  <c r="F899" s="1"/>
  <c r="B772"/>
  <c r="F772" s="1"/>
  <c r="B579"/>
  <c r="F579" s="1"/>
  <c r="B405"/>
  <c r="F405" s="1"/>
  <c r="B386"/>
  <c r="B368"/>
  <c r="F368" s="1"/>
  <c r="B352"/>
  <c r="F352" s="1"/>
  <c r="B328"/>
  <c r="F328" s="1"/>
  <c r="B304"/>
  <c r="F304" s="1"/>
  <c r="B216"/>
  <c r="F216" s="1"/>
  <c r="B178"/>
  <c r="F178" s="1"/>
  <c r="B114"/>
  <c r="F114" s="1"/>
  <c r="B34"/>
  <c r="F34" s="1"/>
  <c r="V186" i="55"/>
  <c r="V209"/>
  <c r="B758" i="58"/>
  <c r="F758" s="1"/>
  <c r="B276"/>
  <c r="F276" s="1"/>
  <c r="B633"/>
  <c r="F633" s="1"/>
  <c r="B742"/>
  <c r="F742" s="1"/>
  <c r="B746"/>
  <c r="B789"/>
  <c r="F789" s="1"/>
  <c r="B1029"/>
  <c r="B1037"/>
  <c r="B539"/>
  <c r="F539" s="1"/>
  <c r="B791"/>
  <c r="F791" s="1"/>
  <c r="B839"/>
  <c r="B898"/>
  <c r="F898" s="1"/>
  <c r="Y485" i="55"/>
  <c r="Y483"/>
  <c r="Y481"/>
  <c r="Y479"/>
  <c r="Y477"/>
  <c r="Y475"/>
  <c r="F982" i="58"/>
  <c r="F854"/>
  <c r="F166"/>
  <c r="F159"/>
  <c r="F156"/>
  <c r="F153"/>
  <c r="D696"/>
  <c r="Z451" i="55"/>
  <c r="V62"/>
  <c r="F417" i="58"/>
  <c r="D430"/>
  <c r="F430" s="1"/>
  <c r="V89" i="55"/>
  <c r="B165" i="58"/>
  <c r="F165" s="1"/>
  <c r="B359"/>
  <c r="F359" s="1"/>
  <c r="B1023"/>
  <c r="B962"/>
  <c r="B751"/>
  <c r="F229"/>
  <c r="F9"/>
  <c r="D308"/>
  <c r="F308" s="1"/>
  <c r="X451" i="55"/>
  <c r="D387" i="58"/>
  <c r="D371"/>
  <c r="F293"/>
  <c r="B617"/>
  <c r="F617" s="1"/>
  <c r="F1007"/>
  <c r="Y465" i="55"/>
  <c r="Y484"/>
  <c r="Y482"/>
  <c r="Y480"/>
  <c r="Y478"/>
  <c r="Y476"/>
  <c r="X471"/>
  <c r="F223" i="58"/>
  <c r="F160"/>
  <c r="F130"/>
  <c r="F125"/>
  <c r="B378"/>
  <c r="F378" s="1"/>
  <c r="B946"/>
  <c r="F946" s="1"/>
  <c r="B814"/>
  <c r="F814" s="1"/>
  <c r="B819"/>
  <c r="F819" s="1"/>
  <c r="F826"/>
  <c r="B431"/>
  <c r="F431" s="1"/>
  <c r="B180"/>
  <c r="F180" s="1"/>
  <c r="B175"/>
  <c r="F175" s="1"/>
  <c r="B164"/>
  <c r="F164" s="1"/>
  <c r="B158"/>
  <c r="F158" s="1"/>
  <c r="B162"/>
  <c r="F162" s="1"/>
  <c r="B167"/>
  <c r="F167" s="1"/>
  <c r="B193"/>
  <c r="F193" s="1"/>
  <c r="B110"/>
  <c r="F110" s="1"/>
  <c r="B107"/>
  <c r="B117"/>
  <c r="F117" s="1"/>
  <c r="B108"/>
  <c r="F108" s="1"/>
  <c r="B62"/>
  <c r="F62" s="1"/>
  <c r="B59"/>
  <c r="F59" s="1"/>
  <c r="B50"/>
  <c r="B493"/>
  <c r="F493" s="1"/>
  <c r="B499"/>
  <c r="F499" s="1"/>
  <c r="B467"/>
  <c r="F467" s="1"/>
  <c r="B1022"/>
  <c r="F1022" s="1"/>
  <c r="B1008"/>
  <c r="F1008" s="1"/>
  <c r="B998"/>
  <c r="F998" s="1"/>
  <c r="B851"/>
  <c r="F851" s="1"/>
  <c r="B996"/>
  <c r="F996" s="1"/>
  <c r="B976"/>
  <c r="F976" s="1"/>
  <c r="B984"/>
  <c r="F984" s="1"/>
  <c r="B958"/>
  <c r="F958" s="1"/>
  <c r="B8"/>
  <c r="B929"/>
  <c r="F929" s="1"/>
  <c r="B1017"/>
  <c r="F1017" s="1"/>
  <c r="B1019"/>
  <c r="F1019" s="1"/>
  <c r="B793"/>
  <c r="F793" s="1"/>
  <c r="B1011"/>
  <c r="F1011" s="1"/>
  <c r="B977"/>
  <c r="F977" s="1"/>
  <c r="B955"/>
  <c r="F955" s="1"/>
  <c r="B1001"/>
  <c r="F1001" s="1"/>
  <c r="B911"/>
  <c r="F911" s="1"/>
  <c r="B794"/>
  <c r="F794" s="1"/>
  <c r="F668"/>
  <c r="B1018"/>
  <c r="F1018" s="1"/>
  <c r="B979"/>
  <c r="F979" s="1"/>
  <c r="B931"/>
  <c r="F931" s="1"/>
  <c r="B754"/>
  <c r="F754" s="1"/>
  <c r="K3929" i="1"/>
  <c r="I3947"/>
  <c r="AE369"/>
  <c r="AG369" s="1"/>
  <c r="X360"/>
  <c r="X316"/>
  <c r="AQ68"/>
  <c r="AE316"/>
  <c r="AG316" s="1"/>
  <c r="P601" i="27"/>
  <c r="R601" s="1"/>
  <c r="R612" s="1"/>
  <c r="P574"/>
  <c r="R574" s="1"/>
  <c r="I2028"/>
  <c r="K2028" s="1"/>
  <c r="K2034" s="1"/>
  <c r="P588"/>
  <c r="R588" s="1"/>
  <c r="I1913"/>
  <c r="K1913" s="1"/>
  <c r="I1893"/>
  <c r="K1893" s="1"/>
  <c r="K1899" s="1"/>
  <c r="I3371" i="1"/>
  <c r="K3188"/>
  <c r="I2662" i="27"/>
  <c r="K2662" s="1"/>
  <c r="K2260"/>
  <c r="P179"/>
  <c r="R179" s="1"/>
  <c r="I335"/>
  <c r="K335" s="1"/>
  <c r="P401"/>
  <c r="R401" s="1"/>
  <c r="R404" s="1"/>
  <c r="R406" s="1"/>
  <c r="P413" s="1"/>
  <c r="R413" s="1"/>
  <c r="P402"/>
  <c r="R402" s="1"/>
  <c r="V1440" i="1"/>
  <c r="R1479"/>
  <c r="P1486"/>
  <c r="K3761" i="11"/>
  <c r="K3762" s="1"/>
  <c r="K3744"/>
  <c r="D1030" i="58"/>
  <c r="C61" i="55"/>
  <c r="F61" s="1"/>
  <c r="C169"/>
  <c r="F169" s="1"/>
  <c r="P335" i="27"/>
  <c r="R335" s="1"/>
  <c r="R341" s="1"/>
  <c r="R343" s="1"/>
  <c r="I1409"/>
  <c r="K1409" s="1"/>
  <c r="K1414" s="1"/>
  <c r="K1416" s="1"/>
  <c r="I311"/>
  <c r="K311" s="1"/>
  <c r="I1396"/>
  <c r="K1396" s="1"/>
  <c r="K1401" s="1"/>
  <c r="K1403" s="1"/>
  <c r="I296"/>
  <c r="K296" s="1"/>
  <c r="I195"/>
  <c r="K195" s="1"/>
  <c r="P80"/>
  <c r="R80" s="1"/>
  <c r="I1384"/>
  <c r="K1384" s="1"/>
  <c r="K1389" s="1"/>
  <c r="K1391" s="1"/>
  <c r="I1324"/>
  <c r="K1324" s="1"/>
  <c r="K1330" s="1"/>
  <c r="K1332" s="1"/>
  <c r="P606" s="1"/>
  <c r="R606" s="1"/>
  <c r="I2413" i="1"/>
  <c r="K2401"/>
  <c r="P633" i="27"/>
  <c r="R633" s="1"/>
  <c r="P576"/>
  <c r="R576" s="1"/>
  <c r="P590"/>
  <c r="R590" s="1"/>
  <c r="I4013" i="1"/>
  <c r="K3997"/>
  <c r="K3539" i="11"/>
  <c r="L3540"/>
  <c r="M3417"/>
  <c r="L3419"/>
  <c r="I710" i="1"/>
  <c r="V56" i="55"/>
  <c r="P51" i="27"/>
  <c r="R51" s="1"/>
  <c r="I225"/>
  <c r="K225" s="1"/>
  <c r="K367"/>
  <c r="K368" s="1"/>
  <c r="K369" s="1"/>
  <c r="K370" s="1"/>
  <c r="I2586"/>
  <c r="K2586" s="1"/>
  <c r="K2597" s="1"/>
  <c r="K2599" s="1"/>
  <c r="K2555"/>
  <c r="K2566" s="1"/>
  <c r="K2568" s="1"/>
  <c r="P589"/>
  <c r="R589" s="1"/>
  <c r="P575"/>
  <c r="R575" s="1"/>
  <c r="P632"/>
  <c r="R632" s="1"/>
  <c r="R136"/>
  <c r="R137" s="1"/>
  <c r="R138" s="1"/>
  <c r="R139" s="1"/>
  <c r="R140" s="1"/>
  <c r="I355"/>
  <c r="K355" s="1"/>
  <c r="I1155"/>
  <c r="K1155" s="1"/>
  <c r="K1161" s="1"/>
  <c r="K1163" s="1"/>
  <c r="I479"/>
  <c r="K479" s="1"/>
  <c r="K487" s="1"/>
  <c r="K489" s="1"/>
  <c r="I379"/>
  <c r="K379" s="1"/>
  <c r="I1337"/>
  <c r="K1337" s="1"/>
  <c r="K1343" s="1"/>
  <c r="K1345" s="1"/>
  <c r="I410"/>
  <c r="K410" s="1"/>
  <c r="I444"/>
  <c r="K444" s="1"/>
  <c r="P361"/>
  <c r="R361" s="1"/>
  <c r="R369" s="1"/>
  <c r="R371" s="1"/>
  <c r="P266"/>
  <c r="R266" s="1"/>
  <c r="R270" s="1"/>
  <c r="R272" s="1"/>
  <c r="R274" s="1"/>
  <c r="R275" s="1"/>
  <c r="R276" s="1"/>
  <c r="R277" s="1"/>
  <c r="I425"/>
  <c r="K425" s="1"/>
  <c r="K429" s="1"/>
  <c r="K431" s="1"/>
  <c r="K433" s="1"/>
  <c r="K434" s="1"/>
  <c r="K435" s="1"/>
  <c r="K436" s="1"/>
  <c r="K437" s="1"/>
  <c r="D1031" i="58"/>
  <c r="R3501" i="11"/>
  <c r="T3501"/>
  <c r="V902" i="1"/>
  <c r="X902" s="1"/>
  <c r="X886"/>
  <c r="I210" i="27"/>
  <c r="K210" s="1"/>
  <c r="I1221"/>
  <c r="K1221" s="1"/>
  <c r="K1226" s="1"/>
  <c r="K1228" s="1"/>
  <c r="P66"/>
  <c r="R66" s="1"/>
  <c r="P318"/>
  <c r="R318" s="1"/>
  <c r="R324" s="1"/>
  <c r="R326" s="1"/>
  <c r="P306"/>
  <c r="R306" s="1"/>
  <c r="R312" s="1"/>
  <c r="R314" s="1"/>
  <c r="I224"/>
  <c r="K224" s="1"/>
  <c r="K231" s="1"/>
  <c r="K233" s="1"/>
  <c r="C82"/>
  <c r="I1253" s="1"/>
  <c r="K1253" s="1"/>
  <c r="K1260" s="1"/>
  <c r="K1262" s="1"/>
  <c r="I1909" s="1"/>
  <c r="K1909" s="1"/>
  <c r="K1920" s="1"/>
  <c r="C165"/>
  <c r="I1309"/>
  <c r="K1309" s="1"/>
  <c r="I1287"/>
  <c r="K1287" s="1"/>
  <c r="K2200" i="11"/>
  <c r="K2280" i="1"/>
  <c r="L3277" i="11"/>
  <c r="K322" i="27"/>
  <c r="K323" s="1"/>
  <c r="K324" s="1"/>
  <c r="K325" s="1"/>
  <c r="K326" s="1"/>
  <c r="P602"/>
  <c r="R602" s="1"/>
  <c r="P603"/>
  <c r="R603" s="1"/>
  <c r="P635"/>
  <c r="R635" s="1"/>
  <c r="K467"/>
  <c r="K468" s="1"/>
  <c r="K469" s="1"/>
  <c r="K470" s="1"/>
  <c r="K3991" i="1"/>
  <c r="I3992"/>
  <c r="K3244" i="11"/>
  <c r="K3772"/>
  <c r="R3243"/>
  <c r="R3244" s="1"/>
  <c r="K957" i="27"/>
  <c r="K959" s="1"/>
  <c r="R1462" i="1"/>
  <c r="V1423"/>
  <c r="X1423" s="1"/>
  <c r="F549" i="25"/>
  <c r="D586"/>
  <c r="D906" i="58"/>
  <c r="F906" s="1"/>
  <c r="P1431" i="1"/>
  <c r="R1414"/>
  <c r="AE3549"/>
  <c r="V3549"/>
  <c r="AB1426"/>
  <c r="AD1426" s="1"/>
  <c r="AD1409"/>
  <c r="AB1393"/>
  <c r="AD1393" s="1"/>
  <c r="AD1376"/>
  <c r="K2575"/>
  <c r="I2610"/>
  <c r="I3338" i="11"/>
  <c r="K3338" s="1"/>
  <c r="K3339" s="1"/>
  <c r="K3340" s="1"/>
  <c r="I3297"/>
  <c r="K3297" s="1"/>
  <c r="K3299" s="1"/>
  <c r="K3291" s="1"/>
  <c r="K3293" s="1"/>
  <c r="K3280" i="27"/>
  <c r="I3298"/>
  <c r="K3504"/>
  <c r="I3571"/>
  <c r="K3571" s="1"/>
  <c r="D428" i="58"/>
  <c r="F428" s="1"/>
  <c r="K1057" i="1"/>
  <c r="P1068"/>
  <c r="R1068" s="1"/>
  <c r="I954"/>
  <c r="P214"/>
  <c r="R214" s="1"/>
  <c r="I1105"/>
  <c r="I1019"/>
  <c r="K1019" s="1"/>
  <c r="I2686"/>
  <c r="K2686" s="1"/>
  <c r="K2685"/>
  <c r="H3893"/>
  <c r="J3893" s="1"/>
  <c r="J3877"/>
  <c r="D577" i="58"/>
  <c r="F577" s="1"/>
  <c r="D735"/>
  <c r="F735" s="1"/>
  <c r="I2468" i="11"/>
  <c r="K2468" s="1"/>
  <c r="I2311"/>
  <c r="K2311" s="1"/>
  <c r="V1323" i="1"/>
  <c r="X1323" s="1"/>
  <c r="X398"/>
  <c r="X340"/>
  <c r="AE393"/>
  <c r="P1262"/>
  <c r="P1864"/>
  <c r="I3308"/>
  <c r="K3308" s="1"/>
  <c r="K868"/>
  <c r="K886"/>
  <c r="I3644"/>
  <c r="K3644" s="1"/>
  <c r="K316"/>
  <c r="T451" i="55"/>
  <c r="I3274" i="1"/>
  <c r="K3274" s="1"/>
  <c r="K911" i="27"/>
  <c r="K922" s="1"/>
  <c r="K924" s="1"/>
  <c r="K1083"/>
  <c r="Z11"/>
  <c r="K14"/>
  <c r="I1637"/>
  <c r="K1637" s="1"/>
  <c r="I1199"/>
  <c r="K1199" s="1"/>
  <c r="K1212" s="1"/>
  <c r="K1214" s="1"/>
  <c r="I1286"/>
  <c r="K1286" s="1"/>
  <c r="K1295" s="1"/>
  <c r="K1297" s="1"/>
  <c r="I1308"/>
  <c r="K1308" s="1"/>
  <c r="K1317" s="1"/>
  <c r="K1319" s="1"/>
  <c r="AB1452" i="1"/>
  <c r="AD1452" s="1"/>
  <c r="R1446"/>
  <c r="V3580"/>
  <c r="V1392"/>
  <c r="K3327"/>
  <c r="I4037"/>
  <c r="K4037" s="1"/>
  <c r="R1453"/>
  <c r="X3558"/>
  <c r="I3646" i="11"/>
  <c r="K3646" s="1"/>
  <c r="K3650" s="1"/>
  <c r="P1451" i="1"/>
  <c r="I4073"/>
  <c r="K4073" s="1"/>
  <c r="K1081"/>
  <c r="K3648" i="11"/>
  <c r="P3531" i="1"/>
  <c r="K1066"/>
  <c r="I3624" i="27"/>
  <c r="I3673" i="11"/>
  <c r="K3673" s="1"/>
  <c r="I3663"/>
  <c r="K3663" s="1"/>
  <c r="K3676" s="1"/>
  <c r="I3920"/>
  <c r="K3920" s="1"/>
  <c r="K2958"/>
  <c r="I3072"/>
  <c r="K3049"/>
  <c r="K2192" i="27"/>
  <c r="I3073"/>
  <c r="K3050"/>
  <c r="P3068" i="1"/>
  <c r="R3068" s="1"/>
  <c r="K3061"/>
  <c r="I3080"/>
  <c r="K3080" s="1"/>
  <c r="K89" i="11"/>
  <c r="K90"/>
  <c r="P573"/>
  <c r="R573" s="1"/>
  <c r="P586"/>
  <c r="R586" s="1"/>
  <c r="I2613"/>
  <c r="K102"/>
  <c r="K104"/>
  <c r="K105" s="1"/>
  <c r="D732" i="58"/>
  <c r="F732" s="1"/>
  <c r="X384" i="1"/>
  <c r="P619" i="27"/>
  <c r="R619" s="1"/>
  <c r="R623" s="1"/>
  <c r="K3460" i="1"/>
  <c r="R1493"/>
  <c r="V1424"/>
  <c r="X1424" s="1"/>
  <c r="AB1405"/>
  <c r="X1391"/>
  <c r="AB1403"/>
  <c r="R1444"/>
  <c r="AB1404"/>
  <c r="AE3564"/>
  <c r="R1413"/>
  <c r="AD1353"/>
  <c r="AB1424"/>
  <c r="AD1424" s="1"/>
  <c r="V1462"/>
  <c r="K3995"/>
  <c r="K4090" i="11"/>
  <c r="K4094" s="1"/>
  <c r="P3407" i="1"/>
  <c r="R3618" i="11"/>
  <c r="V3140" i="1"/>
  <c r="D554" i="25"/>
  <c r="I3589" i="27"/>
  <c r="K3589" s="1"/>
  <c r="P2892" i="11"/>
  <c r="R2892" s="1"/>
  <c r="I989" i="1"/>
  <c r="K989" s="1"/>
  <c r="AD1373"/>
  <c r="AB1390"/>
  <c r="AD1390" s="1"/>
  <c r="R1461"/>
  <c r="P1492"/>
  <c r="V1422"/>
  <c r="X1422" s="1"/>
  <c r="I4009"/>
  <c r="K3990"/>
  <c r="R1465"/>
  <c r="P1496"/>
  <c r="AB1391"/>
  <c r="AD1391" s="1"/>
  <c r="AD1374"/>
  <c r="K2201" i="11"/>
  <c r="K3041" i="1"/>
  <c r="X2615"/>
  <c r="AE2663"/>
  <c r="AG2663" s="1"/>
  <c r="AB1427"/>
  <c r="AD1427" s="1"/>
  <c r="AD1410"/>
  <c r="P2867"/>
  <c r="R2834"/>
  <c r="C438" i="55"/>
  <c r="M3727" i="11"/>
  <c r="K3501"/>
  <c r="L3502"/>
  <c r="L3500" s="1"/>
  <c r="I3407" i="27"/>
  <c r="K3353"/>
  <c r="K3347" i="11"/>
  <c r="K3348" s="1"/>
  <c r="K3378"/>
  <c r="K3379" s="1"/>
  <c r="AE2790" i="1"/>
  <c r="AG2790" s="1"/>
  <c r="P2824"/>
  <c r="V3609"/>
  <c r="X3609" s="1"/>
  <c r="X3592"/>
  <c r="K586" i="27"/>
  <c r="I586"/>
  <c r="V1461" i="1"/>
  <c r="R1500"/>
  <c r="K3400" i="11"/>
  <c r="R3620"/>
  <c r="P3636" s="1"/>
  <c r="R3636" s="1"/>
  <c r="R3638" s="1"/>
  <c r="I4025" i="1"/>
  <c r="K4010"/>
  <c r="D676" i="58"/>
  <c r="F676" s="1"/>
  <c r="D684"/>
  <c r="F684" s="1"/>
  <c r="X1362" i="1"/>
  <c r="AB1360"/>
  <c r="K3821" i="11"/>
  <c r="K3924"/>
  <c r="K2189"/>
  <c r="F656" i="25"/>
  <c r="D692"/>
  <c r="F692" s="1"/>
  <c r="P1049" i="1"/>
  <c r="P737"/>
  <c r="R737" s="1"/>
  <c r="I2245"/>
  <c r="K2245" s="1"/>
  <c r="P946"/>
  <c r="K2288"/>
  <c r="K2208" i="11"/>
  <c r="D578" i="58"/>
  <c r="F578" s="1"/>
  <c r="K1011" i="27"/>
  <c r="AB1453" i="1"/>
  <c r="AD1453" s="1"/>
  <c r="P1478"/>
  <c r="I4021"/>
  <c r="X1390"/>
  <c r="X3588"/>
  <c r="K2646"/>
  <c r="V2795"/>
  <c r="X1412"/>
  <c r="R1124"/>
  <c r="R1103"/>
  <c r="L3397" i="11"/>
  <c r="K3324"/>
  <c r="K3318" s="1"/>
  <c r="K3319" s="1"/>
  <c r="K3617"/>
  <c r="K3619" s="1"/>
  <c r="I3543" i="1"/>
  <c r="P1000"/>
  <c r="R1000" s="1"/>
  <c r="K3268" i="11"/>
  <c r="K3269" s="1"/>
  <c r="K3261" s="1"/>
  <c r="K3262" s="1"/>
  <c r="K1082" i="1"/>
  <c r="K1084" s="1"/>
  <c r="I2377" i="11"/>
  <c r="I2380"/>
  <c r="P3618" i="27"/>
  <c r="R3618"/>
  <c r="I3443"/>
  <c r="I585"/>
  <c r="G99" i="50"/>
  <c r="F148"/>
  <c r="A149"/>
  <c r="A150" s="1"/>
  <c r="F150" s="1"/>
  <c r="A89"/>
  <c r="F88"/>
  <c r="K2260" i="11"/>
  <c r="I2246" i="1"/>
  <c r="K2246" s="1"/>
  <c r="K1083" i="11"/>
  <c r="I3909" i="27"/>
  <c r="K3909" s="1"/>
  <c r="I2699" i="1"/>
  <c r="K2699" s="1"/>
  <c r="AG3562"/>
  <c r="K2704"/>
  <c r="K2705" s="1"/>
  <c r="K2706" s="1"/>
  <c r="B1035" i="58"/>
  <c r="F1035" s="1"/>
  <c r="Z470" i="55"/>
  <c r="K2576" i="1"/>
  <c r="R566" i="11"/>
  <c r="R568" s="1"/>
  <c r="K99" i="27"/>
  <c r="K101" s="1"/>
  <c r="F149" i="50"/>
  <c r="I2381" i="11"/>
  <c r="I2392"/>
  <c r="I2393" s="1"/>
  <c r="J2378" s="1"/>
  <c r="I2959" i="27"/>
  <c r="I3034"/>
  <c r="K3034" s="1"/>
  <c r="P25" i="1"/>
  <c r="R25" s="1"/>
  <c r="K1805" i="11"/>
  <c r="I3028" i="27"/>
  <c r="K3028" s="1"/>
  <c r="K2905"/>
  <c r="K2361"/>
  <c r="K2364" s="1"/>
  <c r="I2365" s="1"/>
  <c r="I2367" s="1"/>
  <c r="K2367" s="1"/>
  <c r="K2376" s="1"/>
  <c r="I2408"/>
  <c r="K2408" s="1"/>
  <c r="K2414" s="1"/>
  <c r="K2416" s="1"/>
  <c r="I2422" s="1"/>
  <c r="K2422" s="1"/>
  <c r="I2525"/>
  <c r="K2525" s="1"/>
  <c r="K2533" s="1"/>
  <c r="K2535" s="1"/>
  <c r="K1014"/>
  <c r="I3897" i="11"/>
  <c r="K3897" s="1"/>
  <c r="K3907" s="1"/>
  <c r="A25" i="50"/>
  <c r="F1213" i="58"/>
  <c r="F1207"/>
  <c r="F1179"/>
  <c r="F1171"/>
  <c r="F1149"/>
  <c r="F1145"/>
  <c r="F1141"/>
  <c r="F1139"/>
  <c r="F25" i="32"/>
  <c r="F28" s="1"/>
  <c r="K3101" i="27"/>
  <c r="K2502"/>
  <c r="K2241"/>
  <c r="R381"/>
  <c r="R383" s="1"/>
  <c r="P412" s="1"/>
  <c r="R412" s="1"/>
  <c r="R415" s="1"/>
  <c r="R417" s="1"/>
  <c r="K3419" i="11"/>
  <c r="K2241"/>
  <c r="P3497" i="27"/>
  <c r="R3497" s="1"/>
  <c r="K3497"/>
  <c r="I1532"/>
  <c r="K1532" s="1"/>
  <c r="K1537" s="1"/>
  <c r="K1539" s="1"/>
  <c r="I1504"/>
  <c r="K1504" s="1"/>
  <c r="K1511" s="1"/>
  <c r="K1513" s="1"/>
  <c r="K3057" i="11"/>
  <c r="I3901"/>
  <c r="K3901" s="1"/>
  <c r="F1212" i="58"/>
  <c r="F1204"/>
  <c r="F1202"/>
  <c r="F1199"/>
  <c r="F1192"/>
  <c r="F1190"/>
  <c r="F1186"/>
  <c r="F1163"/>
  <c r="F1160"/>
  <c r="E97" i="32"/>
  <c r="I3181" i="27"/>
  <c r="K3181" s="1"/>
  <c r="I3115"/>
  <c r="K3566" i="11"/>
  <c r="K3481"/>
  <c r="K1107"/>
  <c r="K1109" s="1"/>
  <c r="M3547"/>
  <c r="C394" i="55"/>
  <c r="C222" s="1"/>
  <c r="F222" s="1"/>
  <c r="C430"/>
  <c r="R1327" i="1"/>
  <c r="R1329" s="1"/>
  <c r="K3524" i="27"/>
  <c r="L3524" s="1"/>
  <c r="P3494"/>
  <c r="R3494" s="1"/>
  <c r="K1120" i="11"/>
  <c r="K1122" s="1"/>
  <c r="D386" i="58"/>
  <c r="F386" s="1"/>
  <c r="P3617" i="27"/>
  <c r="R3617" s="1"/>
  <c r="R3620" s="1"/>
  <c r="P3636" s="1"/>
  <c r="R3636" s="1"/>
  <c r="R3638" s="1"/>
  <c r="I3647"/>
  <c r="K3647" s="1"/>
  <c r="P3496"/>
  <c r="R3496" s="1"/>
  <c r="I3534"/>
  <c r="K3534" s="1"/>
  <c r="K3496"/>
  <c r="K1107"/>
  <c r="K1109" s="1"/>
  <c r="K3441" i="11"/>
  <c r="K712"/>
  <c r="K714" s="1"/>
  <c r="I720" s="1"/>
  <c r="K720" s="1"/>
  <c r="AG3557" i="1"/>
  <c r="V3620"/>
  <c r="X3620" s="1"/>
  <c r="R3234"/>
  <c r="P3448"/>
  <c r="R3448" s="1"/>
  <c r="K3151"/>
  <c r="P3158"/>
  <c r="R3158" s="1"/>
  <c r="I2975"/>
  <c r="K2839"/>
  <c r="R1606"/>
  <c r="P1618"/>
  <c r="R1618" s="1"/>
  <c r="K2739" i="27"/>
  <c r="I2425"/>
  <c r="I2387"/>
  <c r="K2387" s="1"/>
  <c r="K2391" s="1"/>
  <c r="K1844"/>
  <c r="K1849" s="1"/>
  <c r="K1809"/>
  <c r="K1813" s="1"/>
  <c r="I74"/>
  <c r="K74" s="1"/>
  <c r="I65"/>
  <c r="K65" s="1"/>
  <c r="I37"/>
  <c r="K37" s="1"/>
  <c r="I29"/>
  <c r="K29" s="1"/>
  <c r="I2986" i="11"/>
  <c r="K2986" s="1"/>
  <c r="K2988" s="1"/>
  <c r="K686"/>
  <c r="I688" s="1"/>
  <c r="K688" s="1"/>
  <c r="P1471" i="1"/>
  <c r="K3962"/>
  <c r="I3979"/>
  <c r="K3979" s="1"/>
  <c r="R3232"/>
  <c r="P3266"/>
  <c r="P3299"/>
  <c r="P3446"/>
  <c r="R3446" s="1"/>
  <c r="I3528"/>
  <c r="R2649"/>
  <c r="E210" i="25"/>
  <c r="G210" s="1"/>
  <c r="I3750" i="1"/>
  <c r="R2436"/>
  <c r="AB1363"/>
  <c r="X1365"/>
  <c r="K3688" i="11"/>
  <c r="D1037" i="58"/>
  <c r="X373" i="55"/>
  <c r="V373"/>
  <c r="T373"/>
  <c r="K3960" i="1"/>
  <c r="I3977"/>
  <c r="K3977" s="1"/>
  <c r="K3563"/>
  <c r="P3566"/>
  <c r="R3566" s="1"/>
  <c r="K2302"/>
  <c r="P2302"/>
  <c r="R2302" s="1"/>
  <c r="I2317"/>
  <c r="K2317" s="1"/>
  <c r="F1209" i="58"/>
  <c r="F1206"/>
  <c r="F1201"/>
  <c r="F1198"/>
  <c r="F1183"/>
  <c r="F1180"/>
  <c r="F1178"/>
  <c r="F1175"/>
  <c r="F1172"/>
  <c r="F1167"/>
  <c r="F1159"/>
  <c r="F1151"/>
  <c r="F1148"/>
  <c r="F1144"/>
  <c r="F1138"/>
  <c r="F1132"/>
  <c r="F1130"/>
  <c r="F1112"/>
  <c r="F1110"/>
  <c r="I2995" i="27"/>
  <c r="K2995" s="1"/>
  <c r="I2931"/>
  <c r="I3049" s="1"/>
  <c r="P2871"/>
  <c r="R2871" s="1"/>
  <c r="I2594"/>
  <c r="K2594" s="1"/>
  <c r="K2428"/>
  <c r="K2262"/>
  <c r="K1817"/>
  <c r="K1821" s="1"/>
  <c r="I1711"/>
  <c r="K1711" s="1"/>
  <c r="I1087"/>
  <c r="K1019"/>
  <c r="K1017"/>
  <c r="K1015"/>
  <c r="K1013"/>
  <c r="P430"/>
  <c r="R430" s="1"/>
  <c r="R443" s="1"/>
  <c r="R445" s="1"/>
  <c r="I110"/>
  <c r="K110" s="1"/>
  <c r="K114" s="1"/>
  <c r="K116" s="1"/>
  <c r="K118" s="1"/>
  <c r="K119" s="1"/>
  <c r="I81"/>
  <c r="K81" s="1"/>
  <c r="K86" s="1"/>
  <c r="K88" s="1"/>
  <c r="P212"/>
  <c r="R212" s="1"/>
  <c r="R220" s="1"/>
  <c r="R223" s="1"/>
  <c r="I11"/>
  <c r="K11" s="1"/>
  <c r="Z32" i="1"/>
  <c r="I3159" i="11"/>
  <c r="I2959"/>
  <c r="I2664"/>
  <c r="K2664" s="1"/>
  <c r="K2563"/>
  <c r="K2561"/>
  <c r="K2559"/>
  <c r="K1817"/>
  <c r="K1821" s="1"/>
  <c r="K3694" i="1"/>
  <c r="P3301"/>
  <c r="AG2654"/>
  <c r="P1449"/>
  <c r="P513" i="11"/>
  <c r="R513" s="1"/>
  <c r="R521" s="1"/>
  <c r="R523" s="1"/>
  <c r="P533"/>
  <c r="R533" s="1"/>
  <c r="I578"/>
  <c r="K578" s="1"/>
  <c r="H3879" i="1"/>
  <c r="H3895" s="1"/>
  <c r="J3895" s="1"/>
  <c r="J3858"/>
  <c r="M3546"/>
  <c r="R3546" s="1"/>
  <c r="M3545"/>
  <c r="I3330"/>
  <c r="R3270"/>
  <c r="K3156"/>
  <c r="P3163"/>
  <c r="P2083"/>
  <c r="R2083" s="1"/>
  <c r="K3109"/>
  <c r="I2978"/>
  <c r="K2842"/>
  <c r="K2846" s="1"/>
  <c r="K2848" s="1"/>
  <c r="Z2611"/>
  <c r="AE2661"/>
  <c r="AG2661" s="1"/>
  <c r="AE2627"/>
  <c r="AG2627" s="1"/>
  <c r="P1633"/>
  <c r="R1633" s="1"/>
  <c r="K1631"/>
  <c r="F1114" i="58"/>
  <c r="F1111"/>
  <c r="I1046" i="27"/>
  <c r="K1046" s="1"/>
  <c r="K1052" s="1"/>
  <c r="K1054" s="1"/>
  <c r="I155"/>
  <c r="K155" s="1"/>
  <c r="I55"/>
  <c r="K55" s="1"/>
  <c r="R541" i="11"/>
  <c r="R543" s="1"/>
  <c r="K132"/>
  <c r="K133" s="1"/>
  <c r="H3851" i="1"/>
  <c r="R3545"/>
  <c r="I3420"/>
  <c r="F3425" s="1"/>
  <c r="K3425" s="1"/>
  <c r="X3164"/>
  <c r="P390" i="11"/>
  <c r="R390" s="1"/>
  <c r="I382"/>
  <c r="K382" s="1"/>
  <c r="P376"/>
  <c r="R376" s="1"/>
  <c r="P308"/>
  <c r="R308" s="1"/>
  <c r="P297"/>
  <c r="R297" s="1"/>
  <c r="P285"/>
  <c r="R285" s="1"/>
  <c r="I226"/>
  <c r="K226" s="1"/>
  <c r="I196"/>
  <c r="K196" s="1"/>
  <c r="P192"/>
  <c r="R192" s="1"/>
  <c r="P82"/>
  <c r="R82" s="1"/>
  <c r="P67"/>
  <c r="R67" s="1"/>
  <c r="P53"/>
  <c r="R53" s="1"/>
  <c r="C164"/>
  <c r="P1123" i="1"/>
  <c r="R1123" s="1"/>
  <c r="P997"/>
  <c r="R997" s="1"/>
  <c r="P1054"/>
  <c r="R1054" s="1"/>
  <c r="K1026"/>
  <c r="K997"/>
  <c r="K884"/>
  <c r="AF687"/>
  <c r="AF689" s="1"/>
  <c r="V585"/>
  <c r="X585" s="1"/>
  <c r="I1339" i="11"/>
  <c r="K1339" s="1"/>
  <c r="I1313"/>
  <c r="K1313" s="1"/>
  <c r="I1291"/>
  <c r="K1291" s="1"/>
  <c r="P722"/>
  <c r="R722" s="1"/>
  <c r="R729" s="1"/>
  <c r="R731" s="1"/>
  <c r="I690"/>
  <c r="K690" s="1"/>
  <c r="I623"/>
  <c r="K623" s="1"/>
  <c r="I593"/>
  <c r="K593" s="1"/>
  <c r="I576"/>
  <c r="K576" s="1"/>
  <c r="K581" s="1"/>
  <c r="I535"/>
  <c r="K535" s="1"/>
  <c r="I37"/>
  <c r="K37" s="1"/>
  <c r="K3111" i="1"/>
  <c r="I3110"/>
  <c r="P2866"/>
  <c r="R2866" s="1"/>
  <c r="N1947"/>
  <c r="N1948" s="1"/>
  <c r="I1926"/>
  <c r="K1926" s="1"/>
  <c r="R1438"/>
  <c r="K963"/>
  <c r="K961"/>
  <c r="K959"/>
  <c r="I901"/>
  <c r="K901" s="1"/>
  <c r="V885"/>
  <c r="B23" i="58"/>
  <c r="F23" s="1"/>
  <c r="D159" i="25"/>
  <c r="F159" s="1"/>
  <c r="B252" i="58"/>
  <c r="F252" s="1"/>
  <c r="B327"/>
  <c r="F327" s="1"/>
  <c r="B825"/>
  <c r="F825" s="1"/>
  <c r="B993"/>
  <c r="F993" s="1"/>
  <c r="E6" i="4"/>
  <c r="E11"/>
  <c r="Z49" i="1" s="1"/>
  <c r="AC49" s="1"/>
  <c r="R157"/>
  <c r="C142" i="79" s="1"/>
  <c r="R2080" i="1"/>
  <c r="F138" i="25"/>
  <c r="F1105" i="58"/>
  <c r="F1101"/>
  <c r="B284"/>
  <c r="F284" s="1"/>
  <c r="B332"/>
  <c r="F332" s="1"/>
  <c r="B283"/>
  <c r="F283" s="1"/>
  <c r="B299"/>
  <c r="B339"/>
  <c r="F339" s="1"/>
  <c r="B401"/>
  <c r="F401" s="1"/>
  <c r="B678"/>
  <c r="B748"/>
  <c r="F748" s="1"/>
  <c r="B753"/>
  <c r="F753" s="1"/>
  <c r="B785"/>
  <c r="F785" s="1"/>
  <c r="B913"/>
  <c r="F913" s="1"/>
  <c r="B937"/>
  <c r="B945"/>
  <c r="F945" s="1"/>
  <c r="B1009"/>
  <c r="F1009" s="1"/>
  <c r="B1033"/>
  <c r="F1033" s="1"/>
  <c r="B783"/>
  <c r="F783" s="1"/>
  <c r="B975"/>
  <c r="F975" s="1"/>
  <c r="B954"/>
  <c r="F954" s="1"/>
  <c r="B1034"/>
  <c r="B1027"/>
  <c r="F1027" s="1"/>
  <c r="B963"/>
  <c r="F963" s="1"/>
  <c r="B934"/>
  <c r="F934" s="1"/>
  <c r="B770"/>
  <c r="F770" s="1"/>
  <c r="G207" i="25"/>
  <c r="F1106" i="58"/>
  <c r="F1104"/>
  <c r="K3526" i="1"/>
  <c r="F985" i="58"/>
  <c r="F933"/>
  <c r="F744"/>
  <c r="F725"/>
  <c r="F952"/>
  <c r="F970"/>
  <c r="F966"/>
  <c r="F962"/>
  <c r="F956"/>
  <c r="E13" i="4"/>
  <c r="Z38" i="1" s="1"/>
  <c r="AC38" s="1"/>
  <c r="I247" s="1"/>
  <c r="K247" s="1"/>
  <c r="D7" i="58"/>
  <c r="V6" i="55"/>
  <c r="W567" i="1"/>
  <c r="AC567" s="1"/>
  <c r="J566"/>
  <c r="I3246"/>
  <c r="K3246" s="1"/>
  <c r="C452" i="55"/>
  <c r="Z452" s="1"/>
  <c r="K3201" i="1"/>
  <c r="J619"/>
  <c r="V597" s="1"/>
  <c r="AJ1202"/>
  <c r="P2376"/>
  <c r="R2376" s="1"/>
  <c r="C69"/>
  <c r="I2370"/>
  <c r="K2370" s="1"/>
  <c r="P2413"/>
  <c r="R2413" s="1"/>
  <c r="P1306"/>
  <c r="R1306" s="1"/>
  <c r="D14"/>
  <c r="P3727"/>
  <c r="R3727" s="1"/>
  <c r="K3727"/>
  <c r="AG3542"/>
  <c r="AE3558"/>
  <c r="AG3558" s="1"/>
  <c r="AB1337"/>
  <c r="AC1337" s="1"/>
  <c r="X6" i="55"/>
  <c r="D17" i="1"/>
  <c r="M119"/>
  <c r="M136" s="1"/>
  <c r="M98"/>
  <c r="M104" s="1"/>
  <c r="K387"/>
  <c r="V387"/>
  <c r="D547" i="25"/>
  <c r="R3230" i="1"/>
  <c r="P3331"/>
  <c r="J690"/>
  <c r="J691" s="1"/>
  <c r="J692" s="1"/>
  <c r="J693" s="1"/>
  <c r="J710"/>
  <c r="J711" s="1"/>
  <c r="J712" s="1"/>
  <c r="J713" s="1"/>
  <c r="AF452"/>
  <c r="AF415"/>
  <c r="W406"/>
  <c r="W438"/>
  <c r="W439" s="1"/>
  <c r="W440" s="1"/>
  <c r="W441" s="1"/>
  <c r="I1606"/>
  <c r="I1578"/>
  <c r="I1775"/>
  <c r="K1775" s="1"/>
  <c r="I3628"/>
  <c r="K3628" s="1"/>
  <c r="D32"/>
  <c r="I1107" s="1"/>
  <c r="K1107" s="1"/>
  <c r="I3286"/>
  <c r="C31"/>
  <c r="E199" i="25"/>
  <c r="G199" s="1"/>
  <c r="I2639" i="1"/>
  <c r="I1913"/>
  <c r="K1913" s="1"/>
  <c r="I610"/>
  <c r="K610" s="1"/>
  <c r="P524"/>
  <c r="R524" s="1"/>
  <c r="P552"/>
  <c r="R552" s="1"/>
  <c r="I1829"/>
  <c r="K1829" s="1"/>
  <c r="K1837" s="1"/>
  <c r="K1839" s="1"/>
  <c r="I1883" s="1"/>
  <c r="K1883" s="1"/>
  <c r="K1885" s="1"/>
  <c r="P506"/>
  <c r="R506" s="1"/>
  <c r="I2740"/>
  <c r="K2740" s="1"/>
  <c r="I1811"/>
  <c r="K1811" s="1"/>
  <c r="P1379"/>
  <c r="R1379" s="1"/>
  <c r="I2301"/>
  <c r="P3517"/>
  <c r="R3517" s="1"/>
  <c r="V1338"/>
  <c r="C11"/>
  <c r="P2362"/>
  <c r="R2362" s="1"/>
  <c r="V7" i="55"/>
  <c r="D8" i="58"/>
  <c r="K93" i="1"/>
  <c r="P611"/>
  <c r="R611" s="1"/>
  <c r="P598"/>
  <c r="R598" s="1"/>
  <c r="P369"/>
  <c r="R369" s="1"/>
  <c r="I452"/>
  <c r="K452" s="1"/>
  <c r="I511"/>
  <c r="P342"/>
  <c r="R342" s="1"/>
  <c r="I1310"/>
  <c r="I1398"/>
  <c r="K1398" s="1"/>
  <c r="I1511"/>
  <c r="I1850"/>
  <c r="I2717"/>
  <c r="I343"/>
  <c r="I815"/>
  <c r="I1328"/>
  <c r="K1328" s="1"/>
  <c r="I1385"/>
  <c r="K1385" s="1"/>
  <c r="I1712"/>
  <c r="K1712" s="1"/>
  <c r="I2136"/>
  <c r="K2136" s="1"/>
  <c r="P325"/>
  <c r="R325" s="1"/>
  <c r="I1439"/>
  <c r="K1439" s="1"/>
  <c r="I2012"/>
  <c r="I2388"/>
  <c r="K2388" s="1"/>
  <c r="I1411"/>
  <c r="K1411" s="1"/>
  <c r="I2690"/>
  <c r="K2690" s="1"/>
  <c r="P59"/>
  <c r="R59" s="1"/>
  <c r="I1814"/>
  <c r="K1814" s="1"/>
  <c r="I363"/>
  <c r="P44"/>
  <c r="R44" s="1"/>
  <c r="I278"/>
  <c r="K278" s="1"/>
  <c r="I319"/>
  <c r="P509"/>
  <c r="R509" s="1"/>
  <c r="I1206"/>
  <c r="K1206" s="1"/>
  <c r="P302"/>
  <c r="R302" s="1"/>
  <c r="P382"/>
  <c r="R382" s="1"/>
  <c r="I1262"/>
  <c r="I1651"/>
  <c r="I202"/>
  <c r="V715"/>
  <c r="I871"/>
  <c r="I2743"/>
  <c r="K2743" s="1"/>
  <c r="I418"/>
  <c r="K418" s="1"/>
  <c r="P1150"/>
  <c r="I1257"/>
  <c r="I3463"/>
  <c r="P1527"/>
  <c r="R1527" s="1"/>
  <c r="P313"/>
  <c r="R313" s="1"/>
  <c r="I1496"/>
  <c r="K1496" s="1"/>
  <c r="I1363"/>
  <c r="K1363" s="1"/>
  <c r="P74"/>
  <c r="R74" s="1"/>
  <c r="I2156"/>
  <c r="I905"/>
  <c r="K905" s="1"/>
  <c r="P290"/>
  <c r="R290" s="1"/>
  <c r="I889"/>
  <c r="I217"/>
  <c r="K217" s="1"/>
  <c r="V650"/>
  <c r="I1523"/>
  <c r="K1523" s="1"/>
  <c r="I1232"/>
  <c r="K1232" s="1"/>
  <c r="I1424"/>
  <c r="K1424" s="1"/>
  <c r="I2111"/>
  <c r="K2111" s="1"/>
  <c r="P527"/>
  <c r="R527" s="1"/>
  <c r="I1238"/>
  <c r="K1238" s="1"/>
  <c r="P354"/>
  <c r="R354" s="1"/>
  <c r="I232"/>
  <c r="I1228"/>
  <c r="P396"/>
  <c r="R396" s="1"/>
  <c r="I2432"/>
  <c r="I304"/>
  <c r="K304" s="1"/>
  <c r="I2031"/>
  <c r="I1916"/>
  <c r="K1916" s="1"/>
  <c r="K3371"/>
  <c r="I3358"/>
  <c r="K3358" s="1"/>
  <c r="X3606"/>
  <c r="V3621"/>
  <c r="X3621" s="1"/>
  <c r="V3710"/>
  <c r="V3662"/>
  <c r="K1634"/>
  <c r="K1638" s="1"/>
  <c r="K1641" s="1"/>
  <c r="P1636"/>
  <c r="R1636" s="1"/>
  <c r="R1640" s="1"/>
  <c r="I510"/>
  <c r="I2794"/>
  <c r="K2794" s="1"/>
  <c r="L2760" s="1"/>
  <c r="I231"/>
  <c r="I2352"/>
  <c r="P894"/>
  <c r="R894" s="1"/>
  <c r="I1483"/>
  <c r="K1483" s="1"/>
  <c r="I1362"/>
  <c r="K1362" s="1"/>
  <c r="V533"/>
  <c r="I1522"/>
  <c r="K1522" s="1"/>
  <c r="V482"/>
  <c r="I2168"/>
  <c r="K2168" s="1"/>
  <c r="K2170" s="1"/>
  <c r="K2172" s="1"/>
  <c r="I1261"/>
  <c r="I417"/>
  <c r="K417" s="1"/>
  <c r="I2431"/>
  <c r="I2155"/>
  <c r="P1363"/>
  <c r="R1363" s="1"/>
  <c r="R1366" s="1"/>
  <c r="R1368" s="1"/>
  <c r="I2082"/>
  <c r="K2082" s="1"/>
  <c r="I342"/>
  <c r="I887"/>
  <c r="I2742"/>
  <c r="K2742" s="1"/>
  <c r="I1915"/>
  <c r="K1915" s="1"/>
  <c r="I1309"/>
  <c r="I1813"/>
  <c r="K1813" s="1"/>
  <c r="I1849"/>
  <c r="I1977"/>
  <c r="P353"/>
  <c r="R353" s="1"/>
  <c r="I531"/>
  <c r="K531" s="1"/>
  <c r="I1438"/>
  <c r="K1438" s="1"/>
  <c r="I1458"/>
  <c r="K1458" s="1"/>
  <c r="I303"/>
  <c r="K303" s="1"/>
  <c r="P341"/>
  <c r="R341" s="1"/>
  <c r="I2034"/>
  <c r="I1397"/>
  <c r="K1397" s="1"/>
  <c r="P40"/>
  <c r="R40" s="1"/>
  <c r="I788"/>
  <c r="K788" s="1"/>
  <c r="I555"/>
  <c r="K555" s="1"/>
  <c r="I1384"/>
  <c r="K1384" s="1"/>
  <c r="I2135"/>
  <c r="K2135" s="1"/>
  <c r="K2137" s="1"/>
  <c r="P526"/>
  <c r="R526" s="1"/>
  <c r="I587"/>
  <c r="P301"/>
  <c r="R301" s="1"/>
  <c r="I2689"/>
  <c r="K2689" s="1"/>
  <c r="I1510"/>
  <c r="I1495"/>
  <c r="K1495" s="1"/>
  <c r="I814"/>
  <c r="I3462"/>
  <c r="I493"/>
  <c r="K493" s="1"/>
  <c r="I2716"/>
  <c r="I655"/>
  <c r="K655" s="1"/>
  <c r="P289"/>
  <c r="R289" s="1"/>
  <c r="I903"/>
  <c r="K903" s="1"/>
  <c r="I1650"/>
  <c r="I1423"/>
  <c r="K1423" s="1"/>
  <c r="I2372"/>
  <c r="I201"/>
  <c r="P2340"/>
  <c r="R2340" s="1"/>
  <c r="I1227"/>
  <c r="I2325"/>
  <c r="K2325" s="1"/>
  <c r="P1526"/>
  <c r="R1526" s="1"/>
  <c r="R1530" s="1"/>
  <c r="R1532" s="1"/>
  <c r="I277"/>
  <c r="K277" s="1"/>
  <c r="I1205"/>
  <c r="K1205" s="1"/>
  <c r="I2402"/>
  <c r="P367"/>
  <c r="R367" s="1"/>
  <c r="I1711"/>
  <c r="K1711" s="1"/>
  <c r="I1410"/>
  <c r="K1410" s="1"/>
  <c r="I1327"/>
  <c r="K1327" s="1"/>
  <c r="I869"/>
  <c r="I730"/>
  <c r="K730" s="1"/>
  <c r="I1998"/>
  <c r="I1947"/>
  <c r="I1231"/>
  <c r="K1231" s="1"/>
  <c r="P1149"/>
  <c r="I609"/>
  <c r="K609" s="1"/>
  <c r="I766"/>
  <c r="K766" s="1"/>
  <c r="I318"/>
  <c r="I386"/>
  <c r="I216"/>
  <c r="K216" s="1"/>
  <c r="V649"/>
  <c r="I362"/>
  <c r="V714"/>
  <c r="I2181"/>
  <c r="K2181" s="1"/>
  <c r="K2183" s="1"/>
  <c r="K2185" s="1"/>
  <c r="K2187" s="1"/>
  <c r="P554"/>
  <c r="R554" s="1"/>
  <c r="I451"/>
  <c r="K451" s="1"/>
  <c r="P395"/>
  <c r="R395" s="1"/>
  <c r="I625"/>
  <c r="K625" s="1"/>
  <c r="I2997"/>
  <c r="K2997" s="1"/>
  <c r="P312"/>
  <c r="R312" s="1"/>
  <c r="I1165"/>
  <c r="K1165" s="1"/>
  <c r="I1341"/>
  <c r="K1341" s="1"/>
  <c r="I2338"/>
  <c r="K2338" s="1"/>
  <c r="P381"/>
  <c r="R381" s="1"/>
  <c r="I2015"/>
  <c r="J3048"/>
  <c r="K3048" s="1"/>
  <c r="P508"/>
  <c r="R508" s="1"/>
  <c r="I2110"/>
  <c r="K2110" s="1"/>
  <c r="P73"/>
  <c r="R73" s="1"/>
  <c r="I1470"/>
  <c r="K1470" s="1"/>
  <c r="K1996"/>
  <c r="P1996"/>
  <c r="R1996" s="1"/>
  <c r="C219" i="55"/>
  <c r="F219" s="1"/>
  <c r="S1329" i="1"/>
  <c r="I1847"/>
  <c r="J666"/>
  <c r="P3444"/>
  <c r="R3444" s="1"/>
  <c r="I1342"/>
  <c r="K1342" s="1"/>
  <c r="I494"/>
  <c r="K494" s="1"/>
  <c r="V61" i="55"/>
  <c r="D307" i="58"/>
  <c r="AE1068" i="1"/>
  <c r="AG1068" s="1"/>
  <c r="P993"/>
  <c r="R993" s="1"/>
  <c r="K1059"/>
  <c r="P1070"/>
  <c r="R1070" s="1"/>
  <c r="J542"/>
  <c r="W541"/>
  <c r="AC541" s="1"/>
  <c r="I3664"/>
  <c r="R435"/>
  <c r="S1161"/>
  <c r="J562"/>
  <c r="W564" s="1"/>
  <c r="AC564" s="1"/>
  <c r="J631"/>
  <c r="S1185"/>
  <c r="J538"/>
  <c r="W540" s="1"/>
  <c r="AC540" s="1"/>
  <c r="J615"/>
  <c r="V593" s="1"/>
  <c r="AJ1200"/>
  <c r="J662"/>
  <c r="W489" s="1"/>
  <c r="AC489" s="1"/>
  <c r="AC1200"/>
  <c r="I1521"/>
  <c r="K1521" s="1"/>
  <c r="I1150"/>
  <c r="K1150" s="1"/>
  <c r="K1155" s="1"/>
  <c r="K1157" s="1"/>
  <c r="C403" i="55" s="1"/>
  <c r="I1551" i="1"/>
  <c r="K1551" s="1"/>
  <c r="K1554" s="1"/>
  <c r="K1556" s="1"/>
  <c r="I2721"/>
  <c r="K2721" s="1"/>
  <c r="I1509"/>
  <c r="I2778"/>
  <c r="K2778" s="1"/>
  <c r="K2781" s="1"/>
  <c r="I2715"/>
  <c r="K2715" s="1"/>
  <c r="I1538"/>
  <c r="K1538" s="1"/>
  <c r="I1536"/>
  <c r="K1536" s="1"/>
  <c r="I1164"/>
  <c r="K1164" s="1"/>
  <c r="K1168" s="1"/>
  <c r="K1170" s="1"/>
  <c r="C453" i="55"/>
  <c r="I3230" i="1"/>
  <c r="K3230" s="1"/>
  <c r="V85"/>
  <c r="X85" s="1"/>
  <c r="X136"/>
  <c r="X84"/>
  <c r="V113"/>
  <c r="X113" s="1"/>
  <c r="X139"/>
  <c r="P3297"/>
  <c r="I1134"/>
  <c r="K1134" s="1"/>
  <c r="I2669"/>
  <c r="I3152"/>
  <c r="P216"/>
  <c r="R216" s="1"/>
  <c r="X86"/>
  <c r="V114"/>
  <c r="X114" s="1"/>
  <c r="C16"/>
  <c r="P3725"/>
  <c r="R3725" s="1"/>
  <c r="I3708"/>
  <c r="K3708" s="1"/>
  <c r="I3771"/>
  <c r="K3771" s="1"/>
  <c r="I2056"/>
  <c r="K2056" s="1"/>
  <c r="I3124"/>
  <c r="I1946"/>
  <c r="I2109"/>
  <c r="K2109" s="1"/>
  <c r="I1975"/>
  <c r="I2080"/>
  <c r="K2080" s="1"/>
  <c r="I2011"/>
  <c r="I2030"/>
  <c r="I2412"/>
  <c r="K2412" s="1"/>
  <c r="J3047"/>
  <c r="K3047" s="1"/>
  <c r="K3049" s="1"/>
  <c r="C212" i="55" s="1"/>
  <c r="F212" s="1"/>
  <c r="I2033" i="1"/>
  <c r="I2014"/>
  <c r="AF3109"/>
  <c r="P1551"/>
  <c r="R1551" s="1"/>
  <c r="R1555" s="1"/>
  <c r="P1544" s="1"/>
  <c r="R1544" s="1"/>
  <c r="P1405"/>
  <c r="I3772"/>
  <c r="K3772" s="1"/>
  <c r="P3518"/>
  <c r="I3345"/>
  <c r="K3345" s="1"/>
  <c r="K3349" s="1"/>
  <c r="K3351" s="1"/>
  <c r="C220" i="55" s="1"/>
  <c r="F220" s="1"/>
  <c r="I3709" i="1"/>
  <c r="K3709" s="1"/>
  <c r="P2363"/>
  <c r="R2363" s="1"/>
  <c r="I3726"/>
  <c r="P1380"/>
  <c r="R1380" s="1"/>
  <c r="I3752"/>
  <c r="K3752" s="1"/>
  <c r="D49" i="25"/>
  <c r="K710" i="1"/>
  <c r="D230" i="58"/>
  <c r="I99" i="1"/>
  <c r="I114"/>
  <c r="K114" s="1"/>
  <c r="K117" s="1"/>
  <c r="K119" s="1"/>
  <c r="D30" i="58"/>
  <c r="D927"/>
  <c r="K3798" i="1"/>
  <c r="K3802" s="1"/>
  <c r="I3792" s="1"/>
  <c r="I3812"/>
  <c r="K3812" s="1"/>
  <c r="R434"/>
  <c r="R447" s="1"/>
  <c r="R449" s="1"/>
  <c r="I3663"/>
  <c r="AJ1206"/>
  <c r="AC1207"/>
  <c r="K1973"/>
  <c r="D271" i="58"/>
  <c r="R2341" i="1"/>
  <c r="R2342" s="1"/>
  <c r="K3763"/>
  <c r="K3775" s="1"/>
  <c r="K3777" s="1"/>
  <c r="P580"/>
  <c r="R580" s="1"/>
  <c r="R591" s="1"/>
  <c r="R593" s="1"/>
  <c r="I2129"/>
  <c r="K2129" s="1"/>
  <c r="I179"/>
  <c r="K179" s="1"/>
  <c r="I1760"/>
  <c r="K1760" s="1"/>
  <c r="P144"/>
  <c r="P472"/>
  <c r="R472" s="1"/>
  <c r="R490" s="1"/>
  <c r="R492" s="1"/>
  <c r="P454"/>
  <c r="R454" s="1"/>
  <c r="R465" s="1"/>
  <c r="R467" s="1"/>
  <c r="V718"/>
  <c r="K286"/>
  <c r="I822"/>
  <c r="K822" s="1"/>
  <c r="K518"/>
  <c r="K2326"/>
  <c r="K2327" s="1"/>
  <c r="I2332" s="1"/>
  <c r="K2332" s="1"/>
  <c r="K2333" s="1"/>
  <c r="K2334" s="1"/>
  <c r="R2417"/>
  <c r="R2419" s="1"/>
  <c r="C225" i="55" s="1"/>
  <c r="F225" s="1"/>
  <c r="I3357" i="1"/>
  <c r="K3357" s="1"/>
  <c r="K3370"/>
  <c r="K3373" s="1"/>
  <c r="K3374" s="1"/>
  <c r="C461" i="55" s="1"/>
  <c r="AQ3108" i="1"/>
  <c r="AS3108" s="1"/>
  <c r="AH3108"/>
  <c r="D25" i="58"/>
  <c r="V13" i="55"/>
  <c r="I29" i="1"/>
  <c r="K29" s="1"/>
  <c r="I58"/>
  <c r="K58" s="1"/>
  <c r="P24"/>
  <c r="R24" s="1"/>
  <c r="I37"/>
  <c r="K37" s="1"/>
  <c r="I11"/>
  <c r="K11" s="1"/>
  <c r="P3066"/>
  <c r="R3066" s="1"/>
  <c r="I3078"/>
  <c r="K3078" s="1"/>
  <c r="K2255"/>
  <c r="L2224" s="1"/>
  <c r="I1325"/>
  <c r="K1325" s="1"/>
  <c r="P23"/>
  <c r="P9"/>
  <c r="R9" s="1"/>
  <c r="C85"/>
  <c r="I1324" s="1"/>
  <c r="K1324" s="1"/>
  <c r="C169"/>
  <c r="I228"/>
  <c r="K228" s="1"/>
  <c r="AC19"/>
  <c r="C84" s="1"/>
  <c r="AE314"/>
  <c r="AG314" s="1"/>
  <c r="AE367"/>
  <c r="AG367" s="1"/>
  <c r="AE391"/>
  <c r="AE338"/>
  <c r="AG338" s="1"/>
  <c r="AQ135"/>
  <c r="AS135" s="1"/>
  <c r="AU135" s="1"/>
  <c r="AQ166"/>
  <c r="AS166" s="1"/>
  <c r="AQ90"/>
  <c r="AS90" s="1"/>
  <c r="AQ66"/>
  <c r="AS66" s="1"/>
  <c r="AQ110"/>
  <c r="AS110" s="1"/>
  <c r="AU110" s="1"/>
  <c r="AV110" s="1"/>
  <c r="AC44"/>
  <c r="V338" s="1"/>
  <c r="X338" s="1"/>
  <c r="I314"/>
  <c r="K314" s="1"/>
  <c r="I413"/>
  <c r="K413" s="1"/>
  <c r="I358"/>
  <c r="K358" s="1"/>
  <c r="I382"/>
  <c r="K382" s="1"/>
  <c r="I338"/>
  <c r="K338" s="1"/>
  <c r="AC29"/>
  <c r="C94" s="1"/>
  <c r="Z10"/>
  <c r="AC10" s="1"/>
  <c r="C72" s="1"/>
  <c r="I299" s="1"/>
  <c r="K299" s="1"/>
  <c r="Z35"/>
  <c r="AC35" s="1"/>
  <c r="I257" s="1"/>
  <c r="K257" s="1"/>
  <c r="Z37"/>
  <c r="AC37" s="1"/>
  <c r="I245" s="1"/>
  <c r="K245" s="1"/>
  <c r="Z36"/>
  <c r="AC36" s="1"/>
  <c r="I246" s="1"/>
  <c r="K246" s="1"/>
  <c r="Z12"/>
  <c r="AC12" s="1"/>
  <c r="V804" s="1"/>
  <c r="X804" s="1"/>
  <c r="AC11"/>
  <c r="D4" i="61" s="1"/>
  <c r="F4" s="1"/>
  <c r="F8" s="1"/>
  <c r="Z47" i="1"/>
  <c r="AC47" s="1"/>
  <c r="AB1334" s="1"/>
  <c r="AC1334" s="1"/>
  <c r="Z17" i="11"/>
  <c r="AC17" s="1"/>
  <c r="I3693" i="27"/>
  <c r="K3693" s="1"/>
  <c r="K3682"/>
  <c r="I2816" i="1"/>
  <c r="C91"/>
  <c r="F370" i="58"/>
  <c r="D31"/>
  <c r="D831"/>
  <c r="K3405" i="27"/>
  <c r="I3424"/>
  <c r="K3073"/>
  <c r="I3932"/>
  <c r="K3932" s="1"/>
  <c r="I3099"/>
  <c r="A268" i="1"/>
  <c r="A269" s="1"/>
  <c r="A270" s="1"/>
  <c r="A271" s="1"/>
  <c r="A272" s="1"/>
  <c r="A273" s="1"/>
  <c r="A274" s="1"/>
  <c r="A275" s="1"/>
  <c r="A276" s="1"/>
  <c r="A277" s="1"/>
  <c r="A278" s="1"/>
  <c r="A279" s="1"/>
  <c r="A280" s="1"/>
  <c r="A281" s="1"/>
  <c r="A282" s="1"/>
  <c r="A283"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6" s="1"/>
  <c r="A427" s="1"/>
  <c r="A428" s="1"/>
  <c r="A429" s="1"/>
  <c r="A430" s="1"/>
  <c r="A431" s="1"/>
  <c r="A432" s="1"/>
  <c r="A433" s="1"/>
  <c r="A434" s="1"/>
  <c r="A435" s="1"/>
  <c r="A436" s="1"/>
  <c r="A437" s="1"/>
  <c r="A438" s="1"/>
  <c r="A439" s="1"/>
  <c r="A440"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82" s="1"/>
  <c r="A483" s="1"/>
  <c r="A484" s="1"/>
  <c r="A485" s="1"/>
  <c r="A486" s="1"/>
  <c r="A487" s="1"/>
  <c r="A488" s="1"/>
  <c r="A489" s="1"/>
  <c r="A490" s="1"/>
  <c r="A491" s="1"/>
  <c r="A492" s="1"/>
  <c r="A493" s="1"/>
  <c r="A494" s="1"/>
  <c r="A495" s="1"/>
  <c r="A496" s="1"/>
  <c r="A497" s="1"/>
  <c r="A498" s="1"/>
  <c r="A499" s="1"/>
  <c r="A500"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51" s="1"/>
  <c r="A552" s="1"/>
  <c r="A553" s="1"/>
  <c r="A554" s="1"/>
  <c r="A555" s="1"/>
  <c r="A556" s="1"/>
  <c r="A557" s="1"/>
  <c r="A558" s="1"/>
  <c r="A559" s="1"/>
  <c r="A560" s="1"/>
  <c r="A561" s="1"/>
  <c r="A562" s="1"/>
  <c r="A563" s="1"/>
  <c r="A564" s="1"/>
  <c r="A565" s="1"/>
  <c r="A567" s="1"/>
  <c r="A575" s="1"/>
  <c r="A576" s="1"/>
  <c r="A577" s="1"/>
  <c r="A578" s="1"/>
  <c r="A579" s="1"/>
  <c r="A580" s="1"/>
  <c r="A581" s="1"/>
  <c r="A582" s="1"/>
  <c r="A583" s="1"/>
  <c r="A584" s="1"/>
  <c r="A585" s="1"/>
  <c r="A586" s="1"/>
  <c r="A587" s="1"/>
  <c r="A588" s="1"/>
  <c r="A589" s="1"/>
  <c r="A590" s="1"/>
  <c r="A591" s="1"/>
  <c r="A592" s="1"/>
  <c r="A593" s="1"/>
  <c r="A594" s="1"/>
  <c r="A595" s="1"/>
  <c r="A596" s="1"/>
  <c r="A598" s="1"/>
  <c r="A599" s="1"/>
  <c r="A600" s="1"/>
  <c r="A601" s="1"/>
  <c r="A602" s="1"/>
  <c r="A603" s="1"/>
  <c r="A604" s="1"/>
  <c r="A605" s="1"/>
  <c r="A606" s="1"/>
  <c r="A607" s="1"/>
  <c r="A608" s="1"/>
  <c r="A609" s="1"/>
  <c r="A610" s="1"/>
  <c r="A611"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8" s="1"/>
  <c r="A769" s="1"/>
  <c r="A770" s="1"/>
  <c r="A771" s="1"/>
  <c r="A772" s="1"/>
  <c r="A773" s="1"/>
  <c r="A774" s="1"/>
  <c r="A775" s="1"/>
  <c r="A776" s="1"/>
  <c r="A777" s="1"/>
  <c r="A778" s="1"/>
  <c r="A779" s="1"/>
  <c r="A780" s="1"/>
  <c r="A781" s="1"/>
  <c r="A782" s="1"/>
  <c r="A783" s="1"/>
  <c r="A784" s="1"/>
  <c r="A785" s="1"/>
  <c r="A786" s="1"/>
  <c r="A210"/>
  <c r="A211" s="1"/>
  <c r="D122" i="25"/>
  <c r="F101"/>
  <c r="K3051" i="27"/>
  <c r="V821" i="1"/>
  <c r="X821" s="1"/>
  <c r="K3298" i="27"/>
  <c r="I3323"/>
  <c r="K3323" s="1"/>
  <c r="D1032" i="58"/>
  <c r="V12" i="55"/>
  <c r="I3905" i="27"/>
  <c r="K3905" s="1"/>
  <c r="I2973"/>
  <c r="K2973" s="1"/>
  <c r="M2259" i="1"/>
  <c r="P1224"/>
  <c r="F1030" i="58"/>
  <c r="T432" i="55"/>
  <c r="V432"/>
  <c r="X432"/>
  <c r="Z432"/>
  <c r="Z437"/>
  <c r="T437"/>
  <c r="X437"/>
  <c r="F369" i="58"/>
  <c r="F59" i="25"/>
  <c r="D84"/>
  <c r="D108" i="32"/>
  <c r="F108" s="1"/>
  <c r="F45"/>
  <c r="H45" s="1"/>
  <c r="D453" i="58"/>
  <c r="D829"/>
  <c r="I3104" i="1"/>
  <c r="P2673"/>
  <c r="C93"/>
  <c r="I3285"/>
  <c r="I2818"/>
  <c r="I1517" i="11"/>
  <c r="K1517" s="1"/>
  <c r="K1524" s="1"/>
  <c r="K1526" s="1"/>
  <c r="I1544"/>
  <c r="K1544" s="1"/>
  <c r="K1549" s="1"/>
  <c r="K1551" s="1"/>
  <c r="Z34"/>
  <c r="AC34" s="1"/>
  <c r="C77" s="1"/>
  <c r="I443" s="1"/>
  <c r="K443" s="1"/>
  <c r="K451" s="1"/>
  <c r="K453" s="1"/>
  <c r="I458" s="1"/>
  <c r="K458" s="1"/>
  <c r="K462" s="1"/>
  <c r="K464" s="1"/>
  <c r="K466" s="1"/>
  <c r="P635" s="1"/>
  <c r="R635" s="1"/>
  <c r="AC29"/>
  <c r="C91" s="1"/>
  <c r="P79" s="1"/>
  <c r="R79" s="1"/>
  <c r="R87" s="1"/>
  <c r="R89" s="1"/>
  <c r="I3889" i="27"/>
  <c r="K3889" s="1"/>
  <c r="K3053"/>
  <c r="D356" i="58"/>
  <c r="V83" i="55"/>
  <c r="I3198" i="27"/>
  <c r="K3198" s="1"/>
  <c r="K3158"/>
  <c r="F414" i="58"/>
  <c r="D677"/>
  <c r="P1115" i="1"/>
  <c r="R1115" s="1"/>
  <c r="R1093"/>
  <c r="V2605"/>
  <c r="I3424"/>
  <c r="K3424" s="1"/>
  <c r="D413" i="58"/>
  <c r="D734"/>
  <c r="D624"/>
  <c r="V66" i="55"/>
  <c r="K3396" i="27"/>
  <c r="I3476"/>
  <c r="K3476" s="1"/>
  <c r="I3415"/>
  <c r="K3415" s="1"/>
  <c r="P2858"/>
  <c r="R2858" s="1"/>
  <c r="R2846"/>
  <c r="P2852"/>
  <c r="K2852"/>
  <c r="I3003"/>
  <c r="K3003" s="1"/>
  <c r="I2909"/>
  <c r="F322" i="58"/>
  <c r="K986" i="11"/>
  <c r="K988" s="1"/>
  <c r="K2817" i="1"/>
  <c r="I3603"/>
  <c r="P3192"/>
  <c r="I3150"/>
  <c r="I851" i="11"/>
  <c r="K851" s="1"/>
  <c r="I834"/>
  <c r="K834" s="1"/>
  <c r="I816"/>
  <c r="K816" s="1"/>
  <c r="P3470" i="1"/>
  <c r="R3470" s="1"/>
  <c r="K3464"/>
  <c r="D733" i="58"/>
  <c r="I912" i="11"/>
  <c r="I947"/>
  <c r="K947" s="1"/>
  <c r="K957" s="1"/>
  <c r="K959" s="1"/>
  <c r="I3391" i="1"/>
  <c r="I3481" s="1"/>
  <c r="K3481" s="1"/>
  <c r="I931"/>
  <c r="K931" s="1"/>
  <c r="K933" s="1"/>
  <c r="I1131"/>
  <c r="K1131" s="1"/>
  <c r="P991"/>
  <c r="R991" s="1"/>
  <c r="AE1066"/>
  <c r="AG1066" s="1"/>
  <c r="K2555" i="11"/>
  <c r="I2586"/>
  <c r="K2586" s="1"/>
  <c r="I2523"/>
  <c r="K2523" s="1"/>
  <c r="K2533" s="1"/>
  <c r="K2535" s="1"/>
  <c r="K1012"/>
  <c r="K1022" s="1"/>
  <c r="K1024" s="1"/>
  <c r="F371" i="58"/>
  <c r="Z426" i="55"/>
  <c r="D705" i="58"/>
  <c r="K2871" i="27"/>
  <c r="I3685"/>
  <c r="K3685" s="1"/>
  <c r="I75" i="1"/>
  <c r="K75" s="1"/>
  <c r="I1287"/>
  <c r="K1287" s="1"/>
  <c r="I9"/>
  <c r="I1564"/>
  <c r="K1564" s="1"/>
  <c r="I507"/>
  <c r="I274"/>
  <c r="K274" s="1"/>
  <c r="I35"/>
  <c r="K35" s="1"/>
  <c r="I2130"/>
  <c r="K2130" s="1"/>
  <c r="F398" i="58"/>
  <c r="D670"/>
  <c r="P2850" i="27"/>
  <c r="I2908"/>
  <c r="I3799"/>
  <c r="K3799" s="1"/>
  <c r="P375" i="11"/>
  <c r="R375" s="1"/>
  <c r="R381" s="1"/>
  <c r="R383" s="1"/>
  <c r="P412" s="1"/>
  <c r="R412" s="1"/>
  <c r="P389"/>
  <c r="R389" s="1"/>
  <c r="R395" s="1"/>
  <c r="R397" s="1"/>
  <c r="I1421"/>
  <c r="K1421" s="1"/>
  <c r="K1427" s="1"/>
  <c r="K1429" s="1"/>
  <c r="F416" i="58"/>
  <c r="K2914" i="27"/>
  <c r="I3037"/>
  <c r="K3037" s="1"/>
  <c r="I3803"/>
  <c r="K3803" s="1"/>
  <c r="K3837" s="1"/>
  <c r="K3849" s="1"/>
  <c r="I2910"/>
  <c r="K2321" i="1"/>
  <c r="F989" i="58"/>
  <c r="F598"/>
  <c r="F299"/>
  <c r="F232"/>
  <c r="P2870" i="27"/>
  <c r="R2870" s="1"/>
  <c r="R2875" s="1"/>
  <c r="R2877" s="1"/>
  <c r="K2866"/>
  <c r="I1029" i="11"/>
  <c r="K1029" s="1"/>
  <c r="K1037" s="1"/>
  <c r="K1039" s="1"/>
  <c r="I1044"/>
  <c r="K1044" s="1"/>
  <c r="K1052" s="1"/>
  <c r="K1054" s="1"/>
  <c r="I1059"/>
  <c r="K1059" s="1"/>
  <c r="K1066" s="1"/>
  <c r="K1068" s="1"/>
  <c r="I1084"/>
  <c r="I3506" i="27"/>
  <c r="I3923"/>
  <c r="K3923" s="1"/>
  <c r="K3924" s="1"/>
  <c r="I3938" s="1"/>
  <c r="K3938" s="1"/>
  <c r="I3002"/>
  <c r="K3002" s="1"/>
  <c r="K3019" s="1"/>
  <c r="F1102" i="58"/>
  <c r="F1012"/>
  <c r="F972"/>
  <c r="F971"/>
  <c r="F964"/>
  <c r="F264"/>
  <c r="F746"/>
  <c r="F983"/>
  <c r="F1034"/>
  <c r="F751"/>
  <c r="F231"/>
  <c r="F1006"/>
  <c r="F1004"/>
  <c r="F839"/>
  <c r="F786"/>
  <c r="F372"/>
  <c r="F1099"/>
  <c r="F1098"/>
  <c r="F330"/>
  <c r="F678"/>
  <c r="F706"/>
  <c r="F1031"/>
  <c r="F859"/>
  <c r="F784"/>
  <c r="F756"/>
  <c r="F1029"/>
  <c r="F944"/>
  <c r="F937"/>
  <c r="F936"/>
  <c r="F926"/>
  <c r="F896"/>
  <c r="F286"/>
  <c r="F194"/>
  <c r="F107"/>
  <c r="F1014"/>
  <c r="F948"/>
  <c r="F696"/>
  <c r="F385"/>
  <c r="F1189"/>
  <c r="F1133"/>
  <c r="F704"/>
  <c r="F1107"/>
  <c r="F1103"/>
  <c r="F1100"/>
  <c r="F1023"/>
  <c r="F1020"/>
  <c r="F1164"/>
  <c r="F967"/>
  <c r="F965"/>
  <c r="F1162"/>
  <c r="F1129"/>
  <c r="F1118"/>
  <c r="F1109"/>
  <c r="F916"/>
  <c r="F915"/>
  <c r="F112"/>
  <c r="I254" i="11"/>
  <c r="K254" s="1"/>
  <c r="I2617"/>
  <c r="K2617" s="1"/>
  <c r="C79"/>
  <c r="I354"/>
  <c r="K354" s="1"/>
  <c r="K362" s="1"/>
  <c r="K364" s="1"/>
  <c r="K366" s="1"/>
  <c r="I334"/>
  <c r="K334" s="1"/>
  <c r="K342" s="1"/>
  <c r="K344" s="1"/>
  <c r="K346" s="1"/>
  <c r="K347" s="1"/>
  <c r="K348" s="1"/>
  <c r="K349" s="1"/>
  <c r="K350" s="1"/>
  <c r="I310"/>
  <c r="K310" s="1"/>
  <c r="K318" s="1"/>
  <c r="K320" s="1"/>
  <c r="I409"/>
  <c r="K409" s="1"/>
  <c r="K417" s="1"/>
  <c r="K419" s="1"/>
  <c r="I378"/>
  <c r="K378" s="1"/>
  <c r="K386" s="1"/>
  <c r="K388" s="1"/>
  <c r="I393" s="1"/>
  <c r="K393" s="1"/>
  <c r="K397" s="1"/>
  <c r="K399" s="1"/>
  <c r="K401" s="1"/>
  <c r="K402" s="1"/>
  <c r="K403" s="1"/>
  <c r="K404" s="1"/>
  <c r="K405" s="1"/>
  <c r="I28"/>
  <c r="K28" s="1"/>
  <c r="K32" s="1"/>
  <c r="I19"/>
  <c r="K19" s="1"/>
  <c r="K23" s="1"/>
  <c r="P22"/>
  <c r="R22" s="1"/>
  <c r="R28" s="1"/>
  <c r="R30" s="1"/>
  <c r="I2071"/>
  <c r="K2071" s="1"/>
  <c r="K2079" s="1"/>
  <c r="K2081" s="1"/>
  <c r="P10"/>
  <c r="R10" s="1"/>
  <c r="I64"/>
  <c r="K64" s="1"/>
  <c r="K68" s="1"/>
  <c r="I271"/>
  <c r="K271" s="1"/>
  <c r="I73"/>
  <c r="K73" s="1"/>
  <c r="K77" s="1"/>
  <c r="I45"/>
  <c r="K45" s="1"/>
  <c r="K49" s="1"/>
  <c r="I10"/>
  <c r="K10" s="1"/>
  <c r="I497"/>
  <c r="K497" s="1"/>
  <c r="I54"/>
  <c r="K54" s="1"/>
  <c r="K58" s="1"/>
  <c r="I2051"/>
  <c r="K2051" s="1"/>
  <c r="K2059" s="1"/>
  <c r="K2061" s="1"/>
  <c r="I1684"/>
  <c r="K1684" s="1"/>
  <c r="K1691" s="1"/>
  <c r="K1693" s="1"/>
  <c r="I773"/>
  <c r="K773" s="1"/>
  <c r="I36"/>
  <c r="K36" s="1"/>
  <c r="K40" s="1"/>
  <c r="C165"/>
  <c r="C82"/>
  <c r="I1253" s="1"/>
  <c r="K1253" s="1"/>
  <c r="K1260" s="1"/>
  <c r="K1262" s="1"/>
  <c r="I1909" s="1"/>
  <c r="K1909" s="1"/>
  <c r="K1920" s="1"/>
  <c r="I224"/>
  <c r="K224" s="1"/>
  <c r="K231" s="1"/>
  <c r="K233" s="1"/>
  <c r="K467"/>
  <c r="K468" s="1"/>
  <c r="K469" s="1"/>
  <c r="K470" s="1"/>
  <c r="P144"/>
  <c r="R144" s="1"/>
  <c r="R196" s="1"/>
  <c r="R198" s="1"/>
  <c r="R201" s="1"/>
  <c r="R202" s="1"/>
  <c r="R203" s="1"/>
  <c r="R204" s="1"/>
  <c r="I1254"/>
  <c r="K1254" s="1"/>
  <c r="P23"/>
  <c r="R23" s="1"/>
  <c r="P9"/>
  <c r="R9" s="1"/>
  <c r="R14" s="1"/>
  <c r="AC10"/>
  <c r="C69" s="1"/>
  <c r="I295" s="1"/>
  <c r="K295" s="1"/>
  <c r="Z11"/>
  <c r="P50"/>
  <c r="R50" s="1"/>
  <c r="R57" s="1"/>
  <c r="R60" s="1"/>
  <c r="AC9"/>
  <c r="C68" s="1"/>
  <c r="I294" s="1"/>
  <c r="K294" s="1"/>
  <c r="K303" s="1"/>
  <c r="K305" s="1"/>
  <c r="C19" i="79" l="1"/>
  <c r="C18" i="55"/>
  <c r="C59"/>
  <c r="F59" s="1"/>
  <c r="C60" i="79"/>
  <c r="T142"/>
  <c r="Z142"/>
  <c r="X142"/>
  <c r="R142"/>
  <c r="J142"/>
  <c r="H142"/>
  <c r="P142"/>
  <c r="F142"/>
  <c r="V142"/>
  <c r="L142"/>
  <c r="N142"/>
  <c r="C112" i="55"/>
  <c r="X112" s="1"/>
  <c r="C113" i="79"/>
  <c r="C196" i="55"/>
  <c r="X196" s="1"/>
  <c r="C197" i="79"/>
  <c r="C110" i="55"/>
  <c r="F110" s="1"/>
  <c r="C111" i="79"/>
  <c r="P194"/>
  <c r="X194"/>
  <c r="F194"/>
  <c r="V194"/>
  <c r="N194"/>
  <c r="L194"/>
  <c r="J194"/>
  <c r="T194"/>
  <c r="R194"/>
  <c r="H194"/>
  <c r="Z194"/>
  <c r="X220" i="55"/>
  <c r="Z220"/>
  <c r="X212"/>
  <c r="Z212"/>
  <c r="Z61"/>
  <c r="X61"/>
  <c r="X219"/>
  <c r="Z219"/>
  <c r="Z169"/>
  <c r="X169"/>
  <c r="Z112"/>
  <c r="Z196"/>
  <c r="X59"/>
  <c r="Z59"/>
  <c r="X225"/>
  <c r="Z225"/>
  <c r="Z222"/>
  <c r="X222"/>
  <c r="Z110"/>
  <c r="R219"/>
  <c r="T219"/>
  <c r="P219"/>
  <c r="N219"/>
  <c r="J219"/>
  <c r="L219"/>
  <c r="H219"/>
  <c r="R222"/>
  <c r="T222"/>
  <c r="P222"/>
  <c r="L222"/>
  <c r="H222"/>
  <c r="N222"/>
  <c r="J222"/>
  <c r="R59"/>
  <c r="T59"/>
  <c r="P59"/>
  <c r="L59"/>
  <c r="N59"/>
  <c r="J59"/>
  <c r="H59"/>
  <c r="T220"/>
  <c r="P220"/>
  <c r="R220"/>
  <c r="N220"/>
  <c r="J220"/>
  <c r="L220"/>
  <c r="H220"/>
  <c r="T212"/>
  <c r="P212"/>
  <c r="R212"/>
  <c r="N212"/>
  <c r="J212"/>
  <c r="L212"/>
  <c r="H212"/>
  <c r="T196"/>
  <c r="P196"/>
  <c r="R196"/>
  <c r="N196"/>
  <c r="J196"/>
  <c r="L196"/>
  <c r="H196"/>
  <c r="T110"/>
  <c r="P110"/>
  <c r="R110"/>
  <c r="L110"/>
  <c r="H110"/>
  <c r="N110"/>
  <c r="J110"/>
  <c r="T61"/>
  <c r="P61"/>
  <c r="R61"/>
  <c r="L61"/>
  <c r="N61"/>
  <c r="J61"/>
  <c r="H61"/>
  <c r="R225"/>
  <c r="N225"/>
  <c r="T225"/>
  <c r="P225"/>
  <c r="L225"/>
  <c r="H225"/>
  <c r="J225"/>
  <c r="R112"/>
  <c r="T112"/>
  <c r="P112"/>
  <c r="N112"/>
  <c r="J112"/>
  <c r="L112"/>
  <c r="H112"/>
  <c r="T169"/>
  <c r="P169"/>
  <c r="R169"/>
  <c r="L169"/>
  <c r="H169"/>
  <c r="N169"/>
  <c r="J169"/>
  <c r="F387" i="58"/>
  <c r="B885"/>
  <c r="F885" s="1"/>
  <c r="B925"/>
  <c r="F925" s="1"/>
  <c r="B545"/>
  <c r="F545" s="1"/>
  <c r="V219" i="55"/>
  <c r="V169"/>
  <c r="F1037" i="58"/>
  <c r="F455"/>
  <c r="D436"/>
  <c r="B1013"/>
  <c r="F1013" s="1"/>
  <c r="B949"/>
  <c r="F949" s="1"/>
  <c r="B1021"/>
  <c r="F1021" s="1"/>
  <c r="B973"/>
  <c r="F973" s="1"/>
  <c r="Z469" i="55"/>
  <c r="B1081" i="58"/>
  <c r="F1081" s="1"/>
  <c r="B941"/>
  <c r="F941" s="1"/>
  <c r="B957"/>
  <c r="F957" s="1"/>
  <c r="B959"/>
  <c r="F959" s="1"/>
  <c r="B947"/>
  <c r="F947" s="1"/>
  <c r="B999"/>
  <c r="F999" s="1"/>
  <c r="Z467" i="55"/>
  <c r="B1079" i="58"/>
  <c r="F1079" s="1"/>
  <c r="B695"/>
  <c r="F695" s="1"/>
  <c r="B759"/>
  <c r="F759" s="1"/>
  <c r="B739"/>
  <c r="F739" s="1"/>
  <c r="B1003"/>
  <c r="F1003" s="1"/>
  <c r="B775"/>
  <c r="F775" s="1"/>
  <c r="B935"/>
  <c r="F935" s="1"/>
  <c r="B951"/>
  <c r="F951" s="1"/>
  <c r="B366"/>
  <c r="F366" s="1"/>
  <c r="D703"/>
  <c r="F703" s="1"/>
  <c r="I3007" i="1"/>
  <c r="K3007" s="1"/>
  <c r="K3009" s="1"/>
  <c r="C35"/>
  <c r="C168"/>
  <c r="T461" i="55"/>
  <c r="K2938" i="27"/>
  <c r="I2955"/>
  <c r="D632" i="58"/>
  <c r="D658" i="25"/>
  <c r="I3321" i="1"/>
  <c r="K3321" s="1"/>
  <c r="P3191"/>
  <c r="I3643"/>
  <c r="K3643" s="1"/>
  <c r="I3199" i="27"/>
  <c r="K3199" s="1"/>
  <c r="K2931"/>
  <c r="I2953"/>
  <c r="I3149" i="1"/>
  <c r="I2665"/>
  <c r="K2428"/>
  <c r="K2933" i="27"/>
  <c r="K3829"/>
  <c r="P2880"/>
  <c r="R2880" s="1"/>
  <c r="K3247"/>
  <c r="I3265"/>
  <c r="I3588"/>
  <c r="K3588" s="1"/>
  <c r="P3504"/>
  <c r="R3504" s="1"/>
  <c r="I3623"/>
  <c r="P2157" i="1"/>
  <c r="R2157" s="1"/>
  <c r="I2853" i="11"/>
  <c r="I56" i="1"/>
  <c r="K56" s="1"/>
  <c r="I1307"/>
  <c r="K1307" s="1"/>
  <c r="Z13"/>
  <c r="AC13" s="1"/>
  <c r="V819"/>
  <c r="X819" s="1"/>
  <c r="Z16"/>
  <c r="Z17" s="1"/>
  <c r="AC17" s="1"/>
  <c r="Z50"/>
  <c r="AC50" s="1"/>
  <c r="X452" i="55"/>
  <c r="C74" i="1"/>
  <c r="P1145" s="1"/>
  <c r="R2849" i="27"/>
  <c r="P2882"/>
  <c r="R2882" s="1"/>
  <c r="K2917"/>
  <c r="I3040"/>
  <c r="K3040" s="1"/>
  <c r="C144" i="1"/>
  <c r="P143"/>
  <c r="R143" s="1"/>
  <c r="G218" i="25"/>
  <c r="D659"/>
  <c r="F623"/>
  <c r="F620"/>
  <c r="K3896" i="27"/>
  <c r="K3831"/>
  <c r="I2939"/>
  <c r="I2915"/>
  <c r="K2913"/>
  <c r="I3036"/>
  <c r="K3036" s="1"/>
  <c r="K2956"/>
  <c r="I2986"/>
  <c r="K2986" s="1"/>
  <c r="P1178" i="1"/>
  <c r="R1178" s="1"/>
  <c r="R1147"/>
  <c r="I3700" i="27"/>
  <c r="K3000"/>
  <c r="X2784" i="1"/>
  <c r="V2785"/>
  <c r="X2785" s="1"/>
  <c r="I3406" i="27"/>
  <c r="K3352"/>
  <c r="K3355" s="1"/>
  <c r="K3356" s="1"/>
  <c r="K3248"/>
  <c r="K3250" s="1"/>
  <c r="K3251" s="1"/>
  <c r="K3243" s="1"/>
  <c r="K3244" s="1"/>
  <c r="I3266"/>
  <c r="K2761"/>
  <c r="K2764" s="1"/>
  <c r="C141" i="55"/>
  <c r="F141" s="1"/>
  <c r="V711" i="1"/>
  <c r="X646"/>
  <c r="AD646"/>
  <c r="AF646" s="1"/>
  <c r="K2873" i="27"/>
  <c r="F50" i="58"/>
  <c r="V452" i="55"/>
  <c r="V207"/>
  <c r="Z480"/>
  <c r="B1092" i="58"/>
  <c r="F1092" s="1"/>
  <c r="B755"/>
  <c r="F755" s="1"/>
  <c r="B211"/>
  <c r="F211" s="1"/>
  <c r="Z479" i="55"/>
  <c r="B1091" i="58"/>
  <c r="F1091" s="1"/>
  <c r="B939"/>
  <c r="F939" s="1"/>
  <c r="B757"/>
  <c r="F757" s="1"/>
  <c r="B224"/>
  <c r="F224" s="1"/>
  <c r="Z461" i="55"/>
  <c r="B630" i="58"/>
  <c r="F630" s="1"/>
  <c r="B961"/>
  <c r="F961" s="1"/>
  <c r="B245"/>
  <c r="F245" s="1"/>
  <c r="Z481" i="55"/>
  <c r="B1093" i="58"/>
  <c r="F1093" s="1"/>
  <c r="B749"/>
  <c r="F749" s="1"/>
  <c r="Z478" i="55"/>
  <c r="B1090" i="58"/>
  <c r="F1090" s="1"/>
  <c r="B1077"/>
  <c r="F1077" s="1"/>
  <c r="Z465" i="55"/>
  <c r="B853" i="58"/>
  <c r="F853" s="1"/>
  <c r="B176"/>
  <c r="F176" s="1"/>
  <c r="B516"/>
  <c r="F516" s="1"/>
  <c r="Z477" i="55"/>
  <c r="B1089" i="58"/>
  <c r="F1089" s="1"/>
  <c r="Z485" i="55"/>
  <c r="B1097" i="58"/>
  <c r="F1097" s="1"/>
  <c r="D1073"/>
  <c r="V461" i="55"/>
  <c r="Z482"/>
  <c r="B1094" i="58"/>
  <c r="F1094" s="1"/>
  <c r="B1005"/>
  <c r="F1005" s="1"/>
  <c r="Z476" i="55"/>
  <c r="B1088" i="58"/>
  <c r="F1088" s="1"/>
  <c r="Z484" i="55"/>
  <c r="B1096" i="58"/>
  <c r="F1096" s="1"/>
  <c r="B930"/>
  <c r="F930" s="1"/>
  <c r="B887"/>
  <c r="F887" s="1"/>
  <c r="B997"/>
  <c r="F997" s="1"/>
  <c r="B111"/>
  <c r="F111" s="1"/>
  <c r="B513"/>
  <c r="F513" s="1"/>
  <c r="Z475" i="55"/>
  <c r="B1087" i="58"/>
  <c r="F1087" s="1"/>
  <c r="Z483" i="55"/>
  <c r="B1095" i="58"/>
  <c r="F1095" s="1"/>
  <c r="X461" i="55"/>
  <c r="B161" i="58"/>
  <c r="F161" s="1"/>
  <c r="AV135" i="1"/>
  <c r="K250"/>
  <c r="K252" s="1"/>
  <c r="I583" i="11"/>
  <c r="K583"/>
  <c r="K3908"/>
  <c r="M3908"/>
  <c r="L3909"/>
  <c r="C397" i="55"/>
  <c r="I3636" i="11"/>
  <c r="K3636" s="1"/>
  <c r="K3638" s="1"/>
  <c r="C433" i="55"/>
  <c r="L3619" i="11"/>
  <c r="K3330" i="1"/>
  <c r="I3399"/>
  <c r="I3432" s="1"/>
  <c r="K3432" s="1"/>
  <c r="R1449"/>
  <c r="P1466"/>
  <c r="Z33"/>
  <c r="AC33" s="1"/>
  <c r="AC32"/>
  <c r="C142" s="1"/>
  <c r="I3544"/>
  <c r="P3532"/>
  <c r="K3528"/>
  <c r="I2440" i="27"/>
  <c r="K2440" s="1"/>
  <c r="K2444" s="1"/>
  <c r="K2446" s="1"/>
  <c r="K2425"/>
  <c r="K731" i="11"/>
  <c r="K733" s="1"/>
  <c r="I740"/>
  <c r="K740" s="1"/>
  <c r="K755" s="1"/>
  <c r="K757" s="1"/>
  <c r="L3566"/>
  <c r="M3568"/>
  <c r="K3567"/>
  <c r="F25" i="50"/>
  <c r="F28" s="1"/>
  <c r="A26"/>
  <c r="F26" s="1"/>
  <c r="K3443" i="27"/>
  <c r="I3437" s="1"/>
  <c r="K3437" s="1"/>
  <c r="I3483"/>
  <c r="L3319" i="11"/>
  <c r="K2289" i="1"/>
  <c r="K2209" i="11"/>
  <c r="I4038" i="1"/>
  <c r="K4038" s="1"/>
  <c r="K4025"/>
  <c r="L3379" i="11"/>
  <c r="K3466"/>
  <c r="K3468" s="1"/>
  <c r="C425" i="55"/>
  <c r="R1496" i="1"/>
  <c r="P1539"/>
  <c r="R1539" s="1"/>
  <c r="V1457"/>
  <c r="F554" i="25"/>
  <c r="D591"/>
  <c r="AG3564" i="1"/>
  <c r="V3627"/>
  <c r="X3627" s="1"/>
  <c r="K91" i="11"/>
  <c r="I1698"/>
  <c r="K1698" s="1"/>
  <c r="K1706" s="1"/>
  <c r="K3624" i="27"/>
  <c r="I3731"/>
  <c r="K3731" s="1"/>
  <c r="V3595" i="1"/>
  <c r="X3580"/>
  <c r="AC11" i="27"/>
  <c r="C70" s="1"/>
  <c r="Z12"/>
  <c r="Z35"/>
  <c r="AC35" s="1"/>
  <c r="I253" s="1"/>
  <c r="K253" s="1"/>
  <c r="K258" s="1"/>
  <c r="K260" s="1"/>
  <c r="P1239" i="1"/>
  <c r="R1239" s="1"/>
  <c r="V1242"/>
  <c r="R1262"/>
  <c r="K954"/>
  <c r="D546" i="25"/>
  <c r="AE3565" i="1"/>
  <c r="AG3549"/>
  <c r="D277" i="58"/>
  <c r="F277" s="1"/>
  <c r="K2294" i="1"/>
  <c r="I3021" s="1"/>
  <c r="K3021" s="1"/>
  <c r="L3762" i="11"/>
  <c r="K2433" i="27"/>
  <c r="K2435" s="1"/>
  <c r="F152" i="50"/>
  <c r="I2382" i="11"/>
  <c r="I2383" s="1"/>
  <c r="I2355" s="1"/>
  <c r="K2355" s="1"/>
  <c r="L2987"/>
  <c r="K2580" i="1"/>
  <c r="K2583" s="1"/>
  <c r="K371" i="27"/>
  <c r="AF693" i="1"/>
  <c r="AF691"/>
  <c r="AF690"/>
  <c r="J3851"/>
  <c r="E3855"/>
  <c r="R3301"/>
  <c r="P3404"/>
  <c r="R3404" s="1"/>
  <c r="P3370"/>
  <c r="R3370" s="1"/>
  <c r="K3159" i="11"/>
  <c r="K3160" s="1"/>
  <c r="K3161" s="1"/>
  <c r="I3199"/>
  <c r="K3199" s="1"/>
  <c r="K3200" s="1"/>
  <c r="K3201" s="1"/>
  <c r="P573" i="27"/>
  <c r="R573" s="1"/>
  <c r="R581" s="1"/>
  <c r="K89"/>
  <c r="P586"/>
  <c r="R586" s="1"/>
  <c r="R595" s="1"/>
  <c r="K90"/>
  <c r="I2613"/>
  <c r="AB1380" i="1"/>
  <c r="I3998"/>
  <c r="AD1363"/>
  <c r="R3266"/>
  <c r="I3326"/>
  <c r="R1471"/>
  <c r="P1502"/>
  <c r="L2988" i="11"/>
  <c r="K2191"/>
  <c r="K2271" i="1"/>
  <c r="K2989" i="11"/>
  <c r="I2381" i="27"/>
  <c r="I2392"/>
  <c r="I2393" s="1"/>
  <c r="J2378" s="1"/>
  <c r="D1058" i="58"/>
  <c r="F1058" s="1"/>
  <c r="T394" i="55"/>
  <c r="Z394"/>
  <c r="X394"/>
  <c r="V394"/>
  <c r="C393"/>
  <c r="L3481" i="11"/>
  <c r="G97" i="32"/>
  <c r="G99" s="1"/>
  <c r="E157"/>
  <c r="G157" s="1"/>
  <c r="G159" s="1"/>
  <c r="I816" i="27"/>
  <c r="K816" s="1"/>
  <c r="I834"/>
  <c r="K834" s="1"/>
  <c r="I851"/>
  <c r="K851" s="1"/>
  <c r="L3262" i="11"/>
  <c r="C421" i="55"/>
  <c r="R1478" i="1"/>
  <c r="V1439"/>
  <c r="P1485"/>
  <c r="P947"/>
  <c r="R947" s="1"/>
  <c r="R946"/>
  <c r="K587" i="27"/>
  <c r="I587"/>
  <c r="K3407"/>
  <c r="I3426"/>
  <c r="R2867" i="1"/>
  <c r="P3166"/>
  <c r="R3166" s="1"/>
  <c r="K4009"/>
  <c r="K36" i="25" s="1"/>
  <c r="I36"/>
  <c r="R3407" i="1"/>
  <c r="P3451"/>
  <c r="AB1460"/>
  <c r="AD1460" s="1"/>
  <c r="X1462"/>
  <c r="AB1420"/>
  <c r="AD1420" s="1"/>
  <c r="AD1403"/>
  <c r="P3547"/>
  <c r="R3547" s="1"/>
  <c r="R3531"/>
  <c r="V1408"/>
  <c r="X1392"/>
  <c r="P1895"/>
  <c r="R1895" s="1"/>
  <c r="R1864"/>
  <c r="K2610"/>
  <c r="K2615" s="1"/>
  <c r="K2618" s="1"/>
  <c r="M2618" s="1"/>
  <c r="H3855"/>
  <c r="X3549"/>
  <c r="V3565"/>
  <c r="F586" i="25"/>
  <c r="D621"/>
  <c r="I3993" i="1"/>
  <c r="K3993" s="1"/>
  <c r="K3992"/>
  <c r="V110" i="55"/>
  <c r="D834" i="58"/>
  <c r="F834" s="1"/>
  <c r="C429" i="55"/>
  <c r="C200"/>
  <c r="F200" s="1"/>
  <c r="M3744" i="11"/>
  <c r="K2203"/>
  <c r="K2283" i="1"/>
  <c r="AB1438"/>
  <c r="AD1438" s="1"/>
  <c r="X1440"/>
  <c r="AS68"/>
  <c r="AQ92"/>
  <c r="I3963"/>
  <c r="K3947"/>
  <c r="P2084"/>
  <c r="R2084" s="1"/>
  <c r="K3110"/>
  <c r="K2978"/>
  <c r="P2985"/>
  <c r="R2985" s="1"/>
  <c r="I3063"/>
  <c r="K2959" i="11"/>
  <c r="I3921"/>
  <c r="K3921" s="1"/>
  <c r="K1087" i="27"/>
  <c r="I2264"/>
  <c r="P3368" i="1"/>
  <c r="R3368" s="1"/>
  <c r="P3402"/>
  <c r="R3402" s="1"/>
  <c r="R3299"/>
  <c r="I1092" i="11"/>
  <c r="K1092" s="1"/>
  <c r="I2269"/>
  <c r="T430" i="55"/>
  <c r="Z430"/>
  <c r="C218"/>
  <c r="F218" s="1"/>
  <c r="X430"/>
  <c r="V430"/>
  <c r="L3420" i="11"/>
  <c r="C215" i="55"/>
  <c r="F215" s="1"/>
  <c r="K102" i="27"/>
  <c r="K104"/>
  <c r="K105" s="1"/>
  <c r="F89" i="50"/>
  <c r="A90"/>
  <c r="F90" s="1"/>
  <c r="V3543" i="1"/>
  <c r="K3543"/>
  <c r="AE3543"/>
  <c r="I4036"/>
  <c r="K4036" s="1"/>
  <c r="I4022"/>
  <c r="K4021"/>
  <c r="R1049"/>
  <c r="P1050"/>
  <c r="R1050" s="1"/>
  <c r="L3402" i="11"/>
  <c r="C216" i="55"/>
  <c r="F216" s="1"/>
  <c r="R2824" i="1"/>
  <c r="P2857"/>
  <c r="R2857" s="1"/>
  <c r="I3940" i="11"/>
  <c r="I3075"/>
  <c r="K3072"/>
  <c r="L3650"/>
  <c r="C434" i="55"/>
  <c r="I3283" i="1"/>
  <c r="K1105"/>
  <c r="K1113" s="1"/>
  <c r="K1115" s="1"/>
  <c r="K3332" i="11"/>
  <c r="K3333" s="1"/>
  <c r="K3365"/>
  <c r="K3366" s="1"/>
  <c r="P1447" i="1"/>
  <c r="R1431"/>
  <c r="C420" i="55"/>
  <c r="K3788" i="11"/>
  <c r="K3790" s="1"/>
  <c r="L3790" s="1"/>
  <c r="I2446" i="1"/>
  <c r="K2446" s="1"/>
  <c r="K2413"/>
  <c r="K3160" i="27"/>
  <c r="K3161" s="1"/>
  <c r="R514" i="1"/>
  <c r="R516" s="1"/>
  <c r="K693" i="11"/>
  <c r="K695" s="1"/>
  <c r="K764" s="1"/>
  <c r="V901" i="1"/>
  <c r="X901" s="1"/>
  <c r="X885"/>
  <c r="R3163"/>
  <c r="V3124"/>
  <c r="I2951" i="27"/>
  <c r="I2941"/>
  <c r="K3689" i="11"/>
  <c r="K3692" s="1"/>
  <c r="K3695" s="1"/>
  <c r="L3690"/>
  <c r="M3688"/>
  <c r="K3750" i="1"/>
  <c r="I3647"/>
  <c r="K2975"/>
  <c r="K2982" s="1"/>
  <c r="K2984" s="1"/>
  <c r="I3060"/>
  <c r="P2982"/>
  <c r="R2982" s="1"/>
  <c r="R2989" s="1"/>
  <c r="R2991" s="1"/>
  <c r="C398" i="55" s="1"/>
  <c r="K2210" i="11"/>
  <c r="K2290" i="1"/>
  <c r="L3441" i="11"/>
  <c r="K3115" i="27"/>
  <c r="P3115"/>
  <c r="I2380"/>
  <c r="I2382" s="1"/>
  <c r="I2383" s="1"/>
  <c r="I2355" s="1"/>
  <c r="K2355" s="1"/>
  <c r="I2377"/>
  <c r="I3912"/>
  <c r="K3912" s="1"/>
  <c r="K2959"/>
  <c r="I2395" i="11"/>
  <c r="I2396"/>
  <c r="I2378"/>
  <c r="K2378" s="1"/>
  <c r="I2354" s="1"/>
  <c r="K2354" s="1"/>
  <c r="K2356" s="1"/>
  <c r="K2357" s="1"/>
  <c r="M3397"/>
  <c r="L3400"/>
  <c r="AE2799" i="1"/>
  <c r="AG2799" s="1"/>
  <c r="X2795"/>
  <c r="D904" i="58"/>
  <c r="F904" s="1"/>
  <c r="AD1360" i="1"/>
  <c r="AB1377"/>
  <c r="S3638" i="11"/>
  <c r="AB1459" i="1"/>
  <c r="AD1459" s="1"/>
  <c r="X1461"/>
  <c r="L3348" i="11"/>
  <c r="K3456"/>
  <c r="K3458" s="1"/>
  <c r="C423" i="55"/>
  <c r="C428"/>
  <c r="L3501" i="11"/>
  <c r="T438" i="55"/>
  <c r="Z438"/>
  <c r="X438"/>
  <c r="V438"/>
  <c r="V1453" i="1"/>
  <c r="R1492"/>
  <c r="P1538"/>
  <c r="R1538" s="1"/>
  <c r="X3140"/>
  <c r="V3165"/>
  <c r="AD1404"/>
  <c r="AB1421"/>
  <c r="AD1421" s="1"/>
  <c r="AD1405"/>
  <c r="AB1422"/>
  <c r="AD1422" s="1"/>
  <c r="I2691" i="11"/>
  <c r="K2691" s="1"/>
  <c r="K2613"/>
  <c r="M3675"/>
  <c r="C435" i="55"/>
  <c r="M3676" i="11"/>
  <c r="D425" i="58"/>
  <c r="F425" s="1"/>
  <c r="P1468" i="1"/>
  <c r="R1451"/>
  <c r="AE407"/>
  <c r="AG407" s="1"/>
  <c r="AG393"/>
  <c r="AQ393"/>
  <c r="AS393" s="1"/>
  <c r="AE429"/>
  <c r="K3294" i="11"/>
  <c r="L3295"/>
  <c r="M3294"/>
  <c r="K3774"/>
  <c r="K3779"/>
  <c r="K3781" s="1"/>
  <c r="N3417"/>
  <c r="N3419" s="1"/>
  <c r="M3419"/>
  <c r="I4028" i="1"/>
  <c r="K4013"/>
  <c r="I40" i="25"/>
  <c r="P1542" i="1"/>
  <c r="R1542" s="1"/>
  <c r="R1486"/>
  <c r="V1447"/>
  <c r="F92" i="50"/>
  <c r="K1022" i="27"/>
  <c r="K1024" s="1"/>
  <c r="K1095"/>
  <c r="K1097" s="1"/>
  <c r="K121" i="1"/>
  <c r="L119"/>
  <c r="P2030"/>
  <c r="R2030" s="1"/>
  <c r="K2030"/>
  <c r="P2676"/>
  <c r="I3107"/>
  <c r="K2669"/>
  <c r="W542"/>
  <c r="AC542" s="1"/>
  <c r="J543"/>
  <c r="W491"/>
  <c r="AC491" s="1"/>
  <c r="J667"/>
  <c r="K362"/>
  <c r="V362"/>
  <c r="K318"/>
  <c r="V318"/>
  <c r="D410" i="58"/>
  <c r="P237" i="1"/>
  <c r="R237" s="1"/>
  <c r="K231"/>
  <c r="K3463"/>
  <c r="I3468"/>
  <c r="P3469"/>
  <c r="R3469" s="1"/>
  <c r="I3830"/>
  <c r="K3830" s="1"/>
  <c r="I2723"/>
  <c r="K2723" s="1"/>
  <c r="K2717"/>
  <c r="D51" i="32"/>
  <c r="X718" i="1"/>
  <c r="V688"/>
  <c r="K3663"/>
  <c r="I3684"/>
  <c r="K3684" s="1"/>
  <c r="I711"/>
  <c r="K711" s="1"/>
  <c r="P3726"/>
  <c r="R3726" s="1"/>
  <c r="K3726"/>
  <c r="K3728" s="1"/>
  <c r="I3720" s="1"/>
  <c r="K3720" s="1"/>
  <c r="K3721" s="1"/>
  <c r="K3722" s="1"/>
  <c r="P3510"/>
  <c r="R3510" s="1"/>
  <c r="R3512" s="1"/>
  <c r="R3513" s="1"/>
  <c r="R3518"/>
  <c r="AQ3109"/>
  <c r="AS3109" s="1"/>
  <c r="AH3109"/>
  <c r="AH3112" s="1"/>
  <c r="P1975"/>
  <c r="R1975" s="1"/>
  <c r="K1975"/>
  <c r="I729"/>
  <c r="K729" s="1"/>
  <c r="K733" s="1"/>
  <c r="K735" s="1"/>
  <c r="K804" s="1"/>
  <c r="I787"/>
  <c r="K787" s="1"/>
  <c r="P797"/>
  <c r="R797" s="1"/>
  <c r="R801" s="1"/>
  <c r="R803" s="1"/>
  <c r="I2351"/>
  <c r="K2351" s="1"/>
  <c r="I765"/>
  <c r="K765" s="1"/>
  <c r="P893"/>
  <c r="R893" s="1"/>
  <c r="R896" s="1"/>
  <c r="R898" s="1"/>
  <c r="I2371"/>
  <c r="K3152"/>
  <c r="P3159"/>
  <c r="R3159" s="1"/>
  <c r="I3172"/>
  <c r="K1509"/>
  <c r="P1863"/>
  <c r="K1847"/>
  <c r="D717" i="58"/>
  <c r="P2016" i="1"/>
  <c r="R2016" s="1"/>
  <c r="K2015"/>
  <c r="V684"/>
  <c r="X714"/>
  <c r="Z714" s="1"/>
  <c r="D47" i="32"/>
  <c r="V386" i="1"/>
  <c r="K386"/>
  <c r="P1180"/>
  <c r="R1180" s="1"/>
  <c r="R1149"/>
  <c r="I3645"/>
  <c r="K3645" s="1"/>
  <c r="K1650"/>
  <c r="K2716"/>
  <c r="I2722"/>
  <c r="K2722" s="1"/>
  <c r="V587"/>
  <c r="X587" s="1"/>
  <c r="X590" s="1"/>
  <c r="X592" s="1"/>
  <c r="X593" s="1"/>
  <c r="K587"/>
  <c r="K590" s="1"/>
  <c r="K592" s="1"/>
  <c r="I593" s="1"/>
  <c r="K593" s="1"/>
  <c r="K2034"/>
  <c r="P2034"/>
  <c r="R2034" s="1"/>
  <c r="P1865"/>
  <c r="K1849"/>
  <c r="K1261"/>
  <c r="V1290"/>
  <c r="X1290" s="1"/>
  <c r="V557"/>
  <c r="X557" s="1"/>
  <c r="AB533"/>
  <c r="X533"/>
  <c r="I3581"/>
  <c r="K2352"/>
  <c r="T1643"/>
  <c r="R1643"/>
  <c r="V889"/>
  <c r="K889"/>
  <c r="P202"/>
  <c r="K202"/>
  <c r="P170"/>
  <c r="R170" s="1"/>
  <c r="P2013"/>
  <c r="R2013" s="1"/>
  <c r="K2012"/>
  <c r="V343"/>
  <c r="K343"/>
  <c r="I1770"/>
  <c r="K1770" s="1"/>
  <c r="K1778" s="1"/>
  <c r="C92" i="55" s="1"/>
  <c r="F92" s="1"/>
  <c r="P2347" i="1"/>
  <c r="R2347" s="1"/>
  <c r="K94"/>
  <c r="D584" i="25"/>
  <c r="F547"/>
  <c r="K2258" i="1"/>
  <c r="K2291" s="1"/>
  <c r="F927" i="58"/>
  <c r="K3360" i="1"/>
  <c r="K3361" s="1"/>
  <c r="C462" i="55" s="1"/>
  <c r="K690" i="1"/>
  <c r="K1541"/>
  <c r="K1543" s="1"/>
  <c r="K1527"/>
  <c r="K1529" s="1"/>
  <c r="R3521"/>
  <c r="R3522" s="1"/>
  <c r="I3509" s="1"/>
  <c r="K3509" s="1"/>
  <c r="K2748"/>
  <c r="K2750" s="1"/>
  <c r="I2768" s="1"/>
  <c r="K2768" s="1"/>
  <c r="K2770" s="1"/>
  <c r="R532"/>
  <c r="R534" s="1"/>
  <c r="D724" i="58"/>
  <c r="V225" i="55"/>
  <c r="F230" i="58"/>
  <c r="D72" i="25"/>
  <c r="F49"/>
  <c r="F52" s="1"/>
  <c r="D42" s="1"/>
  <c r="P2015" i="1"/>
  <c r="R2015" s="1"/>
  <c r="K2014"/>
  <c r="X397" i="55"/>
  <c r="Z397"/>
  <c r="T397"/>
  <c r="V397"/>
  <c r="D1061" i="58"/>
  <c r="V869" i="1"/>
  <c r="X869" s="1"/>
  <c r="P862"/>
  <c r="R862" s="1"/>
  <c r="K869"/>
  <c r="I3309"/>
  <c r="K3309" s="1"/>
  <c r="I3930"/>
  <c r="P169"/>
  <c r="R169" s="1"/>
  <c r="K201"/>
  <c r="P201"/>
  <c r="K1510"/>
  <c r="I3173"/>
  <c r="K887"/>
  <c r="V887"/>
  <c r="P2162"/>
  <c r="R2162" s="1"/>
  <c r="K2155"/>
  <c r="C177" i="55"/>
  <c r="F177" s="1"/>
  <c r="P2031" i="1"/>
  <c r="R2031" s="1"/>
  <c r="K2031"/>
  <c r="K1228"/>
  <c r="P1223"/>
  <c r="K1651"/>
  <c r="I3646"/>
  <c r="K3646" s="1"/>
  <c r="K1310"/>
  <c r="P1308"/>
  <c r="R2364"/>
  <c r="R2366" s="1"/>
  <c r="R2368" s="1"/>
  <c r="S2324"/>
  <c r="P2301"/>
  <c r="R2301" s="1"/>
  <c r="R2305" s="1"/>
  <c r="R2307" s="1"/>
  <c r="K2301"/>
  <c r="K2305" s="1"/>
  <c r="K2307" s="1"/>
  <c r="P724"/>
  <c r="R724" s="1"/>
  <c r="R731" s="1"/>
  <c r="R733" s="1"/>
  <c r="I1022"/>
  <c r="P755"/>
  <c r="R755" s="1"/>
  <c r="R762" s="1"/>
  <c r="R764" s="1"/>
  <c r="I957"/>
  <c r="I992"/>
  <c r="K992" s="1"/>
  <c r="P739"/>
  <c r="R739" s="1"/>
  <c r="R746" s="1"/>
  <c r="R748" s="1"/>
  <c r="W408"/>
  <c r="W409" s="1"/>
  <c r="W407"/>
  <c r="AE396"/>
  <c r="X387"/>
  <c r="V418"/>
  <c r="X418" s="1"/>
  <c r="W568"/>
  <c r="AC568" s="1"/>
  <c r="J567"/>
  <c r="J568" s="1"/>
  <c r="J569" s="1"/>
  <c r="J570" s="1"/>
  <c r="J571" s="1"/>
  <c r="J572" s="1"/>
  <c r="J573" s="1"/>
  <c r="J574" s="1"/>
  <c r="F25" i="58"/>
  <c r="P129" i="1"/>
  <c r="R129" s="1"/>
  <c r="R132" s="1"/>
  <c r="R144"/>
  <c r="F30" i="58"/>
  <c r="D718"/>
  <c r="V220" i="55"/>
  <c r="V212"/>
  <c r="D708" i="58"/>
  <c r="K3124" i="1"/>
  <c r="K3126" s="1"/>
  <c r="P3124"/>
  <c r="R3124" s="1"/>
  <c r="R3126" s="1"/>
  <c r="R3297"/>
  <c r="P3400"/>
  <c r="R3400" s="1"/>
  <c r="X137"/>
  <c r="I1139"/>
  <c r="I3494"/>
  <c r="K3494" s="1"/>
  <c r="C404" i="55"/>
  <c r="I2875" i="1"/>
  <c r="K2875" s="1"/>
  <c r="I2674"/>
  <c r="D710" i="58"/>
  <c r="T403" i="55"/>
  <c r="X403"/>
  <c r="V403"/>
  <c r="Z403"/>
  <c r="I3685" i="1"/>
  <c r="K3685" s="1"/>
  <c r="K3664"/>
  <c r="D411" i="58"/>
  <c r="P1998" i="1"/>
  <c r="R1998" s="1"/>
  <c r="K1998"/>
  <c r="K1227"/>
  <c r="P1222"/>
  <c r="K814"/>
  <c r="V808"/>
  <c r="K1977"/>
  <c r="P1977"/>
  <c r="R1977" s="1"/>
  <c r="K510"/>
  <c r="I2904"/>
  <c r="K2904" s="1"/>
  <c r="V3724"/>
  <c r="X3724" s="1"/>
  <c r="X3726" s="1"/>
  <c r="X3727" s="1"/>
  <c r="X3710"/>
  <c r="X3712" s="1"/>
  <c r="X3713" s="1"/>
  <c r="P2439"/>
  <c r="R2439" s="1"/>
  <c r="K2432"/>
  <c r="P2163"/>
  <c r="R2163" s="1"/>
  <c r="K2156"/>
  <c r="P1181"/>
  <c r="R1181" s="1"/>
  <c r="R1150"/>
  <c r="V685"/>
  <c r="X715"/>
  <c r="Z715" s="1"/>
  <c r="D48" i="32"/>
  <c r="V319" i="1"/>
  <c r="K319"/>
  <c r="K815"/>
  <c r="V809"/>
  <c r="I3174"/>
  <c r="K1511"/>
  <c r="I2905"/>
  <c r="K2905" s="1"/>
  <c r="K511"/>
  <c r="F8" i="58"/>
  <c r="AB1336" i="1"/>
  <c r="AC1336" s="1"/>
  <c r="X1338"/>
  <c r="I3426"/>
  <c r="K3426" s="1"/>
  <c r="P2646"/>
  <c r="R2646" s="1"/>
  <c r="K2639"/>
  <c r="V2607"/>
  <c r="I1618"/>
  <c r="K1606"/>
  <c r="P1607"/>
  <c r="R1607" s="1"/>
  <c r="T452" i="55"/>
  <c r="X117" i="1"/>
  <c r="X119" s="1"/>
  <c r="X121" s="1"/>
  <c r="R3728"/>
  <c r="P3720" s="1"/>
  <c r="R3720" s="1"/>
  <c r="R3722" s="1"/>
  <c r="R3723" s="1"/>
  <c r="K613"/>
  <c r="K1819"/>
  <c r="K1821" s="1"/>
  <c r="I1875" s="1"/>
  <c r="K1875" s="1"/>
  <c r="K1877" s="1"/>
  <c r="C98" i="55" s="1"/>
  <c r="F98" s="1"/>
  <c r="R560" i="1"/>
  <c r="R562" s="1"/>
  <c r="D877" i="58"/>
  <c r="R1151" i="1"/>
  <c r="P1182" s="1"/>
  <c r="R1182" s="1"/>
  <c r="V810"/>
  <c r="AC1208"/>
  <c r="AJ1207"/>
  <c r="M99"/>
  <c r="M100" s="1"/>
  <c r="K99"/>
  <c r="K102" s="1"/>
  <c r="K104" s="1"/>
  <c r="R1405"/>
  <c r="R1407" s="1"/>
  <c r="V1366"/>
  <c r="P1422"/>
  <c r="K2033"/>
  <c r="P2033"/>
  <c r="R2033" s="1"/>
  <c r="K2011"/>
  <c r="P2012"/>
  <c r="R2012" s="1"/>
  <c r="R2021" s="1"/>
  <c r="C253" i="55" s="1"/>
  <c r="F253" s="1"/>
  <c r="I3567" i="1"/>
  <c r="K1946"/>
  <c r="T453" i="55"/>
  <c r="V453"/>
  <c r="Z453"/>
  <c r="X453"/>
  <c r="I3493" i="1"/>
  <c r="K3493" s="1"/>
  <c r="C85" i="55"/>
  <c r="F85" s="1"/>
  <c r="F307" i="58"/>
  <c r="AD649" i="1"/>
  <c r="AF649" s="1"/>
  <c r="X649"/>
  <c r="K1947"/>
  <c r="I3568"/>
  <c r="K2402"/>
  <c r="K2406" s="1"/>
  <c r="I2414"/>
  <c r="K2414" s="1"/>
  <c r="K2418" s="1"/>
  <c r="K2372"/>
  <c r="P2378"/>
  <c r="R2378" s="1"/>
  <c r="P3468"/>
  <c r="R3468" s="1"/>
  <c r="I3829"/>
  <c r="K3829" s="1"/>
  <c r="I3467"/>
  <c r="K3462"/>
  <c r="P1338"/>
  <c r="P1307"/>
  <c r="R1307" s="1"/>
  <c r="K1309"/>
  <c r="K342"/>
  <c r="V342"/>
  <c r="P2438"/>
  <c r="R2438" s="1"/>
  <c r="K2431"/>
  <c r="AB482"/>
  <c r="AD482" s="1"/>
  <c r="X482"/>
  <c r="X3662"/>
  <c r="X3670" s="1"/>
  <c r="X3671" s="1"/>
  <c r="V3692"/>
  <c r="X3692" s="1"/>
  <c r="X3698" s="1"/>
  <c r="X3699" s="1"/>
  <c r="P238"/>
  <c r="R238" s="1"/>
  <c r="K232"/>
  <c r="X650"/>
  <c r="AD650"/>
  <c r="AF650" s="1"/>
  <c r="V1286"/>
  <c r="X1286" s="1"/>
  <c r="K1257"/>
  <c r="I3311"/>
  <c r="K3311" s="1"/>
  <c r="V871"/>
  <c r="X871" s="1"/>
  <c r="I3932"/>
  <c r="P864"/>
  <c r="R864" s="1"/>
  <c r="K871"/>
  <c r="V1291"/>
  <c r="X1291" s="1"/>
  <c r="K1262"/>
  <c r="K363"/>
  <c r="V363"/>
  <c r="K1850"/>
  <c r="P1866"/>
  <c r="I3461"/>
  <c r="I2996"/>
  <c r="K2996" s="1"/>
  <c r="K2999" s="1"/>
  <c r="V648"/>
  <c r="I1260"/>
  <c r="I509"/>
  <c r="I276"/>
  <c r="K276" s="1"/>
  <c r="I1361"/>
  <c r="K1361" s="1"/>
  <c r="I1340"/>
  <c r="K1340" s="1"/>
  <c r="P288"/>
  <c r="R288" s="1"/>
  <c r="I341"/>
  <c r="I1710"/>
  <c r="K1710" s="1"/>
  <c r="I200"/>
  <c r="I1383"/>
  <c r="K1383" s="1"/>
  <c r="P72"/>
  <c r="R72" s="1"/>
  <c r="I450"/>
  <c r="K450" s="1"/>
  <c r="I2430"/>
  <c r="I215"/>
  <c r="K215" s="1"/>
  <c r="I1230"/>
  <c r="K1230" s="1"/>
  <c r="P39"/>
  <c r="R39" s="1"/>
  <c r="I317"/>
  <c r="I2793"/>
  <c r="K2793" s="1"/>
  <c r="L2759" s="1"/>
  <c r="L2762" s="1"/>
  <c r="K2796" s="1"/>
  <c r="I1255"/>
  <c r="I385"/>
  <c r="P57"/>
  <c r="R57" s="1"/>
  <c r="P394"/>
  <c r="R394" s="1"/>
  <c r="R399" s="1"/>
  <c r="R401" s="1"/>
  <c r="C451" i="79" s="1"/>
  <c r="I1494" i="1"/>
  <c r="K1494" s="1"/>
  <c r="K1499" s="1"/>
  <c r="K1501" s="1"/>
  <c r="I492"/>
  <c r="K492" s="1"/>
  <c r="I1226"/>
  <c r="I2081"/>
  <c r="K2081" s="1"/>
  <c r="K2088" s="1"/>
  <c r="K2090" s="1"/>
  <c r="I1976"/>
  <c r="I813"/>
  <c r="I416"/>
  <c r="K416" s="1"/>
  <c r="I361"/>
  <c r="V713"/>
  <c r="P1148"/>
  <c r="I2337"/>
  <c r="K2337" s="1"/>
  <c r="P380"/>
  <c r="R380" s="1"/>
  <c r="R385" s="1"/>
  <c r="R387" s="1"/>
  <c r="C449" i="79" s="1"/>
  <c r="I230" i="1"/>
  <c r="I302"/>
  <c r="K302" s="1"/>
  <c r="I2057"/>
  <c r="K2057" s="1"/>
  <c r="K2064" s="1"/>
  <c r="K2066" s="1"/>
  <c r="I1997"/>
  <c r="C97" i="55"/>
  <c r="F97" s="1"/>
  <c r="V3254" i="1"/>
  <c r="X3254" s="1"/>
  <c r="K3286"/>
  <c r="K1578"/>
  <c r="I1591"/>
  <c r="K1591" s="1"/>
  <c r="AR404"/>
  <c r="AR405" s="1"/>
  <c r="AR406" s="1"/>
  <c r="AR407" s="1"/>
  <c r="AR408" s="1"/>
  <c r="AR409" s="1"/>
  <c r="AF416"/>
  <c r="AF417" s="1"/>
  <c r="AF418" s="1"/>
  <c r="AF419" s="1"/>
  <c r="AF420" s="1"/>
  <c r="AF421" s="1"/>
  <c r="AF422" s="1"/>
  <c r="AF423" s="1"/>
  <c r="AF424" s="1"/>
  <c r="AF425" s="1"/>
  <c r="R3331"/>
  <c r="P3366"/>
  <c r="R3366" s="1"/>
  <c r="I1593"/>
  <c r="K1593" s="1"/>
  <c r="I1580"/>
  <c r="K1580" s="1"/>
  <c r="I1567"/>
  <c r="K1567" s="1"/>
  <c r="K1570" s="1"/>
  <c r="I789"/>
  <c r="K789" s="1"/>
  <c r="I767"/>
  <c r="K767" s="1"/>
  <c r="R147"/>
  <c r="AS3112"/>
  <c r="K3711"/>
  <c r="K3712" s="1"/>
  <c r="X89"/>
  <c r="X91" s="1"/>
  <c r="K2718"/>
  <c r="K2719" s="1"/>
  <c r="C174" i="55" s="1"/>
  <c r="F174" s="1"/>
  <c r="K2692" i="1"/>
  <c r="K2693" s="1"/>
  <c r="K1918"/>
  <c r="K1920" s="1"/>
  <c r="I1927" s="1"/>
  <c r="K1927" s="1"/>
  <c r="K1930" s="1"/>
  <c r="C99" i="55" s="1"/>
  <c r="F99" s="1"/>
  <c r="W597" i="1"/>
  <c r="R23"/>
  <c r="W594"/>
  <c r="W595"/>
  <c r="W596"/>
  <c r="K1331"/>
  <c r="K1333" s="1"/>
  <c r="AE427"/>
  <c r="AG427" s="1"/>
  <c r="AG391"/>
  <c r="AU166"/>
  <c r="AV166" s="1"/>
  <c r="V358"/>
  <c r="X358" s="1"/>
  <c r="V382"/>
  <c r="V314"/>
  <c r="X314" s="1"/>
  <c r="P69"/>
  <c r="R69" s="1"/>
  <c r="I1755"/>
  <c r="K1755" s="1"/>
  <c r="I157"/>
  <c r="K157" s="1"/>
  <c r="I187"/>
  <c r="K187" s="1"/>
  <c r="K192" s="1"/>
  <c r="AC16"/>
  <c r="V645"/>
  <c r="C73"/>
  <c r="I2261" i="11"/>
  <c r="K1084"/>
  <c r="K1095" s="1"/>
  <c r="K1097" s="1"/>
  <c r="F733" i="58"/>
  <c r="R3192" i="1"/>
  <c r="P3225"/>
  <c r="P3261"/>
  <c r="R3261" s="1"/>
  <c r="P3295"/>
  <c r="K2892" i="27"/>
  <c r="K3850" s="1"/>
  <c r="AE2653" i="1"/>
  <c r="AG2653" s="1"/>
  <c r="AE2619"/>
  <c r="AG2619" s="1"/>
  <c r="X2605"/>
  <c r="Z2603"/>
  <c r="F122" i="25"/>
  <c r="D149"/>
  <c r="R3191" i="1"/>
  <c r="P3224"/>
  <c r="P3294"/>
  <c r="P3260"/>
  <c r="R3260" s="1"/>
  <c r="K2910" i="27"/>
  <c r="I2936"/>
  <c r="I3033"/>
  <c r="K3033" s="1"/>
  <c r="K507" i="1"/>
  <c r="I2901"/>
  <c r="K2901" s="1"/>
  <c r="D292" i="58"/>
  <c r="V59" i="55"/>
  <c r="P3157" i="1"/>
  <c r="K3150"/>
  <c r="F734" i="58"/>
  <c r="I3885" i="27"/>
  <c r="I3072"/>
  <c r="K3049"/>
  <c r="F356" i="58"/>
  <c r="I990" i="1"/>
  <c r="K990" s="1"/>
  <c r="I955"/>
  <c r="K955" s="1"/>
  <c r="I1020"/>
  <c r="F436" i="58"/>
  <c r="R1224" i="1"/>
  <c r="T1224" s="1"/>
  <c r="P1266"/>
  <c r="D835" i="58"/>
  <c r="D51"/>
  <c r="I3906" i="27"/>
  <c r="K3906" s="1"/>
  <c r="K2953"/>
  <c r="K3915"/>
  <c r="K3812"/>
  <c r="K3814" s="1"/>
  <c r="D599" i="58"/>
  <c r="P3156" i="1"/>
  <c r="R3156" s="1"/>
  <c r="K3149"/>
  <c r="P2672"/>
  <c r="I3103"/>
  <c r="K2665"/>
  <c r="F453" i="58"/>
  <c r="F677"/>
  <c r="I3625" i="27"/>
  <c r="K3506"/>
  <c r="K3507" s="1"/>
  <c r="I3590"/>
  <c r="P3506"/>
  <c r="R3506" s="1"/>
  <c r="R3507" s="1"/>
  <c r="R3498" s="1"/>
  <c r="I3572"/>
  <c r="K3572" s="1"/>
  <c r="K3573" s="1"/>
  <c r="K3564" s="1"/>
  <c r="K3566" s="1"/>
  <c r="K3567" s="1"/>
  <c r="K2975"/>
  <c r="K2857"/>
  <c r="K3008" s="1"/>
  <c r="H3123"/>
  <c r="K2942"/>
  <c r="K3060" s="1"/>
  <c r="K3076" s="1"/>
  <c r="K3102" s="1"/>
  <c r="R3075" s="1"/>
  <c r="K2918"/>
  <c r="I3122"/>
  <c r="K3116" s="1"/>
  <c r="R3116" s="1"/>
  <c r="R3130" s="1"/>
  <c r="K2908"/>
  <c r="I2934"/>
  <c r="I3031"/>
  <c r="K3031" s="1"/>
  <c r="F670" i="58"/>
  <c r="F624"/>
  <c r="F831"/>
  <c r="F31"/>
  <c r="V222" i="55"/>
  <c r="D720" i="58"/>
  <c r="K2909" i="27"/>
  <c r="I3032"/>
  <c r="K3032" s="1"/>
  <c r="I2937"/>
  <c r="F413" i="58"/>
  <c r="K3285" i="1"/>
  <c r="V3253"/>
  <c r="X3253" s="1"/>
  <c r="D833" i="58"/>
  <c r="F84" i="25"/>
  <c r="D85"/>
  <c r="F632" i="58"/>
  <c r="F271"/>
  <c r="F1032"/>
  <c r="F658" i="25"/>
  <c r="D694"/>
  <c r="F694" s="1"/>
  <c r="D300" i="58"/>
  <c r="P3072" i="27"/>
  <c r="R3072" s="1"/>
  <c r="K3099"/>
  <c r="P2643" i="1"/>
  <c r="R2643" s="1"/>
  <c r="R2655" s="1"/>
  <c r="R2657" s="1"/>
  <c r="C382" i="79" s="1"/>
  <c r="V2604" i="1"/>
  <c r="K2636"/>
  <c r="K2648" s="1"/>
  <c r="K2650" s="1"/>
  <c r="I3423"/>
  <c r="K3423" s="1"/>
  <c r="K3435" s="1"/>
  <c r="K3437" s="1"/>
  <c r="C389" i="79" s="1"/>
  <c r="K3200" i="27"/>
  <c r="K3201" s="1"/>
  <c r="P2892"/>
  <c r="R2892" s="1"/>
  <c r="P2859"/>
  <c r="R2859" s="1"/>
  <c r="P402" i="11"/>
  <c r="R402" s="1"/>
  <c r="P401"/>
  <c r="R401" s="1"/>
  <c r="R404" s="1"/>
  <c r="R406" s="1"/>
  <c r="P413" s="1"/>
  <c r="R413" s="1"/>
  <c r="R415" s="1"/>
  <c r="R417" s="1"/>
  <c r="P2883" i="27"/>
  <c r="R2883" s="1"/>
  <c r="R2850"/>
  <c r="I3749" i="1"/>
  <c r="K3749" s="1"/>
  <c r="K3755" s="1"/>
  <c r="K3756" s="1"/>
  <c r="K9"/>
  <c r="F705" i="58"/>
  <c r="I2556" i="11"/>
  <c r="K912"/>
  <c r="K922" s="1"/>
  <c r="K924" s="1"/>
  <c r="I3626" i="1"/>
  <c r="K3626" s="1"/>
  <c r="K3634" s="1"/>
  <c r="K3636" s="1"/>
  <c r="K3603"/>
  <c r="K3613" s="1"/>
  <c r="K3615" s="1"/>
  <c r="P2885" i="27"/>
  <c r="R2885" s="1"/>
  <c r="R2852"/>
  <c r="K3172"/>
  <c r="K3173" s="1"/>
  <c r="L3173" s="1"/>
  <c r="K3153"/>
  <c r="K3154" s="1"/>
  <c r="K3183"/>
  <c r="K3184" s="1"/>
  <c r="L3184" s="1"/>
  <c r="K2818" i="1"/>
  <c r="P2825"/>
  <c r="I3482"/>
  <c r="K3482" s="1"/>
  <c r="P2078"/>
  <c r="R2078" s="1"/>
  <c r="K3104"/>
  <c r="F829" i="58"/>
  <c r="P644" i="1"/>
  <c r="R644" s="1"/>
  <c r="R648" s="1"/>
  <c r="P37"/>
  <c r="R37" s="1"/>
  <c r="P1176"/>
  <c r="R1176" s="1"/>
  <c r="R1145"/>
  <c r="I3446" i="27"/>
  <c r="K3424"/>
  <c r="I924" i="1"/>
  <c r="K924" s="1"/>
  <c r="K926" s="1"/>
  <c r="I1056"/>
  <c r="P213"/>
  <c r="R213" s="1"/>
  <c r="R224" s="1"/>
  <c r="R227" s="1"/>
  <c r="I988"/>
  <c r="K988" s="1"/>
  <c r="K1001" s="1"/>
  <c r="K1003" s="1"/>
  <c r="I3390"/>
  <c r="I3480" s="1"/>
  <c r="K3480" s="1"/>
  <c r="I1130"/>
  <c r="K1130" s="1"/>
  <c r="I1018"/>
  <c r="K1018" s="1"/>
  <c r="I953"/>
  <c r="K953" s="1"/>
  <c r="K2816"/>
  <c r="AE2789"/>
  <c r="AG2789" s="1"/>
  <c r="P2823"/>
  <c r="I2866"/>
  <c r="K2866" s="1"/>
  <c r="K2878" s="1"/>
  <c r="K2880" s="1"/>
  <c r="C403" i="79" s="1"/>
  <c r="F1073" i="58"/>
  <c r="I1384" i="11"/>
  <c r="K1384" s="1"/>
  <c r="K1389" s="1"/>
  <c r="K1391" s="1"/>
  <c r="I1396"/>
  <c r="K1396" s="1"/>
  <c r="K1401" s="1"/>
  <c r="K1403" s="1"/>
  <c r="I296"/>
  <c r="K296" s="1"/>
  <c r="I1409"/>
  <c r="K1409" s="1"/>
  <c r="K1414" s="1"/>
  <c r="K1416" s="1"/>
  <c r="I1324"/>
  <c r="K1324" s="1"/>
  <c r="K1330" s="1"/>
  <c r="K1332" s="1"/>
  <c r="P606" s="1"/>
  <c r="R606" s="1"/>
  <c r="P335"/>
  <c r="R335" s="1"/>
  <c r="R341" s="1"/>
  <c r="R343" s="1"/>
  <c r="I311"/>
  <c r="K311" s="1"/>
  <c r="P603" s="1"/>
  <c r="R603" s="1"/>
  <c r="P80"/>
  <c r="R80" s="1"/>
  <c r="I195"/>
  <c r="K195" s="1"/>
  <c r="N14"/>
  <c r="K14"/>
  <c r="I210"/>
  <c r="K210" s="1"/>
  <c r="P306"/>
  <c r="R306" s="1"/>
  <c r="R312" s="1"/>
  <c r="R314" s="1"/>
  <c r="I1221"/>
  <c r="K1221" s="1"/>
  <c r="K1226" s="1"/>
  <c r="K1228" s="1"/>
  <c r="P66"/>
  <c r="R66" s="1"/>
  <c r="P318"/>
  <c r="R318" s="1"/>
  <c r="R324" s="1"/>
  <c r="R326" s="1"/>
  <c r="P602"/>
  <c r="R602" s="1"/>
  <c r="K322"/>
  <c r="K323" s="1"/>
  <c r="K324" s="1"/>
  <c r="K325" s="1"/>
  <c r="K326" s="1"/>
  <c r="P574"/>
  <c r="R574" s="1"/>
  <c r="R581" s="1"/>
  <c r="I1913"/>
  <c r="K1913" s="1"/>
  <c r="P601"/>
  <c r="R601" s="1"/>
  <c r="R612" s="1"/>
  <c r="I2028"/>
  <c r="K2028" s="1"/>
  <c r="K2034" s="1"/>
  <c r="P588"/>
  <c r="R588" s="1"/>
  <c r="R595" s="1"/>
  <c r="I1893"/>
  <c r="K1893" s="1"/>
  <c r="K1899" s="1"/>
  <c r="P295"/>
  <c r="R295" s="1"/>
  <c r="R301" s="1"/>
  <c r="R303" s="1"/>
  <c r="I1268"/>
  <c r="K1268" s="1"/>
  <c r="K1274" s="1"/>
  <c r="K1276" s="1"/>
  <c r="I1286"/>
  <c r="K1286" s="1"/>
  <c r="K1295" s="1"/>
  <c r="K1297" s="1"/>
  <c r="I1170"/>
  <c r="K1170" s="1"/>
  <c r="K1188" s="1"/>
  <c r="K1191" s="1"/>
  <c r="P283" s="1"/>
  <c r="R283" s="1"/>
  <c r="R288" s="1"/>
  <c r="R290" s="1"/>
  <c r="I1308"/>
  <c r="K1308" s="1"/>
  <c r="K1317" s="1"/>
  <c r="K1319" s="1"/>
  <c r="I1199"/>
  <c r="K1199" s="1"/>
  <c r="K1212" s="1"/>
  <c r="K1214" s="1"/>
  <c r="I1637"/>
  <c r="K1637" s="1"/>
  <c r="I1349"/>
  <c r="K1349" s="1"/>
  <c r="K1355" s="1"/>
  <c r="K1357" s="1"/>
  <c r="I591"/>
  <c r="K591" s="1"/>
  <c r="K596" s="1"/>
  <c r="K598" s="1"/>
  <c r="K599" s="1"/>
  <c r="K600" s="1"/>
  <c r="K601" s="1"/>
  <c r="K602" s="1"/>
  <c r="K603" s="1"/>
  <c r="P347"/>
  <c r="R347" s="1"/>
  <c r="R353" s="1"/>
  <c r="R355" s="1"/>
  <c r="I1364"/>
  <c r="K1364" s="1"/>
  <c r="K1371" s="1"/>
  <c r="K1373" s="1"/>
  <c r="I1911" s="1"/>
  <c r="K1911" s="1"/>
  <c r="P575"/>
  <c r="R575" s="1"/>
  <c r="R136"/>
  <c r="R137" s="1"/>
  <c r="R138" s="1"/>
  <c r="R139" s="1"/>
  <c r="R140" s="1"/>
  <c r="P632"/>
  <c r="R632" s="1"/>
  <c r="P589"/>
  <c r="R589" s="1"/>
  <c r="P266"/>
  <c r="R266" s="1"/>
  <c r="R270" s="1"/>
  <c r="R272" s="1"/>
  <c r="R274" s="1"/>
  <c r="R275" s="1"/>
  <c r="R276" s="1"/>
  <c r="R277" s="1"/>
  <c r="I425"/>
  <c r="K425" s="1"/>
  <c r="K429" s="1"/>
  <c r="K431" s="1"/>
  <c r="K433" s="1"/>
  <c r="K434" s="1"/>
  <c r="K435" s="1"/>
  <c r="K436" s="1"/>
  <c r="K437" s="1"/>
  <c r="I151"/>
  <c r="K151" s="1"/>
  <c r="K160" s="1"/>
  <c r="I139"/>
  <c r="K139" s="1"/>
  <c r="K143" s="1"/>
  <c r="P605"/>
  <c r="R605" s="1"/>
  <c r="Z35"/>
  <c r="AC35" s="1"/>
  <c r="I253" s="1"/>
  <c r="K253" s="1"/>
  <c r="K258" s="1"/>
  <c r="K260" s="1"/>
  <c r="AC11"/>
  <c r="C70" s="1"/>
  <c r="Z12"/>
  <c r="I444"/>
  <c r="K444" s="1"/>
  <c r="I379"/>
  <c r="K379" s="1"/>
  <c r="I1155"/>
  <c r="K1155" s="1"/>
  <c r="K1161" s="1"/>
  <c r="K1163" s="1"/>
  <c r="I479"/>
  <c r="K479" s="1"/>
  <c r="K487" s="1"/>
  <c r="K489" s="1"/>
  <c r="I1337"/>
  <c r="K1337" s="1"/>
  <c r="K1343" s="1"/>
  <c r="K1345" s="1"/>
  <c r="I355"/>
  <c r="K355" s="1"/>
  <c r="I410"/>
  <c r="K410" s="1"/>
  <c r="P361"/>
  <c r="R361" s="1"/>
  <c r="R369" s="1"/>
  <c r="R371" s="1"/>
  <c r="P179"/>
  <c r="R179" s="1"/>
  <c r="I335"/>
  <c r="K335" s="1"/>
  <c r="I225"/>
  <c r="K225" s="1"/>
  <c r="P51"/>
  <c r="R51" s="1"/>
  <c r="K367"/>
  <c r="K368" s="1"/>
  <c r="K369" s="1"/>
  <c r="K370" s="1"/>
  <c r="C58" i="55" l="1"/>
  <c r="F58" s="1"/>
  <c r="C59" i="79"/>
  <c r="X389"/>
  <c r="Z389"/>
  <c r="V389"/>
  <c r="T389"/>
  <c r="X449"/>
  <c r="Z449"/>
  <c r="C450"/>
  <c r="V449"/>
  <c r="T449"/>
  <c r="V451"/>
  <c r="Z451"/>
  <c r="X451"/>
  <c r="T451"/>
  <c r="C113" i="55"/>
  <c r="F113" s="1"/>
  <c r="C114" i="79"/>
  <c r="C118" i="55"/>
  <c r="F118" s="1"/>
  <c r="C119" i="79"/>
  <c r="C202" i="55"/>
  <c r="F202" s="1"/>
  <c r="C203" i="79"/>
  <c r="C16" i="55"/>
  <c r="C17" i="79"/>
  <c r="R111"/>
  <c r="X111"/>
  <c r="V111"/>
  <c r="H111"/>
  <c r="P111"/>
  <c r="F111"/>
  <c r="N111"/>
  <c r="L111"/>
  <c r="T111"/>
  <c r="J111"/>
  <c r="Z111"/>
  <c r="P197"/>
  <c r="X197"/>
  <c r="F197"/>
  <c r="V197"/>
  <c r="N197"/>
  <c r="L197"/>
  <c r="J197"/>
  <c r="H197"/>
  <c r="T197"/>
  <c r="R197"/>
  <c r="Z197"/>
  <c r="X113"/>
  <c r="H113"/>
  <c r="P113"/>
  <c r="F113"/>
  <c r="V113"/>
  <c r="N113"/>
  <c r="T113"/>
  <c r="J113"/>
  <c r="L113"/>
  <c r="R113"/>
  <c r="Z113"/>
  <c r="R19"/>
  <c r="F19"/>
  <c r="T19"/>
  <c r="N19"/>
  <c r="J19"/>
  <c r="H19"/>
  <c r="L19"/>
  <c r="P19"/>
  <c r="V19"/>
  <c r="X19"/>
  <c r="Z19"/>
  <c r="X110" i="55"/>
  <c r="X403" i="79"/>
  <c r="Z403"/>
  <c r="V403"/>
  <c r="T403"/>
  <c r="C167" i="55"/>
  <c r="F167" s="1"/>
  <c r="C168" i="79"/>
  <c r="V382"/>
  <c r="X382"/>
  <c r="T382"/>
  <c r="Z382"/>
  <c r="C71" i="55"/>
  <c r="F71" s="1"/>
  <c r="C72" i="79"/>
  <c r="C143" i="55"/>
  <c r="F143" s="1"/>
  <c r="C144" i="79"/>
  <c r="C82" i="55"/>
  <c r="F82" s="1"/>
  <c r="C83" i="79"/>
  <c r="C115" i="55"/>
  <c r="F115" s="1"/>
  <c r="C116" i="79"/>
  <c r="C436" i="55"/>
  <c r="C437" i="79"/>
  <c r="C106" i="55"/>
  <c r="F106" s="1"/>
  <c r="C107" i="79"/>
  <c r="C114" i="55"/>
  <c r="F114" s="1"/>
  <c r="C115" i="79"/>
  <c r="C431" i="55"/>
  <c r="C432" i="79"/>
  <c r="C444" i="55"/>
  <c r="C445" i="79"/>
  <c r="F196" i="55"/>
  <c r="D687" i="58"/>
  <c r="F687" s="1"/>
  <c r="V196" i="55"/>
  <c r="F112"/>
  <c r="D444" i="58"/>
  <c r="F444" s="1"/>
  <c r="V112" i="55"/>
  <c r="R60" i="79"/>
  <c r="H60"/>
  <c r="F60"/>
  <c r="T60"/>
  <c r="L60"/>
  <c r="N60"/>
  <c r="V60"/>
  <c r="P60"/>
  <c r="X60"/>
  <c r="J60"/>
  <c r="Z60"/>
  <c r="F18" i="55"/>
  <c r="R18"/>
  <c r="P18"/>
  <c r="L18"/>
  <c r="H18"/>
  <c r="T18"/>
  <c r="J18"/>
  <c r="N18"/>
  <c r="Z18"/>
  <c r="X18"/>
  <c r="X71"/>
  <c r="Z71"/>
  <c r="X174"/>
  <c r="Z174"/>
  <c r="X143"/>
  <c r="Z143"/>
  <c r="X200"/>
  <c r="Z200"/>
  <c r="X97"/>
  <c r="Z97"/>
  <c r="X82"/>
  <c r="Z82"/>
  <c r="X85"/>
  <c r="Z85"/>
  <c r="X253"/>
  <c r="Z253"/>
  <c r="X98"/>
  <c r="Z98"/>
  <c r="X216"/>
  <c r="Z216"/>
  <c r="X202"/>
  <c r="Z202"/>
  <c r="X167"/>
  <c r="Z167"/>
  <c r="X99"/>
  <c r="Z99"/>
  <c r="X113"/>
  <c r="Z113"/>
  <c r="X177"/>
  <c r="Z177"/>
  <c r="X92"/>
  <c r="Z92"/>
  <c r="X106"/>
  <c r="Z106"/>
  <c r="X114"/>
  <c r="Z114"/>
  <c r="Z141"/>
  <c r="X141"/>
  <c r="X58"/>
  <c r="Z58"/>
  <c r="Z115"/>
  <c r="X115"/>
  <c r="Z215"/>
  <c r="X215"/>
  <c r="Z218"/>
  <c r="X218"/>
  <c r="Z118"/>
  <c r="X118"/>
  <c r="Z16"/>
  <c r="X16"/>
  <c r="T58"/>
  <c r="P58"/>
  <c r="R58"/>
  <c r="L58"/>
  <c r="N58"/>
  <c r="J58"/>
  <c r="H58"/>
  <c r="R71"/>
  <c r="T71"/>
  <c r="P71"/>
  <c r="N71"/>
  <c r="J71"/>
  <c r="L71"/>
  <c r="H71"/>
  <c r="R174"/>
  <c r="T174"/>
  <c r="P174"/>
  <c r="L174"/>
  <c r="H174"/>
  <c r="N174"/>
  <c r="J174"/>
  <c r="R143"/>
  <c r="T143"/>
  <c r="P143"/>
  <c r="N143"/>
  <c r="J143"/>
  <c r="H143"/>
  <c r="L143"/>
  <c r="R115"/>
  <c r="T115"/>
  <c r="P115"/>
  <c r="L115"/>
  <c r="N115"/>
  <c r="J115"/>
  <c r="H115"/>
  <c r="T200"/>
  <c r="P200"/>
  <c r="R200"/>
  <c r="N200"/>
  <c r="J200"/>
  <c r="L200"/>
  <c r="H200"/>
  <c r="R202"/>
  <c r="T202"/>
  <c r="P202"/>
  <c r="L202"/>
  <c r="H202"/>
  <c r="N202"/>
  <c r="J202"/>
  <c r="T141"/>
  <c r="P141"/>
  <c r="R141"/>
  <c r="L141"/>
  <c r="H141"/>
  <c r="N141"/>
  <c r="J141"/>
  <c r="T97"/>
  <c r="P97"/>
  <c r="R97"/>
  <c r="L97"/>
  <c r="N97"/>
  <c r="J97"/>
  <c r="H97"/>
  <c r="R82"/>
  <c r="T82"/>
  <c r="P82"/>
  <c r="L82"/>
  <c r="N82"/>
  <c r="J82"/>
  <c r="H82"/>
  <c r="T85"/>
  <c r="P85"/>
  <c r="R85"/>
  <c r="L85"/>
  <c r="J85"/>
  <c r="H85"/>
  <c r="N85"/>
  <c r="R253"/>
  <c r="N253"/>
  <c r="T253"/>
  <c r="P253"/>
  <c r="L253"/>
  <c r="H253"/>
  <c r="J253"/>
  <c r="T113"/>
  <c r="P113"/>
  <c r="R113"/>
  <c r="N113"/>
  <c r="J113"/>
  <c r="L113"/>
  <c r="H113"/>
  <c r="T177"/>
  <c r="P177"/>
  <c r="R177"/>
  <c r="L177"/>
  <c r="H177"/>
  <c r="N177"/>
  <c r="J177"/>
  <c r="T216"/>
  <c r="P216"/>
  <c r="R216"/>
  <c r="N216"/>
  <c r="J216"/>
  <c r="L216"/>
  <c r="H216"/>
  <c r="R106"/>
  <c r="T106"/>
  <c r="P106"/>
  <c r="L106"/>
  <c r="N106"/>
  <c r="J106"/>
  <c r="H106"/>
  <c r="T114"/>
  <c r="P114"/>
  <c r="R114"/>
  <c r="L114"/>
  <c r="H114"/>
  <c r="N114"/>
  <c r="J114"/>
  <c r="R99"/>
  <c r="T99"/>
  <c r="P99"/>
  <c r="N99"/>
  <c r="J99"/>
  <c r="L99"/>
  <c r="H99"/>
  <c r="R167"/>
  <c r="T167"/>
  <c r="P167"/>
  <c r="N167"/>
  <c r="J167"/>
  <c r="L167"/>
  <c r="H167"/>
  <c r="R98"/>
  <c r="T98"/>
  <c r="P98"/>
  <c r="L98"/>
  <c r="N98"/>
  <c r="J98"/>
  <c r="H98"/>
  <c r="T92"/>
  <c r="P92"/>
  <c r="R92"/>
  <c r="N92"/>
  <c r="J92"/>
  <c r="L92"/>
  <c r="H92"/>
  <c r="R215"/>
  <c r="T215"/>
  <c r="P215"/>
  <c r="N215"/>
  <c r="J215"/>
  <c r="L215"/>
  <c r="H215"/>
  <c r="R218"/>
  <c r="T218"/>
  <c r="P218"/>
  <c r="L218"/>
  <c r="H218"/>
  <c r="N218"/>
  <c r="J218"/>
  <c r="T118"/>
  <c r="P118"/>
  <c r="R118"/>
  <c r="L118"/>
  <c r="H118"/>
  <c r="N118"/>
  <c r="J118"/>
  <c r="R16"/>
  <c r="T16"/>
  <c r="P16"/>
  <c r="N16"/>
  <c r="J16"/>
  <c r="L16"/>
  <c r="H16"/>
  <c r="V141"/>
  <c r="K2955" i="27"/>
  <c r="I2958"/>
  <c r="K2958" s="1"/>
  <c r="I3908"/>
  <c r="I2985"/>
  <c r="K2985" s="1"/>
  <c r="K2988" s="1"/>
  <c r="I3684"/>
  <c r="K3684" s="1"/>
  <c r="K3623"/>
  <c r="I3730"/>
  <c r="K3265"/>
  <c r="I3278"/>
  <c r="I3004" i="11"/>
  <c r="K3004" s="1"/>
  <c r="K3010" s="1"/>
  <c r="P2857"/>
  <c r="I2916"/>
  <c r="K2853"/>
  <c r="K2859" s="1"/>
  <c r="I2853" i="27"/>
  <c r="D608" i="58"/>
  <c r="F608" s="1"/>
  <c r="Z14" i="1"/>
  <c r="F659" i="25"/>
  <c r="D695"/>
  <c r="F695" s="1"/>
  <c r="D338" i="58"/>
  <c r="D552"/>
  <c r="F552" s="1"/>
  <c r="K3347" i="27"/>
  <c r="K3348" s="1"/>
  <c r="K3378"/>
  <c r="K3379" s="1"/>
  <c r="I3038"/>
  <c r="K3038" s="1"/>
  <c r="K2915"/>
  <c r="R3772"/>
  <c r="K3772"/>
  <c r="V681" i="1"/>
  <c r="D44" i="32"/>
  <c r="X711" i="1"/>
  <c r="Z711" s="1"/>
  <c r="K3266" i="27"/>
  <c r="K3268" s="1"/>
  <c r="K3269" s="1"/>
  <c r="K3261" s="1"/>
  <c r="K3262" s="1"/>
  <c r="I3279"/>
  <c r="K3160" i="1"/>
  <c r="K3162" s="1"/>
  <c r="I3425" i="27"/>
  <c r="K3425" s="1"/>
  <c r="K3406"/>
  <c r="K3408" s="1"/>
  <c r="K3409" s="1"/>
  <c r="K3398" s="1"/>
  <c r="I3709"/>
  <c r="K3709" s="1"/>
  <c r="K3712" s="1"/>
  <c r="K3700"/>
  <c r="K3702" s="1"/>
  <c r="K2939"/>
  <c r="I3057"/>
  <c r="V71" i="55"/>
  <c r="K4028" i="1"/>
  <c r="I4039"/>
  <c r="K4039" s="1"/>
  <c r="L3774" i="11"/>
  <c r="C439" i="55"/>
  <c r="AE444" i="1"/>
  <c r="AG444" s="1"/>
  <c r="AG429"/>
  <c r="Z428" i="55"/>
  <c r="C221"/>
  <c r="F221" s="1"/>
  <c r="T428"/>
  <c r="X428"/>
  <c r="V428"/>
  <c r="AB1394" i="1"/>
  <c r="AD1394" s="1"/>
  <c r="AD1377"/>
  <c r="V398" i="55"/>
  <c r="Z398"/>
  <c r="T398"/>
  <c r="D1062" i="58"/>
  <c r="F1062" s="1"/>
  <c r="X398" i="55"/>
  <c r="I3059" i="27"/>
  <c r="K3059" s="1"/>
  <c r="K2941"/>
  <c r="P1464" i="1"/>
  <c r="R1447"/>
  <c r="I3946" i="11"/>
  <c r="K3946" s="1"/>
  <c r="I3089"/>
  <c r="K3089" s="1"/>
  <c r="K3075"/>
  <c r="D448" i="58"/>
  <c r="F448" s="1"/>
  <c r="AG3543" i="1"/>
  <c r="AE3559"/>
  <c r="V218" i="55"/>
  <c r="D716" i="58"/>
  <c r="F716" s="1"/>
  <c r="K2269" i="11"/>
  <c r="I2671"/>
  <c r="K2671" s="1"/>
  <c r="F621" i="25"/>
  <c r="D657"/>
  <c r="J3855" i="1"/>
  <c r="J3860" s="1"/>
  <c r="J3862" s="1"/>
  <c r="H3876"/>
  <c r="R3451"/>
  <c r="I3531"/>
  <c r="R1485"/>
  <c r="V1446"/>
  <c r="I2691" i="27"/>
  <c r="K2691" s="1"/>
  <c r="K2613"/>
  <c r="D895" i="58"/>
  <c r="F895" s="1"/>
  <c r="D583" i="25"/>
  <c r="F546"/>
  <c r="F591"/>
  <c r="D626"/>
  <c r="C217" i="55"/>
  <c r="F217" s="1"/>
  <c r="L3468" i="11"/>
  <c r="C395" i="55"/>
  <c r="V3544" i="1"/>
  <c r="AE3544"/>
  <c r="K3544"/>
  <c r="R1060"/>
  <c r="R1062" s="1"/>
  <c r="V1471"/>
  <c r="X1471" s="1"/>
  <c r="X1447"/>
  <c r="C195" i="55"/>
  <c r="F195" s="1"/>
  <c r="L3781" i="11"/>
  <c r="K2284" i="1"/>
  <c r="C111" i="55"/>
  <c r="F111" s="1"/>
  <c r="K2204" i="11"/>
  <c r="Z435" i="55"/>
  <c r="X435"/>
  <c r="T435"/>
  <c r="V435"/>
  <c r="X3165" i="1"/>
  <c r="D552" i="25"/>
  <c r="AB1451" i="1"/>
  <c r="AD1451" s="1"/>
  <c r="X1453"/>
  <c r="D842" i="58"/>
  <c r="F842" s="1"/>
  <c r="R3115" i="27"/>
  <c r="P3129"/>
  <c r="R3129" s="1"/>
  <c r="K3647" i="1"/>
  <c r="K3650" s="1"/>
  <c r="K3651" s="1"/>
  <c r="P3471"/>
  <c r="R3471" s="1"/>
  <c r="V436" i="55"/>
  <c r="T436"/>
  <c r="Z436"/>
  <c r="X436"/>
  <c r="X434"/>
  <c r="V434"/>
  <c r="T434"/>
  <c r="Z434"/>
  <c r="D713" i="58"/>
  <c r="F713" s="1"/>
  <c r="V215" i="55"/>
  <c r="V421"/>
  <c r="Z421"/>
  <c r="X421"/>
  <c r="T421"/>
  <c r="C214"/>
  <c r="F214" s="1"/>
  <c r="D1057" i="58"/>
  <c r="F1057" s="1"/>
  <c r="Z393" i="55"/>
  <c r="T393"/>
  <c r="V393"/>
  <c r="X393"/>
  <c r="I3395" i="1"/>
  <c r="K3326"/>
  <c r="AD1380"/>
  <c r="AB1397"/>
  <c r="AD1397" s="1"/>
  <c r="V202" i="55"/>
  <c r="D694" i="58"/>
  <c r="F694" s="1"/>
  <c r="AG3565" i="1"/>
  <c r="V3628"/>
  <c r="X1242"/>
  <c r="AB1247"/>
  <c r="I495" i="27"/>
  <c r="K495" s="1"/>
  <c r="K503" s="1"/>
  <c r="K505" s="1"/>
  <c r="I1235"/>
  <c r="K1235" s="1"/>
  <c r="K1242" s="1"/>
  <c r="K1244" s="1"/>
  <c r="I1575"/>
  <c r="K1575" s="1"/>
  <c r="K1582" s="1"/>
  <c r="K1584" s="1"/>
  <c r="X425" i="55"/>
  <c r="T425"/>
  <c r="V425"/>
  <c r="Z425"/>
  <c r="I3628" i="27"/>
  <c r="K3483"/>
  <c r="I3477" s="1"/>
  <c r="K3477" s="1"/>
  <c r="V431" i="55"/>
  <c r="T431"/>
  <c r="X431"/>
  <c r="Z431"/>
  <c r="R3532" i="1"/>
  <c r="P3548"/>
  <c r="R3548" s="1"/>
  <c r="V1427"/>
  <c r="X1427" s="1"/>
  <c r="P1497"/>
  <c r="R1466"/>
  <c r="I584" i="11"/>
  <c r="K584"/>
  <c r="K3497" i="1"/>
  <c r="K3698"/>
  <c r="K3700" s="1"/>
  <c r="C244" i="55" s="1"/>
  <c r="K2213" i="11"/>
  <c r="K2293" i="1"/>
  <c r="D302" i="58"/>
  <c r="F302" s="1"/>
  <c r="D450"/>
  <c r="F450" s="1"/>
  <c r="C396" i="55"/>
  <c r="I4074" i="1"/>
  <c r="K4074" s="1"/>
  <c r="V3141"/>
  <c r="X3124"/>
  <c r="Z420" i="55"/>
  <c r="X420"/>
  <c r="T420"/>
  <c r="V420"/>
  <c r="L3333" i="11"/>
  <c r="C422" i="55"/>
  <c r="V3251" i="1"/>
  <c r="X3251" s="1"/>
  <c r="K3283"/>
  <c r="K4022"/>
  <c r="I4023"/>
  <c r="X3543"/>
  <c r="V3559"/>
  <c r="AQ112"/>
  <c r="AS92"/>
  <c r="V118" i="55"/>
  <c r="D458" i="58"/>
  <c r="F458" s="1"/>
  <c r="X429" i="55"/>
  <c r="Z429"/>
  <c r="T429"/>
  <c r="V429"/>
  <c r="X3565" i="1"/>
  <c r="V3581"/>
  <c r="I3447" i="27"/>
  <c r="K3426"/>
  <c r="D427" i="58"/>
  <c r="V106" i="55"/>
  <c r="P1543" i="1"/>
  <c r="R1543" s="1"/>
  <c r="K3998"/>
  <c r="K3153" i="11"/>
  <c r="K3154" s="1"/>
  <c r="K3172"/>
  <c r="K3173" s="1"/>
  <c r="K3183"/>
  <c r="K3184" s="1"/>
  <c r="Z36" i="27"/>
  <c r="AC36" s="1"/>
  <c r="I242" s="1"/>
  <c r="K242" s="1"/>
  <c r="Z13"/>
  <c r="AC12"/>
  <c r="C71" s="1"/>
  <c r="X1457" i="1"/>
  <c r="AB1455"/>
  <c r="AD1455" s="1"/>
  <c r="D893" i="58"/>
  <c r="F893" s="1"/>
  <c r="C143" i="1"/>
  <c r="C141"/>
  <c r="L3638" i="11"/>
  <c r="K2292" i="1"/>
  <c r="K2212" i="11"/>
  <c r="X444" i="55"/>
  <c r="V444"/>
  <c r="Z444"/>
  <c r="T444"/>
  <c r="K3427" i="27"/>
  <c r="K3428" s="1"/>
  <c r="K3417" s="1"/>
  <c r="L3417" s="1"/>
  <c r="L3419" s="1"/>
  <c r="K2726" i="1"/>
  <c r="K2728" s="1"/>
  <c r="D894" i="58"/>
  <c r="F894" s="1"/>
  <c r="R1468" i="1"/>
  <c r="P1499"/>
  <c r="V1429"/>
  <c r="X1429" s="1"/>
  <c r="Z423" i="55"/>
  <c r="X423"/>
  <c r="V423"/>
  <c r="T423"/>
  <c r="N3397" i="11"/>
  <c r="M3400"/>
  <c r="D601" i="58"/>
  <c r="F601" s="1"/>
  <c r="I2378" i="27"/>
  <c r="K2378" s="1"/>
  <c r="I2354" s="1"/>
  <c r="K2354" s="1"/>
  <c r="K2356" s="1"/>
  <c r="K2357" s="1"/>
  <c r="I2396"/>
  <c r="I2395"/>
  <c r="P3067" i="1"/>
  <c r="R3067" s="1"/>
  <c r="K3060"/>
  <c r="I3079"/>
  <c r="K3079" s="1"/>
  <c r="K3086" s="1"/>
  <c r="K3088" s="1"/>
  <c r="C399" i="55" s="1"/>
  <c r="I2961" i="27"/>
  <c r="I2972"/>
  <c r="K2972" s="1"/>
  <c r="K2977" s="1"/>
  <c r="I3904"/>
  <c r="K3904" s="1"/>
  <c r="K2951"/>
  <c r="C424" i="55"/>
  <c r="L3366" i="11"/>
  <c r="K3940"/>
  <c r="I3959"/>
  <c r="V216" i="55"/>
  <c r="D714" i="58"/>
  <c r="F714" s="1"/>
  <c r="D449"/>
  <c r="F449" s="1"/>
  <c r="K2264" i="27"/>
  <c r="K2272" s="1"/>
  <c r="K2274" s="1"/>
  <c r="I2666"/>
  <c r="K2666" s="1"/>
  <c r="K2674" s="1"/>
  <c r="K2676" s="1"/>
  <c r="P3070" i="1"/>
  <c r="R3070" s="1"/>
  <c r="K3063"/>
  <c r="I3082"/>
  <c r="K3082" s="1"/>
  <c r="I3980"/>
  <c r="K3980" s="1"/>
  <c r="K3963"/>
  <c r="D691" i="58"/>
  <c r="F691" s="1"/>
  <c r="V200" i="55"/>
  <c r="X1408" i="1"/>
  <c r="AB1406"/>
  <c r="X1439"/>
  <c r="AB1437"/>
  <c r="AD1437" s="1"/>
  <c r="V1463"/>
  <c r="R1502"/>
  <c r="I1698" i="27"/>
  <c r="K1698" s="1"/>
  <c r="K1706" s="1"/>
  <c r="K91"/>
  <c r="K3209" i="11"/>
  <c r="K3210" s="1"/>
  <c r="K3220"/>
  <c r="K3221" s="1"/>
  <c r="K3194"/>
  <c r="K3195" s="1"/>
  <c r="K2586" i="1"/>
  <c r="K2448" i="27"/>
  <c r="K2451"/>
  <c r="X3595" i="1"/>
  <c r="V3612"/>
  <c r="X3612" s="1"/>
  <c r="V114" i="55"/>
  <c r="D446" i="58"/>
  <c r="F446" s="1"/>
  <c r="I1576" i="1"/>
  <c r="K1576" s="1"/>
  <c r="K1583" s="1"/>
  <c r="K1585" s="1"/>
  <c r="C176" i="79" s="1"/>
  <c r="I1604" i="1"/>
  <c r="T433" i="55"/>
  <c r="Z433"/>
  <c r="V433"/>
  <c r="X433"/>
  <c r="AF3116" i="1"/>
  <c r="AF3117" s="1"/>
  <c r="AF3118" s="1"/>
  <c r="AG3116"/>
  <c r="AG3117" s="1"/>
  <c r="AG3118" s="1"/>
  <c r="AH3116"/>
  <c r="AH3117" s="1"/>
  <c r="AH3118" s="1"/>
  <c r="P2357"/>
  <c r="R2357" s="1"/>
  <c r="D459" i="58"/>
  <c r="F459" s="1"/>
  <c r="C183" i="55"/>
  <c r="F183" s="1"/>
  <c r="C173"/>
  <c r="F173" s="1"/>
  <c r="L2694" i="1"/>
  <c r="C184" i="55"/>
  <c r="F184" s="1"/>
  <c r="V143"/>
  <c r="D554" i="58"/>
  <c r="K1997" i="1"/>
  <c r="P1997"/>
  <c r="R1997" s="1"/>
  <c r="P406"/>
  <c r="R406" s="1"/>
  <c r="P405"/>
  <c r="R405" s="1"/>
  <c r="C450" i="55"/>
  <c r="D908" i="58"/>
  <c r="P1439" i="1"/>
  <c r="V1383"/>
  <c r="R1422"/>
  <c r="R1424" s="1"/>
  <c r="D738" i="58"/>
  <c r="R1222" i="1"/>
  <c r="T1222" s="1"/>
  <c r="P1264"/>
  <c r="P1227"/>
  <c r="F708" i="58"/>
  <c r="V1306" i="1"/>
  <c r="R1308"/>
  <c r="R1312" s="1"/>
  <c r="R1314" s="1"/>
  <c r="P1228"/>
  <c r="P1265"/>
  <c r="R1223"/>
  <c r="T1223" s="1"/>
  <c r="V177" i="55"/>
  <c r="D665" i="58"/>
  <c r="V903" i="1"/>
  <c r="X903" s="1"/>
  <c r="X887"/>
  <c r="V201"/>
  <c r="X201" s="1"/>
  <c r="R201"/>
  <c r="F1061" i="58"/>
  <c r="D390"/>
  <c r="V202" i="1"/>
  <c r="X202" s="1"/>
  <c r="R202"/>
  <c r="AB557"/>
  <c r="AD557" s="1"/>
  <c r="AD533"/>
  <c r="I594"/>
  <c r="K594" s="1"/>
  <c r="V738"/>
  <c r="X738" s="1"/>
  <c r="X684"/>
  <c r="D47" i="50"/>
  <c r="K3172" i="1"/>
  <c r="I3185"/>
  <c r="V742"/>
  <c r="X742" s="1"/>
  <c r="X688"/>
  <c r="D51" i="50"/>
  <c r="K3107" i="1"/>
  <c r="P2081"/>
  <c r="R2081" s="1"/>
  <c r="D16" i="58"/>
  <c r="D709"/>
  <c r="AQ3117" i="1"/>
  <c r="AQ3118" s="1"/>
  <c r="AQ3119" s="1"/>
  <c r="AR3117"/>
  <c r="AR3118" s="1"/>
  <c r="AR3119" s="1"/>
  <c r="V97" i="55"/>
  <c r="D380" i="58"/>
  <c r="K230" i="1"/>
  <c r="P236"/>
  <c r="R236" s="1"/>
  <c r="X713"/>
  <c r="Z713" s="1"/>
  <c r="D46" i="32"/>
  <c r="V683" i="1"/>
  <c r="K1976"/>
  <c r="P1976"/>
  <c r="R1976" s="1"/>
  <c r="D349" i="58"/>
  <c r="V82" i="55"/>
  <c r="K1255" i="1"/>
  <c r="V1284"/>
  <c r="X1284" s="1"/>
  <c r="V341"/>
  <c r="K341"/>
  <c r="AE372"/>
  <c r="AG372" s="1"/>
  <c r="X363"/>
  <c r="K3568"/>
  <c r="P3571"/>
  <c r="R3571" s="1"/>
  <c r="P3570"/>
  <c r="R3570" s="1"/>
  <c r="K3567"/>
  <c r="I615"/>
  <c r="K615"/>
  <c r="D48" i="50"/>
  <c r="X685" i="1"/>
  <c r="V739"/>
  <c r="X739" s="1"/>
  <c r="F710" i="58"/>
  <c r="X404" i="55"/>
  <c r="T404"/>
  <c r="Z404"/>
  <c r="V404"/>
  <c r="D561" i="58"/>
  <c r="K957" i="1"/>
  <c r="I2820"/>
  <c r="P3195"/>
  <c r="P950"/>
  <c r="R950" s="1"/>
  <c r="R958" s="1"/>
  <c r="R960" s="1"/>
  <c r="D445" i="58"/>
  <c r="V113" i="55"/>
  <c r="I3948" i="1"/>
  <c r="K3930"/>
  <c r="F72" i="25"/>
  <c r="F76" s="1"/>
  <c r="D65" s="1"/>
  <c r="D100"/>
  <c r="C179" i="55"/>
  <c r="F179" s="1"/>
  <c r="D10" i="58"/>
  <c r="AE343" i="1"/>
  <c r="AG343" s="1"/>
  <c r="X343"/>
  <c r="D876" i="58"/>
  <c r="K2371" i="1"/>
  <c r="K2375" s="1"/>
  <c r="K2377" s="1"/>
  <c r="P2377"/>
  <c r="R2377" s="1"/>
  <c r="R2382" s="1"/>
  <c r="R2384" s="1"/>
  <c r="I712"/>
  <c r="K712" s="1"/>
  <c r="P3474"/>
  <c r="R3474" s="1"/>
  <c r="K3468"/>
  <c r="I3835"/>
  <c r="K3835" s="1"/>
  <c r="X318"/>
  <c r="AQ70"/>
  <c r="AE318"/>
  <c r="AG318" s="1"/>
  <c r="W492"/>
  <c r="AC492" s="1"/>
  <c r="J668"/>
  <c r="C9" i="55"/>
  <c r="F9" s="1"/>
  <c r="K122" i="1"/>
  <c r="K795"/>
  <c r="K797" s="1"/>
  <c r="K3294"/>
  <c r="K3296" s="1"/>
  <c r="K1514"/>
  <c r="K1516" s="1"/>
  <c r="R2040"/>
  <c r="D662" i="58"/>
  <c r="V174" i="55"/>
  <c r="P416" i="1"/>
  <c r="R416" s="1"/>
  <c r="C448" i="55"/>
  <c r="V361" i="1"/>
  <c r="K361"/>
  <c r="K509"/>
  <c r="I2903"/>
  <c r="K2903" s="1"/>
  <c r="V253" i="55"/>
  <c r="D857" i="58"/>
  <c r="X319" i="1"/>
  <c r="AQ71"/>
  <c r="AE319"/>
  <c r="AG319" s="1"/>
  <c r="F411" i="58"/>
  <c r="D382"/>
  <c r="V99" i="55"/>
  <c r="D880" i="58"/>
  <c r="R1148" i="1"/>
  <c r="P1179"/>
  <c r="R1179" s="1"/>
  <c r="V807"/>
  <c r="K813"/>
  <c r="K385"/>
  <c r="V385"/>
  <c r="X648"/>
  <c r="AD648"/>
  <c r="AF648" s="1"/>
  <c r="AE342"/>
  <c r="AG342" s="1"/>
  <c r="X342"/>
  <c r="R1338"/>
  <c r="AB1194"/>
  <c r="V1305"/>
  <c r="D389" i="58"/>
  <c r="D311"/>
  <c r="V98" i="55"/>
  <c r="D381" i="58"/>
  <c r="X122" i="1"/>
  <c r="X808"/>
  <c r="V823"/>
  <c r="X823" s="1"/>
  <c r="T3126"/>
  <c r="C223" i="55"/>
  <c r="F223" s="1"/>
  <c r="R3127" i="1"/>
  <c r="AE432"/>
  <c r="AG432" s="1"/>
  <c r="AG396"/>
  <c r="AQ396"/>
  <c r="AS396" s="1"/>
  <c r="I3186"/>
  <c r="K3173"/>
  <c r="F42" i="25"/>
  <c r="F45" s="1"/>
  <c r="F46" s="1"/>
  <c r="D29"/>
  <c r="F29" s="1"/>
  <c r="F31" s="1"/>
  <c r="F32" s="1"/>
  <c r="C84" i="55"/>
  <c r="F84" s="1"/>
  <c r="I3112" i="1"/>
  <c r="I3550"/>
  <c r="Z462" i="55"/>
  <c r="X462"/>
  <c r="D1074" i="58"/>
  <c r="T462" i="55"/>
  <c r="V462"/>
  <c r="D11" i="58"/>
  <c r="X889" i="1"/>
  <c r="V905"/>
  <c r="X905" s="1"/>
  <c r="I3590"/>
  <c r="K3590" s="1"/>
  <c r="K3592" s="1"/>
  <c r="K3593" s="1"/>
  <c r="J3595" s="1"/>
  <c r="J3596" s="1"/>
  <c r="J3597" s="1"/>
  <c r="J3598" s="1"/>
  <c r="K3581"/>
  <c r="K3583" s="1"/>
  <c r="K3584" s="1"/>
  <c r="K3594" s="1"/>
  <c r="I3595" s="1"/>
  <c r="D110" i="32"/>
  <c r="F110" s="1"/>
  <c r="F47"/>
  <c r="H47" s="1"/>
  <c r="R1863" i="1"/>
  <c r="P1894"/>
  <c r="R1894" s="1"/>
  <c r="D278" i="58"/>
  <c r="F51" i="32"/>
  <c r="D114"/>
  <c r="F114" s="1"/>
  <c r="D17" i="58"/>
  <c r="D451"/>
  <c r="F451" s="1"/>
  <c r="V115" i="55"/>
  <c r="K1951" i="1"/>
  <c r="C100" i="55" s="1"/>
  <c r="F100" s="1"/>
  <c r="K2157" i="1"/>
  <c r="K2354"/>
  <c r="K2355" s="1"/>
  <c r="K2037"/>
  <c r="P3467"/>
  <c r="R3467" s="1"/>
  <c r="K3461"/>
  <c r="I3466"/>
  <c r="I3828"/>
  <c r="K3828" s="1"/>
  <c r="I3834"/>
  <c r="K3834" s="1"/>
  <c r="K3467"/>
  <c r="P3473"/>
  <c r="R3473" s="1"/>
  <c r="AJ1208"/>
  <c r="AC1209"/>
  <c r="K3174"/>
  <c r="I3187"/>
  <c r="X93"/>
  <c r="X94" s="1"/>
  <c r="X92"/>
  <c r="I2339"/>
  <c r="K2339" s="1"/>
  <c r="K2340" s="1"/>
  <c r="K2341" s="1"/>
  <c r="I2345" s="1"/>
  <c r="K2345" s="1"/>
  <c r="P1221"/>
  <c r="K1226"/>
  <c r="K317"/>
  <c r="V317"/>
  <c r="P2437"/>
  <c r="R2437" s="1"/>
  <c r="K2430"/>
  <c r="P168"/>
  <c r="R168" s="1"/>
  <c r="K200"/>
  <c r="P200"/>
  <c r="K1260"/>
  <c r="V1289"/>
  <c r="X1289" s="1"/>
  <c r="R1866"/>
  <c r="P1897"/>
  <c r="R1897" s="1"/>
  <c r="K3932"/>
  <c r="I3950"/>
  <c r="D907" i="58"/>
  <c r="D358"/>
  <c r="V85" i="55"/>
  <c r="AB1364" i="1"/>
  <c r="X1366"/>
  <c r="X1368" s="1"/>
  <c r="K107"/>
  <c r="K105"/>
  <c r="X810"/>
  <c r="V825"/>
  <c r="X825" s="1"/>
  <c r="F877" i="58"/>
  <c r="P1619" i="1"/>
  <c r="R1619" s="1"/>
  <c r="K1618"/>
  <c r="Z2605"/>
  <c r="AE2655"/>
  <c r="AG2655" s="1"/>
  <c r="X2607"/>
  <c r="AE2621"/>
  <c r="AG2621" s="1"/>
  <c r="X809"/>
  <c r="V824"/>
  <c r="X824" s="1"/>
  <c r="D111" i="32"/>
  <c r="F111" s="1"/>
  <c r="F48"/>
  <c r="H48" s="1"/>
  <c r="P2681" i="1"/>
  <c r="K2674"/>
  <c r="K2677" s="1"/>
  <c r="K2679" s="1"/>
  <c r="I3534"/>
  <c r="P3538" s="1"/>
  <c r="K1139"/>
  <c r="K1142" s="1"/>
  <c r="K1144" s="1"/>
  <c r="P1096"/>
  <c r="K1022"/>
  <c r="D365" i="58"/>
  <c r="F724"/>
  <c r="I691" i="1"/>
  <c r="K691" s="1"/>
  <c r="F584" i="25"/>
  <c r="D619"/>
  <c r="V92" i="55"/>
  <c r="D375" i="58"/>
  <c r="R1865" i="1"/>
  <c r="P1896"/>
  <c r="R1896" s="1"/>
  <c r="X594"/>
  <c r="X386"/>
  <c r="AE395"/>
  <c r="V417"/>
  <c r="X417" s="1"/>
  <c r="F410" i="58"/>
  <c r="X362" i="1"/>
  <c r="AE371"/>
  <c r="AG371" s="1"/>
  <c r="W543"/>
  <c r="AC543" s="1"/>
  <c r="J544"/>
  <c r="K965"/>
  <c r="K967" s="1"/>
  <c r="K2018"/>
  <c r="K1855"/>
  <c r="K1857" s="1"/>
  <c r="I1891" s="1"/>
  <c r="K771"/>
  <c r="K773" s="1"/>
  <c r="I2359" s="1"/>
  <c r="K3678"/>
  <c r="K3680" s="1"/>
  <c r="C243" i="55" s="1"/>
  <c r="F243" s="1"/>
  <c r="I1990" i="1"/>
  <c r="X382"/>
  <c r="V413"/>
  <c r="X413" s="1"/>
  <c r="D43" i="58"/>
  <c r="V18" i="55"/>
  <c r="C82" i="1"/>
  <c r="I258"/>
  <c r="K258" s="1"/>
  <c r="K262" s="1"/>
  <c r="K264" s="1"/>
  <c r="C81"/>
  <c r="I3507"/>
  <c r="K3507" s="1"/>
  <c r="I36"/>
  <c r="X645"/>
  <c r="AD645"/>
  <c r="AF645" s="1"/>
  <c r="I506"/>
  <c r="I1647"/>
  <c r="K1647" s="1"/>
  <c r="K1654" s="1"/>
  <c r="K1656" s="1"/>
  <c r="I1306"/>
  <c r="K1306" s="1"/>
  <c r="K1313" s="1"/>
  <c r="K1315" s="1"/>
  <c r="D622" i="58"/>
  <c r="V167" i="55"/>
  <c r="K3836" i="27"/>
  <c r="K3815"/>
  <c r="L3815" s="1"/>
  <c r="K3872"/>
  <c r="K3878" s="1"/>
  <c r="K3879" s="1"/>
  <c r="F835" i="58"/>
  <c r="V1246" i="1"/>
  <c r="P1243"/>
  <c r="R1243" s="1"/>
  <c r="R1266"/>
  <c r="P1094"/>
  <c r="K1020"/>
  <c r="F292" i="58"/>
  <c r="P3363" i="1"/>
  <c r="R3363" s="1"/>
  <c r="P3397"/>
  <c r="R3397" s="1"/>
  <c r="R3294"/>
  <c r="V3250"/>
  <c r="X3250" s="1"/>
  <c r="X3262" s="1"/>
  <c r="X3264" s="1"/>
  <c r="K1056"/>
  <c r="K1067" s="1"/>
  <c r="K1069" s="1"/>
  <c r="P1092"/>
  <c r="AE1065"/>
  <c r="AG1065" s="1"/>
  <c r="AG1076" s="1"/>
  <c r="AG1078" s="1"/>
  <c r="P1067"/>
  <c r="R1067" s="1"/>
  <c r="R1078" s="1"/>
  <c r="R1080" s="1"/>
  <c r="P990"/>
  <c r="R990" s="1"/>
  <c r="R1001" s="1"/>
  <c r="R1003" s="1"/>
  <c r="F338" i="58"/>
  <c r="C388" i="55"/>
  <c r="F833" i="58"/>
  <c r="K2937" i="27"/>
  <c r="I3055"/>
  <c r="K3055" s="1"/>
  <c r="F599" i="58"/>
  <c r="F51"/>
  <c r="K3885" i="27"/>
  <c r="I3895"/>
  <c r="K3895" s="1"/>
  <c r="R3157" i="1"/>
  <c r="R3167" s="1"/>
  <c r="R3169" s="1"/>
  <c r="V3117"/>
  <c r="F149" i="25"/>
  <c r="D171"/>
  <c r="F171" s="1"/>
  <c r="P3364" i="1"/>
  <c r="R3364" s="1"/>
  <c r="P3398"/>
  <c r="R3398" s="1"/>
  <c r="R3295"/>
  <c r="V58" i="55"/>
  <c r="D291" i="58"/>
  <c r="K3209" i="27"/>
  <c r="K3210" s="1"/>
  <c r="L3210" s="1"/>
  <c r="K3220"/>
  <c r="K3221" s="1"/>
  <c r="K3194"/>
  <c r="K3195" s="1"/>
  <c r="L3195" s="1"/>
  <c r="K3590"/>
  <c r="K3591" s="1"/>
  <c r="K3592" s="1"/>
  <c r="K3582" s="1"/>
  <c r="K3583" s="1"/>
  <c r="K3584" s="1"/>
  <c r="I3686"/>
  <c r="K3686" s="1"/>
  <c r="K3688" s="1"/>
  <c r="P2856" i="1"/>
  <c r="R2856" s="1"/>
  <c r="R2823"/>
  <c r="I3486" i="27"/>
  <c r="K3486" s="1"/>
  <c r="K3446"/>
  <c r="P2858" i="1"/>
  <c r="R2858" s="1"/>
  <c r="R2825"/>
  <c r="C381" i="55"/>
  <c r="F300" i="58"/>
  <c r="F85" i="25"/>
  <c r="D86"/>
  <c r="I3052" i="27"/>
  <c r="I2954"/>
  <c r="K2934"/>
  <c r="I3732"/>
  <c r="K3625"/>
  <c r="K3626" s="1"/>
  <c r="K3627" s="1"/>
  <c r="P2077" i="1"/>
  <c r="R2077" s="1"/>
  <c r="K3103"/>
  <c r="I3075" i="27"/>
  <c r="I3931"/>
  <c r="K3072"/>
  <c r="AC14" i="1"/>
  <c r="Z15"/>
  <c r="K2261" i="11"/>
  <c r="K2272" s="1"/>
  <c r="K2274" s="1"/>
  <c r="I2663"/>
  <c r="K2663" s="1"/>
  <c r="K2674" s="1"/>
  <c r="K2676" s="1"/>
  <c r="K371"/>
  <c r="K1031" i="1"/>
  <c r="K1033" s="1"/>
  <c r="K3419" i="27"/>
  <c r="K2556" i="11"/>
  <c r="K2566" s="1"/>
  <c r="K2568" s="1"/>
  <c r="I2587"/>
  <c r="K2587" s="1"/>
  <c r="K2597" s="1"/>
  <c r="K2599" s="1"/>
  <c r="C402" i="55"/>
  <c r="D296" i="58"/>
  <c r="L3154" i="27"/>
  <c r="K2196"/>
  <c r="AE2618" i="1"/>
  <c r="AG2618" s="1"/>
  <c r="AG2630" s="1"/>
  <c r="AG2632" s="1"/>
  <c r="X2604"/>
  <c r="X2616" s="1"/>
  <c r="X2618" s="1"/>
  <c r="AE2652"/>
  <c r="AG2652" s="1"/>
  <c r="AG2664" s="1"/>
  <c r="AG2666" s="1"/>
  <c r="Z2602"/>
  <c r="Z2613" s="1"/>
  <c r="Z2614" s="1"/>
  <c r="F720" i="58"/>
  <c r="K3041" i="27"/>
  <c r="K2962"/>
  <c r="K3536"/>
  <c r="K3538" s="1"/>
  <c r="K3539" s="1"/>
  <c r="K3498"/>
  <c r="K3500" s="1"/>
  <c r="K2936"/>
  <c r="I3054"/>
  <c r="P3326" i="1"/>
  <c r="R3326" s="1"/>
  <c r="R3224"/>
  <c r="P3438"/>
  <c r="R3438" s="1"/>
  <c r="C75"/>
  <c r="V709"/>
  <c r="P3439"/>
  <c r="R3439" s="1"/>
  <c r="R3225"/>
  <c r="P3327"/>
  <c r="R3327" s="1"/>
  <c r="P576" i="11"/>
  <c r="R576" s="1"/>
  <c r="P590"/>
  <c r="R590" s="1"/>
  <c r="P633"/>
  <c r="R633" s="1"/>
  <c r="I1235"/>
  <c r="K1235" s="1"/>
  <c r="K1242" s="1"/>
  <c r="K1244" s="1"/>
  <c r="I495"/>
  <c r="K495" s="1"/>
  <c r="K503" s="1"/>
  <c r="K505" s="1"/>
  <c r="I1575"/>
  <c r="K1575" s="1"/>
  <c r="K1582" s="1"/>
  <c r="K1584" s="1"/>
  <c r="I1309"/>
  <c r="K1309" s="1"/>
  <c r="I1287"/>
  <c r="K1287" s="1"/>
  <c r="Z36"/>
  <c r="AC36" s="1"/>
  <c r="I242" s="1"/>
  <c r="K242" s="1"/>
  <c r="Z13"/>
  <c r="AC12"/>
  <c r="C71" s="1"/>
  <c r="C70" i="55" l="1"/>
  <c r="F70" s="1"/>
  <c r="C71" i="79"/>
  <c r="R17"/>
  <c r="N17"/>
  <c r="F17"/>
  <c r="X17"/>
  <c r="V17"/>
  <c r="P17"/>
  <c r="H17"/>
  <c r="T17"/>
  <c r="L17"/>
  <c r="Z17"/>
  <c r="J17"/>
  <c r="R203"/>
  <c r="H203"/>
  <c r="V203"/>
  <c r="P203"/>
  <c r="N203"/>
  <c r="F203"/>
  <c r="T203"/>
  <c r="X203"/>
  <c r="L203"/>
  <c r="J203"/>
  <c r="Z203"/>
  <c r="R119"/>
  <c r="N119"/>
  <c r="H119"/>
  <c r="F119"/>
  <c r="P119"/>
  <c r="X119"/>
  <c r="V119"/>
  <c r="T119"/>
  <c r="L119"/>
  <c r="Z119"/>
  <c r="J119"/>
  <c r="P114"/>
  <c r="N114"/>
  <c r="L114"/>
  <c r="V114"/>
  <c r="T114"/>
  <c r="J114"/>
  <c r="X114"/>
  <c r="R114"/>
  <c r="H114"/>
  <c r="F114"/>
  <c r="Z114"/>
  <c r="Z450"/>
  <c r="X450"/>
  <c r="V450"/>
  <c r="T450"/>
  <c r="T176"/>
  <c r="J176"/>
  <c r="R176"/>
  <c r="F176"/>
  <c r="P176"/>
  <c r="V176"/>
  <c r="N176"/>
  <c r="H176"/>
  <c r="X176"/>
  <c r="L176"/>
  <c r="Z176"/>
  <c r="C117" i="55"/>
  <c r="F117" s="1"/>
  <c r="C118" i="79"/>
  <c r="X445"/>
  <c r="V445"/>
  <c r="T445"/>
  <c r="Z445"/>
  <c r="V432"/>
  <c r="X432"/>
  <c r="T432"/>
  <c r="Z432"/>
  <c r="R115"/>
  <c r="H115"/>
  <c r="F115"/>
  <c r="P115"/>
  <c r="V115"/>
  <c r="N115"/>
  <c r="X115"/>
  <c r="T115"/>
  <c r="L115"/>
  <c r="J115"/>
  <c r="Z115"/>
  <c r="R107"/>
  <c r="P107"/>
  <c r="F107"/>
  <c r="N107"/>
  <c r="L107"/>
  <c r="H107"/>
  <c r="X107"/>
  <c r="V107"/>
  <c r="T107"/>
  <c r="J107"/>
  <c r="Z107"/>
  <c r="X437"/>
  <c r="V437"/>
  <c r="T437"/>
  <c r="Z437"/>
  <c r="T116"/>
  <c r="J116"/>
  <c r="Z116"/>
  <c r="R116"/>
  <c r="X116"/>
  <c r="P116"/>
  <c r="H116"/>
  <c r="N116"/>
  <c r="F116"/>
  <c r="L116"/>
  <c r="V116"/>
  <c r="P83"/>
  <c r="V83"/>
  <c r="T83"/>
  <c r="N83"/>
  <c r="L83"/>
  <c r="J83"/>
  <c r="X83"/>
  <c r="R83"/>
  <c r="H83"/>
  <c r="F83"/>
  <c r="Z83"/>
  <c r="P144"/>
  <c r="V144"/>
  <c r="T144"/>
  <c r="L144"/>
  <c r="F144"/>
  <c r="H144"/>
  <c r="N144"/>
  <c r="R144"/>
  <c r="X144"/>
  <c r="J144"/>
  <c r="Z144"/>
  <c r="P72"/>
  <c r="F72"/>
  <c r="V72"/>
  <c r="T72"/>
  <c r="L72"/>
  <c r="N72"/>
  <c r="J72"/>
  <c r="X72"/>
  <c r="R72"/>
  <c r="H72"/>
  <c r="Z72"/>
  <c r="R168"/>
  <c r="T168"/>
  <c r="F168"/>
  <c r="X168"/>
  <c r="V168"/>
  <c r="H168"/>
  <c r="P168"/>
  <c r="N168"/>
  <c r="L168"/>
  <c r="J168"/>
  <c r="Z168"/>
  <c r="F16" i="55"/>
  <c r="V16"/>
  <c r="D41" i="58"/>
  <c r="F41" s="1"/>
  <c r="P59" i="79"/>
  <c r="V59"/>
  <c r="L59"/>
  <c r="F59"/>
  <c r="T59"/>
  <c r="N59"/>
  <c r="R59"/>
  <c r="J59"/>
  <c r="X59"/>
  <c r="H59"/>
  <c r="Z59"/>
  <c r="V244" i="55"/>
  <c r="F244"/>
  <c r="D848" i="58"/>
  <c r="Z100" i="55"/>
  <c r="X100"/>
  <c r="X223"/>
  <c r="Z223"/>
  <c r="X184"/>
  <c r="Z184"/>
  <c r="X244"/>
  <c r="Z244"/>
  <c r="X70"/>
  <c r="Z70"/>
  <c r="X84"/>
  <c r="Z84"/>
  <c r="Z173"/>
  <c r="X173"/>
  <c r="X111"/>
  <c r="Z111"/>
  <c r="X217"/>
  <c r="Z217"/>
  <c r="Z221"/>
  <c r="X221"/>
  <c r="X243"/>
  <c r="Z243"/>
  <c r="X179"/>
  <c r="Z179"/>
  <c r="X117"/>
  <c r="Z117"/>
  <c r="Z195"/>
  <c r="X195"/>
  <c r="X9"/>
  <c r="Z9"/>
  <c r="X183"/>
  <c r="Z183"/>
  <c r="X214"/>
  <c r="Z214"/>
  <c r="T243"/>
  <c r="P243"/>
  <c r="R243"/>
  <c r="N243"/>
  <c r="J243"/>
  <c r="L243"/>
  <c r="H243"/>
  <c r="T100"/>
  <c r="P100"/>
  <c r="R100"/>
  <c r="N100"/>
  <c r="J100"/>
  <c r="L100"/>
  <c r="H100"/>
  <c r="R179"/>
  <c r="T179"/>
  <c r="P179"/>
  <c r="N179"/>
  <c r="J179"/>
  <c r="L179"/>
  <c r="H179"/>
  <c r="R111"/>
  <c r="T111"/>
  <c r="P111"/>
  <c r="L111"/>
  <c r="N111"/>
  <c r="J111"/>
  <c r="H111"/>
  <c r="T217"/>
  <c r="P217"/>
  <c r="R217"/>
  <c r="L217"/>
  <c r="H217"/>
  <c r="N217"/>
  <c r="J217"/>
  <c r="R70"/>
  <c r="T70"/>
  <c r="P70"/>
  <c r="L70"/>
  <c r="N70"/>
  <c r="J70"/>
  <c r="H70"/>
  <c r="R183"/>
  <c r="T183"/>
  <c r="P183"/>
  <c r="N183"/>
  <c r="J183"/>
  <c r="L183"/>
  <c r="H183"/>
  <c r="T244"/>
  <c r="P244"/>
  <c r="R244"/>
  <c r="N244"/>
  <c r="L244"/>
  <c r="H244"/>
  <c r="J244"/>
  <c r="R195"/>
  <c r="T195"/>
  <c r="P195"/>
  <c r="N195"/>
  <c r="J195"/>
  <c r="L195"/>
  <c r="H195"/>
  <c r="T223"/>
  <c r="P223"/>
  <c r="R223"/>
  <c r="N223"/>
  <c r="J223"/>
  <c r="L223"/>
  <c r="H223"/>
  <c r="T184"/>
  <c r="P184"/>
  <c r="R184"/>
  <c r="N184"/>
  <c r="J184"/>
  <c r="L184"/>
  <c r="H184"/>
  <c r="R214"/>
  <c r="T214"/>
  <c r="P214"/>
  <c r="L214"/>
  <c r="H214"/>
  <c r="N214"/>
  <c r="J214"/>
  <c r="T221"/>
  <c r="P221"/>
  <c r="R221"/>
  <c r="L221"/>
  <c r="H221"/>
  <c r="N221"/>
  <c r="J221"/>
  <c r="T84"/>
  <c r="P84"/>
  <c r="R84"/>
  <c r="N84"/>
  <c r="J84"/>
  <c r="L84"/>
  <c r="H84"/>
  <c r="T9"/>
  <c r="P9"/>
  <c r="R9"/>
  <c r="N9"/>
  <c r="L9"/>
  <c r="J9"/>
  <c r="H9"/>
  <c r="T173"/>
  <c r="P173"/>
  <c r="R173"/>
  <c r="L173"/>
  <c r="H173"/>
  <c r="N173"/>
  <c r="J173"/>
  <c r="T117"/>
  <c r="P117"/>
  <c r="R117"/>
  <c r="N117"/>
  <c r="J117"/>
  <c r="L117"/>
  <c r="H117"/>
  <c r="K3908" i="27"/>
  <c r="I3911"/>
  <c r="K3911" s="1"/>
  <c r="L2988"/>
  <c r="K2191"/>
  <c r="I3337"/>
  <c r="K3337" s="1"/>
  <c r="K3278"/>
  <c r="I3297"/>
  <c r="I3747"/>
  <c r="K3747" s="1"/>
  <c r="K3730"/>
  <c r="K2853"/>
  <c r="K2859" s="1"/>
  <c r="I2916"/>
  <c r="I3004"/>
  <c r="K3004" s="1"/>
  <c r="K3010" s="1"/>
  <c r="P2857"/>
  <c r="M3011" i="11"/>
  <c r="K3018"/>
  <c r="K3022" s="1"/>
  <c r="K3011"/>
  <c r="L3012"/>
  <c r="L3013" s="1"/>
  <c r="R2857"/>
  <c r="R2861" s="1"/>
  <c r="P2890"/>
  <c r="R2890" s="1"/>
  <c r="R2895" s="1"/>
  <c r="I2940"/>
  <c r="K2916"/>
  <c r="K2920" s="1"/>
  <c r="I3039"/>
  <c r="K3039" s="1"/>
  <c r="K3043" s="1"/>
  <c r="K2860"/>
  <c r="K2879"/>
  <c r="L2860"/>
  <c r="I3892" i="27"/>
  <c r="K3892" s="1"/>
  <c r="K3057"/>
  <c r="L3398"/>
  <c r="K3400"/>
  <c r="I3338"/>
  <c r="K3338" s="1"/>
  <c r="K3339" s="1"/>
  <c r="K3340" s="1"/>
  <c r="K3279"/>
  <c r="K3281" s="1"/>
  <c r="K3282" s="1"/>
  <c r="K3275" s="1"/>
  <c r="K3277" s="1"/>
  <c r="X681" i="1"/>
  <c r="D44" i="50"/>
  <c r="V735" i="1"/>
  <c r="X735" s="1"/>
  <c r="K2208" i="27"/>
  <c r="M3712"/>
  <c r="F44" i="32"/>
  <c r="H44" s="1"/>
  <c r="D107"/>
  <c r="F107" s="1"/>
  <c r="R3774" i="27"/>
  <c r="R3779"/>
  <c r="R3781" s="1"/>
  <c r="K3456"/>
  <c r="K3458" s="1"/>
  <c r="K2213" s="1"/>
  <c r="L3348"/>
  <c r="R408" i="1"/>
  <c r="R410" s="1"/>
  <c r="P417" s="1"/>
  <c r="R417" s="1"/>
  <c r="R419" s="1"/>
  <c r="R421" s="1"/>
  <c r="K3779" i="27"/>
  <c r="K3781" s="1"/>
  <c r="K3774"/>
  <c r="K3466"/>
  <c r="K3468" s="1"/>
  <c r="L3379"/>
  <c r="C175" i="55"/>
  <c r="F175" s="1"/>
  <c r="I2931" i="1"/>
  <c r="I2940"/>
  <c r="K2940" s="1"/>
  <c r="K2189" i="27"/>
  <c r="L2977"/>
  <c r="I2311"/>
  <c r="K2311" s="1"/>
  <c r="I2468"/>
  <c r="K2468" s="1"/>
  <c r="C419" i="55"/>
  <c r="K2279" i="1"/>
  <c r="M3221" i="11"/>
  <c r="K3229"/>
  <c r="K3233" s="1"/>
  <c r="L3221"/>
  <c r="K2199"/>
  <c r="AB1423" i="1"/>
  <c r="AD1423" s="1"/>
  <c r="AD1406"/>
  <c r="V424" i="55"/>
  <c r="Z424"/>
  <c r="X424"/>
  <c r="T424"/>
  <c r="I3914" i="27"/>
  <c r="K3914" s="1"/>
  <c r="K2961"/>
  <c r="O3397" i="11"/>
  <c r="O3400" s="1"/>
  <c r="N3400"/>
  <c r="L3184"/>
  <c r="M3184"/>
  <c r="C415" i="55"/>
  <c r="K4023" i="1"/>
  <c r="I4024"/>
  <c r="K4024" s="1"/>
  <c r="T422" i="55"/>
  <c r="X422"/>
  <c r="V422"/>
  <c r="Z422"/>
  <c r="V396"/>
  <c r="X396"/>
  <c r="T396"/>
  <c r="Z396"/>
  <c r="D1060" i="58"/>
  <c r="F1060" s="1"/>
  <c r="R1497" i="1"/>
  <c r="P1540"/>
  <c r="R1540" s="1"/>
  <c r="R1546" s="1"/>
  <c r="R1548" s="1"/>
  <c r="V1458"/>
  <c r="I3677" i="27"/>
  <c r="K3677" s="1"/>
  <c r="K3628"/>
  <c r="I3615" s="1"/>
  <c r="D686" i="58"/>
  <c r="F686" s="1"/>
  <c r="V195" i="55"/>
  <c r="V1470" i="1"/>
  <c r="X1470" s="1"/>
  <c r="X1446"/>
  <c r="H3892"/>
  <c r="J3892" s="1"/>
  <c r="J3897" s="1"/>
  <c r="J3899" s="1"/>
  <c r="J3876"/>
  <c r="J3881" s="1"/>
  <c r="J3883" s="1"/>
  <c r="R1464"/>
  <c r="P1495"/>
  <c r="V1425"/>
  <c r="X1425" s="1"/>
  <c r="D602" i="58"/>
  <c r="F602" s="1"/>
  <c r="R3340" i="1"/>
  <c r="R3342" s="1"/>
  <c r="R1871"/>
  <c r="R1873" s="1"/>
  <c r="P1882" s="1"/>
  <c r="R1882" s="1"/>
  <c r="R1884" s="1"/>
  <c r="K1604"/>
  <c r="K1609" s="1"/>
  <c r="K1611" s="1"/>
  <c r="C177" i="79" s="1"/>
  <c r="P1605" i="1"/>
  <c r="R1605" s="1"/>
  <c r="R1610" s="1"/>
  <c r="R1612" s="1"/>
  <c r="K2453" i="27"/>
  <c r="K2455"/>
  <c r="L3195" i="11"/>
  <c r="M3195"/>
  <c r="C416" i="55"/>
  <c r="D452" i="58"/>
  <c r="F452" s="1"/>
  <c r="V3596" i="1"/>
  <c r="X3581"/>
  <c r="AD1247"/>
  <c r="AB1219"/>
  <c r="AD1219" s="1"/>
  <c r="V214" i="55"/>
  <c r="D712" i="58"/>
  <c r="F712" s="1"/>
  <c r="F552" i="25"/>
  <c r="D589"/>
  <c r="V395" i="55"/>
  <c r="D1059" i="58"/>
  <c r="F1059" s="1"/>
  <c r="X395" i="55"/>
  <c r="T395"/>
  <c r="Z395"/>
  <c r="X439"/>
  <c r="V439"/>
  <c r="Z439"/>
  <c r="T439"/>
  <c r="D303" i="58"/>
  <c r="F303" s="1"/>
  <c r="R3239" i="1"/>
  <c r="R3241" s="1"/>
  <c r="R3074"/>
  <c r="R3076" s="1"/>
  <c r="C401" i="55" s="1"/>
  <c r="Z14" i="27"/>
  <c r="AC13"/>
  <c r="C72" s="1"/>
  <c r="Z37"/>
  <c r="AC37" s="1"/>
  <c r="I241" s="1"/>
  <c r="K241" s="1"/>
  <c r="K246" s="1"/>
  <c r="K248" s="1"/>
  <c r="K2196" i="11"/>
  <c r="L3154"/>
  <c r="I3487" i="27"/>
  <c r="K3487" s="1"/>
  <c r="K3488" s="1"/>
  <c r="K3489" s="1"/>
  <c r="K3479" s="1"/>
  <c r="K3481" s="1"/>
  <c r="L3481" s="1"/>
  <c r="K3447"/>
  <c r="K3448" s="1"/>
  <c r="K3449" s="1"/>
  <c r="K3439" s="1"/>
  <c r="K3441" s="1"/>
  <c r="K2210" s="1"/>
  <c r="V3575" i="1"/>
  <c r="X3559"/>
  <c r="V3166"/>
  <c r="X3141"/>
  <c r="V117" i="55"/>
  <c r="D457" i="58"/>
  <c r="F457"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D882" i="58"/>
  <c r="F882" s="1"/>
  <c r="V3560" i="1"/>
  <c r="X3544"/>
  <c r="F626" i="25"/>
  <c r="D662"/>
  <c r="P3535" i="1"/>
  <c r="I3547"/>
  <c r="K3531"/>
  <c r="K3535" s="1"/>
  <c r="K3536" s="1"/>
  <c r="F657" i="25"/>
  <c r="D693"/>
  <c r="F693" s="1"/>
  <c r="V3622" i="1"/>
  <c r="X3622" s="1"/>
  <c r="AG3559"/>
  <c r="K3067"/>
  <c r="K3069" s="1"/>
  <c r="C400" i="55" s="1"/>
  <c r="D827" i="58"/>
  <c r="F827" s="1"/>
  <c r="L3210" i="11"/>
  <c r="C417" i="55"/>
  <c r="C341" s="1"/>
  <c r="F341" s="1"/>
  <c r="M3210" i="11"/>
  <c r="C213" i="55"/>
  <c r="F213" s="1"/>
  <c r="AB1461" i="1"/>
  <c r="AD1461" s="1"/>
  <c r="X1463"/>
  <c r="I3972" i="11"/>
  <c r="K3959"/>
  <c r="V399" i="55"/>
  <c r="D1063" i="58"/>
  <c r="F1063" s="1"/>
  <c r="T399" i="55"/>
  <c r="X399"/>
  <c r="Z399"/>
  <c r="V1460" i="1"/>
  <c r="R1499"/>
  <c r="I1616"/>
  <c r="I1589"/>
  <c r="K1589" s="1"/>
  <c r="K1596" s="1"/>
  <c r="K1598" s="1"/>
  <c r="K2276"/>
  <c r="C414" i="55"/>
  <c r="M3173" i="11"/>
  <c r="AS112" i="1"/>
  <c r="AQ137"/>
  <c r="D609" i="58"/>
  <c r="F609" s="1"/>
  <c r="I585" i="11"/>
  <c r="K585"/>
  <c r="X3629" i="1"/>
  <c r="X3628"/>
  <c r="V111" i="55"/>
  <c r="D440" i="58"/>
  <c r="F440" s="1"/>
  <c r="AE3560" i="1"/>
  <c r="AG3544"/>
  <c r="V217" i="55"/>
  <c r="D715" i="58"/>
  <c r="F715" s="1"/>
  <c r="D618" i="25"/>
  <c r="F583"/>
  <c r="D830" i="58"/>
  <c r="F830" s="1"/>
  <c r="D719"/>
  <c r="F719" s="1"/>
  <c r="V221" i="55"/>
  <c r="I3966" i="1"/>
  <c r="K3950"/>
  <c r="D383" i="58"/>
  <c r="V100" i="55"/>
  <c r="F17" i="58"/>
  <c r="P2086" i="1"/>
  <c r="R2086" s="1"/>
  <c r="R2088" s="1"/>
  <c r="R2090" s="1"/>
  <c r="K3112"/>
  <c r="W493"/>
  <c r="AC493" s="1"/>
  <c r="AC494" s="1"/>
  <c r="AC495" s="1"/>
  <c r="AC496" s="1"/>
  <c r="AC497" s="1"/>
  <c r="AC498" s="1"/>
  <c r="AC499" s="1"/>
  <c r="AC500" s="1"/>
  <c r="J669"/>
  <c r="J670" s="1"/>
  <c r="J671" s="1"/>
  <c r="J672" s="1"/>
  <c r="J673" s="1"/>
  <c r="V238" i="55"/>
  <c r="D840" i="58"/>
  <c r="F848"/>
  <c r="V1244" i="1"/>
  <c r="R1264"/>
  <c r="P1241"/>
  <c r="R1241" s="1"/>
  <c r="P1455"/>
  <c r="R1439"/>
  <c r="R1441" s="1"/>
  <c r="V184" i="55"/>
  <c r="D675" i="58"/>
  <c r="D396"/>
  <c r="K1891" i="1"/>
  <c r="K1893" s="1"/>
  <c r="I1900"/>
  <c r="K1900" s="1"/>
  <c r="K1902" s="1"/>
  <c r="J545"/>
  <c r="W544"/>
  <c r="AC544" s="1"/>
  <c r="I692"/>
  <c r="K692" s="1"/>
  <c r="F365" i="58"/>
  <c r="R3538" i="1"/>
  <c r="P3554"/>
  <c r="R3554" s="1"/>
  <c r="D312" i="58"/>
  <c r="R200" i="1"/>
  <c r="V200"/>
  <c r="X200" s="1"/>
  <c r="R1221"/>
  <c r="T1221" s="1"/>
  <c r="P1263"/>
  <c r="P1226"/>
  <c r="I3272"/>
  <c r="K3272" s="1"/>
  <c r="L3238" s="1"/>
  <c r="I3258"/>
  <c r="K3258" s="1"/>
  <c r="K3187"/>
  <c r="AJ1209"/>
  <c r="AC1210"/>
  <c r="AC1211" s="1"/>
  <c r="I3833"/>
  <c r="K3833" s="1"/>
  <c r="K3466"/>
  <c r="P3472"/>
  <c r="R3472" s="1"/>
  <c r="K2356"/>
  <c r="C232" i="55" s="1"/>
  <c r="F232" s="1"/>
  <c r="L2321" i="1"/>
  <c r="F11" i="58"/>
  <c r="D722"/>
  <c r="V223" i="55"/>
  <c r="F381" i="58"/>
  <c r="X1305" i="1"/>
  <c r="V1325"/>
  <c r="X1325" s="1"/>
  <c r="AQ95"/>
  <c r="AS71"/>
  <c r="F857" i="58"/>
  <c r="D858"/>
  <c r="K123" i="1"/>
  <c r="C10" i="55"/>
  <c r="F10" s="1"/>
  <c r="F876" i="58"/>
  <c r="D667"/>
  <c r="V179" i="55"/>
  <c r="V2788" i="1"/>
  <c r="X2788" s="1"/>
  <c r="X2796" s="1"/>
  <c r="X2798" s="1"/>
  <c r="P2827"/>
  <c r="AE2792"/>
  <c r="AG2792" s="1"/>
  <c r="AG2800" s="1"/>
  <c r="AG2802" s="1"/>
  <c r="K2820"/>
  <c r="K2828" s="1"/>
  <c r="K2830" s="1"/>
  <c r="X683"/>
  <c r="V737"/>
  <c r="X737" s="1"/>
  <c r="D46" i="50"/>
  <c r="F709" i="58"/>
  <c r="K3185" i="1"/>
  <c r="I3200"/>
  <c r="D110" i="50"/>
  <c r="F110" s="1"/>
  <c r="F47"/>
  <c r="D253" i="58"/>
  <c r="F390"/>
  <c r="P1270" i="1"/>
  <c r="R1228"/>
  <c r="T1228" s="1"/>
  <c r="F738" i="58"/>
  <c r="D313"/>
  <c r="D843"/>
  <c r="D883"/>
  <c r="K3572" i="1"/>
  <c r="C181" i="55" s="1"/>
  <c r="F181" s="1"/>
  <c r="V243"/>
  <c r="D847" i="58"/>
  <c r="D355"/>
  <c r="P1117" i="1"/>
  <c r="R1117" s="1"/>
  <c r="R1096"/>
  <c r="F100" i="25"/>
  <c r="F103" s="1"/>
  <c r="D121"/>
  <c r="I616" i="1"/>
  <c r="K616"/>
  <c r="X1306"/>
  <c r="V1326"/>
  <c r="X1326" s="1"/>
  <c r="I2357"/>
  <c r="I2363"/>
  <c r="C152" i="55" s="1"/>
  <c r="F152" s="1"/>
  <c r="I2361" i="1"/>
  <c r="C150" i="55"/>
  <c r="F150" s="1"/>
  <c r="AQ395" i="1"/>
  <c r="AS395" s="1"/>
  <c r="AG395"/>
  <c r="AE431"/>
  <c r="AG431" s="1"/>
  <c r="D272" i="58"/>
  <c r="K108" i="1"/>
  <c r="F358" i="58"/>
  <c r="D559"/>
  <c r="D394"/>
  <c r="V84" i="55"/>
  <c r="D357" i="58"/>
  <c r="I3271" i="1"/>
  <c r="K3271" s="1"/>
  <c r="L3237" s="1"/>
  <c r="I3257"/>
  <c r="K3257" s="1"/>
  <c r="K3186"/>
  <c r="D560" i="58"/>
  <c r="AE394" i="1"/>
  <c r="X385"/>
  <c r="V416"/>
  <c r="X416" s="1"/>
  <c r="I713"/>
  <c r="K713" s="1"/>
  <c r="D93" i="25"/>
  <c r="F93" s="1"/>
  <c r="F65"/>
  <c r="F68" s="1"/>
  <c r="F69" s="1"/>
  <c r="R3195" i="1"/>
  <c r="R3204" s="1"/>
  <c r="R3206" s="1"/>
  <c r="C384" i="79" s="1"/>
  <c r="P3264" i="1"/>
  <c r="F561" i="58"/>
  <c r="AE341" i="1"/>
  <c r="AG341" s="1"/>
  <c r="X341"/>
  <c r="D640" i="58"/>
  <c r="P1242" i="1"/>
  <c r="R1242" s="1"/>
  <c r="V1245"/>
  <c r="R1265"/>
  <c r="T450" i="55"/>
  <c r="Z450"/>
  <c r="V450"/>
  <c r="X450"/>
  <c r="D397" i="58"/>
  <c r="D674"/>
  <c r="V183" i="55"/>
  <c r="K3115" i="1"/>
  <c r="K3117" s="1"/>
  <c r="D367" i="58"/>
  <c r="F367" s="1"/>
  <c r="D884"/>
  <c r="X595" i="1"/>
  <c r="D14" i="58"/>
  <c r="F1074"/>
  <c r="X807" i="1"/>
  <c r="V822"/>
  <c r="X822" s="1"/>
  <c r="C449" i="55"/>
  <c r="Z448"/>
  <c r="V448"/>
  <c r="T448"/>
  <c r="X448"/>
  <c r="D279" i="58"/>
  <c r="F10"/>
  <c r="F554"/>
  <c r="D393"/>
  <c r="D646"/>
  <c r="F375"/>
  <c r="F619" i="25"/>
  <c r="D655"/>
  <c r="D661" i="58"/>
  <c r="D13"/>
  <c r="AD1364" i="1"/>
  <c r="AD1366" s="1"/>
  <c r="AB1381"/>
  <c r="I3999"/>
  <c r="F907" i="58"/>
  <c r="AE317" i="1"/>
  <c r="AG317" s="1"/>
  <c r="AQ69"/>
  <c r="X317"/>
  <c r="F278" i="58"/>
  <c r="V3550" i="1"/>
  <c r="V3566" s="1"/>
  <c r="V3582" s="1"/>
  <c r="AE3550"/>
  <c r="AE3566" s="1"/>
  <c r="F311" i="58"/>
  <c r="F389"/>
  <c r="AI1194" i="1"/>
  <c r="AK1194" s="1"/>
  <c r="AD1194"/>
  <c r="F880" i="58"/>
  <c r="AE370" i="1"/>
  <c r="AG370" s="1"/>
  <c r="X361"/>
  <c r="D354" i="58"/>
  <c r="V9" i="55"/>
  <c r="D19" i="58"/>
  <c r="AS70" i="1"/>
  <c r="AQ94"/>
  <c r="D881" i="58"/>
  <c r="K3948" i="1"/>
  <c r="I3964"/>
  <c r="F445" i="58"/>
  <c r="D111" i="50"/>
  <c r="F111" s="1"/>
  <c r="F48"/>
  <c r="F46" i="32"/>
  <c r="H46" s="1"/>
  <c r="D109"/>
  <c r="F109" s="1"/>
  <c r="V239" i="55"/>
  <c r="D841" i="58"/>
  <c r="F16"/>
  <c r="F51" i="50"/>
  <c r="D114"/>
  <c r="F114" s="1"/>
  <c r="I595" i="1"/>
  <c r="K595" s="1"/>
  <c r="P1269"/>
  <c r="R1227"/>
  <c r="T1227" s="1"/>
  <c r="X1383"/>
  <c r="X1385" s="1"/>
  <c r="V1400"/>
  <c r="F908" i="58"/>
  <c r="D660"/>
  <c r="V173" i="55"/>
  <c r="R1902" i="1"/>
  <c r="R1904" s="1"/>
  <c r="P1913" s="1"/>
  <c r="R1913" s="1"/>
  <c r="R1915" s="1"/>
  <c r="C211" i="55" s="1"/>
  <c r="F211" s="1"/>
  <c r="K3595" i="1"/>
  <c r="I3596" s="1"/>
  <c r="K3596" s="1"/>
  <c r="I3597" s="1"/>
  <c r="K3597" s="1"/>
  <c r="I3598" s="1"/>
  <c r="K3598" s="1"/>
  <c r="R3575"/>
  <c r="K3177"/>
  <c r="K3178" s="1"/>
  <c r="C455" i="55" s="1"/>
  <c r="K1990" i="1"/>
  <c r="P1990"/>
  <c r="R1990" s="1"/>
  <c r="F43" i="58"/>
  <c r="P630" i="1"/>
  <c r="R630" s="1"/>
  <c r="I155"/>
  <c r="K155" s="1"/>
  <c r="K164" s="1"/>
  <c r="P22"/>
  <c r="I48"/>
  <c r="K48" s="1"/>
  <c r="K52" s="1"/>
  <c r="I143"/>
  <c r="K36"/>
  <c r="K40" s="1"/>
  <c r="I19"/>
  <c r="K19" s="1"/>
  <c r="K23" s="1"/>
  <c r="D52" i="58"/>
  <c r="I812" i="1"/>
  <c r="I508"/>
  <c r="I1756"/>
  <c r="K1756" s="1"/>
  <c r="K1763" s="1"/>
  <c r="K1765" s="1"/>
  <c r="I2131"/>
  <c r="K2131" s="1"/>
  <c r="K2139" s="1"/>
  <c r="K2141" s="1"/>
  <c r="I275"/>
  <c r="K275" s="1"/>
  <c r="I57"/>
  <c r="K57" s="1"/>
  <c r="K61" s="1"/>
  <c r="P10"/>
  <c r="R10" s="1"/>
  <c r="R14" s="1"/>
  <c r="I28"/>
  <c r="K28" s="1"/>
  <c r="K32" s="1"/>
  <c r="I10"/>
  <c r="K10" s="1"/>
  <c r="I2151"/>
  <c r="I76"/>
  <c r="K76" s="1"/>
  <c r="K80" s="1"/>
  <c r="P1146"/>
  <c r="I67"/>
  <c r="K67" s="1"/>
  <c r="K71" s="1"/>
  <c r="D337" i="58"/>
  <c r="V70" i="55"/>
  <c r="K506" i="1"/>
  <c r="I2900"/>
  <c r="K2900" s="1"/>
  <c r="D87" i="25"/>
  <c r="F86"/>
  <c r="T381" i="55"/>
  <c r="V381"/>
  <c r="D1045" i="58"/>
  <c r="Z381" i="55"/>
  <c r="X381"/>
  <c r="K3689" i="27"/>
  <c r="K3692" s="1"/>
  <c r="K3695" s="1"/>
  <c r="L3690"/>
  <c r="K3229"/>
  <c r="K3233" s="1"/>
  <c r="K2198" s="1"/>
  <c r="K2199"/>
  <c r="L3221"/>
  <c r="D627" i="58"/>
  <c r="D295"/>
  <c r="AC15" i="1"/>
  <c r="I3503"/>
  <c r="K3503" s="1"/>
  <c r="I3505"/>
  <c r="K3505" s="1"/>
  <c r="F291" i="58"/>
  <c r="D629"/>
  <c r="R1094" i="1"/>
  <c r="P1116"/>
  <c r="R1116" s="1"/>
  <c r="F622" i="58"/>
  <c r="R3453" i="1"/>
  <c r="R3455" s="1"/>
  <c r="R3375"/>
  <c r="R3377" s="1"/>
  <c r="D616" i="58"/>
  <c r="C76" i="1"/>
  <c r="V708"/>
  <c r="V803"/>
  <c r="I178"/>
  <c r="K178" s="1"/>
  <c r="K182" s="1"/>
  <c r="K3931" i="27"/>
  <c r="I3950"/>
  <c r="K3950" s="1"/>
  <c r="K2954"/>
  <c r="I3907"/>
  <c r="K3907" s="1"/>
  <c r="D626" i="58"/>
  <c r="I3891" i="27"/>
  <c r="K3891" s="1"/>
  <c r="K3054"/>
  <c r="L3502"/>
  <c r="K3501"/>
  <c r="D619" i="58"/>
  <c r="T402" i="55"/>
  <c r="V402"/>
  <c r="D1066" i="58"/>
  <c r="X402" i="55"/>
  <c r="Z402"/>
  <c r="I3748" i="27"/>
  <c r="K3748" s="1"/>
  <c r="K3732"/>
  <c r="K3733" s="1"/>
  <c r="K3726" s="1"/>
  <c r="K3727" s="1"/>
  <c r="M3727" s="1"/>
  <c r="X388" i="55"/>
  <c r="V388"/>
  <c r="D1052" i="58"/>
  <c r="T388" i="55"/>
  <c r="Z388"/>
  <c r="P1114" i="1"/>
  <c r="R1114" s="1"/>
  <c r="R1092"/>
  <c r="AB1251"/>
  <c r="X1246"/>
  <c r="K3840" i="27"/>
  <c r="K3841" s="1"/>
  <c r="K3848"/>
  <c r="K3856" s="1"/>
  <c r="K3857" s="1"/>
  <c r="R3409" i="1"/>
  <c r="R3411" s="1"/>
  <c r="D620" i="58"/>
  <c r="D297"/>
  <c r="V679" i="1"/>
  <c r="X709"/>
  <c r="Z709" s="1"/>
  <c r="D42" i="32"/>
  <c r="F296" i="58"/>
  <c r="D604"/>
  <c r="V160" i="55"/>
  <c r="I3937" i="27"/>
  <c r="K3937" s="1"/>
  <c r="K3075"/>
  <c r="I3089"/>
  <c r="K3089" s="1"/>
  <c r="K3617"/>
  <c r="K3674"/>
  <c r="K3648"/>
  <c r="I3888"/>
  <c r="K3888" s="1"/>
  <c r="K3052"/>
  <c r="D623" i="58"/>
  <c r="X3117" i="1"/>
  <c r="X3127" s="1"/>
  <c r="X3129" s="1"/>
  <c r="V3134"/>
  <c r="I4067"/>
  <c r="K4067" s="1"/>
  <c r="K4077" s="1"/>
  <c r="K4079" s="1"/>
  <c r="D618" i="58"/>
  <c r="R3306" i="1"/>
  <c r="R3308" s="1"/>
  <c r="Z37" i="11"/>
  <c r="AC37" s="1"/>
  <c r="I241" s="1"/>
  <c r="K241" s="1"/>
  <c r="K246" s="1"/>
  <c r="K248" s="1"/>
  <c r="AC13"/>
  <c r="C72" s="1"/>
  <c r="Z14"/>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C20" i="55" l="1"/>
  <c r="F20" s="1"/>
  <c r="C21" i="79"/>
  <c r="C387" i="55"/>
  <c r="C388" i="79"/>
  <c r="C15" i="55"/>
  <c r="F15" s="1"/>
  <c r="C16" i="79"/>
  <c r="C162" i="55"/>
  <c r="F162" s="1"/>
  <c r="C163" i="79"/>
  <c r="V384"/>
  <c r="T384"/>
  <c r="X384"/>
  <c r="Z384"/>
  <c r="T118"/>
  <c r="J118"/>
  <c r="Z118"/>
  <c r="X118"/>
  <c r="R118"/>
  <c r="P118"/>
  <c r="H118"/>
  <c r="F118"/>
  <c r="V118"/>
  <c r="N118"/>
  <c r="L118"/>
  <c r="C391" i="55"/>
  <c r="C392" i="79"/>
  <c r="C390" i="55"/>
  <c r="C391" i="79"/>
  <c r="C389" i="55"/>
  <c r="C390" i="79"/>
  <c r="C91" i="55"/>
  <c r="F91" s="1"/>
  <c r="C92" i="79"/>
  <c r="C164" i="55"/>
  <c r="F164" s="1"/>
  <c r="C165" i="79"/>
  <c r="N177"/>
  <c r="F177"/>
  <c r="J177"/>
  <c r="X177"/>
  <c r="T177"/>
  <c r="L177"/>
  <c r="R177"/>
  <c r="P177"/>
  <c r="V177"/>
  <c r="H177"/>
  <c r="Z177"/>
  <c r="C386" i="55"/>
  <c r="C387" i="79"/>
  <c r="C393"/>
  <c r="C109" i="55"/>
  <c r="F109" s="1"/>
  <c r="C110" i="79"/>
  <c r="C407" i="55"/>
  <c r="C408" i="79"/>
  <c r="P71"/>
  <c r="N71"/>
  <c r="V71"/>
  <c r="F71"/>
  <c r="T71"/>
  <c r="L71"/>
  <c r="R71"/>
  <c r="J71"/>
  <c r="X71"/>
  <c r="H71"/>
  <c r="Z71"/>
  <c r="X164" i="55"/>
  <c r="Z164"/>
  <c r="Z232"/>
  <c r="X232"/>
  <c r="X175"/>
  <c r="Z175"/>
  <c r="Z15"/>
  <c r="X15"/>
  <c r="X211"/>
  <c r="Z211"/>
  <c r="X150"/>
  <c r="Z150"/>
  <c r="X10"/>
  <c r="Z10"/>
  <c r="X109"/>
  <c r="Z109"/>
  <c r="Z91"/>
  <c r="X91"/>
  <c r="X162"/>
  <c r="Z162"/>
  <c r="X181"/>
  <c r="Z181"/>
  <c r="X20"/>
  <c r="Z20"/>
  <c r="X152"/>
  <c r="Z152"/>
  <c r="Z213"/>
  <c r="X213"/>
  <c r="T10"/>
  <c r="P10"/>
  <c r="R10"/>
  <c r="L10"/>
  <c r="N10"/>
  <c r="J10"/>
  <c r="H10"/>
  <c r="R175"/>
  <c r="T175"/>
  <c r="P175"/>
  <c r="N175"/>
  <c r="J175"/>
  <c r="L175"/>
  <c r="H175"/>
  <c r="R162"/>
  <c r="T162"/>
  <c r="P162"/>
  <c r="N162"/>
  <c r="J162"/>
  <c r="L162"/>
  <c r="H162"/>
  <c r="R150"/>
  <c r="T150"/>
  <c r="P150"/>
  <c r="L150"/>
  <c r="N150"/>
  <c r="J150"/>
  <c r="H150"/>
  <c r="T181"/>
  <c r="P181"/>
  <c r="R181"/>
  <c r="L181"/>
  <c r="H181"/>
  <c r="N181"/>
  <c r="J181"/>
  <c r="T164"/>
  <c r="P164"/>
  <c r="R164"/>
  <c r="L164"/>
  <c r="H164"/>
  <c r="N164"/>
  <c r="J164"/>
  <c r="R232"/>
  <c r="N232"/>
  <c r="T232"/>
  <c r="P232"/>
  <c r="L232"/>
  <c r="H232"/>
  <c r="J232"/>
  <c r="T213"/>
  <c r="P213"/>
  <c r="R213"/>
  <c r="L213"/>
  <c r="H213"/>
  <c r="N213"/>
  <c r="J213"/>
  <c r="T109"/>
  <c r="P109"/>
  <c r="R109"/>
  <c r="N109"/>
  <c r="J109"/>
  <c r="L109"/>
  <c r="H109"/>
  <c r="R20"/>
  <c r="T20"/>
  <c r="P20"/>
  <c r="N20"/>
  <c r="J20"/>
  <c r="L20"/>
  <c r="H20"/>
  <c r="R91"/>
  <c r="T91"/>
  <c r="P91"/>
  <c r="N91"/>
  <c r="J91"/>
  <c r="L91"/>
  <c r="H91"/>
  <c r="R15"/>
  <c r="T15"/>
  <c r="P15"/>
  <c r="L15"/>
  <c r="N15"/>
  <c r="J15"/>
  <c r="H15"/>
  <c r="R211"/>
  <c r="T211"/>
  <c r="P211"/>
  <c r="N211"/>
  <c r="J211"/>
  <c r="L211"/>
  <c r="H211"/>
  <c r="T152"/>
  <c r="P152"/>
  <c r="R152"/>
  <c r="N152"/>
  <c r="J152"/>
  <c r="L152"/>
  <c r="H152"/>
  <c r="R341"/>
  <c r="P341"/>
  <c r="L341"/>
  <c r="H341"/>
  <c r="T341"/>
  <c r="J341"/>
  <c r="M341"/>
  <c r="W341" s="1"/>
  <c r="Y341" s="1"/>
  <c r="Y342" i="79" s="1"/>
  <c r="Z342" s="1"/>
  <c r="AA342" s="1"/>
  <c r="D1000" i="58"/>
  <c r="D606"/>
  <c r="D874"/>
  <c r="F874" s="1"/>
  <c r="R1125" i="1"/>
  <c r="R1127" s="1"/>
  <c r="K3749" i="27"/>
  <c r="K3750" s="1"/>
  <c r="K3743" s="1"/>
  <c r="I3322"/>
  <c r="K3322" s="1"/>
  <c r="K3324" s="1"/>
  <c r="K3318" s="1"/>
  <c r="K3319" s="1"/>
  <c r="K3297"/>
  <c r="K3299" s="1"/>
  <c r="K3291" s="1"/>
  <c r="K3293" s="1"/>
  <c r="K3294" s="1"/>
  <c r="K2204" s="1"/>
  <c r="L3044" i="11"/>
  <c r="K3044"/>
  <c r="S2864"/>
  <c r="R2863"/>
  <c r="L2861" i="27"/>
  <c r="K2879"/>
  <c r="L2862"/>
  <c r="K2860"/>
  <c r="K2184" i="11"/>
  <c r="K2264" i="1"/>
  <c r="C189" i="79" s="1"/>
  <c r="T2895" i="11"/>
  <c r="S2898"/>
  <c r="R2896"/>
  <c r="L3023"/>
  <c r="K3023"/>
  <c r="I2940" i="27"/>
  <c r="K2916"/>
  <c r="K2920" s="1"/>
  <c r="I3039"/>
  <c r="K3039" s="1"/>
  <c r="K3043" s="1"/>
  <c r="K2883" i="11"/>
  <c r="K2890"/>
  <c r="K2898" s="1"/>
  <c r="I3058"/>
  <c r="I2960"/>
  <c r="K2940"/>
  <c r="K2944" s="1"/>
  <c r="K2945" s="1"/>
  <c r="T407" i="55"/>
  <c r="X407"/>
  <c r="Z407"/>
  <c r="V407"/>
  <c r="L3012" i="27"/>
  <c r="K3018"/>
  <c r="K3022" s="1"/>
  <c r="L3018"/>
  <c r="K3011"/>
  <c r="M2920" i="11"/>
  <c r="L2921"/>
  <c r="L2922" s="1"/>
  <c r="K2921"/>
  <c r="P2890" i="27"/>
  <c r="R2890" s="1"/>
  <c r="R2895" s="1"/>
  <c r="R2857"/>
  <c r="R2862" s="1"/>
  <c r="K3332"/>
  <c r="K3333" s="1"/>
  <c r="L3333" s="1"/>
  <c r="K3365"/>
  <c r="K3366" s="1"/>
  <c r="L3277"/>
  <c r="K2200"/>
  <c r="M3398"/>
  <c r="L3400"/>
  <c r="F44" i="50"/>
  <c r="D107"/>
  <c r="F107" s="1"/>
  <c r="D802" i="58"/>
  <c r="F802" s="1"/>
  <c r="C881" i="1"/>
  <c r="D663" i="58"/>
  <c r="F663" s="1"/>
  <c r="V175" i="55"/>
  <c r="V3623" i="1"/>
  <c r="X3623" s="1"/>
  <c r="AG3560"/>
  <c r="Z414" i="55"/>
  <c r="X414"/>
  <c r="T414"/>
  <c r="V414"/>
  <c r="V417"/>
  <c r="X417"/>
  <c r="Z417"/>
  <c r="T417"/>
  <c r="F662" i="25"/>
  <c r="D698"/>
  <c r="F698" s="1"/>
  <c r="AC14" i="27"/>
  <c r="Z15"/>
  <c r="AC15" s="1"/>
  <c r="Z401" i="55"/>
  <c r="X401"/>
  <c r="T401"/>
  <c r="V401"/>
  <c r="D1065" i="58"/>
  <c r="F1065" s="1"/>
  <c r="T416" i="55"/>
  <c r="X416"/>
  <c r="Z416"/>
  <c r="V416"/>
  <c r="S1548" i="1"/>
  <c r="T419" i="55"/>
  <c r="Z419"/>
  <c r="V419"/>
  <c r="X419"/>
  <c r="K2931" i="1"/>
  <c r="I2950"/>
  <c r="K3898" i="27"/>
  <c r="K3899" s="1"/>
  <c r="AQ151" i="1"/>
  <c r="AS151" s="1"/>
  <c r="AS137"/>
  <c r="AQ168"/>
  <c r="AB1458"/>
  <c r="AD1458" s="1"/>
  <c r="X1460"/>
  <c r="X3575"/>
  <c r="V3590"/>
  <c r="D832" i="58"/>
  <c r="F832" s="1"/>
  <c r="K3234" i="11"/>
  <c r="K2198"/>
  <c r="K2278" i="1"/>
  <c r="L3233" i="11"/>
  <c r="C418" i="55"/>
  <c r="K586" i="11"/>
  <c r="I586"/>
  <c r="P1617" i="1"/>
  <c r="R1617" s="1"/>
  <c r="R1622" s="1"/>
  <c r="R1624" s="1"/>
  <c r="K1616"/>
  <c r="K1621" s="1"/>
  <c r="K1623" s="1"/>
  <c r="K3972" i="11"/>
  <c r="I4005"/>
  <c r="T400" i="55"/>
  <c r="X400"/>
  <c r="D1064" i="58"/>
  <c r="F1064" s="1"/>
  <c r="Z400" i="55"/>
  <c r="V400"/>
  <c r="P3551" i="1"/>
  <c r="R3551" s="1"/>
  <c r="R3535"/>
  <c r="R3539" s="1"/>
  <c r="R3540" s="1"/>
  <c r="X3560"/>
  <c r="V3576"/>
  <c r="X3166"/>
  <c r="D553" i="25"/>
  <c r="X3596" i="1"/>
  <c r="V3613"/>
  <c r="X3613" s="1"/>
  <c r="R1495"/>
  <c r="V1456"/>
  <c r="X1458"/>
  <c r="AB1456"/>
  <c r="AD1456" s="1"/>
  <c r="T415" i="55"/>
  <c r="Z415"/>
  <c r="V415"/>
  <c r="X415"/>
  <c r="D435" i="58"/>
  <c r="F435" s="1"/>
  <c r="V109" i="55"/>
  <c r="C392"/>
  <c r="T392" s="1"/>
  <c r="R3555" i="1"/>
  <c r="R3556" s="1"/>
  <c r="D432" i="58"/>
  <c r="F432" s="1"/>
  <c r="I3646" i="27"/>
  <c r="K3646" s="1"/>
  <c r="K3650" s="1"/>
  <c r="K3615"/>
  <c r="K3619" s="1"/>
  <c r="F618" i="25"/>
  <c r="D654"/>
  <c r="AU112" i="1"/>
  <c r="AV112" s="1"/>
  <c r="D361" i="58"/>
  <c r="F361" s="1"/>
  <c r="V213" i="55"/>
  <c r="D711" i="58"/>
  <c r="F711" s="1"/>
  <c r="V3547" i="1"/>
  <c r="AE3547"/>
  <c r="K3547"/>
  <c r="K3551" s="1"/>
  <c r="K3552" s="1"/>
  <c r="D624" i="25"/>
  <c r="F589"/>
  <c r="I881" i="1"/>
  <c r="C176" i="55"/>
  <c r="F176" s="1"/>
  <c r="I3924" i="1"/>
  <c r="P2097"/>
  <c r="R2097" s="1"/>
  <c r="I3673" i="27"/>
  <c r="K3673" s="1"/>
  <c r="I3663"/>
  <c r="K3663" s="1"/>
  <c r="D360" i="58"/>
  <c r="F360" s="1"/>
  <c r="K3676" i="27"/>
  <c r="M3676" s="1"/>
  <c r="D872" i="58"/>
  <c r="F872" s="1"/>
  <c r="D605"/>
  <c r="F605" s="1"/>
  <c r="V161" i="55"/>
  <c r="F19" i="58"/>
  <c r="D317"/>
  <c r="K617" i="1"/>
  <c r="I617"/>
  <c r="F253" i="58"/>
  <c r="K3200" i="1"/>
  <c r="K3203" s="1"/>
  <c r="K3205" s="1"/>
  <c r="C456" i="55" s="1"/>
  <c r="I3245" i="1"/>
  <c r="I3214"/>
  <c r="F46" i="50"/>
  <c r="D109"/>
  <c r="F109" s="1"/>
  <c r="F667" i="58"/>
  <c r="F858"/>
  <c r="P1240" i="1"/>
  <c r="R1240" s="1"/>
  <c r="V1304"/>
  <c r="V1243"/>
  <c r="R1263"/>
  <c r="D273" i="58"/>
  <c r="K3966" i="1"/>
  <c r="I3983"/>
  <c r="K3983" s="1"/>
  <c r="F660" i="58"/>
  <c r="D316"/>
  <c r="D641"/>
  <c r="I3981" i="1"/>
  <c r="K3981" s="1"/>
  <c r="K3964"/>
  <c r="AB1398"/>
  <c r="AD1398" s="1"/>
  <c r="AD1400" s="1"/>
  <c r="AD1381"/>
  <c r="AD1383" s="1"/>
  <c r="F661" i="58"/>
  <c r="X596" i="1"/>
  <c r="X1245"/>
  <c r="AB1250"/>
  <c r="R3264"/>
  <c r="R3273" s="1"/>
  <c r="R3275" s="1"/>
  <c r="I3324"/>
  <c r="K3324" s="1"/>
  <c r="K3332" s="1"/>
  <c r="K3334" s="1"/>
  <c r="D281" i="58"/>
  <c r="AE430" i="1"/>
  <c r="AG430" s="1"/>
  <c r="AG394"/>
  <c r="I2941"/>
  <c r="K2941" s="1"/>
  <c r="I2932"/>
  <c r="C151" i="55"/>
  <c r="F151" s="1"/>
  <c r="D652" i="58"/>
  <c r="F843"/>
  <c r="P1247" i="1"/>
  <c r="R1247" s="1"/>
  <c r="R1270"/>
  <c r="V1250"/>
  <c r="P1386"/>
  <c r="R1386" s="1"/>
  <c r="D612" i="58"/>
  <c r="V164" i="55"/>
  <c r="P1268" i="1"/>
  <c r="R1226"/>
  <c r="T1226" s="1"/>
  <c r="J546"/>
  <c r="W545"/>
  <c r="AC545" s="1"/>
  <c r="F396" i="58"/>
  <c r="P1472" i="1"/>
  <c r="R1455"/>
  <c r="R1457" s="1"/>
  <c r="R1458" s="1"/>
  <c r="R1104"/>
  <c r="R1106" s="1"/>
  <c r="V162" i="55"/>
  <c r="I596" i="1"/>
  <c r="K596" s="1"/>
  <c r="F354" i="58"/>
  <c r="D647"/>
  <c r="C383" i="55"/>
  <c r="V455"/>
  <c r="D1067" i="58"/>
  <c r="X455" i="55"/>
  <c r="T455"/>
  <c r="Z455"/>
  <c r="X1400" i="1"/>
  <c r="X1402" s="1"/>
  <c r="V1416"/>
  <c r="D254" i="58"/>
  <c r="F881"/>
  <c r="AS69" i="1"/>
  <c r="AQ93"/>
  <c r="K3999"/>
  <c r="K4001" s="1"/>
  <c r="K4002" s="1"/>
  <c r="I4015"/>
  <c r="F646" i="58"/>
  <c r="F393"/>
  <c r="F279"/>
  <c r="F14"/>
  <c r="F884"/>
  <c r="F674"/>
  <c r="F397"/>
  <c r="F640"/>
  <c r="D27"/>
  <c r="V150" i="55"/>
  <c r="D587" i="58"/>
  <c r="C155" i="55"/>
  <c r="F155" s="1"/>
  <c r="C154"/>
  <c r="F154" s="1"/>
  <c r="D259" i="58"/>
  <c r="D148" i="25"/>
  <c r="F121"/>
  <c r="F125" s="1"/>
  <c r="D115" s="1"/>
  <c r="F115" s="1"/>
  <c r="F355" i="58"/>
  <c r="D669"/>
  <c r="V181" i="55"/>
  <c r="F883" i="58"/>
  <c r="K124" i="1"/>
  <c r="AS95"/>
  <c r="AQ115"/>
  <c r="F722" i="58"/>
  <c r="V232" i="55"/>
  <c r="D808" i="58"/>
  <c r="F312"/>
  <c r="D319"/>
  <c r="AB1249" i="1"/>
  <c r="X1244"/>
  <c r="D280" i="58"/>
  <c r="V152" i="55"/>
  <c r="D589" i="58"/>
  <c r="V211" i="55"/>
  <c r="D707" i="58"/>
  <c r="V1249" i="1"/>
  <c r="P1246"/>
  <c r="R1246" s="1"/>
  <c r="P1385"/>
  <c r="R1385" s="1"/>
  <c r="R1269"/>
  <c r="AQ114"/>
  <c r="AS94"/>
  <c r="F13" i="58"/>
  <c r="F655" i="25"/>
  <c r="D691"/>
  <c r="F691" s="1"/>
  <c r="X449" i="55"/>
  <c r="Z449"/>
  <c r="V449"/>
  <c r="T449"/>
  <c r="F560" i="58"/>
  <c r="F394"/>
  <c r="F559"/>
  <c r="D28"/>
  <c r="F272"/>
  <c r="C149" i="55"/>
  <c r="F149" s="1"/>
  <c r="I2389" i="1"/>
  <c r="K2389" s="1"/>
  <c r="F313" i="58"/>
  <c r="R2827" i="1"/>
  <c r="R2835" s="1"/>
  <c r="R2837" s="1"/>
  <c r="P2860"/>
  <c r="R2860" s="1"/>
  <c r="R2868" s="1"/>
  <c r="R2870" s="1"/>
  <c r="D20" i="58"/>
  <c r="V10" i="55"/>
  <c r="I693" i="1"/>
  <c r="K693" s="1"/>
  <c r="C96" i="55"/>
  <c r="F96" s="1"/>
  <c r="F675" i="58"/>
  <c r="F383"/>
  <c r="K3190" i="1"/>
  <c r="K3191" s="1"/>
  <c r="C454" i="55" s="1"/>
  <c r="P2158" i="1"/>
  <c r="R2158" s="1"/>
  <c r="R2166" s="1"/>
  <c r="R2168" s="1"/>
  <c r="K2151"/>
  <c r="K2159" s="1"/>
  <c r="K2161" s="1"/>
  <c r="P183"/>
  <c r="R183" s="1"/>
  <c r="I339"/>
  <c r="AQ91"/>
  <c r="AS91" s="1"/>
  <c r="I2902"/>
  <c r="K2902" s="1"/>
  <c r="K508"/>
  <c r="K514" s="1"/>
  <c r="K516" s="1"/>
  <c r="K143"/>
  <c r="K147" s="1"/>
  <c r="P2351"/>
  <c r="R2351" s="1"/>
  <c r="P38"/>
  <c r="R38" s="1"/>
  <c r="R47" s="1"/>
  <c r="R50" s="1"/>
  <c r="I229"/>
  <c r="K229" s="1"/>
  <c r="K235" s="1"/>
  <c r="K237" s="1"/>
  <c r="V91" i="55"/>
  <c r="D374" i="58"/>
  <c r="F52"/>
  <c r="I383" i="1"/>
  <c r="I359"/>
  <c r="I414"/>
  <c r="K414" s="1"/>
  <c r="K421" s="1"/>
  <c r="K423" s="1"/>
  <c r="P167"/>
  <c r="R167" s="1"/>
  <c r="I448"/>
  <c r="K448" s="1"/>
  <c r="K455" s="1"/>
  <c r="K457" s="1"/>
  <c r="I462" s="1"/>
  <c r="K462" s="1"/>
  <c r="K466" s="1"/>
  <c r="K468" s="1"/>
  <c r="K470" s="1"/>
  <c r="C51" i="79" s="1"/>
  <c r="I490" i="1"/>
  <c r="K490" s="1"/>
  <c r="K498" s="1"/>
  <c r="K500" s="1"/>
  <c r="AQ111"/>
  <c r="AS111" s="1"/>
  <c r="I1203"/>
  <c r="K1203" s="1"/>
  <c r="K1214" s="1"/>
  <c r="K1216" s="1"/>
  <c r="C70" i="79" s="1"/>
  <c r="P235" i="1"/>
  <c r="R235" s="1"/>
  <c r="I1408"/>
  <c r="K1408" s="1"/>
  <c r="K1415" s="1"/>
  <c r="K1417" s="1"/>
  <c r="AQ136"/>
  <c r="P365"/>
  <c r="R365" s="1"/>
  <c r="R373" s="1"/>
  <c r="R375" s="1"/>
  <c r="V15" i="55"/>
  <c r="D40" i="58"/>
  <c r="P1177" i="1"/>
  <c r="R1177" s="1"/>
  <c r="R1146"/>
  <c r="P351"/>
  <c r="R351" s="1"/>
  <c r="R357" s="1"/>
  <c r="R359" s="1"/>
  <c r="P299"/>
  <c r="R299" s="1"/>
  <c r="R305" s="1"/>
  <c r="R307" s="1"/>
  <c r="I1436"/>
  <c r="K1436" s="1"/>
  <c r="I1709"/>
  <c r="K1709" s="1"/>
  <c r="I1421"/>
  <c r="K1421" s="1"/>
  <c r="K1427" s="1"/>
  <c r="K1429" s="1"/>
  <c r="I623"/>
  <c r="K623" s="1"/>
  <c r="K628" s="1"/>
  <c r="K630" s="1"/>
  <c r="I631" s="1"/>
  <c r="K631" s="1"/>
  <c r="P1336"/>
  <c r="P199"/>
  <c r="I1357"/>
  <c r="K1357" s="1"/>
  <c r="I2427"/>
  <c r="I1339"/>
  <c r="K1339" s="1"/>
  <c r="K1345" s="1"/>
  <c r="K1347" s="1"/>
  <c r="I1223"/>
  <c r="I1379"/>
  <c r="K1379" s="1"/>
  <c r="I3458"/>
  <c r="I1252"/>
  <c r="D407" i="58"/>
  <c r="I3810" i="1"/>
  <c r="K3810" s="1"/>
  <c r="K3815" s="1"/>
  <c r="K3817" s="1"/>
  <c r="P310"/>
  <c r="R310" s="1"/>
  <c r="R316" s="1"/>
  <c r="R318" s="1"/>
  <c r="P322"/>
  <c r="R322" s="1"/>
  <c r="R328" s="1"/>
  <c r="R330" s="1"/>
  <c r="I214"/>
  <c r="K214" s="1"/>
  <c r="AB1335"/>
  <c r="AC1335" s="1"/>
  <c r="AC1339" s="1"/>
  <c r="AC1340" s="1"/>
  <c r="V1344" s="1"/>
  <c r="X1344" s="1"/>
  <c r="P56"/>
  <c r="R56" s="1"/>
  <c r="I1274"/>
  <c r="R22"/>
  <c r="R28" s="1"/>
  <c r="R30" s="1"/>
  <c r="W593"/>
  <c r="K14"/>
  <c r="N14"/>
  <c r="V805"/>
  <c r="K812"/>
  <c r="V647"/>
  <c r="I3255"/>
  <c r="K3255" s="1"/>
  <c r="K3261" s="1"/>
  <c r="K3263" s="1"/>
  <c r="AQ67"/>
  <c r="AS67" s="1"/>
  <c r="I199"/>
  <c r="K199" s="1"/>
  <c r="I315"/>
  <c r="K315" s="1"/>
  <c r="K322" s="1"/>
  <c r="K324" s="1"/>
  <c r="C29" i="79" s="1"/>
  <c r="I300" i="1"/>
  <c r="K300" s="1"/>
  <c r="K307" s="1"/>
  <c r="K309" s="1"/>
  <c r="I1456"/>
  <c r="K1456" s="1"/>
  <c r="K1461" s="1"/>
  <c r="K1463" s="1"/>
  <c r="P70"/>
  <c r="R70" s="1"/>
  <c r="R77" s="1"/>
  <c r="R79" s="1"/>
  <c r="P657" s="1"/>
  <c r="R657" s="1"/>
  <c r="I1395"/>
  <c r="K1395" s="1"/>
  <c r="K1401" s="1"/>
  <c r="K1403" s="1"/>
  <c r="C76" i="79" s="1"/>
  <c r="I1468" i="1"/>
  <c r="K1468" s="1"/>
  <c r="K1473" s="1"/>
  <c r="K1475" s="1"/>
  <c r="I1481"/>
  <c r="K1481" s="1"/>
  <c r="K1486" s="1"/>
  <c r="K1488" s="1"/>
  <c r="AE315"/>
  <c r="AG315" s="1"/>
  <c r="AG322" s="1"/>
  <c r="AG324" s="1"/>
  <c r="P339"/>
  <c r="R339" s="1"/>
  <c r="R345" s="1"/>
  <c r="R347" s="1"/>
  <c r="V315"/>
  <c r="X315" s="1"/>
  <c r="X322" s="1"/>
  <c r="X324" s="1"/>
  <c r="K2908"/>
  <c r="K2910" s="1"/>
  <c r="K2914" s="1"/>
  <c r="K2916" s="1"/>
  <c r="F337" i="58"/>
  <c r="K3517" i="1"/>
  <c r="K3518" s="1"/>
  <c r="F297" i="58"/>
  <c r="X803" i="1"/>
  <c r="V818"/>
  <c r="X818" s="1"/>
  <c r="F627" i="58"/>
  <c r="D42" i="50"/>
  <c r="V733" i="1"/>
  <c r="X733" s="1"/>
  <c r="X679"/>
  <c r="AD1251"/>
  <c r="AB1223"/>
  <c r="AD1223" s="1"/>
  <c r="F1066" i="58"/>
  <c r="D45"/>
  <c r="V20" i="55"/>
  <c r="F616" i="58"/>
  <c r="T389" i="55"/>
  <c r="Z389"/>
  <c r="V389"/>
  <c r="D1053" i="58"/>
  <c r="X389" i="55"/>
  <c r="Z387"/>
  <c r="T387"/>
  <c r="X387"/>
  <c r="V387"/>
  <c r="D1051" i="58"/>
  <c r="F606"/>
  <c r="F1045"/>
  <c r="F604"/>
  <c r="D105" i="32"/>
  <c r="F105" s="1"/>
  <c r="F42"/>
  <c r="H42" s="1"/>
  <c r="F620" i="58"/>
  <c r="X708" i="1"/>
  <c r="D41" i="32"/>
  <c r="V678" i="1"/>
  <c r="D628" i="58"/>
  <c r="F295"/>
  <c r="K3761" i="27"/>
  <c r="K3762" s="1"/>
  <c r="K3744"/>
  <c r="F626" i="58"/>
  <c r="P2349" i="1"/>
  <c r="C77"/>
  <c r="P234"/>
  <c r="R234" s="1"/>
  <c r="R241" s="1"/>
  <c r="R243" s="1"/>
  <c r="I170"/>
  <c r="K170" s="1"/>
  <c r="K174" s="1"/>
  <c r="F618" i="58"/>
  <c r="T386" i="55"/>
  <c r="X386"/>
  <c r="V386"/>
  <c r="Z386"/>
  <c r="D1050" i="58"/>
  <c r="Z391" i="55"/>
  <c r="T391"/>
  <c r="X391"/>
  <c r="V391"/>
  <c r="D1055" i="58"/>
  <c r="X3134" i="1"/>
  <c r="X3144" s="1"/>
  <c r="X3146" s="1"/>
  <c r="V3159"/>
  <c r="X3159" s="1"/>
  <c r="X3169" s="1"/>
  <c r="X3171" s="1"/>
  <c r="F623" i="58"/>
  <c r="X390" i="55"/>
  <c r="D1054" i="58"/>
  <c r="V390" i="55"/>
  <c r="Z390"/>
  <c r="T390"/>
  <c r="F1052" i="58"/>
  <c r="F619"/>
  <c r="P198" i="1"/>
  <c r="R198" s="1"/>
  <c r="P1144"/>
  <c r="I213"/>
  <c r="K213" s="1"/>
  <c r="K220" s="1"/>
  <c r="K222" s="1"/>
  <c r="P55"/>
  <c r="R55" s="1"/>
  <c r="I810"/>
  <c r="K810" s="1"/>
  <c r="K818" s="1"/>
  <c r="K820" s="1"/>
  <c r="I1708"/>
  <c r="K1708" s="1"/>
  <c r="I273"/>
  <c r="K273" s="1"/>
  <c r="K281" s="1"/>
  <c r="K283" s="1"/>
  <c r="P629"/>
  <c r="R629" s="1"/>
  <c r="D306" i="58"/>
  <c r="F629"/>
  <c r="D109" i="25"/>
  <c r="F87"/>
  <c r="F96" s="1"/>
  <c r="F97" s="1"/>
  <c r="Z15" i="11"/>
  <c r="AC15" s="1"/>
  <c r="AC14"/>
  <c r="C22" i="55" l="1"/>
  <c r="F22" s="1"/>
  <c r="C23" i="79"/>
  <c r="C19" i="55"/>
  <c r="F19" s="1"/>
  <c r="C20" i="79"/>
  <c r="C140" i="55"/>
  <c r="F140" s="1"/>
  <c r="C141" i="79"/>
  <c r="C81" i="55"/>
  <c r="F81" s="1"/>
  <c r="C82" i="79"/>
  <c r="R76"/>
  <c r="T76"/>
  <c r="P76"/>
  <c r="N76"/>
  <c r="J76"/>
  <c r="F76"/>
  <c r="H76"/>
  <c r="L76"/>
  <c r="Z76"/>
  <c r="V76"/>
  <c r="X76"/>
  <c r="C79" i="55"/>
  <c r="F79" s="1"/>
  <c r="C80" i="79"/>
  <c r="J29"/>
  <c r="F29"/>
  <c r="P29"/>
  <c r="H29"/>
  <c r="R29"/>
  <c r="N29"/>
  <c r="L29"/>
  <c r="T29"/>
  <c r="Z29"/>
  <c r="V29"/>
  <c r="X29"/>
  <c r="C76" i="55"/>
  <c r="F76" s="1"/>
  <c r="C77" i="79"/>
  <c r="V70"/>
  <c r="H70"/>
  <c r="N70"/>
  <c r="R70"/>
  <c r="J70"/>
  <c r="F70"/>
  <c r="T70"/>
  <c r="L70"/>
  <c r="P70"/>
  <c r="X70"/>
  <c r="Z70"/>
  <c r="C14" i="55"/>
  <c r="F14" s="1"/>
  <c r="C15" i="79"/>
  <c r="D18" i="61"/>
  <c r="F18" s="1"/>
  <c r="F19" s="1"/>
  <c r="F20" s="1"/>
  <c r="C384" i="55"/>
  <c r="C385" i="79"/>
  <c r="C408" i="55"/>
  <c r="C409" i="79"/>
  <c r="C382" i="55"/>
  <c r="C383" i="79"/>
  <c r="V408"/>
  <c r="T408"/>
  <c r="X408"/>
  <c r="Z408"/>
  <c r="T110"/>
  <c r="Z110"/>
  <c r="J110"/>
  <c r="X110"/>
  <c r="R110"/>
  <c r="P110"/>
  <c r="H110"/>
  <c r="N110"/>
  <c r="F110"/>
  <c r="V110"/>
  <c r="L110"/>
  <c r="X393"/>
  <c r="Z393"/>
  <c r="V393"/>
  <c r="T393"/>
  <c r="R165"/>
  <c r="P165"/>
  <c r="H165"/>
  <c r="X165"/>
  <c r="N165"/>
  <c r="F165"/>
  <c r="V165"/>
  <c r="L165"/>
  <c r="J165"/>
  <c r="T165"/>
  <c r="Z165"/>
  <c r="T92"/>
  <c r="J92"/>
  <c r="Z92"/>
  <c r="R92"/>
  <c r="X92"/>
  <c r="P92"/>
  <c r="H92"/>
  <c r="N92"/>
  <c r="V92"/>
  <c r="L92"/>
  <c r="F92"/>
  <c r="V390"/>
  <c r="X390"/>
  <c r="T390"/>
  <c r="Z390"/>
  <c r="X391"/>
  <c r="Z391"/>
  <c r="V391"/>
  <c r="T391"/>
  <c r="V392"/>
  <c r="T392"/>
  <c r="X392"/>
  <c r="Z392"/>
  <c r="C146" i="55"/>
  <c r="F146" s="1"/>
  <c r="C147" i="79"/>
  <c r="C80" i="55"/>
  <c r="F80" s="1"/>
  <c r="C81" i="79"/>
  <c r="C27" i="55"/>
  <c r="F27" s="1"/>
  <c r="C28" i="79"/>
  <c r="C77" i="55"/>
  <c r="F77" s="1"/>
  <c r="C78" i="79"/>
  <c r="V51"/>
  <c r="Z51"/>
  <c r="L51"/>
  <c r="F51"/>
  <c r="P51"/>
  <c r="X51"/>
  <c r="J51"/>
  <c r="T51"/>
  <c r="H51"/>
  <c r="R51"/>
  <c r="N51"/>
  <c r="C23" i="55"/>
  <c r="F23" s="1"/>
  <c r="C24" i="79"/>
  <c r="C385" i="55"/>
  <c r="C386" i="79"/>
  <c r="C108" i="55"/>
  <c r="F108" s="1"/>
  <c r="C109" i="79"/>
  <c r="R189"/>
  <c r="T189"/>
  <c r="H189"/>
  <c r="X189"/>
  <c r="L189"/>
  <c r="F189"/>
  <c r="P189"/>
  <c r="N189"/>
  <c r="V189"/>
  <c r="J189"/>
  <c r="Z189"/>
  <c r="C409" i="55"/>
  <c r="C410" i="79"/>
  <c r="V387"/>
  <c r="X387"/>
  <c r="Z387"/>
  <c r="T387"/>
  <c r="T163"/>
  <c r="H163"/>
  <c r="P163"/>
  <c r="N163"/>
  <c r="J163"/>
  <c r="R163"/>
  <c r="F163"/>
  <c r="X163"/>
  <c r="V163"/>
  <c r="L163"/>
  <c r="Z163"/>
  <c r="X16"/>
  <c r="Z16"/>
  <c r="P16"/>
  <c r="F16"/>
  <c r="V16"/>
  <c r="L16"/>
  <c r="R16"/>
  <c r="H16"/>
  <c r="N16"/>
  <c r="T16"/>
  <c r="J16"/>
  <c r="V388"/>
  <c r="T388"/>
  <c r="X388"/>
  <c r="Z388"/>
  <c r="R21"/>
  <c r="X21"/>
  <c r="N21"/>
  <c r="H21"/>
  <c r="V21"/>
  <c r="P21"/>
  <c r="L21"/>
  <c r="F21"/>
  <c r="T21"/>
  <c r="J21"/>
  <c r="Z21"/>
  <c r="X392" i="55"/>
  <c r="Z392"/>
  <c r="D1056" i="58"/>
  <c r="V392" i="55"/>
  <c r="X22"/>
  <c r="Z22"/>
  <c r="X19"/>
  <c r="Z19"/>
  <c r="Z80"/>
  <c r="Z27"/>
  <c r="N341"/>
  <c r="X81"/>
  <c r="Z81"/>
  <c r="X79"/>
  <c r="Z79"/>
  <c r="Z155"/>
  <c r="X155"/>
  <c r="Z146"/>
  <c r="X146"/>
  <c r="X77"/>
  <c r="X23"/>
  <c r="Z23"/>
  <c r="X154"/>
  <c r="Z154"/>
  <c r="X151"/>
  <c r="Z151"/>
  <c r="X140"/>
  <c r="Z140"/>
  <c r="X76"/>
  <c r="Z76"/>
  <c r="X14"/>
  <c r="Z14"/>
  <c r="X96"/>
  <c r="Z96"/>
  <c r="X149"/>
  <c r="Z149"/>
  <c r="X176"/>
  <c r="Z176"/>
  <c r="T22"/>
  <c r="P22"/>
  <c r="R22"/>
  <c r="L22"/>
  <c r="N22"/>
  <c r="J22"/>
  <c r="H22"/>
  <c r="R19"/>
  <c r="T19"/>
  <c r="P19"/>
  <c r="L19"/>
  <c r="N19"/>
  <c r="J19"/>
  <c r="H19"/>
  <c r="T80"/>
  <c r="P80"/>
  <c r="R80"/>
  <c r="N80"/>
  <c r="J80"/>
  <c r="L80"/>
  <c r="H80"/>
  <c r="T27"/>
  <c r="P27"/>
  <c r="R27"/>
  <c r="L27"/>
  <c r="N27"/>
  <c r="J27"/>
  <c r="H27"/>
  <c r="R155"/>
  <c r="T155"/>
  <c r="P155"/>
  <c r="L155"/>
  <c r="H155"/>
  <c r="N155"/>
  <c r="J155"/>
  <c r="T81"/>
  <c r="P81"/>
  <c r="R81"/>
  <c r="L81"/>
  <c r="N81"/>
  <c r="J81"/>
  <c r="H81"/>
  <c r="R79"/>
  <c r="T79"/>
  <c r="P79"/>
  <c r="N79"/>
  <c r="J79"/>
  <c r="L79"/>
  <c r="H79"/>
  <c r="T76"/>
  <c r="R76"/>
  <c r="N76"/>
  <c r="J76"/>
  <c r="L76"/>
  <c r="P76"/>
  <c r="H76"/>
  <c r="T149"/>
  <c r="P149"/>
  <c r="R149"/>
  <c r="L149"/>
  <c r="N149"/>
  <c r="J149"/>
  <c r="H149"/>
  <c r="T154"/>
  <c r="P154"/>
  <c r="R154"/>
  <c r="L154"/>
  <c r="H154"/>
  <c r="N154"/>
  <c r="J154"/>
  <c r="T176"/>
  <c r="P176"/>
  <c r="R176"/>
  <c r="N176"/>
  <c r="L176"/>
  <c r="H176"/>
  <c r="J176"/>
  <c r="T77"/>
  <c r="P77"/>
  <c r="R77"/>
  <c r="L77"/>
  <c r="N77"/>
  <c r="J77"/>
  <c r="H77"/>
  <c r="R23"/>
  <c r="T23"/>
  <c r="P23"/>
  <c r="L23"/>
  <c r="N23"/>
  <c r="J23"/>
  <c r="H23"/>
  <c r="R151"/>
  <c r="T151"/>
  <c r="P151"/>
  <c r="N151"/>
  <c r="J151"/>
  <c r="L151"/>
  <c r="H151"/>
  <c r="R146"/>
  <c r="T146"/>
  <c r="P146"/>
  <c r="L146"/>
  <c r="H146"/>
  <c r="N146"/>
  <c r="J146"/>
  <c r="T140"/>
  <c r="P140"/>
  <c r="R140"/>
  <c r="N140"/>
  <c r="J140"/>
  <c r="L140"/>
  <c r="H140"/>
  <c r="T14"/>
  <c r="P14"/>
  <c r="R14"/>
  <c r="J14"/>
  <c r="L14"/>
  <c r="H14"/>
  <c r="N14"/>
  <c r="T96"/>
  <c r="P96"/>
  <c r="R96"/>
  <c r="N96"/>
  <c r="J96"/>
  <c r="L96"/>
  <c r="H96"/>
  <c r="AC341"/>
  <c r="D551" i="58"/>
  <c r="K2209" i="27"/>
  <c r="L3319"/>
  <c r="K2267" i="1"/>
  <c r="C192" i="79" s="1"/>
  <c r="K2187" i="11"/>
  <c r="K3058"/>
  <c r="K3062" s="1"/>
  <c r="I3074"/>
  <c r="K2921" i="27"/>
  <c r="L2926"/>
  <c r="R2896"/>
  <c r="S2897"/>
  <c r="I3922" i="11"/>
  <c r="K3922" s="1"/>
  <c r="K3926" s="1"/>
  <c r="K3927" s="1"/>
  <c r="C446" i="79" s="1"/>
  <c r="K2960" i="11"/>
  <c r="K2964" s="1"/>
  <c r="L3045" i="27"/>
  <c r="K3044"/>
  <c r="C188" i="55"/>
  <c r="F188" s="1"/>
  <c r="K2890" i="27"/>
  <c r="K2898" s="1"/>
  <c r="K2883"/>
  <c r="V409" i="55"/>
  <c r="Z409"/>
  <c r="X409"/>
  <c r="T409"/>
  <c r="T2864" i="27"/>
  <c r="R2863"/>
  <c r="K2188" i="11"/>
  <c r="K2268" i="1"/>
  <c r="C193" i="79" s="1"/>
  <c r="L2884" i="11"/>
  <c r="K2884"/>
  <c r="X408" i="55"/>
  <c r="Z408"/>
  <c r="T408"/>
  <c r="V408"/>
  <c r="K3023" i="27"/>
  <c r="M3024"/>
  <c r="N3023"/>
  <c r="K2899" i="11"/>
  <c r="L2899"/>
  <c r="I3058" i="27"/>
  <c r="I2960"/>
  <c r="K2940"/>
  <c r="K2944" s="1"/>
  <c r="K2184"/>
  <c r="V140" i="55"/>
  <c r="M3400" i="27"/>
  <c r="N3398"/>
  <c r="L3619"/>
  <c r="I3636"/>
  <c r="K3636" s="1"/>
  <c r="K3638" s="1"/>
  <c r="K2212" s="1"/>
  <c r="D664" i="58"/>
  <c r="V176" i="55"/>
  <c r="D804" i="58"/>
  <c r="F804" s="1"/>
  <c r="I587" i="11"/>
  <c r="K587"/>
  <c r="AU151" i="1"/>
  <c r="AV151" s="1"/>
  <c r="D769" i="58"/>
  <c r="F769" s="1"/>
  <c r="D363"/>
  <c r="F363" s="1"/>
  <c r="F624" i="25"/>
  <c r="D660"/>
  <c r="X3576" i="1"/>
  <c r="V3591"/>
  <c r="I4020" i="11"/>
  <c r="K4020" s="1"/>
  <c r="K4005"/>
  <c r="D434" i="58"/>
  <c r="F434" s="1"/>
  <c r="T108" i="55"/>
  <c r="V108"/>
  <c r="Z108"/>
  <c r="X108"/>
  <c r="AU137" i="1"/>
  <c r="AV137" s="1"/>
  <c r="I2959"/>
  <c r="K2959" s="1"/>
  <c r="K2950"/>
  <c r="K3924"/>
  <c r="I3942"/>
  <c r="V3563"/>
  <c r="X3547"/>
  <c r="X3551" s="1"/>
  <c r="X3552" s="1"/>
  <c r="X3590"/>
  <c r="V3607"/>
  <c r="X3607" s="1"/>
  <c r="AQ183"/>
  <c r="AS183" s="1"/>
  <c r="AS168"/>
  <c r="I174" i="27"/>
  <c r="K174" s="1"/>
  <c r="K178" s="1"/>
  <c r="I2682"/>
  <c r="K2682" s="1"/>
  <c r="C73"/>
  <c r="I897" i="1"/>
  <c r="K897" s="1"/>
  <c r="I863"/>
  <c r="V881"/>
  <c r="K881"/>
  <c r="AE3563"/>
  <c r="AG3547"/>
  <c r="AG3551" s="1"/>
  <c r="AG3552" s="1"/>
  <c r="F654" i="25"/>
  <c r="D690"/>
  <c r="F690" s="1"/>
  <c r="AB1454" i="1"/>
  <c r="AD1454" s="1"/>
  <c r="X1456"/>
  <c r="F553" i="25"/>
  <c r="F556" s="1"/>
  <c r="F558" s="1"/>
  <c r="D590"/>
  <c r="D364" i="58"/>
  <c r="F364" s="1"/>
  <c r="X418" i="55"/>
  <c r="T418"/>
  <c r="Z418"/>
  <c r="V418"/>
  <c r="C74" i="27"/>
  <c r="I194" s="1"/>
  <c r="K194" s="1"/>
  <c r="K201" s="1"/>
  <c r="K203" s="1"/>
  <c r="I1712" s="1"/>
  <c r="K1712" s="1"/>
  <c r="K1721" s="1"/>
  <c r="I2692"/>
  <c r="K2692" s="1"/>
  <c r="K2696" s="1"/>
  <c r="I166"/>
  <c r="K166" s="1"/>
  <c r="K170" s="1"/>
  <c r="I2681"/>
  <c r="K2681" s="1"/>
  <c r="K2685" s="1"/>
  <c r="K2687" s="1"/>
  <c r="I2615"/>
  <c r="K2615" s="1"/>
  <c r="K2620" s="1"/>
  <c r="D875" i="58"/>
  <c r="F875" s="1"/>
  <c r="F20"/>
  <c r="AQ139" i="1"/>
  <c r="AS114"/>
  <c r="F707" i="58"/>
  <c r="D591"/>
  <c r="V154" i="55"/>
  <c r="F254" i="58"/>
  <c r="F1067"/>
  <c r="D621"/>
  <c r="D642"/>
  <c r="V1248" i="1"/>
  <c r="P1384"/>
  <c r="R1384" s="1"/>
  <c r="R1268"/>
  <c r="P1245"/>
  <c r="R1245" s="1"/>
  <c r="K2932"/>
  <c r="I2951"/>
  <c r="D1049" i="58"/>
  <c r="Z385" i="55"/>
  <c r="X385"/>
  <c r="V385"/>
  <c r="T385"/>
  <c r="D648" i="58"/>
  <c r="D315"/>
  <c r="F273"/>
  <c r="D1068"/>
  <c r="Z456" i="55"/>
  <c r="T456"/>
  <c r="V456"/>
  <c r="X456"/>
  <c r="D260" i="58"/>
  <c r="D275"/>
  <c r="F28"/>
  <c r="AS115" i="1"/>
  <c r="AQ140"/>
  <c r="F27" i="58"/>
  <c r="AS93" i="1"/>
  <c r="AS98" s="1"/>
  <c r="AS100" s="1"/>
  <c r="AS102" s="1"/>
  <c r="AQ113"/>
  <c r="T383" i="55"/>
  <c r="Z383"/>
  <c r="V383"/>
  <c r="D1047" i="58"/>
  <c r="X383" i="55"/>
  <c r="D255" i="58"/>
  <c r="F652"/>
  <c r="C153" i="55"/>
  <c r="V151"/>
  <c r="D588" i="58"/>
  <c r="F316"/>
  <c r="K3245" i="1"/>
  <c r="I3270"/>
  <c r="K3270" s="1"/>
  <c r="D653" i="58"/>
  <c r="D614"/>
  <c r="AB1254" i="1"/>
  <c r="X1249"/>
  <c r="D274" i="58"/>
  <c r="AD1249" i="1"/>
  <c r="AB1221"/>
  <c r="AD1221" s="1"/>
  <c r="D21" i="58"/>
  <c r="D170" i="25"/>
  <c r="F170" s="1"/>
  <c r="F174" s="1"/>
  <c r="F176" s="1"/>
  <c r="F148"/>
  <c r="F152" s="1"/>
  <c r="D141" s="1"/>
  <c r="D592" i="58"/>
  <c r="V155" i="55"/>
  <c r="D762" i="58"/>
  <c r="V64" i="55"/>
  <c r="D310" i="58"/>
  <c r="F647"/>
  <c r="R1472" i="1"/>
  <c r="R1474" s="1"/>
  <c r="P1480"/>
  <c r="P1503"/>
  <c r="V1433"/>
  <c r="X1433" s="1"/>
  <c r="X1435" s="1"/>
  <c r="W546"/>
  <c r="AC546" s="1"/>
  <c r="J547"/>
  <c r="X1250"/>
  <c r="AB1255"/>
  <c r="F281" i="58"/>
  <c r="AD1250" i="1"/>
  <c r="AB1222"/>
  <c r="AD1222" s="1"/>
  <c r="F641" i="58"/>
  <c r="V1324" i="1"/>
  <c r="X1324" s="1"/>
  <c r="X1304"/>
  <c r="K3214"/>
  <c r="I3229"/>
  <c r="K3229" s="1"/>
  <c r="K618"/>
  <c r="I618"/>
  <c r="R62"/>
  <c r="R64" s="1"/>
  <c r="P656" s="1"/>
  <c r="R656" s="1"/>
  <c r="AS74"/>
  <c r="AS76" s="1"/>
  <c r="AS78" s="1"/>
  <c r="AS79" s="1"/>
  <c r="AS80" s="1"/>
  <c r="AS81" s="1"/>
  <c r="AS82" s="1"/>
  <c r="T454" i="55"/>
  <c r="Z454"/>
  <c r="X454"/>
  <c r="V454"/>
  <c r="D879" i="58"/>
  <c r="F808"/>
  <c r="V96" i="55"/>
  <c r="D379" i="58"/>
  <c r="D586"/>
  <c r="V149" i="55"/>
  <c r="F589" i="58"/>
  <c r="F280"/>
  <c r="F319"/>
  <c r="D22"/>
  <c r="F259"/>
  <c r="I4030" i="1"/>
  <c r="K4015"/>
  <c r="K4017" s="1"/>
  <c r="K4018" s="1"/>
  <c r="I42" i="25"/>
  <c r="X1416" i="1"/>
  <c r="X1418" s="1"/>
  <c r="AB1414"/>
  <c r="I597"/>
  <c r="K597" s="1"/>
  <c r="D761" i="58"/>
  <c r="X384" i="55"/>
  <c r="V384"/>
  <c r="T384"/>
  <c r="D1048" i="58"/>
  <c r="Z384" i="55"/>
  <c r="X597" i="1"/>
  <c r="X598" s="1"/>
  <c r="Y593" s="1"/>
  <c r="Y594" s="1"/>
  <c r="Y595" s="1"/>
  <c r="Y596" s="1"/>
  <c r="Y597" s="1"/>
  <c r="D318" i="58"/>
  <c r="X1243" i="1"/>
  <c r="AB1248"/>
  <c r="F317" i="58"/>
  <c r="I553" i="1"/>
  <c r="K553" s="1"/>
  <c r="K558" s="1"/>
  <c r="K560" s="1"/>
  <c r="I562" s="1"/>
  <c r="K562" s="1"/>
  <c r="K520"/>
  <c r="K522" s="1"/>
  <c r="K523" s="1"/>
  <c r="K524" s="1"/>
  <c r="K525" s="1"/>
  <c r="I529"/>
  <c r="K529" s="1"/>
  <c r="K534" s="1"/>
  <c r="K536" s="1"/>
  <c r="I538" s="1"/>
  <c r="K538" s="1"/>
  <c r="X326"/>
  <c r="V80" i="55"/>
  <c r="D347" i="58"/>
  <c r="V27" i="55"/>
  <c r="D55" i="58"/>
  <c r="AB1267" i="1"/>
  <c r="AD1267" s="1"/>
  <c r="AD1272" s="1"/>
  <c r="AD1274" s="1"/>
  <c r="I1288"/>
  <c r="K1288" s="1"/>
  <c r="K1293" s="1"/>
  <c r="K1295" s="1"/>
  <c r="K1274"/>
  <c r="K1279" s="1"/>
  <c r="K1281" s="1"/>
  <c r="C171" i="79" s="1"/>
  <c r="I3825" i="1"/>
  <c r="K3825" s="1"/>
  <c r="K3838" s="1"/>
  <c r="K3840" s="1"/>
  <c r="P3464"/>
  <c r="R3464" s="1"/>
  <c r="R3477" s="1"/>
  <c r="R3479" s="1"/>
  <c r="K3458"/>
  <c r="K3471" s="1"/>
  <c r="K3473" s="1"/>
  <c r="P2434"/>
  <c r="R2434" s="1"/>
  <c r="R2443" s="1"/>
  <c r="R2445" s="1"/>
  <c r="K2427"/>
  <c r="K2436" s="1"/>
  <c r="K2438" s="1"/>
  <c r="I632"/>
  <c r="K632" s="1"/>
  <c r="P615"/>
  <c r="R615" s="1"/>
  <c r="P601"/>
  <c r="R601" s="1"/>
  <c r="P658"/>
  <c r="R658" s="1"/>
  <c r="C69" i="55"/>
  <c r="F69" s="1"/>
  <c r="I2444" i="1"/>
  <c r="K2444" s="1"/>
  <c r="K2449" s="1"/>
  <c r="K2451" s="1"/>
  <c r="D348" i="58"/>
  <c r="V81" i="55"/>
  <c r="D346" i="58"/>
  <c r="V79" i="55"/>
  <c r="X805" i="1"/>
  <c r="X814" s="1"/>
  <c r="V820"/>
  <c r="X820" s="1"/>
  <c r="X829" s="1"/>
  <c r="Z818" s="1"/>
  <c r="Z819" s="1"/>
  <c r="Z820" s="1"/>
  <c r="Z821" s="1"/>
  <c r="Z822" s="1"/>
  <c r="Z823" s="1"/>
  <c r="Z824" s="1"/>
  <c r="Z825" s="1"/>
  <c r="Z826" s="1"/>
  <c r="Z827" s="1"/>
  <c r="K1252"/>
  <c r="K1265" s="1"/>
  <c r="K1267" s="1"/>
  <c r="V1281"/>
  <c r="X1281" s="1"/>
  <c r="X1294" s="1"/>
  <c r="X1296" s="1"/>
  <c r="V1336"/>
  <c r="X1336" s="1"/>
  <c r="I1358"/>
  <c r="K1358" s="1"/>
  <c r="I1380"/>
  <c r="K1380" s="1"/>
  <c r="P1376"/>
  <c r="R1376" s="1"/>
  <c r="R1389" s="1"/>
  <c r="R1391" s="1"/>
  <c r="R1336"/>
  <c r="R1341" s="1"/>
  <c r="R1343" s="1"/>
  <c r="R1344" s="1"/>
  <c r="R1345" s="1"/>
  <c r="R1346" s="1"/>
  <c r="R1347" s="1"/>
  <c r="R1348" s="1"/>
  <c r="Q1344" s="1"/>
  <c r="Q1345" s="1"/>
  <c r="V1302"/>
  <c r="AB1192"/>
  <c r="V1335"/>
  <c r="X1335" s="1"/>
  <c r="K1443"/>
  <c r="K1445" s="1"/>
  <c r="L1415"/>
  <c r="K471"/>
  <c r="C52" i="79" s="1"/>
  <c r="C50" i="55"/>
  <c r="F50" s="1"/>
  <c r="P660" i="1"/>
  <c r="R660" s="1"/>
  <c r="K383"/>
  <c r="K390" s="1"/>
  <c r="K392" s="1"/>
  <c r="I397" s="1"/>
  <c r="K397" s="1"/>
  <c r="K401" s="1"/>
  <c r="K403" s="1"/>
  <c r="C38" i="79" s="1"/>
  <c r="V383" i="1"/>
  <c r="I1974"/>
  <c r="P626"/>
  <c r="R626" s="1"/>
  <c r="I1994"/>
  <c r="P599"/>
  <c r="R599" s="1"/>
  <c r="I2108"/>
  <c r="K2108" s="1"/>
  <c r="K2114" s="1"/>
  <c r="C104" i="79" s="1"/>
  <c r="P613" i="1"/>
  <c r="R613" s="1"/>
  <c r="D408" i="58"/>
  <c r="K1714" i="1"/>
  <c r="K1716" s="1"/>
  <c r="I1734" s="1"/>
  <c r="K1734" s="1"/>
  <c r="K1737" s="1"/>
  <c r="K1739" s="1"/>
  <c r="I1744" s="1"/>
  <c r="K1744" s="1"/>
  <c r="K1747" s="1"/>
  <c r="K1749" s="1"/>
  <c r="AG326"/>
  <c r="P600"/>
  <c r="D910" i="58"/>
  <c r="F407"/>
  <c r="K1223" i="1"/>
  <c r="K1241" s="1"/>
  <c r="K1244" s="1"/>
  <c r="P1219"/>
  <c r="V199"/>
  <c r="X199" s="1"/>
  <c r="R199"/>
  <c r="R205" s="1"/>
  <c r="R207" s="1"/>
  <c r="C146" i="79" s="1"/>
  <c r="F40" i="58"/>
  <c r="D343"/>
  <c r="V76" i="55"/>
  <c r="D64" i="58"/>
  <c r="K359" i="1"/>
  <c r="K366" s="1"/>
  <c r="K368" s="1"/>
  <c r="K370" s="1"/>
  <c r="V359"/>
  <c r="V23" i="55"/>
  <c r="D48" i="58"/>
  <c r="P631" i="1"/>
  <c r="R631" s="1"/>
  <c r="C75" i="55"/>
  <c r="F75" s="1"/>
  <c r="C28"/>
  <c r="F28" s="1"/>
  <c r="P628" i="1"/>
  <c r="R628" s="1"/>
  <c r="P627"/>
  <c r="R627" s="1"/>
  <c r="K326"/>
  <c r="V710"/>
  <c r="X647"/>
  <c r="X653" s="1"/>
  <c r="X655" s="1"/>
  <c r="X657" s="1"/>
  <c r="X658" s="1"/>
  <c r="X660" s="1"/>
  <c r="AD647"/>
  <c r="AF647" s="1"/>
  <c r="AF653" s="1"/>
  <c r="AF655" s="1"/>
  <c r="AF657" s="1"/>
  <c r="AF658" s="1"/>
  <c r="AF660" s="1"/>
  <c r="V77" i="55"/>
  <c r="D344" i="58"/>
  <c r="AS136" i="1"/>
  <c r="AQ167"/>
  <c r="AS167" s="1"/>
  <c r="AU111"/>
  <c r="AV111" s="1"/>
  <c r="P270"/>
  <c r="R270" s="1"/>
  <c r="R274" s="1"/>
  <c r="R276" s="1"/>
  <c r="R278" s="1"/>
  <c r="R279" s="1"/>
  <c r="R280" s="1"/>
  <c r="R281" s="1"/>
  <c r="I429"/>
  <c r="K429" s="1"/>
  <c r="K433" s="1"/>
  <c r="K435" s="1"/>
  <c r="K437" s="1"/>
  <c r="C45" i="79" s="1"/>
  <c r="F374" i="58"/>
  <c r="V14" i="55"/>
  <c r="D39" i="58"/>
  <c r="K339" i="1"/>
  <c r="K346" s="1"/>
  <c r="K348" s="1"/>
  <c r="K350" s="1"/>
  <c r="C32" i="79" s="1"/>
  <c r="V339" i="1"/>
  <c r="K1388"/>
  <c r="K1390" s="1"/>
  <c r="L522"/>
  <c r="K2917"/>
  <c r="I2930"/>
  <c r="K2930" s="1"/>
  <c r="K2933" s="1"/>
  <c r="K2934" s="1"/>
  <c r="F306" i="58"/>
  <c r="V732" i="1"/>
  <c r="X732" s="1"/>
  <c r="D41" i="50"/>
  <c r="X678" i="1"/>
  <c r="F42" i="50"/>
  <c r="D105"/>
  <c r="F105" s="1"/>
  <c r="P659" i="1"/>
  <c r="R659" s="1"/>
  <c r="I640"/>
  <c r="K640" s="1"/>
  <c r="K644" s="1"/>
  <c r="K646" s="1"/>
  <c r="K288"/>
  <c r="C26" i="79" s="1"/>
  <c r="D865" i="58"/>
  <c r="Z708" i="1"/>
  <c r="F1051" i="58"/>
  <c r="F109" i="25"/>
  <c r="F118" s="1"/>
  <c r="H118" s="1"/>
  <c r="D132"/>
  <c r="K824" i="1"/>
  <c r="C27" i="79" s="1"/>
  <c r="I2995" i="1"/>
  <c r="F1055" i="58"/>
  <c r="F1050"/>
  <c r="I198" i="1"/>
  <c r="V198"/>
  <c r="X198" s="1"/>
  <c r="X205" s="1"/>
  <c r="X207" s="1"/>
  <c r="F551" i="58"/>
  <c r="F45"/>
  <c r="R1144" i="1"/>
  <c r="R1155" s="1"/>
  <c r="R1159" s="1"/>
  <c r="P1175"/>
  <c r="R1175" s="1"/>
  <c r="R1186" s="1"/>
  <c r="F1054" i="58"/>
  <c r="V146" i="55"/>
  <c r="D583" i="58"/>
  <c r="F1056"/>
  <c r="V22" i="55"/>
  <c r="D47" i="58"/>
  <c r="D44"/>
  <c r="V19" i="55"/>
  <c r="M3744" i="27"/>
  <c r="K2203"/>
  <c r="F628" i="58"/>
  <c r="P2358" i="1"/>
  <c r="R2358" s="1"/>
  <c r="R2360" s="1"/>
  <c r="R2349"/>
  <c r="F41" i="32"/>
  <c r="D104"/>
  <c r="F104" s="1"/>
  <c r="F1053" i="58"/>
  <c r="I174" i="11"/>
  <c r="K174" s="1"/>
  <c r="K178" s="1"/>
  <c r="C73"/>
  <c r="I2682"/>
  <c r="K2682" s="1"/>
  <c r="I2681"/>
  <c r="K2681" s="1"/>
  <c r="K2685" s="1"/>
  <c r="K2687" s="1"/>
  <c r="I2692"/>
  <c r="K2692" s="1"/>
  <c r="K2696" s="1"/>
  <c r="I2615"/>
  <c r="K2615" s="1"/>
  <c r="K2620" s="1"/>
  <c r="C74"/>
  <c r="I194" s="1"/>
  <c r="K194" s="1"/>
  <c r="K201" s="1"/>
  <c r="K203" s="1"/>
  <c r="I1712" s="1"/>
  <c r="K1712" s="1"/>
  <c r="K1721" s="1"/>
  <c r="I166"/>
  <c r="K166" s="1"/>
  <c r="K170" s="1"/>
  <c r="C205" i="55" l="1"/>
  <c r="F205" s="1"/>
  <c r="C206" i="79"/>
  <c r="N27"/>
  <c r="F27"/>
  <c r="L27"/>
  <c r="Z27"/>
  <c r="X27"/>
  <c r="V27"/>
  <c r="P27"/>
  <c r="R27"/>
  <c r="H27"/>
  <c r="J27"/>
  <c r="T27"/>
  <c r="T26"/>
  <c r="P26"/>
  <c r="J26"/>
  <c r="Z26"/>
  <c r="H26"/>
  <c r="R26"/>
  <c r="F26"/>
  <c r="V26"/>
  <c r="X26"/>
  <c r="N26"/>
  <c r="L26"/>
  <c r="R32"/>
  <c r="V32"/>
  <c r="T32"/>
  <c r="N32"/>
  <c r="P32"/>
  <c r="J32"/>
  <c r="H32"/>
  <c r="F32"/>
  <c r="L32"/>
  <c r="X32"/>
  <c r="Z32"/>
  <c r="R45"/>
  <c r="F45"/>
  <c r="V45"/>
  <c r="P45"/>
  <c r="T45"/>
  <c r="N45"/>
  <c r="H45"/>
  <c r="L45"/>
  <c r="X45"/>
  <c r="J45"/>
  <c r="Z45"/>
  <c r="T146"/>
  <c r="X146"/>
  <c r="Z146"/>
  <c r="J146"/>
  <c r="R146"/>
  <c r="H146"/>
  <c r="P146"/>
  <c r="N146"/>
  <c r="L146"/>
  <c r="F146"/>
  <c r="V146"/>
  <c r="C90" i="55"/>
  <c r="F90" s="1"/>
  <c r="C91" i="79"/>
  <c r="T52"/>
  <c r="J52"/>
  <c r="V52"/>
  <c r="Z52"/>
  <c r="H52"/>
  <c r="P52"/>
  <c r="F52"/>
  <c r="N52"/>
  <c r="R52"/>
  <c r="X52"/>
  <c r="L52"/>
  <c r="C380"/>
  <c r="C143"/>
  <c r="C173"/>
  <c r="C172"/>
  <c r="C377" i="55"/>
  <c r="C378" i="79"/>
  <c r="R171"/>
  <c r="F171"/>
  <c r="X171"/>
  <c r="V171"/>
  <c r="T171"/>
  <c r="P171"/>
  <c r="N171"/>
  <c r="L171"/>
  <c r="H171"/>
  <c r="J171"/>
  <c r="Z171"/>
  <c r="V410"/>
  <c r="X410"/>
  <c r="Z410"/>
  <c r="T410"/>
  <c r="J78"/>
  <c r="R78"/>
  <c r="X78"/>
  <c r="L78"/>
  <c r="N78"/>
  <c r="H78"/>
  <c r="T78"/>
  <c r="V78"/>
  <c r="P78"/>
  <c r="F78"/>
  <c r="Z78"/>
  <c r="T28"/>
  <c r="P28"/>
  <c r="H28"/>
  <c r="J28"/>
  <c r="Z28"/>
  <c r="R28"/>
  <c r="X28"/>
  <c r="N28"/>
  <c r="F28"/>
  <c r="V28"/>
  <c r="L28"/>
  <c r="R81"/>
  <c r="X81"/>
  <c r="F81"/>
  <c r="P81"/>
  <c r="H81"/>
  <c r="V81"/>
  <c r="N81"/>
  <c r="L81"/>
  <c r="T81"/>
  <c r="J81"/>
  <c r="Z81"/>
  <c r="T147"/>
  <c r="J147"/>
  <c r="H147"/>
  <c r="X147"/>
  <c r="R147"/>
  <c r="P147"/>
  <c r="F147"/>
  <c r="V147"/>
  <c r="N147"/>
  <c r="L147"/>
  <c r="Z147"/>
  <c r="X382" i="55"/>
  <c r="D1046" i="58"/>
  <c r="F1046" s="1"/>
  <c r="T382" i="55"/>
  <c r="Z382"/>
  <c r="V382"/>
  <c r="R15" i="79"/>
  <c r="N15"/>
  <c r="P15"/>
  <c r="H15"/>
  <c r="F15"/>
  <c r="V15"/>
  <c r="J15"/>
  <c r="X15"/>
  <c r="T15"/>
  <c r="L15"/>
  <c r="Z15"/>
  <c r="R80"/>
  <c r="X80"/>
  <c r="F80"/>
  <c r="H80"/>
  <c r="V80"/>
  <c r="P80"/>
  <c r="L80"/>
  <c r="J80"/>
  <c r="N80"/>
  <c r="T80"/>
  <c r="Z80"/>
  <c r="Z77" i="55"/>
  <c r="X27"/>
  <c r="X80"/>
  <c r="C147"/>
  <c r="F147" s="1"/>
  <c r="C148" i="79"/>
  <c r="P104"/>
  <c r="V104"/>
  <c r="T104"/>
  <c r="L104"/>
  <c r="N104"/>
  <c r="X104"/>
  <c r="J104"/>
  <c r="R104"/>
  <c r="H104"/>
  <c r="F104"/>
  <c r="Z104"/>
  <c r="T38"/>
  <c r="J38"/>
  <c r="R38"/>
  <c r="H38"/>
  <c r="V38"/>
  <c r="F38"/>
  <c r="L38"/>
  <c r="N38"/>
  <c r="P38"/>
  <c r="X38"/>
  <c r="Z38"/>
  <c r="C145"/>
  <c r="C406"/>
  <c r="C375"/>
  <c r="C227"/>
  <c r="R193"/>
  <c r="T193"/>
  <c r="H193"/>
  <c r="P193"/>
  <c r="N193"/>
  <c r="V193"/>
  <c r="F193"/>
  <c r="X193"/>
  <c r="L193"/>
  <c r="J193"/>
  <c r="Z193"/>
  <c r="T446"/>
  <c r="X446"/>
  <c r="V446"/>
  <c r="Z446"/>
  <c r="P192"/>
  <c r="V192"/>
  <c r="N192"/>
  <c r="T192"/>
  <c r="L192"/>
  <c r="R192"/>
  <c r="J192"/>
  <c r="X192"/>
  <c r="H192"/>
  <c r="F192"/>
  <c r="Z192"/>
  <c r="F109"/>
  <c r="X109"/>
  <c r="V109"/>
  <c r="Z109"/>
  <c r="T109"/>
  <c r="V386"/>
  <c r="X386"/>
  <c r="Z386"/>
  <c r="T386"/>
  <c r="P24"/>
  <c r="H24"/>
  <c r="R24"/>
  <c r="X24"/>
  <c r="T24"/>
  <c r="F24"/>
  <c r="N24"/>
  <c r="J24"/>
  <c r="L24"/>
  <c r="V24"/>
  <c r="Z24"/>
  <c r="X383"/>
  <c r="Z383"/>
  <c r="V383"/>
  <c r="T383"/>
  <c r="X409"/>
  <c r="Z409"/>
  <c r="V409"/>
  <c r="T409"/>
  <c r="X385"/>
  <c r="Z385"/>
  <c r="V385"/>
  <c r="T385"/>
  <c r="C18"/>
  <c r="C17" i="55"/>
  <c r="T77" i="79"/>
  <c r="J77"/>
  <c r="P77"/>
  <c r="F77"/>
  <c r="L77"/>
  <c r="R77"/>
  <c r="X77"/>
  <c r="H77"/>
  <c r="V77"/>
  <c r="N77"/>
  <c r="Z77"/>
  <c r="X82"/>
  <c r="H82"/>
  <c r="P82"/>
  <c r="N82"/>
  <c r="F82"/>
  <c r="L82"/>
  <c r="J82"/>
  <c r="V82"/>
  <c r="T82"/>
  <c r="R82"/>
  <c r="Z82"/>
  <c r="R141"/>
  <c r="F141"/>
  <c r="V141"/>
  <c r="H141"/>
  <c r="X141"/>
  <c r="P141"/>
  <c r="N141"/>
  <c r="T141"/>
  <c r="L141"/>
  <c r="Z141"/>
  <c r="J141"/>
  <c r="P20"/>
  <c r="L20"/>
  <c r="F20"/>
  <c r="N20"/>
  <c r="T20"/>
  <c r="V20"/>
  <c r="R20"/>
  <c r="H20"/>
  <c r="X20"/>
  <c r="J20"/>
  <c r="Z20"/>
  <c r="R23"/>
  <c r="F23"/>
  <c r="P23"/>
  <c r="N23"/>
  <c r="T23"/>
  <c r="V23"/>
  <c r="H23"/>
  <c r="L23"/>
  <c r="X23"/>
  <c r="J23"/>
  <c r="Z23"/>
  <c r="F153" i="55"/>
  <c r="Z153"/>
  <c r="X28"/>
  <c r="Z28"/>
  <c r="X341"/>
  <c r="X90"/>
  <c r="Z90"/>
  <c r="X69"/>
  <c r="Z69"/>
  <c r="X188"/>
  <c r="Z188"/>
  <c r="X147"/>
  <c r="Z147"/>
  <c r="X50"/>
  <c r="Z50"/>
  <c r="X205"/>
  <c r="Z205"/>
  <c r="X75"/>
  <c r="Z75"/>
  <c r="T50"/>
  <c r="P50"/>
  <c r="R50"/>
  <c r="L50"/>
  <c r="N50"/>
  <c r="J50"/>
  <c r="H50"/>
  <c r="R75"/>
  <c r="T75"/>
  <c r="N75"/>
  <c r="P75"/>
  <c r="J75"/>
  <c r="L75"/>
  <c r="H75"/>
  <c r="T205"/>
  <c r="P205"/>
  <c r="R205"/>
  <c r="L205"/>
  <c r="H205"/>
  <c r="N205"/>
  <c r="J205"/>
  <c r="R147"/>
  <c r="T147"/>
  <c r="P147"/>
  <c r="N147"/>
  <c r="J147"/>
  <c r="L147"/>
  <c r="H147"/>
  <c r="R28"/>
  <c r="T28"/>
  <c r="N28"/>
  <c r="J28"/>
  <c r="P28"/>
  <c r="H28"/>
  <c r="L28"/>
  <c r="T188"/>
  <c r="P188"/>
  <c r="R188"/>
  <c r="N188"/>
  <c r="J188"/>
  <c r="L188"/>
  <c r="H188"/>
  <c r="R90"/>
  <c r="T90"/>
  <c r="P90"/>
  <c r="L90"/>
  <c r="J90"/>
  <c r="H90"/>
  <c r="N90"/>
  <c r="T69"/>
  <c r="R69"/>
  <c r="L69"/>
  <c r="N69"/>
  <c r="J69"/>
  <c r="P69"/>
  <c r="H69"/>
  <c r="L3638" i="27"/>
  <c r="C145" i="55"/>
  <c r="D867" i="58"/>
  <c r="F867" s="1"/>
  <c r="K2185" i="11"/>
  <c r="K2265" i="1"/>
  <c r="D420" i="58"/>
  <c r="F420" s="1"/>
  <c r="L3927" i="11"/>
  <c r="C445" i="55"/>
  <c r="K2187" i="27"/>
  <c r="C191" i="55"/>
  <c r="F191" s="1"/>
  <c r="K3058" i="27"/>
  <c r="K3062" s="1"/>
  <c r="I3074"/>
  <c r="D679" i="58"/>
  <c r="V188" i="55"/>
  <c r="L2965" i="11"/>
  <c r="K2965"/>
  <c r="K2960" i="27"/>
  <c r="K2964" s="1"/>
  <c r="I3913"/>
  <c r="K3913" s="1"/>
  <c r="K3917" s="1"/>
  <c r="C192" i="55"/>
  <c r="F192" s="1"/>
  <c r="L2900" i="27"/>
  <c r="K2899"/>
  <c r="K3063" i="11"/>
  <c r="L3063"/>
  <c r="L2946" i="27"/>
  <c r="K2945"/>
  <c r="K2186" i="11"/>
  <c r="K2266" i="1"/>
  <c r="C191" i="79" s="1"/>
  <c r="K2884" i="27"/>
  <c r="L2885"/>
  <c r="K3074" i="11"/>
  <c r="K3077" s="1"/>
  <c r="I3100"/>
  <c r="I3945"/>
  <c r="K3945" s="1"/>
  <c r="K3948" s="1"/>
  <c r="K3950" s="1"/>
  <c r="I1723" i="1"/>
  <c r="K1723" s="1"/>
  <c r="K1728" s="1"/>
  <c r="K1730" s="1"/>
  <c r="O3398" i="27"/>
  <c r="O3400" s="1"/>
  <c r="N3400"/>
  <c r="D806" i="58"/>
  <c r="F806" s="1"/>
  <c r="K863" i="1"/>
  <c r="I3303"/>
  <c r="K3303" s="1"/>
  <c r="V863"/>
  <c r="X863" s="1"/>
  <c r="P856"/>
  <c r="R856" s="1"/>
  <c r="V3608"/>
  <c r="X3608" s="1"/>
  <c r="X3591"/>
  <c r="D861" i="58"/>
  <c r="F861" s="1"/>
  <c r="V897" i="1"/>
  <c r="X897" s="1"/>
  <c r="X881"/>
  <c r="K3942"/>
  <c r="I3958"/>
  <c r="F590" i="25"/>
  <c r="F593" s="1"/>
  <c r="F595" s="1"/>
  <c r="D625"/>
  <c r="I269" i="27"/>
  <c r="K269" s="1"/>
  <c r="K277" s="1"/>
  <c r="K279" s="1"/>
  <c r="P65"/>
  <c r="R65" s="1"/>
  <c r="R72" s="1"/>
  <c r="R74" s="1"/>
  <c r="P631" s="1"/>
  <c r="R631" s="1"/>
  <c r="R642" s="1"/>
  <c r="I771"/>
  <c r="K771" s="1"/>
  <c r="K779" s="1"/>
  <c r="K781" s="1"/>
  <c r="P604"/>
  <c r="R604" s="1"/>
  <c r="I209"/>
  <c r="K209" s="1"/>
  <c r="K216" s="1"/>
  <c r="K218" s="1"/>
  <c r="I1636"/>
  <c r="K1636" s="1"/>
  <c r="K1642" s="1"/>
  <c r="K1644" s="1"/>
  <c r="AU183" i="1"/>
  <c r="AV183" s="1"/>
  <c r="V3579"/>
  <c r="X3563"/>
  <c r="X3567" s="1"/>
  <c r="X3568" s="1"/>
  <c r="D696" i="25"/>
  <c r="F696" s="1"/>
  <c r="F660"/>
  <c r="V3626" i="1"/>
  <c r="X3626" s="1"/>
  <c r="X3630" s="1"/>
  <c r="X3631" s="1"/>
  <c r="AG3563"/>
  <c r="AG3567" s="1"/>
  <c r="AG3568" s="1"/>
  <c r="AV168"/>
  <c r="AU168"/>
  <c r="D805" i="58"/>
  <c r="F805" s="1"/>
  <c r="R675" i="1"/>
  <c r="AU102"/>
  <c r="AV102" s="1"/>
  <c r="AS103"/>
  <c r="I598"/>
  <c r="K598" s="1"/>
  <c r="I599" s="1"/>
  <c r="K599" s="1"/>
  <c r="I600" s="1"/>
  <c r="K600" s="1"/>
  <c r="I601" s="1"/>
  <c r="K601" s="1"/>
  <c r="I602" s="1"/>
  <c r="K602" s="1"/>
  <c r="K605"/>
  <c r="F653" i="58"/>
  <c r="F621"/>
  <c r="F318"/>
  <c r="D650"/>
  <c r="F1048"/>
  <c r="F761"/>
  <c r="D256"/>
  <c r="F379"/>
  <c r="D654"/>
  <c r="AB1227" i="1"/>
  <c r="AD1227" s="1"/>
  <c r="AD1255"/>
  <c r="F592" i="58"/>
  <c r="F274"/>
  <c r="F614"/>
  <c r="K3248" i="1"/>
  <c r="K3250" s="1"/>
  <c r="C457" i="55" s="1"/>
  <c r="L3211" i="1"/>
  <c r="L3214" s="1"/>
  <c r="AS113"/>
  <c r="AQ138"/>
  <c r="AS140"/>
  <c r="AQ171"/>
  <c r="AS171" s="1"/>
  <c r="F1049" i="58"/>
  <c r="D766"/>
  <c r="D298"/>
  <c r="K619" i="1"/>
  <c r="I619"/>
  <c r="F1047" i="58"/>
  <c r="AU115" i="1"/>
  <c r="AV115" s="1"/>
  <c r="F315" i="58"/>
  <c r="D643"/>
  <c r="F22"/>
  <c r="D261"/>
  <c r="K3217" i="1"/>
  <c r="K3219" s="1"/>
  <c r="C458" i="55" s="1"/>
  <c r="L3180" i="1"/>
  <c r="L3183" s="1"/>
  <c r="L3185" s="1"/>
  <c r="F310" i="58"/>
  <c r="F21"/>
  <c r="AD1254" i="1"/>
  <c r="AB1226"/>
  <c r="AD1226" s="1"/>
  <c r="K3276"/>
  <c r="K3278" s="1"/>
  <c r="C460" i="55" s="1"/>
  <c r="L3236" i="1"/>
  <c r="L3242" s="1"/>
  <c r="L3244" s="1"/>
  <c r="F588" i="58"/>
  <c r="T153" i="55"/>
  <c r="X153"/>
  <c r="V153"/>
  <c r="D590" i="58"/>
  <c r="F260"/>
  <c r="F1068"/>
  <c r="AB1253" i="1"/>
  <c r="X1248"/>
  <c r="F642" i="58"/>
  <c r="F591"/>
  <c r="AQ170" i="1"/>
  <c r="AS170" s="1"/>
  <c r="AS139"/>
  <c r="D649" i="58"/>
  <c r="R1503" i="1"/>
  <c r="R1505" s="1"/>
  <c r="V1464"/>
  <c r="F255" i="58"/>
  <c r="AB1220" i="1"/>
  <c r="AD1220" s="1"/>
  <c r="AD1248"/>
  <c r="AB1431"/>
  <c r="AD1431" s="1"/>
  <c r="AD1433" s="1"/>
  <c r="AD1414"/>
  <c r="AD1416" s="1"/>
  <c r="K4030"/>
  <c r="K4032" s="1"/>
  <c r="K4033" s="1"/>
  <c r="I4042"/>
  <c r="K4042" s="1"/>
  <c r="K4044" s="1"/>
  <c r="K4045" s="1"/>
  <c r="D615" i="58"/>
  <c r="F879"/>
  <c r="L3195" i="1"/>
  <c r="L3198" s="1"/>
  <c r="L3200" s="1"/>
  <c r="K3232"/>
  <c r="K3234" s="1"/>
  <c r="C459" i="55" s="1"/>
  <c r="J548" i="1"/>
  <c r="W547"/>
  <c r="AC547" s="1"/>
  <c r="R1480"/>
  <c r="R1481" s="1"/>
  <c r="R1482" s="1"/>
  <c r="P1487"/>
  <c r="V1441"/>
  <c r="F762" i="58"/>
  <c r="D164" i="25"/>
  <c r="F164" s="1"/>
  <c r="D307"/>
  <c r="F307" s="1"/>
  <c r="F141"/>
  <c r="F275" i="58"/>
  <c r="F648"/>
  <c r="K2951" i="1"/>
  <c r="I2960"/>
  <c r="K2960" s="1"/>
  <c r="AU114"/>
  <c r="AV114" s="1"/>
  <c r="D563" i="58"/>
  <c r="F563" s="1"/>
  <c r="I539" i="1"/>
  <c r="K539" s="1"/>
  <c r="X1348"/>
  <c r="X1350" s="1"/>
  <c r="D582" i="58"/>
  <c r="AU136" i="1"/>
  <c r="AV136" s="1"/>
  <c r="K327"/>
  <c r="L326"/>
  <c r="D342" i="58"/>
  <c r="V75" i="55"/>
  <c r="P1261" i="1"/>
  <c r="R1219"/>
  <c r="F910" i="58"/>
  <c r="D57"/>
  <c r="P1994" i="1"/>
  <c r="R1994" s="1"/>
  <c r="K1994"/>
  <c r="C37" i="55"/>
  <c r="F37" s="1"/>
  <c r="K405" i="1"/>
  <c r="C39" i="79" s="1"/>
  <c r="X1302" i="1"/>
  <c r="X1309" s="1"/>
  <c r="X1311" s="1"/>
  <c r="X1312" s="1"/>
  <c r="X1313" s="1"/>
  <c r="X1314" s="1"/>
  <c r="X1315" s="1"/>
  <c r="X1316" s="1"/>
  <c r="W1312" s="1"/>
  <c r="W1313" s="1"/>
  <c r="V1322"/>
  <c r="X1322" s="1"/>
  <c r="X1329" s="1"/>
  <c r="X1331" s="1"/>
  <c r="L1340"/>
  <c r="L1338"/>
  <c r="F346" i="58"/>
  <c r="C374" i="55"/>
  <c r="C226"/>
  <c r="F226" s="1"/>
  <c r="D909" i="58"/>
  <c r="F347"/>
  <c r="D56"/>
  <c r="L350" i="1"/>
  <c r="C31" i="55"/>
  <c r="F31" s="1"/>
  <c r="K351" i="1"/>
  <c r="C33" i="79" s="1"/>
  <c r="AU167" i="1"/>
  <c r="AV167" s="1"/>
  <c r="D43" i="32"/>
  <c r="X710" i="1"/>
  <c r="V680"/>
  <c r="V28" i="55"/>
  <c r="D60" i="58"/>
  <c r="J370" i="1"/>
  <c r="K371"/>
  <c r="F64" i="58"/>
  <c r="F408"/>
  <c r="V414" i="1"/>
  <c r="X414" s="1"/>
  <c r="X421" s="1"/>
  <c r="X423" s="1"/>
  <c r="V429" s="1"/>
  <c r="X429" s="1"/>
  <c r="X433" s="1"/>
  <c r="X435" s="1"/>
  <c r="X437" s="1"/>
  <c r="X383"/>
  <c r="X390" s="1"/>
  <c r="X392" s="1"/>
  <c r="V397" s="1"/>
  <c r="X397" s="1"/>
  <c r="X401" s="1"/>
  <c r="X403" s="1"/>
  <c r="AE392"/>
  <c r="C51" i="55"/>
  <c r="F51" s="1"/>
  <c r="K472" i="1"/>
  <c r="C53" i="79" s="1"/>
  <c r="AI1192" i="1"/>
  <c r="AK1192" s="1"/>
  <c r="AK1197" s="1"/>
  <c r="AK1199" s="1"/>
  <c r="AK1200" s="1"/>
  <c r="AD1192"/>
  <c r="AD1197" s="1"/>
  <c r="AD1199" s="1"/>
  <c r="AD1200" s="1"/>
  <c r="C235" i="79" s="1"/>
  <c r="C172" i="55"/>
  <c r="F172" s="1"/>
  <c r="C171"/>
  <c r="F171" s="1"/>
  <c r="AU103" i="1"/>
  <c r="AV103" s="1"/>
  <c r="AS104"/>
  <c r="D634" i="58"/>
  <c r="I2386" i="1"/>
  <c r="K2386" s="1"/>
  <c r="K2393" s="1"/>
  <c r="K2395" s="1"/>
  <c r="K1366"/>
  <c r="K1368" s="1"/>
  <c r="X339"/>
  <c r="X346" s="1"/>
  <c r="X348" s="1"/>
  <c r="X350" s="1"/>
  <c r="AE339"/>
  <c r="AG339" s="1"/>
  <c r="AG346" s="1"/>
  <c r="AG348" s="1"/>
  <c r="AG350" s="1"/>
  <c r="C44" i="55"/>
  <c r="F44" s="1"/>
  <c r="K438" i="1"/>
  <c r="C46" i="79" s="1"/>
  <c r="V531" i="1"/>
  <c r="X662"/>
  <c r="X663" s="1"/>
  <c r="X664" s="1"/>
  <c r="X665" s="1"/>
  <c r="X666" s="1"/>
  <c r="X667" s="1"/>
  <c r="X359"/>
  <c r="X366" s="1"/>
  <c r="X368" s="1"/>
  <c r="X370" s="1"/>
  <c r="X371" s="1"/>
  <c r="X372" s="1"/>
  <c r="X373" s="1"/>
  <c r="X374" s="1"/>
  <c r="AE368"/>
  <c r="AG368" s="1"/>
  <c r="AG375" s="1"/>
  <c r="AG377" s="1"/>
  <c r="AG379" s="1"/>
  <c r="AG380" s="1"/>
  <c r="AG381" s="1"/>
  <c r="AH326"/>
  <c r="AG327"/>
  <c r="C103" i="55"/>
  <c r="F103" s="1"/>
  <c r="K1974" i="1"/>
  <c r="K1980" s="1"/>
  <c r="P1974"/>
  <c r="R1974" s="1"/>
  <c r="R1981" s="1"/>
  <c r="V50" i="55"/>
  <c r="D218" i="58"/>
  <c r="Y1349" i="1"/>
  <c r="D736" i="58"/>
  <c r="D331"/>
  <c r="V69" i="55"/>
  <c r="I633" i="1"/>
  <c r="K633" s="1"/>
  <c r="D737" i="58"/>
  <c r="AB531" i="1"/>
  <c r="AF662"/>
  <c r="AF663" s="1"/>
  <c r="AF664" s="1"/>
  <c r="AF665" s="1"/>
  <c r="AF666" s="1"/>
  <c r="AF667" s="1"/>
  <c r="F48" i="58"/>
  <c r="P287" i="1"/>
  <c r="R287" s="1"/>
  <c r="R292" s="1"/>
  <c r="R294" s="1"/>
  <c r="R600"/>
  <c r="P614"/>
  <c r="R614" s="1"/>
  <c r="I1992"/>
  <c r="C142" i="55"/>
  <c r="F142" s="1"/>
  <c r="C379"/>
  <c r="F348" i="58"/>
  <c r="C144" i="55"/>
  <c r="F144" s="1"/>
  <c r="C405"/>
  <c r="D1041" i="58"/>
  <c r="V377" i="55"/>
  <c r="T377"/>
  <c r="X377"/>
  <c r="Z377"/>
  <c r="C170"/>
  <c r="F170" s="1"/>
  <c r="F55" i="58"/>
  <c r="Y326" i="1"/>
  <c r="X327"/>
  <c r="D246" i="58"/>
  <c r="I2939" i="1"/>
  <c r="K2939" s="1"/>
  <c r="K2942" s="1"/>
  <c r="K2943" s="1"/>
  <c r="K2918"/>
  <c r="D233" i="58"/>
  <c r="D564"/>
  <c r="D568"/>
  <c r="I540" i="1"/>
  <c r="K540" s="1"/>
  <c r="I563"/>
  <c r="K563" s="1"/>
  <c r="D133" i="25"/>
  <c r="D298"/>
  <c r="F298" s="1"/>
  <c r="F132"/>
  <c r="V90" i="55"/>
  <c r="D373" i="58"/>
  <c r="V205" i="55"/>
  <c r="D701" i="58"/>
  <c r="R1187" i="1"/>
  <c r="I3923"/>
  <c r="K826"/>
  <c r="C26" i="55"/>
  <c r="F26" s="1"/>
  <c r="F865" i="58"/>
  <c r="H41" i="32"/>
  <c r="F47" i="58"/>
  <c r="F583"/>
  <c r="P166" i="1"/>
  <c r="R166" s="1"/>
  <c r="R173" s="1"/>
  <c r="R175" s="1"/>
  <c r="K198"/>
  <c r="K205" s="1"/>
  <c r="K207" s="1"/>
  <c r="K2995"/>
  <c r="K3002" s="1"/>
  <c r="K3004" s="1"/>
  <c r="I2792"/>
  <c r="K2792" s="1"/>
  <c r="K2799" s="1"/>
  <c r="K2801" s="1"/>
  <c r="P602"/>
  <c r="R602" s="1"/>
  <c r="P633"/>
  <c r="R633" s="1"/>
  <c r="R637" s="1"/>
  <c r="I652"/>
  <c r="K652" s="1"/>
  <c r="K658" s="1"/>
  <c r="K660" s="1"/>
  <c r="I662" s="1"/>
  <c r="K662" s="1"/>
  <c r="P616"/>
  <c r="R616" s="1"/>
  <c r="S1162"/>
  <c r="R1161"/>
  <c r="F44" i="58"/>
  <c r="AH371" i="1"/>
  <c r="D584" i="58"/>
  <c r="V147" i="55"/>
  <c r="K290" i="1"/>
  <c r="C25" i="55"/>
  <c r="F25" s="1"/>
  <c r="D104" i="50"/>
  <c r="F104" s="1"/>
  <c r="F41"/>
  <c r="P65" i="11"/>
  <c r="R65" s="1"/>
  <c r="R72" s="1"/>
  <c r="R74" s="1"/>
  <c r="P631" s="1"/>
  <c r="R631" s="1"/>
  <c r="R642" s="1"/>
  <c r="I209"/>
  <c r="K209" s="1"/>
  <c r="K216" s="1"/>
  <c r="K218" s="1"/>
  <c r="P604"/>
  <c r="R604" s="1"/>
  <c r="I771"/>
  <c r="K771" s="1"/>
  <c r="K779" s="1"/>
  <c r="K781" s="1"/>
  <c r="I1636"/>
  <c r="K1636" s="1"/>
  <c r="K1642" s="1"/>
  <c r="K1644" s="1"/>
  <c r="I269"/>
  <c r="K269" s="1"/>
  <c r="K277" s="1"/>
  <c r="K279" s="1"/>
  <c r="R46" i="79" l="1"/>
  <c r="H46"/>
  <c r="L46"/>
  <c r="N46"/>
  <c r="P46"/>
  <c r="X46"/>
  <c r="T46"/>
  <c r="V46"/>
  <c r="F46"/>
  <c r="J46"/>
  <c r="Z46"/>
  <c r="C73" i="55"/>
  <c r="F73" s="1"/>
  <c r="C74" i="79"/>
  <c r="R33"/>
  <c r="X33"/>
  <c r="H33"/>
  <c r="J33"/>
  <c r="T33"/>
  <c r="V33"/>
  <c r="P33"/>
  <c r="F33"/>
  <c r="L33"/>
  <c r="N33"/>
  <c r="Z33"/>
  <c r="C410" i="55"/>
  <c r="C411" i="79"/>
  <c r="F17" i="55"/>
  <c r="R17"/>
  <c r="P17"/>
  <c r="J17"/>
  <c r="H17"/>
  <c r="T17"/>
  <c r="L17"/>
  <c r="N17"/>
  <c r="X17"/>
  <c r="Z17"/>
  <c r="D42" i="58"/>
  <c r="F42" s="1"/>
  <c r="V17" i="55"/>
  <c r="R227" i="79"/>
  <c r="V227"/>
  <c r="N227"/>
  <c r="H227"/>
  <c r="F227"/>
  <c r="P227"/>
  <c r="Z227"/>
  <c r="X227"/>
  <c r="T227"/>
  <c r="L227"/>
  <c r="J227"/>
  <c r="V406"/>
  <c r="X406"/>
  <c r="Z406"/>
  <c r="T406"/>
  <c r="T148"/>
  <c r="Z148"/>
  <c r="R148"/>
  <c r="J148"/>
  <c r="X148"/>
  <c r="H148"/>
  <c r="P148"/>
  <c r="F148"/>
  <c r="V148"/>
  <c r="N148"/>
  <c r="L148"/>
  <c r="P173"/>
  <c r="L173"/>
  <c r="T173"/>
  <c r="V173"/>
  <c r="N173"/>
  <c r="R173"/>
  <c r="J173"/>
  <c r="X173"/>
  <c r="F173"/>
  <c r="H173"/>
  <c r="Z173"/>
  <c r="Z380"/>
  <c r="X380"/>
  <c r="V380"/>
  <c r="T380"/>
  <c r="R91"/>
  <c r="X91"/>
  <c r="F91"/>
  <c r="N91"/>
  <c r="V91"/>
  <c r="P91"/>
  <c r="J91"/>
  <c r="T91"/>
  <c r="H91"/>
  <c r="L91"/>
  <c r="Z91"/>
  <c r="C406" i="55"/>
  <c r="C407" i="79"/>
  <c r="C68"/>
  <c r="C22"/>
  <c r="C251" i="55"/>
  <c r="F251" s="1"/>
  <c r="C252" i="79"/>
  <c r="C178" i="55"/>
  <c r="F178" s="1"/>
  <c r="C179" i="79"/>
  <c r="R235"/>
  <c r="P235"/>
  <c r="X235"/>
  <c r="V235"/>
  <c r="F235"/>
  <c r="N235"/>
  <c r="H235"/>
  <c r="T235"/>
  <c r="L235"/>
  <c r="J235"/>
  <c r="Z235"/>
  <c r="V53"/>
  <c r="N53"/>
  <c r="H53"/>
  <c r="R53"/>
  <c r="T53"/>
  <c r="L53"/>
  <c r="F53"/>
  <c r="P53"/>
  <c r="X53"/>
  <c r="J53"/>
  <c r="Z53"/>
  <c r="R39"/>
  <c r="P39"/>
  <c r="X39"/>
  <c r="T39"/>
  <c r="F39"/>
  <c r="N39"/>
  <c r="L39"/>
  <c r="H39"/>
  <c r="V39"/>
  <c r="J39"/>
  <c r="Z39"/>
  <c r="C240" i="55"/>
  <c r="F240" s="1"/>
  <c r="C241" i="79"/>
  <c r="X191"/>
  <c r="P191"/>
  <c r="H191"/>
  <c r="N191"/>
  <c r="T191"/>
  <c r="R191"/>
  <c r="F191"/>
  <c r="V191"/>
  <c r="L191"/>
  <c r="J191"/>
  <c r="Z191"/>
  <c r="C189" i="55"/>
  <c r="F189" s="1"/>
  <c r="C190" i="79"/>
  <c r="P18"/>
  <c r="N18"/>
  <c r="H18"/>
  <c r="F18"/>
  <c r="L18"/>
  <c r="X18"/>
  <c r="V18"/>
  <c r="T18"/>
  <c r="R18"/>
  <c r="J18"/>
  <c r="Z18"/>
  <c r="V375"/>
  <c r="T375"/>
  <c r="X375"/>
  <c r="Z375"/>
  <c r="T145"/>
  <c r="H145"/>
  <c r="R145"/>
  <c r="P145"/>
  <c r="J145"/>
  <c r="X145"/>
  <c r="N145"/>
  <c r="F145"/>
  <c r="V145"/>
  <c r="L145"/>
  <c r="Z145"/>
  <c r="X378"/>
  <c r="V378"/>
  <c r="Z378"/>
  <c r="T378"/>
  <c r="T172"/>
  <c r="Z172"/>
  <c r="R172"/>
  <c r="J172"/>
  <c r="X172"/>
  <c r="P172"/>
  <c r="H172"/>
  <c r="F172"/>
  <c r="V172"/>
  <c r="N172"/>
  <c r="L172"/>
  <c r="P143"/>
  <c r="N143"/>
  <c r="F143"/>
  <c r="V143"/>
  <c r="T143"/>
  <c r="L143"/>
  <c r="H143"/>
  <c r="J143"/>
  <c r="X143"/>
  <c r="R143"/>
  <c r="Z143"/>
  <c r="H206"/>
  <c r="R206"/>
  <c r="L206"/>
  <c r="N206"/>
  <c r="P206"/>
  <c r="T206"/>
  <c r="V206"/>
  <c r="F206"/>
  <c r="J206"/>
  <c r="X206"/>
  <c r="Z206"/>
  <c r="V145" i="55"/>
  <c r="F145"/>
  <c r="X142"/>
  <c r="Z142"/>
  <c r="X251"/>
  <c r="Z251"/>
  <c r="X172"/>
  <c r="Z172"/>
  <c r="Z51"/>
  <c r="X51"/>
  <c r="X226"/>
  <c r="Z226"/>
  <c r="X37"/>
  <c r="Z37"/>
  <c r="X191"/>
  <c r="Z191"/>
  <c r="Z341"/>
  <c r="AA341" s="1"/>
  <c r="B1000" i="58"/>
  <c r="F1000" s="1"/>
  <c r="X44" i="55"/>
  <c r="Z44"/>
  <c r="X178"/>
  <c r="Z178"/>
  <c r="X171"/>
  <c r="Z171"/>
  <c r="X31"/>
  <c r="Z31"/>
  <c r="X192"/>
  <c r="Z192"/>
  <c r="X189"/>
  <c r="Z189"/>
  <c r="Z145"/>
  <c r="X145"/>
  <c r="Z25"/>
  <c r="X25"/>
  <c r="X170"/>
  <c r="Z170"/>
  <c r="X103"/>
  <c r="Z103"/>
  <c r="X73"/>
  <c r="Z73"/>
  <c r="X240"/>
  <c r="Z240"/>
  <c r="X26"/>
  <c r="Z26"/>
  <c r="Z144"/>
  <c r="X144"/>
  <c r="R25"/>
  <c r="T25"/>
  <c r="P25"/>
  <c r="N25"/>
  <c r="J25"/>
  <c r="L25"/>
  <c r="H25"/>
  <c r="R142"/>
  <c r="T142"/>
  <c r="P142"/>
  <c r="L142"/>
  <c r="H142"/>
  <c r="N142"/>
  <c r="J142"/>
  <c r="T226"/>
  <c r="P226"/>
  <c r="R226"/>
  <c r="N226"/>
  <c r="J226"/>
  <c r="L226"/>
  <c r="H226"/>
  <c r="T37"/>
  <c r="R37"/>
  <c r="N37"/>
  <c r="H37"/>
  <c r="P37"/>
  <c r="L37"/>
  <c r="J37"/>
  <c r="R191"/>
  <c r="T191"/>
  <c r="P191"/>
  <c r="N191"/>
  <c r="J191"/>
  <c r="L191"/>
  <c r="H191"/>
  <c r="R51"/>
  <c r="T51"/>
  <c r="P51"/>
  <c r="L51"/>
  <c r="N51"/>
  <c r="J51"/>
  <c r="H51"/>
  <c r="R31"/>
  <c r="T31"/>
  <c r="P31"/>
  <c r="L31"/>
  <c r="N31"/>
  <c r="J31"/>
  <c r="H31"/>
  <c r="T189"/>
  <c r="P189"/>
  <c r="R189"/>
  <c r="L189"/>
  <c r="H189"/>
  <c r="N189"/>
  <c r="J189"/>
  <c r="T172"/>
  <c r="P172"/>
  <c r="R172"/>
  <c r="N172"/>
  <c r="J172"/>
  <c r="L172"/>
  <c r="H172"/>
  <c r="R170"/>
  <c r="T170"/>
  <c r="P170"/>
  <c r="L170"/>
  <c r="H170"/>
  <c r="N170"/>
  <c r="J170"/>
  <c r="R44"/>
  <c r="T44"/>
  <c r="P44"/>
  <c r="N44"/>
  <c r="J44"/>
  <c r="L44"/>
  <c r="H44"/>
  <c r="R178"/>
  <c r="T178"/>
  <c r="P178"/>
  <c r="H178"/>
  <c r="N178"/>
  <c r="J178"/>
  <c r="L178"/>
  <c r="R171"/>
  <c r="T171"/>
  <c r="P171"/>
  <c r="N171"/>
  <c r="J171"/>
  <c r="L171"/>
  <c r="H171"/>
  <c r="T192"/>
  <c r="P192"/>
  <c r="R192"/>
  <c r="N192"/>
  <c r="J192"/>
  <c r="L192"/>
  <c r="H192"/>
  <c r="T26"/>
  <c r="P26"/>
  <c r="R26"/>
  <c r="N26"/>
  <c r="J26"/>
  <c r="L26"/>
  <c r="H26"/>
  <c r="T251"/>
  <c r="P251"/>
  <c r="R251"/>
  <c r="N251"/>
  <c r="J251"/>
  <c r="L251"/>
  <c r="H251"/>
  <c r="T144"/>
  <c r="P144"/>
  <c r="R144"/>
  <c r="N144"/>
  <c r="J144"/>
  <c r="L144"/>
  <c r="H144"/>
  <c r="R103"/>
  <c r="T103"/>
  <c r="P103"/>
  <c r="N103"/>
  <c r="J103"/>
  <c r="L103"/>
  <c r="H103"/>
  <c r="T73"/>
  <c r="P73"/>
  <c r="R73"/>
  <c r="L73"/>
  <c r="N73"/>
  <c r="J73"/>
  <c r="H73"/>
  <c r="T240"/>
  <c r="P240"/>
  <c r="R240"/>
  <c r="N240"/>
  <c r="L240"/>
  <c r="H240"/>
  <c r="J240"/>
  <c r="T145"/>
  <c r="P145"/>
  <c r="R145"/>
  <c r="L145"/>
  <c r="H145"/>
  <c r="N145"/>
  <c r="J145"/>
  <c r="R620" i="1"/>
  <c r="D666" i="58"/>
  <c r="V178" i="55"/>
  <c r="K3079" i="11"/>
  <c r="K3087"/>
  <c r="K3091" s="1"/>
  <c r="X410" i="55"/>
  <c r="Z410"/>
  <c r="V410"/>
  <c r="T410"/>
  <c r="D683" i="58"/>
  <c r="F683" s="1"/>
  <c r="V192" i="55"/>
  <c r="D423" i="58"/>
  <c r="F423" s="1"/>
  <c r="Z445" i="55"/>
  <c r="V445"/>
  <c r="T445"/>
  <c r="X445"/>
  <c r="P3073" i="11"/>
  <c r="R3073" s="1"/>
  <c r="R3077" s="1"/>
  <c r="K3100"/>
  <c r="K3104" s="1"/>
  <c r="I3815"/>
  <c r="K3815" s="1"/>
  <c r="K3823" s="1"/>
  <c r="I3114"/>
  <c r="C190" i="55"/>
  <c r="F190" s="1"/>
  <c r="D424" i="58"/>
  <c r="F424" s="1"/>
  <c r="K2190" i="11"/>
  <c r="K2270" i="1"/>
  <c r="C195" i="79" s="1"/>
  <c r="L3064" i="27"/>
  <c r="K3063"/>
  <c r="V189" i="55"/>
  <c r="D680" i="58"/>
  <c r="K3957" i="11"/>
  <c r="L3952"/>
  <c r="M3950"/>
  <c r="K3951"/>
  <c r="K2185" i="27"/>
  <c r="K2965"/>
  <c r="L2966"/>
  <c r="I3936"/>
  <c r="K3936" s="1"/>
  <c r="K3939" s="1"/>
  <c r="K3941" s="1"/>
  <c r="K3074"/>
  <c r="K3077" s="1"/>
  <c r="I3100"/>
  <c r="D870" i="58"/>
  <c r="F870" s="1"/>
  <c r="L3928" i="11"/>
  <c r="M3927"/>
  <c r="K2188" i="27"/>
  <c r="K2186"/>
  <c r="K3918"/>
  <c r="L3919"/>
  <c r="V191" i="55"/>
  <c r="D682" i="58"/>
  <c r="F682" s="1"/>
  <c r="D903"/>
  <c r="F903" s="1"/>
  <c r="D803"/>
  <c r="F803" s="1"/>
  <c r="V3594" i="1"/>
  <c r="X3579"/>
  <c r="X3583" s="1"/>
  <c r="X3584" s="1"/>
  <c r="K284" i="27"/>
  <c r="K286" s="1"/>
  <c r="K287" s="1"/>
  <c r="K288" s="1"/>
  <c r="K289" s="1"/>
  <c r="K290" s="1"/>
  <c r="I608"/>
  <c r="K608" s="1"/>
  <c r="K612" s="1"/>
  <c r="K614" s="1"/>
  <c r="P634"/>
  <c r="R634" s="1"/>
  <c r="D807" i="58"/>
  <c r="F807" s="1"/>
  <c r="D801"/>
  <c r="F801" s="1"/>
  <c r="I2465" i="27"/>
  <c r="K2465" s="1"/>
  <c r="K2472" s="1"/>
  <c r="K2474" s="1"/>
  <c r="I1651"/>
  <c r="K1651" s="1"/>
  <c r="K1656" s="1"/>
  <c r="K1658" s="1"/>
  <c r="I2306"/>
  <c r="K2306" s="1"/>
  <c r="K2313" s="1"/>
  <c r="K2316" s="1"/>
  <c r="I1662"/>
  <c r="K1662" s="1"/>
  <c r="K1665" s="1"/>
  <c r="K1667" s="1"/>
  <c r="I1672" s="1"/>
  <c r="K1672" s="1"/>
  <c r="K1675" s="1"/>
  <c r="K1677" s="1"/>
  <c r="I850"/>
  <c r="K850" s="1"/>
  <c r="K863" s="1"/>
  <c r="K785"/>
  <c r="K788" s="1"/>
  <c r="K789" s="1"/>
  <c r="K790" s="1"/>
  <c r="K791" s="1"/>
  <c r="K792" s="1"/>
  <c r="I815"/>
  <c r="K815" s="1"/>
  <c r="K827" s="1"/>
  <c r="I833"/>
  <c r="K833" s="1"/>
  <c r="K846" s="1"/>
  <c r="D860" i="58"/>
  <c r="F860" s="1"/>
  <c r="D661" i="25"/>
  <c r="F625"/>
  <c r="F628" s="1"/>
  <c r="F630" s="1"/>
  <c r="K3958" i="1"/>
  <c r="I3975"/>
  <c r="K3975" s="1"/>
  <c r="D262" i="58"/>
  <c r="D767"/>
  <c r="AU170" i="1"/>
  <c r="AV170"/>
  <c r="F590" i="58"/>
  <c r="F643"/>
  <c r="F766"/>
  <c r="AU171" i="1"/>
  <c r="AV171" s="1"/>
  <c r="D257" i="58"/>
  <c r="F615"/>
  <c r="T457" i="55"/>
  <c r="D1069" i="58"/>
  <c r="V457" i="55"/>
  <c r="Z457"/>
  <c r="X457"/>
  <c r="F654" i="58"/>
  <c r="F650"/>
  <c r="D644"/>
  <c r="V1448" i="1"/>
  <c r="R1487"/>
  <c r="R1488" s="1"/>
  <c r="D1071" i="58"/>
  <c r="V459" i="55"/>
  <c r="Z459"/>
  <c r="X459"/>
  <c r="T459"/>
  <c r="D768" i="58"/>
  <c r="X1464" i="1"/>
  <c r="X1466" s="1"/>
  <c r="AB1462"/>
  <c r="AD1462" s="1"/>
  <c r="AD1464" s="1"/>
  <c r="AU139"/>
  <c r="AV139" s="1"/>
  <c r="D655" i="58"/>
  <c r="AU113" i="1"/>
  <c r="AV113" s="1"/>
  <c r="AS118"/>
  <c r="F256" i="58"/>
  <c r="F582"/>
  <c r="F649"/>
  <c r="F298"/>
  <c r="AU140" i="1"/>
  <c r="AV140" s="1"/>
  <c r="AB1439"/>
  <c r="AD1439" s="1"/>
  <c r="AD1440" s="1"/>
  <c r="AD1441" s="1"/>
  <c r="X1441"/>
  <c r="X1442" s="1"/>
  <c r="X1443" s="1"/>
  <c r="J549"/>
  <c r="W548"/>
  <c r="AC548" s="1"/>
  <c r="AB1225"/>
  <c r="AD1225" s="1"/>
  <c r="AD1253"/>
  <c r="D1072" i="58"/>
  <c r="T460" i="55"/>
  <c r="X460"/>
  <c r="V460"/>
  <c r="Z460"/>
  <c r="T458"/>
  <c r="V458"/>
  <c r="X458"/>
  <c r="Z458"/>
  <c r="D1070" i="58"/>
  <c r="F261"/>
  <c r="AS138" i="1"/>
  <c r="AQ169"/>
  <c r="AS169" s="1"/>
  <c r="R606"/>
  <c r="D657" i="58"/>
  <c r="V170" i="55"/>
  <c r="F1041" i="58"/>
  <c r="D635"/>
  <c r="D855"/>
  <c r="V251" i="55"/>
  <c r="AH327" i="1"/>
  <c r="AG328"/>
  <c r="AG329" s="1"/>
  <c r="AG330" s="1"/>
  <c r="AH328"/>
  <c r="X351"/>
  <c r="F634" i="58"/>
  <c r="D334"/>
  <c r="AK1201" i="1"/>
  <c r="X405"/>
  <c r="K372"/>
  <c r="J375" s="1"/>
  <c r="J371"/>
  <c r="L371"/>
  <c r="D106" i="32"/>
  <c r="F106" s="1"/>
  <c r="F112" s="1"/>
  <c r="F113" s="1"/>
  <c r="F43"/>
  <c r="C32" i="55"/>
  <c r="F32" s="1"/>
  <c r="K352" i="1"/>
  <c r="C34" i="79" s="1"/>
  <c r="L351" i="1"/>
  <c r="F57" i="58"/>
  <c r="P1238" i="1"/>
  <c r="R1238" s="1"/>
  <c r="R1250" s="1"/>
  <c r="R1252" s="1"/>
  <c r="R1261"/>
  <c r="R1273" s="1"/>
  <c r="R1275" s="1"/>
  <c r="V1241"/>
  <c r="Y327"/>
  <c r="X328"/>
  <c r="X329" s="1"/>
  <c r="X330" s="1"/>
  <c r="D335" i="58"/>
  <c r="K1992" i="1"/>
  <c r="K2001" s="1"/>
  <c r="P1992"/>
  <c r="R1992" s="1"/>
  <c r="R2002" s="1"/>
  <c r="AB555"/>
  <c r="AD555" s="1"/>
  <c r="AD560" s="1"/>
  <c r="AD562" s="1"/>
  <c r="AD531"/>
  <c r="AD536" s="1"/>
  <c r="AD538" s="1"/>
  <c r="AB540" s="1"/>
  <c r="AD540" s="1"/>
  <c r="D400" i="58"/>
  <c r="AG351" i="1"/>
  <c r="C234" i="55"/>
  <c r="F234" s="1"/>
  <c r="AD1201" i="1"/>
  <c r="C236" i="79" s="1"/>
  <c r="AE428" i="1"/>
  <c r="AG428" s="1"/>
  <c r="AG435" s="1"/>
  <c r="AG437" s="1"/>
  <c r="AE443" s="1"/>
  <c r="AG443" s="1"/>
  <c r="AG447" s="1"/>
  <c r="AG449" s="1"/>
  <c r="AG451" s="1"/>
  <c r="AG392"/>
  <c r="AG399" s="1"/>
  <c r="AG401" s="1"/>
  <c r="AE406" s="1"/>
  <c r="AG406" s="1"/>
  <c r="AG410" s="1"/>
  <c r="AG412" s="1"/>
  <c r="AQ392"/>
  <c r="AS392" s="1"/>
  <c r="AS399" s="1"/>
  <c r="AS401" s="1"/>
  <c r="AS403" s="1"/>
  <c r="AS404" s="1"/>
  <c r="AS405" s="1"/>
  <c r="AS406" s="1"/>
  <c r="AS407" s="1"/>
  <c r="AS408" s="1"/>
  <c r="AS409" s="1"/>
  <c r="Z710"/>
  <c r="X716"/>
  <c r="R1231"/>
  <c r="R1233" s="1"/>
  <c r="T1219"/>
  <c r="T1231" s="1"/>
  <c r="T1233" s="1"/>
  <c r="X375"/>
  <c r="D581" i="58"/>
  <c r="V144" i="55"/>
  <c r="V142"/>
  <c r="D553" i="58"/>
  <c r="D333"/>
  <c r="F737"/>
  <c r="F736"/>
  <c r="D844"/>
  <c r="V240" i="55"/>
  <c r="V103"/>
  <c r="D403" i="58"/>
  <c r="D206"/>
  <c r="V44" i="55"/>
  <c r="D659" i="58"/>
  <c r="V172" i="55"/>
  <c r="V51"/>
  <c r="D219" i="58"/>
  <c r="D43" i="50"/>
  <c r="V734" i="1"/>
  <c r="X734" s="1"/>
  <c r="X740" s="1"/>
  <c r="X741" s="1"/>
  <c r="X680"/>
  <c r="X686" s="1"/>
  <c r="X687" s="1"/>
  <c r="F56" i="58"/>
  <c r="F909"/>
  <c r="X374" i="55"/>
  <c r="V374"/>
  <c r="Z374"/>
  <c r="D1038" i="58"/>
  <c r="T374" i="55"/>
  <c r="D168" i="58"/>
  <c r="V37" i="55"/>
  <c r="K328" i="1"/>
  <c r="L327"/>
  <c r="X405" i="55"/>
  <c r="Z405"/>
  <c r="V405"/>
  <c r="T405"/>
  <c r="D1043" i="58"/>
  <c r="Z379" i="55"/>
  <c r="V379"/>
  <c r="X379"/>
  <c r="T379"/>
  <c r="I634" i="1"/>
  <c r="K634" s="1"/>
  <c r="F218" i="58"/>
  <c r="V555" i="1"/>
  <c r="X555" s="1"/>
  <c r="X560" s="1"/>
  <c r="X562" s="1"/>
  <c r="C128" i="79" s="1"/>
  <c r="X531" i="1"/>
  <c r="X536" s="1"/>
  <c r="X538" s="1"/>
  <c r="V540" s="1"/>
  <c r="X540" s="1"/>
  <c r="C122" i="79" s="1"/>
  <c r="K439" i="1"/>
  <c r="C47" i="79" s="1"/>
  <c r="C45" i="55"/>
  <c r="F45" s="1"/>
  <c r="V73"/>
  <c r="D340" i="58"/>
  <c r="AS105" i="1"/>
  <c r="AU104"/>
  <c r="AV104" s="1"/>
  <c r="D658" i="58"/>
  <c r="V171" i="55"/>
  <c r="K473" i="1"/>
  <c r="C54" i="79" s="1"/>
  <c r="C52" i="55"/>
  <c r="F52" s="1"/>
  <c r="X438" i="1"/>
  <c r="V31" i="55"/>
  <c r="D119" i="58"/>
  <c r="V226" i="55"/>
  <c r="D726" i="58"/>
  <c r="C38" i="55"/>
  <c r="F38" s="1"/>
  <c r="J405" i="1"/>
  <c r="K406"/>
  <c r="C40" i="79" s="1"/>
  <c r="I564" i="1"/>
  <c r="K564" s="1"/>
  <c r="D234" i="58"/>
  <c r="F568"/>
  <c r="I2949" i="1"/>
  <c r="K2949" s="1"/>
  <c r="K2952" s="1"/>
  <c r="K2953" s="1"/>
  <c r="K2919"/>
  <c r="I2958" s="1"/>
  <c r="K2958" s="1"/>
  <c r="K2961" s="1"/>
  <c r="K2962" s="1"/>
  <c r="F246" i="58"/>
  <c r="D569"/>
  <c r="I541" i="1"/>
  <c r="K541" s="1"/>
  <c r="F233" i="58"/>
  <c r="D565"/>
  <c r="F564"/>
  <c r="D247"/>
  <c r="X406" i="55"/>
  <c r="V406"/>
  <c r="Z406"/>
  <c r="T406"/>
  <c r="F666" i="58"/>
  <c r="I663" i="1"/>
  <c r="K663" s="1"/>
  <c r="K827"/>
  <c r="Y370"/>
  <c r="Z370" s="1"/>
  <c r="C21" i="55"/>
  <c r="F21" s="1"/>
  <c r="C67"/>
  <c r="F67" s="1"/>
  <c r="I1784" i="1"/>
  <c r="K1784" s="1"/>
  <c r="K1793" s="1"/>
  <c r="I3941"/>
  <c r="K3923"/>
  <c r="K3935" s="1"/>
  <c r="K291"/>
  <c r="D517" i="58"/>
  <c r="V25" i="55"/>
  <c r="D53" i="58"/>
  <c r="AG382" i="1"/>
  <c r="AH372"/>
  <c r="R1162"/>
  <c r="V26" i="55"/>
  <c r="D54" i="58"/>
  <c r="D514"/>
  <c r="F373"/>
  <c r="D299" i="25"/>
  <c r="F299" s="1"/>
  <c r="D134"/>
  <c r="F133"/>
  <c r="Y371" i="1"/>
  <c r="Y372"/>
  <c r="F584" i="58"/>
  <c r="R1188" i="1"/>
  <c r="F701" i="58"/>
  <c r="I1662" i="11"/>
  <c r="K1662" s="1"/>
  <c r="K1665" s="1"/>
  <c r="K1667" s="1"/>
  <c r="I1672" s="1"/>
  <c r="K1672" s="1"/>
  <c r="K1675" s="1"/>
  <c r="K1677" s="1"/>
  <c r="I2306"/>
  <c r="K2306" s="1"/>
  <c r="K2313" s="1"/>
  <c r="K2316" s="1"/>
  <c r="I1651"/>
  <c r="K1651" s="1"/>
  <c r="K1656" s="1"/>
  <c r="K1658" s="1"/>
  <c r="I2465"/>
  <c r="K2465" s="1"/>
  <c r="K2472" s="1"/>
  <c r="K2474" s="1"/>
  <c r="K284"/>
  <c r="K286" s="1"/>
  <c r="K287" s="1"/>
  <c r="K288" s="1"/>
  <c r="K289" s="1"/>
  <c r="K290" s="1"/>
  <c r="I608"/>
  <c r="K608" s="1"/>
  <c r="K612" s="1"/>
  <c r="K614" s="1"/>
  <c r="P634"/>
  <c r="R634" s="1"/>
  <c r="I815"/>
  <c r="K815" s="1"/>
  <c r="K827" s="1"/>
  <c r="K785"/>
  <c r="K788" s="1"/>
  <c r="K789" s="1"/>
  <c r="K790" s="1"/>
  <c r="K791" s="1"/>
  <c r="K792" s="1"/>
  <c r="I833"/>
  <c r="K833" s="1"/>
  <c r="K846" s="1"/>
  <c r="I850"/>
  <c r="K850" s="1"/>
  <c r="K863" s="1"/>
  <c r="R40" i="79" l="1"/>
  <c r="N40"/>
  <c r="L40"/>
  <c r="T40"/>
  <c r="F40"/>
  <c r="V40"/>
  <c r="H40"/>
  <c r="P40"/>
  <c r="X40"/>
  <c r="J40"/>
  <c r="Z40"/>
  <c r="P122"/>
  <c r="T122"/>
  <c r="N122"/>
  <c r="X122"/>
  <c r="V122"/>
  <c r="J122"/>
  <c r="L122"/>
  <c r="R122"/>
  <c r="H122"/>
  <c r="F122"/>
  <c r="Z122"/>
  <c r="C230"/>
  <c r="C376"/>
  <c r="C229"/>
  <c r="R236"/>
  <c r="F236"/>
  <c r="P236"/>
  <c r="H236"/>
  <c r="X236"/>
  <c r="V236"/>
  <c r="L236"/>
  <c r="J236"/>
  <c r="N236"/>
  <c r="T236"/>
  <c r="Z236"/>
  <c r="C252" i="55"/>
  <c r="F252" s="1"/>
  <c r="C253" i="79"/>
  <c r="C228"/>
  <c r="C377"/>
  <c r="T34"/>
  <c r="X34"/>
  <c r="L34"/>
  <c r="J34"/>
  <c r="F34"/>
  <c r="V34"/>
  <c r="P34"/>
  <c r="N34"/>
  <c r="H34"/>
  <c r="R34"/>
  <c r="Z34"/>
  <c r="R190"/>
  <c r="X190"/>
  <c r="H190"/>
  <c r="P190"/>
  <c r="F190"/>
  <c r="V190"/>
  <c r="N190"/>
  <c r="T190"/>
  <c r="J190"/>
  <c r="L190"/>
  <c r="Z190"/>
  <c r="P179"/>
  <c r="N179"/>
  <c r="X179"/>
  <c r="H179"/>
  <c r="V179"/>
  <c r="F179"/>
  <c r="T179"/>
  <c r="R179"/>
  <c r="J179"/>
  <c r="L179"/>
  <c r="Z179"/>
  <c r="R252"/>
  <c r="F252"/>
  <c r="X252"/>
  <c r="P252"/>
  <c r="H252"/>
  <c r="N252"/>
  <c r="T252"/>
  <c r="V252"/>
  <c r="L252"/>
  <c r="J252"/>
  <c r="Z252"/>
  <c r="J22"/>
  <c r="F22"/>
  <c r="N22"/>
  <c r="L22"/>
  <c r="T22"/>
  <c r="H22"/>
  <c r="R22"/>
  <c r="P22"/>
  <c r="Z22"/>
  <c r="V22"/>
  <c r="X22"/>
  <c r="X407"/>
  <c r="Z407"/>
  <c r="V407"/>
  <c r="T407"/>
  <c r="P74"/>
  <c r="V74"/>
  <c r="T74"/>
  <c r="L74"/>
  <c r="F74"/>
  <c r="N74"/>
  <c r="R74"/>
  <c r="J74"/>
  <c r="X74"/>
  <c r="H74"/>
  <c r="Z74"/>
  <c r="C93" i="55"/>
  <c r="F93" s="1"/>
  <c r="C94" i="79"/>
  <c r="T54"/>
  <c r="J54"/>
  <c r="P54"/>
  <c r="F54"/>
  <c r="Z54"/>
  <c r="H54"/>
  <c r="V54"/>
  <c r="N54"/>
  <c r="R54"/>
  <c r="X54"/>
  <c r="L54"/>
  <c r="T47"/>
  <c r="F47"/>
  <c r="V47"/>
  <c r="P47"/>
  <c r="X47"/>
  <c r="J47"/>
  <c r="N47"/>
  <c r="H47"/>
  <c r="R47"/>
  <c r="L47"/>
  <c r="Z47"/>
  <c r="P128"/>
  <c r="N128"/>
  <c r="V128"/>
  <c r="X128"/>
  <c r="F128"/>
  <c r="T128"/>
  <c r="L128"/>
  <c r="J128"/>
  <c r="R128"/>
  <c r="H128"/>
  <c r="Z128"/>
  <c r="C446" i="55"/>
  <c r="C447" i="79"/>
  <c r="X195"/>
  <c r="P195"/>
  <c r="H195"/>
  <c r="F195"/>
  <c r="V195"/>
  <c r="L195"/>
  <c r="J195"/>
  <c r="N195"/>
  <c r="T195"/>
  <c r="R195"/>
  <c r="Z195"/>
  <c r="R241"/>
  <c r="N241"/>
  <c r="F241"/>
  <c r="H241"/>
  <c r="P241"/>
  <c r="X241"/>
  <c r="V241"/>
  <c r="T241"/>
  <c r="L241"/>
  <c r="Z241"/>
  <c r="J241"/>
  <c r="R68"/>
  <c r="P68"/>
  <c r="H68"/>
  <c r="X68"/>
  <c r="N68"/>
  <c r="F68"/>
  <c r="V68"/>
  <c r="L68"/>
  <c r="T68"/>
  <c r="J68"/>
  <c r="Z68"/>
  <c r="X411"/>
  <c r="Z411"/>
  <c r="V411"/>
  <c r="T411"/>
  <c r="Z93" i="55"/>
  <c r="X21"/>
  <c r="Z21"/>
  <c r="X38"/>
  <c r="Z38"/>
  <c r="X252"/>
  <c r="Z252"/>
  <c r="X67"/>
  <c r="Z67"/>
  <c r="X234"/>
  <c r="Z234"/>
  <c r="X32"/>
  <c r="Z32"/>
  <c r="Z52"/>
  <c r="X52"/>
  <c r="X45"/>
  <c r="Z45"/>
  <c r="X190"/>
  <c r="Z190"/>
  <c r="T93"/>
  <c r="R93"/>
  <c r="N93"/>
  <c r="H93"/>
  <c r="R190"/>
  <c r="T190"/>
  <c r="P190"/>
  <c r="L190"/>
  <c r="H190"/>
  <c r="N190"/>
  <c r="J190"/>
  <c r="R52"/>
  <c r="T52"/>
  <c r="P52"/>
  <c r="N52"/>
  <c r="J52"/>
  <c r="L52"/>
  <c r="H52"/>
  <c r="T45"/>
  <c r="P45"/>
  <c r="R45"/>
  <c r="N45"/>
  <c r="J45"/>
  <c r="L45"/>
  <c r="H45"/>
  <c r="T252"/>
  <c r="P252"/>
  <c r="R252"/>
  <c r="N252"/>
  <c r="L252"/>
  <c r="H252"/>
  <c r="J252"/>
  <c r="T21"/>
  <c r="R21"/>
  <c r="N21"/>
  <c r="P21"/>
  <c r="H21"/>
  <c r="J21"/>
  <c r="L21"/>
  <c r="T38"/>
  <c r="P38"/>
  <c r="R38"/>
  <c r="L38"/>
  <c r="N38"/>
  <c r="J38"/>
  <c r="H38"/>
  <c r="T234"/>
  <c r="P234"/>
  <c r="R234"/>
  <c r="N234"/>
  <c r="J234"/>
  <c r="L234"/>
  <c r="H234"/>
  <c r="R32"/>
  <c r="T32"/>
  <c r="P32"/>
  <c r="N32"/>
  <c r="J32"/>
  <c r="L32"/>
  <c r="H32"/>
  <c r="R67"/>
  <c r="T67"/>
  <c r="P67"/>
  <c r="N67"/>
  <c r="J67"/>
  <c r="L67"/>
  <c r="H67"/>
  <c r="K3948" i="27"/>
  <c r="K3952" s="1"/>
  <c r="K3953" s="1"/>
  <c r="K3942"/>
  <c r="K3970" i="11"/>
  <c r="K3961"/>
  <c r="K3962" s="1"/>
  <c r="C448" i="79" s="1"/>
  <c r="D681" i="58"/>
  <c r="F681" s="1"/>
  <c r="V190" i="55"/>
  <c r="K3080" i="11"/>
  <c r="L3081"/>
  <c r="D871" i="58"/>
  <c r="F871" s="1"/>
  <c r="K3087" i="27"/>
  <c r="K3091" s="1"/>
  <c r="K3079"/>
  <c r="D868" i="58"/>
  <c r="F868" s="1"/>
  <c r="D422"/>
  <c r="F422" s="1"/>
  <c r="K3105" i="11"/>
  <c r="C413" i="79" s="1"/>
  <c r="L3106" i="11"/>
  <c r="K3092"/>
  <c r="M3092"/>
  <c r="L3093"/>
  <c r="L3094" s="1"/>
  <c r="D869" i="58"/>
  <c r="F869" s="1"/>
  <c r="S3079" i="11"/>
  <c r="S3081"/>
  <c r="R3078"/>
  <c r="T3078"/>
  <c r="K3100" i="27"/>
  <c r="K3104" s="1"/>
  <c r="P3073"/>
  <c r="R3073" s="1"/>
  <c r="R3077" s="1"/>
  <c r="R3078" s="1"/>
  <c r="I3114"/>
  <c r="K2190"/>
  <c r="K3824" i="11"/>
  <c r="C441" i="79" s="1"/>
  <c r="K3845" i="11"/>
  <c r="M3824"/>
  <c r="X446" i="55"/>
  <c r="T446"/>
  <c r="V446"/>
  <c r="Z446"/>
  <c r="C194"/>
  <c r="F194" s="1"/>
  <c r="P3114" i="11"/>
  <c r="K3114"/>
  <c r="K3118" s="1"/>
  <c r="I2693" i="27"/>
  <c r="K2693" s="1"/>
  <c r="I620"/>
  <c r="K620" s="1"/>
  <c r="K626" s="1"/>
  <c r="K628" s="1"/>
  <c r="K630" s="1"/>
  <c r="P591"/>
  <c r="R591" s="1"/>
  <c r="P608"/>
  <c r="R608" s="1"/>
  <c r="P577"/>
  <c r="R577" s="1"/>
  <c r="V3611" i="1"/>
  <c r="X3611" s="1"/>
  <c r="X3615" s="1"/>
  <c r="X3616" s="1"/>
  <c r="X3594"/>
  <c r="X3598" s="1"/>
  <c r="X3599" s="1"/>
  <c r="F661" i="25"/>
  <c r="F664" s="1"/>
  <c r="F666" s="1"/>
  <c r="D697"/>
  <c r="F697" s="1"/>
  <c r="F700" s="1"/>
  <c r="F702" s="1"/>
  <c r="D800" i="58"/>
  <c r="F800" s="1"/>
  <c r="D862"/>
  <c r="F862" s="1"/>
  <c r="F1072"/>
  <c r="J550" i="1"/>
  <c r="W550" s="1"/>
  <c r="AC550" s="1"/>
  <c r="W549"/>
  <c r="AC549" s="1"/>
  <c r="AU118"/>
  <c r="AV118" s="1"/>
  <c r="AS120"/>
  <c r="F655" i="58"/>
  <c r="V1472" i="1"/>
  <c r="X1472" s="1"/>
  <c r="X1473" s="1"/>
  <c r="X1474" s="1"/>
  <c r="X1448"/>
  <c r="X1449" s="1"/>
  <c r="X1450" s="1"/>
  <c r="F1069" i="58"/>
  <c r="D263"/>
  <c r="D320"/>
  <c r="F262"/>
  <c r="F1070"/>
  <c r="R1489" i="1"/>
  <c r="S1449"/>
  <c r="D656" i="58"/>
  <c r="D821"/>
  <c r="AU169" i="1"/>
  <c r="AV169" s="1"/>
  <c r="AS174"/>
  <c r="D822" i="58"/>
  <c r="AU138" i="1"/>
  <c r="AV138" s="1"/>
  <c r="AS143"/>
  <c r="D314" i="58"/>
  <c r="F768"/>
  <c r="F1071"/>
  <c r="F644"/>
  <c r="F257"/>
  <c r="F767"/>
  <c r="L372" i="1"/>
  <c r="V38" i="55"/>
  <c r="D169" i="58"/>
  <c r="D182"/>
  <c r="V541" i="1"/>
  <c r="X541" s="1"/>
  <c r="C123" i="79" s="1"/>
  <c r="C121" i="55"/>
  <c r="F121" s="1"/>
  <c r="D636" i="58"/>
  <c r="Y741" i="1"/>
  <c r="Y743" s="1"/>
  <c r="Y744" s="1"/>
  <c r="Y745" s="1"/>
  <c r="X743"/>
  <c r="X744" s="1"/>
  <c r="X745" s="1"/>
  <c r="X747" s="1"/>
  <c r="X748" s="1"/>
  <c r="X749" s="1"/>
  <c r="X750" s="1"/>
  <c r="X751" s="1"/>
  <c r="X752" s="1"/>
  <c r="X753" s="1"/>
  <c r="X754" s="1"/>
  <c r="X755" s="1"/>
  <c r="X756" s="1"/>
  <c r="F219" i="58"/>
  <c r="F403"/>
  <c r="S1233" i="1"/>
  <c r="C229" i="55"/>
  <c r="F229" s="1"/>
  <c r="C375"/>
  <c r="C228"/>
  <c r="F228" s="1"/>
  <c r="AG414" i="1"/>
  <c r="D92" i="58"/>
  <c r="D120"/>
  <c r="V32" i="55"/>
  <c r="X406" i="1"/>
  <c r="F635" i="58"/>
  <c r="F726"/>
  <c r="C53" i="55"/>
  <c r="F53" s="1"/>
  <c r="L473" i="1"/>
  <c r="K474"/>
  <c r="C55" i="79" s="1"/>
  <c r="F658" i="58"/>
  <c r="K440" i="1"/>
  <c r="C48" i="79" s="1"/>
  <c r="C46" i="55"/>
  <c r="F46" s="1"/>
  <c r="D391" i="58"/>
  <c r="Y687" i="1"/>
  <c r="Y689" s="1"/>
  <c r="Y690" s="1"/>
  <c r="Y691" s="1"/>
  <c r="C880" s="1"/>
  <c r="X689"/>
  <c r="F206" i="58"/>
  <c r="D810"/>
  <c r="V234" i="55"/>
  <c r="V252"/>
  <c r="D856" i="58"/>
  <c r="K353" i="1"/>
  <c r="C35" i="79" s="1"/>
  <c r="C33" i="55"/>
  <c r="F33" s="1"/>
  <c r="L352" i="1"/>
  <c r="D555" i="58"/>
  <c r="D131"/>
  <c r="D336"/>
  <c r="F334"/>
  <c r="X352" i="1"/>
  <c r="C39" i="55"/>
  <c r="F39" s="1"/>
  <c r="K407" i="1"/>
  <c r="C41" i="79" s="1"/>
  <c r="J406" i="1"/>
  <c r="D220" i="58"/>
  <c r="V52" i="55"/>
  <c r="F340" i="58"/>
  <c r="V45" i="55"/>
  <c r="D207" i="58"/>
  <c r="D671"/>
  <c r="M328" i="1"/>
  <c r="K329"/>
  <c r="K330" s="1"/>
  <c r="F333" i="58"/>
  <c r="F553"/>
  <c r="AD1202" i="1"/>
  <c r="C237" i="79" s="1"/>
  <c r="C235" i="55"/>
  <c r="F235" s="1"/>
  <c r="AB564" i="1"/>
  <c r="AD564" s="1"/>
  <c r="P2350"/>
  <c r="R2350" s="1"/>
  <c r="R2353" s="1"/>
  <c r="F335" i="58"/>
  <c r="C376" i="55"/>
  <c r="C227"/>
  <c r="F227" s="1"/>
  <c r="F115" i="32"/>
  <c r="F116" s="1"/>
  <c r="F117" s="1"/>
  <c r="G113"/>
  <c r="G115" s="1"/>
  <c r="G116" s="1"/>
  <c r="G117" s="1"/>
  <c r="K373" i="1"/>
  <c r="K375" s="1"/>
  <c r="J372"/>
  <c r="D815" i="58"/>
  <c r="D86"/>
  <c r="X439" i="1"/>
  <c r="AU105"/>
  <c r="AV105" s="1"/>
  <c r="AS106"/>
  <c r="C127" i="55"/>
  <c r="F127" s="1"/>
  <c r="V564" i="1"/>
  <c r="X564" s="1"/>
  <c r="C129" i="79" s="1"/>
  <c r="I635" i="1"/>
  <c r="K635" s="1"/>
  <c r="F1043" i="58"/>
  <c r="F168"/>
  <c r="F1038"/>
  <c r="F43" i="50"/>
  <c r="F49" s="1"/>
  <c r="F50" s="1"/>
  <c r="D106"/>
  <c r="F106" s="1"/>
  <c r="F112" s="1"/>
  <c r="F113" s="1"/>
  <c r="F581" i="58"/>
  <c r="Z716" i="1"/>
  <c r="X717"/>
  <c r="AG452"/>
  <c r="AG352"/>
  <c r="F400" i="58"/>
  <c r="AB541" i="1"/>
  <c r="AD541" s="1"/>
  <c r="AB1245"/>
  <c r="X1241"/>
  <c r="X1253" s="1"/>
  <c r="X1255" s="1"/>
  <c r="H43" i="32"/>
  <c r="F49"/>
  <c r="AK1202" i="1"/>
  <c r="D570" i="58"/>
  <c r="F247"/>
  <c r="F565"/>
  <c r="D235"/>
  <c r="F569"/>
  <c r="D566"/>
  <c r="I565" i="1"/>
  <c r="K565" s="1"/>
  <c r="D248" i="58"/>
  <c r="I542" i="1"/>
  <c r="K542" s="1"/>
  <c r="F234" i="58"/>
  <c r="D515"/>
  <c r="F54"/>
  <c r="D72"/>
  <c r="D265"/>
  <c r="E9" i="32"/>
  <c r="P2096" i="1"/>
  <c r="R2096" s="1"/>
  <c r="R2099" s="1"/>
  <c r="AG383"/>
  <c r="AG384"/>
  <c r="F517" i="58"/>
  <c r="I664" i="1"/>
  <c r="K664" s="1"/>
  <c r="D518" i="58"/>
  <c r="D66"/>
  <c r="K3941" i="1"/>
  <c r="K3953" s="1"/>
  <c r="I3957"/>
  <c r="V21" i="55"/>
  <c r="D46" i="58"/>
  <c r="D325"/>
  <c r="V93" i="55"/>
  <c r="D376" i="58"/>
  <c r="K828" i="1"/>
  <c r="D300" i="25"/>
  <c r="F300" s="1"/>
  <c r="D135"/>
  <c r="F134"/>
  <c r="F514" i="58"/>
  <c r="R1163" i="1"/>
  <c r="F53" i="58"/>
  <c r="K292" i="1"/>
  <c r="D920" i="58"/>
  <c r="D324"/>
  <c r="V67" i="55"/>
  <c r="I2693" i="11"/>
  <c r="K2693" s="1"/>
  <c r="P577"/>
  <c r="R577" s="1"/>
  <c r="P591"/>
  <c r="R591" s="1"/>
  <c r="I620"/>
  <c r="K620" s="1"/>
  <c r="K626" s="1"/>
  <c r="K628" s="1"/>
  <c r="K630" s="1"/>
  <c r="P608"/>
  <c r="R608" s="1"/>
  <c r="C206" i="55" l="1"/>
  <c r="F206" s="1"/>
  <c r="C207" i="79"/>
  <c r="R129"/>
  <c r="H129"/>
  <c r="P129"/>
  <c r="X129"/>
  <c r="N129"/>
  <c r="F129"/>
  <c r="V129"/>
  <c r="L129"/>
  <c r="J129"/>
  <c r="T129"/>
  <c r="Z129"/>
  <c r="C68" i="55"/>
  <c r="F68" s="1"/>
  <c r="C69" i="79"/>
  <c r="C204" i="55"/>
  <c r="F204" s="1"/>
  <c r="C205" i="79"/>
  <c r="P35"/>
  <c r="T35"/>
  <c r="L35"/>
  <c r="V35"/>
  <c r="N35"/>
  <c r="X35"/>
  <c r="F35"/>
  <c r="R35"/>
  <c r="J35"/>
  <c r="H35"/>
  <c r="Z35"/>
  <c r="R48"/>
  <c r="V48"/>
  <c r="P48"/>
  <c r="N48"/>
  <c r="H48"/>
  <c r="F48"/>
  <c r="Z48"/>
  <c r="L48"/>
  <c r="X48"/>
  <c r="T48"/>
  <c r="J48"/>
  <c r="X237"/>
  <c r="R237"/>
  <c r="L237"/>
  <c r="N237"/>
  <c r="H237"/>
  <c r="F237"/>
  <c r="J237"/>
  <c r="T237"/>
  <c r="V237"/>
  <c r="P237"/>
  <c r="Z237"/>
  <c r="R41"/>
  <c r="J41"/>
  <c r="H41"/>
  <c r="T41"/>
  <c r="V41"/>
  <c r="F41"/>
  <c r="X41"/>
  <c r="L41"/>
  <c r="N41"/>
  <c r="P41"/>
  <c r="Z41"/>
  <c r="X441"/>
  <c r="Z441"/>
  <c r="V441"/>
  <c r="T441"/>
  <c r="C411" i="55"/>
  <c r="C412" i="79"/>
  <c r="X413"/>
  <c r="Z413"/>
  <c r="V413"/>
  <c r="T413"/>
  <c r="V448"/>
  <c r="X448"/>
  <c r="T448"/>
  <c r="Z448"/>
  <c r="T94"/>
  <c r="Z94"/>
  <c r="X94"/>
  <c r="J94"/>
  <c r="R94"/>
  <c r="H94"/>
  <c r="P94"/>
  <c r="N94"/>
  <c r="F94"/>
  <c r="V94"/>
  <c r="L94"/>
  <c r="V377"/>
  <c r="X377"/>
  <c r="T377"/>
  <c r="Z377"/>
  <c r="X253"/>
  <c r="H253"/>
  <c r="N253"/>
  <c r="L253"/>
  <c r="J253"/>
  <c r="P253"/>
  <c r="F253"/>
  <c r="V253"/>
  <c r="T253"/>
  <c r="R253"/>
  <c r="Z253"/>
  <c r="X376"/>
  <c r="Z376"/>
  <c r="V376"/>
  <c r="T376"/>
  <c r="J93" i="55"/>
  <c r="L93"/>
  <c r="P93"/>
  <c r="X93"/>
  <c r="V55" i="79"/>
  <c r="Z55"/>
  <c r="F55"/>
  <c r="N55"/>
  <c r="L55"/>
  <c r="P55"/>
  <c r="X55"/>
  <c r="J55"/>
  <c r="H55"/>
  <c r="R55"/>
  <c r="T55"/>
  <c r="R123"/>
  <c r="P123"/>
  <c r="F123"/>
  <c r="H123"/>
  <c r="X123"/>
  <c r="V123"/>
  <c r="N123"/>
  <c r="L123"/>
  <c r="T123"/>
  <c r="J123"/>
  <c r="Z123"/>
  <c r="X447"/>
  <c r="Z447"/>
  <c r="V447"/>
  <c r="T447"/>
  <c r="R228"/>
  <c r="X228"/>
  <c r="J228"/>
  <c r="L228"/>
  <c r="N228"/>
  <c r="P228"/>
  <c r="H228"/>
  <c r="F228"/>
  <c r="T228"/>
  <c r="V228"/>
  <c r="Z228"/>
  <c r="T229"/>
  <c r="X229"/>
  <c r="L229"/>
  <c r="J229"/>
  <c r="F229"/>
  <c r="N229"/>
  <c r="H229"/>
  <c r="V229"/>
  <c r="P229"/>
  <c r="R229"/>
  <c r="Z229"/>
  <c r="R230"/>
  <c r="H230"/>
  <c r="N230"/>
  <c r="V230"/>
  <c r="F230"/>
  <c r="P230"/>
  <c r="Z230"/>
  <c r="X230"/>
  <c r="T230"/>
  <c r="J230"/>
  <c r="L230"/>
  <c r="Z206" i="55"/>
  <c r="X206"/>
  <c r="X127"/>
  <c r="Z127"/>
  <c r="Z68"/>
  <c r="X68"/>
  <c r="X235"/>
  <c r="Z235"/>
  <c r="X46"/>
  <c r="Z46"/>
  <c r="X121"/>
  <c r="Z121"/>
  <c r="X194"/>
  <c r="Z194"/>
  <c r="X227"/>
  <c r="Z227"/>
  <c r="X228"/>
  <c r="Z228"/>
  <c r="X204"/>
  <c r="Z204"/>
  <c r="X39"/>
  <c r="Z39"/>
  <c r="X33"/>
  <c r="Z33"/>
  <c r="X53"/>
  <c r="Z53"/>
  <c r="X229"/>
  <c r="Z229"/>
  <c r="T53"/>
  <c r="P53"/>
  <c r="R53"/>
  <c r="N53"/>
  <c r="J53"/>
  <c r="L53"/>
  <c r="H53"/>
  <c r="R228"/>
  <c r="N228"/>
  <c r="T228"/>
  <c r="P228"/>
  <c r="L228"/>
  <c r="H228"/>
  <c r="J228"/>
  <c r="T68"/>
  <c r="P68"/>
  <c r="R68"/>
  <c r="N68"/>
  <c r="J68"/>
  <c r="L68"/>
  <c r="H68"/>
  <c r="T235"/>
  <c r="P235"/>
  <c r="R235"/>
  <c r="N235"/>
  <c r="L235"/>
  <c r="H235"/>
  <c r="J235"/>
  <c r="T46"/>
  <c r="P46"/>
  <c r="R46"/>
  <c r="L46"/>
  <c r="N46"/>
  <c r="J46"/>
  <c r="H46"/>
  <c r="T227"/>
  <c r="P227"/>
  <c r="R227"/>
  <c r="N227"/>
  <c r="L227"/>
  <c r="H227"/>
  <c r="J227"/>
  <c r="R229"/>
  <c r="N229"/>
  <c r="T229"/>
  <c r="P229"/>
  <c r="J229"/>
  <c r="L229"/>
  <c r="H229"/>
  <c r="R194"/>
  <c r="T194"/>
  <c r="P194"/>
  <c r="L194"/>
  <c r="H194"/>
  <c r="N194"/>
  <c r="J194"/>
  <c r="R206"/>
  <c r="T206"/>
  <c r="P206"/>
  <c r="L206"/>
  <c r="H206"/>
  <c r="N206"/>
  <c r="J206"/>
  <c r="R127"/>
  <c r="T127"/>
  <c r="P127"/>
  <c r="L127"/>
  <c r="N127"/>
  <c r="J127"/>
  <c r="H127"/>
  <c r="T204"/>
  <c r="P204"/>
  <c r="R204"/>
  <c r="N204"/>
  <c r="J204"/>
  <c r="L204"/>
  <c r="H204"/>
  <c r="R39"/>
  <c r="T39"/>
  <c r="P39"/>
  <c r="L39"/>
  <c r="N39"/>
  <c r="J39"/>
  <c r="H39"/>
  <c r="T33"/>
  <c r="P33"/>
  <c r="R33"/>
  <c r="N33"/>
  <c r="J33"/>
  <c r="L33"/>
  <c r="H33"/>
  <c r="T121"/>
  <c r="P121"/>
  <c r="R121"/>
  <c r="N121"/>
  <c r="J121"/>
  <c r="L121"/>
  <c r="H121"/>
  <c r="D728" i="58"/>
  <c r="F728" s="1"/>
  <c r="D426"/>
  <c r="F426" s="1"/>
  <c r="K2206" i="11"/>
  <c r="K2286" i="1"/>
  <c r="C198" i="79" s="1"/>
  <c r="C412" i="55"/>
  <c r="K2205" i="11"/>
  <c r="K2285" i="1"/>
  <c r="C199" i="79" s="1"/>
  <c r="V194" i="55"/>
  <c r="D685" i="58"/>
  <c r="F685" s="1"/>
  <c r="D873"/>
  <c r="F873" s="1"/>
  <c r="L3106" i="27"/>
  <c r="K3105"/>
  <c r="K2206" s="1"/>
  <c r="R3114" i="11"/>
  <c r="R3118" s="1"/>
  <c r="P3128"/>
  <c r="R3128" s="1"/>
  <c r="R3132" s="1"/>
  <c r="C440" i="55"/>
  <c r="X411"/>
  <c r="V411"/>
  <c r="C199"/>
  <c r="F199" s="1"/>
  <c r="T411"/>
  <c r="Z411"/>
  <c r="K3092" i="27"/>
  <c r="L3093"/>
  <c r="K3982" i="11"/>
  <c r="K3974"/>
  <c r="K3975" s="1"/>
  <c r="L3120"/>
  <c r="K3119"/>
  <c r="K3857"/>
  <c r="K3849"/>
  <c r="P3114" i="27"/>
  <c r="K3114"/>
  <c r="K3118" s="1"/>
  <c r="L3081"/>
  <c r="K3080"/>
  <c r="K2205" s="1"/>
  <c r="L3962" i="11"/>
  <c r="C447" i="55"/>
  <c r="D864" i="58"/>
  <c r="F864" s="1"/>
  <c r="D799"/>
  <c r="F799" s="1"/>
  <c r="I2616" i="27"/>
  <c r="K2616" s="1"/>
  <c r="K631"/>
  <c r="K632" s="1"/>
  <c r="K633" s="1"/>
  <c r="K634" s="1"/>
  <c r="D798" i="58"/>
  <c r="F798" s="1"/>
  <c r="D863"/>
  <c r="F863" s="1"/>
  <c r="F656"/>
  <c r="F320"/>
  <c r="AS145" i="1"/>
  <c r="AU143"/>
  <c r="AV143" s="1"/>
  <c r="D321" i="58"/>
  <c r="I2344" i="1"/>
  <c r="K2344" s="1"/>
  <c r="K2346" s="1"/>
  <c r="F314" i="58"/>
  <c r="AS176" i="1"/>
  <c r="AU176" s="1"/>
  <c r="AV176" s="1"/>
  <c r="AU174"/>
  <c r="AV174" s="1"/>
  <c r="D820" i="58"/>
  <c r="AB467" i="1"/>
  <c r="AD467" s="1"/>
  <c r="AD471" s="1"/>
  <c r="AD473" s="1"/>
  <c r="AB479" s="1"/>
  <c r="AD479" s="1"/>
  <c r="AD485" s="1"/>
  <c r="AD487" s="1"/>
  <c r="AB489" s="1"/>
  <c r="AD489" s="1"/>
  <c r="D824" i="58"/>
  <c r="F822"/>
  <c r="F821"/>
  <c r="F263"/>
  <c r="D823"/>
  <c r="AS122" i="1"/>
  <c r="AU120"/>
  <c r="AV120" s="1"/>
  <c r="I880"/>
  <c r="I862" s="1"/>
  <c r="H49" i="32"/>
  <c r="F50"/>
  <c r="D475" i="58"/>
  <c r="D93"/>
  <c r="Z717" i="1"/>
  <c r="Z719" s="1"/>
  <c r="X719"/>
  <c r="X720" s="1"/>
  <c r="X721" s="1"/>
  <c r="C128" i="55"/>
  <c r="F128" s="1"/>
  <c r="V565" i="1"/>
  <c r="X565" s="1"/>
  <c r="C130" i="79" s="1"/>
  <c r="X440" i="1"/>
  <c r="D556" i="58"/>
  <c r="AB565" i="1"/>
  <c r="AD565" s="1"/>
  <c r="D811" i="58"/>
  <c r="V235" i="55"/>
  <c r="V39"/>
  <c r="D170" i="58"/>
  <c r="F336"/>
  <c r="F131"/>
  <c r="F856"/>
  <c r="X690" i="1"/>
  <c r="X691" s="1"/>
  <c r="V53" i="55"/>
  <c r="D221" i="58"/>
  <c r="D392"/>
  <c r="D1039"/>
  <c r="T375" i="55"/>
  <c r="X375"/>
  <c r="V375"/>
  <c r="Z375"/>
  <c r="D816" i="58"/>
  <c r="AB1217" i="1"/>
  <c r="AD1217" s="1"/>
  <c r="AD1230" s="1"/>
  <c r="AD1232" s="1"/>
  <c r="AD1245"/>
  <c r="AD1258" s="1"/>
  <c r="AD1260" s="1"/>
  <c r="AG453"/>
  <c r="G50" i="50"/>
  <c r="G52" s="1"/>
  <c r="G53" s="1"/>
  <c r="G54" s="1"/>
  <c r="E73" s="1"/>
  <c r="F73" s="1"/>
  <c r="F77" s="1"/>
  <c r="F78" s="1"/>
  <c r="F81" s="1"/>
  <c r="F52"/>
  <c r="F53" s="1"/>
  <c r="F54" s="1"/>
  <c r="F56" s="1"/>
  <c r="F58" s="1"/>
  <c r="F60" s="1"/>
  <c r="D638" i="58"/>
  <c r="K374" i="1"/>
  <c r="J373"/>
  <c r="X376" i="55"/>
  <c r="T376"/>
  <c r="V376"/>
  <c r="Z376"/>
  <c r="D1040" i="58"/>
  <c r="D481"/>
  <c r="F671"/>
  <c r="K408" i="1"/>
  <c r="C42" i="79" s="1"/>
  <c r="C40" i="55"/>
  <c r="F40" s="1"/>
  <c r="K354" i="1"/>
  <c r="C36" i="79" s="1"/>
  <c r="C34" i="55"/>
  <c r="F34" s="1"/>
  <c r="K441" i="1"/>
  <c r="C47" i="55"/>
  <c r="F47" s="1"/>
  <c r="D672" i="58"/>
  <c r="V228" i="55"/>
  <c r="D729" i="58"/>
  <c r="AK1203" i="1"/>
  <c r="D188" i="58"/>
  <c r="F115" i="50"/>
  <c r="F116" s="1"/>
  <c r="F117" s="1"/>
  <c r="G113"/>
  <c r="G115" s="1"/>
  <c r="D637" i="58"/>
  <c r="AU106" i="1"/>
  <c r="AV106" s="1"/>
  <c r="F815" i="58"/>
  <c r="D727"/>
  <c r="V227" i="55"/>
  <c r="D700" i="58"/>
  <c r="V204" i="55"/>
  <c r="F220" i="58"/>
  <c r="D87"/>
  <c r="F555"/>
  <c r="D121"/>
  <c r="V33" i="55"/>
  <c r="F810" i="58"/>
  <c r="F391"/>
  <c r="D208"/>
  <c r="V46" i="55"/>
  <c r="K475" i="1"/>
  <c r="L474"/>
  <c r="C54" i="55"/>
  <c r="F54" s="1"/>
  <c r="X407" i="1"/>
  <c r="F120" i="58"/>
  <c r="D138"/>
  <c r="F636"/>
  <c r="C122" i="55"/>
  <c r="F122" s="1"/>
  <c r="V542" i="1"/>
  <c r="X542" s="1"/>
  <c r="C124" i="79" s="1"/>
  <c r="AB542" i="1"/>
  <c r="AD542" s="1"/>
  <c r="AG353"/>
  <c r="V127" i="55"/>
  <c r="D468" i="58"/>
  <c r="D183"/>
  <c r="F86"/>
  <c r="V68" i="55"/>
  <c r="D329" i="58"/>
  <c r="C236" i="55"/>
  <c r="F236" s="1"/>
  <c r="AD1203" i="1"/>
  <c r="C238" i="79" s="1"/>
  <c r="F207" i="58"/>
  <c r="X353" i="1"/>
  <c r="D132" i="58"/>
  <c r="F92"/>
  <c r="AG415" i="1"/>
  <c r="D730" i="58"/>
  <c r="V229" i="55"/>
  <c r="V121"/>
  <c r="D462" i="58"/>
  <c r="F182"/>
  <c r="D236"/>
  <c r="I543" i="1"/>
  <c r="K543" s="1"/>
  <c r="F248" i="58"/>
  <c r="D249"/>
  <c r="F566"/>
  <c r="F570"/>
  <c r="I566" i="1"/>
  <c r="K566" s="1"/>
  <c r="F235" i="58"/>
  <c r="E9" i="50"/>
  <c r="F9" s="1"/>
  <c r="F13" s="1"/>
  <c r="F14" s="1"/>
  <c r="F17" s="1"/>
  <c r="L3953" i="1"/>
  <c r="K829"/>
  <c r="F325" i="58"/>
  <c r="I3974" i="1"/>
  <c r="K3974" s="1"/>
  <c r="K3986" s="1"/>
  <c r="K3957"/>
  <c r="K3969" s="1"/>
  <c r="F518" i="58"/>
  <c r="F515"/>
  <c r="K293" i="1"/>
  <c r="R1164"/>
  <c r="D158" i="25"/>
  <c r="F158" s="1"/>
  <c r="F166" s="1"/>
  <c r="F167" s="1"/>
  <c r="D301"/>
  <c r="F301" s="1"/>
  <c r="F135"/>
  <c r="F144" s="1"/>
  <c r="F145" s="1"/>
  <c r="F376" i="58"/>
  <c r="V206" i="55"/>
  <c r="D702" i="58"/>
  <c r="D73"/>
  <c r="I665" i="1"/>
  <c r="K665" s="1"/>
  <c r="D557" i="58"/>
  <c r="AB490" i="1"/>
  <c r="AD490" s="1"/>
  <c r="F72" i="58"/>
  <c r="F920"/>
  <c r="E73" i="32"/>
  <c r="F9"/>
  <c r="F13" s="1"/>
  <c r="F14" s="1"/>
  <c r="F17" s="1"/>
  <c r="F324" i="58"/>
  <c r="D67"/>
  <c r="D519"/>
  <c r="F66"/>
  <c r="D266"/>
  <c r="D326"/>
  <c r="K880" i="1"/>
  <c r="K892" s="1"/>
  <c r="C158" i="79" s="1"/>
  <c r="F265" i="58"/>
  <c r="F309" i="25"/>
  <c r="F310" s="1"/>
  <c r="I2616" i="11"/>
  <c r="K2616" s="1"/>
  <c r="K631"/>
  <c r="K632" s="1"/>
  <c r="K633" s="1"/>
  <c r="K634" s="1"/>
  <c r="R238" i="79" l="1"/>
  <c r="F238"/>
  <c r="P238"/>
  <c r="N238"/>
  <c r="H238"/>
  <c r="V238"/>
  <c r="X238"/>
  <c r="T238"/>
  <c r="L238"/>
  <c r="Z238"/>
  <c r="J238"/>
  <c r="R124"/>
  <c r="P124"/>
  <c r="X124"/>
  <c r="F124"/>
  <c r="H124"/>
  <c r="N124"/>
  <c r="V124"/>
  <c r="L124"/>
  <c r="T124"/>
  <c r="J124"/>
  <c r="Z124"/>
  <c r="C413" i="55"/>
  <c r="C414" i="79"/>
  <c r="X198"/>
  <c r="P198"/>
  <c r="H198"/>
  <c r="F198"/>
  <c r="V198"/>
  <c r="L198"/>
  <c r="R198"/>
  <c r="N198"/>
  <c r="T198"/>
  <c r="J198"/>
  <c r="Z198"/>
  <c r="V412"/>
  <c r="T412"/>
  <c r="C200"/>
  <c r="X412"/>
  <c r="Z412"/>
  <c r="R205"/>
  <c r="F205"/>
  <c r="P205"/>
  <c r="N205"/>
  <c r="H205"/>
  <c r="V205"/>
  <c r="X205"/>
  <c r="T205"/>
  <c r="J205"/>
  <c r="L205"/>
  <c r="Z205"/>
  <c r="L69"/>
  <c r="T69"/>
  <c r="V69"/>
  <c r="F69"/>
  <c r="H69"/>
  <c r="R69"/>
  <c r="N69"/>
  <c r="P69"/>
  <c r="X69"/>
  <c r="J69"/>
  <c r="Z69"/>
  <c r="T158"/>
  <c r="Z158"/>
  <c r="J158"/>
  <c r="X158"/>
  <c r="R158"/>
  <c r="H158"/>
  <c r="N158"/>
  <c r="P158"/>
  <c r="F158"/>
  <c r="V158"/>
  <c r="L158"/>
  <c r="C48" i="55"/>
  <c r="F48" s="1"/>
  <c r="C49" i="79"/>
  <c r="T36"/>
  <c r="H36"/>
  <c r="P36"/>
  <c r="R36"/>
  <c r="X36"/>
  <c r="Z36"/>
  <c r="J36"/>
  <c r="N36"/>
  <c r="F36"/>
  <c r="V36"/>
  <c r="L36"/>
  <c r="T42"/>
  <c r="F42"/>
  <c r="L42"/>
  <c r="N42"/>
  <c r="H42"/>
  <c r="R42"/>
  <c r="X42"/>
  <c r="J42"/>
  <c r="V42"/>
  <c r="P42"/>
  <c r="Z42"/>
  <c r="C378" i="55"/>
  <c r="C379" i="79"/>
  <c r="X130"/>
  <c r="H130"/>
  <c r="P130"/>
  <c r="F130"/>
  <c r="V130"/>
  <c r="N130"/>
  <c r="T130"/>
  <c r="R130"/>
  <c r="L130"/>
  <c r="J130"/>
  <c r="Z130"/>
  <c r="C134" i="55"/>
  <c r="F134" s="1"/>
  <c r="C135" i="79"/>
  <c r="R199"/>
  <c r="F199"/>
  <c r="V199"/>
  <c r="P199"/>
  <c r="H199"/>
  <c r="N199"/>
  <c r="X199"/>
  <c r="T199"/>
  <c r="L199"/>
  <c r="Z199"/>
  <c r="J199"/>
  <c r="F207"/>
  <c r="V207"/>
  <c r="L207"/>
  <c r="P207"/>
  <c r="X207"/>
  <c r="J207"/>
  <c r="Z207"/>
  <c r="H207"/>
  <c r="R207"/>
  <c r="T207"/>
  <c r="N207"/>
  <c r="X54" i="55"/>
  <c r="Z54"/>
  <c r="Z48"/>
  <c r="X48"/>
  <c r="X122"/>
  <c r="Z122"/>
  <c r="Z47"/>
  <c r="X47"/>
  <c r="X40"/>
  <c r="Z40"/>
  <c r="X134"/>
  <c r="Z134"/>
  <c r="X128"/>
  <c r="Z128"/>
  <c r="X199"/>
  <c r="Z199"/>
  <c r="X236"/>
  <c r="Z236"/>
  <c r="X34"/>
  <c r="Z34"/>
  <c r="T122"/>
  <c r="P122"/>
  <c r="R122"/>
  <c r="L122"/>
  <c r="H122"/>
  <c r="N122"/>
  <c r="J122"/>
  <c r="R128"/>
  <c r="T128"/>
  <c r="P128"/>
  <c r="N128"/>
  <c r="J128"/>
  <c r="L128"/>
  <c r="H128"/>
  <c r="R199"/>
  <c r="T199"/>
  <c r="P199"/>
  <c r="N199"/>
  <c r="J199"/>
  <c r="L199"/>
  <c r="H199"/>
  <c r="R236"/>
  <c r="N236"/>
  <c r="T236"/>
  <c r="P236"/>
  <c r="L236"/>
  <c r="H236"/>
  <c r="J236"/>
  <c r="T34"/>
  <c r="P34"/>
  <c r="R34"/>
  <c r="L34"/>
  <c r="N34"/>
  <c r="J34"/>
  <c r="H34"/>
  <c r="R48"/>
  <c r="T48"/>
  <c r="P48"/>
  <c r="N48"/>
  <c r="J48"/>
  <c r="L48"/>
  <c r="H48"/>
  <c r="T54"/>
  <c r="P54"/>
  <c r="R54"/>
  <c r="L54"/>
  <c r="N54"/>
  <c r="J54"/>
  <c r="H54"/>
  <c r="R47"/>
  <c r="T47"/>
  <c r="P47"/>
  <c r="L47"/>
  <c r="N47"/>
  <c r="J47"/>
  <c r="H47"/>
  <c r="R40"/>
  <c r="T40"/>
  <c r="P40"/>
  <c r="N40"/>
  <c r="J40"/>
  <c r="L40"/>
  <c r="H40"/>
  <c r="R134"/>
  <c r="T134"/>
  <c r="P134"/>
  <c r="L134"/>
  <c r="N134"/>
  <c r="H134"/>
  <c r="J134"/>
  <c r="X447"/>
  <c r="V447"/>
  <c r="Z447"/>
  <c r="T447"/>
  <c r="K3119" i="27"/>
  <c r="L3120"/>
  <c r="Z413" i="55"/>
  <c r="T413"/>
  <c r="V413"/>
  <c r="X413"/>
  <c r="S3134" i="11"/>
  <c r="R3133"/>
  <c r="C198" i="55"/>
  <c r="F198" s="1"/>
  <c r="K3865" i="11"/>
  <c r="K3881"/>
  <c r="K3887" s="1"/>
  <c r="K3986"/>
  <c r="K4003"/>
  <c r="V199" i="55"/>
  <c r="D690" i="58"/>
  <c r="T440" i="55"/>
  <c r="V440"/>
  <c r="Z440"/>
  <c r="X440"/>
  <c r="C197"/>
  <c r="F197" s="1"/>
  <c r="L3851" i="11"/>
  <c r="L3849"/>
  <c r="K3850"/>
  <c r="C442" i="79" s="1"/>
  <c r="D900" i="58"/>
  <c r="F900" s="1"/>
  <c r="T412" i="55"/>
  <c r="V412"/>
  <c r="Z412"/>
  <c r="X412"/>
  <c r="R3114" i="27"/>
  <c r="R3118" s="1"/>
  <c r="P3128"/>
  <c r="R3128" s="1"/>
  <c r="R3132" s="1"/>
  <c r="R3133" s="1"/>
  <c r="R3119" i="11"/>
  <c r="U3119"/>
  <c r="S3120"/>
  <c r="F321" i="58"/>
  <c r="X723" i="1"/>
  <c r="F823" i="58"/>
  <c r="AQ150" i="1"/>
  <c r="AU145"/>
  <c r="AV145" s="1"/>
  <c r="AU122"/>
  <c r="AV122" s="1"/>
  <c r="AT122"/>
  <c r="AS123"/>
  <c r="F824" i="58"/>
  <c r="F820"/>
  <c r="V880" i="1"/>
  <c r="I896"/>
  <c r="K896" s="1"/>
  <c r="K908" s="1"/>
  <c r="C160" i="79" s="1"/>
  <c r="D139" i="58"/>
  <c r="F132"/>
  <c r="D812"/>
  <c r="V236" i="55"/>
  <c r="D94" i="58"/>
  <c r="D817"/>
  <c r="V34" i="55"/>
  <c r="D122" i="58"/>
  <c r="F1040"/>
  <c r="F221"/>
  <c r="X693" i="1"/>
  <c r="AB566"/>
  <c r="AD566" s="1"/>
  <c r="V128" i="55"/>
  <c r="D469" i="58"/>
  <c r="F462"/>
  <c r="C237" i="55"/>
  <c r="F237" s="1"/>
  <c r="AD1204" i="1"/>
  <c r="AD1205" s="1"/>
  <c r="AD1206" s="1"/>
  <c r="AD1207" s="1"/>
  <c r="AD1208" s="1"/>
  <c r="AD1209" s="1"/>
  <c r="AD1210" s="1"/>
  <c r="AD1211" s="1"/>
  <c r="V543"/>
  <c r="X543" s="1"/>
  <c r="C125" i="79" s="1"/>
  <c r="C123" i="55"/>
  <c r="F123" s="1"/>
  <c r="D222" i="58"/>
  <c r="V54" i="55"/>
  <c r="Z378"/>
  <c r="X378"/>
  <c r="V378"/>
  <c r="C224"/>
  <c r="F224" s="1"/>
  <c r="T378"/>
  <c r="D1042" i="58"/>
  <c r="F392"/>
  <c r="D482"/>
  <c r="C129" i="55"/>
  <c r="F129" s="1"/>
  <c r="V566" i="1"/>
  <c r="X566" s="1"/>
  <c r="C131" i="79" s="1"/>
  <c r="H50" i="32"/>
  <c r="H52" s="1"/>
  <c r="F52"/>
  <c r="F329" i="58"/>
  <c r="F183"/>
  <c r="D476"/>
  <c r="F138"/>
  <c r="X408" i="1"/>
  <c r="G116" i="50"/>
  <c r="G117" s="1"/>
  <c r="E133" s="1"/>
  <c r="F133" s="1"/>
  <c r="F137" s="1"/>
  <c r="F138" s="1"/>
  <c r="F141" s="1"/>
  <c r="V40" i="55"/>
  <c r="D171" i="58"/>
  <c r="J374" i="1"/>
  <c r="AG454"/>
  <c r="F1039" i="58"/>
  <c r="F556"/>
  <c r="X441" i="1"/>
  <c r="Z720"/>
  <c r="Z721" s="1"/>
  <c r="V467" s="1"/>
  <c r="X467" s="1"/>
  <c r="X471" s="1"/>
  <c r="X473" s="1"/>
  <c r="V479" s="1"/>
  <c r="X479" s="1"/>
  <c r="X485" s="1"/>
  <c r="X487" s="1"/>
  <c r="V489" s="1"/>
  <c r="X489" s="1"/>
  <c r="F93" i="58"/>
  <c r="D88"/>
  <c r="V122" i="55"/>
  <c r="D463" i="58"/>
  <c r="D209"/>
  <c r="V47" i="55"/>
  <c r="D886" i="58"/>
  <c r="AG416" i="1"/>
  <c r="X354"/>
  <c r="AG354"/>
  <c r="F188" i="58"/>
  <c r="K409" i="1"/>
  <c r="C43" i="79" s="1"/>
  <c r="C41" i="55"/>
  <c r="F41" s="1"/>
  <c r="F170" i="58"/>
  <c r="F811"/>
  <c r="F475"/>
  <c r="F730"/>
  <c r="AB543" i="1"/>
  <c r="AD543" s="1"/>
  <c r="D133" i="58"/>
  <c r="K476" i="1"/>
  <c r="L475"/>
  <c r="F208" i="58"/>
  <c r="F121"/>
  <c r="F87"/>
  <c r="F700"/>
  <c r="F637"/>
  <c r="AK1204" i="1"/>
  <c r="AK1205" s="1"/>
  <c r="AK1206" s="1"/>
  <c r="AK1207" s="1"/>
  <c r="AK1208" s="1"/>
  <c r="AK1209" s="1"/>
  <c r="F729" i="58"/>
  <c r="F672"/>
  <c r="V48" i="55"/>
  <c r="D210" i="58"/>
  <c r="L354" i="1"/>
  <c r="L355" s="1"/>
  <c r="L356" s="1"/>
  <c r="C35" i="55"/>
  <c r="F35" s="1"/>
  <c r="F638" i="58"/>
  <c r="D189"/>
  <c r="F816"/>
  <c r="D184"/>
  <c r="D250"/>
  <c r="D237"/>
  <c r="I567" i="1"/>
  <c r="K567" s="1"/>
  <c r="I568" s="1"/>
  <c r="K568" s="1"/>
  <c r="I569" s="1"/>
  <c r="K569" s="1"/>
  <c r="I570" s="1"/>
  <c r="K570" s="1"/>
  <c r="I571" s="1"/>
  <c r="K571" s="1"/>
  <c r="I572" s="1"/>
  <c r="K572" s="1"/>
  <c r="I573" s="1"/>
  <c r="K573" s="1"/>
  <c r="I574" s="1"/>
  <c r="K574" s="1"/>
  <c r="F249" i="58"/>
  <c r="I544" i="1"/>
  <c r="K544" s="1"/>
  <c r="F236" i="58"/>
  <c r="F67"/>
  <c r="D68"/>
  <c r="K830" i="1"/>
  <c r="D501" i="58"/>
  <c r="V134" i="55"/>
  <c r="D888" i="58"/>
  <c r="I666" i="1"/>
  <c r="K666" s="1"/>
  <c r="K294"/>
  <c r="D918" i="58"/>
  <c r="D889"/>
  <c r="C159" i="55"/>
  <c r="F159" s="1"/>
  <c r="F266" i="58"/>
  <c r="F519"/>
  <c r="D764"/>
  <c r="V896" i="1"/>
  <c r="X896" s="1"/>
  <c r="X908" s="1"/>
  <c r="X880"/>
  <c r="X892" s="1"/>
  <c r="V862"/>
  <c r="X862" s="1"/>
  <c r="X874" s="1"/>
  <c r="P855"/>
  <c r="R855" s="1"/>
  <c r="R867" s="1"/>
  <c r="K862"/>
  <c r="K874" s="1"/>
  <c r="C159" i="79" s="1"/>
  <c r="I3302" i="1"/>
  <c r="K3302" s="1"/>
  <c r="K3314" s="1"/>
  <c r="F326" i="58"/>
  <c r="F73" i="32"/>
  <c r="F77" s="1"/>
  <c r="F78" s="1"/>
  <c r="F81" s="1"/>
  <c r="E133"/>
  <c r="F133" s="1"/>
  <c r="F137" s="1"/>
  <c r="F138" s="1"/>
  <c r="F141" s="1"/>
  <c r="F557" i="58"/>
  <c r="D267"/>
  <c r="F73"/>
  <c r="D765"/>
  <c r="D520"/>
  <c r="D919"/>
  <c r="D763"/>
  <c r="L892" i="1"/>
  <c r="K894"/>
  <c r="C157" i="55"/>
  <c r="F157" s="1"/>
  <c r="AB491" i="1"/>
  <c r="AD491" s="1"/>
  <c r="F702" i="58"/>
  <c r="R1165" i="1"/>
  <c r="D74" i="58"/>
  <c r="D917"/>
  <c r="T159" i="79" l="1"/>
  <c r="V159"/>
  <c r="H159"/>
  <c r="F159"/>
  <c r="X159"/>
  <c r="J159"/>
  <c r="R159"/>
  <c r="P159"/>
  <c r="N159"/>
  <c r="L159"/>
  <c r="Z159"/>
  <c r="R43"/>
  <c r="V43"/>
  <c r="N43"/>
  <c r="P43"/>
  <c r="F43"/>
  <c r="H43"/>
  <c r="Z43"/>
  <c r="L43"/>
  <c r="X43"/>
  <c r="T43"/>
  <c r="J43"/>
  <c r="R131"/>
  <c r="H131"/>
  <c r="N131"/>
  <c r="F131"/>
  <c r="P131"/>
  <c r="X131"/>
  <c r="V131"/>
  <c r="L131"/>
  <c r="Z131"/>
  <c r="T131"/>
  <c r="J131"/>
  <c r="V379"/>
  <c r="C225"/>
  <c r="X379"/>
  <c r="T379"/>
  <c r="Z379"/>
  <c r="J49"/>
  <c r="Z49"/>
  <c r="L49"/>
  <c r="X49"/>
  <c r="R49"/>
  <c r="N49"/>
  <c r="P49"/>
  <c r="V49"/>
  <c r="F49"/>
  <c r="H49"/>
  <c r="T49"/>
  <c r="T125"/>
  <c r="Z125"/>
  <c r="J125"/>
  <c r="X125"/>
  <c r="R125"/>
  <c r="H125"/>
  <c r="P125"/>
  <c r="F125"/>
  <c r="V125"/>
  <c r="L125"/>
  <c r="N125"/>
  <c r="T160"/>
  <c r="Z160"/>
  <c r="R160"/>
  <c r="J160"/>
  <c r="X160"/>
  <c r="H160"/>
  <c r="F160"/>
  <c r="V160"/>
  <c r="L160"/>
  <c r="P160"/>
  <c r="N160"/>
  <c r="X724" i="1"/>
  <c r="C137" i="79" s="1"/>
  <c r="C136"/>
  <c r="C201" i="55"/>
  <c r="F201" s="1"/>
  <c r="C202" i="79"/>
  <c r="T442"/>
  <c r="V442"/>
  <c r="X442"/>
  <c r="Z442"/>
  <c r="N135"/>
  <c r="L135"/>
  <c r="F135"/>
  <c r="H135"/>
  <c r="T135"/>
  <c r="J135"/>
  <c r="R135"/>
  <c r="P135"/>
  <c r="V135"/>
  <c r="Z135"/>
  <c r="X135"/>
  <c r="R200"/>
  <c r="P200"/>
  <c r="X200"/>
  <c r="H200"/>
  <c r="F200"/>
  <c r="V200"/>
  <c r="N200"/>
  <c r="L200"/>
  <c r="J200"/>
  <c r="T200"/>
  <c r="Z200"/>
  <c r="V414"/>
  <c r="X414"/>
  <c r="Z414"/>
  <c r="T414"/>
  <c r="X157" i="55"/>
  <c r="Z157"/>
  <c r="X41"/>
  <c r="Z41"/>
  <c r="X224"/>
  <c r="Z224"/>
  <c r="Z201"/>
  <c r="X201"/>
  <c r="X197"/>
  <c r="Z197"/>
  <c r="Z198"/>
  <c r="X198"/>
  <c r="Z159"/>
  <c r="X159"/>
  <c r="Z35"/>
  <c r="X35"/>
  <c r="X129"/>
  <c r="Z129"/>
  <c r="X123"/>
  <c r="Z123"/>
  <c r="X237"/>
  <c r="Z237"/>
  <c r="R159"/>
  <c r="T159"/>
  <c r="P159"/>
  <c r="L159"/>
  <c r="H159"/>
  <c r="N159"/>
  <c r="J159"/>
  <c r="T224"/>
  <c r="P224"/>
  <c r="R224"/>
  <c r="L224"/>
  <c r="H224"/>
  <c r="N224"/>
  <c r="J224"/>
  <c r="R123"/>
  <c r="T123"/>
  <c r="P123"/>
  <c r="L123"/>
  <c r="N123"/>
  <c r="J123"/>
  <c r="H123"/>
  <c r="R35"/>
  <c r="T35"/>
  <c r="P35"/>
  <c r="L35"/>
  <c r="N35"/>
  <c r="J35"/>
  <c r="H35"/>
  <c r="T129"/>
  <c r="P129"/>
  <c r="R129"/>
  <c r="N129"/>
  <c r="J129"/>
  <c r="L129"/>
  <c r="H129"/>
  <c r="R237"/>
  <c r="N237"/>
  <c r="T237"/>
  <c r="P237"/>
  <c r="J237"/>
  <c r="L237"/>
  <c r="H237"/>
  <c r="R198"/>
  <c r="T198"/>
  <c r="P198"/>
  <c r="L198"/>
  <c r="H198"/>
  <c r="N198"/>
  <c r="J198"/>
  <c r="T157"/>
  <c r="P157"/>
  <c r="R157"/>
  <c r="N157"/>
  <c r="J157"/>
  <c r="L157"/>
  <c r="H157"/>
  <c r="T41"/>
  <c r="P41"/>
  <c r="R41"/>
  <c r="N41"/>
  <c r="J41"/>
  <c r="L41"/>
  <c r="H41"/>
  <c r="T201"/>
  <c r="P201"/>
  <c r="R201"/>
  <c r="L201"/>
  <c r="H201"/>
  <c r="N201"/>
  <c r="J201"/>
  <c r="T197"/>
  <c r="P197"/>
  <c r="R197"/>
  <c r="L197"/>
  <c r="H197"/>
  <c r="N197"/>
  <c r="J197"/>
  <c r="D488" i="58"/>
  <c r="F488" s="1"/>
  <c r="S3119" i="27"/>
  <c r="R3119"/>
  <c r="C441" i="55"/>
  <c r="V197"/>
  <c r="D688" i="58"/>
  <c r="F688" s="1"/>
  <c r="K3888" i="11"/>
  <c r="C444" i="79" s="1"/>
  <c r="L3889" i="11"/>
  <c r="D693" i="58"/>
  <c r="F693" s="1"/>
  <c r="D442"/>
  <c r="F442" s="1"/>
  <c r="K3987" i="11"/>
  <c r="L3987" s="1"/>
  <c r="L3989"/>
  <c r="V198" i="55"/>
  <c r="D689" i="58"/>
  <c r="F689" s="1"/>
  <c r="C135" i="55"/>
  <c r="F135" s="1"/>
  <c r="M3866" i="11"/>
  <c r="K3866"/>
  <c r="C443" i="79" s="1"/>
  <c r="D692" i="58"/>
  <c r="F692" s="1"/>
  <c r="V201" i="55"/>
  <c r="K4018" i="11"/>
  <c r="K4022" s="1"/>
  <c r="K4023" s="1"/>
  <c r="K4007"/>
  <c r="K4008" s="1"/>
  <c r="D441" i="58"/>
  <c r="F441" s="1"/>
  <c r="AU123" i="1"/>
  <c r="AV123" s="1"/>
  <c r="AS124"/>
  <c r="AT123"/>
  <c r="AS150"/>
  <c r="AQ182"/>
  <c r="AS182" s="1"/>
  <c r="K477"/>
  <c r="L476"/>
  <c r="C42" i="55"/>
  <c r="F42" s="1"/>
  <c r="L409" i="1"/>
  <c r="L410" s="1"/>
  <c r="D95" i="58"/>
  <c r="D140"/>
  <c r="F886"/>
  <c r="V490" i="1"/>
  <c r="X490" s="1"/>
  <c r="D190" i="58"/>
  <c r="F171"/>
  <c r="D890"/>
  <c r="F53" i="32"/>
  <c r="F54" s="1"/>
  <c r="F56" s="1"/>
  <c r="F58" s="1"/>
  <c r="F60" s="1"/>
  <c r="F222" i="58"/>
  <c r="V237" i="55"/>
  <c r="D813" i="58"/>
  <c r="F469"/>
  <c r="D483"/>
  <c r="V35" i="55"/>
  <c r="D123" i="58"/>
  <c r="F133"/>
  <c r="V41" i="55"/>
  <c r="D172" i="58"/>
  <c r="AG355" i="1"/>
  <c r="AG417"/>
  <c r="F463" i="58"/>
  <c r="F88"/>
  <c r="AG455" i="1"/>
  <c r="X409"/>
  <c r="F476" i="58"/>
  <c r="V129" i="55"/>
  <c r="D470" i="58"/>
  <c r="AB567" i="1"/>
  <c r="AD567" s="1"/>
  <c r="F184" i="58"/>
  <c r="F189"/>
  <c r="F210"/>
  <c r="D818"/>
  <c r="D477"/>
  <c r="D90"/>
  <c r="D186"/>
  <c r="D134"/>
  <c r="C130" i="55"/>
  <c r="F130" s="1"/>
  <c r="V567" i="1"/>
  <c r="X567" s="1"/>
  <c r="C132" i="79" s="1"/>
  <c r="F482" i="58"/>
  <c r="F1042"/>
  <c r="D723"/>
  <c r="V224" i="55"/>
  <c r="V544" i="1"/>
  <c r="X544" s="1"/>
  <c r="C126" i="79" s="1"/>
  <c r="C124" i="55"/>
  <c r="F124" s="1"/>
  <c r="X694" i="1"/>
  <c r="F817" i="58"/>
  <c r="F94"/>
  <c r="F139"/>
  <c r="AB544" i="1"/>
  <c r="AD544" s="1"/>
  <c r="D89" i="58"/>
  <c r="F209"/>
  <c r="D185"/>
  <c r="D558"/>
  <c r="H53" i="32"/>
  <c r="H54" s="1"/>
  <c r="D464" i="58"/>
  <c r="V123" i="55"/>
  <c r="D508" i="58"/>
  <c r="F122"/>
  <c r="F812"/>
  <c r="D238"/>
  <c r="I545" i="1"/>
  <c r="K545" s="1"/>
  <c r="D251" i="58"/>
  <c r="F237"/>
  <c r="F250"/>
  <c r="R1166" i="1"/>
  <c r="K831"/>
  <c r="D489" i="58"/>
  <c r="F763"/>
  <c r="F919"/>
  <c r="D573"/>
  <c r="F889"/>
  <c r="D70"/>
  <c r="D268"/>
  <c r="F888"/>
  <c r="D75"/>
  <c r="F68"/>
  <c r="V159" i="55"/>
  <c r="D597" i="58"/>
  <c r="I667" i="1"/>
  <c r="K667" s="1"/>
  <c r="I668" s="1"/>
  <c r="K668" s="1"/>
  <c r="I669" s="1"/>
  <c r="K669" s="1"/>
  <c r="I670" s="1"/>
  <c r="K670" s="1"/>
  <c r="I671" s="1"/>
  <c r="K671" s="1"/>
  <c r="I672" s="1"/>
  <c r="K672" s="1"/>
  <c r="I673" s="1"/>
  <c r="K673" s="1"/>
  <c r="F74" i="58"/>
  <c r="D572"/>
  <c r="X725" i="1"/>
  <c r="C138" i="79" s="1"/>
  <c r="C136" i="55"/>
  <c r="F136" s="1"/>
  <c r="AB492" i="1"/>
  <c r="AD492" s="1"/>
  <c r="D576" i="58"/>
  <c r="F765"/>
  <c r="F267"/>
  <c r="D574"/>
  <c r="D595"/>
  <c r="F764"/>
  <c r="F918"/>
  <c r="D594"/>
  <c r="V157" i="55"/>
  <c r="D69" i="58"/>
  <c r="F917"/>
  <c r="D521"/>
  <c r="D287"/>
  <c r="F520"/>
  <c r="C158" i="55"/>
  <c r="F158" s="1"/>
  <c r="D288" i="58"/>
  <c r="P138" i="79" l="1"/>
  <c r="T138"/>
  <c r="L138"/>
  <c r="V138"/>
  <c r="N138"/>
  <c r="J138"/>
  <c r="X138"/>
  <c r="R138"/>
  <c r="H138"/>
  <c r="F138"/>
  <c r="Z138"/>
  <c r="T132"/>
  <c r="Z132"/>
  <c r="X132"/>
  <c r="R132"/>
  <c r="J132"/>
  <c r="P132"/>
  <c r="H132"/>
  <c r="F132"/>
  <c r="V132"/>
  <c r="N132"/>
  <c r="L132"/>
  <c r="X443"/>
  <c r="V443"/>
  <c r="Z443"/>
  <c r="T443"/>
  <c r="V444"/>
  <c r="X444"/>
  <c r="T444"/>
  <c r="Z444"/>
  <c r="V202"/>
  <c r="N202"/>
  <c r="L202"/>
  <c r="H202"/>
  <c r="J202"/>
  <c r="Z202"/>
  <c r="X202"/>
  <c r="F202"/>
  <c r="P202"/>
  <c r="R202"/>
  <c r="T202"/>
  <c r="R136"/>
  <c r="X136"/>
  <c r="F136"/>
  <c r="P136"/>
  <c r="H136"/>
  <c r="V136"/>
  <c r="N136"/>
  <c r="L136"/>
  <c r="T136"/>
  <c r="J136"/>
  <c r="Z136"/>
  <c r="T126"/>
  <c r="P126"/>
  <c r="J126"/>
  <c r="H126"/>
  <c r="X126"/>
  <c r="F126"/>
  <c r="V126"/>
  <c r="R126"/>
  <c r="N126"/>
  <c r="L126"/>
  <c r="Z126"/>
  <c r="X137"/>
  <c r="H137"/>
  <c r="P137"/>
  <c r="N137"/>
  <c r="F137"/>
  <c r="L137"/>
  <c r="J137"/>
  <c r="V137"/>
  <c r="T137"/>
  <c r="R137"/>
  <c r="Z137"/>
  <c r="R225"/>
  <c r="H225"/>
  <c r="T225"/>
  <c r="V225"/>
  <c r="F225"/>
  <c r="L225"/>
  <c r="N225"/>
  <c r="P225"/>
  <c r="X225"/>
  <c r="J225"/>
  <c r="Z225"/>
  <c r="Z158" i="55"/>
  <c r="X158"/>
  <c r="X124"/>
  <c r="Z124"/>
  <c r="X136"/>
  <c r="Z136"/>
  <c r="Z130"/>
  <c r="X130"/>
  <c r="Z42"/>
  <c r="X42"/>
  <c r="X135"/>
  <c r="Z135"/>
  <c r="T136"/>
  <c r="P136"/>
  <c r="R136"/>
  <c r="N136"/>
  <c r="J136"/>
  <c r="L136"/>
  <c r="H136"/>
  <c r="T42"/>
  <c r="P42"/>
  <c r="R42"/>
  <c r="L42"/>
  <c r="N42"/>
  <c r="J42"/>
  <c r="H42"/>
  <c r="T158"/>
  <c r="P158"/>
  <c r="R158"/>
  <c r="L158"/>
  <c r="H158"/>
  <c r="N158"/>
  <c r="J158"/>
  <c r="T130"/>
  <c r="P130"/>
  <c r="R130"/>
  <c r="L130"/>
  <c r="H130"/>
  <c r="N130"/>
  <c r="J130"/>
  <c r="R124"/>
  <c r="T124"/>
  <c r="P124"/>
  <c r="N124"/>
  <c r="J124"/>
  <c r="L124"/>
  <c r="H124"/>
  <c r="R135"/>
  <c r="T135"/>
  <c r="P135"/>
  <c r="N135"/>
  <c r="J135"/>
  <c r="L135"/>
  <c r="H135"/>
  <c r="V135"/>
  <c r="D502" i="58"/>
  <c r="C443" i="55"/>
  <c r="K3890" i="11"/>
  <c r="C442" i="55"/>
  <c r="V441"/>
  <c r="X441"/>
  <c r="Z441"/>
  <c r="T441"/>
  <c r="D901" i="58"/>
  <c r="F901" s="1"/>
  <c r="AS125" i="1"/>
  <c r="AU124"/>
  <c r="AV124" s="1"/>
  <c r="AU182"/>
  <c r="AV182" s="1"/>
  <c r="AS186"/>
  <c r="AS154"/>
  <c r="AU150"/>
  <c r="AV150" s="1"/>
  <c r="AB545"/>
  <c r="AD545" s="1"/>
  <c r="AB546" s="1"/>
  <c r="AD546" s="1"/>
  <c r="AB547" s="1"/>
  <c r="AD547" s="1"/>
  <c r="AB548" s="1"/>
  <c r="AD548" s="1"/>
  <c r="AB549" s="1"/>
  <c r="AD549" s="1"/>
  <c r="AB550" s="1"/>
  <c r="AD550" s="1"/>
  <c r="AB551" s="1"/>
  <c r="AD551" s="1"/>
  <c r="AB552" s="1"/>
  <c r="AD552" s="1"/>
  <c r="X695"/>
  <c r="F723" i="58"/>
  <c r="C131" i="55"/>
  <c r="F131" s="1"/>
  <c r="V568" i="1"/>
  <c r="X568" s="1"/>
  <c r="F90" i="58"/>
  <c r="F477"/>
  <c r="D136"/>
  <c r="D191"/>
  <c r="D96"/>
  <c r="F813"/>
  <c r="F190"/>
  <c r="F95"/>
  <c r="K478" i="1"/>
  <c r="L477"/>
  <c r="F558" i="58"/>
  <c r="F89"/>
  <c r="C125" i="55"/>
  <c r="F125" s="1"/>
  <c r="V545" i="1"/>
  <c r="X545" s="1"/>
  <c r="V546" s="1"/>
  <c r="X546" s="1"/>
  <c r="V547" s="1"/>
  <c r="X547" s="1"/>
  <c r="V548" s="1"/>
  <c r="X548" s="1"/>
  <c r="V549" s="1"/>
  <c r="X549" s="1"/>
  <c r="V550" s="1"/>
  <c r="X550" s="1"/>
  <c r="V551" s="1"/>
  <c r="X551" s="1"/>
  <c r="V552" s="1"/>
  <c r="X552" s="1"/>
  <c r="F818" i="58"/>
  <c r="D135"/>
  <c r="AG456" i="1"/>
  <c r="AG356"/>
  <c r="F123" i="58"/>
  <c r="F185"/>
  <c r="V124" i="55"/>
  <c r="D465" i="58"/>
  <c r="F186"/>
  <c r="AB568" i="1"/>
  <c r="AD568" s="1"/>
  <c r="F470" i="58"/>
  <c r="D141"/>
  <c r="F172"/>
  <c r="F483"/>
  <c r="V491" i="1"/>
  <c r="X491" s="1"/>
  <c r="V42" i="55"/>
  <c r="D173" i="58"/>
  <c r="F508"/>
  <c r="F464"/>
  <c r="D478"/>
  <c r="D509"/>
  <c r="V130" i="55"/>
  <c r="D471" i="58"/>
  <c r="F134"/>
  <c r="D484"/>
  <c r="AG418" i="1"/>
  <c r="F890" i="58"/>
  <c r="D494"/>
  <c r="F140"/>
  <c r="I546" i="1"/>
  <c r="K546" s="1"/>
  <c r="D239" i="58"/>
  <c r="F251"/>
  <c r="F238"/>
  <c r="F288"/>
  <c r="F597"/>
  <c r="F75"/>
  <c r="F489"/>
  <c r="V158" i="55"/>
  <c r="D596" i="58"/>
  <c r="F521"/>
  <c r="AB493" i="1"/>
  <c r="AD493" s="1"/>
  <c r="D269" i="58"/>
  <c r="F268"/>
  <c r="F70"/>
  <c r="D289"/>
  <c r="F69"/>
  <c r="F595"/>
  <c r="D490"/>
  <c r="F572"/>
  <c r="F287"/>
  <c r="F594"/>
  <c r="F574"/>
  <c r="C137" i="55"/>
  <c r="F137" s="1"/>
  <c r="X726" i="1"/>
  <c r="C139" i="79" s="1"/>
  <c r="F573" i="58"/>
  <c r="K832" i="1"/>
  <c r="R1167"/>
  <c r="F576" i="58"/>
  <c r="V136" i="55"/>
  <c r="D503" i="58"/>
  <c r="D76"/>
  <c r="D522"/>
  <c r="C132" i="55" l="1"/>
  <c r="F132" s="1"/>
  <c r="C133" i="79"/>
  <c r="R139"/>
  <c r="P139"/>
  <c r="F139"/>
  <c r="X139"/>
  <c r="L139"/>
  <c r="T139"/>
  <c r="N139"/>
  <c r="V139"/>
  <c r="H139"/>
  <c r="J139"/>
  <c r="Z139"/>
  <c r="Z132" i="55"/>
  <c r="X125"/>
  <c r="Z125"/>
  <c r="X137"/>
  <c r="Z137"/>
  <c r="Z131"/>
  <c r="X131"/>
  <c r="T137"/>
  <c r="P137"/>
  <c r="R137"/>
  <c r="L137"/>
  <c r="H137"/>
  <c r="N137"/>
  <c r="J137"/>
  <c r="R131"/>
  <c r="T131"/>
  <c r="P131"/>
  <c r="L131"/>
  <c r="H131"/>
  <c r="N131"/>
  <c r="J131"/>
  <c r="R132"/>
  <c r="T132"/>
  <c r="P132"/>
  <c r="N132"/>
  <c r="J132"/>
  <c r="L132"/>
  <c r="H132"/>
  <c r="T125"/>
  <c r="P125"/>
  <c r="R125"/>
  <c r="N125"/>
  <c r="J125"/>
  <c r="L125"/>
  <c r="H125"/>
  <c r="Z442"/>
  <c r="T442"/>
  <c r="V442"/>
  <c r="X442"/>
  <c r="D905" i="58"/>
  <c r="F905" s="1"/>
  <c r="V443" i="55"/>
  <c r="X443"/>
  <c r="T443"/>
  <c r="Z443"/>
  <c r="D902" i="58"/>
  <c r="F902" s="1"/>
  <c r="AS126" i="1"/>
  <c r="AU126" s="1"/>
  <c r="AV126" s="1"/>
  <c r="AU125"/>
  <c r="AV125" s="1"/>
  <c r="AS127"/>
  <c r="AU127" s="1"/>
  <c r="AV127" s="1"/>
  <c r="AS156"/>
  <c r="AU154"/>
  <c r="AV154" s="1"/>
  <c r="AS188"/>
  <c r="AU186"/>
  <c r="AV186" s="1"/>
  <c r="F484" i="58"/>
  <c r="F471"/>
  <c r="AB569" i="1"/>
  <c r="AD569" s="1"/>
  <c r="F465" i="58"/>
  <c r="AG357" i="1"/>
  <c r="AE456"/>
  <c r="AG457"/>
  <c r="K479"/>
  <c r="L478"/>
  <c r="F136" i="58"/>
  <c r="D479"/>
  <c r="F509"/>
  <c r="F478"/>
  <c r="D192"/>
  <c r="F135"/>
  <c r="D142"/>
  <c r="F173"/>
  <c r="D495"/>
  <c r="F141"/>
  <c r="D97"/>
  <c r="D466"/>
  <c r="V125" i="55"/>
  <c r="F96" i="58"/>
  <c r="D472"/>
  <c r="V131" i="55"/>
  <c r="D510" i="58"/>
  <c r="AG419" i="1"/>
  <c r="V492"/>
  <c r="X492" s="1"/>
  <c r="D485" i="58"/>
  <c r="D533"/>
  <c r="F191"/>
  <c r="V132" i="55"/>
  <c r="D473" i="58"/>
  <c r="X696" i="1"/>
  <c r="I547"/>
  <c r="K547" s="1"/>
  <c r="D240" i="58"/>
  <c r="F239"/>
  <c r="R1168" i="1"/>
  <c r="D491" i="58"/>
  <c r="K833" i="1"/>
  <c r="V137" i="55"/>
  <c r="D504" i="58"/>
  <c r="F490"/>
  <c r="F269"/>
  <c r="F596"/>
  <c r="D77"/>
  <c r="X727" i="1"/>
  <c r="C138" i="55"/>
  <c r="F138" s="1"/>
  <c r="F289" i="58"/>
  <c r="F522"/>
  <c r="F76"/>
  <c r="F503"/>
  <c r="D523"/>
  <c r="AD494" i="1"/>
  <c r="AD495" s="1"/>
  <c r="AD496" s="1"/>
  <c r="AD497" s="1"/>
  <c r="AD498" s="1"/>
  <c r="AD499" s="1"/>
  <c r="AD500" s="1"/>
  <c r="AD501" s="1"/>
  <c r="C139" i="55" l="1"/>
  <c r="F139" s="1"/>
  <c r="C140" i="79"/>
  <c r="R133"/>
  <c r="H133"/>
  <c r="V133"/>
  <c r="P133"/>
  <c r="X133"/>
  <c r="F133"/>
  <c r="N133"/>
  <c r="T133"/>
  <c r="L133"/>
  <c r="Z133"/>
  <c r="J133"/>
  <c r="X132" i="55"/>
  <c r="Z139"/>
  <c r="X139"/>
  <c r="X138"/>
  <c r="Z138"/>
  <c r="R138"/>
  <c r="T138"/>
  <c r="P138"/>
  <c r="L138"/>
  <c r="H138"/>
  <c r="N138"/>
  <c r="J138"/>
  <c r="R139"/>
  <c r="T139"/>
  <c r="P139"/>
  <c r="N139"/>
  <c r="J139"/>
  <c r="L139"/>
  <c r="H139"/>
  <c r="AS190" i="1"/>
  <c r="AU188"/>
  <c r="AV188" s="1"/>
  <c r="AU156"/>
  <c r="AV156" s="1"/>
  <c r="AS158"/>
  <c r="D511" i="58"/>
  <c r="D496"/>
  <c r="F472"/>
  <c r="F97"/>
  <c r="AG458" i="1"/>
  <c r="AE457"/>
  <c r="D98" i="58"/>
  <c r="D486"/>
  <c r="X697" i="1"/>
  <c r="X698" s="1"/>
  <c r="X699" s="1"/>
  <c r="X700" s="1"/>
  <c r="X701" s="1"/>
  <c r="X702" s="1"/>
  <c r="X703" s="1"/>
  <c r="X704" s="1"/>
  <c r="X705" s="1"/>
  <c r="F533" i="58"/>
  <c r="V493" i="1"/>
  <c r="X493" s="1"/>
  <c r="F510" i="58"/>
  <c r="F495"/>
  <c r="F142"/>
  <c r="F479"/>
  <c r="K480" i="1"/>
  <c r="L479"/>
  <c r="D534" i="58"/>
  <c r="F473"/>
  <c r="AG420" i="1"/>
  <c r="F466" i="58"/>
  <c r="AG358" i="1"/>
  <c r="F485" i="58"/>
  <c r="D143"/>
  <c r="F192"/>
  <c r="D241"/>
  <c r="I548" i="1"/>
  <c r="K548" s="1"/>
  <c r="F240" i="58"/>
  <c r="D505"/>
  <c r="V138" i="55"/>
  <c r="F491" i="58"/>
  <c r="F523"/>
  <c r="V139" i="55"/>
  <c r="D506" i="58"/>
  <c r="K834" i="1"/>
  <c r="D524" i="58"/>
  <c r="D492"/>
  <c r="F504"/>
  <c r="F77"/>
  <c r="D78"/>
  <c r="R1169" i="1"/>
  <c r="X362" i="55" l="1"/>
  <c r="T140" i="79"/>
  <c r="T363" s="1"/>
  <c r="R140"/>
  <c r="R363" s="1"/>
  <c r="Z140"/>
  <c r="J140"/>
  <c r="J363" s="1"/>
  <c r="P140"/>
  <c r="P363" s="1"/>
  <c r="X140"/>
  <c r="X363" s="1"/>
  <c r="H140"/>
  <c r="F140"/>
  <c r="V140"/>
  <c r="V363" s="1"/>
  <c r="N140"/>
  <c r="N363" s="1"/>
  <c r="L140"/>
  <c r="L363" s="1"/>
  <c r="H363"/>
  <c r="R362" i="55"/>
  <c r="D13" i="57" s="1"/>
  <c r="F13" s="1"/>
  <c r="P362" i="55"/>
  <c r="D12" i="57" s="1"/>
  <c r="F12" s="1"/>
  <c r="N362" i="55"/>
  <c r="D11" i="57" s="1"/>
  <c r="F11" s="1"/>
  <c r="J362" i="55"/>
  <c r="D9" i="57" s="1"/>
  <c r="F9" s="1"/>
  <c r="AR190" i="1"/>
  <c r="AU190"/>
  <c r="AV190" s="1"/>
  <c r="AS191"/>
  <c r="AT158"/>
  <c r="AR158"/>
  <c r="AU158"/>
  <c r="AV158" s="1"/>
  <c r="AS159"/>
  <c r="D99" i="58"/>
  <c r="D144"/>
  <c r="F534"/>
  <c r="D540"/>
  <c r="L480" i="1"/>
  <c r="K481"/>
  <c r="AG459"/>
  <c r="AE458"/>
  <c r="D535" i="58"/>
  <c r="AG421" i="1"/>
  <c r="F98" i="58"/>
  <c r="F511"/>
  <c r="F143"/>
  <c r="D497"/>
  <c r="D512"/>
  <c r="F496"/>
  <c r="AG359" i="1"/>
  <c r="D498" i="58"/>
  <c r="F486"/>
  <c r="F241"/>
  <c r="D242"/>
  <c r="I549" i="1"/>
  <c r="K549" s="1"/>
  <c r="R1170"/>
  <c r="F524" i="58"/>
  <c r="F78"/>
  <c r="F492"/>
  <c r="D79"/>
  <c r="F505"/>
  <c r="K835" i="1"/>
  <c r="F506" i="58"/>
  <c r="D525"/>
  <c r="Z367" i="79" l="1"/>
  <c r="Z474"/>
  <c r="X366"/>
  <c r="X367" s="1"/>
  <c r="X474"/>
  <c r="X475" s="1"/>
  <c r="L362" i="55"/>
  <c r="D10" i="57" s="1"/>
  <c r="F10" s="1"/>
  <c r="H362" i="55"/>
  <c r="D8" i="57" s="1"/>
  <c r="F8" s="1"/>
  <c r="AT159" i="1"/>
  <c r="AS160"/>
  <c r="AR159"/>
  <c r="AU159"/>
  <c r="AV159" s="1"/>
  <c r="AS192"/>
  <c r="AU191"/>
  <c r="AV191" s="1"/>
  <c r="AR191"/>
  <c r="D100" i="58"/>
  <c r="F535"/>
  <c r="D546"/>
  <c r="F540"/>
  <c r="F99"/>
  <c r="AG360" i="1"/>
  <c r="D145" i="58"/>
  <c r="AE459" i="1"/>
  <c r="AG460"/>
  <c r="F498" i="58"/>
  <c r="AG422" i="1"/>
  <c r="D536" i="58"/>
  <c r="F512"/>
  <c r="F497"/>
  <c r="D541"/>
  <c r="L481" i="1"/>
  <c r="K482"/>
  <c r="L482" s="1"/>
  <c r="F144" i="58"/>
  <c r="I550" i="1"/>
  <c r="K550" s="1"/>
  <c r="F242" i="58"/>
  <c r="D243"/>
  <c r="F79"/>
  <c r="R1171" i="1"/>
  <c r="F525" i="58"/>
  <c r="D80"/>
  <c r="K836" i="1"/>
  <c r="D526" i="58"/>
  <c r="AU192" i="1" l="1"/>
  <c r="AV192" s="1"/>
  <c r="AR192"/>
  <c r="AS193"/>
  <c r="AS161"/>
  <c r="AR160"/>
  <c r="AU160"/>
  <c r="AV160" s="1"/>
  <c r="F536" i="58"/>
  <c r="AG361" i="1"/>
  <c r="F100" i="58"/>
  <c r="F541"/>
  <c r="D146"/>
  <c r="AG461" i="1"/>
  <c r="AE460"/>
  <c r="AG423"/>
  <c r="D547" i="58"/>
  <c r="F145"/>
  <c r="D537"/>
  <c r="F546"/>
  <c r="D101"/>
  <c r="F243"/>
  <c r="D244"/>
  <c r="F526"/>
  <c r="F80"/>
  <c r="R1172" i="1"/>
  <c r="D527" i="58"/>
  <c r="D81"/>
  <c r="K837" i="1"/>
  <c r="AU193" l="1"/>
  <c r="AV193" s="1"/>
  <c r="AS194"/>
  <c r="AR193"/>
  <c r="AR161"/>
  <c r="AS162"/>
  <c r="AU161"/>
  <c r="AV161" s="1"/>
  <c r="AG462"/>
  <c r="AE461"/>
  <c r="D102" i="58"/>
  <c r="F537"/>
  <c r="D147"/>
  <c r="F547"/>
  <c r="D543"/>
  <c r="F146"/>
  <c r="AG362" i="1"/>
  <c r="F101" i="58"/>
  <c r="AG424" i="1"/>
  <c r="D548" i="58"/>
  <c r="D538"/>
  <c r="F244"/>
  <c r="F527"/>
  <c r="D82"/>
  <c r="F81"/>
  <c r="D528"/>
  <c r="K838" i="1"/>
  <c r="R1173"/>
  <c r="AR162" l="1"/>
  <c r="AU162"/>
  <c r="AV162" s="1"/>
  <c r="AR194"/>
  <c r="AU194"/>
  <c r="AV194" s="1"/>
  <c r="F147" i="58"/>
  <c r="F102"/>
  <c r="AE462" i="1"/>
  <c r="AG463"/>
  <c r="F538" i="58"/>
  <c r="AG425" i="1"/>
  <c r="AG363"/>
  <c r="F548" i="58"/>
  <c r="D148"/>
  <c r="D103"/>
  <c r="D549"/>
  <c r="D544"/>
  <c r="F543"/>
  <c r="D84"/>
  <c r="R1174" i="1"/>
  <c r="D529" i="58"/>
  <c r="D83"/>
  <c r="F528"/>
  <c r="F82"/>
  <c r="F544" l="1"/>
  <c r="AI425" i="1"/>
  <c r="F103" i="58"/>
  <c r="D104"/>
  <c r="D149"/>
  <c r="AG464" i="1"/>
  <c r="AE463"/>
  <c r="F549" i="58"/>
  <c r="D550"/>
  <c r="F148"/>
  <c r="D105"/>
  <c r="F529"/>
  <c r="D530"/>
  <c r="F84"/>
  <c r="D531"/>
  <c r="F83"/>
  <c r="V362" i="55" l="1"/>
  <c r="D15" i="57" s="1"/>
  <c r="F15" s="1"/>
  <c r="F149" i="58"/>
  <c r="F104"/>
  <c r="F550"/>
  <c r="AG465" i="1"/>
  <c r="AE464"/>
  <c r="D150" i="58"/>
  <c r="F105"/>
  <c r="AI426" i="1"/>
  <c r="F530" i="58"/>
  <c r="F531"/>
  <c r="X365" i="55" l="1"/>
  <c r="X366" s="1"/>
  <c r="D151" i="58"/>
  <c r="F150"/>
  <c r="AE465" i="1"/>
  <c r="AG466"/>
  <c r="AE466" s="1"/>
  <c r="D152" i="58"/>
  <c r="F152" l="1"/>
  <c r="F151"/>
  <c r="X473" i="55" l="1"/>
  <c r="X474" s="1"/>
  <c r="B612" i="58" l="1"/>
  <c r="F612" s="1"/>
  <c r="B922"/>
  <c r="F922" s="1"/>
  <c r="B665"/>
  <c r="F665" s="1"/>
  <c r="B727"/>
  <c r="F727" s="1"/>
  <c r="B680"/>
  <c r="F680" s="1"/>
  <c r="B357"/>
  <c r="F357" s="1"/>
  <c r="B631" l="1"/>
  <c r="F631" s="1"/>
  <c r="B921"/>
  <c r="F921" s="1"/>
  <c r="B923"/>
  <c r="F923" s="1"/>
  <c r="B494"/>
  <c r="F494" s="1"/>
  <c r="B468"/>
  <c r="F468" s="1"/>
  <c r="B587"/>
  <c r="F587" s="1"/>
  <c r="B844"/>
  <c r="F844" s="1"/>
  <c r="B669"/>
  <c r="F669" s="1"/>
  <c r="B481"/>
  <c r="F481" s="1"/>
  <c r="B847"/>
  <c r="F847" s="1"/>
  <c r="B679"/>
  <c r="F679" s="1"/>
  <c r="B427"/>
  <c r="F427" s="1"/>
  <c r="B382"/>
  <c r="F382" s="1"/>
  <c r="B331"/>
  <c r="F331" s="1"/>
  <c r="B841"/>
  <c r="F841" s="1"/>
  <c r="B840"/>
  <c r="F840" s="1"/>
  <c r="B380"/>
  <c r="F380" s="1"/>
  <c r="B855"/>
  <c r="F855" s="1"/>
  <c r="B586" l="1"/>
  <c r="F586" s="1"/>
  <c r="B119"/>
  <c r="F119" s="1"/>
  <c r="B657"/>
  <c r="F657" s="1"/>
  <c r="B169"/>
  <c r="F169" s="1"/>
  <c r="B659"/>
  <c r="F659" s="1"/>
  <c r="B690"/>
  <c r="F690" s="1"/>
  <c r="B60"/>
  <c r="F60" s="1"/>
  <c r="B343"/>
  <c r="F343" s="1"/>
  <c r="B39"/>
  <c r="F39" s="1"/>
  <c r="B46"/>
  <c r="F46" s="1"/>
  <c r="B7"/>
  <c r="F7" s="1"/>
  <c r="Z6" i="55"/>
  <c r="B717" i="58" l="1"/>
  <c r="F717" s="1"/>
  <c r="B349"/>
  <c r="F349" s="1"/>
  <c r="B344"/>
  <c r="F344" s="1"/>
  <c r="T362" i="55" l="1"/>
  <c r="B502" i="58"/>
  <c r="F502" s="1"/>
  <c r="B662"/>
  <c r="F662" s="1"/>
  <c r="B342"/>
  <c r="F342" s="1"/>
  <c r="Z366" i="55" l="1"/>
  <c r="D14" i="57"/>
  <c r="F14" s="1"/>
  <c r="B664" i="58"/>
  <c r="F664" s="1"/>
  <c r="B718"/>
  <c r="F718" s="1"/>
  <c r="F1026"/>
  <c r="B501"/>
  <c r="F501" s="1"/>
  <c r="Z473" i="55"/>
  <c r="H14" i="57" l="1"/>
  <c r="E66" i="55"/>
  <c r="G960" i="70"/>
  <c r="I968" l="1"/>
  <c r="E63" i="55"/>
  <c r="Y63" s="1"/>
  <c r="Y64" i="79" s="1"/>
  <c r="Z64" s="1"/>
  <c r="E64"/>
  <c r="F64" s="1"/>
  <c r="F363" s="1"/>
  <c r="F66" i="55"/>
  <c r="Y66"/>
  <c r="Y67" i="79" s="1"/>
  <c r="Z67" s="1"/>
  <c r="F63" i="55"/>
  <c r="F362" s="1"/>
  <c r="Z363" i="79" l="1"/>
  <c r="Z368" s="1"/>
  <c r="D6" i="57"/>
  <c r="F6" s="1"/>
  <c r="F7" s="1"/>
  <c r="Z63" i="55"/>
  <c r="B309" i="58"/>
  <c r="F309" s="1"/>
  <c r="Z66" i="55"/>
  <c r="B323" i="58"/>
  <c r="F323" s="1"/>
  <c r="Z475" i="79" l="1"/>
  <c r="Z362" i="55"/>
  <c r="AB363" i="79" s="1"/>
  <c r="F16" i="57"/>
  <c r="G7"/>
  <c r="G6" l="1"/>
  <c r="H6" s="1"/>
  <c r="G16"/>
  <c r="F26"/>
  <c r="F17"/>
  <c r="F18" s="1"/>
  <c r="F23" s="1"/>
  <c r="F25"/>
  <c r="F24"/>
  <c r="Z367" i="55"/>
  <c r="Z474"/>
  <c r="F27" i="57" l="1"/>
  <c r="F32" s="1"/>
  <c r="E33" s="1"/>
  <c r="E34" s="1"/>
</calcChain>
</file>

<file path=xl/sharedStrings.xml><?xml version="1.0" encoding="utf-8"?>
<sst xmlns="http://schemas.openxmlformats.org/spreadsheetml/2006/main" count="43461" uniqueCount="6124">
  <si>
    <t>(1Cum)</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</si>
  <si>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</si>
  <si>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</si>
  <si>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</si>
  <si>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</si>
  <si>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</si>
  <si>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</si>
  <si>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</si>
  <si>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</si>
  <si>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</si>
  <si>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</si>
  <si>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</si>
  <si>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</si>
  <si>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</si>
  <si>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</si>
  <si>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</si>
  <si>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</si>
  <si>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</si>
  <si>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</si>
  <si>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</si>
  <si>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</si>
  <si>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</si>
  <si>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</si>
  <si>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</si>
  <si>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</si>
  <si>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</si>
  <si>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</si>
  <si>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</si>
  <si>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</si>
  <si>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</si>
  <si>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</si>
  <si>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</si>
  <si>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</si>
  <si>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</si>
  <si>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TOTAL FOR .40 SQM</t>
  </si>
  <si>
    <t>a. 110 mm dia.</t>
  </si>
  <si>
    <t>b. 75 mm dia.</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</si>
  <si>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</si>
  <si>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</si>
  <si>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</si>
  <si>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</si>
  <si>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</si>
  <si>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</si>
  <si>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</si>
  <si>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</si>
  <si>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</si>
  <si>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</si>
  <si>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</si>
  <si>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</si>
  <si>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</si>
  <si>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</si>
  <si>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</si>
  <si>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</si>
  <si>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</si>
  <si>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</si>
  <si>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</si>
  <si>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</si>
  <si>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</si>
  <si>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</si>
  <si>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</si>
  <si>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</si>
  <si>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</si>
  <si>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</si>
  <si>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</si>
  <si>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</si>
  <si>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</si>
  <si>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</si>
  <si>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</si>
  <si>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</si>
  <si>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</si>
  <si>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</si>
  <si>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</si>
  <si>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</si>
  <si>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</si>
  <si>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</si>
  <si>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</si>
  <si>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</si>
  <si>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</si>
  <si>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</si>
  <si>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</si>
  <si>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</si>
  <si>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</si>
  <si>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</si>
  <si>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</si>
  <si>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</si>
  <si>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</si>
  <si>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</si>
  <si>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</si>
  <si>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</si>
  <si>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</si>
  <si>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</si>
  <si>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</si>
  <si>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</si>
  <si>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</si>
  <si>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</si>
  <si>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</si>
  <si>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</si>
  <si>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</si>
  <si>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</si>
  <si>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</si>
  <si>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</si>
  <si>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</si>
  <si>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</si>
  <si>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</si>
  <si>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</si>
  <si>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</si>
  <si>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</si>
  <si>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</si>
  <si>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</si>
  <si>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</si>
  <si>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</si>
  <si>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</si>
  <si>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</si>
  <si>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</si>
  <si>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</si>
  <si>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</si>
  <si>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</si>
  <si>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</si>
  <si>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</si>
  <si>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</si>
  <si>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</si>
  <si>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</si>
  <si>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</si>
  <si>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</si>
  <si>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</si>
  <si>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</si>
  <si>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</si>
  <si>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</si>
  <si>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</si>
  <si>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</si>
  <si>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</si>
  <si>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</si>
  <si>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</si>
  <si>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</si>
  <si>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</si>
  <si>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</si>
  <si>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</si>
  <si>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</si>
  <si>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</si>
  <si>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</si>
  <si>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</si>
  <si>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</si>
  <si>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</si>
  <si>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</si>
  <si>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</si>
  <si>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</si>
  <si>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</si>
  <si>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</si>
  <si>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</si>
  <si>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</si>
  <si>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</si>
  <si>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</si>
  <si>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</si>
  <si>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</si>
  <si>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</si>
  <si>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</si>
  <si>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</si>
  <si>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</si>
  <si>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</si>
  <si>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</si>
  <si>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</si>
  <si>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</si>
  <si>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</si>
  <si>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Shutter(MDF Board)      -2X2X.85X0.4=1.36m2</t>
  </si>
  <si>
    <t>TOTAL FOR 1.5 CUM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</si>
  <si>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</si>
  <si>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</si>
  <si>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</si>
  <si>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</si>
  <si>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</si>
  <si>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</si>
  <si>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</si>
  <si>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</si>
  <si>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</si>
  <si>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</si>
  <si>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</si>
  <si>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</si>
  <si>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</si>
  <si>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</si>
  <si>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</si>
  <si>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</si>
  <si>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</si>
  <si>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</si>
  <si>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</si>
  <si>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</si>
  <si>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</si>
  <si>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</si>
  <si>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</si>
  <si>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</si>
  <si>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</si>
  <si>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Formwork using M.S.Sheet</t>
  </si>
  <si>
    <t>MASON-II Brick / Stone work</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</si>
  <si>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</si>
  <si>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</si>
  <si>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</si>
  <si>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</si>
  <si>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</si>
  <si>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</si>
  <si>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</si>
  <si>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</si>
  <si>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</si>
  <si>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</si>
  <si>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</si>
  <si>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</si>
  <si>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</si>
  <si>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</si>
  <si>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</si>
  <si>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</si>
  <si>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</si>
  <si>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</si>
  <si>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</si>
  <si>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</si>
  <si>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</si>
  <si>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</si>
  <si>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</si>
  <si>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</si>
  <si>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</si>
  <si>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</si>
  <si>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</si>
  <si>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</si>
  <si>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S&amp;F of PVC flushing cistern</t>
  </si>
  <si>
    <t>Sand Gravel Mix</t>
  </si>
  <si>
    <t>sqm</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</si>
  <si>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</si>
  <si>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</si>
  <si>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</si>
  <si>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</si>
  <si>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</si>
  <si>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</si>
  <si>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</si>
  <si>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</si>
  <si>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</si>
  <si>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</si>
  <si>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</si>
  <si>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</si>
  <si>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</si>
  <si>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</si>
  <si>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</si>
  <si>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</si>
  <si>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</si>
  <si>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</si>
  <si>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</si>
  <si>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</si>
  <si>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</si>
  <si>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</si>
  <si>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</si>
  <si>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</si>
  <si>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</si>
  <si>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</si>
  <si>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</si>
  <si>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</si>
  <si>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</si>
  <si>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</si>
  <si>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</si>
  <si>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</si>
  <si>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</si>
  <si>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</si>
  <si>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</si>
  <si>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</si>
  <si>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</si>
  <si>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</si>
  <si>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</si>
  <si>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</si>
  <si>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</si>
  <si>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</si>
  <si>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</si>
  <si>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</si>
  <si>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</si>
  <si>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</si>
  <si>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</si>
  <si>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</si>
  <si>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</si>
  <si>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</si>
  <si>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</si>
  <si>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</si>
  <si>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</si>
  <si>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</si>
  <si>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</si>
  <si>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</si>
  <si>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</si>
  <si>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</si>
  <si>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</si>
  <si>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Supply and filling of 20 mm HBSJ</t>
  </si>
  <si>
    <t>2 x 2.5 Sqmm Copper PVC insulated unsheathed single core 1 KV grade cable for EB service single phase.</t>
  </si>
  <si>
    <t>2.5 Sqmm copper PVC insulated unsheathed single core cable</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</si>
  <si>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</si>
  <si>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</si>
  <si>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</si>
  <si>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</si>
  <si>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</si>
  <si>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</si>
  <si>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</si>
  <si>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</si>
  <si>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</si>
  <si>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</si>
  <si>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</si>
  <si>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</si>
  <si>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</si>
  <si>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</si>
  <si>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</si>
  <si>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</si>
  <si>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</si>
  <si>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</si>
  <si>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</si>
  <si>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</si>
  <si>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</si>
  <si>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</si>
  <si>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</si>
  <si>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</si>
  <si>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</si>
  <si>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</si>
  <si>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</si>
  <si>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</si>
  <si>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</si>
  <si>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</si>
  <si>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</si>
  <si>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</si>
  <si>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</si>
  <si>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</si>
  <si>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</si>
  <si>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</si>
  <si>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</si>
  <si>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</si>
  <si>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</si>
  <si>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</si>
  <si>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</si>
  <si>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</si>
  <si>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</si>
  <si>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</si>
  <si>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</si>
  <si>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</si>
  <si>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</si>
  <si>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</si>
  <si>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</si>
  <si>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</si>
  <si>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</si>
  <si>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</si>
  <si>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</si>
  <si>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</si>
  <si>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</si>
  <si>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SHUTTER SIZE-1.4X2.35   =3.29M2</t>
  </si>
  <si>
    <t>TOTAL FOR 3.29 SQM</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</si>
  <si>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</si>
  <si>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</si>
  <si>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</si>
  <si>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</si>
  <si>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</si>
  <si>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</si>
  <si>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</si>
  <si>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</si>
  <si>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</si>
  <si>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</si>
  <si>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</si>
  <si>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</si>
  <si>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</si>
  <si>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</si>
  <si>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</si>
  <si>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</si>
  <si>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</si>
  <si>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</si>
  <si>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</si>
  <si>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</si>
  <si>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</si>
  <si>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</si>
  <si>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Cement</t>
  </si>
  <si>
    <t>Supplying. Fabricating and erection of M.S Scheme Name board</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</si>
  <si>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</si>
  <si>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</si>
  <si>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</si>
  <si>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</si>
  <si>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</si>
  <si>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</si>
  <si>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</si>
  <si>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</si>
  <si>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</si>
  <si>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</si>
  <si>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</si>
  <si>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</si>
  <si>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</si>
  <si>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</si>
  <si>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</si>
  <si>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</si>
  <si>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</si>
  <si>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</si>
  <si>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</si>
  <si>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</si>
  <si>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</si>
  <si>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</si>
  <si>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</si>
  <si>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</si>
  <si>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</si>
  <si>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</si>
  <si>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</si>
  <si>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</si>
  <si>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</si>
  <si>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</si>
  <si>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</si>
  <si>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</si>
  <si>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</si>
  <si>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</si>
  <si>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</si>
  <si>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</si>
  <si>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</si>
  <si>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</si>
  <si>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</si>
  <si>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</si>
  <si>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</si>
  <si>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</si>
  <si>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</si>
  <si>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</si>
  <si>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</si>
  <si>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</si>
  <si>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</si>
  <si>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</si>
  <si>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</si>
  <si>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</si>
  <si>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</si>
  <si>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</si>
  <si>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</si>
  <si>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</si>
  <si>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</si>
  <si>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</si>
  <si>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</si>
  <si>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</si>
  <si>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</si>
  <si>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</si>
  <si>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</si>
  <si>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</si>
  <si>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</si>
  <si>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</si>
  <si>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</si>
  <si>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</si>
  <si>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</si>
  <si>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</si>
  <si>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</si>
  <si>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</si>
  <si>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</si>
  <si>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</si>
  <si>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</si>
  <si>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</si>
  <si>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</si>
  <si>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</si>
  <si>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</si>
  <si>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</si>
  <si>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</si>
  <si>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</si>
  <si>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</si>
  <si>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</si>
  <si>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</si>
  <si>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</si>
  <si>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</si>
  <si>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</si>
  <si>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</si>
  <si>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</si>
  <si>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</si>
  <si>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</si>
  <si>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</si>
  <si>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</si>
  <si>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</si>
  <si>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</si>
  <si>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</si>
  <si>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</si>
  <si>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</si>
  <si>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</si>
  <si>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</si>
  <si>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</si>
  <si>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</si>
  <si>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</si>
  <si>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</si>
  <si>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</si>
  <si>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</si>
  <si>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</si>
  <si>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</si>
  <si>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</si>
  <si>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</si>
  <si>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</si>
  <si>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</si>
  <si>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</si>
  <si>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</si>
  <si>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</si>
  <si>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</si>
  <si>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</si>
  <si>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</si>
  <si>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</si>
  <si>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</si>
  <si>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</si>
  <si>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</si>
  <si>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</si>
  <si>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</si>
  <si>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</si>
  <si>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</si>
  <si>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</si>
  <si>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</si>
  <si>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</si>
  <si>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</si>
  <si>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</si>
  <si>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</si>
  <si>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</si>
  <si>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</si>
  <si>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</si>
  <si>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</si>
  <si>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</si>
  <si>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</si>
  <si>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</si>
  <si>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</si>
  <si>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</si>
  <si>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</si>
  <si>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</si>
  <si>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</si>
  <si>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</si>
  <si>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</si>
  <si>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</si>
  <si>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</si>
  <si>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</si>
  <si>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</si>
  <si>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</si>
  <si>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</si>
  <si>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</si>
  <si>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</si>
  <si>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</si>
  <si>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</si>
  <si>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</si>
  <si>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</si>
  <si>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</si>
  <si>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</si>
  <si>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</si>
  <si>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</si>
  <si>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</si>
  <si>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</si>
  <si>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</si>
  <si>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</si>
  <si>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</si>
  <si>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</si>
  <si>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</si>
  <si>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</si>
  <si>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</si>
  <si>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</si>
  <si>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</si>
  <si>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</si>
  <si>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</si>
  <si>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</si>
  <si>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</si>
  <si>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</si>
  <si>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</si>
  <si>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</si>
  <si>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</si>
  <si>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</si>
  <si>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</si>
  <si>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</si>
  <si>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</si>
  <si>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</si>
  <si>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</si>
  <si>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</si>
  <si>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</si>
  <si>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</si>
  <si>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</si>
  <si>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</si>
  <si>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</si>
  <si>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</si>
  <si>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</si>
  <si>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</si>
  <si>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</si>
  <si>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</si>
  <si>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</si>
  <si>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</si>
  <si>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</si>
  <si>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</si>
  <si>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</si>
  <si>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</si>
  <si>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</si>
  <si>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</si>
  <si>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</si>
  <si>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</si>
  <si>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</si>
  <si>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</si>
  <si>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</si>
  <si>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</si>
  <si>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</si>
  <si>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</si>
  <si>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</si>
  <si>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</si>
  <si>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</si>
  <si>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</si>
  <si>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</si>
  <si>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</si>
  <si>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</si>
  <si>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</si>
  <si>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</si>
  <si>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</si>
  <si>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</si>
  <si>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</si>
  <si>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</si>
  <si>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</si>
  <si>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</si>
  <si>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</si>
  <si>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</si>
  <si>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</si>
  <si>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</si>
  <si>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</si>
  <si>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</si>
  <si>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</si>
  <si>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</si>
  <si>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</si>
  <si>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</si>
  <si>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</si>
  <si>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</si>
  <si>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</si>
  <si>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</si>
  <si>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</si>
  <si>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</si>
  <si>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</si>
  <si>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</si>
  <si>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</si>
  <si>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</si>
  <si>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</si>
  <si>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</si>
  <si>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</si>
  <si>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</si>
  <si>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</si>
  <si>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</si>
  <si>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</si>
  <si>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</si>
  <si>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</si>
  <si>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</si>
  <si>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</si>
  <si>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</si>
  <si>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</si>
  <si>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</si>
  <si>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</si>
  <si>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</si>
  <si>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</si>
  <si>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</si>
  <si>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</si>
  <si>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</si>
  <si>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</si>
  <si>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</si>
  <si>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</si>
  <si>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</si>
  <si>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</si>
  <si>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</si>
  <si>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</si>
  <si>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</si>
  <si>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</si>
  <si>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</si>
  <si>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</si>
  <si>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</si>
  <si>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</si>
  <si>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</si>
  <si>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</si>
  <si>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</si>
  <si>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</si>
  <si>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</si>
  <si>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</si>
  <si>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</si>
  <si>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</si>
  <si>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</si>
  <si>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</si>
  <si>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</si>
  <si>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</si>
  <si>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</si>
  <si>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</si>
  <si>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</si>
  <si>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</si>
  <si>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</si>
  <si>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</si>
  <si>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</si>
  <si>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</si>
  <si>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</si>
  <si>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</si>
  <si>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</si>
  <si>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</si>
  <si>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</si>
  <si>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</si>
  <si>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</si>
  <si>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</si>
  <si>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</si>
  <si>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</si>
  <si>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</si>
  <si>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</si>
  <si>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</si>
  <si>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</si>
  <si>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</si>
  <si>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</si>
  <si>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</si>
  <si>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</si>
  <si>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</si>
  <si>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</si>
  <si>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</si>
  <si>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</si>
  <si>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</si>
  <si>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</si>
  <si>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</si>
  <si>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</si>
  <si>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</si>
  <si>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</si>
  <si>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</si>
  <si>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</si>
  <si>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</si>
  <si>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</si>
  <si>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</si>
  <si>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</si>
  <si>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</si>
  <si>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</si>
  <si>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</si>
  <si>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</si>
  <si>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</si>
  <si>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</si>
  <si>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</si>
  <si>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</si>
  <si>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</si>
  <si>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</si>
  <si>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</si>
  <si>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</si>
  <si>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</si>
  <si>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</si>
  <si>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</si>
  <si>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</si>
  <si>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</si>
  <si>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</si>
  <si>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</si>
  <si>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</si>
  <si>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</si>
  <si>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</si>
  <si>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</si>
  <si>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</si>
  <si>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</si>
  <si>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</si>
  <si>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</si>
  <si>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</si>
  <si>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</si>
  <si>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</si>
  <si>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</si>
  <si>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</si>
  <si>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</si>
  <si>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</si>
  <si>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</si>
  <si>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</si>
  <si>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</si>
  <si>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</si>
  <si>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</si>
  <si>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</si>
  <si>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</si>
  <si>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</si>
  <si>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</si>
  <si>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</si>
  <si>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</si>
  <si>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</si>
  <si>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</si>
  <si>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</si>
  <si>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</si>
  <si>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</si>
  <si>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</si>
  <si>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</si>
  <si>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</si>
  <si>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</si>
  <si>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</si>
  <si>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</si>
  <si>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</si>
  <si>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</si>
  <si>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</si>
  <si>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</si>
  <si>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</si>
  <si>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</si>
  <si>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</si>
  <si>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</si>
  <si>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</si>
  <si>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</si>
  <si>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</si>
  <si>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</si>
  <si>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</si>
  <si>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</si>
  <si>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</si>
  <si>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</si>
  <si>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</si>
  <si>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</si>
  <si>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</si>
  <si>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</si>
  <si>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</si>
  <si>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</si>
  <si>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</si>
  <si>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</si>
  <si>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</si>
  <si>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</si>
  <si>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</si>
  <si>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</si>
  <si>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</si>
  <si>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</si>
  <si>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</si>
  <si>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</si>
  <si>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</si>
  <si>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</si>
  <si>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C.I..BRACKET FOR W.B.</t>
  </si>
  <si>
    <t>Mazdoor Ist</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</si>
  <si>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</si>
  <si>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</si>
  <si>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</si>
  <si>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</si>
  <si>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</si>
  <si>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</si>
  <si>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</si>
  <si>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</si>
  <si>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</si>
  <si>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</si>
  <si>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</si>
  <si>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</si>
  <si>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</si>
  <si>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</si>
  <si>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</si>
  <si>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</si>
  <si>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</si>
  <si>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</si>
  <si>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</si>
  <si>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</si>
  <si>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</si>
  <si>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</si>
  <si>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</si>
  <si>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</si>
  <si>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</si>
  <si>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r>
      <t xml:space="preserve">Supplying and fixing </t>
    </r>
    <r>
      <rPr>
        <b/>
        <sz val="12"/>
        <rFont val="Helv"/>
      </rPr>
      <t>4mm thick pin</t>
    </r>
  </si>
  <si>
    <t>Metal</t>
  </si>
  <si>
    <t>Pressed tiles (23cmx23cmx18mm) mixed with Water proofing compound</t>
  </si>
  <si>
    <t>Pressed tiles (23cmx23cmx20mm) mixed with Water proofing compound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</si>
  <si>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</si>
  <si>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</si>
  <si>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</si>
  <si>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</si>
  <si>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</si>
  <si>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</si>
  <si>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</si>
  <si>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</si>
  <si>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</si>
  <si>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</si>
  <si>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</si>
  <si>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</si>
  <si>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</si>
  <si>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</si>
  <si>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</si>
  <si>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</si>
  <si>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</si>
  <si>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</si>
  <si>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</si>
  <si>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</si>
  <si>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</si>
  <si>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</si>
  <si>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</si>
  <si>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</si>
  <si>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</si>
  <si>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</si>
  <si>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</si>
  <si>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</si>
  <si>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</si>
  <si>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</si>
  <si>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</si>
  <si>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</si>
  <si>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</si>
  <si>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</si>
  <si>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</si>
  <si>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</si>
  <si>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</si>
  <si>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</si>
  <si>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</si>
  <si>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</si>
  <si>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</si>
  <si>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</si>
  <si>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</si>
  <si>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</si>
  <si>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</si>
  <si>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</si>
  <si>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</si>
  <si>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</si>
  <si>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</si>
  <si>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</si>
  <si>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</si>
  <si>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8 SWG wire</t>
  </si>
  <si>
    <t xml:space="preserve">Water Proof Compound </t>
  </si>
  <si>
    <t>Filling sand</t>
  </si>
  <si>
    <t>kg</t>
  </si>
  <si>
    <t>Bitumen</t>
  </si>
  <si>
    <t>Labour charges</t>
  </si>
  <si>
    <t>Total for 100M2</t>
  </si>
  <si>
    <t>P.V.C. WASTE PIPE32mmDIA 2.5'LONG</t>
  </si>
  <si>
    <t>ASTM-D SCHEDULE- 40 THREADED PVC PIPE</t>
  </si>
  <si>
    <t>S &amp; F Alu  Towel rail 75 cm long</t>
  </si>
  <si>
    <t>Chain link fencing data for 15sqm</t>
  </si>
  <si>
    <t>10%</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</si>
  <si>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</si>
  <si>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</si>
  <si>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</si>
  <si>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</si>
  <si>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</si>
  <si>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</si>
  <si>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</si>
  <si>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</si>
  <si>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</si>
  <si>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</si>
  <si>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</si>
  <si>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</si>
  <si>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</si>
  <si>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</si>
  <si>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</si>
  <si>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</si>
  <si>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</si>
  <si>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</si>
  <si>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</si>
  <si>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</si>
  <si>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 xml:space="preserve">Vetrified Tiles flooring </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</si>
  <si>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</si>
  <si>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</si>
  <si>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</si>
  <si>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</si>
  <si>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</si>
  <si>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</si>
  <si>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</si>
  <si>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</si>
  <si>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</si>
  <si>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</si>
  <si>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</si>
  <si>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</si>
  <si>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</si>
  <si>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</si>
  <si>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</si>
  <si>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</si>
  <si>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</si>
  <si>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</si>
  <si>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</si>
  <si>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</si>
  <si>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</si>
  <si>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</si>
  <si>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</si>
  <si>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</si>
  <si>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</si>
  <si>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</si>
  <si>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</si>
  <si>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</si>
  <si>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</si>
  <si>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</si>
  <si>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</si>
  <si>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</si>
  <si>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</si>
  <si>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</si>
  <si>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</si>
  <si>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</si>
  <si>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</si>
  <si>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</si>
  <si>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</si>
  <si>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</si>
  <si>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</si>
  <si>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</si>
  <si>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</si>
  <si>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</si>
  <si>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</si>
  <si>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</si>
  <si>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</si>
  <si>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</si>
  <si>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</si>
  <si>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</si>
  <si>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</si>
  <si>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</si>
  <si>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</si>
  <si>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</si>
  <si>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</si>
  <si>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</si>
  <si>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</si>
  <si>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</si>
  <si>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</si>
  <si>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</si>
  <si>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</si>
  <si>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</si>
  <si>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</si>
  <si>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</si>
  <si>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</si>
  <si>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</si>
  <si>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</si>
  <si>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</si>
  <si>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</si>
  <si>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</si>
  <si>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</si>
  <si>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</si>
  <si>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</si>
  <si>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</si>
  <si>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</si>
  <si>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</si>
  <si>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</si>
  <si>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</si>
  <si>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</si>
  <si>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</si>
  <si>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</si>
  <si>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</si>
  <si>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</si>
  <si>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</si>
  <si>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</si>
  <si>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</si>
  <si>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</si>
  <si>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</si>
  <si>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</si>
  <si>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</si>
  <si>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</si>
  <si>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</si>
  <si>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</si>
  <si>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</si>
  <si>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</si>
  <si>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</si>
  <si>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</si>
  <si>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</si>
  <si>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</si>
  <si>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</si>
  <si>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Sl.No.</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</si>
  <si>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</si>
  <si>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</si>
  <si>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</si>
  <si>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</si>
  <si>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</si>
  <si>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</si>
  <si>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</si>
  <si>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</si>
  <si>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</si>
  <si>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</si>
  <si>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</si>
  <si>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</si>
  <si>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</si>
  <si>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</si>
  <si>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</si>
  <si>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</si>
  <si>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</si>
  <si>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</si>
  <si>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</si>
  <si>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</si>
  <si>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</si>
  <si>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</si>
  <si>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</si>
  <si>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</si>
  <si>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</si>
  <si>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</si>
  <si>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</si>
  <si>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</si>
  <si>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</si>
  <si>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</si>
  <si>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</si>
  <si>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</si>
  <si>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</si>
  <si>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</si>
  <si>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WASHING PLASTERED AREA WITH SOAP&amp;SODA WATER *</t>
  </si>
  <si>
    <t>PILE DRIVING CHARGES FOR 330mmDIA/375mm DIA</t>
  </si>
  <si>
    <t xml:space="preserve">Add 10% </t>
  </si>
  <si>
    <t xml:space="preserve">Thuvakudi </t>
  </si>
  <si>
    <t>SPOUT PIPE OF 75mm DIA</t>
  </si>
  <si>
    <t>C.I. TEE JUNCTION WITH  DOOR  50mmDIA</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</si>
  <si>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</si>
  <si>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</si>
  <si>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</si>
  <si>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</si>
  <si>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</si>
  <si>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</si>
  <si>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</si>
  <si>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</si>
  <si>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</si>
  <si>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</si>
  <si>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</si>
  <si>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</si>
  <si>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</si>
  <si>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</si>
  <si>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</si>
  <si>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</si>
  <si>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</si>
  <si>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</si>
  <si>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</si>
  <si>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</si>
  <si>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</si>
  <si>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</si>
  <si>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</si>
  <si>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</si>
  <si>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</si>
  <si>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</si>
  <si>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</si>
  <si>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</si>
  <si>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</si>
  <si>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</si>
  <si>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</si>
  <si>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</si>
  <si>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</si>
  <si>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</si>
  <si>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</si>
  <si>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</si>
  <si>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</si>
  <si>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</si>
  <si>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</si>
  <si>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</si>
  <si>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</si>
  <si>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</si>
  <si>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</si>
  <si>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</si>
  <si>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</si>
  <si>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</si>
  <si>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</si>
  <si>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</si>
  <si>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</si>
  <si>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</si>
  <si>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</si>
  <si>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</si>
  <si>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</si>
  <si>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</si>
  <si>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</si>
  <si>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</si>
  <si>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</si>
  <si>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</si>
  <si>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</si>
  <si>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</si>
  <si>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</si>
  <si>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</si>
  <si>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</si>
  <si>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</si>
  <si>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</si>
  <si>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</si>
  <si>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</si>
  <si>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</si>
  <si>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</si>
  <si>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</si>
  <si>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</si>
  <si>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</si>
  <si>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</si>
  <si>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</si>
  <si>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</si>
  <si>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</si>
  <si>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</si>
  <si>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</si>
  <si>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</si>
  <si>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</si>
  <si>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</si>
  <si>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</si>
  <si>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</si>
  <si>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</si>
  <si>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</si>
  <si>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</si>
  <si>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</si>
  <si>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</si>
  <si>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</si>
  <si>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</si>
  <si>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</si>
  <si>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</si>
  <si>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</si>
  <si>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</si>
  <si>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</si>
  <si>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</si>
  <si>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</si>
  <si>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</si>
  <si>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HANGER BRACKET</t>
  </si>
  <si>
    <t>ALU.SLEEVES</t>
  </si>
  <si>
    <t>TOWER BOLT RECEIVER</t>
  </si>
  <si>
    <t>M.S Angle</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</si>
  <si>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</si>
  <si>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</si>
  <si>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</si>
  <si>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</si>
  <si>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</si>
  <si>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</si>
  <si>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</si>
  <si>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</si>
  <si>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</si>
  <si>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</si>
  <si>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</si>
  <si>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</si>
  <si>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</si>
  <si>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</si>
  <si>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</si>
  <si>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</si>
  <si>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</si>
  <si>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</si>
  <si>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BOLTS,NUTS &amp; CHOCK NUTS ETC.,</t>
  </si>
  <si>
    <t>DIA  ALUMINIUM HANGER ROD TO</t>
  </si>
  <si>
    <t>THE  REQUIRED LENGTH WITH</t>
  </si>
  <si>
    <t>G.I. 80MM X65mm REDUCER TEE</t>
  </si>
  <si>
    <t xml:space="preserve"> PIPE COST 25mm DIA</t>
  </si>
  <si>
    <t>PLAIN GLASS</t>
  </si>
  <si>
    <t>C.W BOARDING 40mm T.K</t>
  </si>
  <si>
    <t>P.V.C BEND</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</si>
  <si>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</si>
  <si>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</si>
  <si>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</si>
  <si>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</si>
  <si>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</si>
  <si>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</si>
  <si>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</si>
  <si>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</si>
  <si>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</si>
  <si>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</si>
  <si>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</si>
  <si>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</si>
  <si>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</si>
  <si>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</si>
  <si>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</si>
  <si>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</si>
  <si>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</si>
  <si>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</si>
  <si>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</si>
  <si>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</si>
  <si>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</si>
  <si>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</si>
  <si>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</si>
  <si>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</si>
  <si>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</si>
  <si>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</si>
  <si>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</si>
  <si>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</si>
  <si>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</si>
  <si>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</si>
  <si>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</si>
  <si>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</si>
  <si>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</si>
  <si>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</si>
  <si>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</si>
  <si>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</si>
  <si>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</si>
  <si>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</si>
  <si>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</si>
  <si>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</si>
  <si>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</si>
  <si>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</si>
  <si>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</si>
  <si>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</si>
  <si>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</si>
  <si>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</si>
  <si>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</si>
  <si>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</si>
  <si>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</si>
  <si>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</si>
  <si>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</si>
  <si>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</si>
  <si>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and eyes T.W.plugs screws etc complete and as</t>
  </si>
  <si>
    <t>directed by the Departmental Officers as per</t>
  </si>
  <si>
    <t>Drawings</t>
  </si>
  <si>
    <t>C.W.Scantling for Shutter</t>
  </si>
  <si>
    <t>C.W.Planks</t>
  </si>
  <si>
    <t>Weldmesh</t>
  </si>
  <si>
    <t>Glazed tiles using Grout (Tile Joint Filler)</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</si>
  <si>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</si>
  <si>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</si>
  <si>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</si>
  <si>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</si>
  <si>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</si>
  <si>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</si>
  <si>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</si>
  <si>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</si>
  <si>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</si>
  <si>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</si>
  <si>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</si>
  <si>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</si>
  <si>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</si>
  <si>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</si>
  <si>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</si>
  <si>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</si>
  <si>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</si>
  <si>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RATE PER CUM </t>
  </si>
  <si>
    <t>RAILS(BELOW 2M)- 1X4X0.9X0.15X0.0375=      0.02025</t>
  </si>
  <si>
    <t xml:space="preserve">               - 1X2X0.731X0.125X0.0375 =0.00685</t>
  </si>
  <si>
    <t>PLANKS      -1X4X0.60625X02825X0.01875=</t>
  </si>
  <si>
    <t>S &amp; F of Tube light fitting  (patty  type ) with Electronic ballast and 36 W slim tube light</t>
  </si>
  <si>
    <t>…</t>
  </si>
  <si>
    <t>Gully Trap using Kiln burnt country bricks 22 x 11 x 7 cm.</t>
  </si>
  <si>
    <t>CEMENT MORTAR(1:4)</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</si>
  <si>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</si>
  <si>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</si>
  <si>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</si>
  <si>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</si>
  <si>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</si>
  <si>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</si>
  <si>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</si>
  <si>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</si>
  <si>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</si>
  <si>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</si>
  <si>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</si>
  <si>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</si>
  <si>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</si>
  <si>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</si>
  <si>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</si>
  <si>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</si>
  <si>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</si>
  <si>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</si>
  <si>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</si>
  <si>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</si>
  <si>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</si>
  <si>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</si>
  <si>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</si>
  <si>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</si>
  <si>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</si>
  <si>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</si>
  <si>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</si>
  <si>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</si>
  <si>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</si>
  <si>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</si>
  <si>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</si>
  <si>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</si>
  <si>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</si>
  <si>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</si>
  <si>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</si>
  <si>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</si>
  <si>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</si>
  <si>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</si>
  <si>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</si>
  <si>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</si>
  <si>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</si>
  <si>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</si>
  <si>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</si>
  <si>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</si>
  <si>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</si>
  <si>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</si>
  <si>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</si>
  <si>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</si>
  <si>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</si>
  <si>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</si>
  <si>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</si>
  <si>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</si>
  <si>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</si>
  <si>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</si>
  <si>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</si>
  <si>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</si>
  <si>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</si>
  <si>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</si>
  <si>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</si>
  <si>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</si>
  <si>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</si>
  <si>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</si>
  <si>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</si>
  <si>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</si>
  <si>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</si>
  <si>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</si>
  <si>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</si>
  <si>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</si>
  <si>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</si>
  <si>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</si>
  <si>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From 1.25m to 2m width</t>
  </si>
  <si>
    <r>
      <t>concrete  (0.23 x .075 x 2.1 =</t>
    </r>
    <r>
      <rPr>
        <b/>
        <sz val="12"/>
        <rFont val="Arial"/>
        <family val="2"/>
      </rPr>
      <t xml:space="preserve"> 0.036 cum</t>
    </r>
    <r>
      <rPr>
        <sz val="12"/>
        <rFont val="Arial"/>
        <family val="2"/>
      </rPr>
      <t>)</t>
    </r>
  </si>
  <si>
    <t>b. In First floor</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</si>
  <si>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</si>
  <si>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</si>
  <si>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</si>
  <si>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</si>
  <si>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</si>
  <si>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</si>
  <si>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</si>
  <si>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</si>
  <si>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</si>
  <si>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</si>
  <si>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</si>
  <si>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</si>
  <si>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</si>
  <si>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</si>
  <si>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</si>
  <si>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</si>
  <si>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</si>
  <si>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</si>
  <si>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</si>
  <si>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</si>
  <si>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</si>
  <si>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</si>
  <si>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</si>
  <si>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</si>
  <si>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</si>
  <si>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</si>
  <si>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</si>
  <si>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</si>
  <si>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</si>
  <si>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</si>
  <si>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</si>
  <si>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</si>
  <si>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</si>
  <si>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</si>
  <si>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</si>
  <si>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</si>
  <si>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</si>
  <si>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</si>
  <si>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</si>
  <si>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</si>
  <si>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</si>
  <si>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</si>
  <si>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</si>
  <si>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</si>
  <si>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MASON-I Brick / Stone work</t>
  </si>
  <si>
    <t>ITEM NO 1:-MANUFACTURING AND</t>
  </si>
  <si>
    <t>c. In Second floor</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</si>
  <si>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</si>
  <si>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</si>
  <si>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</si>
  <si>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</si>
  <si>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</si>
  <si>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</si>
  <si>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</si>
  <si>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</si>
  <si>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</si>
  <si>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</si>
  <si>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</si>
  <si>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</si>
  <si>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</si>
  <si>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</si>
  <si>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</si>
  <si>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</si>
  <si>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</si>
  <si>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</si>
  <si>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</si>
  <si>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</si>
  <si>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</si>
  <si>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</si>
  <si>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</si>
  <si>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</si>
  <si>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</si>
  <si>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</si>
  <si>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</si>
  <si>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</si>
  <si>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</si>
  <si>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</si>
  <si>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</si>
  <si>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</si>
  <si>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</si>
  <si>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</si>
  <si>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</si>
  <si>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</si>
  <si>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</si>
  <si>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</si>
  <si>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</si>
  <si>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</si>
  <si>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</si>
  <si>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</si>
  <si>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</si>
  <si>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</si>
  <si>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</si>
  <si>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</si>
  <si>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</si>
  <si>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</si>
  <si>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</si>
  <si>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</si>
  <si>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</si>
  <si>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</si>
  <si>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</si>
  <si>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</si>
  <si>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</si>
  <si>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</si>
  <si>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</si>
  <si>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</si>
  <si>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</si>
  <si>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</si>
  <si>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</si>
  <si>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</si>
  <si>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</si>
  <si>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</si>
  <si>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</si>
  <si>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</si>
  <si>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</si>
  <si>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</si>
  <si>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</si>
  <si>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</si>
  <si>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</si>
  <si>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</si>
  <si>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</si>
  <si>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</si>
  <si>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</si>
  <si>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</si>
  <si>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</si>
  <si>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</si>
  <si>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</si>
  <si>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</si>
  <si>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</si>
  <si>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</si>
  <si>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</si>
  <si>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</si>
  <si>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</si>
  <si>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</si>
  <si>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</si>
  <si>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</si>
  <si>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</si>
  <si>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</si>
  <si>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</si>
  <si>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</si>
  <si>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</si>
  <si>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</si>
  <si>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</si>
  <si>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</si>
  <si>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</si>
  <si>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</si>
  <si>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</si>
  <si>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</si>
  <si>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</si>
  <si>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</si>
  <si>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</si>
  <si>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</si>
  <si>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</si>
  <si>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</si>
  <si>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</si>
  <si>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</si>
  <si>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</si>
  <si>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</si>
  <si>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</si>
  <si>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</si>
  <si>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</si>
  <si>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</si>
  <si>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</si>
  <si>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</si>
  <si>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</si>
  <si>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</si>
  <si>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</si>
  <si>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</si>
  <si>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</si>
  <si>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</si>
  <si>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</si>
  <si>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</si>
  <si>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</si>
  <si>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</si>
  <si>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</si>
  <si>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</si>
  <si>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</si>
  <si>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</si>
  <si>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</si>
  <si>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</si>
  <si>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</si>
  <si>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</si>
  <si>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</si>
  <si>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</si>
  <si>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</si>
  <si>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</si>
  <si>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</si>
  <si>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</si>
  <si>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</si>
  <si>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</si>
  <si>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</si>
  <si>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</si>
  <si>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</si>
  <si>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</si>
  <si>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</si>
  <si>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</si>
  <si>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</si>
  <si>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</si>
  <si>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</si>
  <si>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</si>
  <si>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</si>
  <si>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</si>
  <si>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</si>
  <si>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</si>
  <si>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</si>
  <si>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</si>
  <si>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</si>
  <si>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</si>
  <si>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</si>
  <si>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</si>
  <si>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</si>
  <si>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</si>
  <si>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</si>
  <si>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</si>
  <si>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</si>
  <si>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</si>
  <si>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</si>
  <si>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</si>
  <si>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</si>
  <si>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</si>
  <si>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</si>
  <si>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</si>
  <si>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</si>
  <si>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</si>
  <si>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</si>
  <si>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</si>
  <si>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</si>
  <si>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</si>
  <si>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</si>
  <si>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</si>
  <si>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</si>
  <si>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</si>
  <si>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</si>
  <si>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</si>
  <si>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</si>
  <si>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</si>
  <si>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</si>
  <si>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</si>
  <si>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</si>
  <si>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</si>
  <si>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</si>
  <si>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</si>
  <si>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</si>
  <si>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</si>
  <si>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</si>
  <si>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</si>
  <si>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</si>
  <si>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</si>
  <si>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</si>
  <si>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</si>
  <si>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</si>
  <si>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</si>
  <si>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</si>
  <si>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</si>
  <si>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</si>
  <si>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</si>
  <si>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</si>
  <si>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</si>
  <si>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</si>
  <si>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</si>
  <si>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</si>
  <si>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</si>
  <si>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</si>
  <si>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</si>
  <si>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</si>
  <si>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</si>
  <si>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</si>
  <si>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</si>
  <si>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</si>
  <si>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</si>
  <si>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</si>
  <si>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</si>
  <si>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</si>
  <si>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</si>
  <si>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</si>
  <si>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</si>
  <si>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</si>
  <si>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</si>
  <si>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</si>
  <si>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</si>
  <si>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</si>
  <si>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</si>
  <si>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</si>
  <si>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</si>
  <si>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</si>
  <si>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</si>
  <si>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</si>
  <si>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</si>
  <si>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</si>
  <si>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</si>
  <si>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</si>
  <si>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</si>
  <si>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</si>
  <si>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</si>
  <si>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</si>
  <si>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</si>
  <si>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</si>
  <si>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</si>
  <si>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</si>
  <si>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</si>
  <si>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</si>
  <si>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</si>
  <si>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</si>
  <si>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</si>
  <si>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</si>
  <si>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</si>
  <si>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</si>
  <si>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22.3.2</t>
  </si>
  <si>
    <t>4mm thick pin headed Glass panels with Aluminium beedings</t>
  </si>
  <si>
    <t>Total for 0.5334 Sqm</t>
  </si>
  <si>
    <t>Rate for one Sqm.</t>
  </si>
  <si>
    <t>1285 x 600mm</t>
  </si>
  <si>
    <t>Floor ceramic tiles (Anti-skid) using Grout (Tile Joint Filler).</t>
  </si>
  <si>
    <t>Two coat of cement paint over one coat white cement</t>
  </si>
  <si>
    <t>One coat white cement for new walls and other similar works.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</si>
  <si>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</si>
  <si>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</si>
  <si>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</si>
  <si>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</si>
  <si>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</si>
  <si>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</si>
  <si>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</si>
  <si>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</si>
  <si>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</si>
  <si>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</si>
  <si>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</si>
  <si>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</si>
  <si>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</si>
  <si>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</si>
  <si>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</si>
  <si>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</si>
  <si>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</si>
  <si>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</si>
  <si>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</si>
  <si>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</si>
  <si>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</si>
  <si>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</si>
  <si>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</si>
  <si>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</si>
  <si>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</si>
  <si>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</si>
  <si>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</si>
  <si>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</si>
  <si>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</si>
  <si>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</si>
  <si>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</si>
  <si>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</si>
  <si>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</si>
  <si>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</si>
  <si>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</si>
  <si>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</si>
  <si>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</si>
  <si>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</si>
  <si>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</si>
  <si>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</si>
  <si>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</si>
  <si>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</si>
  <si>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</si>
  <si>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</si>
  <si>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</si>
  <si>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</si>
  <si>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</si>
  <si>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</si>
  <si>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</si>
  <si>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</si>
  <si>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</si>
  <si>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</si>
  <si>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</si>
  <si>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</si>
  <si>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</si>
  <si>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</si>
  <si>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</si>
  <si>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</si>
  <si>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</si>
  <si>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</si>
  <si>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</si>
  <si>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</si>
  <si>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</si>
  <si>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</si>
  <si>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</si>
  <si>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</si>
  <si>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</si>
  <si>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</si>
  <si>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</si>
  <si>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</si>
  <si>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</si>
  <si>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</si>
  <si>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</si>
  <si>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</si>
  <si>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</si>
  <si>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</si>
  <si>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</si>
  <si>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</si>
  <si>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</si>
  <si>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</si>
  <si>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</si>
  <si>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</si>
  <si>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</si>
  <si>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15 Amp. Power plug</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</si>
  <si>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</si>
  <si>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</si>
  <si>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</si>
  <si>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</si>
  <si>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</si>
  <si>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</si>
  <si>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</si>
  <si>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</si>
  <si>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</si>
  <si>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</si>
  <si>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</si>
  <si>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62.2.b.</t>
  </si>
  <si>
    <t>NYLON BUSH FOR D</t>
  </si>
  <si>
    <t>d. In Second Floor</t>
  </si>
  <si>
    <t xml:space="preserve">RUN OF 2 WIRES OF 4 SQMM WITH CONTINUOUS EARTHING BY MEANS OF 2.5SQMM FOR A/C </t>
  </si>
  <si>
    <t>SUPPLYING AND FIXING OF A/C METAL CLAD</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</si>
  <si>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</si>
  <si>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</si>
  <si>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</si>
  <si>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</si>
  <si>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</si>
  <si>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</si>
  <si>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</si>
  <si>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</si>
  <si>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</si>
  <si>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</si>
  <si>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</si>
  <si>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</si>
  <si>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</si>
  <si>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</si>
  <si>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</si>
  <si>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</si>
  <si>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</si>
  <si>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</si>
  <si>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</si>
  <si>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</si>
  <si>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</si>
  <si>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</si>
  <si>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</si>
  <si>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</si>
  <si>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</si>
  <si>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</si>
  <si>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</si>
  <si>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</si>
  <si>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</si>
  <si>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</si>
  <si>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</si>
  <si>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</si>
  <si>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</si>
  <si>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</si>
  <si>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</si>
  <si>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</si>
  <si>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</si>
  <si>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</si>
  <si>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</si>
  <si>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</si>
  <si>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</si>
  <si>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</si>
  <si>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</si>
  <si>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</si>
  <si>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</si>
  <si>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</si>
  <si>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</si>
  <si>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</si>
  <si>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</si>
  <si>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</si>
  <si>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</si>
  <si>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</si>
  <si>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</si>
  <si>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</si>
  <si>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</si>
  <si>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</si>
  <si>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</si>
  <si>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</si>
  <si>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</si>
  <si>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</si>
  <si>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</si>
  <si>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</si>
  <si>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</si>
  <si>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</si>
  <si>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</si>
  <si>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</si>
  <si>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</si>
  <si>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</si>
  <si>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</si>
  <si>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</si>
  <si>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</si>
  <si>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</si>
  <si>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</si>
  <si>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</si>
  <si>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</si>
  <si>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</si>
  <si>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</si>
  <si>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</si>
  <si>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</si>
  <si>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</si>
  <si>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</si>
  <si>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</si>
  <si>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</si>
  <si>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</si>
  <si>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</si>
  <si>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</si>
  <si>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</si>
  <si>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</si>
  <si>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</si>
  <si>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</si>
  <si>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</si>
  <si>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</si>
  <si>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</si>
  <si>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</si>
  <si>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</si>
  <si>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</si>
  <si>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</si>
  <si>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</si>
  <si>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</si>
  <si>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</si>
  <si>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</si>
  <si>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</si>
  <si>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</si>
  <si>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</si>
  <si>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</si>
  <si>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</si>
  <si>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</si>
  <si>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</si>
  <si>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</si>
  <si>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</si>
  <si>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</si>
  <si>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</si>
  <si>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</si>
  <si>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</si>
  <si>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</si>
  <si>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</si>
  <si>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</si>
  <si>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</si>
  <si>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</si>
  <si>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</si>
  <si>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</si>
  <si>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</si>
  <si>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</si>
  <si>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</si>
  <si>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</si>
  <si>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</si>
  <si>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</si>
  <si>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</si>
  <si>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</si>
  <si>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</si>
  <si>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</si>
  <si>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</si>
  <si>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</si>
  <si>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</si>
  <si>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</si>
  <si>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</si>
  <si>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</si>
  <si>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</si>
  <si>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</si>
  <si>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</si>
  <si>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</si>
  <si>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</si>
  <si>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</si>
  <si>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</si>
  <si>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</si>
  <si>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</si>
  <si>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</si>
  <si>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</si>
  <si>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</si>
  <si>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</si>
  <si>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</si>
  <si>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</si>
  <si>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</si>
  <si>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</si>
  <si>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</si>
  <si>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</si>
  <si>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</si>
  <si>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</si>
  <si>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</si>
  <si>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</si>
  <si>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</si>
  <si>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</si>
  <si>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</si>
  <si>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</si>
  <si>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</si>
  <si>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</si>
  <si>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</si>
  <si>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</si>
  <si>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</si>
  <si>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</si>
  <si>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</si>
  <si>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</si>
  <si>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</si>
  <si>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</si>
  <si>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</si>
  <si>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</si>
  <si>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</si>
  <si>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</si>
  <si>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</si>
  <si>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</si>
  <si>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</si>
  <si>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</si>
  <si>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</si>
  <si>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</si>
  <si>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</si>
  <si>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</si>
  <si>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</si>
  <si>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</si>
  <si>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</si>
  <si>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</si>
  <si>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</si>
  <si>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</si>
  <si>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</si>
  <si>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</si>
  <si>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</si>
  <si>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</si>
  <si>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</si>
  <si>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</si>
  <si>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</si>
  <si>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</si>
  <si>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</si>
  <si>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</si>
  <si>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</si>
  <si>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</si>
  <si>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</si>
  <si>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</si>
  <si>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Rate for 2.44m</t>
  </si>
  <si>
    <t>C.I. TEE JUNCTION WITHOUT DOOR  75mmDIA</t>
  </si>
  <si>
    <t>Pre cast slab 50mm thick in c.c. 1:3:6 mixed with fibre of size .28 x .28 m , 50mm thick</t>
  </si>
  <si>
    <t xml:space="preserve">   </t>
  </si>
  <si>
    <t>Pcc slab - 500 x .28 x .28 = 39.2 Sq.m</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</si>
  <si>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</si>
  <si>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</si>
  <si>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</si>
  <si>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</si>
  <si>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</si>
  <si>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</si>
  <si>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</si>
  <si>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</si>
  <si>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</si>
  <si>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</si>
  <si>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</si>
  <si>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</si>
  <si>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</si>
  <si>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</si>
  <si>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</si>
  <si>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</si>
  <si>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</si>
  <si>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</si>
  <si>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</si>
  <si>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</si>
  <si>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</si>
  <si>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INCLUDING MOULDING INSTEEL MOULD PRECASTING</t>
  </si>
  <si>
    <t>Tamil Nadu Police Housing Corparation Ltd.</t>
  </si>
  <si>
    <t>=</t>
  </si>
  <si>
    <t>Teak wood Wrought &amp; Put up</t>
  </si>
  <si>
    <t>PROVIDING ANTI-TERMITE TREATMENT</t>
  </si>
  <si>
    <t>Plumber I class</t>
  </si>
  <si>
    <t>P.V.C. SOIL BENDWITH DOOR 110mm DIA</t>
  </si>
  <si>
    <t>C.C(1:8:16)USING 40mm HBS</t>
  </si>
  <si>
    <t>I.W.C. 18" WITH P OR S TRAP WITH FOOT REST</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</si>
  <si>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</si>
  <si>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</si>
  <si>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</si>
  <si>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</si>
  <si>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</si>
  <si>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</si>
  <si>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</si>
  <si>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</si>
  <si>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</si>
  <si>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</si>
  <si>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</si>
  <si>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</si>
  <si>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</si>
  <si>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</si>
  <si>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</si>
  <si>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</si>
  <si>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</si>
  <si>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</si>
  <si>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</si>
  <si>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</si>
  <si>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</si>
  <si>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</si>
  <si>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</si>
  <si>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</si>
  <si>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</si>
  <si>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</si>
  <si>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</si>
  <si>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</si>
  <si>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 xml:space="preserve"> 4mm glass frosted </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</si>
  <si>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</si>
  <si>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</si>
  <si>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</si>
  <si>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</si>
  <si>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</si>
  <si>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</si>
  <si>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</si>
  <si>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</si>
  <si>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</si>
  <si>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</si>
  <si>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</si>
  <si>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</si>
  <si>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</si>
  <si>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</si>
  <si>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</si>
  <si>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</si>
  <si>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</si>
  <si>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</si>
  <si>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</si>
  <si>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</si>
  <si>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</si>
  <si>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</si>
  <si>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</si>
  <si>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</si>
  <si>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</si>
  <si>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</si>
  <si>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</si>
  <si>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</si>
  <si>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</si>
  <si>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</si>
  <si>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</si>
  <si>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</si>
  <si>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</si>
  <si>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</si>
  <si>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b. Ground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</si>
  <si>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</si>
  <si>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</si>
  <si>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</si>
  <si>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</si>
  <si>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</si>
  <si>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</si>
  <si>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</si>
  <si>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</si>
  <si>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</si>
  <si>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</si>
  <si>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</si>
  <si>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</si>
  <si>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</si>
  <si>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</si>
  <si>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</si>
  <si>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</si>
  <si>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</si>
  <si>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</si>
  <si>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</si>
  <si>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</si>
  <si>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</si>
  <si>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</si>
  <si>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</si>
  <si>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</si>
  <si>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</si>
  <si>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</si>
  <si>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</si>
  <si>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</si>
  <si>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</si>
  <si>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</si>
  <si>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</si>
  <si>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</si>
  <si>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</si>
  <si>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</si>
  <si>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</si>
  <si>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</si>
  <si>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</si>
  <si>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</si>
  <si>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</si>
  <si>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</si>
  <si>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</si>
  <si>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</si>
  <si>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</si>
  <si>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</si>
  <si>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</si>
  <si>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</si>
  <si>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</si>
  <si>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</si>
  <si>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</si>
  <si>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</si>
  <si>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</si>
  <si>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</si>
  <si>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</si>
  <si>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</si>
  <si>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</si>
  <si>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</si>
  <si>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</si>
  <si>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</si>
  <si>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</si>
  <si>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</si>
  <si>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</si>
  <si>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</si>
  <si>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</si>
  <si>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</si>
  <si>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</si>
  <si>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</si>
  <si>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</si>
  <si>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</si>
  <si>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</si>
  <si>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</si>
  <si>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</si>
  <si>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</si>
  <si>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</si>
  <si>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</si>
  <si>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</si>
  <si>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</si>
  <si>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</si>
  <si>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</si>
  <si>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</si>
  <si>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</si>
  <si>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</si>
  <si>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</si>
  <si>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</si>
  <si>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</si>
  <si>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</si>
  <si>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</si>
  <si>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</si>
  <si>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</si>
  <si>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</si>
  <si>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</si>
  <si>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</si>
  <si>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</si>
  <si>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</si>
  <si>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</si>
  <si>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</si>
  <si>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</si>
  <si>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</si>
  <si>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</si>
  <si>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</si>
  <si>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</si>
  <si>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</si>
  <si>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</si>
  <si>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</si>
  <si>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</si>
  <si>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</si>
  <si>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</si>
  <si>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</si>
  <si>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</si>
  <si>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</si>
  <si>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</si>
  <si>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</si>
  <si>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</si>
  <si>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</si>
  <si>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</si>
  <si>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</si>
  <si>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</si>
  <si>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</si>
  <si>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</si>
  <si>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</si>
  <si>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</si>
  <si>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</si>
  <si>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</si>
  <si>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</si>
  <si>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</si>
  <si>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</si>
  <si>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</si>
  <si>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</si>
  <si>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</si>
  <si>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</si>
  <si>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</si>
  <si>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</si>
  <si>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</si>
  <si>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</si>
  <si>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</si>
  <si>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</si>
  <si>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</si>
  <si>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</si>
  <si>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</si>
  <si>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</si>
  <si>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</si>
  <si>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</si>
  <si>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</si>
  <si>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</si>
  <si>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</si>
  <si>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</si>
  <si>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</si>
  <si>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</si>
  <si>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</si>
  <si>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</si>
  <si>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</si>
  <si>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</si>
  <si>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</si>
  <si>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</si>
  <si>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</si>
  <si>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</si>
  <si>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</si>
  <si>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</si>
  <si>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</si>
  <si>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</si>
  <si>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</si>
  <si>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</si>
  <si>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</si>
  <si>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</si>
  <si>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</si>
  <si>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</si>
  <si>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</si>
  <si>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</si>
  <si>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</si>
  <si>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</si>
  <si>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</si>
  <si>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</si>
  <si>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</si>
  <si>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</si>
  <si>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</si>
  <si>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</si>
  <si>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</si>
  <si>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</si>
  <si>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</si>
  <si>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</si>
  <si>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</si>
  <si>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</si>
  <si>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</si>
  <si>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</si>
  <si>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</si>
  <si>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</si>
  <si>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</si>
  <si>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</si>
  <si>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</si>
  <si>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</si>
  <si>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</si>
  <si>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</si>
  <si>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</si>
  <si>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</si>
  <si>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</si>
  <si>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</si>
  <si>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</si>
  <si>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</si>
  <si>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</si>
  <si>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</si>
  <si>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</si>
  <si>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</si>
  <si>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</si>
  <si>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</si>
  <si>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</si>
  <si>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</si>
  <si>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</si>
  <si>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</si>
  <si>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</si>
  <si>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</si>
  <si>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</si>
  <si>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</si>
  <si>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</si>
  <si>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</si>
  <si>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</si>
  <si>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</si>
  <si>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</si>
  <si>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</si>
  <si>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</si>
  <si>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</si>
  <si>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</si>
  <si>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</si>
  <si>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</si>
  <si>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</si>
  <si>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</si>
  <si>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</si>
  <si>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</si>
  <si>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</si>
  <si>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</si>
  <si>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</si>
  <si>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</si>
  <si>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</si>
  <si>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</si>
  <si>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</si>
  <si>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</si>
  <si>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</si>
  <si>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</si>
  <si>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</si>
  <si>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</si>
  <si>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</si>
  <si>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</si>
  <si>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</si>
  <si>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</si>
  <si>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</si>
  <si>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</si>
  <si>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</si>
  <si>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</si>
  <si>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</si>
  <si>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</si>
  <si>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</si>
  <si>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</si>
  <si>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</si>
  <si>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</si>
  <si>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</si>
  <si>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</si>
  <si>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</si>
  <si>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</si>
  <si>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</si>
  <si>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</si>
  <si>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</si>
  <si>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</si>
  <si>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</si>
  <si>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</si>
  <si>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</si>
  <si>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</si>
  <si>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</si>
  <si>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</si>
  <si>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</si>
  <si>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</si>
  <si>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</si>
  <si>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</si>
  <si>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</si>
  <si>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</si>
  <si>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</si>
  <si>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</si>
  <si>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</si>
  <si>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</si>
  <si>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</si>
  <si>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</si>
  <si>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</si>
  <si>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</si>
  <si>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</si>
  <si>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</si>
  <si>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</si>
  <si>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</si>
  <si>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</si>
  <si>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</si>
  <si>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</si>
  <si>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</si>
  <si>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</si>
  <si>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</si>
  <si>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</si>
  <si>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</si>
  <si>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</si>
  <si>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</si>
  <si>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</si>
  <si>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</si>
  <si>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</si>
  <si>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</si>
  <si>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</si>
  <si>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</si>
  <si>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</si>
  <si>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</si>
  <si>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</si>
  <si>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</si>
  <si>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</si>
  <si>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</si>
  <si>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</si>
  <si>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</si>
  <si>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</si>
  <si>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</si>
  <si>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</si>
  <si>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</si>
  <si>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</si>
  <si>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</si>
  <si>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</si>
  <si>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</si>
  <si>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</si>
  <si>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</si>
  <si>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</si>
  <si>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</si>
  <si>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</si>
  <si>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</si>
  <si>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</si>
  <si>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</si>
  <si>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</si>
  <si>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</si>
  <si>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</si>
  <si>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</si>
  <si>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</si>
  <si>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</si>
  <si>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</si>
  <si>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</si>
  <si>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Glass 5.5mm thick</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</si>
  <si>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</si>
  <si>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</si>
  <si>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</si>
  <si>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</si>
  <si>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</si>
  <si>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</si>
  <si>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</si>
  <si>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</si>
  <si>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</si>
  <si>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</si>
  <si>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</si>
  <si>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</si>
  <si>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</si>
  <si>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</si>
  <si>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</si>
  <si>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</si>
  <si>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</si>
  <si>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</si>
  <si>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</si>
  <si>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</si>
  <si>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</si>
  <si>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</si>
  <si>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</si>
  <si>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</si>
  <si>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</si>
  <si>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</si>
  <si>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</si>
  <si>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</si>
  <si>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</si>
  <si>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</si>
  <si>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</si>
  <si>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</si>
  <si>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</si>
  <si>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</si>
  <si>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</si>
  <si>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</si>
  <si>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</si>
  <si>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</si>
  <si>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</si>
  <si>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</si>
  <si>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</si>
  <si>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</si>
  <si>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</si>
  <si>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</si>
  <si>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</si>
  <si>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</si>
  <si>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</si>
  <si>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</si>
  <si>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</si>
  <si>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</si>
  <si>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</si>
  <si>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</si>
  <si>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</si>
  <si>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</si>
  <si>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</si>
  <si>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</si>
  <si>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</si>
  <si>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</si>
  <si>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</si>
  <si>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</si>
  <si>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</si>
  <si>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</si>
  <si>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</si>
  <si>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</si>
  <si>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</si>
  <si>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</si>
  <si>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</si>
  <si>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</si>
  <si>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</si>
  <si>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</si>
  <si>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</si>
  <si>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</si>
  <si>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</si>
  <si>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</si>
  <si>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</si>
  <si>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</si>
  <si>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</si>
  <si>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</si>
  <si>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</si>
  <si>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</si>
  <si>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</si>
  <si>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</si>
  <si>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</si>
  <si>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</si>
  <si>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</si>
  <si>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</si>
  <si>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</si>
  <si>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</si>
  <si>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</si>
  <si>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</si>
  <si>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</si>
  <si>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</si>
  <si>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</si>
  <si>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</si>
  <si>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</si>
  <si>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</si>
  <si>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</si>
  <si>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</si>
  <si>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</si>
  <si>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</si>
  <si>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</si>
  <si>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</si>
  <si>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</si>
  <si>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</si>
  <si>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</si>
  <si>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</si>
  <si>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</si>
  <si>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</si>
  <si>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</si>
  <si>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</si>
  <si>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</si>
  <si>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</si>
  <si>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</si>
  <si>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</si>
  <si>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</si>
  <si>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</si>
  <si>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</si>
  <si>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</si>
  <si>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</si>
  <si>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</si>
  <si>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</si>
  <si>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</si>
  <si>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</si>
  <si>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</si>
  <si>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</si>
  <si>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</si>
  <si>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</si>
  <si>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</si>
  <si>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</si>
  <si>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</si>
  <si>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</si>
  <si>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</si>
  <si>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</si>
  <si>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</si>
  <si>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</si>
  <si>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</si>
  <si>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</si>
  <si>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</si>
  <si>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</si>
  <si>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</si>
  <si>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</si>
  <si>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</si>
  <si>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</si>
  <si>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</si>
  <si>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</si>
  <si>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</si>
  <si>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</si>
  <si>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</si>
  <si>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</si>
  <si>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</si>
  <si>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</si>
  <si>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</si>
  <si>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</si>
  <si>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</si>
  <si>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</si>
  <si>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</si>
  <si>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</si>
  <si>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</si>
  <si>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</si>
  <si>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</si>
  <si>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</si>
  <si>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</si>
  <si>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</si>
  <si>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</si>
  <si>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</si>
  <si>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</si>
  <si>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</si>
  <si>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</si>
  <si>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</si>
  <si>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</si>
  <si>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</si>
  <si>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</si>
  <si>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</si>
  <si>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</si>
  <si>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</si>
  <si>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</si>
  <si>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</si>
  <si>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</si>
  <si>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</si>
  <si>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</si>
  <si>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</si>
  <si>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</si>
  <si>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</si>
  <si>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</si>
  <si>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</si>
  <si>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</si>
  <si>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</si>
  <si>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</si>
  <si>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</si>
  <si>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</si>
  <si>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</si>
  <si>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</si>
  <si>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</si>
  <si>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</si>
  <si>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</si>
  <si>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</si>
  <si>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</si>
  <si>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</si>
  <si>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</si>
  <si>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</si>
  <si>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</si>
  <si>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</si>
  <si>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</si>
  <si>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</si>
  <si>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</si>
  <si>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</si>
  <si>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</si>
  <si>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</si>
  <si>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</si>
  <si>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</si>
  <si>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</si>
  <si>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</si>
  <si>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</si>
  <si>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</si>
  <si>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</si>
  <si>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</si>
  <si>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</si>
  <si>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</si>
  <si>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</si>
  <si>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</si>
  <si>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</si>
  <si>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</si>
  <si>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</si>
  <si>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</si>
  <si>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</si>
  <si>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</si>
  <si>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</si>
  <si>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</si>
  <si>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</si>
  <si>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</si>
  <si>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</si>
  <si>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</si>
  <si>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</si>
  <si>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</si>
  <si>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</si>
  <si>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</si>
  <si>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</si>
  <si>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</si>
  <si>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</si>
  <si>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</si>
  <si>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</si>
  <si>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</si>
  <si>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</si>
  <si>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</si>
  <si>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</si>
  <si>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</si>
  <si>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</si>
  <si>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</si>
  <si>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</si>
  <si>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</si>
  <si>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</si>
  <si>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</si>
  <si>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</si>
  <si>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</si>
  <si>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</si>
  <si>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</si>
  <si>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</si>
  <si>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</si>
  <si>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</si>
  <si>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</si>
  <si>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</si>
  <si>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</si>
  <si>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</si>
  <si>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</si>
  <si>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</si>
  <si>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</si>
  <si>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</si>
  <si>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</si>
  <si>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</si>
  <si>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</si>
  <si>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</si>
  <si>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</si>
  <si>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</si>
  <si>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</si>
  <si>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</si>
  <si>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</si>
  <si>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</si>
  <si>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</si>
  <si>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</si>
  <si>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</si>
  <si>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</si>
  <si>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</si>
  <si>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</si>
  <si>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</si>
  <si>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</si>
  <si>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</si>
  <si>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</si>
  <si>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</si>
  <si>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</si>
  <si>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</si>
  <si>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</si>
  <si>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</si>
  <si>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</si>
  <si>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</si>
  <si>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</si>
  <si>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</si>
  <si>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</si>
  <si>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</si>
  <si>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</si>
  <si>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</si>
  <si>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</si>
  <si>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</si>
  <si>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</si>
  <si>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</si>
  <si>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</si>
  <si>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</si>
  <si>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</si>
  <si>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</si>
  <si>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</si>
  <si>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</si>
  <si>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</si>
  <si>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</si>
  <si>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</si>
  <si>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</si>
  <si>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</si>
  <si>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</si>
  <si>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</si>
  <si>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</si>
  <si>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</si>
  <si>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</si>
  <si>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</si>
  <si>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</si>
  <si>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</si>
  <si>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</si>
  <si>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</si>
  <si>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</si>
  <si>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</si>
  <si>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</si>
  <si>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</si>
  <si>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</si>
  <si>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</si>
  <si>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</si>
  <si>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</si>
  <si>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</si>
  <si>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</si>
  <si>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</si>
  <si>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</si>
  <si>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</si>
  <si>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</si>
  <si>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</si>
  <si>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</si>
  <si>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</si>
  <si>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</si>
  <si>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</si>
  <si>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</si>
  <si>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</si>
  <si>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</si>
  <si>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</si>
  <si>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</si>
  <si>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</si>
  <si>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</si>
  <si>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</si>
  <si>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</si>
  <si>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</si>
  <si>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</si>
  <si>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</si>
  <si>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</si>
  <si>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</si>
  <si>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</si>
  <si>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</si>
  <si>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</si>
  <si>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</si>
  <si>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</si>
  <si>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</si>
  <si>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</si>
  <si>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</si>
  <si>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</si>
  <si>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</si>
  <si>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</si>
  <si>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</si>
  <si>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</si>
  <si>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</si>
  <si>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</si>
  <si>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</si>
  <si>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</si>
  <si>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</si>
  <si>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</si>
  <si>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</si>
  <si>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</si>
  <si>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</si>
  <si>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</si>
  <si>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</si>
  <si>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</si>
  <si>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</si>
  <si>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</si>
  <si>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</si>
  <si>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</si>
  <si>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</si>
  <si>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</si>
  <si>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</si>
  <si>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</si>
  <si>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</si>
  <si>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</si>
  <si>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</si>
  <si>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</si>
  <si>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</si>
  <si>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</si>
  <si>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</si>
  <si>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</si>
  <si>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</si>
  <si>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</si>
  <si>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</si>
  <si>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</si>
  <si>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</si>
  <si>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</si>
  <si>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</si>
  <si>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</si>
  <si>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</si>
  <si>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</si>
  <si>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</si>
  <si>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</si>
  <si>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</si>
  <si>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</si>
  <si>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</si>
  <si>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</si>
  <si>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</si>
  <si>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</si>
  <si>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</si>
  <si>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</si>
  <si>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</si>
  <si>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</si>
  <si>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</si>
  <si>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</si>
  <si>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</si>
  <si>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</si>
  <si>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</si>
  <si>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</si>
  <si>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</si>
  <si>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</si>
  <si>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</si>
  <si>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</si>
  <si>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</si>
  <si>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</si>
  <si>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</si>
  <si>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</si>
  <si>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</si>
  <si>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</si>
  <si>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</si>
  <si>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</si>
  <si>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</si>
  <si>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</si>
  <si>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</si>
  <si>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</si>
  <si>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</si>
  <si>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</si>
  <si>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</si>
  <si>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</si>
  <si>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</si>
  <si>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</si>
  <si>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</si>
  <si>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</si>
  <si>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</si>
  <si>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</si>
  <si>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</si>
  <si>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</si>
  <si>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</si>
  <si>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</si>
  <si>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</si>
  <si>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</si>
  <si>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</si>
  <si>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</si>
  <si>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</si>
  <si>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</si>
  <si>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</si>
  <si>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</si>
  <si>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</si>
  <si>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</si>
  <si>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</si>
  <si>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</si>
  <si>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</si>
  <si>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</si>
  <si>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</si>
  <si>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</si>
  <si>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</si>
  <si>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</si>
  <si>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</si>
  <si>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</si>
  <si>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</si>
  <si>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</si>
  <si>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</si>
  <si>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</si>
  <si>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</si>
  <si>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</si>
  <si>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</si>
  <si>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</si>
  <si>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</si>
  <si>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</si>
  <si>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</si>
  <si>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</si>
  <si>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</si>
  <si>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</si>
  <si>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</si>
  <si>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</si>
  <si>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</si>
  <si>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</si>
  <si>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</si>
  <si>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</si>
  <si>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</si>
  <si>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</si>
  <si>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</si>
  <si>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</si>
  <si>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</si>
  <si>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</si>
  <si>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</si>
  <si>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</si>
  <si>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</si>
  <si>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</si>
  <si>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</si>
  <si>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</si>
  <si>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</si>
  <si>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</si>
  <si>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</si>
  <si>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</si>
  <si>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</si>
  <si>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</si>
  <si>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</si>
  <si>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</si>
  <si>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</si>
  <si>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</si>
  <si>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</si>
  <si>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</si>
  <si>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</si>
  <si>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</si>
  <si>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</si>
  <si>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</si>
  <si>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</si>
  <si>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</si>
  <si>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</si>
  <si>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</si>
  <si>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</si>
  <si>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</si>
  <si>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</si>
  <si>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</si>
  <si>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</si>
  <si>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</si>
  <si>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</si>
  <si>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</si>
  <si>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</si>
  <si>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</si>
  <si>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</si>
  <si>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</si>
  <si>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</si>
  <si>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</si>
  <si>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</si>
  <si>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</si>
  <si>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</si>
  <si>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</si>
  <si>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</si>
  <si>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</si>
  <si>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</si>
  <si>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</si>
  <si>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</si>
  <si>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</si>
  <si>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</si>
  <si>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</si>
  <si>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</si>
  <si>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</si>
  <si>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</si>
  <si>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</si>
  <si>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</si>
  <si>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</si>
  <si>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</si>
  <si>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</si>
  <si>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</si>
  <si>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</si>
  <si>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</si>
  <si>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</si>
  <si>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</si>
  <si>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</si>
  <si>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</si>
  <si>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</si>
  <si>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</si>
  <si>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</si>
  <si>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</si>
  <si>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</si>
  <si>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</si>
  <si>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</si>
  <si>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</si>
  <si>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</si>
  <si>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</si>
  <si>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</si>
  <si>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</si>
  <si>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</si>
  <si>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</si>
  <si>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</si>
  <si>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</si>
  <si>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</si>
  <si>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</si>
  <si>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</si>
  <si>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</si>
  <si>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</si>
  <si>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</si>
  <si>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</si>
  <si>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</si>
  <si>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</si>
  <si>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</si>
  <si>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</si>
  <si>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</si>
  <si>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</si>
  <si>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</si>
  <si>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</si>
  <si>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</si>
  <si>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</si>
  <si>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</si>
  <si>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</si>
  <si>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</si>
  <si>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</si>
  <si>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</si>
  <si>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</si>
  <si>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</si>
  <si>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</si>
  <si>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</si>
  <si>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</si>
  <si>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</si>
  <si>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</si>
  <si>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</si>
  <si>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</si>
  <si>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</si>
  <si>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</si>
  <si>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</si>
  <si>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</si>
  <si>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</si>
  <si>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</si>
  <si>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</si>
  <si>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</si>
  <si>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</si>
  <si>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</si>
  <si>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</si>
  <si>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</si>
  <si>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</si>
  <si>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</si>
  <si>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</si>
  <si>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</si>
  <si>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</si>
  <si>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</si>
  <si>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</si>
  <si>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</si>
  <si>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</si>
  <si>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</si>
  <si>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</si>
  <si>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</si>
  <si>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</si>
  <si>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</si>
  <si>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</si>
  <si>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</si>
  <si>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</si>
  <si>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</si>
  <si>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</si>
  <si>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</si>
  <si>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</si>
  <si>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</si>
  <si>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</si>
  <si>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</si>
  <si>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</si>
  <si>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</si>
  <si>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</si>
  <si>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</si>
  <si>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</si>
  <si>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</si>
  <si>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</si>
  <si>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</si>
  <si>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</si>
  <si>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</si>
  <si>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</si>
  <si>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</si>
  <si>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</si>
  <si>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</si>
  <si>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</si>
  <si>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</si>
  <si>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</si>
  <si>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</si>
  <si>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</si>
  <si>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</si>
  <si>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</si>
  <si>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</si>
  <si>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</si>
  <si>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</si>
  <si>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</si>
  <si>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</si>
  <si>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</si>
  <si>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</si>
  <si>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</si>
  <si>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</si>
  <si>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</si>
  <si>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</si>
  <si>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</si>
  <si>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</si>
  <si>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</si>
  <si>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</si>
  <si>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</si>
  <si>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</si>
  <si>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</si>
  <si>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</si>
  <si>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</si>
  <si>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</si>
  <si>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</si>
  <si>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</si>
  <si>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</si>
  <si>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</si>
  <si>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</si>
  <si>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</si>
  <si>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</si>
  <si>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</si>
  <si>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</si>
  <si>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</si>
  <si>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</si>
  <si>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</si>
  <si>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</si>
  <si>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</si>
  <si>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</si>
  <si>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</si>
  <si>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</si>
  <si>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</si>
  <si>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</si>
  <si>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</si>
  <si>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</si>
  <si>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</si>
  <si>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</si>
  <si>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</si>
  <si>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</si>
  <si>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</si>
  <si>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</si>
  <si>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</si>
  <si>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</si>
  <si>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</si>
  <si>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</si>
  <si>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</si>
  <si>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</si>
  <si>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</si>
  <si>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</si>
  <si>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</si>
  <si>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</si>
  <si>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</si>
  <si>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</si>
  <si>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</si>
  <si>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</si>
  <si>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</si>
  <si>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</si>
  <si>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</si>
  <si>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</si>
  <si>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</si>
  <si>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</si>
  <si>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</si>
  <si>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</si>
  <si>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</si>
  <si>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</si>
  <si>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</si>
  <si>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</si>
  <si>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</si>
  <si>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</si>
  <si>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</si>
  <si>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</si>
  <si>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</si>
  <si>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</si>
  <si>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</si>
  <si>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</si>
  <si>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</si>
  <si>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</si>
  <si>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</si>
  <si>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</si>
  <si>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</si>
  <si>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</si>
  <si>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</si>
  <si>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</si>
  <si>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</si>
  <si>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</si>
  <si>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</si>
  <si>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</si>
  <si>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</si>
  <si>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</si>
  <si>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</si>
  <si>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</si>
  <si>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</si>
  <si>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</si>
  <si>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</si>
  <si>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</si>
  <si>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</si>
  <si>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</si>
  <si>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</si>
  <si>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</si>
  <si>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</si>
  <si>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</si>
  <si>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</si>
  <si>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</si>
  <si>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</si>
  <si>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</si>
  <si>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</si>
  <si>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</si>
  <si>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</si>
  <si>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</si>
  <si>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</si>
  <si>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</si>
  <si>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</si>
  <si>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</si>
  <si>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</si>
  <si>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</si>
  <si>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</si>
  <si>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</si>
  <si>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</si>
  <si>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</si>
  <si>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</si>
  <si>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</si>
  <si>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</si>
  <si>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</si>
  <si>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</si>
  <si>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</si>
  <si>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</si>
  <si>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</si>
  <si>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</si>
  <si>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</si>
  <si>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</si>
  <si>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</si>
  <si>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</si>
  <si>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</si>
  <si>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</si>
  <si>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</si>
  <si>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</si>
  <si>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</si>
  <si>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</si>
  <si>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</si>
  <si>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</si>
  <si>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</si>
  <si>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</si>
  <si>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</si>
  <si>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</si>
  <si>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</si>
  <si>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</si>
  <si>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</si>
  <si>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</si>
  <si>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</si>
  <si>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</si>
  <si>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</si>
  <si>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</si>
  <si>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</si>
  <si>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</si>
  <si>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</si>
  <si>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</si>
  <si>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</si>
  <si>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</si>
  <si>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</si>
  <si>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</si>
  <si>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</si>
  <si>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</si>
  <si>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</si>
  <si>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</si>
  <si>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</si>
  <si>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</si>
  <si>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</si>
  <si>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</si>
  <si>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</si>
  <si>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</si>
  <si>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</si>
  <si>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</si>
  <si>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</si>
  <si>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</si>
  <si>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</si>
  <si>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</si>
  <si>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</si>
  <si>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</si>
  <si>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</si>
  <si>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</si>
  <si>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</si>
  <si>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</si>
  <si>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</si>
  <si>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</si>
  <si>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</si>
  <si>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</si>
  <si>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</si>
  <si>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</si>
  <si>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</si>
  <si>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</si>
  <si>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</si>
  <si>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</si>
  <si>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</si>
  <si>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</si>
  <si>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</si>
  <si>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</si>
  <si>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</si>
  <si>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</si>
  <si>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</si>
  <si>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</si>
  <si>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</si>
  <si>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</si>
  <si>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</si>
  <si>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</si>
  <si>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</si>
  <si>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</si>
  <si>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</si>
  <si>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</si>
  <si>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</si>
  <si>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</si>
  <si>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</si>
  <si>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</si>
  <si>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</si>
  <si>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</si>
  <si>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</si>
  <si>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</si>
  <si>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</si>
  <si>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</si>
  <si>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</si>
  <si>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</si>
  <si>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</si>
  <si>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</si>
  <si>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</si>
  <si>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</si>
  <si>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</si>
  <si>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</si>
  <si>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</si>
  <si>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</si>
  <si>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</si>
  <si>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</si>
  <si>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</si>
  <si>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</si>
  <si>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</si>
  <si>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</si>
  <si>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</si>
  <si>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</si>
  <si>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</si>
  <si>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</si>
  <si>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</si>
  <si>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</si>
  <si>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</si>
  <si>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</si>
  <si>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</si>
  <si>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</si>
  <si>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</si>
  <si>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</si>
  <si>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</si>
  <si>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</si>
  <si>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</si>
  <si>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</si>
  <si>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</si>
  <si>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</si>
  <si>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</si>
  <si>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</si>
  <si>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</si>
  <si>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</si>
  <si>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</si>
  <si>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</si>
  <si>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</si>
  <si>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</si>
  <si>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</si>
  <si>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</si>
  <si>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</si>
  <si>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</si>
  <si>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</si>
  <si>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</si>
  <si>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</si>
  <si>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</si>
  <si>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</si>
  <si>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</si>
  <si>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</si>
  <si>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</si>
  <si>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</si>
  <si>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</si>
  <si>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</si>
  <si>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</si>
  <si>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</si>
  <si>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</si>
  <si>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</si>
  <si>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</si>
  <si>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</si>
  <si>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</si>
  <si>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</si>
  <si>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</si>
  <si>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</si>
  <si>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</si>
  <si>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</si>
  <si>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</si>
  <si>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</si>
  <si>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</si>
  <si>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</si>
  <si>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</si>
  <si>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</si>
  <si>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</si>
  <si>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</si>
  <si>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</si>
  <si>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</si>
  <si>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</si>
  <si>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</si>
  <si>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</si>
  <si>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</si>
  <si>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</si>
  <si>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</si>
  <si>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</si>
  <si>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</si>
  <si>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</si>
  <si>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</si>
  <si>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</si>
  <si>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</si>
  <si>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</si>
  <si>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</si>
  <si>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</si>
  <si>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</si>
  <si>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</si>
  <si>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</si>
  <si>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</si>
  <si>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</si>
  <si>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</si>
  <si>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</si>
  <si>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</si>
  <si>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</si>
  <si>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</si>
  <si>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</si>
  <si>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</si>
  <si>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</si>
  <si>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</si>
  <si>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</si>
  <si>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</si>
  <si>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</si>
  <si>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</si>
  <si>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</si>
  <si>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</si>
  <si>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</si>
  <si>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</si>
  <si>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</si>
  <si>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</si>
  <si>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</si>
  <si>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</si>
  <si>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</si>
  <si>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</si>
  <si>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</si>
  <si>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</si>
  <si>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</si>
  <si>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</si>
  <si>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</si>
  <si>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</si>
  <si>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</si>
  <si>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</si>
  <si>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</si>
  <si>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</si>
  <si>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</si>
  <si>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</si>
  <si>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</si>
  <si>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</si>
  <si>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</si>
  <si>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</si>
  <si>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</si>
  <si>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</si>
  <si>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</si>
  <si>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</si>
  <si>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</si>
  <si>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</si>
  <si>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</si>
  <si>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</si>
  <si>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</si>
  <si>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</si>
  <si>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</si>
  <si>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</si>
  <si>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</si>
  <si>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</si>
  <si>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</si>
  <si>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</si>
  <si>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</si>
  <si>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</si>
  <si>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</si>
  <si>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</si>
  <si>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</si>
  <si>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</si>
  <si>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</si>
  <si>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</si>
  <si>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</si>
  <si>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</si>
  <si>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</si>
  <si>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</si>
  <si>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</si>
  <si>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</si>
  <si>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</si>
  <si>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</si>
  <si>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</si>
  <si>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</si>
  <si>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</si>
  <si>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</si>
  <si>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</si>
  <si>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</si>
  <si>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</si>
  <si>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</si>
  <si>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</si>
  <si>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</si>
  <si>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</si>
  <si>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</si>
  <si>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</si>
  <si>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</si>
  <si>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</si>
  <si>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</si>
  <si>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</si>
  <si>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</si>
  <si>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</si>
  <si>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</si>
  <si>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</si>
  <si>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</si>
  <si>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</si>
  <si>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</si>
  <si>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</si>
  <si>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</si>
  <si>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</si>
  <si>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</si>
  <si>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</si>
  <si>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</si>
  <si>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</si>
  <si>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</si>
  <si>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</si>
  <si>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</si>
  <si>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</si>
  <si>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</si>
  <si>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</si>
  <si>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</si>
  <si>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</si>
  <si>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</si>
  <si>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</si>
  <si>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</si>
  <si>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</si>
  <si>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</si>
  <si>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</si>
  <si>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</si>
  <si>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</si>
  <si>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</si>
  <si>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</si>
  <si>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</si>
  <si>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</si>
  <si>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</si>
  <si>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</si>
  <si>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</si>
  <si>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</si>
  <si>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5th</t>
  </si>
  <si>
    <t>6th</t>
  </si>
  <si>
    <t>7th</t>
  </si>
  <si>
    <t>8th</t>
  </si>
  <si>
    <t>Run of 2 Wires of 2.5 sqmm PVC insulated single core multi strand fire retardant flexible copper cable with ISI mark confirming IS: 694:1990.</t>
  </si>
  <si>
    <t>Supplying and fixing of 100mm dia GI pipe</t>
  </si>
  <si>
    <t>Providing additional strutting to centering of plain surface.</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</si>
  <si>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</si>
  <si>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</si>
  <si>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</si>
  <si>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</si>
  <si>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</si>
  <si>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</si>
  <si>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</si>
  <si>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</si>
  <si>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</si>
  <si>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</si>
  <si>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</si>
  <si>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</si>
  <si>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</si>
  <si>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</si>
  <si>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</si>
  <si>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</si>
  <si>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</si>
  <si>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</si>
  <si>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</si>
  <si>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COST OF matt finish wall of 12x12
(Quotation rate)</t>
  </si>
  <si>
    <t>COST OF  TILES (Quotation rate)</t>
  </si>
  <si>
    <t>Supplying and fixing of Geyser (Data -SD 103)</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</si>
  <si>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</si>
  <si>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</si>
  <si>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</si>
  <si>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</si>
  <si>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Vertified tile flooring IVORY</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</si>
  <si>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</si>
  <si>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</si>
  <si>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</si>
  <si>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</si>
  <si>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</si>
  <si>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 X 6 Sq mm in fully concealed PVC conduit</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</si>
  <si>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</si>
  <si>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</si>
  <si>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</si>
  <si>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</si>
  <si>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</si>
  <si>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</si>
  <si>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</si>
  <si>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</si>
  <si>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</si>
  <si>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</si>
  <si>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</si>
  <si>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</si>
  <si>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</si>
  <si>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</si>
  <si>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 xml:space="preserve">Run of 4 Wires of 6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</si>
  <si>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</si>
  <si>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</si>
  <si>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</si>
  <si>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</si>
  <si>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</si>
  <si>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</si>
  <si>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</si>
  <si>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</si>
  <si>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</si>
  <si>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</si>
  <si>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</si>
  <si>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</si>
  <si>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 xml:space="preserve">brass DOOR HANDLE 150mm long </t>
  </si>
  <si>
    <t>5" Brass BUTT HINGS</t>
  </si>
  <si>
    <t xml:space="preserve"> 6"x1/2" Brass TOWER BOLT </t>
  </si>
  <si>
    <t>10"x5/8" Brass ALDROP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</si>
  <si>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</si>
  <si>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</si>
  <si>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</si>
  <si>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</si>
  <si>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</si>
  <si>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</si>
  <si>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</si>
  <si>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</si>
  <si>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</si>
  <si>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</si>
  <si>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</si>
  <si>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</si>
  <si>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</si>
  <si>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</si>
  <si>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</si>
  <si>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</si>
  <si>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</si>
  <si>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</si>
  <si>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</si>
  <si>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</si>
  <si>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</si>
  <si>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</si>
  <si>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</si>
  <si>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</si>
  <si>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</si>
  <si>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</si>
  <si>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</si>
  <si>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</si>
  <si>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</si>
  <si>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</si>
  <si>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</si>
  <si>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</si>
  <si>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</si>
  <si>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</si>
  <si>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</si>
  <si>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</si>
  <si>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</si>
  <si>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</si>
  <si>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</si>
  <si>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</si>
  <si>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</si>
  <si>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</si>
  <si>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</si>
  <si>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</si>
  <si>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</si>
  <si>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</si>
  <si>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</si>
  <si>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</si>
  <si>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</si>
  <si>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</si>
  <si>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</si>
  <si>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</si>
  <si>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</si>
  <si>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</si>
  <si>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</si>
  <si>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</si>
  <si>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</si>
  <si>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</si>
  <si>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</si>
  <si>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</si>
  <si>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</si>
  <si>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</si>
  <si>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</si>
  <si>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</si>
  <si>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</si>
  <si>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</si>
  <si>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</si>
  <si>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</si>
  <si>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</si>
  <si>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</si>
  <si>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</si>
  <si>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</si>
  <si>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</si>
  <si>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</si>
  <si>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</si>
  <si>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</si>
  <si>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</si>
  <si>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</si>
  <si>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</si>
  <si>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</si>
  <si>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</si>
  <si>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 xml:space="preserve">Granite Tiles flooring in cm1:3,20mm thk </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</si>
  <si>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</si>
  <si>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</si>
  <si>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</si>
  <si>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</si>
  <si>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</si>
  <si>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</si>
  <si>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</si>
  <si>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</si>
  <si>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</si>
  <si>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</si>
  <si>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</si>
  <si>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</si>
  <si>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</si>
  <si>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</si>
  <si>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</si>
  <si>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</si>
  <si>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</si>
  <si>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</si>
  <si>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</si>
  <si>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</si>
  <si>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</si>
  <si>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</si>
  <si>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</si>
  <si>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</si>
  <si>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</si>
  <si>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</si>
  <si>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</si>
  <si>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</si>
  <si>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</si>
  <si>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</si>
  <si>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 xml:space="preserve">Red oxide plastering in CM 1:4 </t>
  </si>
  <si>
    <t>3 to 4</t>
  </si>
  <si>
    <t>4 to 5</t>
  </si>
  <si>
    <t>STYLES(OVER 2M) -1X2X2.05X0.075X0.0375</t>
  </si>
  <si>
    <t>RAILS(BELOW 2M)- 1X3X1.1X0.15X0.0375</t>
  </si>
  <si>
    <t>Plywood      -1X1X0.625X0.975</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</si>
  <si>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</si>
  <si>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</si>
  <si>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</si>
  <si>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</si>
  <si>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</si>
  <si>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</si>
  <si>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</si>
  <si>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</si>
  <si>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</si>
  <si>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</si>
  <si>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</si>
  <si>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</si>
  <si>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</si>
  <si>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</si>
  <si>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</si>
  <si>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TW single leaf french window</t>
  </si>
  <si>
    <t xml:space="preserve">shutter  for frame of overall height 3.08 x 2.1cm </t>
  </si>
  <si>
    <t>LABOUR CHARGE for wroght &amp; put up</t>
  </si>
  <si>
    <t>4 mm thicj frosted glass</t>
  </si>
  <si>
    <t>TW Beeding 15 x12 mm</t>
  </si>
  <si>
    <t xml:space="preserve"> 200 mm long x12mm  ALU. TOWERBOLT (8")</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</si>
  <si>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</si>
  <si>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</si>
  <si>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</si>
  <si>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</si>
  <si>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</si>
  <si>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</si>
  <si>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</si>
  <si>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</si>
  <si>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</si>
  <si>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</si>
  <si>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</si>
  <si>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</si>
  <si>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</si>
  <si>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</si>
  <si>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</si>
  <si>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</si>
  <si>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</si>
  <si>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</si>
  <si>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</si>
  <si>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Providing cooling tiles over terrace floor</t>
  </si>
  <si>
    <t>Pointing with CM 1:3</t>
  </si>
  <si>
    <t>S &amp; F of Granite slab of size 4'x2', 18 to 20mm Thick For kitchen arrangements (jet black)</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</si>
  <si>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</si>
  <si>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</si>
  <si>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</si>
  <si>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</si>
  <si>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</si>
  <si>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</si>
  <si>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</si>
  <si>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</si>
  <si>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</si>
  <si>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</si>
  <si>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</si>
  <si>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</si>
  <si>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</si>
  <si>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</si>
  <si>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</si>
  <si>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</si>
  <si>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</si>
  <si>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</si>
  <si>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</si>
  <si>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</si>
  <si>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</si>
  <si>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</si>
  <si>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</si>
  <si>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</si>
  <si>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</si>
  <si>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</si>
  <si>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</si>
  <si>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</si>
  <si>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</si>
  <si>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</si>
  <si>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</si>
  <si>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</si>
  <si>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</si>
  <si>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</si>
  <si>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</si>
  <si>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</si>
  <si>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</si>
  <si>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</si>
  <si>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</si>
  <si>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</si>
  <si>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</si>
  <si>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</si>
  <si>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</si>
  <si>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</si>
  <si>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</si>
  <si>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</si>
  <si>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</si>
  <si>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</si>
  <si>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</si>
  <si>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</si>
  <si>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</si>
  <si>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</si>
  <si>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</si>
  <si>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</si>
  <si>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</si>
  <si>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</si>
  <si>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</si>
  <si>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</si>
  <si>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</si>
  <si>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</si>
  <si>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</si>
  <si>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</si>
  <si>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</si>
  <si>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COST OF Vertified TILES (p51, it-156)</t>
  </si>
  <si>
    <t>C.W.SCANTLING UP TO 4M LONG P-20 -it-120/77i</t>
  </si>
  <si>
    <t xml:space="preserve">C.W SCANTLING UPTO 4M LONG </t>
  </si>
  <si>
    <t xml:space="preserve">C.W SCANTLING  UPTO 4M LONG </t>
  </si>
  <si>
    <t>C.W PLANKS 25mm thick, 30cm WIDE</t>
  </si>
  <si>
    <t>40mm brick jelly</t>
  </si>
  <si>
    <t>WIDE&amp;12TO25mm T.K p-19 it-110</t>
  </si>
  <si>
    <t>TNHB ELECTRICAL DATA FOR COASTAL AREA ONLY</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</si>
  <si>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</si>
  <si>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</si>
  <si>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</si>
  <si>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</si>
  <si>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</si>
  <si>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</si>
  <si>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</si>
  <si>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</si>
  <si>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</si>
  <si>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</si>
  <si>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</si>
  <si>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</si>
  <si>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</si>
  <si>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</si>
  <si>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</si>
  <si>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</si>
  <si>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</si>
  <si>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</si>
  <si>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</si>
  <si>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</si>
  <si>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</si>
  <si>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</si>
  <si>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</si>
  <si>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</si>
  <si>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</si>
  <si>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</si>
  <si>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</si>
  <si>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</si>
  <si>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</si>
  <si>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</si>
  <si>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</si>
  <si>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</si>
  <si>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</si>
  <si>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</si>
  <si>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</si>
  <si>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</si>
  <si>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</si>
  <si>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</si>
  <si>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</si>
  <si>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</si>
  <si>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</si>
  <si>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</si>
  <si>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</si>
  <si>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</si>
  <si>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</si>
  <si>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</si>
  <si>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</si>
  <si>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</si>
  <si>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</si>
  <si>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</si>
  <si>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</si>
  <si>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</si>
  <si>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</si>
  <si>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</si>
  <si>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</si>
  <si>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</si>
  <si>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</si>
  <si>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</si>
  <si>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</si>
  <si>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</si>
  <si>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</si>
  <si>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</si>
  <si>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Volume of Concrete = 3.14 /x *0.5 x 0.5  x 8  = 4.02 /4=  1.57 m3</t>
  </si>
  <si>
    <t>Setting of Bored cast-in-situ pile equipments with all accessories and tools at each of locations based on the 500 mm dia pile</t>
  </si>
  <si>
    <t>DATA</t>
  </si>
  <si>
    <t>TRICHY DIVISION</t>
  </si>
  <si>
    <t>TAMILNADU POLICE HOUSING CORPORATION LIMITED</t>
  </si>
  <si>
    <t>b. 160 mm UPVC Non Pressure  pipe</t>
  </si>
  <si>
    <t>Wiring with 1.5 sqmm PVC insulated single core multi strand fire retardant flexible copper cable with ISI mark confirming IS: 694:1990.( Ordinary)</t>
  </si>
  <si>
    <t xml:space="preserve">Providing Colour Marble chips of size 10mm and below using 70.20Kgs of cement and 15 cum of Colour Marble chips for every 10 sqm over the existing plastered surface </t>
  </si>
  <si>
    <t xml:space="preserve">Colour Pigment </t>
  </si>
  <si>
    <t>d.Vertical wall</t>
  </si>
  <si>
    <t>SUB - TOTAL - II Rs.</t>
  </si>
  <si>
    <t>Precast Cupboard slab 20 mm tk.using standardised concrete mix M20 (annexure)</t>
  </si>
  <si>
    <t>Precast cupboard slab 40 mm tkusing standardised concrete mix M20 (annexure)</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</si>
  <si>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</si>
  <si>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</si>
  <si>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</si>
  <si>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</si>
  <si>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</si>
  <si>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</si>
  <si>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</si>
  <si>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</si>
  <si>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</si>
  <si>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</si>
  <si>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</si>
  <si>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</si>
  <si>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</si>
  <si>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</si>
  <si>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</si>
  <si>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</si>
  <si>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</si>
  <si>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</si>
  <si>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</si>
  <si>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</si>
  <si>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</si>
  <si>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</si>
  <si>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r>
      <t xml:space="preserve">Standardised concrete  mix using </t>
    </r>
    <r>
      <rPr>
        <b/>
        <sz val="13"/>
        <rFont val="Arial Narrow"/>
        <family val="2"/>
      </rPr>
      <t>M 30 Grade concrete in (F&amp;B)</t>
    </r>
  </si>
  <si>
    <t>.</t>
  </si>
  <si>
    <t>Precasted slab Standardised Cement comncrete M 20 grade</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</si>
  <si>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</si>
  <si>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</si>
  <si>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</si>
  <si>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</si>
  <si>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</si>
  <si>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</si>
  <si>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</si>
  <si>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</si>
  <si>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</si>
  <si>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</si>
  <si>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</si>
  <si>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</si>
  <si>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</si>
  <si>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HARD BROKEN STONE JELLY 3mm To 10mm p-18</t>
  </si>
  <si>
    <t>GI WIRE 8 GAUGE p79/pat E3(b)</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</si>
  <si>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</si>
  <si>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</si>
  <si>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</si>
  <si>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</si>
  <si>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</si>
  <si>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</si>
  <si>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</si>
  <si>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</si>
  <si>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</si>
  <si>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</si>
  <si>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SALT  SD 233 (119.2/20.32 = 5.87)</t>
  </si>
  <si>
    <t>hinges it-77 a p-40</t>
  </si>
  <si>
    <t>Aluminium partition wall ( 1/3 Glass 5.5mm &amp; 2/3 novapan sheet 12mm thick</t>
  </si>
  <si>
    <t>Glass 5.5mm plain  it-107</t>
  </si>
  <si>
    <t>Novapan Sheet 12mm Thick</t>
  </si>
  <si>
    <t>Rubber beeding (An-VI -it-63</t>
  </si>
  <si>
    <t xml:space="preserve"> Plug (An-VI -it-166</t>
  </si>
  <si>
    <t>Power Grapping</t>
  </si>
  <si>
    <t>TOTAL FOR 6.615 SQM</t>
  </si>
  <si>
    <t>SUPPLY AND FIXING OF GALVANIUM SHEET 0.47MM THICK</t>
  </si>
  <si>
    <t>GALVANIUM SHEET 0.47MM THICK ( qtn)</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</si>
  <si>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</si>
  <si>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</si>
  <si>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</si>
  <si>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</si>
  <si>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</si>
  <si>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</si>
  <si>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</si>
  <si>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</si>
  <si>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</si>
  <si>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</si>
  <si>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</si>
  <si>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</si>
  <si>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</si>
  <si>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</si>
  <si>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</si>
  <si>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</si>
  <si>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</si>
  <si>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</si>
  <si>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</si>
  <si>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</si>
  <si>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</si>
  <si>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</si>
  <si>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</si>
  <si>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</si>
  <si>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</si>
  <si>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</si>
  <si>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</si>
  <si>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</si>
  <si>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</si>
  <si>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</si>
  <si>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</si>
  <si>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</si>
  <si>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</si>
  <si>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</si>
  <si>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</si>
  <si>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</si>
  <si>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</si>
  <si>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</si>
  <si>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</si>
  <si>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</si>
  <si>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Frosted glass  4mmthick it-106 p-44</t>
  </si>
  <si>
    <t>Frosted glass 4mmthick</t>
  </si>
  <si>
    <t>Flush door shutter size 1800x2400 (Double leaf)</t>
  </si>
  <si>
    <t>shutter size 1800x2400 (Double leaf)=1.7 x 2.325 =</t>
  </si>
  <si>
    <t>Rate for 3.95 Sqm</t>
  </si>
  <si>
    <t>Flush door shutter size 1800x2100 (Double leaf)</t>
  </si>
  <si>
    <t>shutter size 1800x2100 (Double leaf)=1.7 x 2.025 =</t>
  </si>
  <si>
    <t>Rate for 3.44 Sqm</t>
  </si>
  <si>
    <t>Rubber beeding it-64 p-39</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</si>
  <si>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</si>
  <si>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</si>
  <si>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</si>
  <si>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</si>
  <si>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</si>
  <si>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</si>
  <si>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</si>
  <si>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</si>
  <si>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</si>
  <si>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</si>
  <si>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</si>
  <si>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</si>
  <si>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</si>
  <si>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</si>
  <si>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</si>
  <si>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</si>
  <si>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</si>
  <si>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</si>
  <si>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</si>
  <si>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</si>
  <si>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</si>
  <si>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</si>
  <si>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</si>
  <si>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</si>
  <si>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</si>
  <si>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</si>
  <si>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</si>
  <si>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</si>
  <si>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</si>
  <si>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</si>
  <si>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EUROPEAN WATER CLOSET WITH "P" OR "S" TRAP WITH DOUBLE FLAPPED SEAT AND SEAT COVER WITH BRASS HINGES AND 10LIT CAPACITY PVC L;OW LEVEL FLUSHING TANK WITH ALL INTERNAL FITTINGS p-48</t>
  </si>
  <si>
    <t>P.V.C DOOR TEE 110MM p-61 D-c</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</si>
  <si>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</si>
  <si>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</si>
  <si>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</si>
  <si>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</si>
  <si>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JOINTING MATERIALS. (TWAD SR 17-18 11-b)</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</si>
  <si>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</si>
  <si>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</si>
  <si>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</si>
  <si>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</si>
  <si>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</si>
  <si>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</si>
  <si>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</si>
  <si>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</si>
  <si>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</si>
  <si>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</si>
  <si>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</si>
  <si>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</si>
  <si>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</si>
  <si>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</si>
  <si>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</si>
  <si>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</si>
  <si>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</si>
  <si>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</si>
  <si>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</si>
  <si>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</si>
  <si>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</si>
  <si>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</si>
  <si>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</si>
  <si>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</si>
  <si>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</si>
  <si>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</si>
  <si>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</si>
  <si>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</si>
  <si>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</si>
  <si>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</si>
  <si>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</si>
  <si>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</si>
  <si>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</si>
  <si>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</si>
  <si>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</si>
  <si>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</si>
  <si>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</si>
  <si>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</si>
  <si>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</si>
  <si>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</si>
  <si>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</si>
  <si>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</si>
  <si>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</si>
  <si>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</si>
  <si>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</si>
  <si>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</si>
  <si>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</si>
  <si>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</si>
  <si>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</si>
  <si>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</si>
  <si>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</si>
  <si>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</si>
  <si>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</si>
  <si>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</si>
  <si>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</si>
  <si>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</si>
  <si>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</si>
  <si>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</si>
  <si>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</si>
  <si>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</si>
  <si>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</si>
  <si>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</si>
  <si>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</si>
  <si>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</si>
  <si>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</si>
  <si>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</si>
  <si>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</si>
  <si>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</si>
  <si>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</si>
  <si>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</si>
  <si>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</si>
  <si>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</si>
  <si>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</si>
  <si>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</si>
  <si>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</si>
  <si>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</si>
  <si>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</si>
  <si>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</si>
  <si>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Finshing the top of Terrace floor with one course of solar reflective Ceramic tiles without base concrete</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</si>
  <si>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</si>
  <si>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</si>
  <si>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</si>
  <si>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</si>
  <si>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</si>
  <si>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</si>
  <si>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</si>
  <si>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</si>
  <si>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</si>
  <si>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</si>
  <si>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</si>
  <si>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</si>
  <si>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</si>
  <si>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</si>
  <si>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</si>
  <si>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</si>
  <si>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</si>
  <si>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</si>
  <si>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</si>
  <si>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</si>
  <si>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</si>
  <si>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</si>
  <si>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</si>
  <si>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</si>
  <si>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</si>
  <si>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</si>
  <si>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</si>
  <si>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</si>
  <si>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</si>
  <si>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</si>
  <si>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</si>
  <si>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</si>
  <si>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</si>
  <si>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SUB - TOTAL - III Rs.</t>
  </si>
  <si>
    <t>Cement Paint two coat for old wall</t>
  </si>
  <si>
    <t>Cement Paint one coat for old wall</t>
  </si>
  <si>
    <t>Plastic Emulsion PAINT two coat for old wall</t>
  </si>
  <si>
    <t>Plastic Emulsion PAINT one coat for old wall</t>
  </si>
  <si>
    <t>Painter I</t>
  </si>
  <si>
    <t>s</t>
  </si>
  <si>
    <t>1 unit</t>
  </si>
  <si>
    <t>Plastic Emulsion PAINT including primer for outer walls</t>
  </si>
  <si>
    <t xml:space="preserve">Providing PVC Tee with end cap </t>
  </si>
  <si>
    <t>Labour Welfare fund @ 1.0%</t>
  </si>
  <si>
    <t>ABSTRACT</t>
  </si>
  <si>
    <t>R.C.C.Door frames of size 100 x 75mm with one edge grooves size 't' x 20 mm using M20 grade ( with out vibrating charges)</t>
  </si>
  <si>
    <t>SAND FOR MORTAR sl.100  p19</t>
  </si>
  <si>
    <t>NYLON BUSH FOR Door ( qtn)</t>
  </si>
  <si>
    <t xml:space="preserve"> 15mmDIAX20mmDIA  (v)</t>
  </si>
  <si>
    <t xml:space="preserve"> 25mmDIAX20mmDIA (iv)</t>
  </si>
  <si>
    <t xml:space="preserve"> 15mmDIA OF WALL THICK 2.8mm A.S.T.M (Qtn)</t>
  </si>
  <si>
    <t>P.V.C. LOW LEVEL CISTERN 10 LITCAPACITY p-68 220a</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</si>
  <si>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</si>
  <si>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</si>
  <si>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</si>
  <si>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</si>
  <si>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</si>
  <si>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</si>
  <si>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</si>
  <si>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</si>
  <si>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</si>
  <si>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CUTTING CHARGES p -31 Itm 131</t>
  </si>
  <si>
    <t>THREADING CHARGES p -31 Itm 132</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</si>
  <si>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</si>
  <si>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</si>
  <si>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</si>
  <si>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</si>
  <si>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</si>
  <si>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</si>
  <si>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Power Grapping it-173</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</si>
  <si>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</si>
  <si>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</si>
  <si>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</si>
  <si>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</si>
  <si>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</si>
  <si>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</si>
  <si>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</si>
  <si>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</si>
  <si>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</si>
  <si>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</si>
  <si>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</si>
  <si>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</si>
  <si>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</si>
  <si>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</si>
  <si>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</si>
  <si>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</si>
  <si>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</si>
  <si>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</si>
  <si>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</si>
  <si>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</si>
  <si>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</si>
  <si>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</si>
  <si>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</si>
  <si>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</si>
  <si>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</si>
  <si>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</si>
  <si>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</si>
  <si>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</si>
  <si>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</si>
  <si>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</si>
  <si>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</si>
  <si>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Cost of MS sheet Part -G P-87 SR -2018-19</t>
  </si>
  <si>
    <t>25 mm dia GI 'B' class pipe p-46 it-118 -v</t>
  </si>
  <si>
    <t>1152*6</t>
  </si>
  <si>
    <t>212.5*90</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</si>
  <si>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</si>
  <si>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</si>
  <si>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</si>
  <si>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</si>
  <si>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</si>
  <si>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</si>
  <si>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</si>
  <si>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</si>
  <si>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</si>
  <si>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</si>
  <si>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</si>
  <si>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</si>
  <si>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</si>
  <si>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</si>
  <si>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</si>
  <si>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</si>
  <si>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</si>
  <si>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</si>
  <si>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</si>
  <si>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</si>
  <si>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</si>
  <si>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</si>
  <si>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</si>
  <si>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</si>
  <si>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</si>
  <si>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</si>
  <si>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</si>
  <si>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</si>
  <si>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</si>
  <si>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</si>
  <si>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</si>
  <si>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</si>
  <si>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</si>
  <si>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</si>
  <si>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</si>
  <si>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</si>
  <si>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</si>
  <si>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</si>
  <si>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</si>
  <si>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</si>
  <si>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</si>
  <si>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</si>
  <si>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</si>
  <si>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Salt (SD 233, 18-19)</t>
  </si>
  <si>
    <t>Charcoal 17-18 SD 233 (97.15/20.32 = 4.78)</t>
  </si>
  <si>
    <t>Charcoal SD 233-2018-19 (97.15/20.32 = 5.87)</t>
  </si>
  <si>
    <t>Supervision Charges @ 7.5%</t>
  </si>
  <si>
    <t>Brick partition in C.M. 1:4 using country bricks of size 22 x11x5cm 50 mm thick</t>
  </si>
  <si>
    <t>GRAND  TOTAL Rs.</t>
  </si>
  <si>
    <t>Supply and Fixing Soild UPVC door Shutter with frame</t>
  </si>
  <si>
    <t>Flush door shutter size 900x2100 ( Single leaf)</t>
  </si>
  <si>
    <t>Rate for 1.62 Sqm</t>
  </si>
  <si>
    <t>Wallputty ( one coat)</t>
  </si>
  <si>
    <t>Solid core flush door shutter with TW plain</t>
  </si>
  <si>
    <t>Supply and fixing of Prepainting G.I. Window/ Ventilator  with Grill( PWDSR-18-19)P-56 it-190</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</si>
  <si>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</si>
  <si>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</si>
  <si>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</si>
  <si>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</si>
  <si>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</si>
  <si>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</si>
  <si>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</si>
  <si>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</si>
  <si>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</si>
  <si>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</si>
  <si>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</si>
  <si>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</si>
  <si>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</si>
  <si>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</si>
  <si>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</si>
  <si>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</si>
  <si>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</si>
  <si>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</si>
  <si>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</si>
  <si>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</si>
  <si>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</si>
  <si>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</si>
  <si>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</si>
  <si>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a. 1000X2100mm.(Single leaf) For Qtrs</t>
  </si>
  <si>
    <t>TW double leaves shutter  with Brass Fittings</t>
  </si>
  <si>
    <t>BWR   single leaf</t>
  </si>
  <si>
    <t>TOTAL FOR 1.845SQM</t>
  </si>
  <si>
    <t>Supplying and filling stone dust</t>
  </si>
  <si>
    <t>P.C.C. 1:3:6  for foundation &amp; basement using 20mm metal</t>
  </si>
  <si>
    <t xml:space="preserve">RCC door </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</si>
  <si>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</si>
  <si>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</si>
  <si>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</si>
  <si>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</si>
  <si>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</si>
  <si>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</si>
  <si>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</si>
  <si>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</si>
  <si>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</si>
  <si>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</si>
  <si>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</si>
  <si>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</si>
  <si>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</si>
  <si>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</si>
  <si>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</si>
  <si>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</si>
  <si>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</si>
  <si>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</si>
  <si>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</si>
  <si>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</si>
  <si>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</si>
  <si>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</si>
  <si>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</si>
  <si>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</si>
  <si>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</si>
  <si>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</si>
  <si>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</si>
  <si>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</si>
  <si>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</si>
  <si>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</si>
  <si>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</si>
  <si>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</si>
  <si>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</si>
  <si>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</si>
  <si>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</si>
  <si>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</si>
  <si>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</si>
  <si>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</si>
  <si>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</si>
  <si>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</si>
  <si>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</si>
  <si>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</si>
  <si>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</si>
  <si>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</si>
  <si>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</si>
  <si>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</si>
  <si>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</si>
  <si>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</si>
  <si>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</si>
  <si>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</si>
  <si>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</si>
  <si>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</si>
  <si>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</si>
  <si>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</si>
  <si>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</si>
  <si>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</si>
  <si>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</si>
  <si>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</si>
  <si>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</si>
  <si>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</si>
  <si>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</si>
  <si>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</si>
  <si>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</si>
  <si>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</si>
  <si>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</si>
  <si>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</si>
  <si>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</si>
  <si>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</si>
  <si>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</si>
  <si>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</si>
  <si>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</si>
  <si>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</si>
  <si>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</si>
  <si>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</si>
  <si>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</si>
  <si>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</si>
  <si>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</si>
  <si>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</si>
  <si>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</si>
  <si>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</si>
  <si>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</si>
  <si>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</si>
  <si>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</si>
  <si>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</si>
  <si>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</si>
  <si>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</si>
  <si>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</si>
  <si>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</si>
  <si>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</si>
  <si>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</si>
  <si>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 xml:space="preserve">  DATA 2018-2019</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</si>
  <si>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</si>
  <si>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</si>
  <si>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</si>
  <si>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</si>
  <si>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</si>
  <si>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</si>
  <si>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</si>
  <si>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</si>
  <si>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</si>
  <si>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</si>
  <si>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</si>
  <si>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</si>
  <si>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</si>
  <si>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</si>
  <si>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</si>
  <si>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</si>
  <si>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</si>
  <si>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</si>
  <si>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</si>
  <si>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</si>
  <si>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</si>
  <si>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</si>
  <si>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</si>
  <si>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</si>
  <si>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</si>
  <si>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</si>
  <si>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</si>
  <si>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</si>
  <si>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</si>
  <si>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T.W SCANTLING  below 2M LONG</t>
  </si>
  <si>
    <t>LABOUR FOR WROUGHT&amp;PUTUP ( p-31 it -146</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</si>
  <si>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</si>
  <si>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</si>
  <si>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</si>
  <si>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</si>
  <si>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</si>
  <si>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</si>
  <si>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</si>
  <si>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</si>
  <si>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</si>
  <si>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</si>
  <si>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</si>
  <si>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</si>
  <si>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</si>
  <si>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</si>
  <si>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</si>
  <si>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</si>
  <si>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</si>
  <si>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</si>
  <si>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</si>
  <si>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</si>
  <si>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Vitrified Tiles flooring (Ivory)</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</si>
  <si>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</si>
  <si>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</si>
  <si>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</si>
  <si>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</si>
  <si>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</si>
  <si>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</si>
  <si>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</si>
  <si>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</si>
  <si>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</si>
  <si>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</si>
  <si>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</si>
  <si>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ROUGH STONE sl.38  p18</t>
  </si>
  <si>
    <t>BOND STONE sl.57 p18</t>
  </si>
  <si>
    <t>SAND FOR MORTAR sl.100  p20</t>
  </si>
  <si>
    <t>Kiln Burnt Country Bricks  SIZE 22x11x7Cm p-16 it-5a</t>
  </si>
  <si>
    <t>BRICK JELLY 40mmGAUGE p-17 it-17 a</t>
  </si>
  <si>
    <t>MACHINE PRESSED TILES 23x 23x 2 Cm p-17 It-20</t>
  </si>
  <si>
    <t>SLACKED SHELL LIME sl.106 p20</t>
  </si>
  <si>
    <t>SLACKED &amp;SREENED LIME STONE sl107/67</t>
  </si>
  <si>
    <t>C.W SCANTLING UPTO 4M LONG p-21 it-127</t>
  </si>
  <si>
    <t>T.W SCANTLING 2M TO 3M LONG 112/73 p-21</t>
  </si>
  <si>
    <t>T.W.SCANTLING BELOW 2M LONG 113/74 p-21</t>
  </si>
  <si>
    <t>T.W.PLANKS 15TO30cm WIDTH &amp; 12to25mm Thick it-119 p-21</t>
  </si>
  <si>
    <t>Country BricksKiln Burnt of SIZE 22x11x5Cm (7c)p-16</t>
  </si>
  <si>
    <t>MOSAIC TILES GRAY 25X25X2cm.it-30 p-17</t>
  </si>
  <si>
    <t xml:space="preserve"> Gravel p20  92/57</t>
  </si>
  <si>
    <t xml:space="preserve"> Well Gravel p20  It93/57a</t>
  </si>
  <si>
    <t>Chamber Burnt Bricks of size 23x11.2x7Cm p16/4b</t>
  </si>
  <si>
    <t>Chamber Burnt Bricks  of size 23x11.4x7.5Cmp16 /3a</t>
  </si>
  <si>
    <t>Stone dust p20 96-58a</t>
  </si>
  <si>
    <t>6mmto 10mm HBG metal p-19 it-83+84/2</t>
  </si>
  <si>
    <t>Fly Ash Bricks  it-3A/8a p-16</t>
  </si>
  <si>
    <t>LIFT CHARGES FOR B.W IN G.F  * it-94 p-29</t>
  </si>
  <si>
    <t>LIFT CHARGES FOR CONCRETE IN G.F  *it-92 p-29</t>
  </si>
  <si>
    <t>M.S. SHEET/ANGLE PER M.T p23 I-159/112</t>
  </si>
  <si>
    <t>LABOUR CHARGES FOR SPREADING  bull dozer p27 / Item68/78a</t>
  </si>
  <si>
    <t>NAHANI TRAP 63mm/75mmPVC TYP,4 way/3way p-56 it-188</t>
  </si>
  <si>
    <t>G.I. ELBOWp-51 S.No.119/ it-b</t>
  </si>
  <si>
    <t>G.I. UNIONp-51 it-A</t>
  </si>
  <si>
    <t>G.I. TEE p-51 it-D</t>
  </si>
  <si>
    <t>G.I.HEX NIPPLEp-53 it-I</t>
  </si>
  <si>
    <t>SCRAPING THE OLD PLASTER SURFACE * p30/108/338</t>
  </si>
  <si>
    <t>WASHING PLASTERED AREA WITH SOAP&amp;SODA WATER *p30/109/339</t>
  </si>
  <si>
    <t>G.M.GATE VALUE (Heavy Duty)p-53it-144</t>
  </si>
  <si>
    <t>G.M.WHEELVALUE  (Heavy Duty)p-53it-145</t>
  </si>
  <si>
    <t>G.I.REDUCER p-52 it-143F</t>
  </si>
  <si>
    <t>G.I.REDUCER  TEEp-52 it-143H</t>
  </si>
  <si>
    <t>G.I.REDUCER  ELBOW p52 it-G</t>
  </si>
  <si>
    <t>EVERITE CLAMP IRON CLAMP P-59 (Sl.No.212) (Special clamp)</t>
  </si>
  <si>
    <t>150mm AL.HANDLE WITH CP SCREWS/DOOR STOPPER (PWD LR) p-46 it-97b/82</t>
  </si>
  <si>
    <t>BRASS HEX NIPPLE15mm DIA</t>
  </si>
  <si>
    <t>BRASS HEX NIPPLE 20mm DIA</t>
  </si>
  <si>
    <t>P.V.C. SOIL SHOE 110mm DIA p-104 it -N</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</si>
  <si>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</si>
  <si>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</si>
  <si>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</si>
  <si>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</si>
  <si>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</si>
  <si>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</si>
  <si>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</si>
  <si>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</si>
  <si>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</si>
  <si>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</si>
  <si>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CUDDAPAH SLAB SINK 60X60cm,20mmT.K p -55 it-172</t>
  </si>
  <si>
    <t>WIRE MAN GR-I p-11 it-13</t>
  </si>
  <si>
    <t>Electrical HELPERp-15 it-100</t>
  </si>
  <si>
    <t>CUTTING CHARGE OF PVC pipe32mm p-32 it-129</t>
  </si>
  <si>
    <t>PVC RIGID CONDUIT PIPE 19M/20MM HEAVY DUTY WITH ISI P -127/ part  I 1b</t>
  </si>
  <si>
    <t>Thorouh scrapping (p-31 slno.112)</t>
  </si>
  <si>
    <t>T.W PLANKS (12-25 CM) (30 TO 45CM THICK) it-116 iii p-21</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</si>
  <si>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</si>
  <si>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</si>
  <si>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</si>
  <si>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CUTTING CHARGES ( P-32/141)</t>
  </si>
  <si>
    <t>rubber beeding P-45/81</t>
  </si>
  <si>
    <t>hinges 75mm x 30 mm P-45/94 b</t>
  </si>
  <si>
    <t xml:space="preserve">GALVANISIED IRON WIRE 2" x 2" using 10 gauge (of all sizes) p49/143 </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</si>
  <si>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</si>
  <si>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</si>
  <si>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</si>
  <si>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</si>
  <si>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</si>
  <si>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</si>
  <si>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</si>
  <si>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 xml:space="preserve"> Electrical Maistry ( p-13 it 59/106)</t>
  </si>
  <si>
    <t>4 sqmm copper PVC insulated unsheathed single core cable,P-123 it-2-d</t>
  </si>
  <si>
    <t>Less 4 way TPDB 32 A/way p-119, 8d</t>
  </si>
  <si>
    <t xml:space="preserve">8 SWG GI wire  (Part- E, 3 -c P-124 ) </t>
  </si>
  <si>
    <t xml:space="preserve"> 'U' nails (SD-74 ,18-19)</t>
  </si>
  <si>
    <t>GI pipe 20 mm P-50 ,118-vi</t>
  </si>
  <si>
    <t>15 mm GI pipeP-50 ,118-VII</t>
  </si>
  <si>
    <t>GI reducer 32x25mmP- 52,119 F-iii</t>
  </si>
  <si>
    <t>GI bend 15 mm diaP-51 ,119-c vi</t>
  </si>
  <si>
    <t>15 mm GI coupling P- 51,119-E vi</t>
  </si>
  <si>
    <t>Bricks p16/ 5a</t>
  </si>
  <si>
    <t>20 mm dia 'B' class GI pipe p- 50 it-142 iv</t>
  </si>
  <si>
    <r>
      <t xml:space="preserve">Clamp fixing by cheche screws bolts and nuts including connections ( </t>
    </r>
    <r>
      <rPr>
        <b/>
        <sz val="12"/>
        <rFont val="Helv"/>
      </rPr>
      <t>as per SD-114, Elec Data 2018-19)</t>
    </r>
  </si>
  <si>
    <t>4' tube light fitting with \electronic ballast p-111 it-20 c</t>
  </si>
  <si>
    <t>Brass screws 40mm p 130 L 1c</t>
  </si>
  <si>
    <t>6 sqmm copper PVC insulated unsheathed single core cable p 123 , 2  part -E</t>
  </si>
  <si>
    <t>deduct rate for 15mm dia GM wheel valve p -53 /145(v)</t>
  </si>
  <si>
    <t>11th</t>
  </si>
  <si>
    <t>i8</t>
  </si>
  <si>
    <t>4' 18w crystal glass LED tube light</t>
  </si>
  <si>
    <t>Guindy</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</si>
  <si>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</si>
  <si>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</si>
  <si>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</si>
  <si>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</si>
  <si>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</si>
  <si>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</si>
  <si>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</si>
  <si>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</si>
  <si>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</si>
  <si>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</si>
  <si>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</si>
  <si>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</si>
  <si>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Flush door shutter size 1200x2100 ( Double leaves)</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</si>
  <si>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</si>
  <si>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</si>
  <si>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</si>
  <si>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</si>
  <si>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</si>
  <si>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</si>
  <si>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32 Amps double pole main switch with fuse and neutral link [SD 143]</t>
  </si>
  <si>
    <t>T.W board of size 31 x 20x 6 cm with well varnished [SD 141]</t>
  </si>
  <si>
    <t>16 Amps triple pole main switch with fuse and neutral link [SD 161]</t>
  </si>
  <si>
    <t>TW board of size 46 x31 x 6 cm with brass hinges hooks screws  well varnished [SD 149]</t>
  </si>
  <si>
    <t>32 Amps triple pole main switch with fuse and neutral link [SD 163]</t>
  </si>
  <si>
    <t>SD 74  -  Rs.21.00 / Rmt</t>
  </si>
  <si>
    <t>7/20 GI stay wire [SD 64]</t>
  </si>
  <si>
    <t>PVC reel insulater [SD 64] [6.30/12]</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</si>
  <si>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</si>
  <si>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</si>
  <si>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</si>
  <si>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</si>
  <si>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</si>
  <si>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</si>
  <si>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</si>
  <si>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</si>
  <si>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</si>
  <si>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</si>
  <si>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</si>
  <si>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</si>
  <si>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</si>
  <si>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</si>
  <si>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</si>
  <si>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</si>
  <si>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25 W LED Street light Fittings p-114  17A/ lower end</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</si>
  <si>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</si>
  <si>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</si>
  <si>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</si>
  <si>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</si>
  <si>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</si>
  <si>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</si>
  <si>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r>
      <t>Add cost of Bakelite battern type holders 6 nos @</t>
    </r>
    <r>
      <rPr>
        <sz val="12"/>
        <color indexed="10"/>
        <rFont val="Helv"/>
      </rPr>
      <t xml:space="preserve"> 16.35/E</t>
    </r>
    <r>
      <rPr>
        <sz val="12"/>
        <rFont val="Helv"/>
      </rPr>
      <t>ach9 (New item 22-p-77)</t>
    </r>
  </si>
  <si>
    <t>Earth work excavation brick work in CM and plastering [SD 234]</t>
  </si>
  <si>
    <t>Providing Shahabad stone flooring</t>
  </si>
  <si>
    <t xml:space="preserve">Total Qty.
(Dev)
</t>
  </si>
  <si>
    <t xml:space="preserve">Total Qty.
(Building + Dev)
</t>
  </si>
  <si>
    <t>Wash Hand  Basin of size 550 x 400 mm
(White with Pedestal)</t>
  </si>
  <si>
    <t xml:space="preserve">Concrete Designer Tiles flooring </t>
  </si>
  <si>
    <t>Supply and fixing of  Bulk Head fitting suitable for  12W LED Bulb</t>
  </si>
  <si>
    <t>TAMIL NADU POLICE HOUSING CORPORATION LTD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</si>
  <si>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</si>
  <si>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</si>
  <si>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</si>
  <si>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</si>
  <si>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</si>
  <si>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</si>
  <si>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</si>
  <si>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</si>
  <si>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</si>
  <si>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</si>
  <si>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</si>
  <si>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</si>
  <si>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</si>
  <si>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</si>
  <si>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</si>
  <si>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</si>
  <si>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</si>
  <si>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</si>
  <si>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</si>
  <si>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</si>
  <si>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</si>
  <si>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a. 110 mm dia PVC bend (TWAD SR 19-20  P-19 S.No-4 )</t>
  </si>
  <si>
    <t>a. 110 mm dia PVC Equal tee(TWAD SR 19-20 P-19 S.No-9 )</t>
  </si>
  <si>
    <t>b. 160 mm dia PVC Equal tee(TWAD SR 19-20 P-19 S.No-9 )</t>
  </si>
  <si>
    <t>b. 160 mm dia PVC bend (TWAD SR 19-20 P-19 it-1.5, S.No-4 )</t>
  </si>
  <si>
    <t>Supply, fiing of 25W LED street light etc.,</t>
  </si>
  <si>
    <t>Providing Rain water Harvesting well ring of Circular shape of 90mm dia, 60cm depth using Standardised Mix design M20</t>
  </si>
  <si>
    <t>a). Providing pit (M30)</t>
  </si>
  <si>
    <t xml:space="preserve">P.C.C. 1:4:8 using 40 mm hard broken stone jelly </t>
  </si>
  <si>
    <t>TW panelled  single door shutter with brass fittings.</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</si>
  <si>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</si>
  <si>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</si>
  <si>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</si>
  <si>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</si>
  <si>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</si>
  <si>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</si>
  <si>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</si>
  <si>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</si>
  <si>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</si>
  <si>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</si>
  <si>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</si>
  <si>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</si>
  <si>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E.W (SDR) 41/67 p-23</t>
  </si>
  <si>
    <r>
      <t>FITTER-II (</t>
    </r>
    <r>
      <rPr>
        <sz val="10"/>
        <rFont val="Helv"/>
      </rPr>
      <t>Pipe &amp; Bar Bend) 16/20a p-10</t>
    </r>
  </si>
  <si>
    <r>
      <t xml:space="preserve">FITTER-I </t>
    </r>
    <r>
      <rPr>
        <sz val="10"/>
        <rFont val="Helv"/>
      </rPr>
      <t>(Pipe &amp; Bar Bend) 57/20A p-12</t>
    </r>
  </si>
  <si>
    <r>
      <t xml:space="preserve">E.W  loose soil </t>
    </r>
    <r>
      <rPr>
        <sz val="10"/>
        <rFont val="Helv"/>
      </rPr>
      <t>p-22 SS20B/38/50</t>
    </r>
  </si>
  <si>
    <t>LIFT CHARGES FOR CONCRETE IN G.F  *it-60/1 p-24</t>
  </si>
  <si>
    <t>SCRAPING THE OLD PLASTER SURFACE * p26/76/338</t>
  </si>
  <si>
    <t>2021-2022</t>
  </si>
  <si>
    <t>POLISHING STONE (average of rough, medium, fine) it-56 p-37</t>
  </si>
  <si>
    <t>Earth work lift for addl 1M p-23 it-45/77</t>
  </si>
  <si>
    <t>Labour for petty iron worksp-29 it-127/1</t>
  </si>
  <si>
    <t>LABOUR FOR CUTTING 15mm DIA   * p-26 it-85 pwd</t>
  </si>
  <si>
    <t>HIRE CHARGES FOR   POWER POLISHER -it238/p55</t>
  </si>
  <si>
    <t>ELC. CONSUMPTION CHARGES -it239/p56</t>
  </si>
  <si>
    <t>LABOUR FOR FIXING WINDOW BARS p-29 it-129</t>
  </si>
  <si>
    <t>MIXER OPERATER * p-13 S.No.80/79</t>
  </si>
  <si>
    <t>GRINDING MORTAR * 124/2 p-28</t>
  </si>
  <si>
    <t>G.I. SHEET SR156 / 114 1.6mmT.K,30cmWIDE P-19 it-132/114</t>
  </si>
  <si>
    <t>BINDING WIRE p-19 it-130/113</t>
  </si>
  <si>
    <t>RED OXIDE P-37/ it-45</t>
  </si>
  <si>
    <t>BEST GOPALVARNISH REDY MIX (PWD LR) p37 It.52</t>
  </si>
  <si>
    <t>READY MIX PAINT II ND/ IST for wood p-45 sl.145</t>
  </si>
  <si>
    <t>READY MIX PRIMER PAINT sl.144/ p50 wood primer)</t>
  </si>
  <si>
    <t>CHICKEN MESH 10X10X10G it-136/129 P-20</t>
  </si>
  <si>
    <t>WELD MESH  75X25X10G / Fly proof mesh Sl.no.133 p-20</t>
  </si>
  <si>
    <t>WELD MESH 100X100X10G S.no.135 p-20</t>
  </si>
  <si>
    <t>IWC ORIYA PAN p49/176 ( white)</t>
  </si>
  <si>
    <t>S.W.TEE 100/150mm DIA WITH ISI MARK it-208/a p-53</t>
  </si>
  <si>
    <t>S.W.PIPE 100mm DIAWITH ISI MARKit-207/a p-53</t>
  </si>
  <si>
    <t>S.W.BEND 100/150mm DIAWITH ISI MARK it-208/b p-53</t>
  </si>
  <si>
    <t>READY MIX PAINT II ND/ IST for iron it-147 p-45</t>
  </si>
  <si>
    <t>S.W.TEE 150mm DIA WITH ISI MARK it-208/a p-53</t>
  </si>
  <si>
    <t>S.W.BEND 150mm DIA p-53 it-208 b</t>
  </si>
  <si>
    <t>S.W.GULLY TRAP 150X100mm it-202 p-51</t>
  </si>
  <si>
    <t>CENTERING C.W BOARDING 40mmT.K ( Silver oakplank 40mm thick) 107/78 b p-18</t>
  </si>
  <si>
    <t>CENTERING C.W. JOIST ( Silver oak scantling)  it-101/77d p-18</t>
  </si>
  <si>
    <t>CASURINA POST 10cm TO 13cm DIA *p-19 /116b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</si>
  <si>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</si>
  <si>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</si>
  <si>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</si>
  <si>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</si>
  <si>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</si>
  <si>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</si>
  <si>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</si>
  <si>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</si>
  <si>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</si>
  <si>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</si>
  <si>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</si>
  <si>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</si>
  <si>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</si>
  <si>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</si>
  <si>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</si>
  <si>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 xml:space="preserve"> 15mmDIA p-45 it-154 </t>
  </si>
  <si>
    <t>G.I. BEND p-46  S.No-155 it-c</t>
  </si>
  <si>
    <t xml:space="preserve"> 65mm DIA TWAD 2020-2021 p43</t>
  </si>
  <si>
    <t>G.I.COUPLERp-47 it-e</t>
  </si>
  <si>
    <t xml:space="preserve"> 65mm DIA TWAD p 43</t>
  </si>
  <si>
    <t>E.W.EXCAVATION SS 20B AS PER SR ITEM 61,62 * P-22</t>
  </si>
  <si>
    <t>LIFT CHARGES FOR B.W IN G.F  * it-62/1 p-25</t>
  </si>
  <si>
    <t>HBSJ 11.2mm IRC metal (High W ay SR 21-22)</t>
  </si>
  <si>
    <t>JOINT it-252 b p-58</t>
  </si>
  <si>
    <t>C.I.STEEPS(5Kg)p57</t>
  </si>
  <si>
    <t>BRASS TAP 15mm / 12 mm dia (HEAVY) p - 48 it-158</t>
  </si>
  <si>
    <t>CERAMIC-FLOOR TILES WHITE/PLAINCOLOUR-6MM tk (PWD LR) p34 it 5i (33.8/0.093025)</t>
  </si>
  <si>
    <r>
      <t xml:space="preserve">Glazed-WALL TILES PLAINCOLOUR-6MM T.K (PWD LR) 100x200x6mm 
</t>
    </r>
    <r>
      <rPr>
        <b/>
        <sz val="12"/>
        <rFont val="Helv"/>
      </rPr>
      <t>item no. 11(ii)</t>
    </r>
  </si>
  <si>
    <t>TARRED HEMP YARN p- 53 /210</t>
  </si>
  <si>
    <t>WHITE / Colour CEMENT (PWD LR) average p-35 it24+25/2</t>
  </si>
  <si>
    <t>WHITE CEMENT (PWD LR) p-35 /24</t>
  </si>
  <si>
    <t>COLOUR CEMENT (PWD LR)p-35/25</t>
  </si>
  <si>
    <t>E.W.C. WITH S  TRAP it-177( 1)p-49</t>
  </si>
  <si>
    <t>WASH BASIN 480x400mm without pedastal it-184 p-50</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</si>
  <si>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</si>
  <si>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</si>
  <si>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</si>
  <si>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</si>
  <si>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</si>
  <si>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M.S.WINDOW GRILLS / Special extruded sections for Steel Windows *p20/131</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</si>
  <si>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</si>
  <si>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</si>
  <si>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</si>
  <si>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</si>
  <si>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</si>
  <si>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SINTEX WATER TANK OF 750 LIT it-180 p-50</t>
  </si>
  <si>
    <t>POISHED CUDDAPAH SLAB 20mm/40 mm THICK WELL POISHED  p-17 it-74/75</t>
  </si>
  <si>
    <t>CUDDAPAH SLAB SINK 60X45cm,20mmT.K p -50 it-186</t>
  </si>
  <si>
    <t>GRANITE SLAB 20mm THICK OF BEST QUALITY Synthetic Grey, p-36</t>
  </si>
  <si>
    <t>Flat back urinal WITH ALL ACCESSORIES (white)p-50 it-189</t>
  </si>
  <si>
    <t>FOR DOORS OF ALL SIZE (Qtn. For syntex.) Hollow p43 128a</t>
  </si>
  <si>
    <t>Brass screw p-55 it-228</t>
  </si>
  <si>
    <t xml:space="preserve"> ORNAMENTAL; HANDLE WITH SCREWS(100mm)p41 it-108c </t>
  </si>
  <si>
    <t>BEST VARNISH p37/52</t>
  </si>
  <si>
    <t>RATE AS PER  PWD LR For Window  p 38/ it 82</t>
  </si>
  <si>
    <t>Steel grill for Verandah Enclousure PWD SR p20/ Item 138/131</t>
  </si>
  <si>
    <t>Casurina props 5 to 8cm dia p19 / It- 118 d</t>
  </si>
  <si>
    <t>CW reepers 50x25 cm it-109 p-18</t>
  </si>
  <si>
    <t>PVC WATER TANK OF 700 LITRE CAPACITY p50 /180</t>
  </si>
  <si>
    <t>CI MANHOLE COVER 60CMX60CMX50KG p-55/234</t>
  </si>
  <si>
    <t>Brass Tap with ISI Mark p48/158</t>
  </si>
  <si>
    <t>1.5 sqmm copper PVC insulated unsheathed single core cable (P-125 it-2/b)</t>
  </si>
  <si>
    <t>PVC rigid conduit pipe 19 mm / 20mm heavy duty with ISI mark p-128 part -I IX-1 b</t>
  </si>
  <si>
    <t>19 mm PVC rigid bends - p-128 part -I IX-2b</t>
  </si>
  <si>
    <t>19 mm PVC rigid tees (p-129 4b, 15.30/12=1.14)</t>
  </si>
  <si>
    <t>MS joint box 150 x 100 x 75 mm p-126 vi-b part -f</t>
  </si>
  <si>
    <t>Hylem sheet 3 mm thick with lamination p-130 it-7a part-I</t>
  </si>
  <si>
    <t>5 amps flush type switch p-118, Part-C,1 a ( 192.6/12=16.05)</t>
  </si>
  <si>
    <t>Ceiling rose p-116 it-27</t>
  </si>
  <si>
    <t>19 mm PVC junction box  ( p-129,6-b( 41.20/12=3.43)</t>
  </si>
  <si>
    <t>Wiremen Grade  - I ( p-10 it-100)</t>
  </si>
  <si>
    <t>Add cost of Bakelite battern type holders 10 Nos @ Rs 16.50 / Each p-116,  it-25</t>
  </si>
  <si>
    <t>Add the cost of 10 Nos Buzer/Bell @ 41.30/Each it-31a p-116</t>
  </si>
  <si>
    <t>Add the cost of 10 nos  15 x 10 x 7.5 cm TW box @ Rs 16.50/Each p-130,  X-c part -j</t>
  </si>
  <si>
    <t>MS box  200 x 150 x 75 mm  part-  F 1c p-126</t>
  </si>
  <si>
    <t>5 A flush type two way switches ( Staircase switch )part c-b p-118</t>
  </si>
  <si>
    <t>5 A 5 pin non - inter locking switch and plug ( flush type ) part - c (I a) + part - d (I a)( Rs. 192.60/12 + 23.90) p-118 +123 part d a</t>
  </si>
  <si>
    <t>15 Amps 3 pin flush type plug socket Part-D1 b p-123</t>
  </si>
  <si>
    <r>
      <t>Add cost of Bakelite battern type holders 6 nos @</t>
    </r>
    <r>
      <rPr>
        <sz val="12"/>
        <color indexed="10"/>
        <rFont val="Helv"/>
      </rPr>
      <t xml:space="preserve"> 16.50/E</t>
    </r>
    <r>
      <rPr>
        <sz val="12"/>
        <rFont val="Helv"/>
      </rPr>
      <t>ach9 (New item 24-p-114)</t>
    </r>
  </si>
  <si>
    <t>Add 180 mt 2.5 Sqmm copper PVC insulated unsheathed S.C. cable p-125, it- 2 c</t>
  </si>
  <si>
    <t>4 sqmm copper PVC insulated unsheathed single core cable,P-125 it-2-d</t>
  </si>
  <si>
    <t>25mm dia rigid PVC pipe heavy duty with ISI heavy duty with ISI mark part -I 1c P-128, Part -I</t>
  </si>
  <si>
    <t>( 1.5  x 10421) - ( (1608+2224 ) / 2)</t>
  </si>
  <si>
    <t>Bulk head fittings P-116 it-26</t>
  </si>
  <si>
    <t>4 way 16 amps, way 250 volts single phase and neutral link metalic distribution board p-120 7a</t>
  </si>
  <si>
    <t>Three phase distribution board with 4 way/phase and 32 A / Way with fuse and neutral link. P120  8d</t>
  </si>
  <si>
    <t>TW plank of size 750 x 450 x 12 mm thick(91300+11800) p-20+P-31 it-143 labour charge</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</si>
  <si>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</si>
  <si>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</si>
  <si>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</si>
  <si>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</si>
  <si>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</si>
  <si>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</si>
  <si>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</si>
  <si>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</si>
  <si>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</si>
  <si>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</si>
  <si>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</si>
  <si>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</si>
  <si>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</si>
  <si>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</si>
  <si>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</si>
  <si>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</si>
  <si>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</si>
  <si>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</si>
  <si>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</si>
  <si>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</si>
  <si>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</si>
  <si>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</si>
  <si>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</si>
  <si>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</si>
  <si>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</si>
  <si>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</si>
  <si>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</si>
  <si>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</si>
  <si>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</si>
  <si>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</si>
  <si>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</si>
  <si>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</si>
  <si>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</si>
  <si>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</si>
  <si>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</si>
  <si>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</si>
  <si>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</si>
  <si>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</si>
  <si>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</si>
  <si>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</si>
  <si>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</si>
  <si>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</si>
  <si>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Hylem sheet 0.60 Sq m@ 630/Sq m p-130  ,7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</si>
  <si>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</si>
  <si>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</si>
  <si>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</si>
  <si>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</si>
  <si>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</si>
  <si>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</si>
  <si>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</si>
  <si>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</si>
  <si>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</si>
  <si>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19 mm PVC saddles / p 129 ,  5  b</t>
  </si>
  <si>
    <t>6 sqmm copper PVC insulated unsheathed single core cable p 125 , 2  part -E</t>
  </si>
  <si>
    <t>4 sqmm copper PVC insulated unsheathed single core cable for continuous earth connectionp  P-125 2 d</t>
  </si>
  <si>
    <t xml:space="preserve"> 4"X5/8"ALU.TOWER BOLT p -40/i 95f </t>
  </si>
  <si>
    <t>4 sqmm copper PVC insulated unsheathed single core cable for continuous earth connectionp-</t>
  </si>
  <si>
    <t>10 sqmm copper PVC insulated unsheathed single core cable (P-125  it-2-f part-F)</t>
  </si>
  <si>
    <t>6 sqmm copper PVC insulated unsheathed single core cable for continuous earth connectionp</t>
  </si>
  <si>
    <t>4 way 7 segment 3 tier compartmental type MCB DB [SR P.138]</t>
  </si>
  <si>
    <t>63A TPN 10 KA MCB [SR P.133]</t>
  </si>
  <si>
    <t>40A DP 30MA ELCB [SR P.133]</t>
  </si>
  <si>
    <t>PVC RIGID CONDUIT PIPE 19M/20MM HEAVY DUTY WITH ISI P -128/ part  I 1b</t>
  </si>
  <si>
    <t>Barbed wire 10 gauge 2 ply and four pronged ( Galvanised) it-133 p-44</t>
  </si>
  <si>
    <t>Casurina Props 10 to 13 m dia @ 75m c/c cost for 1 
operation 25.20/5=5.040 p-19 it-116/b</t>
  </si>
  <si>
    <t>A.C. sheet 6mm thick p -38 /78</t>
  </si>
  <si>
    <t>Adjustable ridges p-38 it-80</t>
  </si>
  <si>
    <t>U' bolts and nuts p-38 it-81</t>
  </si>
  <si>
    <t>Squat urinal including all accesseries (LSR new Item -4)p -55/i225</t>
  </si>
  <si>
    <t>COST OF Shahabad stone grey colour (Polished Shahabad stone 20mm thick with machine cut edges of size 2' x 2' below) p -36/ 34</t>
  </si>
  <si>
    <t>T.W PLANKS (30-45 CM) (12 TO 25CM THICK) p-17 it-86</t>
  </si>
  <si>
    <t>RUBBER BUSH (p-41/111)</t>
  </si>
  <si>
    <t>DOOR STOPPER (p41/110)</t>
  </si>
  <si>
    <t xml:space="preserve">L.C Wrought and put up in Flush shutter </t>
  </si>
  <si>
    <t>Double leaves</t>
  </si>
  <si>
    <t>Single leave</t>
  </si>
  <si>
    <t xml:space="preserve">LABOUR FOR WROUGHT&amp;PUTUP p 28/116 a single </t>
  </si>
  <si>
    <t xml:space="preserve"> it-110 p-41</t>
  </si>
  <si>
    <t>LABOUR CHARGE FOR SHUTTER (Double leaf) p/28 /116 b</t>
  </si>
  <si>
    <t>50 mm dia PVC (SWR) pipe ( qtn) (p-99)</t>
  </si>
  <si>
    <t>with 32mm GI waste pipe and 32mm CP waste coupling it-187 p-50</t>
  </si>
  <si>
    <t>Supply and fixing of Mirror of size 600x450mm size (p-51-it-200)</t>
  </si>
  <si>
    <t>Supply and fixing of Mirror of size500x400mm size (p-51 it-200 -ii)</t>
  </si>
  <si>
    <t>10 lit. capacity. P- 49 / 179a</t>
  </si>
  <si>
    <t>Thorough scrapping -iron</t>
  </si>
  <si>
    <t>Thorough scrapping -wood</t>
  </si>
  <si>
    <t>Thorouh scrapping (p-26 slno.357 d)</t>
  </si>
  <si>
    <t>Clean removal of cement plaster from walls and racking out joints 20mm deep</t>
  </si>
  <si>
    <t>Removal of old cement mortor racking out joints 20mm deep p-26/75/321</t>
  </si>
  <si>
    <t>OBD p-45 sl.140</t>
  </si>
  <si>
    <t>Plastic Emulsion PAINT  (LMR item 113) p-45 143( First qty</t>
  </si>
  <si>
    <t>Primer     (LMR item 142) p45</t>
  </si>
  <si>
    <t>Solid core flush door shutter with TW palin -it-121 p-42</t>
  </si>
  <si>
    <t>L.C Wrought and put up T.W Window</t>
  </si>
  <si>
    <t xml:space="preserve"> Cost of Colour Marble chips ( 90.20/0.0354)=2548.02 (P-35 it-26 )</t>
  </si>
  <si>
    <t>Cost of UPVC SN8 Pipe (TWAD SR 2020-21 P-20 1.2 1)</t>
  </si>
  <si>
    <t>Cost of UPVC SN8 Pipe (TWAD SR 20-21 P-20 1.2 a /3)</t>
  </si>
  <si>
    <t>Country wood reeper (50 x 25 mm p-18 s.no.109)</t>
  </si>
  <si>
    <t>Melamin Polish  (P-45/148)</t>
  </si>
  <si>
    <t>PATTY  (p-45/151)</t>
  </si>
  <si>
    <t>White wall putty powder</t>
  </si>
  <si>
    <t>Aluminium section 'it- 84 a/p38</t>
  </si>
  <si>
    <t xml:space="preserve"> BRASS SCREWS ( 30x6mm)(An-VI -it-228 p-55</t>
  </si>
  <si>
    <t xml:space="preserve"> BRASS SCREWS (75x 10mm)(An-VI -it-229</t>
  </si>
  <si>
    <r>
      <t xml:space="preserve">COST OF Eurocon TILES </t>
    </r>
    <r>
      <rPr>
        <b/>
        <sz val="12"/>
        <rFont val="Helv"/>
      </rPr>
      <t>(pwd -p 35/17</t>
    </r>
  </si>
  <si>
    <t>COST OF   nano polish Vitified TILES (LSR New It-1) p-35 it-14</t>
  </si>
  <si>
    <r>
      <t xml:space="preserve">Granite slab </t>
    </r>
    <r>
      <rPr>
        <b/>
        <sz val="12"/>
        <color indexed="10"/>
        <rFont val="Helv"/>
      </rPr>
      <t>(Ruby red) P-36 it-29b</t>
    </r>
  </si>
  <si>
    <t>15cm dia casurina poles p -19 /115a.</t>
  </si>
  <si>
    <t>Country wood planks p -18 /107</t>
  </si>
  <si>
    <t>Aluminium section (p-38/84a)</t>
  </si>
  <si>
    <t xml:space="preserve"> 40MM DIA UPVC PIPE ABOVE G.L:-</t>
  </si>
  <si>
    <t xml:space="preserve">LAYING JOINTING INCLUDING </t>
  </si>
  <si>
    <t>ALIGNING (Twad-2020-21/255)</t>
  </si>
  <si>
    <t>CUTTING CHARGES p -26 Itm 93</t>
  </si>
  <si>
    <t>THREADING CHARGES p- 26 Itm 93</t>
  </si>
  <si>
    <r>
      <t xml:space="preserve">250mmDIA S.W.PIPE WITH ISI MARK ( it-13.0/4 </t>
    </r>
    <r>
      <rPr>
        <b/>
        <sz val="12"/>
        <rFont val="Helv"/>
      </rPr>
      <t>of twad20-21 spl I CLASS )</t>
    </r>
  </si>
  <si>
    <t>Providing rajasthan kota stone slabs of of 20mm thick with machine cut edges of size below in C.M 1:3 p-36 sl.36</t>
  </si>
  <si>
    <t>10"X1/2"TOWER BOLT p40 103c</t>
  </si>
  <si>
    <t>12"X5/8"ALDROP p -41 105a</t>
  </si>
  <si>
    <t>RUBBERBUSH 40 DIA &amp; 60 MM LONG  p -41 sl.111</t>
  </si>
  <si>
    <t>Alu. DOOR STOPPER p41 110</t>
  </si>
  <si>
    <t>5.5 MM THICK PLAIN GLASS p44 sl.137</t>
  </si>
  <si>
    <t>T.W. beeding 15mm x 12 mm p42 113a</t>
  </si>
  <si>
    <r>
      <t xml:space="preserve">TW glazed door </t>
    </r>
    <r>
      <rPr>
        <sz val="10"/>
        <rFont val="Helv"/>
      </rPr>
      <t>106/4 p-27</t>
    </r>
  </si>
  <si>
    <t>1mm thick laminated sheet [SR P.55]</t>
  </si>
  <si>
    <t>Fevicol [SR P.39]</t>
  </si>
  <si>
    <t>Nails [SR P.42]</t>
  </si>
  <si>
    <t>Plasticizer / Super Plasticizer P-67/270</t>
  </si>
  <si>
    <r>
      <t xml:space="preserve">Granite slab </t>
    </r>
    <r>
      <rPr>
        <b/>
        <sz val="12"/>
        <rFont val="Helv"/>
      </rPr>
      <t>(Ruby red) P-36 it-29 b</t>
    </r>
  </si>
  <si>
    <r>
      <t xml:space="preserve">Granite slab </t>
    </r>
    <r>
      <rPr>
        <b/>
        <sz val="12"/>
        <rFont val="Helv"/>
      </rPr>
      <t>( Jet Black) P-36 it-29 a</t>
    </r>
  </si>
  <si>
    <t>COST OF CERAMIC FLOOR TILES p-34 it-7 a</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</si>
  <si>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</si>
  <si>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</si>
  <si>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</si>
  <si>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</si>
  <si>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</si>
  <si>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</si>
  <si>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</si>
  <si>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</si>
  <si>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Granite slab ( Jet Black) p-36 it-29a</t>
  </si>
  <si>
    <t>COST OF granite FLOOR TILES, (p-36/29c)
gray</t>
  </si>
  <si>
    <t>COST OF granite FLOOR TILES, 
Ruby Red  p-36 28b</t>
  </si>
  <si>
    <t>Shellac p-49/168</t>
  </si>
  <si>
    <t>Thread ball p-49/173</t>
  </si>
  <si>
    <t>Granite slab ( Jet Black) p-35 it-28 a</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</si>
  <si>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</si>
  <si>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</si>
  <si>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</si>
  <si>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</si>
  <si>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</si>
  <si>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</si>
  <si>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</si>
  <si>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</si>
  <si>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</si>
  <si>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</si>
  <si>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</si>
  <si>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</si>
  <si>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</si>
  <si>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</si>
  <si>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</si>
  <si>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</si>
  <si>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</si>
  <si>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</si>
  <si>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</si>
  <si>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</si>
  <si>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 ORNAMENTAL; HANDLE WITH SCREWS(100mm)p46 it-98c </t>
  </si>
  <si>
    <t xml:space="preserve">LOCKS &amp;KEY </t>
  </si>
  <si>
    <t>Two coat of enamel paint</t>
  </si>
  <si>
    <t>Providing Rain Water Harvesting well ring circular shape of 90cm dia, 60cm depth,50mm thick using m30 grade concrete including steel fabrication.</t>
  </si>
  <si>
    <t>M30 grade concrete</t>
  </si>
  <si>
    <t>Steel fabrication</t>
  </si>
  <si>
    <t>Providing nosing to the edges of Granite slab
Double Nosing PWD SRP-36</t>
  </si>
  <si>
    <t>Supply and fixing of 9 watts  LED bulb  
PWD SR P-115</t>
  </si>
  <si>
    <t>Supply and fixing of 4' 18 watts  LED  Tube Light
PWD SR P-114</t>
  </si>
  <si>
    <t>Amount
2021-2022</t>
  </si>
  <si>
    <t>Add the cost of 10 nos 5A type push switch @ Rs16.5/ Each</t>
  </si>
  <si>
    <t>Compound wall</t>
  </si>
  <si>
    <t>Supplying and filling with 3 to 10mm HBG Metal</t>
  </si>
  <si>
    <t xml:space="preserve">Supplying and Laying of inter locking paver block stone 83 mm  tk over base layer sand filling including cost of materials laying and hammering charges etc. </t>
  </si>
  <si>
    <t>Lakhs</t>
  </si>
  <si>
    <t>Unforseen item @ 2.5%</t>
  </si>
  <si>
    <t>GST @ 12 %</t>
  </si>
  <si>
    <t xml:space="preserve">TAMILNADU POLICE HOUSING CORPORATION LIMITED, MADURAI DIVISION </t>
  </si>
  <si>
    <t>Detailed Estimate</t>
  </si>
  <si>
    <t>Description of work</t>
  </si>
  <si>
    <t>Length</t>
  </si>
  <si>
    <t>Sl.No</t>
  </si>
  <si>
    <t>Toilet</t>
  </si>
  <si>
    <t>D.Toilet passage area</t>
  </si>
  <si>
    <t>C.Washbasin area</t>
  </si>
  <si>
    <t xml:space="preserve"> Cleaning the anti skid flooring using cleaning acid washing soda and remove the dirts, dust, light soil waste and retaining the existing surface , redoing the tiles joints packing with grout etc complete in all respects</t>
  </si>
  <si>
    <t>Remarks.</t>
  </si>
  <si>
    <t xml:space="preserve">Description </t>
  </si>
  <si>
    <t>SI.no</t>
  </si>
  <si>
    <t>COMPARATIVE STATEMENT.</t>
  </si>
  <si>
    <t>N/W: Providing bath room tiles cleaning work temp PRS building at AR Campus in Dindigul Dist</t>
  </si>
  <si>
    <t>TNPHC LTD / MADURAI DIVISION / DINDIGUL SUB-DIVISION .</t>
  </si>
  <si>
    <t>B.Bath room area</t>
  </si>
  <si>
    <t>A. WC area</t>
  </si>
  <si>
    <t>M/S.Rajaraam Enterprises</t>
  </si>
  <si>
    <t>M/S.Abuthaheer Enterprises</t>
  </si>
  <si>
    <t>M/S.Jeyaveerar Enterprises</t>
  </si>
  <si>
    <t>Amoung the above three sealed Quotations the lowest rate quoted by M/S.Rajaraam Enterprises / Dindigul  may be approved by competant authority</t>
  </si>
  <si>
    <t>Pump room</t>
  </si>
  <si>
    <t>Varataru</t>
  </si>
  <si>
    <t>Kuthirayaru</t>
  </si>
  <si>
    <t>Pappampatti</t>
  </si>
  <si>
    <t>DETAILED ESTIMATE</t>
  </si>
  <si>
    <t>L</t>
  </si>
  <si>
    <t>D</t>
  </si>
  <si>
    <t>Head room</t>
  </si>
  <si>
    <t>Do</t>
  </si>
  <si>
    <t>W</t>
  </si>
  <si>
    <t>WC</t>
  </si>
  <si>
    <t>Passage</t>
  </si>
  <si>
    <t>Wc</t>
  </si>
  <si>
    <t>S/C</t>
  </si>
  <si>
    <t>Karuthamalai</t>
  </si>
  <si>
    <t>NCM  M-Sand unit,Shanmugasundarapuram village,Aundipatty taluk.</t>
  </si>
  <si>
    <t>Each/ SOR 21-22 P.134</t>
  </si>
  <si>
    <t>Supplying and fixing of rotary switch  etc.,</t>
  </si>
  <si>
    <t>Each/ SOR 21-22 P.119</t>
  </si>
  <si>
    <t>Supplying and fixing of single pole to 32 A 10 KA MCB's etc.,</t>
  </si>
  <si>
    <t>Supplying and fixing of  4 pole 40 amps 30ml ELCB etc.,</t>
  </si>
  <si>
    <t>Supplying and Fixing of Power shell double door TPN sheet enclosers</t>
  </si>
  <si>
    <t>Supplying and fixing of three phase DB box hylin sheet steel encloser with detabased gland plates for flush/surface mounting with bus bar neutral lines and earth bus bar ( without Mcb's ) etc.,</t>
  </si>
  <si>
    <t>f. 50mm dia Coupling</t>
  </si>
  <si>
    <t xml:space="preserve">e. 50mm dia Bend </t>
  </si>
  <si>
    <t>TWAD 20-21</t>
  </si>
  <si>
    <t>Supplying and delivery of GI specials of approved brand confirming to IS specification</t>
  </si>
  <si>
    <t>PWD SR 2020-21 P.No: 51</t>
  </si>
  <si>
    <t>Supplying and fixing of 50mm dia G.I pipe of approved brand with ISI mark</t>
  </si>
  <si>
    <t>PWD SR 2021-22 P.No:125</t>
  </si>
  <si>
    <t>Supply and fixing of brass cable gland suitable for 3.5 core 35 Sq.mm with earth strips around the cable termination with crimping of terminals with lugs etc (for Incoming Cable)</t>
  </si>
  <si>
    <t>PWD SR 2021-22 P.No:124</t>
  </si>
  <si>
    <t>B) 3.5 core 35mm sqmm LT UG cable</t>
  </si>
  <si>
    <t>Supplying and Laying of specified aluminium LT UG Cable on Below Ground Level and above level to be at a depth of 0.75 m put in 0.15 m layer of sand and covering the cable completely with bricks and sand refilling the earth to good including cost of all materials and labour charges etc.,</t>
  </si>
  <si>
    <t>b) 6" letters.</t>
  </si>
  <si>
    <t>a) 9" feet letters.</t>
  </si>
  <si>
    <t>Supplying and fixing of aluminium diecast letters of size etc.,</t>
  </si>
  <si>
    <t>Moulding and fixing of aluminium Diecast TNPHC Logo Emblem as directed</t>
  </si>
  <si>
    <t>Numbering And Lettering</t>
  </si>
  <si>
    <t>Labour charge for laying of G.I pipe and PVC pipe below ground level</t>
  </si>
  <si>
    <t>25 mm dia G.I coupling</t>
  </si>
  <si>
    <t>k) 32 mm dia G.I hex nipple.</t>
  </si>
  <si>
    <t>j) 32 mm dia G.I elbow</t>
  </si>
  <si>
    <t xml:space="preserve">i) 32 mm G.I Union </t>
  </si>
  <si>
    <t xml:space="preserve">h) 50 mm dia G.I Tee </t>
  </si>
  <si>
    <t>g) 50 mm dia G.I foot valve with stainer.</t>
  </si>
  <si>
    <t>f) 50 mm dia G.I hex nipple.</t>
  </si>
  <si>
    <t>e) 50 mm dia G.I union.</t>
  </si>
  <si>
    <t>d) 50 mm dia non return valve.</t>
  </si>
  <si>
    <t>c) 50 mm dia G.I gate valve.</t>
  </si>
  <si>
    <t>b) 50 mm dia coupling.</t>
  </si>
  <si>
    <t>a) 50mmX40 mm G.I, Tee</t>
  </si>
  <si>
    <t>Supply and delivery of following dia G.I specials.</t>
  </si>
  <si>
    <t>b)32 mm dia PVC Pipe</t>
  </si>
  <si>
    <t>a) 50 mm dia (inner) PVC pipe.</t>
  </si>
  <si>
    <t>Supplying and delivery of PVC pipe 10 kg /cm2</t>
  </si>
  <si>
    <t>b) 40 mm dia G.I pipe.</t>
  </si>
  <si>
    <t>a) 25 mm dia G.I pipe.</t>
  </si>
  <si>
    <t>Supply and delivery of the following dia G.I pipe.' B' class of approved brand.</t>
  </si>
  <si>
    <t>Supplying and delivery of UPVC pipe 32 mm dia of approved brand.</t>
  </si>
  <si>
    <t>Supply and delivery of 4 sqmm. 3core flat cable for submersible pumpset.</t>
  </si>
  <si>
    <t>Nos/sor 21-22</t>
  </si>
  <si>
    <t>Supplying and fixing of 5HP panel board for submersible pumpsets.</t>
  </si>
  <si>
    <t xml:space="preserve">Lobour charges for errection of 5HP submersible pumpsets at bore well etc,.complete.  </t>
  </si>
  <si>
    <t>Supply and delivery of 5HP submersible  pumpset 50 stages at bore well (three phase).(Duty 50X175)</t>
  </si>
  <si>
    <t xml:space="preserve">Lobour charges for errection of 2HP monoblock pumpsets including bed block fixing in position etc,.complete.  </t>
  </si>
  <si>
    <t>Supplying and fixing of Dol starter confirming to I.S specification.</t>
  </si>
  <si>
    <t>Supply and delivery of 2HP monoblock pumpset three phase circuit unit of approved brand including accessoring.(Duty 450X20)</t>
  </si>
  <si>
    <t>Supplying and fixing of 150 mm dia Bore End cap</t>
  </si>
  <si>
    <t>Supplyng and  laying   of 150 mm dia casing  pvc pipe of 6kg/cm2 as approved including labour charges for errection etc.,</t>
  </si>
  <si>
    <t>Drilling of bore well to a size of 150 mm dia to the required depth as directed including cost Rig,fuel etc.complete.</t>
  </si>
  <si>
    <t>Dev Work</t>
  </si>
  <si>
    <t xml:space="preserve">Supplying and laying Rubber Moulded Hydraulic Pressed Paver Block 83mm thick including labour charges for laying etc </t>
  </si>
  <si>
    <t>Supply and filling of 3 to 10 mm HBSJ</t>
  </si>
  <si>
    <t>UG Cable</t>
  </si>
  <si>
    <t>External Water supply</t>
  </si>
  <si>
    <t>Sullage Drain</t>
  </si>
  <si>
    <t>Paver Block Road</t>
  </si>
  <si>
    <t xml:space="preserve">Plinth Protection </t>
  </si>
  <si>
    <t>Sump</t>
  </si>
  <si>
    <t>Septic Tank</t>
  </si>
  <si>
    <t>Main Building</t>
  </si>
  <si>
    <t>N/W : Construction of District office building for Tamilnadu Pollution Control Board at Theni in Theni district.</t>
  </si>
  <si>
    <t>STILT, GROUND FLOOR &amp; FIRST FLOOR</t>
  </si>
  <si>
    <t xml:space="preserve">DESCRIPTION </t>
  </si>
  <si>
    <t>Earth work excavation for foundation</t>
  </si>
  <si>
    <t>0 to 2 m depth</t>
  </si>
  <si>
    <t xml:space="preserve">F1 - Footing </t>
  </si>
  <si>
    <t>Footing Security</t>
  </si>
  <si>
    <t xml:space="preserve">F2 - Footing </t>
  </si>
  <si>
    <t xml:space="preserve">F3 - Footing </t>
  </si>
  <si>
    <t xml:space="preserve">F4 - Footing </t>
  </si>
  <si>
    <t xml:space="preserve">F5 - Footing </t>
  </si>
  <si>
    <t xml:space="preserve">F6 - Footing </t>
  </si>
  <si>
    <t>Grade beam</t>
  </si>
  <si>
    <t>EB room, driver room &amp; parking area - long beam</t>
  </si>
  <si>
    <t>cross beams</t>
  </si>
  <si>
    <t>stair area long beam</t>
  </si>
  <si>
    <t>stair area cross beam</t>
  </si>
  <si>
    <t>arch beam inner</t>
  </si>
  <si>
    <t>arch beam outer</t>
  </si>
  <si>
    <t>lobby front wall</t>
  </si>
  <si>
    <t>lobby cross walls</t>
  </si>
  <si>
    <t>lobby cross walls inner</t>
  </si>
  <si>
    <t>security room all round</t>
  </si>
  <si>
    <t xml:space="preserve">I/C </t>
  </si>
  <si>
    <t>Deduction</t>
  </si>
  <si>
    <t xml:space="preserve"> cum</t>
  </si>
  <si>
    <t xml:space="preserve">Sand filling </t>
  </si>
  <si>
    <t>conference, reception area</t>
  </si>
  <si>
    <t>lobby triangular portion</t>
  </si>
  <si>
    <t>EB room, driver room, parking &amp; toilet area</t>
  </si>
  <si>
    <t>stair area sector portion</t>
  </si>
  <si>
    <r>
      <t>(9.26)</t>
    </r>
    <r>
      <rPr>
        <vertAlign val="superscript"/>
        <sz val="11"/>
        <color indexed="8"/>
        <rFont val="Cambria"/>
        <family val="1"/>
      </rPr>
      <t>2</t>
    </r>
  </si>
  <si>
    <t>verandah in front of lobby</t>
  </si>
  <si>
    <t>verandah in front of conference hall</t>
  </si>
  <si>
    <t>security room</t>
  </si>
  <si>
    <t>2.1.1</t>
  </si>
  <si>
    <t>Supply and filling with gravel</t>
  </si>
  <si>
    <t>PCC 1:5:10</t>
  </si>
  <si>
    <t>Column footing</t>
  </si>
  <si>
    <t>Conference hall &amp; recception long beam</t>
  </si>
  <si>
    <t>Conference hall &amp; recception cross beams</t>
  </si>
  <si>
    <t>C1</t>
  </si>
  <si>
    <t>C2</t>
  </si>
  <si>
    <t>C3</t>
  </si>
  <si>
    <t>C4</t>
  </si>
  <si>
    <t>Footing- security room</t>
  </si>
  <si>
    <t>RCC 1:2:4, 20mm HBSJ , Foundation and Basement</t>
  </si>
  <si>
    <t>Column up to grade beam</t>
  </si>
  <si>
    <t>F1C1</t>
  </si>
  <si>
    <t>F2C1</t>
  </si>
  <si>
    <t>F2C2</t>
  </si>
  <si>
    <t>F3C1</t>
  </si>
  <si>
    <t>F3C2</t>
  </si>
  <si>
    <t>F4C3</t>
  </si>
  <si>
    <t>F5-C4</t>
  </si>
  <si>
    <t>F6C1</t>
  </si>
  <si>
    <t>F6C3</t>
  </si>
  <si>
    <t>Column up to plinth beam &amp; brick on edge</t>
  </si>
  <si>
    <t>Security Column</t>
  </si>
  <si>
    <t>Plinth beam</t>
  </si>
  <si>
    <t>conference hall all round</t>
  </si>
  <si>
    <t>reception, pantry &amp; toilet allround</t>
  </si>
  <si>
    <t>vertical wall b/w reception &amp; pantry</t>
  </si>
  <si>
    <t>cross wall in pantry &amp; toilet</t>
  </si>
  <si>
    <t>stair sector long wall</t>
  </si>
  <si>
    <t>lift allround upto brickon edge</t>
  </si>
  <si>
    <t>gents toilet front wall</t>
  </si>
  <si>
    <t>gents toilet rear wall</t>
  </si>
  <si>
    <t>gents toilet cross wall</t>
  </si>
  <si>
    <t>driver room 3 sides</t>
  </si>
  <si>
    <t>EB room all round</t>
  </si>
  <si>
    <t>security all round</t>
  </si>
  <si>
    <t>long wall btwn EB &amp; driver room</t>
  </si>
  <si>
    <t xml:space="preserve">Stair toe beam </t>
  </si>
  <si>
    <t>entrance steps long &amp; cross first step</t>
  </si>
  <si>
    <t>second step</t>
  </si>
  <si>
    <t>third step</t>
  </si>
  <si>
    <t>security room step</t>
  </si>
  <si>
    <t>Deductions</t>
  </si>
  <si>
    <t>Brick on edge</t>
  </si>
  <si>
    <t>i/C chamber</t>
  </si>
  <si>
    <t>R.C.C 1:2:4</t>
  </si>
  <si>
    <t>a) In ground floor</t>
  </si>
  <si>
    <t>columns</t>
  </si>
  <si>
    <t>Stair case</t>
  </si>
  <si>
    <t>Stair 1st flight</t>
  </si>
  <si>
    <t>Stair 2nd flight</t>
  </si>
  <si>
    <t xml:space="preserve">Landing slab </t>
  </si>
  <si>
    <t>Stair steps</t>
  </si>
  <si>
    <t>steps in second flight</t>
  </si>
  <si>
    <t>Lintel in door opening areas</t>
  </si>
  <si>
    <t>door openings</t>
  </si>
  <si>
    <t xml:space="preserve">window </t>
  </si>
  <si>
    <t>toilet ventilator</t>
  </si>
  <si>
    <t>sunshades</t>
  </si>
  <si>
    <t>roof beams</t>
  </si>
  <si>
    <t>beam2</t>
  </si>
  <si>
    <t>beam8</t>
  </si>
  <si>
    <t>cross beam 17,20,22</t>
  </si>
  <si>
    <t>cross beam in lobby 38</t>
  </si>
  <si>
    <t xml:space="preserve">lobby outer wall beam 36, 36A, </t>
  </si>
  <si>
    <t>Sunshade</t>
  </si>
  <si>
    <t>loft in pantry</t>
  </si>
  <si>
    <t>Ground floor roof slab</t>
  </si>
  <si>
    <t>conference &amp; reception area</t>
  </si>
  <si>
    <t>portico</t>
  </si>
  <si>
    <t>stair sector area</t>
  </si>
  <si>
    <r>
      <t>(9.68)</t>
    </r>
    <r>
      <rPr>
        <vertAlign val="superscript"/>
        <sz val="11"/>
        <color indexed="8"/>
        <rFont val="Cambria"/>
        <family val="1"/>
      </rPr>
      <t>2</t>
    </r>
  </si>
  <si>
    <t>security</t>
  </si>
  <si>
    <t>front projection roof slab</t>
  </si>
  <si>
    <t>Front landing slab</t>
  </si>
  <si>
    <t>Drop sides</t>
  </si>
  <si>
    <t>Sill slab</t>
  </si>
  <si>
    <t>stair window</t>
  </si>
  <si>
    <t>b) in First floor</t>
  </si>
  <si>
    <t xml:space="preserve">d1 </t>
  </si>
  <si>
    <t>sunshade</t>
  </si>
  <si>
    <t>air quality, record, store</t>
  </si>
  <si>
    <t>air quality, record, store cross beams</t>
  </si>
  <si>
    <t>beam2,4</t>
  </si>
  <si>
    <t>beam7</t>
  </si>
  <si>
    <t>office area</t>
  </si>
  <si>
    <t xml:space="preserve">cross beam </t>
  </si>
  <si>
    <t>cross beam in lobby 38,39</t>
  </si>
  <si>
    <t>arch beam outer 37</t>
  </si>
  <si>
    <t xml:space="preserve">lobby outer wall beam 31, 31A, </t>
  </si>
  <si>
    <t>beam 36</t>
  </si>
  <si>
    <t>loft in AEE, AE</t>
  </si>
  <si>
    <t>loft in record</t>
  </si>
  <si>
    <t>loft in store</t>
  </si>
  <si>
    <t>wash basin slab</t>
  </si>
  <si>
    <t>roof slab</t>
  </si>
  <si>
    <t>visitors area</t>
  </si>
  <si>
    <t>C) In second floor</t>
  </si>
  <si>
    <t>Same as first floor area</t>
  </si>
  <si>
    <t>d) In third floor</t>
  </si>
  <si>
    <t>columns for head room</t>
  </si>
  <si>
    <t>long beam arch outer</t>
  </si>
  <si>
    <t>long beam arch inner</t>
  </si>
  <si>
    <t xml:space="preserve">Slab over head room </t>
  </si>
  <si>
    <t>Water tank beam</t>
  </si>
  <si>
    <t>Water tank base slab</t>
  </si>
  <si>
    <t>Extra for s/s</t>
  </si>
  <si>
    <t>Brick work in Cm 1:6 super structure</t>
  </si>
  <si>
    <t>a) G.Floor</t>
  </si>
  <si>
    <t>ded: reception open</t>
  </si>
  <si>
    <t>reception entry slanting wall</t>
  </si>
  <si>
    <t>lift allround</t>
  </si>
  <si>
    <t>D/F M.D in conference</t>
  </si>
  <si>
    <t>D/F D</t>
  </si>
  <si>
    <t>D/F door open for entry</t>
  </si>
  <si>
    <t>D/F W</t>
  </si>
  <si>
    <t>staircase window</t>
  </si>
  <si>
    <t>ventilator</t>
  </si>
  <si>
    <t>ded: lintel</t>
  </si>
  <si>
    <t>door &amp; openings</t>
  </si>
  <si>
    <t>ded: sill slab</t>
  </si>
  <si>
    <t xml:space="preserve">ded: Column </t>
  </si>
  <si>
    <t>b)F.Floor</t>
  </si>
  <si>
    <t>air quality, record &amp; store all round</t>
  </si>
  <si>
    <t>long wall</t>
  </si>
  <si>
    <t>cross wall btwn air quality &amp; reception</t>
  </si>
  <si>
    <t>cross wall btwn air record &amp; store</t>
  </si>
  <si>
    <t>office area all round</t>
  </si>
  <si>
    <t>ded: office entry</t>
  </si>
  <si>
    <t>video conference, AE cross wall</t>
  </si>
  <si>
    <t>AEE work station cross wall</t>
  </si>
  <si>
    <t>ded: door &amp; opening</t>
  </si>
  <si>
    <t>Air lab</t>
  </si>
  <si>
    <t>wall btwn lab &amp; toilet</t>
  </si>
  <si>
    <t>cross wall</t>
  </si>
  <si>
    <t>library</t>
  </si>
  <si>
    <t>water lab all round</t>
  </si>
  <si>
    <t>ded: library door</t>
  </si>
  <si>
    <t>d) In Third floor</t>
  </si>
  <si>
    <t>head room 3 side wall</t>
  </si>
  <si>
    <t>D/F head room door</t>
  </si>
  <si>
    <t>D/f Column C1</t>
  </si>
  <si>
    <t>Tank support wall</t>
  </si>
  <si>
    <t xml:space="preserve">Brick pillars- for parapet </t>
  </si>
  <si>
    <t xml:space="preserve">B.W Partition 110 mm tk </t>
  </si>
  <si>
    <t>a) Ground Floor</t>
  </si>
  <si>
    <t>ladies toilet partition wall</t>
  </si>
  <si>
    <t>reception</t>
  </si>
  <si>
    <t>ded: d1</t>
  </si>
  <si>
    <t>Wall btwn AE &amp; AEE</t>
  </si>
  <si>
    <t>pantry &amp; ladies toilet</t>
  </si>
  <si>
    <t>ded: d</t>
  </si>
  <si>
    <t>ladies toilet long wall</t>
  </si>
  <si>
    <t>ladies toilet cross wall</t>
  </si>
  <si>
    <t>DEE room toilet wall</t>
  </si>
  <si>
    <t>office area long wall horizontal</t>
  </si>
  <si>
    <t>DEE &amp; work station long wall horizontal</t>
  </si>
  <si>
    <t>ded: d &amp; open</t>
  </si>
  <si>
    <t>wall btwn record &amp; store</t>
  </si>
  <si>
    <t>gents toilet horizontal wall</t>
  </si>
  <si>
    <t>vertical wall</t>
  </si>
  <si>
    <t>C) In second Floor</t>
  </si>
  <si>
    <t>work station long wall</t>
  </si>
  <si>
    <t>work station , cabin, ladies toilet</t>
  </si>
  <si>
    <t>ded: D &amp; opening</t>
  </si>
  <si>
    <t>Parapet wall all round</t>
  </si>
  <si>
    <t>D/f parapet brick pillars</t>
  </si>
  <si>
    <t>Sundires</t>
  </si>
  <si>
    <t>a.B.W partition wall 70mm tk in Ground floor</t>
  </si>
  <si>
    <t>pantry below hearth slab</t>
  </si>
  <si>
    <t>b)</t>
  </si>
  <si>
    <t>first floor</t>
  </si>
  <si>
    <t>DEE, AEE room cupboard wall</t>
  </si>
  <si>
    <t>AE cupboard</t>
  </si>
  <si>
    <t>work station cupboard</t>
  </si>
  <si>
    <t>gents &amp; ladies toilet wash below wall</t>
  </si>
  <si>
    <t>record &amp; store</t>
  </si>
  <si>
    <t>c) In second floor</t>
  </si>
  <si>
    <t>water lab</t>
  </si>
  <si>
    <t>work station</t>
  </si>
  <si>
    <t>Precast slab 20mm tk</t>
  </si>
  <si>
    <t>a)</t>
  </si>
  <si>
    <t>In Ground Floor</t>
  </si>
  <si>
    <t>security room cupboard</t>
  </si>
  <si>
    <t xml:space="preserve">precast slab 40mm </t>
  </si>
  <si>
    <t>In foundation &amp; basement</t>
  </si>
  <si>
    <t>IC</t>
  </si>
  <si>
    <t>In ground floor</t>
  </si>
  <si>
    <t>C)</t>
  </si>
  <si>
    <t>In first floor</t>
  </si>
  <si>
    <t>15.1)</t>
  </si>
  <si>
    <t>Granite slab in GF</t>
  </si>
  <si>
    <t>a) In G.Floor</t>
  </si>
  <si>
    <t>wash basin platform</t>
  </si>
  <si>
    <t>reception table</t>
  </si>
  <si>
    <t>b) In F.Floor</t>
  </si>
  <si>
    <t>work station table</t>
  </si>
  <si>
    <t>in Lab</t>
  </si>
  <si>
    <t>18.1 A)</t>
  </si>
  <si>
    <t>Form work Footing , column, grade beam, plinth beam</t>
  </si>
  <si>
    <t>Footing</t>
  </si>
  <si>
    <t>Grade beam form work</t>
  </si>
  <si>
    <t>security room outer all round</t>
  </si>
  <si>
    <t>security inner all round</t>
  </si>
  <si>
    <t>Plinth beam form work</t>
  </si>
  <si>
    <t>Form work using MS sheet</t>
  </si>
  <si>
    <t>b)plain surface such as roof slab,floor slab,beams ,lintels</t>
  </si>
  <si>
    <t>Stair 1st flight in GF, FF, SF</t>
  </si>
  <si>
    <t>waist slab sides</t>
  </si>
  <si>
    <t>Stair 2nd flight GF, FF, SF</t>
  </si>
  <si>
    <t>landing slab sides</t>
  </si>
  <si>
    <t>Stair steps in Ist flight GF, FF, SF</t>
  </si>
  <si>
    <t>steps in second flight GF, FF, SF</t>
  </si>
  <si>
    <t>Loft</t>
  </si>
  <si>
    <t>loft in pantry GF</t>
  </si>
  <si>
    <t>FF</t>
  </si>
  <si>
    <t>SF</t>
  </si>
  <si>
    <t>Lintel GF</t>
  </si>
  <si>
    <t>door bottom</t>
  </si>
  <si>
    <t>window bottom</t>
  </si>
  <si>
    <t>Lintel FF</t>
  </si>
  <si>
    <t>d1 bottom</t>
  </si>
  <si>
    <t>W bottom</t>
  </si>
  <si>
    <t>Lintel SF</t>
  </si>
  <si>
    <t>bottom</t>
  </si>
  <si>
    <t>Lintel TF</t>
  </si>
  <si>
    <t>roof beams GF</t>
  </si>
  <si>
    <t>roof slab GF</t>
  </si>
  <si>
    <t>conference area</t>
  </si>
  <si>
    <t>parking area</t>
  </si>
  <si>
    <t>slab outer allround</t>
  </si>
  <si>
    <t>roof beams FF</t>
  </si>
  <si>
    <t>roof slab FF</t>
  </si>
  <si>
    <t>Air quality, record, store</t>
  </si>
  <si>
    <t>SF roof beam &amp; roof slab (qty as per FF)</t>
  </si>
  <si>
    <t>In TF</t>
  </si>
  <si>
    <t>18.1 C</t>
  </si>
  <si>
    <t>Small quantities</t>
  </si>
  <si>
    <t>a) In ground floor,F.Floor,S.Floor</t>
  </si>
  <si>
    <t>In GF</t>
  </si>
  <si>
    <t>sunshade sides</t>
  </si>
  <si>
    <t>In FF</t>
  </si>
  <si>
    <t>In SF</t>
  </si>
  <si>
    <t>Sill slab GF</t>
  </si>
  <si>
    <t>Sill slab FF</t>
  </si>
  <si>
    <t>Sill slab SF</t>
  </si>
  <si>
    <t>Sill slabTF</t>
  </si>
  <si>
    <t>S&amp; f of best Indian T Wood Wrought and put up</t>
  </si>
  <si>
    <t>Up to 2 to 3m</t>
  </si>
  <si>
    <t>GF</t>
  </si>
  <si>
    <t>M.D vertical, stair rear</t>
  </si>
  <si>
    <t>security, EB, driver, pantry, toilet entry</t>
  </si>
  <si>
    <t>Door</t>
  </si>
  <si>
    <t>SF - Door</t>
  </si>
  <si>
    <t>Below 2m</t>
  </si>
  <si>
    <t>FF - door horizontal</t>
  </si>
  <si>
    <t>SF- library door vertical</t>
  </si>
  <si>
    <t>library door horizontal</t>
  </si>
  <si>
    <t>SF - Door horizontal</t>
  </si>
  <si>
    <t>21.3)</t>
  </si>
  <si>
    <t>PVC Doors frame With shutters GF &amp;FF,SF</t>
  </si>
  <si>
    <t>GF toilet</t>
  </si>
  <si>
    <t>FF toilet</t>
  </si>
  <si>
    <t>SF toilet</t>
  </si>
  <si>
    <t>22.1)</t>
  </si>
  <si>
    <t>T.W panelled door shuters GF &amp; FF</t>
  </si>
  <si>
    <t>A)</t>
  </si>
  <si>
    <t>1.50*2.10</t>
  </si>
  <si>
    <t>GF- MD in conference, stair rear</t>
  </si>
  <si>
    <t xml:space="preserve">library door </t>
  </si>
  <si>
    <t>b) 1.0 x 2.10m</t>
  </si>
  <si>
    <t xml:space="preserve">FF - door </t>
  </si>
  <si>
    <t>22.3)</t>
  </si>
  <si>
    <t>GF - security room cupboard</t>
  </si>
  <si>
    <t>22.4)</t>
  </si>
  <si>
    <t>S &amp; F magnetic door catches GF &amp; FF</t>
  </si>
  <si>
    <t>23.1)</t>
  </si>
  <si>
    <t>For Rest Room</t>
  </si>
  <si>
    <t>26)</t>
  </si>
  <si>
    <t>Flooring 1:5:10</t>
  </si>
  <si>
    <t>28)</t>
  </si>
  <si>
    <t>Floor plastering in CM 1:4 20 mm tk</t>
  </si>
  <si>
    <t>bottom WR 1</t>
  </si>
  <si>
    <t>IC bottom</t>
  </si>
  <si>
    <t>29.9 b)</t>
  </si>
  <si>
    <t>Floorceramics Anti skid GF &amp; FF</t>
  </si>
  <si>
    <t>Glazed tiles GF &amp; FF</t>
  </si>
  <si>
    <t>above wash basin</t>
  </si>
  <si>
    <t>top of tank base slab</t>
  </si>
  <si>
    <t>31)</t>
  </si>
  <si>
    <t>32)</t>
  </si>
  <si>
    <t>30)</t>
  </si>
  <si>
    <t>Ellis pattern GF &amp; FF</t>
  </si>
  <si>
    <t>33)</t>
  </si>
  <si>
    <t>Plastering 1 : 5 ,12mm tk GF &amp; FF</t>
  </si>
  <si>
    <t>34)</t>
  </si>
  <si>
    <t xml:space="preserve">plastering in cm 1:4 ,12mm </t>
  </si>
  <si>
    <t>IC inner</t>
  </si>
  <si>
    <t>35)</t>
  </si>
  <si>
    <t xml:space="preserve">Special ceiling plsastering </t>
  </si>
  <si>
    <t>36)</t>
  </si>
  <si>
    <t>Plastering in CM 1:5 ,12mm borders</t>
  </si>
  <si>
    <t>a)150 mm wide</t>
  </si>
  <si>
    <t>b)75mm wide</t>
  </si>
  <si>
    <t>c)50mm wide</t>
  </si>
  <si>
    <t>37)</t>
  </si>
  <si>
    <t>White washing 3 coats</t>
  </si>
  <si>
    <t>qty as per ceiling plastering item no 35</t>
  </si>
  <si>
    <t>38.6)</t>
  </si>
  <si>
    <t>Cement paint one coat of primer coat</t>
  </si>
  <si>
    <t>As per OBD</t>
  </si>
  <si>
    <t>As per item 34</t>
  </si>
  <si>
    <t>C/B area</t>
  </si>
  <si>
    <t>OBD inner surface</t>
  </si>
  <si>
    <t>Emulsion paint</t>
  </si>
  <si>
    <t>MS grills</t>
  </si>
  <si>
    <t>head room grill door</t>
  </si>
  <si>
    <t>1.89 X 42 Kg</t>
  </si>
  <si>
    <t>40)</t>
  </si>
  <si>
    <t>41)</t>
  </si>
  <si>
    <t>painying new iron work</t>
  </si>
  <si>
    <t>Head room door</t>
  </si>
  <si>
    <t>Add pipe line 110 mm dia R.Water</t>
  </si>
  <si>
    <t>110 mm dia pipe</t>
  </si>
  <si>
    <t>ASTM pipe 32 mm dia</t>
  </si>
  <si>
    <t>ASTM pipe 25 mm dia</t>
  </si>
  <si>
    <t>75 mm SWR pipe</t>
  </si>
  <si>
    <t>MS / RTS grill</t>
  </si>
  <si>
    <t>Qty/M3</t>
  </si>
  <si>
    <t>Kg/M3</t>
  </si>
  <si>
    <t>Foundation  &amp;  Basement</t>
  </si>
  <si>
    <t xml:space="preserve">Agt.item no .8.1 col &amp; beam </t>
  </si>
  <si>
    <t>AGT.item no.14.1</t>
  </si>
  <si>
    <t>Agt.item no 14.1</t>
  </si>
  <si>
    <t>say</t>
  </si>
  <si>
    <t xml:space="preserve"> MT</t>
  </si>
  <si>
    <t xml:space="preserve">44) </t>
  </si>
  <si>
    <t xml:space="preserve">PVC rain water pipe </t>
  </si>
  <si>
    <t>head room</t>
  </si>
  <si>
    <t>44.7)</t>
  </si>
  <si>
    <t>a) Rain water harvesting pit</t>
  </si>
  <si>
    <t>b)Augering bore</t>
  </si>
  <si>
    <t>46)</t>
  </si>
  <si>
    <t>S&amp; F 20mm aluminium hanger rod</t>
  </si>
  <si>
    <t>47)</t>
  </si>
  <si>
    <t>Aliminium towel rail</t>
  </si>
  <si>
    <t>48)</t>
  </si>
  <si>
    <t>5 pin coat stand</t>
  </si>
  <si>
    <t>49)</t>
  </si>
  <si>
    <t>picture hooks</t>
  </si>
  <si>
    <t>windows</t>
  </si>
  <si>
    <t>52.1)</t>
  </si>
  <si>
    <t xml:space="preserve">ASTM pipe </t>
  </si>
  <si>
    <t>a)32mm dia</t>
  </si>
  <si>
    <t>GL to OHT</t>
  </si>
  <si>
    <t>B)25mm dia</t>
  </si>
  <si>
    <t>G.Floor Vertical</t>
  </si>
  <si>
    <t>Hor</t>
  </si>
  <si>
    <t>Parapet wall</t>
  </si>
  <si>
    <t>F.Floor Vertical</t>
  </si>
  <si>
    <t>DEE</t>
  </si>
  <si>
    <t>a)20mm dia concealed pipe</t>
  </si>
  <si>
    <t>M</t>
  </si>
  <si>
    <t>common to attached toilet</t>
  </si>
  <si>
    <t>52.1)b)</t>
  </si>
  <si>
    <t>20mm dia HOT water GI pipe</t>
  </si>
  <si>
    <t xml:space="preserve">Passage </t>
  </si>
  <si>
    <t>53.1)</t>
  </si>
  <si>
    <t>wash basin</t>
  </si>
  <si>
    <t>GF,FF &amp; SF</t>
  </si>
  <si>
    <t>54.1)</t>
  </si>
  <si>
    <t>CP long boddy</t>
  </si>
  <si>
    <t>Heat water att.bath</t>
  </si>
  <si>
    <t>54.2)</t>
  </si>
  <si>
    <t>CP short body</t>
  </si>
  <si>
    <t>56.1)</t>
  </si>
  <si>
    <t>S &amp; F orissapan in GF</t>
  </si>
  <si>
    <t>S&amp; F of WC other then GF</t>
  </si>
  <si>
    <t>S/F of EWC</t>
  </si>
  <si>
    <t>For Att.toilet</t>
  </si>
  <si>
    <t>PVC SWR pipe</t>
  </si>
  <si>
    <t>a)110mm dia pipe</t>
  </si>
  <si>
    <t>b)75mm pipe</t>
  </si>
  <si>
    <t>For waste water</t>
  </si>
  <si>
    <t>Passage wash basin</t>
  </si>
  <si>
    <t>inside</t>
  </si>
  <si>
    <t>S&amp;F of 50mm dia SWR pipe wash basign &amp; sink</t>
  </si>
  <si>
    <t>Stone ware gully trap</t>
  </si>
  <si>
    <t>PVC Nahani trap</t>
  </si>
  <si>
    <t>SN8 Pipe</t>
  </si>
  <si>
    <t>a)100mm dia</t>
  </si>
  <si>
    <t>b) 150mm Dia</t>
  </si>
  <si>
    <t>Swg</t>
  </si>
  <si>
    <t>S&amp;F stone ware bend</t>
  </si>
  <si>
    <t>100mm dia</t>
  </si>
  <si>
    <t>S&amp;F of end cap for wash basign &amp; sink</t>
  </si>
  <si>
    <t>Light point with ceiling rose</t>
  </si>
  <si>
    <t>G.Floor</t>
  </si>
  <si>
    <t>Conference hall</t>
  </si>
  <si>
    <t>Reception</t>
  </si>
  <si>
    <t>Pantry</t>
  </si>
  <si>
    <t>Toilet.</t>
  </si>
  <si>
    <t>EB room</t>
  </si>
  <si>
    <t>Parking</t>
  </si>
  <si>
    <t>Driver room</t>
  </si>
  <si>
    <t>Lobby</t>
  </si>
  <si>
    <t>Corridor</t>
  </si>
  <si>
    <t>F.Floor</t>
  </si>
  <si>
    <t>Video conference</t>
  </si>
  <si>
    <t>AEE</t>
  </si>
  <si>
    <t>AE room</t>
  </si>
  <si>
    <t>Work station</t>
  </si>
  <si>
    <t>Ladies toilet</t>
  </si>
  <si>
    <t>Vistors</t>
  </si>
  <si>
    <t>AIR quality</t>
  </si>
  <si>
    <t>Record room</t>
  </si>
  <si>
    <t>Waiter</t>
  </si>
  <si>
    <t>Store room</t>
  </si>
  <si>
    <t>Staircase</t>
  </si>
  <si>
    <t>S.Floor</t>
  </si>
  <si>
    <t>Water lab</t>
  </si>
  <si>
    <t>Library</t>
  </si>
  <si>
    <t>b)with out ceiling rose</t>
  </si>
  <si>
    <t>Security</t>
  </si>
  <si>
    <t>c. ceiling bel point with buzzer</t>
  </si>
  <si>
    <t>Fan point wiring</t>
  </si>
  <si>
    <t xml:space="preserve">Driver </t>
  </si>
  <si>
    <t>Conference</t>
  </si>
  <si>
    <t>Video Conference</t>
  </si>
  <si>
    <t>AE</t>
  </si>
  <si>
    <t>Vistor</t>
  </si>
  <si>
    <t>Air Quality</t>
  </si>
  <si>
    <t>Record</t>
  </si>
  <si>
    <t>Cabin</t>
  </si>
  <si>
    <t>Stair case light point</t>
  </si>
  <si>
    <t>15 amps 3 pin plug</t>
  </si>
  <si>
    <t>Mid landing</t>
  </si>
  <si>
    <t>S &amp; F tube light fitting</t>
  </si>
  <si>
    <t>70.3 a)</t>
  </si>
  <si>
    <t>wash</t>
  </si>
  <si>
    <t>Stair mid landing</t>
  </si>
  <si>
    <t>S&amp;F tv line socket</t>
  </si>
  <si>
    <t>For telephone line tv</t>
  </si>
  <si>
    <t>Earthing station</t>
  </si>
  <si>
    <t>S&amp;F TW planks</t>
  </si>
  <si>
    <t>Street light fitting</t>
  </si>
  <si>
    <t>Anti termite treetment</t>
  </si>
  <si>
    <t>Sq.M</t>
  </si>
  <si>
    <t xml:space="preserve"> Bath room</t>
  </si>
  <si>
    <t>S &amp; F of mirror</t>
  </si>
  <si>
    <t>Granite nosing</t>
  </si>
  <si>
    <t xml:space="preserve">Supply and fixing of AC 2TR Split Type AC unit 5 Star </t>
  </si>
  <si>
    <t>Supply and installation of 5KVA capacity Automatic voltage stabilizer with time delay regulator</t>
  </si>
  <si>
    <t>Supply and fixing of MS stand for fixing out door</t>
  </si>
  <si>
    <t>Supply and fixing of Copper Refrigerant Piping of 7/8" dia</t>
  </si>
  <si>
    <t>Supply and fixing of water drain pipe line (1” PVC Pipe)</t>
  </si>
  <si>
    <t>Supplying and laying of Granite flooring</t>
  </si>
  <si>
    <t>near lift</t>
  </si>
  <si>
    <t>lobby opening</t>
  </si>
  <si>
    <t>Stair 1st flight steps GF-FF, FF-SF, SF-TF</t>
  </si>
  <si>
    <t>Stair 2nd flight steps GF-FF, FF-SF, SF-TF</t>
  </si>
  <si>
    <t>Gents toilet</t>
  </si>
  <si>
    <t>DEE toilet</t>
  </si>
  <si>
    <t>ded: toilet door</t>
  </si>
  <si>
    <t>door jambs</t>
  </si>
  <si>
    <t>ded: door</t>
  </si>
  <si>
    <t>above wash basin in SF ladies toilet</t>
  </si>
  <si>
    <t>Air lab above</t>
  </si>
  <si>
    <t>(3.73+7.41)/2</t>
  </si>
  <si>
    <t>remaining circular portion</t>
  </si>
  <si>
    <t>(1.93+6.4)/2</t>
  </si>
  <si>
    <t>water lab above</t>
  </si>
  <si>
    <t>library above</t>
  </si>
  <si>
    <t>Pressed tiles</t>
  </si>
  <si>
    <t>skirting allround</t>
  </si>
  <si>
    <t>Basement outer &amp; inside outer wall</t>
  </si>
  <si>
    <t>Wall btwn EB &amp; driver room</t>
  </si>
  <si>
    <t>Driver, toilet, lobby, stair area, conference outer wall</t>
  </si>
  <si>
    <t>GF building outer wall</t>
  </si>
  <si>
    <t>Add portico column plastering</t>
  </si>
  <si>
    <t>Sunshades</t>
  </si>
  <si>
    <t>stair sunshade</t>
  </si>
  <si>
    <t>FF &amp; SF building outer wall</t>
  </si>
  <si>
    <t>TF parapet</t>
  </si>
  <si>
    <t>Head room outer</t>
  </si>
  <si>
    <t>Head room parapet</t>
  </si>
  <si>
    <t>Outer wall deductions</t>
  </si>
  <si>
    <t>GF- MD</t>
  </si>
  <si>
    <t>GF - window</t>
  </si>
  <si>
    <t>lobby open</t>
  </si>
  <si>
    <t>FF- visitors lounge open</t>
  </si>
  <si>
    <t>Add column plastering</t>
  </si>
  <si>
    <t>FF-window</t>
  </si>
  <si>
    <t>SF-window</t>
  </si>
  <si>
    <t>ventilators</t>
  </si>
  <si>
    <t>Terrace door</t>
  </si>
  <si>
    <t>Inner plastering</t>
  </si>
  <si>
    <t>driver room</t>
  </si>
  <si>
    <t>Gents toilet inner</t>
  </si>
  <si>
    <t>Gents toilet wash</t>
  </si>
  <si>
    <t>stair room 2 side wall</t>
  </si>
  <si>
    <t>stair room arch wall</t>
  </si>
  <si>
    <t>lobby slanting wall</t>
  </si>
  <si>
    <t>reception 3 side wall</t>
  </si>
  <si>
    <t>Ladies wash area 3 side wall</t>
  </si>
  <si>
    <t>ladies toilet</t>
  </si>
  <si>
    <t>pantry</t>
  </si>
  <si>
    <t>conference</t>
  </si>
  <si>
    <t>loft in pantry -top</t>
  </si>
  <si>
    <t>ded: MD</t>
  </si>
  <si>
    <t>Add jambs- MD</t>
  </si>
  <si>
    <t>First floor</t>
  </si>
  <si>
    <t>video conference &amp; DEE room</t>
  </si>
  <si>
    <t xml:space="preserve">AE </t>
  </si>
  <si>
    <t>AEE toilet</t>
  </si>
  <si>
    <t>dressing</t>
  </si>
  <si>
    <t>ladies dress</t>
  </si>
  <si>
    <t>front portion of lift &amp;  ladies toilet wall</t>
  </si>
  <si>
    <t>visitors lounge</t>
  </si>
  <si>
    <t>ded: balcony open</t>
  </si>
  <si>
    <t>lobby 3 side wall</t>
  </si>
  <si>
    <t>gents toilet entry 3 side wall</t>
  </si>
  <si>
    <t>gents toilet</t>
  </si>
  <si>
    <t>store</t>
  </si>
  <si>
    <t>record</t>
  </si>
  <si>
    <t>Air quality</t>
  </si>
  <si>
    <t>ded: Door &amp; opening</t>
  </si>
  <si>
    <t>d1</t>
  </si>
  <si>
    <t>V</t>
  </si>
  <si>
    <t>Add: jambs D &amp; open</t>
  </si>
  <si>
    <t>W sunshade</t>
  </si>
  <si>
    <t>cabin</t>
  </si>
  <si>
    <t>passage</t>
  </si>
  <si>
    <t>lobby area wall</t>
  </si>
  <si>
    <t>library door</t>
  </si>
  <si>
    <t>cupboard wall Air lab</t>
  </si>
  <si>
    <t>work station loft</t>
  </si>
  <si>
    <t>TF</t>
  </si>
  <si>
    <t>Head room inner</t>
  </si>
  <si>
    <t>Water tank support walls</t>
  </si>
  <si>
    <t>support wall front</t>
  </si>
  <si>
    <t>Head room sunshade</t>
  </si>
  <si>
    <t>All sunshade sides</t>
  </si>
  <si>
    <t>Water tank out side</t>
  </si>
  <si>
    <t>Supply and fixing of electronic ceiling fan</t>
  </si>
  <si>
    <t>Water tank</t>
  </si>
  <si>
    <r>
      <t xml:space="preserve">Earth work excavation in all soils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</si>
  <si>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</si>
  <si>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</si>
  <si>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</si>
  <si>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</si>
  <si>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Kiln Burnt Country bricks of size 22 x 11 x 7 cm (8 3/4" x 4 1/4" x 2 3/4")</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</si>
  <si>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</si>
  <si>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</si>
  <si>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</si>
  <si>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Floor plastering</t>
    </r>
    <r>
      <rPr>
        <sz val="18"/>
        <rFont val="Cambria"/>
        <family val="1"/>
        <scheme val="major"/>
      </rPr>
      <t xml:space="preserve"> in C.M. 1:4, 20 mm tk.</t>
    </r>
  </si>
  <si>
    <r>
      <t>White washing 3 coats</t>
    </r>
    <r>
      <rPr>
        <b/>
        <sz val="18"/>
        <rFont val="Cambria"/>
        <family val="1"/>
        <scheme val="major"/>
      </rPr>
      <t xml:space="preserve">  (slaked)</t>
    </r>
  </si>
  <si>
    <r>
      <t xml:space="preserve">a. 1500X2100mm.(Double leaves) </t>
    </r>
    <r>
      <rPr>
        <b/>
        <sz val="18"/>
        <rFont val="Cambria"/>
        <family val="1"/>
        <scheme val="major"/>
      </rPr>
      <t>with Brass fittings</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</si>
  <si>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</si>
  <si>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</si>
  <si>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</si>
  <si>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</si>
  <si>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</si>
  <si>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</si>
  <si>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</si>
  <si>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</si>
  <si>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</si>
  <si>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Granite Tiles flooring (</t>
    </r>
    <r>
      <rPr>
        <b/>
        <sz val="18"/>
        <rFont val="Cambria"/>
        <family val="1"/>
        <scheme val="major"/>
      </rPr>
      <t xml:space="preserve">Ruby red) </t>
    </r>
    <r>
      <rPr>
        <sz val="18"/>
        <rFont val="Cambria"/>
        <family val="1"/>
        <scheme val="major"/>
      </rPr>
      <t>using 2'x1', 10mm tk</t>
    </r>
  </si>
  <si>
    <r>
      <t xml:space="preserve">Providing wooden </t>
    </r>
    <r>
      <rPr>
        <b/>
        <sz val="18"/>
        <rFont val="Cambria"/>
        <family val="1"/>
        <scheme val="major"/>
      </rPr>
      <t>Melamine</t>
    </r>
    <r>
      <rPr>
        <sz val="18"/>
        <rFont val="Cambria"/>
        <family val="1"/>
        <scheme val="major"/>
      </rPr>
      <t xml:space="preserve"> polish for new wood work</t>
    </r>
  </si>
  <si>
    <r>
      <t xml:space="preserve">S &amp; F of 15mm dia </t>
    </r>
    <r>
      <rPr>
        <b/>
        <sz val="18"/>
        <rFont val="Cambria"/>
        <family val="1"/>
        <scheme val="major"/>
      </rPr>
      <t xml:space="preserve"> Tap</t>
    </r>
    <r>
      <rPr>
        <sz val="18"/>
        <rFont val="Cambria"/>
        <family val="1"/>
        <scheme val="major"/>
      </rPr>
      <t xml:space="preserve"> (long body ) for only</t>
    </r>
  </si>
  <si>
    <t>S &amp; F of 15mm dia   short body tap for  only</t>
  </si>
  <si>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</si>
  <si>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</si>
  <si>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</si>
  <si>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Supply and fixing of 12 watts  LED bulb  (</t>
    </r>
    <r>
      <rPr>
        <b/>
        <sz val="18"/>
        <rFont val="Cambria"/>
        <family val="1"/>
        <scheme val="major"/>
      </rPr>
      <t>qtn)</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</si>
  <si>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</si>
  <si>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</si>
  <si>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</si>
  <si>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</si>
  <si>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</si>
  <si>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</si>
  <si>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</si>
  <si>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</si>
  <si>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</si>
  <si>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</si>
  <si>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</si>
  <si>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</si>
  <si>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</si>
  <si>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</si>
  <si>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</si>
  <si>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</si>
  <si>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Supplying of laying of membrance</t>
  </si>
  <si>
    <t>Sqm/Q</t>
  </si>
  <si>
    <t>Manufacturing, Supplying and Fixing of Stainless Steel Hand rails for staircase using 50mm dia 304L Grade Stainless Steel pipe of 1.60mm thick at required locations to a height of 900mm from finished floor level welded to 38mm dia Stainless Steel pipe post of 1.00mm thick as vertical at 900mm centre with 2 Nos. of 25mm dia intermediate horizontal stainless steel pipe of 1.60mm thick in between. The vertical pipe has to be welded to the 100 X 100 X 6mm MS base plate encased in the base concrete. The rate is inclusive of the charges for cutting, bending, welding, grinding, polishing, conveyance, electrical charges, etc. complete</t>
  </si>
  <si>
    <t>Sqm/SOR</t>
  </si>
  <si>
    <t xml:space="preserve">Side Hand rail </t>
  </si>
  <si>
    <t>Center Hand rail</t>
  </si>
  <si>
    <t>TAMIL NADU POLICE HOUSING CORPARATION LTD.</t>
  </si>
  <si>
    <t>GENERAL ABSTRACT</t>
  </si>
  <si>
    <t>BUILDING WORKS</t>
  </si>
  <si>
    <t xml:space="preserve"> AS PER PWD SR 2021-22</t>
  </si>
  <si>
    <t>SUB - TOTAL - I Rs.</t>
  </si>
  <si>
    <t xml:space="preserve">Septic tank </t>
  </si>
  <si>
    <t xml:space="preserve">Plinth Projection </t>
  </si>
  <si>
    <t xml:space="preserve">Provision for Soil Investigation </t>
  </si>
  <si>
    <t>Provision for shifting of EB POLE</t>
  </si>
  <si>
    <t>Filling low lying area</t>
  </si>
  <si>
    <t>SUB - TOTAL - IV Rs.</t>
  </si>
  <si>
    <t>SUB - TOTAL - V Rs.</t>
  </si>
  <si>
    <t xml:space="preserve">Advertisement charges </t>
  </si>
  <si>
    <t xml:space="preserve">Provision for EB Deposits </t>
  </si>
  <si>
    <t>Provision for planning permission &amp; payment to other department</t>
  </si>
  <si>
    <t>Structural Design / Consultancy charges</t>
  </si>
  <si>
    <t>Says</t>
  </si>
  <si>
    <t>Pollution Controll building ( G+2)</t>
  </si>
  <si>
    <t>Theni Town</t>
  </si>
  <si>
    <t xml:space="preserve">Earth work excavation excluding refilling </t>
  </si>
  <si>
    <t xml:space="preserve">a)0 to 2 m depth </t>
  </si>
  <si>
    <t>septic tank</t>
  </si>
  <si>
    <t>dispersion trench</t>
  </si>
  <si>
    <t>inlet &amp; outlet</t>
  </si>
  <si>
    <t>m3</t>
  </si>
  <si>
    <t>PCC 1:8:16 using 20mm brick jully</t>
  </si>
  <si>
    <t>PCC 1:5:10 for foundation</t>
  </si>
  <si>
    <t>inlet &amp; outlet chamber</t>
  </si>
  <si>
    <t>PCC 1:2:4 using 20mm jelly</t>
  </si>
  <si>
    <t>Septic tank foundation</t>
  </si>
  <si>
    <t>BW in CM 1:5 in F &amp; B</t>
  </si>
  <si>
    <t>Ist footing wall alround</t>
  </si>
  <si>
    <t>Iind footing</t>
  </si>
  <si>
    <t>3rd footing</t>
  </si>
  <si>
    <t>Inlet out let chamber</t>
  </si>
  <si>
    <t>baffle wall</t>
  </si>
  <si>
    <t xml:space="preserve">14II </t>
  </si>
  <si>
    <t>precast concrete slab</t>
  </si>
  <si>
    <t>manhole cover</t>
  </si>
  <si>
    <t>RCC 1:2:4 using 20mm jelly</t>
  </si>
  <si>
    <t>septic tank cover slab</t>
  </si>
  <si>
    <t>Detuct manhole</t>
  </si>
  <si>
    <t>baffle wall beam</t>
  </si>
  <si>
    <t>providing form work for all rcc work</t>
  </si>
  <si>
    <t>a)plinth beam</t>
  </si>
  <si>
    <t>cover slab side</t>
  </si>
  <si>
    <t>manhole open side</t>
  </si>
  <si>
    <t>b)Roof slab</t>
  </si>
  <si>
    <t>cover slab</t>
  </si>
  <si>
    <t>deduct manhole cover</t>
  </si>
  <si>
    <t>Plastering CM 1:4 12mm tk</t>
  </si>
  <si>
    <t>ST inside allround</t>
  </si>
  <si>
    <t>baffle wall 1</t>
  </si>
  <si>
    <t>Baffle wall 2</t>
  </si>
  <si>
    <t>inlet outlet chamber</t>
  </si>
  <si>
    <t>plastering in Cm 1:5 12mm tk</t>
  </si>
  <si>
    <t>1st footing out side</t>
  </si>
  <si>
    <t>2nd footing outside</t>
  </si>
  <si>
    <t>3rd footing out side</t>
  </si>
  <si>
    <t>top side</t>
  </si>
  <si>
    <t xml:space="preserve">S/F placing in position </t>
  </si>
  <si>
    <t>of MS 7 RTS grills</t>
  </si>
  <si>
    <t>a) 14.II Thick</t>
  </si>
  <si>
    <t>Rcc 1;2;4</t>
  </si>
  <si>
    <t>S&amp; F of 160mm dia SN8 pipe</t>
  </si>
  <si>
    <t>S&amp;F of pvc ventilating shaft with cowl</t>
  </si>
  <si>
    <t>S&amp;F of 40mm jelly for dispersion trench</t>
  </si>
  <si>
    <t>S&amp;F of 20mm jelly for dispersion trench</t>
  </si>
  <si>
    <t>Filling sand dispersion trench</t>
  </si>
  <si>
    <t xml:space="preserve">S&amp;F fixing of 110mm dia </t>
  </si>
  <si>
    <t>SN8 pipe</t>
  </si>
  <si>
    <t>Floor plastering in c.m 1:4 mix</t>
  </si>
  <si>
    <t>20mm thick.</t>
  </si>
  <si>
    <t>Detailed estimate for Sump</t>
  </si>
  <si>
    <t>Sl.no</t>
  </si>
  <si>
    <t>Content</t>
  </si>
  <si>
    <t>Earthwork excavation for open foundation (Excluding refilling)</t>
  </si>
  <si>
    <t>a) 0 to 2m depth</t>
  </si>
  <si>
    <t>3.14/4X 6.63x6.63</t>
  </si>
  <si>
    <t>P.C.C 1:5:10 using 40mm HBSJ foundation &amp; base slab</t>
  </si>
  <si>
    <t>For sump</t>
  </si>
  <si>
    <t>Providing M20 grade concrete</t>
  </si>
  <si>
    <t>3.14/4X5.43x5.43</t>
  </si>
  <si>
    <t>For beam</t>
  </si>
  <si>
    <t>3.14/4X 5.43x5.43</t>
  </si>
  <si>
    <t>D/d Manhole cover</t>
  </si>
  <si>
    <t>for base slab wall round</t>
  </si>
  <si>
    <t>3.14/4X6.43x6.43</t>
  </si>
  <si>
    <t>Middle column</t>
  </si>
  <si>
    <t>3.14/4X0.3X0.3</t>
  </si>
  <si>
    <t>1st Step</t>
  </si>
  <si>
    <t>3.14x4.74X0.26</t>
  </si>
  <si>
    <t>2nd Step</t>
  </si>
  <si>
    <t>3.14x4.86x.15</t>
  </si>
  <si>
    <t>Brick partition wall in Cm 1:4 110mm tk using C.B for F&amp;B etc</t>
  </si>
  <si>
    <t>Outer wall allround base slab</t>
  </si>
  <si>
    <t>3.14X6.55</t>
  </si>
  <si>
    <t>Outer wall allround</t>
  </si>
  <si>
    <t>3.14X5.12</t>
  </si>
  <si>
    <t>Inner wall 1st step</t>
  </si>
  <si>
    <t>3.14X4.37</t>
  </si>
  <si>
    <t>Inner wall 2nd step</t>
  </si>
  <si>
    <t>3.14X4.60</t>
  </si>
  <si>
    <t>Plastering with cm 1:3 12mm Tk with WPC</t>
  </si>
  <si>
    <t>Inner wall 1st step Al rd</t>
  </si>
  <si>
    <t>3.14X4.25</t>
  </si>
  <si>
    <t>Inner wall 2nt step Al rd</t>
  </si>
  <si>
    <t>3.14X4.48</t>
  </si>
  <si>
    <t xml:space="preserve"> sqm</t>
  </si>
  <si>
    <t>Plastering with CM 1:5 12mm tk</t>
  </si>
  <si>
    <t>Outer wall al rd</t>
  </si>
  <si>
    <t>3.14X5.23</t>
  </si>
  <si>
    <t>Fabrication of ms/rs steel grills</t>
  </si>
  <si>
    <t>20.50X100kg</t>
  </si>
  <si>
    <t>Supplying and fixing of Ci manhole cover 0.6X0.6 Cm etc</t>
  </si>
  <si>
    <t>For manhole cover</t>
  </si>
  <si>
    <t>S/F of CI steps</t>
  </si>
  <si>
    <t>Form works</t>
  </si>
  <si>
    <r>
      <rPr>
        <b/>
        <sz val="11"/>
        <color indexed="8"/>
        <rFont val="Cambria"/>
        <family val="1"/>
      </rPr>
      <t>e)</t>
    </r>
    <r>
      <rPr>
        <sz val="12"/>
        <rFont val="Cambria"/>
        <family val="1"/>
      </rPr>
      <t>Sump cover slab Al rd</t>
    </r>
  </si>
  <si>
    <t>Sump side allround</t>
  </si>
  <si>
    <t>Dedection MH cover</t>
  </si>
  <si>
    <t>0.6x0.6</t>
  </si>
  <si>
    <t>Beam sides</t>
  </si>
  <si>
    <t>Column</t>
  </si>
  <si>
    <t>3.14x0.30</t>
  </si>
  <si>
    <t>DETAILED ESTIMATE - BORE WELL &amp; EXTERNAL WATER SUPPLY</t>
  </si>
  <si>
    <t>Measurements</t>
  </si>
  <si>
    <t>bore well point -1</t>
  </si>
  <si>
    <t xml:space="preserve">bore well point </t>
  </si>
  <si>
    <t>Supplying and fixing of 150 mm dia G.I cover are completed.</t>
  </si>
  <si>
    <t xml:space="preserve">bore point </t>
  </si>
  <si>
    <t>Supply and delivery of 2HP monoblock pumpset single phase circuit unit of approved brand including accessoring.</t>
  </si>
  <si>
    <t>At pumproom</t>
  </si>
  <si>
    <t xml:space="preserve">Building </t>
  </si>
  <si>
    <t>Stand by</t>
  </si>
  <si>
    <t>For 2HP monoblock pumpsets</t>
  </si>
  <si>
    <t>as per above item (2)</t>
  </si>
  <si>
    <t>Supply and delivery of 7HP submersible  pumpset 50 stages at bore well  (three phase).</t>
  </si>
  <si>
    <t xml:space="preserve">Lobour charges for errection of 7HP submersible pumpsets at bore well etc,.complete.  </t>
  </si>
  <si>
    <t>Supplying and fixing of 7HP panel board for submersible pumpsets.</t>
  </si>
  <si>
    <t>Bore well (1) pumpset</t>
  </si>
  <si>
    <t>Bore well to Pumproom</t>
  </si>
  <si>
    <t>Bore well 1</t>
  </si>
  <si>
    <t>Bore well (1) cable line casing</t>
  </si>
  <si>
    <t>Bore well to sump delivery encasing.</t>
  </si>
  <si>
    <t>c) 50 mm dia G.I pipe.</t>
  </si>
  <si>
    <t xml:space="preserve">Pumpset suction pipe </t>
  </si>
  <si>
    <t>Mono block inter connection</t>
  </si>
  <si>
    <t>Delivery pipe</t>
  </si>
  <si>
    <t>Delivery line chamber</t>
  </si>
  <si>
    <t>Rear side building</t>
  </si>
  <si>
    <t xml:space="preserve">     m</t>
  </si>
  <si>
    <t>b) 32 mm dia ASTM .D. Pipe</t>
  </si>
  <si>
    <t>Bore well 1 to sump.</t>
  </si>
  <si>
    <t>50mmX32mm G.I, Tee</t>
  </si>
  <si>
    <t>50 mm dia coupling.</t>
  </si>
  <si>
    <t>c)</t>
  </si>
  <si>
    <t>50 mm dia G.I gate valve.</t>
  </si>
  <si>
    <t>d)</t>
  </si>
  <si>
    <t>50 mm dia non return valve.</t>
  </si>
  <si>
    <t>e)</t>
  </si>
  <si>
    <t>50 mm dia G.I union.</t>
  </si>
  <si>
    <t>f)</t>
  </si>
  <si>
    <t>50 mm dia G.I nipple.</t>
  </si>
  <si>
    <t>g)</t>
  </si>
  <si>
    <t>50 mm dia foot valve.</t>
  </si>
  <si>
    <t>h)</t>
  </si>
  <si>
    <t xml:space="preserve">50 mm dia G.I Tee </t>
  </si>
  <si>
    <t>i)</t>
  </si>
  <si>
    <t xml:space="preserve">32 mm G.I Union </t>
  </si>
  <si>
    <t>j)</t>
  </si>
  <si>
    <t>32 mm dia G.I elbow</t>
  </si>
  <si>
    <t>k)</t>
  </si>
  <si>
    <t>32 mm dia G.I nipple.</t>
  </si>
  <si>
    <t>l)</t>
  </si>
  <si>
    <t>For Pumpset ( 50mm &amp; 40mm PVC Pipe )</t>
  </si>
  <si>
    <t>Numbering And lettering</t>
  </si>
  <si>
    <t>Supplying and fixing of aluminium Diecast TNPHC Logo Emblem as directed etc.,</t>
  </si>
  <si>
    <t>Supplying and fixing of aluminium diecast letters fixing in position  etc.,</t>
  </si>
  <si>
    <t>a)9''' height letters.</t>
  </si>
  <si>
    <t>Blocks : house nos</t>
  </si>
  <si>
    <t>BLOCK - B (1 to 8)</t>
  </si>
  <si>
    <t>BLOCK - B (1 to 2)</t>
  </si>
  <si>
    <t>1  to 8</t>
  </si>
  <si>
    <t>1  to 2</t>
  </si>
  <si>
    <t>PAVER BLOCK ROAD</t>
  </si>
  <si>
    <t>Sl. No</t>
  </si>
  <si>
    <t>Description Of Work</t>
  </si>
  <si>
    <t>Supplying &amp; filling of  HARD BROKEN STONE JELLY 3mm To 10mm p-18</t>
  </si>
  <si>
    <t>(a) 0 to 2 m depth</t>
  </si>
  <si>
    <t>Approach road</t>
  </si>
  <si>
    <t>Supplying &amp; Filling with filling M.Sand in Layers of 150mm  tk</t>
  </si>
  <si>
    <t>Providing Precast Kerb Stone of P.C.C 1:3:6 using 20mm gauge HBSJ</t>
  </si>
  <si>
    <t>Painting Two Coats with Enamel Paint</t>
  </si>
  <si>
    <t>SULLAGE DRAIN</t>
  </si>
  <si>
    <t>Description OfWork</t>
  </si>
  <si>
    <t>Earth Work Excavation for open foundation for drains      ( Excluding Refilling)</t>
  </si>
  <si>
    <t>sullage drain</t>
  </si>
  <si>
    <t>Providing P.C.C  1:5:10 for foundation</t>
  </si>
  <si>
    <t xml:space="preserve">Brick work in CM 1:5 in F&amp;B </t>
  </si>
  <si>
    <t>brick pillar</t>
  </si>
  <si>
    <t>Brick Work in cm 1:4 , 110mm tk</t>
  </si>
  <si>
    <t>D/F brick pillar</t>
  </si>
  <si>
    <t>Plastering in CM 1:4, 20mm tk</t>
  </si>
  <si>
    <t>Plastering in CM 1:5, 12mm tk</t>
  </si>
  <si>
    <t>sullage drain outer</t>
  </si>
  <si>
    <t>Plastering in CM 1:4, 12mm tk</t>
  </si>
  <si>
    <t>sullage drain inner</t>
  </si>
  <si>
    <t>PLINTH PROTECTION</t>
  </si>
  <si>
    <t>Earth Work Excavation for foundation( Including Refilling)</t>
  </si>
  <si>
    <t>Supplying and filling with filling sand in layers of 150mm thick</t>
  </si>
  <si>
    <t>Brick Work in cm 1:5 in foundation and basement</t>
  </si>
  <si>
    <t>Providing Fibre Mixed Pre Cast Slab 1:3:6 Using 20mm HBSJ Of 50mm Thick</t>
  </si>
  <si>
    <t>DETAILED ESTIMATE- UG CABLE</t>
  </si>
  <si>
    <t>Sl no</t>
  </si>
  <si>
    <t xml:space="preserve">B) 3.5 core 35mm sqmm from EB pole to meeter pannel </t>
  </si>
  <si>
    <t>Supply and laying of 4 Run 6 Sq.mm and  1 Run 1.5 Sq.mm for Earth Copper in Sutiable PVC  conduit suitable Pipes etc (from Meter Panel to house DB)</t>
  </si>
  <si>
    <t xml:space="preserve">Labour charges for laying of 3.5 core 50 sq.mm / 3.5 core 35 sq.mm UG cable below Ground level. </t>
  </si>
  <si>
    <t>Labour charges for laying of UG cable above Ground level.</t>
  </si>
  <si>
    <t>Supplying &amp; Fixing of 50 mm dia GI pipe of approved brand.</t>
  </si>
  <si>
    <t>Main block</t>
  </si>
  <si>
    <t>Supplying and delivery of the following specials.</t>
  </si>
  <si>
    <t>For  main block</t>
  </si>
  <si>
    <t>COMPOUND WALL - DETAILED ESTIMATE</t>
  </si>
  <si>
    <t>DESCRIPTION OF WORK</t>
  </si>
  <si>
    <t>CONTENT</t>
  </si>
  <si>
    <t xml:space="preserve">Eath work excavation for foundation soil and sub soils </t>
  </si>
  <si>
    <t>wall  allround</t>
  </si>
  <si>
    <t>Expansion joint</t>
  </si>
  <si>
    <t>PCC 1:5:10 using 40mm HBSj for F &amp; B</t>
  </si>
  <si>
    <t>RCC 1:2:4 using F &amp; B etc.,</t>
  </si>
  <si>
    <t>Column above</t>
  </si>
  <si>
    <t>Gate column</t>
  </si>
  <si>
    <t xml:space="preserve">Allround wall </t>
  </si>
  <si>
    <t>Brick work in CM 1:5 using F &amp; B etc.,</t>
  </si>
  <si>
    <t xml:space="preserve">Adjacent wall </t>
  </si>
  <si>
    <t xml:space="preserve">RCC 1:2:4 using </t>
  </si>
  <si>
    <t>compound wall top side tie up members rear wall</t>
  </si>
  <si>
    <t>d/d Gate open</t>
  </si>
  <si>
    <t>add pillar offset</t>
  </si>
  <si>
    <t xml:space="preserve">brick work in cm 1:6 using s/s </t>
  </si>
  <si>
    <t>Rear &amp; Adj side wall</t>
  </si>
  <si>
    <t>D/f offset portion</t>
  </si>
  <si>
    <t>.785x0.34x0.34/ 4x2</t>
  </si>
  <si>
    <t>elevation pillar Front</t>
  </si>
  <si>
    <t>Brick partion wall in cm 1:6 110mm thick</t>
  </si>
  <si>
    <t>b) In Ground floor</t>
  </si>
  <si>
    <t>Wall</t>
  </si>
  <si>
    <t>Decduct pillar</t>
  </si>
  <si>
    <t>add elevation pillar</t>
  </si>
  <si>
    <t>deduct gate</t>
  </si>
  <si>
    <t>Plastering in cm 1:5 12mm thick</t>
  </si>
  <si>
    <t>top elevation wall</t>
  </si>
  <si>
    <t>Add for elevation pillar offset</t>
  </si>
  <si>
    <t>Add for elevation pillar top all.rnd</t>
  </si>
  <si>
    <t>Add for elevation pillar center offset</t>
  </si>
  <si>
    <t>d/d for gate open  &amp; pillar</t>
  </si>
  <si>
    <t>add for gate pillar alround</t>
  </si>
  <si>
    <t>add for gate pillar top</t>
  </si>
  <si>
    <t>pillar offset</t>
  </si>
  <si>
    <t>Pillar offset top</t>
  </si>
  <si>
    <t>Border finish</t>
  </si>
  <si>
    <t>a) 150 mm borter</t>
  </si>
  <si>
    <t>d/d gate column</t>
  </si>
  <si>
    <t xml:space="preserve">Add gate column </t>
  </si>
  <si>
    <t>Add elevation pillar</t>
  </si>
  <si>
    <t>b) 75mm borter</t>
  </si>
  <si>
    <t>As above a)</t>
  </si>
  <si>
    <t>Plastic emulsion paint</t>
  </si>
  <si>
    <t>As per item</t>
  </si>
  <si>
    <t>Grill work</t>
  </si>
  <si>
    <t>gate</t>
  </si>
  <si>
    <t>35kg/m2</t>
  </si>
  <si>
    <t>Grill painting</t>
  </si>
  <si>
    <t>form work</t>
  </si>
  <si>
    <t>a) In foundation and basement</t>
  </si>
  <si>
    <t>All footing &amp; Expansion</t>
  </si>
  <si>
    <t>grade  beam rear wall</t>
  </si>
  <si>
    <t>c) Small quantity</t>
  </si>
  <si>
    <t xml:space="preserve">column upto grade beam </t>
  </si>
  <si>
    <t xml:space="preserve">below grade gate column </t>
  </si>
  <si>
    <t>gate column</t>
  </si>
  <si>
    <t>compound wall tieup member  wall allround</t>
  </si>
  <si>
    <t>Pillar side</t>
  </si>
  <si>
    <t>steel fabrication</t>
  </si>
  <si>
    <t>8mm</t>
  </si>
  <si>
    <t>10mm</t>
  </si>
  <si>
    <t>12mm</t>
  </si>
  <si>
    <t>Matt both side 8mm</t>
  </si>
  <si>
    <t>Column vertical 12mm</t>
  </si>
  <si>
    <t>L rod 12mm</t>
  </si>
  <si>
    <t>Stripps 8mm</t>
  </si>
  <si>
    <t>Gate column 12mm</t>
  </si>
  <si>
    <t>Above gate column 12mm</t>
  </si>
  <si>
    <t>Grade beam top &amp;bottom 12mm</t>
  </si>
  <si>
    <t>Top 10mm</t>
  </si>
  <si>
    <t>Top tie beam top &amp; bottom 8mm</t>
  </si>
  <si>
    <t xml:space="preserve"> N/W : PROVIDING BORE WELL AND   EXTERNAL WATER SUPPLY ARRANAGEMENTS  AND  Construction of  Pollution Control office building with development works at Theni Town in Theni Dst.</t>
  </si>
  <si>
    <t>Corridor wall around</t>
  </si>
  <si>
    <t>Corridor horizontal wall</t>
  </si>
  <si>
    <t>Corridor vertical</t>
  </si>
  <si>
    <t>WC vertical</t>
  </si>
  <si>
    <t>WC Horn wall</t>
  </si>
  <si>
    <t>Office vert wall</t>
  </si>
  <si>
    <t>Horizon wall</t>
  </si>
  <si>
    <t>Lift horizontal</t>
  </si>
  <si>
    <t>Outer perimter arch port</t>
  </si>
  <si>
    <t>Stair area</t>
  </si>
  <si>
    <t>Inner perimeter</t>
  </si>
  <si>
    <t>Tieup</t>
  </si>
  <si>
    <t>Office wall around</t>
  </si>
  <si>
    <t>Visitor tie</t>
  </si>
  <si>
    <t>Tie</t>
  </si>
  <si>
    <t>Inside wall</t>
  </si>
  <si>
    <t>EB</t>
  </si>
  <si>
    <t>roof projection &amp; passage btwn EB &amp; driver</t>
  </si>
  <si>
    <t>driver</t>
  </si>
  <si>
    <t>infront of lift</t>
  </si>
  <si>
    <t>ladies toilet passage</t>
  </si>
  <si>
    <t xml:space="preserve">ladies toilet </t>
  </si>
  <si>
    <t>wash table bottom</t>
  </si>
  <si>
    <t>loft in pantry- bottom</t>
  </si>
  <si>
    <t>visitors lounge below ceiling</t>
  </si>
  <si>
    <t>video conference</t>
  </si>
  <si>
    <t>DEE room</t>
  </si>
  <si>
    <t>passage infront of office</t>
  </si>
  <si>
    <t>area infront of ladies toilet</t>
  </si>
  <si>
    <t>passage near toilet</t>
  </si>
  <si>
    <t>lobby</t>
  </si>
  <si>
    <t>stair case front</t>
  </si>
  <si>
    <t xml:space="preserve">visitors lounge </t>
  </si>
  <si>
    <t>Air quality room</t>
  </si>
  <si>
    <t>record room</t>
  </si>
  <si>
    <t>lift infront</t>
  </si>
  <si>
    <t>water tank bottom</t>
  </si>
  <si>
    <t>building all round</t>
  </si>
  <si>
    <t>Headroom all round</t>
  </si>
  <si>
    <t>inbtwn EB &amp; driver</t>
  </si>
  <si>
    <t>Virified tiles flooring</t>
  </si>
  <si>
    <t>Stair area flooring</t>
  </si>
  <si>
    <r>
      <t>(7.38)</t>
    </r>
    <r>
      <rPr>
        <vertAlign val="superscript"/>
        <sz val="11"/>
        <color indexed="8"/>
        <rFont val="Cambria"/>
        <family val="1"/>
      </rPr>
      <t>2</t>
    </r>
  </si>
  <si>
    <t>skirting</t>
  </si>
  <si>
    <t>Head room landing</t>
  </si>
  <si>
    <t>GST at  12.0% ( GST at 9% + CGST 9% )</t>
  </si>
  <si>
    <t>UPVC windows</t>
  </si>
  <si>
    <t>UPVC Window</t>
  </si>
  <si>
    <t>UPVC Ventilator</t>
  </si>
  <si>
    <t>1 sqm/20</t>
  </si>
  <si>
    <t>Providing of 35mm thick factory made pre-laminated ABS (Acrolynitrile Butadiene Styrene) Door Shutter moulded in different designs, consisting of all round frame made out of water proof solid foam PVC bar of size 20 x 32mm, reinforced by 32 x 32mm - 2 Nos., for vertical made out of LVL (Laminated Veneer Lumber), core material of 32mm thick high density craft paper honey comb board, sandwiched on both sides with pre-laminated ABS sheet thickness of 1.5mm. PVC edge banding of size 0.45mm on the vertical sides. Hardware made out of steel coated butterfly hinges - 3 Nos.,
for each shutter and ISI make SS round lock complete for
finished item of work, complete complying with the standard specification. The door shutter and frame should be got approved from the Executive Engineer before use on work</t>
  </si>
  <si>
    <t>Sqm/SOR22</t>
  </si>
  <si>
    <t>Providing of 35mm thick factory made pre-laminated ABS (Acrolynitrile Butadiene Styrene) Door Shutter moulded in different designs, consisting of all round frame made out of water proof solid foam PVC bar of size 20 x 32mm, reinforced by 32 x 32mm - 2 Nos., for vertical made out of LVL (Laminated Veneer Lumber), core material of 32mm thick high density craft paper honey comb board, sandwiched on both sides with pre-laminated ABS sheet thickness of 1.5mm. PVC edge banding of size 0.45mm on the vertical sides. Hardware made out of steel coated butterfly hinges - 3 Nos., for each shutter and ISI make SS round lock complete for finished item of work, complete complying with the standard specification. The door shutter and frame should be got approved from the Executive Engineer before use on work</t>
  </si>
  <si>
    <t>Plain Pre-laminated Door</t>
  </si>
  <si>
    <t>Providing Cup-board Shutter with frame using termite / water proof plywood of 19mm thick over which laminated sheet of 0.8mm thick fixed inside the shutter and 1mm thick fixed in the outside of the shutter using fevicol along with necessary
furniture fittings, such as, hydralic hinges, tower bolt,
handles, multi purpose locks etc., as directed by the
Departmental Officers. The design pattern, water proof
plywood, laminate sheet and other materials should be got approved from the Executive Engineer befoe use on work.</t>
  </si>
  <si>
    <t>Providing Cup-board Shutter with frame using termite / water proof plywood of 19mm thick over which laminated sheet of 0.8mm thick fixed inside the shutter and 1mm thick fixed in the outside of the shutter using fevicol along with necessary
furniture fittings, such as, hydralic hinges, tower bolt,
handles, multi purpose locks etc., as directed by the
Departmental Officers. The design pattern, water proof plywood, laminate sheet and other materials should be got approved from the Executive Engineer befoe use on work.</t>
  </si>
  <si>
    <t>Providing wooden Melamine polish for new wood work</t>
  </si>
  <si>
    <t xml:space="preserve">Supply and fixng of AC Metal clad </t>
  </si>
  <si>
    <t>As per above ceiling Fan</t>
  </si>
  <si>
    <t xml:space="preserve">SEPTIC TANK - DETAILED </t>
  </si>
  <si>
    <t>Inter locking paver block stone 83mm thick (pwd -p 41/19</t>
  </si>
  <si>
    <t>Stone cutter I class</t>
  </si>
  <si>
    <t>Sand filling for pointing</t>
  </si>
  <si>
    <t>Rate for 1 SQM</t>
  </si>
  <si>
    <t>ONE COAT OF WALL PATTY         CHENNAI CITY</t>
  </si>
  <si>
    <t>Supplying and Laying of inter locking paver block stone 83 mm  tk over base layer sand filling including cost of materials laying and hammering charges etc.</t>
  </si>
  <si>
    <t>d) 50 mm dia G.I pipe.</t>
  </si>
  <si>
    <t>Labour charge for laying of  3.5 core 35 sq.mm approved quality excluding civil works such as providing trench below G.L</t>
  </si>
  <si>
    <t>Labour charge for laying of  3.5 core 35 sq.mm approved quality excluding fixing vertical wall above ground level</t>
  </si>
  <si>
    <t>Main building</t>
  </si>
  <si>
    <t>EB Pole vertical &amp; Pump</t>
  </si>
  <si>
    <t>pump room &amp; Pump room</t>
  </si>
  <si>
    <t>Fire station</t>
  </si>
  <si>
    <t>EB pole to Main block</t>
  </si>
  <si>
    <t>EB pole to vertical Main block, Pump room</t>
  </si>
  <si>
    <t>a) 50 mm dia G.I Bend</t>
  </si>
  <si>
    <t xml:space="preserve">b) 50 mm dia G.I coupling </t>
  </si>
  <si>
    <t>Building around</t>
  </si>
  <si>
    <t>Parking area</t>
  </si>
  <si>
    <t>Front elevation wall ( 32.40m)</t>
  </si>
  <si>
    <t>Supply and fixing of 13 Persons Passenger Lift Car Size (2000 x 1100)Gearless Lift without Machine Room</t>
  </si>
  <si>
    <t>Each/SOR</t>
  </si>
  <si>
    <t xml:space="preserve">As per item no 13.1 deduction </t>
  </si>
  <si>
    <t>Provision for Cabin arrangement and furniture arrangements</t>
  </si>
  <si>
    <t xml:space="preserve">Abstrat Estimate </t>
  </si>
  <si>
    <t>EB pole to office building</t>
  </si>
  <si>
    <t>Main vertical</t>
  </si>
  <si>
    <t>DATA - A Panel for 1 services Pollution control</t>
  </si>
  <si>
    <t>in kgm      45.738 x 1.17                  =  53.513 kgm</t>
  </si>
  <si>
    <t>6 Sq.mm. single core PVC copper cables for connection between fuse units and meter and between meter and 32A TPN MCB (P-125  it-2e)</t>
  </si>
  <si>
    <t>Add: VAT @ 14.5%</t>
  </si>
  <si>
    <t>A Panel for 1 services Pollution control Length = 3.3ft.       Height =3.3 ft.   Depth = 1.ft. Requirement of 16 SWG MS sheet : Front and back   1x2x3.3x3.3           = 21.78sq.ft.Top and bottom 1x2x3.3x 1.0           = 6.6 sq.ft. Between bus 1 x 2 x 3.3x 1.0                = 6.6 sq.ft. Two sides      1x2x3.3x 1.0               = 6.6 sq.ft. Total =  41.58   sqft</t>
  </si>
  <si>
    <t>For the year 2022-23 (Including 12.5% escalation)      Say Rs.</t>
  </si>
  <si>
    <t>Numbering &amp; lettering</t>
  </si>
  <si>
    <t>9" lettering</t>
  </si>
  <si>
    <t xml:space="preserve">jkpo;ehL khRfl;;;;LghL thhpak; </t>
  </si>
  <si>
    <t xml:space="preserve">Njdp khtl;lk; </t>
  </si>
  <si>
    <t>6" lettering</t>
  </si>
  <si>
    <t>jiujsk;</t>
  </si>
  <si>
    <t>fye;jha;T muq;fk;</t>
  </si>
  <si>
    <t>foptiw (ngz;)</t>
  </si>
  <si>
    <t>foptiw (Mz;)</t>
  </si>
  <si>
    <t>Xl;Leh; miw</t>
  </si>
  <si>
    <t>kpd;rhu miw</t>
  </si>
  <si>
    <t>ghJfhg;G miw</t>
  </si>
  <si>
    <t>Kjy;jsk;</t>
  </si>
  <si>
    <t>fhw;Wju miw</t>
  </si>
  <si>
    <t>itg;giw</t>
  </si>
  <si>
    <t>Nfhg;Gfs;</t>
  </si>
  <si>
    <t>ghh;itahsh;fs; miw</t>
  </si>
  <si>
    <t>gzpepiyak;</t>
  </si>
  <si>
    <t>fhnzhspf;fhl;rpauq;fk;</t>
  </si>
  <si>
    <t>khtl;l Rw;Wr;#oy; nghwpahsh;</t>
  </si>
  <si>
    <t>cjtpnraw;nghwpahsh;</t>
  </si>
  <si>
    <t>cjtp;nghwpahsh;</t>
  </si>
  <si>
    <t>,uz;lhk;jsk;</t>
  </si>
  <si>
    <t>Ehyfk;</t>
  </si>
  <si>
    <t>fhw;WkhR Ma;tfk;</t>
  </si>
  <si>
    <t>ePh;khR Ma;tfk;</t>
  </si>
  <si>
    <t>Horizontal wall</t>
  </si>
  <si>
    <t>5amps 5 pin plug point</t>
  </si>
  <si>
    <t>5amps 5 pin plug point(convenient plug point)</t>
  </si>
  <si>
    <t>Supplying of laying of membrane</t>
  </si>
  <si>
    <t>Concrete designer tiles for portico</t>
  </si>
  <si>
    <t>S&amp;F 9w LED</t>
  </si>
  <si>
    <t>S&amp;F 18w LED bulk head fitting</t>
  </si>
  <si>
    <t>18W bulb suitable for bulk head</t>
  </si>
  <si>
    <t>Scheme name board</t>
  </si>
  <si>
    <t>Filling with gravel</t>
  </si>
  <si>
    <t>Supplying and fixing of mild steel hold fast</t>
  </si>
  <si>
    <t>In GF doors</t>
  </si>
  <si>
    <t>In FF doors</t>
  </si>
  <si>
    <t>Item no.4.1</t>
  </si>
  <si>
    <t>Bw in Cm 1:5 , foundation and basement</t>
  </si>
</sst>
</file>

<file path=xl/styles.xml><?xml version="1.0" encoding="utf-8"?>
<styleSheet xmlns="http://schemas.openxmlformats.org/spreadsheetml/2006/main">
  <numFmts count="13">
    <numFmt numFmtId="164" formatCode="_(&quot;$&quot;* #,##0_);_(&quot;$&quot;* \(#,##0\);_(&quot;$&quot;* &quot;-&quot;_);_(@_)"/>
    <numFmt numFmtId="165" formatCode="&quot;Rs.&quot;\ #,##0;&quot;Rs.&quot;\ \-#,##0"/>
    <numFmt numFmtId="166" formatCode="0.00_)"/>
    <numFmt numFmtId="167" formatCode="0_)"/>
    <numFmt numFmtId="168" formatCode="0.000_)"/>
    <numFmt numFmtId="169" formatCode="0.0_)"/>
    <numFmt numFmtId="170" formatCode="0.00000_)"/>
    <numFmt numFmtId="171" formatCode="0.0000_)"/>
    <numFmt numFmtId="172" formatCode="0.000000_)"/>
    <numFmt numFmtId="173" formatCode="0.0"/>
    <numFmt numFmtId="174" formatCode="0.000"/>
    <numFmt numFmtId="175" formatCode="0.0000"/>
    <numFmt numFmtId="176" formatCode="0.00000000_)"/>
  </numFmts>
  <fonts count="211">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20"/>
      <name val="Arial"/>
      <family val="2"/>
    </font>
    <font>
      <i/>
      <sz val="20"/>
      <name val="Arial"/>
      <family val="2"/>
    </font>
    <font>
      <sz val="17"/>
      <name val="Arial"/>
      <family val="2"/>
    </font>
    <font>
      <i/>
      <sz val="17"/>
      <name val="Arial"/>
      <family val="2"/>
    </font>
    <font>
      <b/>
      <u/>
      <sz val="14"/>
      <name val="Helv"/>
    </font>
    <font>
      <sz val="11.9"/>
      <name val="Helv"/>
    </font>
    <font>
      <u/>
      <sz val="12"/>
      <name val="Arial"/>
      <family val="2"/>
    </font>
    <font>
      <b/>
      <u/>
      <sz val="12"/>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sz val="20"/>
      <name val="Times New Roman"/>
      <family val="1"/>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sz val="12"/>
      <name val="Arial Narrow"/>
      <family val="2"/>
    </font>
    <font>
      <b/>
      <sz val="12"/>
      <name val="Arial Narrow"/>
      <family val="2"/>
    </font>
    <font>
      <u/>
      <sz val="12"/>
      <name val="Arial Narrow"/>
      <family val="2"/>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4"/>
      <name val="Times New Roman"/>
      <family val="1"/>
    </font>
    <font>
      <b/>
      <sz val="14"/>
      <name val="Times New Roman"/>
      <family val="1"/>
    </font>
    <font>
      <sz val="12"/>
      <name val="Bookman Old Style"/>
      <family val="1"/>
    </font>
    <font>
      <sz val="11"/>
      <color theme="1"/>
      <name val="Calibri"/>
      <family val="2"/>
      <scheme val="minor"/>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1"/>
      <name val="Arial"/>
      <family val="2"/>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20"/>
      <color theme="0"/>
      <name val="Arial"/>
      <family val="2"/>
    </font>
    <font>
      <sz val="14"/>
      <color rgb="FFFFFF00"/>
      <name val="Arial"/>
      <family val="2"/>
    </font>
    <font>
      <sz val="16"/>
      <color rgb="FFFFFF00"/>
      <name val="Helv"/>
    </font>
    <font>
      <sz val="20"/>
      <color rgb="FFFF0000"/>
      <name val="Arial"/>
      <family val="2"/>
    </font>
    <font>
      <sz val="18"/>
      <color theme="1"/>
      <name val="Arial"/>
      <family val="2"/>
    </font>
    <font>
      <sz val="20"/>
      <color theme="1"/>
      <name val="Arial"/>
      <family val="2"/>
    </font>
    <font>
      <b/>
      <u/>
      <sz val="16"/>
      <color theme="1"/>
      <name val="Arial Narrow"/>
      <family val="2"/>
    </font>
    <font>
      <sz val="12"/>
      <color theme="1"/>
      <name val="Arial Narrow"/>
      <family val="2"/>
    </font>
    <font>
      <sz val="18"/>
      <color rgb="FFFFFF00"/>
      <name val="Helv"/>
    </font>
    <font>
      <i/>
      <sz val="20"/>
      <color theme="1"/>
      <name val="Arial"/>
      <family val="2"/>
    </font>
    <font>
      <i/>
      <sz val="17"/>
      <color theme="1"/>
      <name val="Arial"/>
      <family val="2"/>
    </font>
    <font>
      <sz val="12"/>
      <color rgb="FFFF66FF"/>
      <name val="Helv"/>
    </font>
    <font>
      <sz val="12"/>
      <color rgb="FFFF00FF"/>
      <name val="Helv"/>
    </font>
    <font>
      <sz val="10"/>
      <color rgb="FFFFFF00"/>
      <name val="Arial"/>
      <family val="2"/>
    </font>
    <font>
      <sz val="13"/>
      <color rgb="FFFF0000"/>
      <name val="Arial"/>
      <family val="2"/>
    </font>
    <font>
      <sz val="12"/>
      <color rgb="FF00B050"/>
      <name val="Helv"/>
    </font>
    <font>
      <b/>
      <u/>
      <sz val="12"/>
      <color theme="0"/>
      <name val="Arial"/>
      <family val="2"/>
    </font>
    <font>
      <b/>
      <sz val="16"/>
      <color theme="1"/>
      <name val="Calibri"/>
      <family val="2"/>
      <scheme val="minor"/>
    </font>
    <font>
      <b/>
      <sz val="12"/>
      <name val="Cambria"/>
      <family val="1"/>
      <scheme val="major"/>
    </font>
    <font>
      <b/>
      <sz val="16"/>
      <name val="Cambria"/>
      <family val="1"/>
      <scheme val="major"/>
    </font>
    <font>
      <b/>
      <sz val="14"/>
      <name val="Cambria"/>
      <family val="1"/>
      <scheme val="major"/>
    </font>
    <font>
      <sz val="14"/>
      <name val="Cambria"/>
      <family val="1"/>
      <scheme val="major"/>
    </font>
    <font>
      <sz val="15"/>
      <name val="Cambria"/>
      <family val="1"/>
      <scheme val="major"/>
    </font>
    <font>
      <sz val="13"/>
      <name val="Cambria"/>
      <family val="1"/>
      <scheme val="major"/>
    </font>
    <font>
      <b/>
      <sz val="13"/>
      <name val="Cambria"/>
      <family val="1"/>
      <scheme val="major"/>
    </font>
    <font>
      <b/>
      <sz val="15"/>
      <name val="Cambria"/>
      <family val="1"/>
      <scheme val="major"/>
    </font>
    <font>
      <sz val="16"/>
      <name val="Cambria"/>
      <family val="1"/>
      <scheme val="major"/>
    </font>
    <font>
      <sz val="12"/>
      <name val="Cambria"/>
      <family val="1"/>
      <scheme val="major"/>
    </font>
    <font>
      <b/>
      <sz val="18"/>
      <name val="Cambria"/>
      <family val="1"/>
      <scheme val="major"/>
    </font>
    <font>
      <b/>
      <sz val="14"/>
      <color theme="1"/>
      <name val="Times New Roman"/>
      <family val="1"/>
    </font>
    <font>
      <b/>
      <sz val="12"/>
      <color theme="1"/>
      <name val="Times New Roman"/>
      <family val="1"/>
    </font>
    <font>
      <sz val="14"/>
      <color theme="1"/>
      <name val="Times New Roman"/>
      <family val="1"/>
    </font>
    <font>
      <sz val="11"/>
      <color theme="1"/>
      <name val="Times New Roman"/>
      <family val="1"/>
    </font>
    <font>
      <b/>
      <sz val="11"/>
      <color theme="1"/>
      <name val="Times New Roman"/>
      <family val="1"/>
    </font>
    <font>
      <sz val="20"/>
      <name val="Cambria"/>
      <family val="1"/>
      <scheme val="major"/>
    </font>
    <font>
      <i/>
      <sz val="20"/>
      <name val="Cambria"/>
      <family val="1"/>
      <scheme val="major"/>
    </font>
    <font>
      <sz val="20"/>
      <color theme="1"/>
      <name val="Cambria"/>
      <family val="1"/>
      <scheme val="major"/>
    </font>
    <font>
      <sz val="10"/>
      <name val="Arial"/>
      <family val="2"/>
    </font>
    <font>
      <sz val="12"/>
      <color theme="1"/>
      <name val="Cambria"/>
      <family val="1"/>
      <scheme val="major"/>
    </font>
    <font>
      <sz val="18"/>
      <color theme="1"/>
      <name val="Cambria"/>
      <family val="1"/>
      <scheme val="major"/>
    </font>
    <font>
      <sz val="18"/>
      <name val="Cambria"/>
      <family val="1"/>
      <scheme val="major"/>
    </font>
    <font>
      <sz val="16"/>
      <color theme="1"/>
      <name val="Cambria"/>
      <family val="1"/>
      <scheme val="major"/>
    </font>
    <font>
      <sz val="17"/>
      <name val="Cambria"/>
      <family val="1"/>
      <scheme val="major"/>
    </font>
    <font>
      <i/>
      <sz val="18"/>
      <name val="Cambria"/>
      <family val="1"/>
      <scheme val="major"/>
    </font>
    <font>
      <b/>
      <sz val="18"/>
      <color theme="1"/>
      <name val="Cambria"/>
      <family val="1"/>
      <scheme val="major"/>
    </font>
    <font>
      <b/>
      <sz val="20"/>
      <name val="Cambria"/>
      <family val="1"/>
      <scheme val="major"/>
    </font>
    <font>
      <b/>
      <sz val="20"/>
      <color theme="1"/>
      <name val="Cambria"/>
      <family val="1"/>
      <scheme val="major"/>
    </font>
    <font>
      <i/>
      <sz val="17"/>
      <name val="Cambria"/>
      <family val="1"/>
      <scheme val="major"/>
    </font>
    <font>
      <sz val="18"/>
      <color rgb="FFFF0000"/>
      <name val="Cambria"/>
      <family val="1"/>
      <scheme val="major"/>
    </font>
    <font>
      <u/>
      <sz val="18"/>
      <color theme="1"/>
      <name val="Cambria"/>
      <family val="1"/>
      <scheme val="major"/>
    </font>
    <font>
      <b/>
      <sz val="17"/>
      <name val="Cambria"/>
      <family val="1"/>
      <scheme val="major"/>
    </font>
    <font>
      <b/>
      <sz val="13"/>
      <name val="Cambria"/>
      <family val="1"/>
    </font>
    <font>
      <sz val="17"/>
      <color theme="1"/>
      <name val="Cambria"/>
      <family val="1"/>
      <scheme val="major"/>
    </font>
    <font>
      <sz val="16.5"/>
      <name val="Cambria"/>
      <family val="1"/>
      <scheme val="major"/>
    </font>
    <font>
      <b/>
      <sz val="18"/>
      <color rgb="FFFF0000"/>
      <name val="Cambria"/>
      <family val="1"/>
      <scheme val="major"/>
    </font>
    <font>
      <sz val="18"/>
      <color theme="0"/>
      <name val="Cambria"/>
      <family val="1"/>
      <scheme val="major"/>
    </font>
    <font>
      <b/>
      <sz val="14"/>
      <color theme="1"/>
      <name val="Cambria"/>
      <family val="1"/>
      <scheme val="major"/>
    </font>
    <font>
      <b/>
      <sz val="11"/>
      <color theme="1"/>
      <name val="Cambria"/>
      <family val="1"/>
      <scheme val="major"/>
    </font>
    <font>
      <sz val="11"/>
      <color theme="1"/>
      <name val="Cambria"/>
      <family val="1"/>
      <scheme val="major"/>
    </font>
    <font>
      <vertAlign val="superscript"/>
      <sz val="11"/>
      <color indexed="8"/>
      <name val="Cambria"/>
      <family val="1"/>
    </font>
    <font>
      <b/>
      <sz val="12"/>
      <color theme="1"/>
      <name val="Calibri"/>
      <family val="2"/>
      <scheme val="minor"/>
    </font>
    <font>
      <sz val="12"/>
      <color theme="1"/>
      <name val="Calibri"/>
      <family val="2"/>
      <scheme val="minor"/>
    </font>
    <font>
      <b/>
      <sz val="11"/>
      <color indexed="8"/>
      <name val="Cambria"/>
      <family val="1"/>
    </font>
    <font>
      <sz val="11"/>
      <name val="Cambria"/>
      <family val="1"/>
      <scheme val="major"/>
    </font>
    <font>
      <b/>
      <sz val="19"/>
      <name val="Cambria"/>
      <family val="1"/>
      <scheme val="major"/>
    </font>
    <font>
      <b/>
      <u/>
      <sz val="16"/>
      <name val="Cambria"/>
      <family val="1"/>
      <scheme val="major"/>
    </font>
    <font>
      <sz val="10"/>
      <name val="Cambria"/>
      <family val="1"/>
      <scheme val="major"/>
    </font>
    <font>
      <b/>
      <sz val="12"/>
      <color theme="1"/>
      <name val="Cambria"/>
      <family val="1"/>
      <scheme val="major"/>
    </font>
    <font>
      <sz val="12"/>
      <name val="Cambria"/>
      <family val="1"/>
    </font>
    <font>
      <u/>
      <sz val="11"/>
      <color theme="1"/>
      <name val="Cambria"/>
      <family val="1"/>
      <scheme val="major"/>
    </font>
    <font>
      <sz val="12"/>
      <color theme="1"/>
      <name val="Times New Roman"/>
      <family val="1"/>
    </font>
    <font>
      <b/>
      <u/>
      <sz val="12"/>
      <color theme="1"/>
      <name val="Times New Roman"/>
      <family val="1"/>
    </font>
    <font>
      <sz val="14"/>
      <color theme="1"/>
      <name val="Cambria"/>
      <family val="1"/>
      <scheme val="major"/>
    </font>
    <font>
      <sz val="12"/>
      <name val="Bamini"/>
      <family val="2"/>
    </font>
    <font>
      <b/>
      <sz val="12"/>
      <name val="Bamini"/>
      <family val="2"/>
    </font>
    <font>
      <sz val="12"/>
      <name val="Times New Roman"/>
      <family val="1"/>
    </font>
  </fonts>
  <fills count="13">
    <fill>
      <patternFill patternType="none"/>
    </fill>
    <fill>
      <patternFill patternType="gray125"/>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0070C0"/>
        <bgColor indexed="64"/>
      </patternFill>
    </fill>
    <fill>
      <patternFill patternType="solid">
        <fgColor rgb="FF7030A0"/>
        <bgColor indexed="64"/>
      </patternFill>
    </fill>
  </fills>
  <borders count="25">
    <border>
      <left/>
      <right/>
      <top/>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hair">
        <color indexed="64"/>
      </left>
      <right style="hair">
        <color indexed="64"/>
      </right>
      <top style="hair">
        <color indexed="64"/>
      </top>
      <bottom/>
      <diagonal/>
    </border>
    <border>
      <left/>
      <right/>
      <top style="double">
        <color indexed="64"/>
      </top>
      <bottom/>
      <diagonal/>
    </border>
    <border>
      <left/>
      <right/>
      <top/>
      <bottom style="double">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hair">
        <color indexed="64"/>
      </top>
      <bottom/>
      <diagonal/>
    </border>
  </borders>
  <cellStyleXfs count="29">
    <xf numFmtId="166" fontId="0" fillId="0" borderId="0"/>
    <xf numFmtId="164" fontId="13" fillId="0" borderId="0"/>
    <xf numFmtId="165" fontId="13" fillId="0" borderId="0"/>
    <xf numFmtId="0" fontId="100" fillId="0" borderId="0"/>
    <xf numFmtId="0" fontId="64" fillId="0" borderId="0"/>
    <xf numFmtId="0" fontId="64" fillId="0" borderId="0"/>
    <xf numFmtId="0" fontId="64" fillId="0" borderId="0"/>
    <xf numFmtId="0" fontId="100" fillId="0" borderId="0"/>
    <xf numFmtId="0" fontId="64" fillId="0" borderId="0"/>
    <xf numFmtId="0" fontId="64" fillId="0" borderId="0"/>
    <xf numFmtId="166" fontId="13" fillId="0" borderId="0"/>
    <xf numFmtId="0" fontId="100" fillId="0" borderId="0"/>
    <xf numFmtId="0" fontId="64" fillId="0" borderId="0"/>
    <xf numFmtId="0" fontId="64" fillId="0" borderId="0"/>
    <xf numFmtId="0" fontId="64" fillId="0" borderId="0"/>
    <xf numFmtId="0" fontId="5" fillId="0" borderId="0"/>
    <xf numFmtId="0" fontId="64" fillId="0" borderId="0"/>
    <xf numFmtId="0" fontId="5" fillId="0" borderId="0"/>
    <xf numFmtId="9" fontId="5" fillId="0" borderId="0" applyFont="0" applyFill="0" applyBorder="0" applyAlignment="0" applyProtection="0"/>
    <xf numFmtId="0" fontId="4" fillId="0" borderId="0"/>
    <xf numFmtId="0" fontId="5" fillId="0" borderId="0"/>
    <xf numFmtId="166" fontId="13" fillId="0" borderId="0"/>
    <xf numFmtId="166" fontId="13" fillId="0" borderId="0"/>
    <xf numFmtId="0" fontId="3" fillId="0" borderId="0"/>
    <xf numFmtId="0" fontId="2" fillId="0" borderId="0"/>
    <xf numFmtId="0" fontId="172" fillId="0" borderId="0"/>
    <xf numFmtId="0" fontId="5" fillId="0" borderId="0"/>
    <xf numFmtId="0" fontId="5" fillId="0" borderId="0"/>
    <xf numFmtId="9" fontId="172" fillId="0" borderId="0" applyFont="0" applyFill="0" applyBorder="0" applyAlignment="0" applyProtection="0"/>
  </cellStyleXfs>
  <cellXfs count="1585">
    <xf numFmtId="166" fontId="0" fillId="0" borderId="0" xfId="0"/>
    <xf numFmtId="166" fontId="0" fillId="0" borderId="0" xfId="0" applyNumberFormat="1" applyAlignment="1" applyProtection="1">
      <alignment horizontal="left"/>
    </xf>
    <xf numFmtId="166" fontId="0" fillId="0" borderId="0" xfId="0" applyNumberFormat="1" applyAlignment="1" applyProtection="1">
      <alignment horizontal="center"/>
    </xf>
    <xf numFmtId="166" fontId="0" fillId="0" borderId="0" xfId="0" applyAlignment="1"/>
    <xf numFmtId="166" fontId="0" fillId="0" borderId="0" xfId="0" applyAlignment="1">
      <alignment horizontal="center"/>
    </xf>
    <xf numFmtId="166" fontId="0" fillId="0" borderId="0" xfId="0" applyNumberFormat="1" applyAlignment="1" applyProtection="1">
      <alignment horizontal="fill"/>
    </xf>
    <xf numFmtId="166" fontId="0" fillId="0" borderId="0" xfId="0" applyNumberFormat="1" applyAlignment="1" applyProtection="1">
      <alignment horizontal="right"/>
    </xf>
    <xf numFmtId="166" fontId="0" fillId="0" borderId="0" xfId="0" applyNumberFormat="1" applyAlignment="1" applyProtection="1"/>
    <xf numFmtId="166" fontId="0" fillId="0" borderId="0" xfId="0" applyNumberFormat="1" applyProtection="1"/>
    <xf numFmtId="166" fontId="8" fillId="0" borderId="0" xfId="0" applyNumberFormat="1" applyFont="1" applyProtection="1"/>
    <xf numFmtId="167" fontId="0" fillId="0" borderId="0" xfId="0" applyNumberFormat="1" applyProtection="1"/>
    <xf numFmtId="166" fontId="0" fillId="0" borderId="0" xfId="0" applyAlignment="1">
      <alignment horizontal="left"/>
    </xf>
    <xf numFmtId="167" fontId="0" fillId="0" borderId="0" xfId="0" applyNumberFormat="1" applyAlignment="1" applyProtection="1">
      <alignment horizontal="center"/>
    </xf>
    <xf numFmtId="168" fontId="0" fillId="0" borderId="0" xfId="0" applyNumberFormat="1" applyProtection="1"/>
    <xf numFmtId="169" fontId="0" fillId="0" borderId="0" xfId="0" applyNumberFormat="1" applyAlignment="1" applyProtection="1">
      <alignment horizontal="left"/>
    </xf>
    <xf numFmtId="170" fontId="0" fillId="0" borderId="0" xfId="0" applyNumberFormat="1" applyProtection="1"/>
    <xf numFmtId="171" fontId="0" fillId="0" borderId="0" xfId="0" applyNumberFormat="1" applyProtection="1"/>
    <xf numFmtId="170" fontId="0" fillId="0" borderId="0" xfId="0" applyNumberFormat="1" applyAlignment="1" applyProtection="1">
      <alignment horizontal="fill"/>
    </xf>
    <xf numFmtId="170" fontId="0" fillId="0" borderId="0" xfId="0" applyNumberFormat="1" applyAlignment="1" applyProtection="1">
      <alignment horizontal="left"/>
    </xf>
    <xf numFmtId="172" fontId="0" fillId="0" borderId="0" xfId="0" applyNumberFormat="1" applyProtection="1"/>
    <xf numFmtId="166" fontId="8" fillId="0" borderId="0" xfId="0" applyFont="1"/>
    <xf numFmtId="168" fontId="0" fillId="0" borderId="0" xfId="0" applyNumberFormat="1" applyAlignment="1" applyProtection="1">
      <alignment horizontal="center"/>
    </xf>
    <xf numFmtId="166" fontId="0" fillId="0" borderId="0" xfId="0" applyNumberFormat="1" applyAlignment="1" applyProtection="1">
      <alignment vertical="center"/>
    </xf>
    <xf numFmtId="166" fontId="0" fillId="0" borderId="0" xfId="0" applyNumberFormat="1" applyAlignment="1" applyProtection="1">
      <alignment horizontal="left" wrapText="1"/>
    </xf>
    <xf numFmtId="166" fontId="8" fillId="0" borderId="0" xfId="0" applyNumberFormat="1" applyFont="1" applyAlignment="1" applyProtection="1">
      <alignment horizontal="left"/>
    </xf>
    <xf numFmtId="169" fontId="0" fillId="0" borderId="0" xfId="0" applyNumberFormat="1" applyAlignment="1" applyProtection="1">
      <alignment horizontal="center"/>
    </xf>
    <xf numFmtId="169" fontId="0" fillId="0" borderId="0" xfId="0" applyNumberFormat="1" applyAlignment="1">
      <alignment horizontal="center" vertical="top"/>
    </xf>
    <xf numFmtId="166" fontId="0" fillId="0" borderId="0" xfId="0" applyNumberFormat="1" applyAlignment="1" applyProtection="1">
      <alignment horizontal="left" vertical="top" wrapText="1"/>
    </xf>
    <xf numFmtId="166" fontId="0" fillId="0" borderId="0" xfId="0" applyAlignment="1">
      <alignment wrapText="1"/>
    </xf>
    <xf numFmtId="169" fontId="0" fillId="0" borderId="0" xfId="0" applyNumberFormat="1"/>
    <xf numFmtId="169" fontId="0" fillId="0" borderId="0" xfId="0" applyNumberFormat="1" applyAlignment="1">
      <alignment horizontal="center" vertical="top" wrapText="1"/>
    </xf>
    <xf numFmtId="169" fontId="0" fillId="0" borderId="0" xfId="0" applyNumberFormat="1" applyAlignment="1">
      <alignment horizontal="center"/>
    </xf>
    <xf numFmtId="169" fontId="0" fillId="0" borderId="0" xfId="0" applyNumberFormat="1" applyAlignment="1" applyProtection="1">
      <alignment horizontal="center" vertical="top"/>
    </xf>
    <xf numFmtId="166" fontId="0" fillId="0" borderId="0" xfId="0" applyAlignment="1">
      <alignment horizontal="right"/>
    </xf>
    <xf numFmtId="166" fontId="12" fillId="0" borderId="0" xfId="0" applyNumberFormat="1" applyFont="1" applyAlignment="1" applyProtection="1">
      <alignment horizontal="left"/>
    </xf>
    <xf numFmtId="169" fontId="0" fillId="0" borderId="0" xfId="0" applyNumberFormat="1" applyAlignment="1" applyProtection="1">
      <alignment horizontal="center" vertical="top" wrapText="1"/>
    </xf>
    <xf numFmtId="166" fontId="0" fillId="0" borderId="0" xfId="0" applyNumberFormat="1" applyAlignment="1" applyProtection="1">
      <alignment horizontal="justify" vertical="top" wrapText="1"/>
    </xf>
    <xf numFmtId="166" fontId="12" fillId="0" borderId="0" xfId="0" applyFont="1"/>
    <xf numFmtId="166" fontId="12" fillId="0" borderId="0" xfId="0" applyNumberFormat="1" applyFont="1" applyAlignment="1" applyProtection="1">
      <alignment horizontal="left" wrapText="1"/>
    </xf>
    <xf numFmtId="166" fontId="12" fillId="0" borderId="0" xfId="0" applyNumberFormat="1" applyFont="1" applyProtection="1"/>
    <xf numFmtId="166" fontId="12" fillId="0" borderId="0" xfId="0" applyFont="1" applyAlignment="1">
      <alignment horizontal="center"/>
    </xf>
    <xf numFmtId="166" fontId="12" fillId="0" borderId="0" xfId="0" applyNumberFormat="1" applyFont="1" applyAlignment="1" applyProtection="1">
      <alignment horizontal="fill"/>
    </xf>
    <xf numFmtId="166" fontId="12" fillId="0" borderId="0" xfId="0" applyNumberFormat="1" applyFont="1" applyAlignment="1" applyProtection="1">
      <alignment horizontal="right"/>
    </xf>
    <xf numFmtId="169" fontId="13" fillId="0" borderId="0" xfId="0" applyNumberFormat="1" applyFont="1" applyAlignment="1">
      <alignment horizontal="center"/>
    </xf>
    <xf numFmtId="167" fontId="0" fillId="0" borderId="0" xfId="0" applyNumberFormat="1" applyAlignment="1">
      <alignment horizontal="center"/>
    </xf>
    <xf numFmtId="0" fontId="5" fillId="0" borderId="0" xfId="17"/>
    <xf numFmtId="0" fontId="5" fillId="0" borderId="0" xfId="17" applyAlignment="1">
      <alignment wrapText="1"/>
    </xf>
    <xf numFmtId="166" fontId="15" fillId="0" borderId="0" xfId="0" applyFont="1"/>
    <xf numFmtId="2" fontId="5" fillId="0" borderId="0" xfId="17" applyNumberFormat="1"/>
    <xf numFmtId="0" fontId="17" fillId="0" borderId="0" xfId="17" applyFont="1" applyAlignment="1">
      <alignment wrapText="1"/>
    </xf>
    <xf numFmtId="0" fontId="17" fillId="0" borderId="0" xfId="17" applyFont="1"/>
    <xf numFmtId="168" fontId="0" fillId="0" borderId="0" xfId="0" applyNumberFormat="1"/>
    <xf numFmtId="166" fontId="18" fillId="0" borderId="0" xfId="0" applyNumberFormat="1" applyFont="1" applyProtection="1"/>
    <xf numFmtId="166" fontId="12" fillId="0" borderId="0" xfId="0" applyFont="1" applyAlignment="1">
      <alignment horizontal="left" vertical="top" wrapText="1"/>
    </xf>
    <xf numFmtId="166" fontId="13" fillId="0" borderId="0" xfId="0" applyFont="1" applyAlignment="1"/>
    <xf numFmtId="166" fontId="13" fillId="0" borderId="0" xfId="0" applyFont="1"/>
    <xf numFmtId="166" fontId="0" fillId="0" borderId="0" xfId="0" quotePrefix="1"/>
    <xf numFmtId="166" fontId="13" fillId="0" borderId="0" xfId="0" quotePrefix="1" applyFont="1"/>
    <xf numFmtId="166" fontId="12" fillId="0" borderId="0" xfId="0" applyNumberFormat="1" applyFont="1" applyAlignment="1" applyProtection="1">
      <alignment horizontal="left" vertical="top" wrapText="1"/>
    </xf>
    <xf numFmtId="166" fontId="12" fillId="0" borderId="0" xfId="0" applyNumberFormat="1" applyFont="1" applyAlignment="1" applyProtection="1">
      <alignment horizontal="center"/>
    </xf>
    <xf numFmtId="166" fontId="0" fillId="0" borderId="0" xfId="0" applyAlignment="1">
      <alignment horizontal="left" wrapText="1"/>
    </xf>
    <xf numFmtId="166" fontId="13" fillId="0" borderId="0" xfId="0" applyNumberFormat="1" applyFont="1" applyAlignment="1" applyProtection="1">
      <alignment horizontal="center"/>
    </xf>
    <xf numFmtId="166" fontId="13" fillId="0" borderId="0" xfId="0" applyNumberFormat="1" applyFont="1" applyAlignment="1" applyProtection="1">
      <alignment horizontal="left"/>
    </xf>
    <xf numFmtId="166" fontId="13" fillId="0" borderId="0" xfId="0" applyNumberFormat="1" applyFont="1" applyAlignment="1" applyProtection="1">
      <alignment horizontal="fill"/>
    </xf>
    <xf numFmtId="166" fontId="13" fillId="0" borderId="0" xfId="0" applyNumberFormat="1" applyFont="1" applyProtection="1"/>
    <xf numFmtId="166" fontId="13" fillId="0" borderId="0" xfId="0" applyNumberFormat="1" applyFont="1" applyAlignment="1" applyProtection="1"/>
    <xf numFmtId="168" fontId="13" fillId="0" borderId="0" xfId="0" applyNumberFormat="1" applyFont="1" applyProtection="1"/>
    <xf numFmtId="166" fontId="13" fillId="0" borderId="0" xfId="0" quotePrefix="1" applyNumberFormat="1" applyFont="1" applyAlignment="1" applyProtection="1">
      <alignment horizontal="fill"/>
    </xf>
    <xf numFmtId="166" fontId="12" fillId="0" borderId="0" xfId="0" quotePrefix="1" applyNumberFormat="1" applyFont="1" applyProtection="1"/>
    <xf numFmtId="166" fontId="0" fillId="0" borderId="0" xfId="0" quotePrefix="1" applyNumberFormat="1" applyAlignment="1" applyProtection="1">
      <alignment horizontal="fill"/>
    </xf>
    <xf numFmtId="166" fontId="12" fillId="0" borderId="0" xfId="0" applyFont="1" applyAlignment="1">
      <alignment horizontal="left" wrapText="1"/>
    </xf>
    <xf numFmtId="166" fontId="13" fillId="0" borderId="0" xfId="0" quotePrefix="1" applyNumberFormat="1" applyFont="1" applyProtection="1"/>
    <xf numFmtId="166" fontId="13" fillId="0" borderId="0" xfId="0" applyFont="1" applyAlignment="1">
      <alignment horizontal="left"/>
    </xf>
    <xf numFmtId="166" fontId="12" fillId="0" borderId="0" xfId="0" applyFont="1" applyAlignment="1"/>
    <xf numFmtId="168" fontId="13" fillId="0" borderId="0" xfId="0" applyNumberFormat="1" applyFont="1"/>
    <xf numFmtId="166" fontId="13" fillId="0" borderId="0" xfId="0" applyNumberFormat="1" applyFont="1"/>
    <xf numFmtId="171" fontId="13" fillId="0" borderId="0" xfId="0" applyNumberFormat="1" applyFont="1"/>
    <xf numFmtId="170" fontId="13" fillId="0" borderId="0" xfId="0" applyNumberFormat="1" applyFont="1"/>
    <xf numFmtId="169" fontId="15" fillId="0" borderId="0" xfId="0" applyNumberFormat="1" applyFont="1" applyAlignment="1" applyProtection="1">
      <alignment horizontal="center"/>
    </xf>
    <xf numFmtId="166" fontId="15" fillId="0" borderId="0" xfId="0" applyFont="1" applyAlignment="1"/>
    <xf numFmtId="166" fontId="15" fillId="0" borderId="0" xfId="0" applyNumberFormat="1" applyFont="1" applyAlignment="1" applyProtection="1">
      <alignment horizontal="left"/>
    </xf>
    <xf numFmtId="166" fontId="15" fillId="0" borderId="0" xfId="0" applyNumberFormat="1" applyFont="1" applyAlignment="1" applyProtection="1">
      <alignment horizontal="fill"/>
    </xf>
    <xf numFmtId="166" fontId="15" fillId="0" borderId="0" xfId="0" applyNumberFormat="1" applyFont="1" applyAlignment="1" applyProtection="1">
      <alignment horizontal="center"/>
    </xf>
    <xf numFmtId="170" fontId="15" fillId="0" borderId="0" xfId="0" applyNumberFormat="1" applyFont="1" applyProtection="1"/>
    <xf numFmtId="170" fontId="15" fillId="0" borderId="0" xfId="0" applyNumberFormat="1" applyFont="1" applyAlignment="1" applyProtection="1">
      <alignment horizontal="left"/>
    </xf>
    <xf numFmtId="172" fontId="15" fillId="0" borderId="0" xfId="0" applyNumberFormat="1" applyFont="1" applyProtection="1"/>
    <xf numFmtId="166" fontId="15" fillId="0" borderId="0" xfId="0" applyNumberFormat="1" applyFont="1" applyAlignment="1" applyProtection="1"/>
    <xf numFmtId="166" fontId="15" fillId="0" borderId="0" xfId="0" applyNumberFormat="1" applyFont="1" applyProtection="1"/>
    <xf numFmtId="166" fontId="16" fillId="0" borderId="0" xfId="0" applyFont="1"/>
    <xf numFmtId="166" fontId="16" fillId="0" borderId="0" xfId="0" applyNumberFormat="1" applyFont="1" applyAlignment="1" applyProtection="1">
      <alignment horizontal="fill"/>
    </xf>
    <xf numFmtId="166" fontId="16" fillId="0" borderId="0" xfId="0" applyNumberFormat="1" applyFont="1" applyAlignment="1" applyProtection="1">
      <alignment horizontal="center"/>
    </xf>
    <xf numFmtId="166" fontId="16" fillId="0" borderId="0" xfId="0" applyNumberFormat="1" applyFont="1" applyProtection="1"/>
    <xf numFmtId="166" fontId="12" fillId="0" borderId="0" xfId="0" applyFont="1" applyAlignment="1">
      <alignment horizontal="right"/>
    </xf>
    <xf numFmtId="166" fontId="13" fillId="0" borderId="0" xfId="0" applyFont="1" applyAlignment="1">
      <alignment vertical="top" wrapText="1"/>
    </xf>
    <xf numFmtId="166" fontId="12" fillId="0" borderId="0" xfId="0" applyFont="1" applyAlignment="1">
      <alignment horizontal="right" vertical="top"/>
    </xf>
    <xf numFmtId="2" fontId="0" fillId="0" borderId="0" xfId="0" applyNumberFormat="1"/>
    <xf numFmtId="166" fontId="14" fillId="0" borderId="0" xfId="0" applyFont="1" applyAlignment="1">
      <alignment horizontal="right"/>
    </xf>
    <xf numFmtId="2" fontId="12" fillId="0" borderId="0" xfId="0" applyNumberFormat="1" applyFont="1"/>
    <xf numFmtId="166" fontId="0" fillId="0" borderId="0" xfId="0" applyNumberFormat="1" applyAlignment="1" applyProtection="1">
      <alignment horizontal="left" vertical="center"/>
    </xf>
    <xf numFmtId="166" fontId="12" fillId="0" borderId="0" xfId="0" applyFont="1" applyAlignment="1">
      <alignment horizontal="left"/>
    </xf>
    <xf numFmtId="166" fontId="15" fillId="0" borderId="0" xfId="0" applyFont="1" applyAlignment="1">
      <alignment horizontal="left"/>
    </xf>
    <xf numFmtId="166" fontId="16" fillId="0" borderId="0" xfId="0" applyFont="1" applyAlignment="1">
      <alignment horizontal="left"/>
    </xf>
    <xf numFmtId="0" fontId="14" fillId="0" borderId="0" xfId="17" applyFont="1"/>
    <xf numFmtId="0" fontId="14" fillId="0" borderId="0" xfId="17" applyFont="1" applyAlignment="1">
      <alignment horizontal="center"/>
    </xf>
    <xf numFmtId="0" fontId="19" fillId="0" borderId="0" xfId="17" applyFont="1" applyAlignment="1">
      <alignment horizontal="center"/>
    </xf>
    <xf numFmtId="2" fontId="20" fillId="0" borderId="1" xfId="15" applyNumberFormat="1" applyFont="1" applyBorder="1" applyAlignment="1">
      <alignment vertical="top" wrapText="1"/>
    </xf>
    <xf numFmtId="166" fontId="18" fillId="0" borderId="0" xfId="0" applyFont="1"/>
    <xf numFmtId="0" fontId="14" fillId="0" borderId="0" xfId="17" applyFont="1" applyAlignment="1">
      <alignment vertical="center" wrapText="1"/>
    </xf>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166" fontId="10" fillId="0" borderId="0" xfId="0" applyNumberFormat="1" applyFont="1" applyProtection="1"/>
    <xf numFmtId="166" fontId="25" fillId="0" borderId="0" xfId="0" applyFont="1"/>
    <xf numFmtId="166" fontId="25" fillId="0" borderId="0" xfId="0" applyFont="1" applyAlignment="1"/>
    <xf numFmtId="166" fontId="10" fillId="0" borderId="2" xfId="0" applyFont="1" applyBorder="1"/>
    <xf numFmtId="166" fontId="25" fillId="0" borderId="0" xfId="0" applyFont="1" applyAlignment="1">
      <alignment horizontal="center"/>
    </xf>
    <xf numFmtId="166" fontId="25" fillId="0" borderId="0" xfId="0" applyFont="1" applyAlignment="1">
      <alignment horizontal="right"/>
    </xf>
    <xf numFmtId="166" fontId="10" fillId="0" borderId="0" xfId="0" applyFont="1" applyAlignment="1">
      <alignment horizontal="right"/>
    </xf>
    <xf numFmtId="166" fontId="10" fillId="0" borderId="0" xfId="0" applyFont="1"/>
    <xf numFmtId="166" fontId="25" fillId="0" borderId="0" xfId="0" applyNumberFormat="1" applyFont="1" applyAlignment="1" applyProtection="1">
      <alignment horizontal="center"/>
    </xf>
    <xf numFmtId="166" fontId="25" fillId="0" borderId="0" xfId="0" applyNumberFormat="1" applyFont="1" applyAlignment="1" applyProtection="1"/>
    <xf numFmtId="166" fontId="25" fillId="0" borderId="0" xfId="0" applyNumberFormat="1" applyFont="1" applyAlignment="1" applyProtection="1">
      <alignment horizontal="left"/>
    </xf>
    <xf numFmtId="166" fontId="25" fillId="0" borderId="0" xfId="0" applyNumberFormat="1" applyFont="1" applyAlignment="1" applyProtection="1">
      <alignment horizontal="fill"/>
    </xf>
    <xf numFmtId="166" fontId="25" fillId="0" borderId="0" xfId="0" applyNumberFormat="1" applyFont="1" applyProtection="1"/>
    <xf numFmtId="166" fontId="10" fillId="0" borderId="0" xfId="0" applyFont="1" applyAlignment="1">
      <alignment horizontal="center"/>
    </xf>
    <xf numFmtId="166" fontId="10" fillId="0" borderId="0" xfId="0" applyNumberFormat="1" applyFont="1" applyAlignment="1" applyProtection="1">
      <alignment horizontal="right"/>
    </xf>
    <xf numFmtId="166" fontId="25" fillId="0" borderId="0" xfId="0" applyNumberFormat="1" applyFont="1" applyAlignment="1" applyProtection="1">
      <alignment horizontal="right"/>
    </xf>
    <xf numFmtId="169" fontId="25" fillId="0" borderId="0" xfId="0" applyNumberFormat="1" applyFont="1" applyAlignment="1" applyProtection="1">
      <alignment horizontal="center"/>
    </xf>
    <xf numFmtId="166" fontId="25" fillId="0" borderId="0" xfId="0" applyNumberFormat="1" applyFont="1" applyAlignment="1" applyProtection="1">
      <alignment horizontal="left" wrapText="1"/>
    </xf>
    <xf numFmtId="167" fontId="25" fillId="0" borderId="0" xfId="0" applyNumberFormat="1" applyFont="1" applyAlignment="1">
      <alignment horizontal="center"/>
    </xf>
    <xf numFmtId="168" fontId="25" fillId="0" borderId="0" xfId="0" applyNumberFormat="1" applyFont="1" applyAlignment="1"/>
    <xf numFmtId="168" fontId="25" fillId="0" borderId="0" xfId="0" applyNumberFormat="1" applyFont="1"/>
    <xf numFmtId="170" fontId="25" fillId="0" borderId="0" xfId="0" applyNumberFormat="1" applyFont="1" applyProtection="1"/>
    <xf numFmtId="170" fontId="25" fillId="0" borderId="0" xfId="0" applyNumberFormat="1" applyFont="1" applyAlignment="1" applyProtection="1">
      <alignment horizontal="center"/>
    </xf>
    <xf numFmtId="171" fontId="25" fillId="0" borderId="0" xfId="0" applyNumberFormat="1" applyFont="1" applyProtection="1"/>
    <xf numFmtId="168" fontId="25" fillId="0" borderId="0" xfId="0" applyNumberFormat="1" applyFont="1" applyProtection="1"/>
    <xf numFmtId="166" fontId="25" fillId="0" borderId="0" xfId="0" applyFont="1" applyAlignment="1">
      <alignment horizontal="left"/>
    </xf>
    <xf numFmtId="170" fontId="25" fillId="0" borderId="0" xfId="0" applyNumberFormat="1" applyFont="1" applyAlignment="1" applyProtection="1">
      <alignment horizontal="left"/>
    </xf>
    <xf numFmtId="171" fontId="25" fillId="0" borderId="0" xfId="0" applyNumberFormat="1" applyFont="1"/>
    <xf numFmtId="170" fontId="25" fillId="0" borderId="0" xfId="0" applyNumberFormat="1" applyFont="1"/>
    <xf numFmtId="172" fontId="25" fillId="0" borderId="0" xfId="0" applyNumberFormat="1" applyFont="1" applyProtection="1"/>
    <xf numFmtId="166" fontId="10" fillId="0" borderId="0" xfId="0" applyFont="1" applyAlignment="1">
      <alignment horizontal="left"/>
    </xf>
    <xf numFmtId="166" fontId="10" fillId="0" borderId="0" xfId="0" applyNumberFormat="1" applyFont="1" applyAlignment="1" applyProtection="1">
      <alignment horizontal="center"/>
    </xf>
    <xf numFmtId="166" fontId="10" fillId="0" borderId="0" xfId="0" applyFont="1" applyAlignment="1">
      <alignment vertical="top" wrapText="1"/>
    </xf>
    <xf numFmtId="166" fontId="25" fillId="0" borderId="0" xfId="0" applyFont="1" applyAlignment="1">
      <alignment vertical="top" wrapText="1"/>
    </xf>
    <xf numFmtId="166" fontId="25" fillId="0" borderId="0" xfId="0" applyFont="1" applyBorder="1"/>
    <xf numFmtId="166" fontId="25" fillId="0" borderId="0" xfId="0" applyFont="1" applyBorder="1" applyAlignment="1"/>
    <xf numFmtId="166" fontId="25" fillId="0" borderId="0" xfId="0" applyFont="1" applyBorder="1" applyAlignment="1">
      <alignment horizontal="center"/>
    </xf>
    <xf numFmtId="171" fontId="25" fillId="0" borderId="0" xfId="0" applyNumberFormat="1" applyFont="1" applyBorder="1" applyAlignment="1"/>
    <xf numFmtId="166" fontId="10" fillId="0" borderId="0" xfId="0" applyFont="1" applyBorder="1"/>
    <xf numFmtId="171" fontId="25" fillId="0" borderId="0" xfId="0" applyNumberFormat="1" applyFont="1" applyBorder="1"/>
    <xf numFmtId="166" fontId="25" fillId="0" borderId="0" xfId="0" applyFont="1" applyBorder="1" applyAlignment="1">
      <alignment horizontal="right"/>
    </xf>
    <xf numFmtId="166" fontId="25" fillId="0" borderId="0" xfId="0" applyFont="1" applyFill="1" applyBorder="1"/>
    <xf numFmtId="166" fontId="25" fillId="0" borderId="0" xfId="0" applyFont="1" applyFill="1" applyBorder="1" applyAlignment="1"/>
    <xf numFmtId="166" fontId="10" fillId="0" borderId="0" xfId="0" applyFont="1" applyBorder="1" applyAlignment="1"/>
    <xf numFmtId="166" fontId="0" fillId="0" borderId="0" xfId="0" applyFill="1" applyBorder="1"/>
    <xf numFmtId="2" fontId="20" fillId="0" borderId="0" xfId="15" applyNumberFormat="1" applyFont="1" applyBorder="1" applyAlignment="1">
      <alignment vertical="top" wrapText="1"/>
    </xf>
    <xf numFmtId="166" fontId="0" fillId="0" borderId="0" xfId="0" applyBorder="1" applyAlignment="1">
      <alignment horizontal="center"/>
    </xf>
    <xf numFmtId="171" fontId="12" fillId="0" borderId="0" xfId="0" applyNumberFormat="1" applyFont="1"/>
    <xf numFmtId="171" fontId="12" fillId="0" borderId="0" xfId="0" applyNumberFormat="1" applyFont="1" applyAlignment="1">
      <alignment horizontal="right"/>
    </xf>
    <xf numFmtId="166" fontId="18" fillId="0" borderId="0" xfId="0" applyNumberFormat="1" applyFont="1" applyAlignment="1" applyProtection="1">
      <alignment horizontal="left"/>
    </xf>
    <xf numFmtId="166" fontId="13" fillId="0" borderId="0" xfId="0" applyNumberFormat="1" applyFont="1" applyAlignment="1" applyProtection="1">
      <alignment horizontal="left" wrapText="1"/>
    </xf>
    <xf numFmtId="166" fontId="13" fillId="0" borderId="0" xfId="0" applyNumberFormat="1" applyFont="1" applyAlignment="1" applyProtection="1">
      <alignment vertical="center"/>
    </xf>
    <xf numFmtId="166" fontId="29" fillId="0" borderId="0" xfId="0" applyNumberFormat="1" applyFont="1" applyProtection="1"/>
    <xf numFmtId="166" fontId="30" fillId="0" borderId="0" xfId="0" applyFont="1"/>
    <xf numFmtId="166" fontId="31" fillId="0" borderId="0" xfId="0" applyFont="1"/>
    <xf numFmtId="166" fontId="32" fillId="0" borderId="0" xfId="0" applyNumberFormat="1" applyFont="1" applyProtection="1"/>
    <xf numFmtId="166" fontId="29" fillId="0" borderId="0" xfId="0" applyFont="1"/>
    <xf numFmtId="166" fontId="31" fillId="0" borderId="0" xfId="0" applyNumberFormat="1" applyFont="1" applyProtection="1"/>
    <xf numFmtId="166" fontId="29" fillId="0" borderId="0" xfId="0" applyNumberFormat="1" applyFont="1" applyAlignment="1" applyProtection="1">
      <alignment horizontal="right" vertical="center"/>
    </xf>
    <xf numFmtId="166" fontId="0" fillId="0" borderId="0" xfId="0" applyNumberFormat="1" applyFill="1" applyBorder="1" applyAlignment="1" applyProtection="1">
      <alignment horizontal="left"/>
    </xf>
    <xf numFmtId="170" fontId="0" fillId="0" borderId="0" xfId="0" applyNumberFormat="1"/>
    <xf numFmtId="166" fontId="33" fillId="0" borderId="0" xfId="0" applyNumberFormat="1" applyFont="1" applyProtection="1"/>
    <xf numFmtId="166" fontId="33" fillId="0" borderId="0" xfId="0" applyNumberFormat="1" applyFont="1" applyAlignment="1" applyProtection="1">
      <alignment vertical="center"/>
    </xf>
    <xf numFmtId="167" fontId="22" fillId="0" borderId="3" xfId="0" applyNumberFormat="1" applyFont="1" applyBorder="1" applyAlignment="1" applyProtection="1">
      <alignment horizontal="center"/>
    </xf>
    <xf numFmtId="166" fontId="0" fillId="0" borderId="4" xfId="0" applyNumberFormat="1" applyBorder="1" applyAlignment="1" applyProtection="1"/>
    <xf numFmtId="166" fontId="0" fillId="0" borderId="4" xfId="0" applyNumberFormat="1" applyBorder="1" applyAlignment="1" applyProtection="1">
      <alignment horizontal="left"/>
    </xf>
    <xf numFmtId="166" fontId="0" fillId="0" borderId="4" xfId="0" applyBorder="1"/>
    <xf numFmtId="166" fontId="0" fillId="0" borderId="4" xfId="0" applyBorder="1" applyAlignment="1">
      <alignment horizontal="left"/>
    </xf>
    <xf numFmtId="166" fontId="0" fillId="0" borderId="5" xfId="0" applyBorder="1"/>
    <xf numFmtId="166" fontId="0" fillId="0" borderId="6" xfId="0" applyBorder="1"/>
    <xf numFmtId="166" fontId="0" fillId="0" borderId="0" xfId="0" applyBorder="1" applyAlignment="1"/>
    <xf numFmtId="166" fontId="0" fillId="0" borderId="0" xfId="0" applyNumberFormat="1" applyBorder="1" applyAlignment="1" applyProtection="1">
      <alignment horizontal="left"/>
    </xf>
    <xf numFmtId="166" fontId="0" fillId="0" borderId="0" xfId="0" applyBorder="1"/>
    <xf numFmtId="166" fontId="0" fillId="0" borderId="0" xfId="0" applyBorder="1" applyAlignment="1">
      <alignment horizontal="left"/>
    </xf>
    <xf numFmtId="166" fontId="0" fillId="0" borderId="7" xfId="0" applyBorder="1"/>
    <xf numFmtId="166" fontId="0" fillId="0" borderId="0" xfId="0" applyNumberFormat="1" applyBorder="1" applyAlignment="1" applyProtection="1">
      <alignment horizontal="fill"/>
    </xf>
    <xf numFmtId="166" fontId="0" fillId="0" borderId="6" xfId="0" applyNumberFormat="1" applyBorder="1" applyProtection="1"/>
    <xf numFmtId="166" fontId="0" fillId="0" borderId="0" xfId="0" applyNumberFormat="1" applyBorder="1" applyAlignment="1" applyProtection="1"/>
    <xf numFmtId="166" fontId="0" fillId="0" borderId="0" xfId="0" applyNumberFormat="1" applyBorder="1" applyProtection="1"/>
    <xf numFmtId="166" fontId="0" fillId="0" borderId="0" xfId="0" applyNumberFormat="1" applyBorder="1" applyAlignment="1" applyProtection="1">
      <alignment horizontal="right"/>
    </xf>
    <xf numFmtId="166" fontId="12" fillId="0" borderId="0" xfId="0" applyNumberFormat="1" applyFont="1" applyBorder="1" applyAlignment="1" applyProtection="1">
      <alignment horizontal="center"/>
    </xf>
    <xf numFmtId="166" fontId="12" fillId="0" borderId="0" xfId="0" applyFont="1" applyBorder="1"/>
    <xf numFmtId="166" fontId="12" fillId="0" borderId="0" xfId="0" applyFont="1" applyBorder="1" applyAlignment="1">
      <alignment horizontal="left"/>
    </xf>
    <xf numFmtId="166" fontId="12" fillId="0" borderId="0" xfId="0" applyNumberFormat="1" applyFont="1" applyBorder="1" applyProtection="1"/>
    <xf numFmtId="166" fontId="0" fillId="0" borderId="8" xfId="0" applyBorder="1"/>
    <xf numFmtId="166" fontId="0" fillId="0" borderId="2" xfId="0" applyBorder="1" applyAlignment="1"/>
    <xf numFmtId="166" fontId="0" fillId="0" borderId="2" xfId="0" applyBorder="1"/>
    <xf numFmtId="166" fontId="0" fillId="0" borderId="2" xfId="0" applyBorder="1" applyAlignment="1">
      <alignment horizontal="left"/>
    </xf>
    <xf numFmtId="166" fontId="0" fillId="0" borderId="2" xfId="0" applyNumberFormat="1" applyBorder="1" applyAlignment="1" applyProtection="1">
      <alignment horizontal="fill"/>
    </xf>
    <xf numFmtId="166" fontId="0" fillId="0" borderId="9" xfId="0" applyBorder="1"/>
    <xf numFmtId="166" fontId="22" fillId="0" borderId="3" xfId="0" applyNumberFormat="1" applyFont="1" applyBorder="1" applyAlignment="1" applyProtection="1">
      <alignment horizontal="center"/>
    </xf>
    <xf numFmtId="168" fontId="0" fillId="0" borderId="6" xfId="0" applyNumberFormat="1" applyBorder="1" applyProtection="1"/>
    <xf numFmtId="168" fontId="0" fillId="0" borderId="8" xfId="0" applyNumberFormat="1" applyBorder="1" applyProtection="1"/>
    <xf numFmtId="166" fontId="12" fillId="0" borderId="2" xfId="0" applyNumberFormat="1" applyFont="1" applyBorder="1" applyAlignment="1" applyProtection="1">
      <alignment horizontal="center"/>
    </xf>
    <xf numFmtId="166" fontId="12" fillId="0" borderId="2" xfId="0" applyFont="1" applyBorder="1"/>
    <xf numFmtId="166" fontId="12" fillId="0" borderId="2" xfId="0" applyFont="1" applyBorder="1" applyAlignment="1">
      <alignment horizontal="left"/>
    </xf>
    <xf numFmtId="166" fontId="12" fillId="0" borderId="2" xfId="0" applyNumberFormat="1" applyFont="1" applyBorder="1" applyProtection="1"/>
    <xf numFmtId="166" fontId="25" fillId="0" borderId="3" xfId="0" applyFont="1" applyBorder="1"/>
    <xf numFmtId="166" fontId="25" fillId="0" borderId="4" xfId="0" applyFont="1" applyBorder="1"/>
    <xf numFmtId="169" fontId="25" fillId="0" borderId="6" xfId="0" applyNumberFormat="1" applyFont="1" applyBorder="1" applyAlignment="1" applyProtection="1">
      <alignment horizontal="center"/>
    </xf>
    <xf numFmtId="166" fontId="25" fillId="0" borderId="6" xfId="0" applyFont="1" applyBorder="1"/>
    <xf numFmtId="166" fontId="26" fillId="0" borderId="0" xfId="0" applyFont="1" applyBorder="1" applyAlignment="1">
      <alignment horizontal="fill"/>
    </xf>
    <xf numFmtId="166" fontId="25" fillId="0" borderId="8" xfId="0" applyFont="1" applyBorder="1"/>
    <xf numFmtId="166" fontId="25" fillId="0" borderId="2" xfId="0" applyFont="1" applyBorder="1" applyAlignment="1"/>
    <xf numFmtId="166" fontId="25" fillId="0" borderId="2" xfId="0" applyFont="1" applyBorder="1"/>
    <xf numFmtId="166" fontId="25" fillId="0" borderId="2" xfId="0" applyFont="1" applyBorder="1" applyAlignment="1">
      <alignment horizontal="center"/>
    </xf>
    <xf numFmtId="166" fontId="26" fillId="0" borderId="2" xfId="0" applyFont="1" applyBorder="1" applyAlignment="1">
      <alignment horizontal="fill"/>
    </xf>
    <xf numFmtId="166" fontId="0" fillId="0" borderId="0" xfId="0" quotePrefix="1" applyNumberFormat="1" applyProtection="1"/>
    <xf numFmtId="166" fontId="34" fillId="0" borderId="0" xfId="0" applyFont="1"/>
    <xf numFmtId="166" fontId="35" fillId="0" borderId="0" xfId="0" applyNumberFormat="1" applyFont="1" applyAlignment="1" applyProtection="1">
      <alignment horizontal="left"/>
    </xf>
    <xf numFmtId="167" fontId="36" fillId="0" borderId="0" xfId="0" applyNumberFormat="1" applyFont="1" applyProtection="1"/>
    <xf numFmtId="166" fontId="36" fillId="0" borderId="0" xfId="0" applyNumberFormat="1" applyFont="1" applyAlignment="1" applyProtection="1">
      <alignment horizontal="left"/>
    </xf>
    <xf numFmtId="166" fontId="36" fillId="0" borderId="0" xfId="0" applyNumberFormat="1" applyFont="1" applyProtection="1"/>
    <xf numFmtId="166" fontId="36" fillId="0" borderId="0" xfId="0" applyFont="1"/>
    <xf numFmtId="169" fontId="36" fillId="0" borderId="0" xfId="0" applyNumberFormat="1" applyFont="1"/>
    <xf numFmtId="166" fontId="36" fillId="0" borderId="0" xfId="0" applyNumberFormat="1" applyFont="1" applyAlignment="1" applyProtection="1">
      <alignment horizontal="center"/>
    </xf>
    <xf numFmtId="0" fontId="37" fillId="0" borderId="0" xfId="17" applyFont="1"/>
    <xf numFmtId="2" fontId="37" fillId="0" borderId="0" xfId="17" applyNumberFormat="1" applyFont="1"/>
    <xf numFmtId="166" fontId="39" fillId="0" borderId="0" xfId="0" applyNumberFormat="1" applyFont="1" applyProtection="1"/>
    <xf numFmtId="166" fontId="0" fillId="0" borderId="0" xfId="0" applyAlignment="1">
      <alignment vertical="top"/>
    </xf>
    <xf numFmtId="166" fontId="18" fillId="0" borderId="0" xfId="0" applyNumberFormat="1" applyFont="1" applyAlignment="1" applyProtection="1">
      <alignment horizontal="right"/>
    </xf>
    <xf numFmtId="172" fontId="45" fillId="2" borderId="0" xfId="0" applyNumberFormat="1" applyFont="1" applyFill="1" applyProtection="1"/>
    <xf numFmtId="166" fontId="45" fillId="2" borderId="0" xfId="0" applyNumberFormat="1" applyFont="1" applyFill="1" applyAlignment="1" applyProtection="1"/>
    <xf numFmtId="166" fontId="45" fillId="2" borderId="0" xfId="0" applyNumberFormat="1" applyFont="1" applyFill="1" applyAlignment="1" applyProtection="1">
      <alignment horizontal="left"/>
    </xf>
    <xf numFmtId="166" fontId="45" fillId="2" borderId="0" xfId="0" applyNumberFormat="1" applyFont="1" applyFill="1" applyProtection="1"/>
    <xf numFmtId="166" fontId="45" fillId="2" borderId="0" xfId="0" applyFont="1" applyFill="1"/>
    <xf numFmtId="166" fontId="0" fillId="0" borderId="0" xfId="0" applyNumberFormat="1" applyBorder="1" applyAlignment="1" applyProtection="1">
      <alignment horizontal="center"/>
    </xf>
    <xf numFmtId="166" fontId="6" fillId="0" borderId="0" xfId="0" applyNumberFormat="1" applyFont="1" applyBorder="1" applyAlignment="1" applyProtection="1">
      <alignment horizontal="center"/>
    </xf>
    <xf numFmtId="166" fontId="7" fillId="0" borderId="0" xfId="0" applyNumberFormat="1" applyFont="1" applyBorder="1" applyAlignment="1" applyProtection="1">
      <alignment horizontal="left"/>
    </xf>
    <xf numFmtId="166" fontId="8" fillId="0" borderId="0" xfId="0" applyNumberFormat="1" applyFont="1" applyBorder="1" applyProtection="1"/>
    <xf numFmtId="167" fontId="0" fillId="0" borderId="0" xfId="0" applyNumberFormat="1" applyBorder="1" applyProtection="1"/>
    <xf numFmtId="166" fontId="0" fillId="0" borderId="0" xfId="0" applyBorder="1" applyAlignment="1" applyProtection="1">
      <alignment horizontal="left"/>
    </xf>
    <xf numFmtId="167" fontId="0" fillId="0" borderId="0" xfId="0" applyNumberFormat="1" applyBorder="1" applyAlignment="1" applyProtection="1">
      <alignment horizontal="center"/>
    </xf>
    <xf numFmtId="166" fontId="13" fillId="0" borderId="0" xfId="0" applyNumberFormat="1" applyFont="1" applyAlignment="1" applyProtection="1">
      <alignment horizontal="right"/>
    </xf>
    <xf numFmtId="166" fontId="46" fillId="0" borderId="0" xfId="0" applyNumberFormat="1" applyFont="1" applyBorder="1" applyAlignment="1" applyProtection="1">
      <alignment horizontal="left" wrapText="1"/>
    </xf>
    <xf numFmtId="168" fontId="0" fillId="0" borderId="0" xfId="0" applyNumberFormat="1" applyBorder="1" applyProtection="1"/>
    <xf numFmtId="169" fontId="0" fillId="0" borderId="0" xfId="0" applyNumberFormat="1" applyBorder="1" applyAlignment="1" applyProtection="1">
      <alignment horizontal="center"/>
    </xf>
    <xf numFmtId="169" fontId="0" fillId="0" borderId="0" xfId="0" applyNumberFormat="1" applyBorder="1" applyAlignment="1" applyProtection="1">
      <alignment horizontal="left"/>
    </xf>
    <xf numFmtId="166" fontId="12" fillId="0" borderId="0" xfId="0" applyNumberFormat="1" applyFont="1" applyBorder="1" applyAlignment="1" applyProtection="1">
      <alignment horizontal="left"/>
    </xf>
    <xf numFmtId="166" fontId="12" fillId="0" borderId="0" xfId="0" applyNumberFormat="1" applyFont="1" applyBorder="1" applyAlignment="1" applyProtection="1">
      <alignment horizontal="left" wrapText="1"/>
    </xf>
    <xf numFmtId="166" fontId="0" fillId="0" borderId="0" xfId="0" applyNumberFormat="1" applyBorder="1" applyAlignment="1" applyProtection="1">
      <alignment horizontal="left" wrapText="1"/>
    </xf>
    <xf numFmtId="169" fontId="0" fillId="0" borderId="0" xfId="0" applyNumberFormat="1" applyBorder="1" applyAlignment="1">
      <alignment horizontal="center" vertical="top"/>
    </xf>
    <xf numFmtId="169" fontId="13" fillId="0" borderId="0" xfId="0" applyNumberFormat="1" applyFont="1" applyBorder="1" applyAlignment="1">
      <alignment horizontal="center"/>
    </xf>
    <xf numFmtId="166" fontId="0" fillId="0" borderId="0" xfId="0" applyNumberFormat="1" applyBorder="1" applyAlignment="1" applyProtection="1">
      <alignment horizontal="left" vertical="top" wrapText="1"/>
    </xf>
    <xf numFmtId="169" fontId="0" fillId="0" borderId="0" xfId="0" applyNumberFormat="1" applyBorder="1"/>
    <xf numFmtId="170" fontId="0" fillId="0" borderId="0" xfId="0" applyNumberFormat="1" applyBorder="1" applyProtection="1"/>
    <xf numFmtId="171" fontId="0" fillId="0" borderId="0" xfId="0" applyNumberFormat="1" applyBorder="1" applyProtection="1"/>
    <xf numFmtId="169" fontId="0" fillId="0" borderId="0" xfId="0" applyNumberFormat="1" applyBorder="1" applyAlignment="1">
      <alignment horizontal="center"/>
    </xf>
    <xf numFmtId="167" fontId="0" fillId="0" borderId="0" xfId="0" applyNumberFormat="1" applyBorder="1" applyAlignment="1" applyProtection="1">
      <alignment horizontal="left"/>
    </xf>
    <xf numFmtId="167" fontId="0" fillId="0" borderId="0" xfId="0" applyNumberFormat="1" applyBorder="1" applyAlignment="1" applyProtection="1">
      <alignment horizontal="center" vertical="top"/>
    </xf>
    <xf numFmtId="166" fontId="12" fillId="0" borderId="0" xfId="0" applyFont="1" applyFill="1" applyBorder="1" applyAlignment="1">
      <alignment wrapText="1"/>
    </xf>
    <xf numFmtId="167" fontId="0" fillId="0" borderId="0" xfId="0" applyNumberFormat="1" applyBorder="1" applyAlignment="1">
      <alignment horizontal="center" vertical="top"/>
    </xf>
    <xf numFmtId="166" fontId="12" fillId="0" borderId="0" xfId="0" applyFont="1" applyFill="1" applyBorder="1"/>
    <xf numFmtId="166" fontId="18" fillId="0" borderId="0" xfId="0" applyFont="1" applyAlignment="1">
      <alignment horizontal="right"/>
    </xf>
    <xf numFmtId="166" fontId="13" fillId="0" borderId="0" xfId="0" applyFont="1" applyFill="1" applyBorder="1" applyAlignment="1">
      <alignment wrapText="1"/>
    </xf>
    <xf numFmtId="166" fontId="0" fillId="0" borderId="0" xfId="0" applyFill="1" applyBorder="1" applyAlignment="1">
      <alignment wrapText="1"/>
    </xf>
    <xf numFmtId="166" fontId="0" fillId="0" borderId="0" xfId="0" applyFill="1" applyBorder="1" applyAlignment="1">
      <alignment horizontal="left" vertical="top" wrapText="1"/>
    </xf>
    <xf numFmtId="166" fontId="12" fillId="0" borderId="0" xfId="0" applyFont="1" applyFill="1" applyBorder="1" applyAlignment="1">
      <alignment horizontal="left" vertical="top" wrapText="1"/>
    </xf>
    <xf numFmtId="166" fontId="0" fillId="0" borderId="0" xfId="0" applyBorder="1" applyAlignment="1">
      <alignment horizontal="center" vertical="top"/>
    </xf>
    <xf numFmtId="169" fontId="0" fillId="0" borderId="0" xfId="0" applyNumberFormat="1" applyBorder="1" applyAlignment="1" applyProtection="1">
      <alignment horizontal="center" vertical="top" wrapText="1"/>
    </xf>
    <xf numFmtId="166" fontId="0" fillId="0" borderId="0" xfId="0" applyNumberFormat="1" applyBorder="1" applyAlignment="1" applyProtection="1">
      <alignment horizontal="justify" vertical="top" wrapText="1"/>
    </xf>
    <xf numFmtId="170" fontId="0" fillId="0" borderId="0" xfId="0" applyNumberFormat="1" applyAlignment="1" applyProtection="1">
      <alignment horizontal="center"/>
    </xf>
    <xf numFmtId="172" fontId="0" fillId="0" borderId="0" xfId="0" applyNumberFormat="1" applyBorder="1" applyProtection="1"/>
    <xf numFmtId="166" fontId="8" fillId="0" borderId="0" xfId="0" applyFont="1" applyBorder="1"/>
    <xf numFmtId="168" fontId="0" fillId="0" borderId="0" xfId="0" applyNumberFormat="1" applyBorder="1" applyAlignment="1" applyProtection="1">
      <alignment horizontal="center"/>
    </xf>
    <xf numFmtId="167" fontId="0" fillId="0" borderId="0" xfId="0" applyNumberFormat="1" applyBorder="1" applyAlignment="1">
      <alignment horizontal="center"/>
    </xf>
    <xf numFmtId="166" fontId="0" fillId="0" borderId="0" xfId="0" applyBorder="1" applyAlignment="1">
      <alignment wrapText="1"/>
    </xf>
    <xf numFmtId="166" fontId="0" fillId="0" borderId="0" xfId="0" applyNumberFormat="1" applyBorder="1" applyAlignment="1" applyProtection="1">
      <alignment vertical="center"/>
    </xf>
    <xf numFmtId="166" fontId="0" fillId="0" borderId="0" xfId="0" applyNumberFormat="1" applyAlignment="1" applyProtection="1">
      <alignment horizontal="center" vertical="center"/>
    </xf>
    <xf numFmtId="166" fontId="8" fillId="0" borderId="0" xfId="0" applyNumberFormat="1" applyFont="1" applyBorder="1" applyAlignment="1" applyProtection="1">
      <alignment horizontal="left"/>
    </xf>
    <xf numFmtId="169" fontId="0" fillId="0" borderId="0" xfId="0" applyNumberFormat="1" applyBorder="1" applyAlignment="1" applyProtection="1">
      <alignment horizontal="center" vertical="top"/>
    </xf>
    <xf numFmtId="166" fontId="0" fillId="0" borderId="0" xfId="0" applyNumberFormat="1" applyAlignment="1" applyProtection="1">
      <alignment horizontal="right" vertical="top"/>
    </xf>
    <xf numFmtId="169" fontId="0" fillId="0" borderId="0" xfId="0" applyNumberFormat="1" applyBorder="1" applyAlignment="1">
      <alignment horizontal="center" vertical="top" wrapText="1"/>
    </xf>
    <xf numFmtId="166" fontId="47" fillId="0" borderId="0" xfId="0" applyFont="1" applyBorder="1"/>
    <xf numFmtId="166" fontId="47" fillId="0" borderId="0" xfId="0" applyFont="1" applyBorder="1" applyAlignment="1"/>
    <xf numFmtId="166" fontId="48" fillId="0" borderId="0" xfId="0" applyFont="1" applyBorder="1"/>
    <xf numFmtId="166" fontId="47" fillId="0" borderId="0" xfId="0" applyFont="1" applyBorder="1" applyAlignment="1">
      <alignment horizontal="center"/>
    </xf>
    <xf numFmtId="166" fontId="47" fillId="0" borderId="0" xfId="0" applyNumberFormat="1" applyFont="1" applyBorder="1" applyProtection="1"/>
    <xf numFmtId="166" fontId="47" fillId="0" borderId="0" xfId="0" applyFont="1" applyBorder="1" applyAlignment="1">
      <alignment horizontal="right"/>
    </xf>
    <xf numFmtId="166" fontId="49" fillId="0" borderId="0" xfId="0" applyFont="1" applyBorder="1" applyAlignment="1">
      <alignment wrapText="1"/>
    </xf>
    <xf numFmtId="166" fontId="47" fillId="0" borderId="0" xfId="0" applyFont="1" applyBorder="1" applyAlignment="1">
      <alignment wrapText="1"/>
    </xf>
    <xf numFmtId="172" fontId="47" fillId="0" borderId="0" xfId="0" applyNumberFormat="1" applyFont="1" applyBorder="1" applyAlignment="1"/>
    <xf numFmtId="166" fontId="47" fillId="0" borderId="0" xfId="0" applyNumberFormat="1" applyFont="1" applyBorder="1" applyAlignment="1"/>
    <xf numFmtId="166" fontId="47" fillId="0" borderId="0" xfId="0" applyNumberFormat="1" applyFont="1" applyBorder="1" applyAlignment="1" applyProtection="1">
      <alignment horizontal="fill"/>
    </xf>
    <xf numFmtId="166" fontId="49" fillId="0" borderId="0" xfId="0" applyFont="1" applyBorder="1"/>
    <xf numFmtId="166" fontId="47" fillId="0" borderId="0" xfId="0" applyFont="1" applyBorder="1" applyAlignment="1">
      <alignment horizontal="left"/>
    </xf>
    <xf numFmtId="166" fontId="50" fillId="0" borderId="0" xfId="0" applyFont="1" applyBorder="1" applyAlignment="1">
      <alignment horizontal="center" wrapText="1"/>
    </xf>
    <xf numFmtId="166" fontId="9" fillId="0" borderId="0" xfId="0" applyFont="1" applyBorder="1" applyAlignment="1">
      <alignment horizontal="center" wrapText="1"/>
    </xf>
    <xf numFmtId="2" fontId="9" fillId="0" borderId="0" xfId="0" applyNumberFormat="1" applyFont="1" applyBorder="1" applyAlignment="1">
      <alignment horizontal="center" vertical="center" wrapText="1"/>
    </xf>
    <xf numFmtId="166" fontId="26" fillId="0" borderId="0" xfId="0" applyFont="1" applyBorder="1" applyAlignment="1">
      <alignment horizontal="left" vertical="justify" wrapText="1"/>
    </xf>
    <xf numFmtId="166" fontId="26" fillId="0" borderId="0" xfId="0" applyFont="1" applyBorder="1"/>
    <xf numFmtId="166" fontId="9" fillId="0" borderId="0" xfId="0" applyFont="1" applyBorder="1" applyAlignment="1">
      <alignment horizontal="center" vertical="center" wrapText="1"/>
    </xf>
    <xf numFmtId="2" fontId="26" fillId="0" borderId="0" xfId="0" applyNumberFormat="1" applyFont="1" applyBorder="1"/>
    <xf numFmtId="173" fontId="9" fillId="0" borderId="0" xfId="0" applyNumberFormat="1" applyFont="1" applyBorder="1" applyAlignment="1">
      <alignment horizontal="center" vertical="center"/>
    </xf>
    <xf numFmtId="2" fontId="9" fillId="0" borderId="0" xfId="0" applyNumberFormat="1" applyFont="1" applyBorder="1" applyAlignment="1">
      <alignment horizontal="center" vertical="center"/>
    </xf>
    <xf numFmtId="166" fontId="9" fillId="0" borderId="0" xfId="0" applyFont="1" applyBorder="1" applyAlignment="1">
      <alignment horizontal="left" vertical="justify" wrapText="1"/>
    </xf>
    <xf numFmtId="166" fontId="26" fillId="0" borderId="0" xfId="0" applyFont="1" applyBorder="1" applyAlignment="1">
      <alignment horizontal="justify" vertical="justify" wrapText="1"/>
    </xf>
    <xf numFmtId="2" fontId="26" fillId="0" borderId="0" xfId="0" applyNumberFormat="1" applyFont="1" applyBorder="1" applyAlignment="1">
      <alignment horizontal="center" vertical="center"/>
    </xf>
    <xf numFmtId="166" fontId="26" fillId="0" borderId="0" xfId="0" applyFont="1" applyBorder="1" applyAlignment="1">
      <alignment horizontal="center" vertical="center"/>
    </xf>
    <xf numFmtId="166" fontId="26" fillId="0" borderId="0" xfId="0" applyFont="1" applyBorder="1" applyAlignment="1">
      <alignment horizontal="left" vertical="center"/>
    </xf>
    <xf numFmtId="2" fontId="23" fillId="0" borderId="0" xfId="0" applyNumberFormat="1" applyFont="1" applyBorder="1"/>
    <xf numFmtId="2" fontId="9" fillId="0" borderId="0" xfId="0" applyNumberFormat="1" applyFont="1" applyBorder="1"/>
    <xf numFmtId="166" fontId="9" fillId="0" borderId="0" xfId="0" applyFont="1" applyBorder="1" applyAlignment="1">
      <alignment horizontal="center" vertical="center"/>
    </xf>
    <xf numFmtId="166" fontId="9" fillId="0" borderId="0" xfId="0" applyFont="1" applyBorder="1" applyAlignment="1">
      <alignment horizontal="justify" vertical="justify" wrapText="1"/>
    </xf>
    <xf numFmtId="2" fontId="52" fillId="0" borderId="0" xfId="0" applyNumberFormat="1" applyFont="1" applyBorder="1"/>
    <xf numFmtId="166" fontId="26" fillId="0" borderId="0" xfId="0" applyFont="1" applyBorder="1" applyAlignment="1">
      <alignment horizontal="right"/>
    </xf>
    <xf numFmtId="2" fontId="26" fillId="0" borderId="0" xfId="0" quotePrefix="1" applyNumberFormat="1" applyFont="1" applyBorder="1"/>
    <xf numFmtId="2" fontId="26" fillId="0" borderId="0" xfId="0" applyNumberFormat="1" applyFont="1" applyBorder="1" applyAlignment="1">
      <alignment horizontal="right" vertical="center"/>
    </xf>
    <xf numFmtId="166" fontId="9" fillId="0" borderId="0" xfId="0" applyFont="1" applyBorder="1"/>
    <xf numFmtId="166" fontId="9" fillId="0" borderId="0" xfId="0" applyFont="1" applyBorder="1" applyAlignment="1">
      <alignment wrapText="1"/>
    </xf>
    <xf numFmtId="166" fontId="26" fillId="0" borderId="0" xfId="0" applyFont="1" applyBorder="1" applyAlignment="1">
      <alignment wrapText="1"/>
    </xf>
    <xf numFmtId="166" fontId="26" fillId="0" borderId="0" xfId="0" applyFont="1" applyBorder="1" applyAlignment="1">
      <alignment horizontal="right" wrapText="1"/>
    </xf>
    <xf numFmtId="166" fontId="9" fillId="0" borderId="0" xfId="0" applyFont="1" applyBorder="1" applyAlignment="1">
      <alignment horizontal="left" vertical="center" wrapText="1"/>
    </xf>
    <xf numFmtId="166" fontId="9" fillId="0" borderId="0" xfId="0" applyFont="1" applyBorder="1" applyAlignment="1">
      <alignment horizontal="left" wrapText="1"/>
    </xf>
    <xf numFmtId="166" fontId="53" fillId="0" borderId="0" xfId="0" applyNumberFormat="1" applyFont="1" applyAlignment="1" applyProtection="1">
      <alignment horizontal="center" vertical="center"/>
    </xf>
    <xf numFmtId="169" fontId="28" fillId="0" borderId="0" xfId="0" applyNumberFormat="1" applyFont="1" applyAlignment="1" applyProtection="1">
      <alignment horizontal="center"/>
    </xf>
    <xf numFmtId="166" fontId="54" fillId="0" borderId="0" xfId="0" applyFont="1" applyAlignment="1">
      <alignment horizontal="right" vertical="top"/>
    </xf>
    <xf numFmtId="166" fontId="11" fillId="0" borderId="0" xfId="0" applyFont="1" applyBorder="1" applyAlignment="1">
      <alignment horizontal="justify" vertical="top" wrapText="1"/>
    </xf>
    <xf numFmtId="166" fontId="56" fillId="0" borderId="0" xfId="0" applyFont="1"/>
    <xf numFmtId="167" fontId="24" fillId="0" borderId="0" xfId="0" applyNumberFormat="1" applyFont="1" applyAlignment="1">
      <alignment vertical="top"/>
    </xf>
    <xf numFmtId="166" fontId="0" fillId="0" borderId="0" xfId="0" applyAlignment="1">
      <alignment vertical="top" wrapText="1"/>
    </xf>
    <xf numFmtId="166" fontId="0" fillId="0" borderId="0" xfId="0" applyAlignment="1">
      <alignment horizontal="fill"/>
    </xf>
    <xf numFmtId="169" fontId="24" fillId="0" borderId="0" xfId="0" applyNumberFormat="1" applyFont="1"/>
    <xf numFmtId="171" fontId="0" fillId="0" borderId="0" xfId="0" applyNumberFormat="1" applyAlignment="1">
      <alignment horizontal="center"/>
    </xf>
    <xf numFmtId="166" fontId="0" fillId="0" borderId="0" xfId="0" applyAlignment="1">
      <alignment horizontal="fill" vertical="top"/>
    </xf>
    <xf numFmtId="166" fontId="0" fillId="0" borderId="0" xfId="0" applyAlignment="1">
      <alignment horizontal="fill" vertical="top" wrapText="1"/>
    </xf>
    <xf numFmtId="166" fontId="0" fillId="0" borderId="0" xfId="0" applyNumberFormat="1" applyAlignment="1">
      <alignment vertical="top" wrapText="1"/>
    </xf>
    <xf numFmtId="169" fontId="57" fillId="0" borderId="0" xfId="0" applyNumberFormat="1" applyFont="1" applyAlignment="1">
      <alignment vertical="top"/>
    </xf>
    <xf numFmtId="166" fontId="36" fillId="0" borderId="0" xfId="0" applyFont="1" applyAlignment="1"/>
    <xf numFmtId="166" fontId="36" fillId="0" borderId="0" xfId="0" applyFont="1" applyAlignment="1">
      <alignment wrapText="1"/>
    </xf>
    <xf numFmtId="166" fontId="36" fillId="0" borderId="0" xfId="0" applyFont="1" applyAlignment="1">
      <alignment horizontal="center"/>
    </xf>
    <xf numFmtId="166" fontId="36" fillId="0" borderId="0" xfId="0" quotePrefix="1" applyFont="1" applyAlignment="1">
      <alignment vertical="top"/>
    </xf>
    <xf numFmtId="166" fontId="36" fillId="0" borderId="0" xfId="0" quotePrefix="1" applyFont="1"/>
    <xf numFmtId="169" fontId="12" fillId="0" borderId="0" xfId="0" applyNumberFormat="1" applyFont="1" applyAlignment="1">
      <alignment vertical="top"/>
    </xf>
    <xf numFmtId="166" fontId="13" fillId="0" borderId="0" xfId="0" applyFont="1" applyAlignment="1">
      <alignment horizontal="left" vertical="top" wrapText="1"/>
    </xf>
    <xf numFmtId="166" fontId="13" fillId="0" borderId="0" xfId="0" applyFont="1" applyAlignment="1">
      <alignment horizontal="center"/>
    </xf>
    <xf numFmtId="166" fontId="13" fillId="0" borderId="0" xfId="0" applyFont="1" applyAlignment="1">
      <alignment vertical="top"/>
    </xf>
    <xf numFmtId="167" fontId="12" fillId="0" borderId="0" xfId="0" applyNumberFormat="1" applyFont="1"/>
    <xf numFmtId="167" fontId="0" fillId="0" borderId="0" xfId="0" applyNumberFormat="1" applyAlignment="1">
      <alignment vertical="top"/>
    </xf>
    <xf numFmtId="169" fontId="0" fillId="0" borderId="0" xfId="0" applyNumberFormat="1" applyAlignment="1">
      <alignment vertical="top"/>
    </xf>
    <xf numFmtId="167" fontId="24" fillId="0" borderId="0" xfId="0" applyNumberFormat="1" applyFont="1"/>
    <xf numFmtId="166" fontId="24" fillId="0" borderId="0" xfId="0" applyFont="1"/>
    <xf numFmtId="166" fontId="12" fillId="0" borderId="0" xfId="0" applyFont="1" applyBorder="1" applyAlignment="1">
      <alignment horizontal="center"/>
    </xf>
    <xf numFmtId="166" fontId="12" fillId="0" borderId="0" xfId="0" applyFont="1" applyBorder="1" applyAlignment="1">
      <alignment horizontal="left" vertical="top" wrapText="1"/>
    </xf>
    <xf numFmtId="166" fontId="0" fillId="0" borderId="0" xfId="0" applyBorder="1" applyAlignment="1">
      <alignment horizontal="left" vertical="top" wrapText="1"/>
    </xf>
    <xf numFmtId="166" fontId="0" fillId="0" borderId="0" xfId="0" applyBorder="1" applyAlignment="1">
      <alignment horizontal="left" vertical="top"/>
    </xf>
    <xf numFmtId="166" fontId="18" fillId="0" borderId="0" xfId="0" applyFont="1" applyBorder="1" applyAlignment="1">
      <alignment horizontal="left" vertical="top"/>
    </xf>
    <xf numFmtId="166" fontId="30" fillId="0" borderId="0" xfId="0" applyFont="1" applyBorder="1" applyAlignment="1">
      <alignment horizontal="left" vertical="top"/>
    </xf>
    <xf numFmtId="168" fontId="0" fillId="0" borderId="0" xfId="0" applyNumberFormat="1" applyBorder="1" applyAlignment="1">
      <alignment horizontal="left" vertical="top"/>
    </xf>
    <xf numFmtId="12" fontId="0" fillId="0" borderId="0" xfId="0" applyNumberFormat="1" applyBorder="1" applyAlignment="1">
      <alignment horizontal="left" vertical="top"/>
    </xf>
    <xf numFmtId="166" fontId="0" fillId="0" borderId="0" xfId="0" applyBorder="1" applyAlignment="1">
      <alignment horizontal="right" vertical="top"/>
    </xf>
    <xf numFmtId="166" fontId="58" fillId="0" borderId="0" xfId="0" applyFont="1" applyBorder="1" applyAlignment="1">
      <alignment horizontal="left" vertical="top"/>
    </xf>
    <xf numFmtId="166" fontId="12" fillId="0" borderId="0" xfId="0" applyFont="1" applyBorder="1" applyAlignment="1">
      <alignment horizontal="right" vertical="top"/>
    </xf>
    <xf numFmtId="166" fontId="12" fillId="0" borderId="0" xfId="0" applyFont="1" applyBorder="1" applyAlignment="1">
      <alignment horizontal="left" vertical="top"/>
    </xf>
    <xf numFmtId="166" fontId="13" fillId="0" borderId="0" xfId="0" applyFont="1" applyBorder="1" applyAlignment="1">
      <alignment horizontal="left" vertical="top"/>
    </xf>
    <xf numFmtId="166" fontId="12" fillId="0" borderId="0" xfId="0" applyFont="1" applyBorder="1" applyAlignment="1">
      <alignment horizontal="left" wrapText="1"/>
    </xf>
    <xf numFmtId="166" fontId="12" fillId="0" borderId="0" xfId="0" applyFont="1" applyFill="1" applyBorder="1" applyAlignment="1">
      <alignment horizontal="left" vertical="top"/>
    </xf>
    <xf numFmtId="166" fontId="0" fillId="0" borderId="0" xfId="0" applyFill="1" applyBorder="1" applyAlignment="1">
      <alignment horizontal="left" vertical="top"/>
    </xf>
    <xf numFmtId="166" fontId="13" fillId="0" borderId="0" xfId="0" applyFont="1" applyBorder="1" applyAlignment="1">
      <alignment horizontal="right" vertical="top"/>
    </xf>
    <xf numFmtId="171" fontId="0" fillId="0" borderId="0" xfId="0" applyNumberFormat="1" applyBorder="1" applyAlignment="1">
      <alignment horizontal="left" vertical="top"/>
    </xf>
    <xf numFmtId="166" fontId="56" fillId="0" borderId="0" xfId="0" applyFont="1" applyBorder="1" applyAlignment="1">
      <alignment horizontal="left" vertical="top"/>
    </xf>
    <xf numFmtId="166" fontId="56" fillId="0" borderId="0" xfId="0" applyFont="1" applyBorder="1" applyAlignment="1">
      <alignment horizontal="center" vertical="top"/>
    </xf>
    <xf numFmtId="170" fontId="0" fillId="0" borderId="0" xfId="0" applyNumberFormat="1" applyBorder="1" applyAlignment="1">
      <alignment horizontal="left" vertical="top"/>
    </xf>
    <xf numFmtId="166" fontId="12" fillId="0" borderId="0" xfId="0" applyFont="1" applyBorder="1" applyAlignment="1">
      <alignment horizontal="center" vertical="top"/>
    </xf>
    <xf numFmtId="166" fontId="59" fillId="0" borderId="0" xfId="0" applyFont="1" applyBorder="1" applyAlignment="1">
      <alignment horizontal="left" vertical="top"/>
    </xf>
    <xf numFmtId="172" fontId="0" fillId="0" borderId="0" xfId="0" applyNumberFormat="1" applyBorder="1" applyAlignment="1">
      <alignment horizontal="left" vertical="top"/>
    </xf>
    <xf numFmtId="166" fontId="13" fillId="0" borderId="0" xfId="0" applyFont="1" applyBorder="1" applyAlignment="1">
      <alignment horizontal="left" vertical="top" wrapText="1"/>
    </xf>
    <xf numFmtId="166" fontId="29" fillId="0" borderId="0" xfId="0" applyFont="1" applyBorder="1" applyAlignment="1">
      <alignment horizontal="left" vertical="top"/>
    </xf>
    <xf numFmtId="171" fontId="0" fillId="0" borderId="0" xfId="0" applyNumberFormat="1" applyBorder="1"/>
    <xf numFmtId="166" fontId="12" fillId="0" borderId="0" xfId="0" applyNumberFormat="1" applyFont="1" applyBorder="1" applyAlignment="1">
      <alignment horizontal="left" vertical="top"/>
    </xf>
    <xf numFmtId="166" fontId="16" fillId="0" borderId="0" xfId="0" applyNumberFormat="1" applyFont="1" applyAlignment="1" applyProtection="1">
      <alignment horizontal="left"/>
    </xf>
    <xf numFmtId="166" fontId="6" fillId="0" borderId="0" xfId="0" applyNumberFormat="1" applyFont="1" applyAlignment="1" applyProtection="1"/>
    <xf numFmtId="166" fontId="12" fillId="0" borderId="0" xfId="0" quotePrefix="1" applyNumberFormat="1" applyFont="1" applyAlignment="1" applyProtection="1">
      <alignment horizontal="center"/>
    </xf>
    <xf numFmtId="166" fontId="12" fillId="0" borderId="0" xfId="0" quotePrefix="1" applyFont="1" applyAlignment="1">
      <alignment horizontal="center"/>
    </xf>
    <xf numFmtId="171" fontId="0" fillId="0" borderId="0" xfId="0" applyNumberFormat="1"/>
    <xf numFmtId="166" fontId="9" fillId="0" borderId="0" xfId="0" applyNumberFormat="1" applyFont="1" applyAlignment="1" applyProtection="1">
      <alignment horizontal="left"/>
    </xf>
    <xf numFmtId="168" fontId="10" fillId="0" borderId="0" xfId="0" applyNumberFormat="1" applyFont="1" applyAlignment="1">
      <alignment horizontal="right"/>
    </xf>
    <xf numFmtId="171" fontId="10" fillId="0" borderId="0" xfId="0" applyNumberFormat="1" applyFont="1" applyAlignment="1">
      <alignment horizontal="right"/>
    </xf>
    <xf numFmtId="166" fontId="13" fillId="0" borderId="0" xfId="0" applyFont="1" applyAlignment="1">
      <alignment horizontal="right"/>
    </xf>
    <xf numFmtId="170" fontId="25" fillId="0" borderId="0" xfId="0" applyNumberFormat="1" applyFont="1" applyAlignment="1">
      <alignment horizontal="right"/>
    </xf>
    <xf numFmtId="172" fontId="25" fillId="0" borderId="0" xfId="0" applyNumberFormat="1" applyFont="1" applyAlignment="1">
      <alignment horizontal="right"/>
    </xf>
    <xf numFmtId="170" fontId="10" fillId="0" borderId="0" xfId="0" applyNumberFormat="1" applyFont="1" applyAlignment="1" applyProtection="1">
      <alignment horizontal="right"/>
    </xf>
    <xf numFmtId="171" fontId="0" fillId="0" borderId="0" xfId="0" applyNumberFormat="1" applyAlignment="1">
      <alignment horizontal="right"/>
    </xf>
    <xf numFmtId="171" fontId="25" fillId="0" borderId="0" xfId="0" applyNumberFormat="1" applyFont="1" applyAlignment="1" applyProtection="1">
      <alignment horizontal="right"/>
    </xf>
    <xf numFmtId="171" fontId="10" fillId="0" borderId="0" xfId="0" applyNumberFormat="1" applyFont="1" applyAlignment="1" applyProtection="1">
      <alignment horizontal="right"/>
    </xf>
    <xf numFmtId="168" fontId="25" fillId="0" borderId="0" xfId="0" applyNumberFormat="1" applyFont="1" applyAlignment="1" applyProtection="1">
      <alignment horizontal="right"/>
    </xf>
    <xf numFmtId="166" fontId="25" fillId="0" borderId="0" xfId="0" quotePrefix="1" applyNumberFormat="1" applyFont="1" applyAlignment="1" applyProtection="1">
      <alignment horizontal="left"/>
    </xf>
    <xf numFmtId="172" fontId="25" fillId="0" borderId="0" xfId="0" applyNumberFormat="1" applyFont="1"/>
    <xf numFmtId="169" fontId="12" fillId="0" borderId="0" xfId="0" applyNumberFormat="1" applyFont="1"/>
    <xf numFmtId="166" fontId="13" fillId="0" borderId="0" xfId="0" applyFont="1" applyAlignment="1">
      <alignment horizontal="fill"/>
    </xf>
    <xf numFmtId="166" fontId="13" fillId="0" borderId="0" xfId="0" quotePrefix="1" applyFont="1" applyAlignment="1">
      <alignment horizontal="fill"/>
    </xf>
    <xf numFmtId="167" fontId="12" fillId="0" borderId="0" xfId="0" applyNumberFormat="1" applyFont="1" applyAlignment="1">
      <alignment vertical="center"/>
    </xf>
    <xf numFmtId="166" fontId="30" fillId="3" borderId="0" xfId="0" applyFont="1" applyFill="1"/>
    <xf numFmtId="166" fontId="0" fillId="0" borderId="0" xfId="0" quotePrefix="1" applyBorder="1" applyAlignment="1">
      <alignment horizontal="left" vertical="top"/>
    </xf>
    <xf numFmtId="166" fontId="45" fillId="4" borderId="0" xfId="0" applyFont="1" applyFill="1"/>
    <xf numFmtId="166" fontId="45" fillId="4" borderId="0" xfId="0" applyFont="1" applyFill="1" applyAlignment="1"/>
    <xf numFmtId="166" fontId="61" fillId="0" borderId="0" xfId="0" applyNumberFormat="1" applyFont="1" applyAlignment="1" applyProtection="1">
      <alignment horizontal="right"/>
    </xf>
    <xf numFmtId="171" fontId="0" fillId="0" borderId="0" xfId="0" quotePrefix="1" applyNumberFormat="1" applyProtection="1"/>
    <xf numFmtId="166" fontId="12" fillId="0" borderId="0" xfId="0" applyNumberFormat="1" applyFont="1" applyAlignment="1" applyProtection="1"/>
    <xf numFmtId="176" fontId="12" fillId="0" borderId="0" xfId="0" applyNumberFormat="1" applyFont="1"/>
    <xf numFmtId="170" fontId="12" fillId="0" borderId="0" xfId="0" applyNumberFormat="1" applyFont="1"/>
    <xf numFmtId="166" fontId="12" fillId="0" borderId="0" xfId="0" quotePrefix="1" applyFont="1"/>
    <xf numFmtId="166" fontId="12" fillId="0" borderId="0" xfId="0" applyFont="1" applyAlignment="1">
      <alignment wrapText="1"/>
    </xf>
    <xf numFmtId="168" fontId="0" fillId="0" borderId="0" xfId="0" applyNumberFormat="1" applyAlignment="1" applyProtection="1">
      <alignment horizontal="left"/>
    </xf>
    <xf numFmtId="168" fontId="0" fillId="0" borderId="0" xfId="0" applyNumberFormat="1" applyAlignment="1">
      <alignment horizontal="center" vertical="top"/>
    </xf>
    <xf numFmtId="168" fontId="13" fillId="0" borderId="0" xfId="0" applyNumberFormat="1" applyFont="1" applyAlignment="1">
      <alignment horizontal="center"/>
    </xf>
    <xf numFmtId="168" fontId="45" fillId="2" borderId="0" xfId="0" applyNumberFormat="1" applyFont="1" applyFill="1" applyProtection="1"/>
    <xf numFmtId="168" fontId="0" fillId="0" borderId="0" xfId="0" applyNumberFormat="1" applyAlignment="1" applyProtection="1">
      <alignment horizontal="fill"/>
    </xf>
    <xf numFmtId="168" fontId="25" fillId="0" borderId="0" xfId="0" applyNumberFormat="1" applyFont="1" applyAlignment="1" applyProtection="1">
      <alignment horizontal="center"/>
    </xf>
    <xf numFmtId="168" fontId="12" fillId="0" borderId="0" xfId="0" applyNumberFormat="1" applyFont="1"/>
    <xf numFmtId="168" fontId="0" fillId="0" borderId="0" xfId="0" applyNumberFormat="1" applyAlignment="1">
      <alignment horizontal="right"/>
    </xf>
    <xf numFmtId="168" fontId="12" fillId="0" borderId="0" xfId="0" applyNumberFormat="1" applyFont="1" applyAlignment="1">
      <alignment horizontal="right"/>
    </xf>
    <xf numFmtId="166" fontId="59" fillId="0" borderId="0" xfId="0" applyNumberFormat="1" applyFont="1" applyAlignment="1" applyProtection="1">
      <alignment horizontal="right"/>
    </xf>
    <xf numFmtId="166" fontId="102" fillId="0" borderId="0" xfId="0" applyNumberFormat="1" applyFont="1" applyProtection="1"/>
    <xf numFmtId="2" fontId="103" fillId="6" borderId="0" xfId="17" applyNumberFormat="1" applyFont="1" applyFill="1"/>
    <xf numFmtId="166" fontId="102" fillId="0" borderId="0" xfId="0" applyFont="1" applyBorder="1" applyAlignment="1">
      <alignment horizontal="left" vertical="top"/>
    </xf>
    <xf numFmtId="166" fontId="0" fillId="7" borderId="0" xfId="0" applyFill="1" applyBorder="1" applyAlignment="1">
      <alignment wrapText="1"/>
    </xf>
    <xf numFmtId="166" fontId="0" fillId="7" borderId="0" xfId="0" applyFill="1" applyBorder="1" applyAlignment="1">
      <alignment horizontal="left" vertical="top"/>
    </xf>
    <xf numFmtId="166" fontId="0" fillId="7" borderId="0" xfId="0" applyFill="1" applyBorder="1"/>
    <xf numFmtId="166" fontId="0" fillId="6" borderId="0" xfId="0" applyFill="1" applyBorder="1" applyAlignment="1">
      <alignment horizontal="left" vertical="top"/>
    </xf>
    <xf numFmtId="166" fontId="12" fillId="6" borderId="0" xfId="0" applyFont="1" applyFill="1" applyBorder="1" applyAlignment="1">
      <alignment horizontal="left" vertical="top"/>
    </xf>
    <xf numFmtId="166" fontId="0" fillId="6" borderId="0" xfId="0" applyFill="1" applyBorder="1"/>
    <xf numFmtId="166" fontId="0" fillId="7" borderId="0" xfId="0" applyFill="1" applyBorder="1" applyAlignment="1">
      <alignment horizontal="left" vertical="top" wrapText="1"/>
    </xf>
    <xf numFmtId="166" fontId="102" fillId="7" borderId="0" xfId="0" applyFont="1" applyFill="1" applyBorder="1" applyAlignment="1">
      <alignment horizontal="left" vertical="top"/>
    </xf>
    <xf numFmtId="166" fontId="18" fillId="7" borderId="0" xfId="0" applyFont="1" applyFill="1" applyBorder="1" applyAlignment="1">
      <alignment horizontal="left" vertical="top"/>
    </xf>
    <xf numFmtId="166" fontId="102" fillId="0" borderId="0" xfId="0" applyFont="1"/>
    <xf numFmtId="166" fontId="62" fillId="7" borderId="0" xfId="0" applyFont="1" applyFill="1"/>
    <xf numFmtId="166" fontId="63" fillId="7" borderId="0" xfId="0" applyFont="1" applyFill="1"/>
    <xf numFmtId="166" fontId="63" fillId="7" borderId="0" xfId="0" applyFont="1" applyFill="1" applyAlignment="1">
      <alignment horizontal="left"/>
    </xf>
    <xf numFmtId="0" fontId="64" fillId="0" borderId="0" xfId="17" applyFont="1"/>
    <xf numFmtId="166" fontId="104" fillId="0" borderId="0" xfId="0" applyNumberFormat="1" applyFont="1" applyProtection="1"/>
    <xf numFmtId="166" fontId="102" fillId="0" borderId="0" xfId="0" applyNumberFormat="1" applyFont="1" applyAlignment="1" applyProtection="1">
      <alignment horizontal="right"/>
    </xf>
    <xf numFmtId="166" fontId="0" fillId="0" borderId="0" xfId="0" applyFont="1"/>
    <xf numFmtId="166" fontId="0" fillId="0" borderId="0" xfId="0" applyNumberFormat="1" applyFont="1" applyProtection="1"/>
    <xf numFmtId="166" fontId="102" fillId="0" borderId="0" xfId="0" applyNumberFormat="1" applyFont="1" applyAlignment="1" applyProtection="1">
      <alignment horizontal="left"/>
    </xf>
    <xf numFmtId="166" fontId="105" fillId="0" borderId="0" xfId="0" applyFont="1" applyBorder="1" applyAlignment="1">
      <alignment horizontal="left" vertical="top"/>
    </xf>
    <xf numFmtId="166" fontId="106" fillId="0" borderId="0" xfId="0" applyNumberFormat="1" applyFont="1" applyProtection="1"/>
    <xf numFmtId="166" fontId="104" fillId="0" borderId="0" xfId="0" applyFont="1"/>
    <xf numFmtId="166" fontId="107" fillId="0" borderId="0" xfId="0" applyNumberFormat="1" applyFont="1" applyProtection="1"/>
    <xf numFmtId="166" fontId="108" fillId="0" borderId="0" xfId="0" applyNumberFormat="1" applyFont="1" applyAlignment="1" applyProtection="1">
      <alignment horizontal="left"/>
    </xf>
    <xf numFmtId="166" fontId="108" fillId="0" borderId="0" xfId="0" applyFont="1"/>
    <xf numFmtId="166" fontId="10" fillId="0" borderId="0" xfId="0" applyFont="1" applyAlignment="1">
      <alignment horizontal="left" vertical="top"/>
    </xf>
    <xf numFmtId="166" fontId="26" fillId="0" borderId="0" xfId="0" applyFont="1"/>
    <xf numFmtId="166" fontId="26" fillId="0" borderId="0" xfId="0" applyFont="1" applyAlignment="1"/>
    <xf numFmtId="166" fontId="26" fillId="0" borderId="0" xfId="0" applyFont="1" applyAlignment="1">
      <alignment horizontal="left"/>
    </xf>
    <xf numFmtId="168" fontId="26" fillId="0" borderId="0" xfId="0" applyNumberFormat="1" applyFont="1"/>
    <xf numFmtId="166" fontId="20" fillId="0" borderId="0" xfId="0" applyFont="1"/>
    <xf numFmtId="170" fontId="0" fillId="0" borderId="0" xfId="0" applyNumberFormat="1" applyAlignment="1" applyProtection="1"/>
    <xf numFmtId="170" fontId="0" fillId="0" borderId="0" xfId="0" applyNumberFormat="1" applyAlignment="1"/>
    <xf numFmtId="166" fontId="109" fillId="0" borderId="0" xfId="0" applyFont="1"/>
    <xf numFmtId="166" fontId="110" fillId="0" borderId="0" xfId="0" applyFont="1"/>
    <xf numFmtId="166" fontId="0" fillId="0" borderId="0" xfId="0" applyFont="1" applyBorder="1" applyAlignment="1">
      <alignment horizontal="left" vertical="top"/>
    </xf>
    <xf numFmtId="171" fontId="0" fillId="0" borderId="0" xfId="0" applyNumberFormat="1" applyFont="1" applyBorder="1" applyAlignment="1">
      <alignment horizontal="left" vertical="top"/>
    </xf>
    <xf numFmtId="166" fontId="0" fillId="0" borderId="0" xfId="0" applyBorder="1" applyAlignment="1">
      <alignment vertical="top" wrapText="1"/>
    </xf>
    <xf numFmtId="166" fontId="12" fillId="0" borderId="0" xfId="0" applyFont="1" applyBorder="1" applyAlignment="1">
      <alignment vertical="top"/>
    </xf>
    <xf numFmtId="166" fontId="0" fillId="0" borderId="0" xfId="0" applyBorder="1" applyAlignment="1">
      <alignment vertical="top"/>
    </xf>
    <xf numFmtId="166" fontId="12" fillId="0" borderId="0" xfId="0" applyFont="1" applyBorder="1" applyAlignment="1">
      <alignment horizontal="center" vertical="center"/>
    </xf>
    <xf numFmtId="166" fontId="70" fillId="0" borderId="0" xfId="0" applyFont="1" applyBorder="1" applyAlignment="1">
      <alignment horizontal="center" vertical="center"/>
    </xf>
    <xf numFmtId="166" fontId="111" fillId="0" borderId="0" xfId="0" applyFont="1" applyBorder="1" applyAlignment="1">
      <alignment horizontal="left" vertical="top"/>
    </xf>
    <xf numFmtId="166" fontId="71" fillId="0" borderId="0" xfId="0" applyFont="1" applyBorder="1" applyAlignment="1">
      <alignment horizontal="left" vertical="top" wrapText="1"/>
    </xf>
    <xf numFmtId="166" fontId="25" fillId="0" borderId="0" xfId="0" applyFont="1" applyBorder="1" applyAlignment="1">
      <alignment horizontal="left" vertical="top"/>
    </xf>
    <xf numFmtId="166" fontId="10" fillId="0" borderId="0" xfId="0" applyFont="1" applyBorder="1" applyAlignment="1">
      <alignment horizontal="left" vertical="top"/>
    </xf>
    <xf numFmtId="166" fontId="25" fillId="0" borderId="0" xfId="0" applyFont="1" applyBorder="1" applyAlignment="1">
      <alignment horizontal="right" vertical="top"/>
    </xf>
    <xf numFmtId="166" fontId="39" fillId="0" borderId="0" xfId="0" applyFont="1" applyBorder="1" applyAlignment="1">
      <alignment horizontal="right" vertical="top"/>
    </xf>
    <xf numFmtId="166" fontId="25" fillId="0" borderId="0" xfId="0" applyFont="1" applyBorder="1" applyAlignment="1">
      <alignment horizontal="left" vertical="top" wrapText="1"/>
    </xf>
    <xf numFmtId="166" fontId="10" fillId="0" borderId="0" xfId="0" applyFont="1" applyBorder="1" applyAlignment="1">
      <alignment horizontal="right" vertical="top"/>
    </xf>
    <xf numFmtId="166" fontId="72" fillId="0" borderId="0" xfId="0" applyFont="1" applyBorder="1" applyAlignment="1">
      <alignment horizontal="left" vertical="top"/>
    </xf>
    <xf numFmtId="166" fontId="112" fillId="0" borderId="0" xfId="0" applyFont="1" applyBorder="1" applyAlignment="1">
      <alignment horizontal="left" vertical="top"/>
    </xf>
    <xf numFmtId="166" fontId="113" fillId="0" borderId="0" xfId="0" applyFont="1" applyBorder="1" applyAlignment="1">
      <alignment horizontal="left" vertical="top"/>
    </xf>
    <xf numFmtId="171" fontId="113" fillId="0" borderId="0" xfId="0" applyNumberFormat="1" applyFont="1" applyBorder="1" applyAlignment="1">
      <alignment horizontal="left" vertical="top"/>
    </xf>
    <xf numFmtId="166" fontId="31" fillId="0" borderId="0" xfId="0" applyFont="1" applyBorder="1" applyAlignment="1">
      <alignment horizontal="right" vertical="top"/>
    </xf>
    <xf numFmtId="166" fontId="0" fillId="7" borderId="0" xfId="0" applyFill="1" applyBorder="1" applyAlignment="1">
      <alignment vertical="top" wrapText="1"/>
    </xf>
    <xf numFmtId="166" fontId="0" fillId="0" borderId="0" xfId="0" applyFont="1" applyAlignment="1">
      <alignment horizontal="left"/>
    </xf>
    <xf numFmtId="166" fontId="0" fillId="0" borderId="0" xfId="0" applyFont="1" applyBorder="1" applyAlignment="1">
      <alignment horizontal="left" vertical="top" wrapText="1"/>
    </xf>
    <xf numFmtId="166" fontId="12" fillId="0" borderId="0" xfId="0" applyFont="1" applyBorder="1" applyAlignment="1">
      <alignment horizontal="left" vertical="center"/>
    </xf>
    <xf numFmtId="166" fontId="69" fillId="6" borderId="0" xfId="0" applyFont="1" applyFill="1" applyAlignment="1">
      <alignment vertical="top"/>
    </xf>
    <xf numFmtId="166" fontId="68" fillId="6" borderId="0" xfId="0" applyFont="1" applyFill="1" applyAlignment="1">
      <alignment vertical="top"/>
    </xf>
    <xf numFmtId="166" fontId="114" fillId="8" borderId="0" xfId="0" applyNumberFormat="1" applyFont="1" applyFill="1" applyProtection="1"/>
    <xf numFmtId="166" fontId="36" fillId="8" borderId="0" xfId="0" applyNumberFormat="1" applyFont="1" applyFill="1" applyAlignment="1" applyProtection="1">
      <alignment horizontal="left"/>
    </xf>
    <xf numFmtId="166" fontId="0" fillId="8" borderId="0" xfId="0" applyFill="1"/>
    <xf numFmtId="166" fontId="114" fillId="8" borderId="0" xfId="0" applyFont="1" applyFill="1"/>
    <xf numFmtId="166" fontId="33" fillId="8" borderId="0" xfId="0" applyNumberFormat="1" applyFont="1" applyFill="1" applyProtection="1"/>
    <xf numFmtId="166" fontId="44" fillId="8" borderId="0" xfId="0" applyNumberFormat="1" applyFont="1" applyFill="1" applyProtection="1"/>
    <xf numFmtId="166" fontId="106" fillId="8" borderId="0" xfId="0" applyNumberFormat="1" applyFont="1" applyFill="1" applyProtection="1"/>
    <xf numFmtId="166" fontId="115" fillId="8" borderId="0" xfId="0" applyNumberFormat="1" applyFont="1" applyFill="1" applyProtection="1"/>
    <xf numFmtId="166" fontId="38" fillId="8" borderId="0" xfId="0" applyNumberFormat="1" applyFont="1" applyFill="1" applyProtection="1"/>
    <xf numFmtId="166" fontId="30" fillId="8" borderId="0" xfId="0" applyNumberFormat="1" applyFont="1" applyFill="1" applyProtection="1"/>
    <xf numFmtId="166" fontId="41" fillId="8" borderId="0" xfId="0" applyNumberFormat="1" applyFont="1" applyFill="1" applyProtection="1"/>
    <xf numFmtId="166" fontId="33" fillId="8" borderId="0" xfId="0" applyNumberFormat="1" applyFont="1" applyFill="1" applyAlignment="1" applyProtection="1">
      <alignment vertical="center"/>
    </xf>
    <xf numFmtId="166" fontId="33" fillId="8" borderId="0" xfId="0" applyNumberFormat="1" applyFont="1" applyFill="1" applyAlignment="1" applyProtection="1">
      <alignment horizontal="left"/>
    </xf>
    <xf numFmtId="166" fontId="13" fillId="8" borderId="0" xfId="0" applyFont="1" applyFill="1"/>
    <xf numFmtId="166" fontId="0" fillId="8" borderId="0" xfId="0" applyNumberFormat="1" applyFill="1" applyAlignment="1" applyProtection="1">
      <alignment horizontal="left"/>
    </xf>
    <xf numFmtId="166" fontId="106" fillId="8" borderId="0" xfId="0" applyFont="1" applyFill="1"/>
    <xf numFmtId="166" fontId="40" fillId="8" borderId="0" xfId="0" applyNumberFormat="1" applyFont="1" applyFill="1" applyProtection="1"/>
    <xf numFmtId="166" fontId="15" fillId="8" borderId="0" xfId="0" applyNumberFormat="1" applyFont="1" applyFill="1" applyAlignment="1" applyProtection="1">
      <alignment horizontal="left"/>
    </xf>
    <xf numFmtId="166" fontId="25" fillId="8" borderId="0" xfId="0" applyNumberFormat="1" applyFont="1" applyFill="1" applyAlignment="1" applyProtection="1">
      <alignment horizontal="left"/>
    </xf>
    <xf numFmtId="166" fontId="31" fillId="8" borderId="0" xfId="0" applyFont="1" applyFill="1"/>
    <xf numFmtId="166" fontId="33" fillId="8" borderId="0" xfId="0" applyFont="1" applyFill="1"/>
    <xf numFmtId="166" fontId="116" fillId="8" borderId="0" xfId="0" applyFont="1" applyFill="1"/>
    <xf numFmtId="166" fontId="12" fillId="8" borderId="0" xfId="0" applyFont="1" applyFill="1"/>
    <xf numFmtId="166" fontId="117" fillId="8" borderId="0" xfId="0" applyNumberFormat="1" applyFont="1" applyFill="1" applyProtection="1"/>
    <xf numFmtId="166" fontId="44" fillId="6" borderId="0" xfId="0" applyNumberFormat="1" applyFont="1" applyFill="1" applyProtection="1"/>
    <xf numFmtId="166" fontId="0" fillId="9" borderId="0" xfId="0" applyNumberFormat="1" applyFill="1" applyAlignment="1" applyProtection="1">
      <alignment horizontal="left"/>
    </xf>
    <xf numFmtId="166" fontId="114" fillId="9" borderId="0" xfId="0" applyNumberFormat="1" applyFont="1" applyFill="1" applyBorder="1" applyProtection="1"/>
    <xf numFmtId="166" fontId="33" fillId="9" borderId="0" xfId="0" applyNumberFormat="1" applyFont="1" applyFill="1" applyProtection="1"/>
    <xf numFmtId="166" fontId="33" fillId="9" borderId="0" xfId="0" applyFont="1" applyFill="1"/>
    <xf numFmtId="166" fontId="12" fillId="9" borderId="0" xfId="0" applyFont="1" applyFill="1" applyAlignment="1">
      <alignment wrapText="1"/>
    </xf>
    <xf numFmtId="166" fontId="31" fillId="9" borderId="0" xfId="0" applyFont="1" applyFill="1"/>
    <xf numFmtId="166" fontId="29" fillId="9" borderId="0" xfId="0" applyFont="1" applyFill="1"/>
    <xf numFmtId="166" fontId="12" fillId="9" borderId="0" xfId="0" applyNumberFormat="1" applyFont="1" applyFill="1" applyAlignment="1" applyProtection="1">
      <alignment horizontal="left"/>
    </xf>
    <xf numFmtId="166" fontId="0" fillId="9" borderId="0" xfId="0" applyFill="1"/>
    <xf numFmtId="166" fontId="114" fillId="9" borderId="0" xfId="0" applyNumberFormat="1" applyFont="1" applyFill="1" applyProtection="1"/>
    <xf numFmtId="166" fontId="13" fillId="9" borderId="0" xfId="0" applyFont="1" applyFill="1"/>
    <xf numFmtId="166" fontId="25" fillId="9" borderId="0" xfId="0" applyNumberFormat="1" applyFont="1" applyFill="1" applyAlignment="1" applyProtection="1">
      <alignment horizontal="left"/>
    </xf>
    <xf numFmtId="166" fontId="61" fillId="9" borderId="0" xfId="0" applyNumberFormat="1" applyFont="1" applyFill="1" applyAlignment="1" applyProtection="1">
      <alignment horizontal="right"/>
    </xf>
    <xf numFmtId="166" fontId="13" fillId="0" borderId="0" xfId="0" applyFont="1" applyAlignment="1">
      <alignment wrapText="1"/>
    </xf>
    <xf numFmtId="166" fontId="118" fillId="0" borderId="0" xfId="0" applyFont="1"/>
    <xf numFmtId="170" fontId="25" fillId="0" borderId="0" xfId="0" applyNumberFormat="1" applyFont="1" applyAlignment="1" applyProtection="1"/>
    <xf numFmtId="166" fontId="119" fillId="0" borderId="0" xfId="0" applyNumberFormat="1" applyFont="1" applyProtection="1"/>
    <xf numFmtId="166" fontId="114" fillId="0" borderId="0" xfId="0" applyFont="1" applyBorder="1" applyAlignment="1">
      <alignment horizontal="left" vertical="top"/>
    </xf>
    <xf numFmtId="166" fontId="0" fillId="0" borderId="0" xfId="0" applyNumberFormat="1" applyFont="1" applyAlignment="1" applyProtection="1">
      <alignment horizontal="left"/>
    </xf>
    <xf numFmtId="166" fontId="27" fillId="0" borderId="0" xfId="0" applyFont="1"/>
    <xf numFmtId="166" fontId="9" fillId="0" borderId="0" xfId="0" applyFont="1"/>
    <xf numFmtId="168" fontId="120" fillId="0" borderId="0" xfId="0" applyNumberFormat="1" applyFont="1"/>
    <xf numFmtId="166" fontId="120" fillId="0" borderId="0" xfId="0" applyFont="1" applyAlignment="1"/>
    <xf numFmtId="166" fontId="120" fillId="0" borderId="0" xfId="0" applyFont="1"/>
    <xf numFmtId="166" fontId="0" fillId="8" borderId="0" xfId="0" applyFont="1" applyFill="1"/>
    <xf numFmtId="166" fontId="0" fillId="8" borderId="0" xfId="0" applyNumberFormat="1" applyFont="1" applyFill="1" applyProtection="1"/>
    <xf numFmtId="166" fontId="15" fillId="0" borderId="0" xfId="0" applyNumberFormat="1" applyFont="1" applyAlignment="1" applyProtection="1">
      <alignment horizontal="right"/>
    </xf>
    <xf numFmtId="166" fontId="59" fillId="0" borderId="0" xfId="0" applyNumberFormat="1" applyFont="1" applyProtection="1"/>
    <xf numFmtId="166" fontId="57" fillId="0" borderId="0" xfId="0" applyNumberFormat="1" applyFont="1" applyAlignment="1" applyProtection="1">
      <alignment horizontal="left"/>
    </xf>
    <xf numFmtId="166" fontId="102" fillId="8" borderId="0" xfId="0" applyFont="1" applyFill="1"/>
    <xf numFmtId="166" fontId="121" fillId="8" borderId="0" xfId="0" applyNumberFormat="1" applyFont="1" applyFill="1" applyProtection="1"/>
    <xf numFmtId="166" fontId="0" fillId="6" borderId="0" xfId="0" applyNumberFormat="1" applyFont="1" applyFill="1" applyAlignment="1" applyProtection="1">
      <alignment horizontal="left"/>
    </xf>
    <xf numFmtId="166" fontId="0" fillId="6" borderId="0" xfId="0" applyFont="1" applyFill="1"/>
    <xf numFmtId="166" fontId="114" fillId="0" borderId="0" xfId="0" applyNumberFormat="1" applyFont="1" applyProtection="1"/>
    <xf numFmtId="166" fontId="0" fillId="7" borderId="0" xfId="0" applyFont="1" applyFill="1" applyBorder="1" applyAlignment="1">
      <alignment horizontal="left" vertical="top"/>
    </xf>
    <xf numFmtId="166" fontId="66" fillId="6" borderId="1" xfId="0" applyFont="1" applyFill="1" applyBorder="1" applyAlignment="1">
      <alignment vertical="top" wrapText="1"/>
    </xf>
    <xf numFmtId="166" fontId="66" fillId="6" borderId="1" xfId="0" applyFont="1" applyFill="1" applyBorder="1" applyAlignment="1">
      <alignment horizontal="right" vertical="top" wrapText="1"/>
    </xf>
    <xf numFmtId="166" fontId="66" fillId="6" borderId="1" xfId="0" applyFont="1" applyFill="1" applyBorder="1" applyAlignment="1">
      <alignment vertical="top"/>
    </xf>
    <xf numFmtId="2" fontId="65" fillId="6" borderId="1" xfId="15" applyNumberFormat="1" applyFont="1" applyFill="1" applyBorder="1" applyAlignment="1">
      <alignment vertical="top" wrapText="1"/>
    </xf>
    <xf numFmtId="166" fontId="67" fillId="6" borderId="0" xfId="0" applyFont="1" applyFill="1" applyAlignment="1">
      <alignment vertical="top"/>
    </xf>
    <xf numFmtId="166" fontId="66" fillId="6" borderId="0" xfId="0" applyFont="1" applyFill="1" applyAlignment="1">
      <alignment vertical="top"/>
    </xf>
    <xf numFmtId="166" fontId="12" fillId="0" borderId="11" xfId="0" applyNumberFormat="1" applyFont="1" applyBorder="1" applyProtection="1"/>
    <xf numFmtId="166" fontId="0" fillId="0" borderId="12" xfId="0" applyNumberFormat="1" applyBorder="1" applyAlignment="1" applyProtection="1">
      <alignment horizontal="fill"/>
    </xf>
    <xf numFmtId="166" fontId="12" fillId="0" borderId="0" xfId="0" applyNumberFormat="1" applyFont="1" applyAlignment="1" applyProtection="1">
      <alignment horizontal="center" wrapText="1"/>
    </xf>
    <xf numFmtId="166" fontId="122" fillId="0" borderId="0" xfId="0" applyNumberFormat="1" applyFont="1" applyAlignment="1" applyProtection="1">
      <alignment horizontal="left"/>
    </xf>
    <xf numFmtId="166" fontId="122" fillId="0" borderId="0" xfId="0" applyFont="1" applyAlignment="1"/>
    <xf numFmtId="170" fontId="122" fillId="0" borderId="0" xfId="0" applyNumberFormat="1" applyFont="1"/>
    <xf numFmtId="166" fontId="122" fillId="0" borderId="0" xfId="0" applyFont="1" applyAlignment="1">
      <alignment horizontal="left"/>
    </xf>
    <xf numFmtId="166" fontId="122" fillId="0" borderId="0" xfId="0" applyFont="1"/>
    <xf numFmtId="170" fontId="122" fillId="0" borderId="0" xfId="0" applyNumberFormat="1" applyFont="1" applyAlignment="1" applyProtection="1">
      <alignment horizontal="left"/>
    </xf>
    <xf numFmtId="166" fontId="123" fillId="0" borderId="0" xfId="0" applyFont="1"/>
    <xf numFmtId="166" fontId="124" fillId="0" borderId="0" xfId="0" applyFont="1"/>
    <xf numFmtId="166" fontId="124" fillId="0" borderId="0" xfId="0" applyFont="1" applyAlignment="1">
      <alignment horizontal="center"/>
    </xf>
    <xf numFmtId="166" fontId="111" fillId="0" borderId="0" xfId="0" applyFont="1"/>
    <xf numFmtId="166" fontId="102" fillId="6" borderId="0" xfId="0" applyFont="1" applyFill="1" applyBorder="1" applyAlignment="1">
      <alignment horizontal="left" vertical="top"/>
    </xf>
    <xf numFmtId="166" fontId="116" fillId="10" borderId="0" xfId="0" applyFont="1" applyFill="1" applyBorder="1" applyAlignment="1">
      <alignment horizontal="left" vertical="top"/>
    </xf>
    <xf numFmtId="166" fontId="125" fillId="0" borderId="0" xfId="0" applyNumberFormat="1" applyFont="1" applyProtection="1"/>
    <xf numFmtId="166" fontId="126" fillId="8" borderId="0" xfId="0" applyNumberFormat="1" applyFont="1" applyFill="1" applyProtection="1"/>
    <xf numFmtId="166" fontId="126" fillId="0" borderId="0" xfId="0" applyNumberFormat="1" applyFont="1" applyProtection="1"/>
    <xf numFmtId="166" fontId="126" fillId="8" borderId="0" xfId="0" applyFont="1" applyFill="1"/>
    <xf numFmtId="166" fontId="0" fillId="8" borderId="0" xfId="0" applyNumberFormat="1" applyFill="1" applyAlignment="1" applyProtection="1">
      <alignment horizontal="left" wrapText="1"/>
    </xf>
    <xf numFmtId="166" fontId="102" fillId="8" borderId="0" xfId="0" applyNumberFormat="1" applyFont="1" applyFill="1" applyAlignment="1" applyProtection="1">
      <alignment horizontal="left"/>
    </xf>
    <xf numFmtId="166" fontId="115" fillId="6" borderId="0" xfId="0" applyFont="1" applyFill="1"/>
    <xf numFmtId="166" fontId="0" fillId="0" borderId="0" xfId="0" applyNumberFormat="1" applyFont="1" applyAlignment="1" applyProtection="1"/>
    <xf numFmtId="166" fontId="102" fillId="6" borderId="0" xfId="0" applyNumberFormat="1" applyFont="1" applyFill="1" applyProtection="1"/>
    <xf numFmtId="166" fontId="21" fillId="0" borderId="0" xfId="0" applyNumberFormat="1" applyFont="1" applyAlignment="1">
      <alignment horizontal="center"/>
    </xf>
    <xf numFmtId="166" fontId="20" fillId="0" borderId="0" xfId="0" applyNumberFormat="1" applyFont="1"/>
    <xf numFmtId="166" fontId="20" fillId="0" borderId="0" xfId="0" applyNumberFormat="1" applyFont="1" applyAlignment="1">
      <alignment horizontal="center"/>
    </xf>
    <xf numFmtId="166" fontId="20" fillId="0" borderId="0" xfId="0" applyNumberFormat="1" applyFont="1" applyProtection="1"/>
    <xf numFmtId="168" fontId="20" fillId="0" borderId="0" xfId="0" applyNumberFormat="1" applyFont="1"/>
    <xf numFmtId="171" fontId="20" fillId="0" borderId="0" xfId="0" applyNumberFormat="1" applyFont="1" applyProtection="1"/>
    <xf numFmtId="166" fontId="20" fillId="0" borderId="0" xfId="0" applyNumberFormat="1" applyFont="1" applyAlignment="1" applyProtection="1"/>
    <xf numFmtId="166" fontId="20" fillId="0" borderId="0" xfId="0" applyNumberFormat="1" applyFont="1" applyAlignment="1" applyProtection="1">
      <alignment horizontal="left"/>
    </xf>
    <xf numFmtId="166" fontId="20" fillId="0" borderId="0" xfId="0" applyNumberFormat="1" applyFont="1" applyAlignment="1"/>
    <xf numFmtId="166" fontId="21" fillId="0" borderId="0" xfId="0" applyNumberFormat="1" applyFont="1" applyAlignment="1" applyProtection="1">
      <alignment horizontal="right"/>
    </xf>
    <xf numFmtId="166" fontId="21" fillId="0" borderId="0" xfId="0" applyNumberFormat="1" applyFont="1" applyProtection="1"/>
    <xf numFmtId="166" fontId="21" fillId="0" borderId="0" xfId="0" applyNumberFormat="1" applyFont="1"/>
    <xf numFmtId="166" fontId="21" fillId="0" borderId="0" xfId="0" applyNumberFormat="1" applyFont="1" applyAlignment="1" applyProtection="1">
      <alignment horizontal="left"/>
    </xf>
    <xf numFmtId="166" fontId="21" fillId="0" borderId="0" xfId="0" applyNumberFormat="1" applyFont="1" applyAlignment="1" applyProtection="1">
      <alignment horizontal="center"/>
    </xf>
    <xf numFmtId="166" fontId="20" fillId="0" borderId="0" xfId="0" applyNumberFormat="1" applyFont="1" applyAlignment="1" applyProtection="1">
      <alignment horizontal="right"/>
    </xf>
    <xf numFmtId="166" fontId="20" fillId="0" borderId="0" xfId="0" applyNumberFormat="1" applyFont="1" applyAlignment="1">
      <alignment horizontal="left"/>
    </xf>
    <xf numFmtId="166" fontId="20" fillId="0" borderId="0" xfId="0" applyNumberFormat="1" applyFont="1" applyAlignment="1" applyProtection="1">
      <alignment horizontal="fill"/>
    </xf>
    <xf numFmtId="166" fontId="34" fillId="0" borderId="0" xfId="0" applyNumberFormat="1" applyFont="1" applyAlignment="1">
      <alignment horizontal="center"/>
    </xf>
    <xf numFmtId="166" fontId="0" fillId="0" borderId="0" xfId="0" applyNumberFormat="1"/>
    <xf numFmtId="166" fontId="0" fillId="0" borderId="0" xfId="0" applyNumberFormat="1" applyAlignment="1">
      <alignment horizontal="center"/>
    </xf>
    <xf numFmtId="166" fontId="75" fillId="0" borderId="0" xfId="0" applyNumberFormat="1" applyFont="1" applyFill="1" applyAlignment="1">
      <alignment vertical="center"/>
    </xf>
    <xf numFmtId="166" fontId="76" fillId="0" borderId="0" xfId="0" applyNumberFormat="1" applyFont="1" applyFill="1" applyAlignment="1">
      <alignment vertical="center"/>
    </xf>
    <xf numFmtId="166" fontId="76" fillId="0" borderId="0" xfId="0" applyNumberFormat="1" applyFont="1" applyAlignment="1">
      <alignment horizontal="center" vertical="center"/>
    </xf>
    <xf numFmtId="166" fontId="75" fillId="0" borderId="0" xfId="0" applyNumberFormat="1" applyFont="1" applyAlignment="1">
      <alignment horizontal="center" vertical="center"/>
    </xf>
    <xf numFmtId="166" fontId="75" fillId="0" borderId="0" xfId="0" applyNumberFormat="1" applyFont="1" applyAlignment="1">
      <alignment horizontal="left" vertical="center"/>
    </xf>
    <xf numFmtId="0" fontId="75" fillId="0" borderId="0" xfId="0" applyNumberFormat="1" applyFont="1" applyFill="1" applyAlignment="1">
      <alignment vertical="center" wrapText="1"/>
    </xf>
    <xf numFmtId="166" fontId="75" fillId="0" borderId="0" xfId="0" applyNumberFormat="1" applyFont="1" applyAlignment="1">
      <alignment horizontal="left" vertical="center" wrapText="1"/>
    </xf>
    <xf numFmtId="166" fontId="76" fillId="0" borderId="0" xfId="0" applyNumberFormat="1" applyFont="1" applyFill="1" applyAlignment="1">
      <alignment vertical="center" wrapText="1"/>
    </xf>
    <xf numFmtId="2" fontId="127" fillId="0" borderId="0" xfId="0" applyNumberFormat="1" applyFont="1" applyFill="1"/>
    <xf numFmtId="0" fontId="75" fillId="0" borderId="0" xfId="0" applyNumberFormat="1" applyFont="1" applyFill="1"/>
    <xf numFmtId="2" fontId="75" fillId="0" borderId="0" xfId="0" applyNumberFormat="1" applyFont="1" applyFill="1"/>
    <xf numFmtId="174" fontId="75" fillId="0" borderId="0" xfId="0" applyNumberFormat="1" applyFont="1" applyFill="1"/>
    <xf numFmtId="0" fontId="76" fillId="0" borderId="0" xfId="0" applyNumberFormat="1" applyFont="1" applyFill="1"/>
    <xf numFmtId="0" fontId="75" fillId="0" borderId="0" xfId="0" applyNumberFormat="1" applyFont="1" applyFill="1" applyAlignment="1">
      <alignment horizontal="center" vertical="top" wrapText="1"/>
    </xf>
    <xf numFmtId="0" fontId="76" fillId="0" borderId="0" xfId="0" applyNumberFormat="1" applyFont="1" applyFill="1" applyAlignment="1">
      <alignment vertical="top" wrapText="1"/>
    </xf>
    <xf numFmtId="175" fontId="75" fillId="0" borderId="0" xfId="0" applyNumberFormat="1" applyFont="1" applyFill="1"/>
    <xf numFmtId="0" fontId="128" fillId="0" borderId="0" xfId="0" applyNumberFormat="1" applyFont="1" applyFill="1"/>
    <xf numFmtId="0" fontId="75" fillId="0" borderId="0" xfId="0" applyNumberFormat="1" applyFont="1" applyFill="1" applyAlignment="1">
      <alignment horizontal="left" vertical="top" wrapText="1"/>
    </xf>
    <xf numFmtId="0" fontId="78" fillId="0" borderId="0" xfId="0" applyNumberFormat="1" applyFont="1" applyFill="1" applyAlignment="1">
      <alignment vertical="top" wrapText="1"/>
    </xf>
    <xf numFmtId="1" fontId="65" fillId="6" borderId="1" xfId="15" applyNumberFormat="1" applyFont="1" applyFill="1" applyBorder="1" applyAlignment="1">
      <alignment vertical="top" wrapText="1"/>
    </xf>
    <xf numFmtId="173" fontId="65" fillId="6" borderId="1" xfId="15" applyNumberFormat="1" applyFont="1" applyFill="1" applyBorder="1" applyAlignment="1">
      <alignment horizontal="right" vertical="top" wrapText="1"/>
    </xf>
    <xf numFmtId="166" fontId="65" fillId="6" borderId="1" xfId="0" applyFont="1" applyFill="1" applyBorder="1" applyAlignment="1">
      <alignment vertical="top" wrapText="1"/>
    </xf>
    <xf numFmtId="166" fontId="74" fillId="0" borderId="0" xfId="0" applyFont="1"/>
    <xf numFmtId="166" fontId="114" fillId="7" borderId="0" xfId="0" applyNumberFormat="1" applyFont="1" applyFill="1" applyAlignment="1" applyProtection="1">
      <alignment horizontal="left"/>
    </xf>
    <xf numFmtId="166" fontId="114" fillId="0" borderId="0" xfId="0" applyNumberFormat="1" applyFont="1" applyAlignment="1" applyProtection="1">
      <alignment horizontal="left"/>
    </xf>
    <xf numFmtId="168" fontId="18" fillId="0" borderId="0" xfId="0" applyNumberFormat="1" applyFont="1"/>
    <xf numFmtId="166" fontId="114" fillId="0" borderId="0" xfId="0" applyFont="1"/>
    <xf numFmtId="166" fontId="114" fillId="7" borderId="0" xfId="0" applyFont="1" applyFill="1" applyBorder="1" applyAlignment="1">
      <alignment horizontal="left" vertical="top"/>
    </xf>
    <xf numFmtId="166" fontId="111" fillId="9" borderId="0" xfId="0" applyNumberFormat="1" applyFont="1" applyFill="1" applyProtection="1"/>
    <xf numFmtId="2" fontId="64" fillId="0" borderId="0" xfId="17" applyNumberFormat="1" applyFont="1"/>
    <xf numFmtId="0" fontId="0" fillId="0" borderId="0" xfId="0" applyNumberFormat="1"/>
    <xf numFmtId="0" fontId="101" fillId="0" borderId="0" xfId="0" applyNumberFormat="1" applyFont="1" applyAlignment="1">
      <alignment horizontal="center"/>
    </xf>
    <xf numFmtId="166" fontId="21" fillId="0" borderId="0" xfId="0" applyNumberFormat="1" applyFont="1" applyAlignment="1"/>
    <xf numFmtId="171" fontId="20" fillId="0" borderId="0" xfId="0" applyNumberFormat="1" applyFont="1" applyAlignment="1" applyProtection="1">
      <alignment horizontal="right"/>
    </xf>
    <xf numFmtId="166" fontId="26" fillId="0" borderId="0" xfId="0" applyNumberFormat="1" applyFont="1"/>
    <xf numFmtId="166" fontId="26" fillId="0" borderId="0" xfId="0" applyNumberFormat="1" applyFont="1" applyAlignment="1"/>
    <xf numFmtId="166" fontId="26" fillId="0" borderId="0" xfId="0" applyNumberFormat="1" applyFont="1" applyProtection="1"/>
    <xf numFmtId="166" fontId="26" fillId="0" borderId="0" xfId="0" applyNumberFormat="1" applyFont="1" applyAlignment="1">
      <alignment horizontal="left"/>
    </xf>
    <xf numFmtId="0" fontId="101" fillId="0" borderId="0" xfId="0" applyNumberFormat="1" applyFont="1"/>
    <xf numFmtId="166" fontId="110" fillId="0" borderId="0" xfId="0" applyNumberFormat="1" applyFont="1" applyAlignment="1"/>
    <xf numFmtId="166" fontId="110" fillId="0" borderId="0" xfId="0" applyNumberFormat="1" applyFont="1"/>
    <xf numFmtId="166" fontId="110" fillId="0" borderId="0" xfId="0" applyNumberFormat="1" applyFont="1" applyAlignment="1" applyProtection="1">
      <alignment horizontal="left"/>
    </xf>
    <xf numFmtId="2" fontId="101" fillId="0" borderId="0" xfId="0" applyNumberFormat="1" applyFont="1"/>
    <xf numFmtId="0" fontId="0" fillId="0" borderId="0" xfId="0" applyNumberFormat="1" applyBorder="1"/>
    <xf numFmtId="0" fontId="101" fillId="0" borderId="0" xfId="0" applyNumberFormat="1" applyFont="1" applyBorder="1"/>
    <xf numFmtId="166" fontId="110" fillId="0" borderId="0" xfId="0" applyNumberFormat="1" applyFont="1" applyBorder="1"/>
    <xf numFmtId="166" fontId="110" fillId="0" borderId="0" xfId="0" applyNumberFormat="1" applyFont="1" applyBorder="1" applyAlignment="1" applyProtection="1">
      <alignment horizontal="left"/>
    </xf>
    <xf numFmtId="166" fontId="110" fillId="0" borderId="0" xfId="0" applyNumberFormat="1" applyFont="1" applyBorder="1" applyAlignment="1"/>
    <xf numFmtId="0" fontId="0" fillId="0" borderId="0" xfId="0" applyNumberFormat="1" applyBorder="1" applyAlignment="1">
      <alignment wrapText="1"/>
    </xf>
    <xf numFmtId="0" fontId="101" fillId="0" borderId="0" xfId="0" applyNumberFormat="1" applyFont="1" applyBorder="1" applyAlignment="1">
      <alignment horizontal="right"/>
    </xf>
    <xf numFmtId="166" fontId="129" fillId="0" borderId="0" xfId="0" applyNumberFormat="1" applyFont="1" applyBorder="1"/>
    <xf numFmtId="0" fontId="130" fillId="0" borderId="0" xfId="0" applyNumberFormat="1" applyFont="1"/>
    <xf numFmtId="166" fontId="129" fillId="0" borderId="0" xfId="0" applyNumberFormat="1" applyFont="1" applyAlignment="1" applyProtection="1">
      <alignment horizontal="left"/>
    </xf>
    <xf numFmtId="166" fontId="110" fillId="0" borderId="0" xfId="0" applyNumberFormat="1" applyFont="1" applyAlignment="1">
      <alignment horizontal="left"/>
    </xf>
    <xf numFmtId="166" fontId="131" fillId="0" borderId="0" xfId="0" applyNumberFormat="1" applyFont="1" applyAlignment="1"/>
    <xf numFmtId="166" fontId="132" fillId="0" borderId="0" xfId="0" applyNumberFormat="1" applyFont="1" applyAlignment="1"/>
    <xf numFmtId="168" fontId="110" fillId="0" borderId="0" xfId="0" applyNumberFormat="1" applyFont="1"/>
    <xf numFmtId="166" fontId="110" fillId="0" borderId="0" xfId="0" applyNumberFormat="1" applyFont="1" applyAlignment="1">
      <alignment horizontal="right"/>
    </xf>
    <xf numFmtId="166" fontId="129" fillId="0" borderId="0" xfId="0" applyNumberFormat="1" applyFont="1"/>
    <xf numFmtId="166" fontId="101" fillId="0" borderId="0" xfId="0" applyNumberFormat="1" applyFont="1" applyAlignment="1" applyProtection="1">
      <alignment horizontal="left"/>
    </xf>
    <xf numFmtId="166" fontId="101" fillId="0" borderId="0" xfId="0" applyNumberFormat="1" applyFont="1"/>
    <xf numFmtId="166" fontId="101" fillId="0" borderId="0" xfId="0" applyNumberFormat="1" applyFont="1" applyAlignment="1">
      <alignment horizontal="left"/>
    </xf>
    <xf numFmtId="166" fontId="0" fillId="0" borderId="0" xfId="0" applyNumberFormat="1" applyAlignment="1"/>
    <xf numFmtId="166" fontId="0" fillId="0" borderId="0" xfId="0" applyNumberFormat="1" applyAlignment="1">
      <alignment horizontal="left"/>
    </xf>
    <xf numFmtId="166" fontId="0" fillId="0" borderId="0" xfId="0" applyNumberFormat="1" applyBorder="1" applyAlignment="1">
      <alignment horizontal="left" vertical="top"/>
    </xf>
    <xf numFmtId="166" fontId="12" fillId="0" borderId="0" xfId="0" applyNumberFormat="1" applyFont="1"/>
    <xf numFmtId="166" fontId="12" fillId="0" borderId="0" xfId="0" applyNumberFormat="1" applyFont="1" applyAlignment="1">
      <alignment horizontal="right"/>
    </xf>
    <xf numFmtId="166" fontId="0" fillId="0" borderId="0" xfId="0" applyNumberFormat="1" applyBorder="1" applyAlignment="1">
      <alignment horizontal="left"/>
    </xf>
    <xf numFmtId="166" fontId="20" fillId="0" borderId="0" xfId="0" applyNumberFormat="1" applyFont="1" applyAlignment="1" applyProtection="1">
      <alignment horizontal="left" wrapText="1"/>
    </xf>
    <xf numFmtId="166" fontId="12" fillId="0" borderId="0" xfId="0" applyNumberFormat="1" applyFont="1" applyAlignment="1"/>
    <xf numFmtId="166" fontId="12" fillId="0" borderId="0" xfId="0" applyNumberFormat="1" applyFont="1" applyAlignment="1">
      <alignment horizontal="left"/>
    </xf>
    <xf numFmtId="171" fontId="133" fillId="7" borderId="0" xfId="0" applyNumberFormat="1" applyFont="1" applyFill="1" applyProtection="1"/>
    <xf numFmtId="166" fontId="81" fillId="0" borderId="0" xfId="0" applyFont="1"/>
    <xf numFmtId="0" fontId="12" fillId="0" borderId="0" xfId="0" applyNumberFormat="1" applyFont="1" applyProtection="1"/>
    <xf numFmtId="166" fontId="25" fillId="0" borderId="0" xfId="0" applyFont="1" applyBorder="1" applyAlignment="1">
      <alignment vertical="top" wrapText="1"/>
    </xf>
    <xf numFmtId="166" fontId="82" fillId="0" borderId="0" xfId="0" applyFont="1" applyBorder="1" applyAlignment="1">
      <alignment horizontal="right" vertical="top"/>
    </xf>
    <xf numFmtId="2" fontId="64" fillId="0" borderId="0" xfId="0" applyNumberFormat="1" applyFont="1" applyFill="1" applyBorder="1" applyAlignment="1">
      <alignment horizontal="right" vertical="top" wrapText="1"/>
    </xf>
    <xf numFmtId="49" fontId="64" fillId="0" borderId="0" xfId="0" applyNumberFormat="1" applyFont="1" applyFill="1" applyBorder="1" applyAlignment="1">
      <alignment horizontal="left" vertical="top" wrapText="1"/>
    </xf>
    <xf numFmtId="0" fontId="14" fillId="0" borderId="0" xfId="0" applyNumberFormat="1" applyFont="1" applyFill="1" applyBorder="1" applyAlignment="1">
      <alignment horizontal="center" vertical="top" wrapText="1"/>
    </xf>
    <xf numFmtId="2" fontId="64" fillId="0" borderId="0" xfId="0" applyNumberFormat="1" applyFont="1" applyFill="1" applyBorder="1" applyAlignment="1">
      <alignment horizontal="center" vertical="top" wrapText="1"/>
    </xf>
    <xf numFmtId="2" fontId="14" fillId="0" borderId="0" xfId="0" applyNumberFormat="1" applyFont="1" applyFill="1" applyBorder="1" applyAlignment="1">
      <alignment horizontal="right" vertical="top" wrapText="1"/>
    </xf>
    <xf numFmtId="0" fontId="64" fillId="0" borderId="0" xfId="0" applyNumberFormat="1" applyFont="1" applyFill="1" applyBorder="1" applyAlignment="1">
      <alignment horizontal="left" vertical="top" wrapText="1"/>
    </xf>
    <xf numFmtId="0" fontId="14" fillId="0" borderId="0" xfId="0" applyNumberFormat="1" applyFont="1" applyFill="1" applyBorder="1" applyAlignment="1">
      <alignment horizontal="left" vertical="top" wrapText="1"/>
    </xf>
    <xf numFmtId="173" fontId="64" fillId="0" borderId="0" xfId="0" applyNumberFormat="1" applyFont="1" applyFill="1" applyBorder="1" applyAlignment="1">
      <alignment horizontal="right" vertical="top" wrapText="1"/>
    </xf>
    <xf numFmtId="174" fontId="64" fillId="0" borderId="0" xfId="0" applyNumberFormat="1" applyFont="1" applyFill="1" applyBorder="1" applyAlignment="1">
      <alignment horizontal="right" vertical="top" wrapText="1"/>
    </xf>
    <xf numFmtId="1" fontId="64" fillId="0" borderId="0" xfId="0" applyNumberFormat="1" applyFont="1" applyFill="1" applyBorder="1" applyAlignment="1">
      <alignment horizontal="right" vertical="top" wrapText="1"/>
    </xf>
    <xf numFmtId="2" fontId="64" fillId="0" borderId="0" xfId="0" applyNumberFormat="1" applyFont="1" applyFill="1" applyBorder="1" applyAlignment="1">
      <alignment horizontal="right" vertical="center" wrapText="1"/>
    </xf>
    <xf numFmtId="49" fontId="64" fillId="0" borderId="0" xfId="0" applyNumberFormat="1" applyFont="1" applyFill="1" applyBorder="1" applyAlignment="1">
      <alignment horizontal="center" vertical="top" wrapText="1"/>
    </xf>
    <xf numFmtId="174" fontId="64" fillId="7" borderId="0" xfId="0" applyNumberFormat="1" applyFont="1" applyFill="1" applyBorder="1" applyAlignment="1">
      <alignment horizontal="right" vertical="top" wrapText="1"/>
    </xf>
    <xf numFmtId="49" fontId="64" fillId="7" borderId="0" xfId="0" applyNumberFormat="1" applyFont="1" applyFill="1" applyBorder="1" applyAlignment="1">
      <alignment horizontal="left" vertical="top" wrapText="1"/>
    </xf>
    <xf numFmtId="2" fontId="64" fillId="7" borderId="0" xfId="0" applyNumberFormat="1" applyFont="1" applyFill="1" applyBorder="1" applyAlignment="1">
      <alignment horizontal="right" vertical="top" wrapText="1"/>
    </xf>
    <xf numFmtId="49" fontId="64" fillId="7" borderId="0" xfId="0" applyNumberFormat="1" applyFont="1" applyFill="1" applyBorder="1" applyAlignment="1">
      <alignment horizontal="center" vertical="top" wrapText="1"/>
    </xf>
    <xf numFmtId="0" fontId="64" fillId="0" borderId="0" xfId="0" applyNumberFormat="1" applyFont="1" applyFill="1" applyBorder="1" applyAlignment="1">
      <alignment horizontal="justify" vertical="top" wrapText="1"/>
    </xf>
    <xf numFmtId="0" fontId="64" fillId="0" borderId="0" xfId="0" applyNumberFormat="1" applyFont="1" applyFill="1" applyBorder="1" applyAlignment="1">
      <alignment horizontal="center" vertical="top" wrapText="1"/>
    </xf>
    <xf numFmtId="2" fontId="14" fillId="7" borderId="0" xfId="0" applyNumberFormat="1" applyFont="1" applyFill="1" applyBorder="1" applyAlignment="1">
      <alignment horizontal="right" vertical="top" wrapText="1"/>
    </xf>
    <xf numFmtId="168" fontId="43" fillId="0" borderId="0" xfId="0" applyNumberFormat="1" applyFont="1"/>
    <xf numFmtId="166" fontId="43" fillId="0" borderId="0" xfId="0" applyFont="1" applyAlignment="1"/>
    <xf numFmtId="166" fontId="42" fillId="0" borderId="0" xfId="0" applyFont="1"/>
    <xf numFmtId="166" fontId="43" fillId="0" borderId="0" xfId="0" applyFont="1"/>
    <xf numFmtId="166" fontId="43" fillId="0" borderId="0" xfId="0" applyFont="1" applyAlignment="1">
      <alignment horizontal="left"/>
    </xf>
    <xf numFmtId="0" fontId="43" fillId="0" borderId="0" xfId="0" applyNumberFormat="1" applyFont="1"/>
    <xf numFmtId="168" fontId="43" fillId="0" borderId="0" xfId="0" applyNumberFormat="1" applyFont="1" applyProtection="1"/>
    <xf numFmtId="166" fontId="43" fillId="0" borderId="0" xfId="0" applyNumberFormat="1" applyFont="1" applyAlignment="1" applyProtection="1"/>
    <xf numFmtId="166" fontId="43" fillId="0" borderId="0" xfId="0" applyNumberFormat="1" applyFont="1" applyAlignment="1" applyProtection="1">
      <alignment horizontal="left"/>
    </xf>
    <xf numFmtId="166" fontId="43" fillId="0" borderId="0" xfId="0" applyNumberFormat="1" applyFont="1" applyProtection="1"/>
    <xf numFmtId="166" fontId="43" fillId="0" borderId="0" xfId="0" applyFont="1" applyAlignment="1">
      <alignment horizontal="center"/>
    </xf>
    <xf numFmtId="166" fontId="42" fillId="0" borderId="0" xfId="0" applyNumberFormat="1" applyFont="1" applyAlignment="1" applyProtection="1">
      <alignment horizontal="right"/>
    </xf>
    <xf numFmtId="166" fontId="42" fillId="0" borderId="0" xfId="0" applyNumberFormat="1" applyFont="1" applyProtection="1"/>
    <xf numFmtId="0" fontId="84" fillId="5" borderId="0" xfId="0" applyNumberFormat="1" applyFont="1" applyFill="1" applyBorder="1" applyAlignment="1">
      <alignment vertical="top" wrapText="1"/>
    </xf>
    <xf numFmtId="166" fontId="116" fillId="0" borderId="0" xfId="0" applyFont="1"/>
    <xf numFmtId="166" fontId="114" fillId="9" borderId="0" xfId="0" applyNumberFormat="1" applyFont="1" applyFill="1" applyAlignment="1" applyProtection="1">
      <alignment horizontal="left"/>
    </xf>
    <xf numFmtId="166" fontId="116" fillId="0" borderId="0" xfId="0" applyNumberFormat="1" applyFont="1" applyProtection="1"/>
    <xf numFmtId="166" fontId="114" fillId="0" borderId="0" xfId="0" applyNumberFormat="1" applyFont="1" applyBorder="1" applyProtection="1"/>
    <xf numFmtId="166" fontId="116" fillId="0" borderId="0" xfId="0" applyNumberFormat="1" applyFont="1" applyAlignment="1" applyProtection="1">
      <alignment horizontal="left"/>
    </xf>
    <xf numFmtId="166" fontId="134" fillId="0" borderId="0" xfId="0" applyNumberFormat="1" applyFont="1" applyProtection="1"/>
    <xf numFmtId="166" fontId="117" fillId="5" borderId="0" xfId="0" applyFont="1" applyFill="1" applyBorder="1"/>
    <xf numFmtId="2" fontId="14" fillId="0" borderId="1" xfId="16" applyNumberFormat="1" applyFont="1" applyBorder="1" applyAlignment="1">
      <alignment vertical="top" wrapText="1"/>
    </xf>
    <xf numFmtId="2" fontId="66" fillId="6" borderId="14" xfId="15" applyNumberFormat="1" applyFont="1" applyFill="1" applyBorder="1" applyAlignment="1">
      <alignment horizontal="center" vertical="top" wrapText="1"/>
    </xf>
    <xf numFmtId="166" fontId="66" fillId="6" borderId="14" xfId="0" applyFont="1" applyFill="1" applyBorder="1" applyAlignment="1">
      <alignment horizontal="right" vertical="top" wrapText="1"/>
    </xf>
    <xf numFmtId="166" fontId="0" fillId="7" borderId="0" xfId="0" applyFill="1"/>
    <xf numFmtId="166" fontId="135" fillId="0" borderId="1" xfId="0" applyFont="1" applyFill="1" applyBorder="1" applyAlignment="1">
      <alignment vertical="top" wrapText="1"/>
    </xf>
    <xf numFmtId="166" fontId="66" fillId="0" borderId="0" xfId="0" applyFont="1" applyFill="1" applyAlignment="1">
      <alignment vertical="top"/>
    </xf>
    <xf numFmtId="166" fontId="66" fillId="0" borderId="1" xfId="0" applyFont="1" applyFill="1" applyBorder="1" applyAlignment="1">
      <alignment vertical="top"/>
    </xf>
    <xf numFmtId="166" fontId="67" fillId="0" borderId="1" xfId="0" applyFont="1" applyFill="1" applyBorder="1" applyAlignment="1">
      <alignment vertical="top"/>
    </xf>
    <xf numFmtId="166" fontId="0" fillId="0" borderId="0" xfId="0" applyAlignment="1">
      <alignment vertical="center"/>
    </xf>
    <xf numFmtId="2" fontId="66" fillId="6" borderId="1" xfId="15" applyNumberFormat="1" applyFont="1" applyFill="1" applyBorder="1" applyAlignment="1">
      <alignment horizontal="center" vertical="top" wrapText="1"/>
    </xf>
    <xf numFmtId="2" fontId="43" fillId="0" borderId="15" xfId="16" applyNumberFormat="1" applyFont="1" applyBorder="1" applyAlignment="1">
      <alignment vertical="center" wrapText="1"/>
    </xf>
    <xf numFmtId="166" fontId="87" fillId="0" borderId="0" xfId="0" applyFont="1" applyFill="1" applyBorder="1" applyAlignment="1">
      <alignment horizontal="center"/>
    </xf>
    <xf numFmtId="166" fontId="87" fillId="0" borderId="0" xfId="0" applyFont="1" applyFill="1" applyBorder="1" applyAlignment="1">
      <alignment horizontal="right"/>
    </xf>
    <xf numFmtId="166" fontId="75" fillId="0" borderId="0" xfId="0" applyFont="1" applyFill="1" applyBorder="1" applyAlignment="1">
      <alignment horizontal="center"/>
    </xf>
    <xf numFmtId="166" fontId="87" fillId="0" borderId="0" xfId="0" applyFont="1" applyFill="1" applyBorder="1" applyAlignment="1">
      <alignment horizontal="center" vertical="center"/>
    </xf>
    <xf numFmtId="166" fontId="88" fillId="0" borderId="0" xfId="0" applyFont="1" applyFill="1" applyBorder="1" applyAlignment="1">
      <alignment horizontal="center"/>
    </xf>
    <xf numFmtId="166" fontId="88" fillId="0" borderId="0" xfId="0" applyFont="1" applyFill="1" applyBorder="1" applyAlignment="1">
      <alignment horizontal="center" vertical="center" wrapText="1"/>
    </xf>
    <xf numFmtId="166" fontId="89" fillId="0" borderId="0" xfId="0" applyFont="1" applyFill="1" applyBorder="1" applyAlignment="1">
      <alignment horizontal="center" vertical="center"/>
    </xf>
    <xf numFmtId="166" fontId="0" fillId="11" borderId="0" xfId="0" applyNumberFormat="1" applyFill="1" applyAlignment="1" applyProtection="1">
      <alignment horizontal="left"/>
    </xf>
    <xf numFmtId="166" fontId="0" fillId="7" borderId="0" xfId="0" applyNumberFormat="1" applyFill="1" applyAlignment="1" applyProtection="1">
      <alignment horizontal="left"/>
    </xf>
    <xf numFmtId="166" fontId="106" fillId="7" borderId="0" xfId="0" applyNumberFormat="1" applyFont="1" applyFill="1" applyAlignment="1" applyProtection="1">
      <alignment horizontal="left"/>
    </xf>
    <xf numFmtId="166" fontId="106" fillId="0" borderId="0" xfId="0" applyNumberFormat="1" applyFont="1" applyAlignment="1" applyProtection="1">
      <alignment horizontal="left"/>
    </xf>
    <xf numFmtId="166" fontId="114" fillId="7" borderId="0" xfId="0" applyNumberFormat="1" applyFont="1" applyFill="1" applyProtection="1"/>
    <xf numFmtId="167" fontId="106" fillId="0" borderId="0" xfId="0" applyNumberFormat="1" applyFont="1" applyAlignment="1" applyProtection="1">
      <alignment horizontal="left" wrapText="1"/>
    </xf>
    <xf numFmtId="167" fontId="106" fillId="0" borderId="0" xfId="0" applyNumberFormat="1" applyFont="1" applyAlignment="1" applyProtection="1">
      <alignment horizontal="left"/>
    </xf>
    <xf numFmtId="166" fontId="106" fillId="0" borderId="0" xfId="0" applyFont="1"/>
    <xf numFmtId="166" fontId="104" fillId="8" borderId="0" xfId="0" applyNumberFormat="1" applyFont="1" applyFill="1" applyAlignment="1" applyProtection="1">
      <alignment horizontal="left"/>
    </xf>
    <xf numFmtId="166" fontId="0" fillId="8" borderId="0" xfId="0" quotePrefix="1" applyFill="1"/>
    <xf numFmtId="166" fontId="117" fillId="7" borderId="0" xfId="0" applyFont="1" applyFill="1" applyBorder="1"/>
    <xf numFmtId="166" fontId="102" fillId="9" borderId="0" xfId="0" applyNumberFormat="1" applyFont="1" applyFill="1" applyAlignment="1" applyProtection="1">
      <alignment horizontal="left"/>
    </xf>
    <xf numFmtId="166" fontId="114" fillId="0" borderId="0" xfId="0" applyNumberFormat="1" applyFont="1" applyAlignment="1" applyProtection="1">
      <alignment horizontal="right"/>
    </xf>
    <xf numFmtId="166" fontId="117" fillId="7" borderId="0" xfId="0" applyNumberFormat="1" applyFont="1" applyFill="1" applyProtection="1"/>
    <xf numFmtId="166" fontId="102" fillId="0" borderId="0" xfId="0" applyFont="1" applyAlignment="1">
      <alignment wrapText="1"/>
    </xf>
    <xf numFmtId="166" fontId="0" fillId="7" borderId="0" xfId="0" applyNumberFormat="1" applyFont="1" applyFill="1" applyProtection="1"/>
    <xf numFmtId="166" fontId="102" fillId="0" borderId="0" xfId="0" applyNumberFormat="1" applyFont="1" applyAlignment="1" applyProtection="1">
      <alignment vertical="center"/>
    </xf>
    <xf numFmtId="166" fontId="107" fillId="0" borderId="0" xfId="0" applyNumberFormat="1" applyFont="1" applyBorder="1"/>
    <xf numFmtId="166" fontId="107" fillId="0" borderId="0" xfId="0" applyNumberFormat="1" applyFont="1"/>
    <xf numFmtId="166" fontId="133" fillId="7" borderId="0" xfId="0" applyNumberFormat="1" applyFont="1" applyFill="1" applyAlignment="1" applyProtection="1"/>
    <xf numFmtId="166" fontId="133" fillId="7" borderId="0" xfId="0" applyNumberFormat="1" applyFont="1" applyFill="1" applyAlignment="1" applyProtection="1">
      <alignment horizontal="left"/>
    </xf>
    <xf numFmtId="166" fontId="136" fillId="7" borderId="0" xfId="0" applyNumberFormat="1" applyFont="1" applyFill="1" applyAlignment="1"/>
    <xf numFmtId="166" fontId="136" fillId="7" borderId="0" xfId="0" applyNumberFormat="1" applyFont="1" applyFill="1"/>
    <xf numFmtId="166" fontId="133" fillId="7" borderId="0" xfId="0" applyNumberFormat="1" applyFont="1" applyFill="1"/>
    <xf numFmtId="166" fontId="133" fillId="7" borderId="0" xfId="0" applyNumberFormat="1" applyFont="1" applyFill="1" applyAlignment="1" applyProtection="1">
      <alignment horizontal="right"/>
    </xf>
    <xf numFmtId="166" fontId="111" fillId="7" borderId="0" xfId="0" applyNumberFormat="1" applyFont="1" applyFill="1" applyProtection="1"/>
    <xf numFmtId="166" fontId="115" fillId="7" borderId="0" xfId="0" applyFont="1" applyFill="1" applyBorder="1" applyAlignment="1">
      <alignment horizontal="left" vertical="top"/>
    </xf>
    <xf numFmtId="166" fontId="115" fillId="0" borderId="0" xfId="0" applyFont="1" applyBorder="1" applyAlignment="1">
      <alignment horizontal="left" vertical="top"/>
    </xf>
    <xf numFmtId="168" fontId="0" fillId="0" borderId="0" xfId="0" applyNumberFormat="1" applyAlignment="1"/>
    <xf numFmtId="166" fontId="54" fillId="0" borderId="0" xfId="0" applyFont="1"/>
    <xf numFmtId="166" fontId="54" fillId="0" borderId="0" xfId="0" applyFont="1" applyAlignment="1"/>
    <xf numFmtId="166" fontId="90" fillId="0" borderId="0" xfId="0" applyFont="1"/>
    <xf numFmtId="166" fontId="54" fillId="0" borderId="0" xfId="0" applyFont="1" applyAlignment="1">
      <alignment horizontal="center"/>
    </xf>
    <xf numFmtId="166" fontId="91" fillId="6" borderId="0" xfId="0" applyFont="1" applyFill="1"/>
    <xf numFmtId="166" fontId="54" fillId="0" borderId="0" xfId="0" applyNumberFormat="1" applyFont="1" applyAlignment="1" applyProtection="1">
      <alignment horizontal="center"/>
    </xf>
    <xf numFmtId="166" fontId="54" fillId="0" borderId="0" xfId="0" applyNumberFormat="1" applyFont="1" applyProtection="1"/>
    <xf numFmtId="166" fontId="54" fillId="0" borderId="0" xfId="0" applyNumberFormat="1" applyFont="1" applyAlignment="1" applyProtection="1"/>
    <xf numFmtId="166" fontId="54" fillId="0" borderId="0" xfId="0" applyNumberFormat="1" applyFont="1" applyAlignment="1" applyProtection="1">
      <alignment horizontal="left"/>
    </xf>
    <xf numFmtId="168" fontId="54" fillId="0" borderId="0" xfId="0" applyNumberFormat="1" applyFont="1" applyProtection="1"/>
    <xf numFmtId="166" fontId="54" fillId="0" borderId="0" xfId="0" applyNumberFormat="1" applyFont="1" applyAlignment="1" applyProtection="1">
      <alignment horizontal="fill"/>
    </xf>
    <xf numFmtId="166" fontId="90" fillId="0" borderId="0" xfId="0" applyNumberFormat="1" applyFont="1" applyAlignment="1" applyProtection="1">
      <alignment horizontal="left"/>
    </xf>
    <xf numFmtId="166" fontId="90" fillId="0" borderId="0" xfId="0" applyNumberFormat="1" applyFont="1" applyProtection="1"/>
    <xf numFmtId="166" fontId="91" fillId="6" borderId="0" xfId="0" applyFont="1" applyFill="1" applyAlignment="1"/>
    <xf numFmtId="166" fontId="54" fillId="6" borderId="0" xfId="0" applyNumberFormat="1" applyFont="1" applyFill="1" applyProtection="1"/>
    <xf numFmtId="166" fontId="54" fillId="6" borderId="0" xfId="0" applyNumberFormat="1" applyFont="1" applyFill="1" applyAlignment="1" applyProtection="1"/>
    <xf numFmtId="166" fontId="0" fillId="0" borderId="0" xfId="0" applyNumberFormat="1" applyFont="1" applyAlignment="1" applyProtection="1">
      <alignment horizontal="fill"/>
    </xf>
    <xf numFmtId="167" fontId="12" fillId="0" borderId="0" xfId="0" applyNumberFormat="1" applyFont="1" applyAlignment="1" applyProtection="1">
      <alignment horizontal="center"/>
    </xf>
    <xf numFmtId="166" fontId="137" fillId="6" borderId="0" xfId="0" applyNumberFormat="1" applyFont="1" applyFill="1" applyAlignment="1" applyProtection="1">
      <alignment horizontal="right"/>
    </xf>
    <xf numFmtId="166" fontId="137" fillId="6" borderId="0" xfId="0" applyNumberFormat="1" applyFont="1" applyFill="1" applyAlignment="1" applyProtection="1">
      <alignment horizontal="left"/>
    </xf>
    <xf numFmtId="166" fontId="138" fillId="6" borderId="1" xfId="0" applyFont="1" applyFill="1" applyBorder="1" applyAlignment="1">
      <alignment horizontal="right" vertical="top" wrapText="1"/>
    </xf>
    <xf numFmtId="166" fontId="65" fillId="6" borderId="1" xfId="0" applyFont="1" applyFill="1" applyBorder="1" applyAlignment="1">
      <alignment horizontal="right" vertical="top" wrapText="1"/>
    </xf>
    <xf numFmtId="2" fontId="65" fillId="6" borderId="1" xfId="15" applyNumberFormat="1" applyFont="1" applyFill="1" applyBorder="1" applyAlignment="1">
      <alignment horizontal="center" vertical="top" wrapText="1"/>
    </xf>
    <xf numFmtId="166" fontId="139" fillId="6" borderId="1" xfId="0" applyFont="1" applyFill="1" applyBorder="1" applyAlignment="1">
      <alignment vertical="top" wrapText="1"/>
    </xf>
    <xf numFmtId="166" fontId="139" fillId="0" borderId="1" xfId="0" applyFont="1" applyFill="1" applyBorder="1" applyAlignment="1">
      <alignment vertical="top" wrapText="1"/>
    </xf>
    <xf numFmtId="2" fontId="140" fillId="6" borderId="1" xfId="15" applyNumberFormat="1" applyFont="1" applyFill="1" applyBorder="1" applyAlignment="1">
      <alignment horizontal="center" vertical="top" wrapText="1"/>
    </xf>
    <xf numFmtId="2" fontId="140" fillId="0" borderId="1" xfId="15" applyNumberFormat="1" applyFont="1" applyFill="1" applyBorder="1" applyAlignment="1">
      <alignment horizontal="center" vertical="top" wrapText="1"/>
    </xf>
    <xf numFmtId="173" fontId="65" fillId="6" borderId="14" xfId="15" applyNumberFormat="1" applyFont="1" applyFill="1" applyBorder="1" applyAlignment="1">
      <alignment vertical="top" wrapText="1"/>
    </xf>
    <xf numFmtId="2" fontId="65" fillId="6" borderId="14" xfId="15" applyNumberFormat="1" applyFont="1" applyFill="1" applyBorder="1" applyAlignment="1">
      <alignment vertical="top" wrapText="1"/>
    </xf>
    <xf numFmtId="166" fontId="66" fillId="6" borderId="14" xfId="0" applyFont="1" applyFill="1" applyBorder="1" applyAlignment="1">
      <alignment vertical="top" wrapText="1"/>
    </xf>
    <xf numFmtId="166" fontId="65" fillId="6" borderId="14" xfId="0" applyFont="1" applyFill="1" applyBorder="1" applyAlignment="1">
      <alignment vertical="top"/>
    </xf>
    <xf numFmtId="173" fontId="65" fillId="6" borderId="14" xfId="15" applyNumberFormat="1" applyFont="1" applyFill="1" applyBorder="1" applyAlignment="1">
      <alignment horizontal="right" vertical="top" wrapText="1"/>
    </xf>
    <xf numFmtId="166" fontId="25" fillId="0" borderId="0" xfId="0" applyNumberFormat="1" applyFont="1"/>
    <xf numFmtId="166" fontId="25" fillId="0" borderId="0" xfId="0" applyNumberFormat="1" applyFont="1" applyAlignment="1"/>
    <xf numFmtId="166" fontId="25" fillId="0" borderId="0" xfId="0" applyNumberFormat="1" applyFont="1" applyAlignment="1">
      <alignment horizontal="center"/>
    </xf>
    <xf numFmtId="166" fontId="25" fillId="0" borderId="0" xfId="0" applyNumberFormat="1" applyFont="1" applyAlignment="1">
      <alignment horizontal="right"/>
    </xf>
    <xf numFmtId="171" fontId="101" fillId="0" borderId="0" xfId="0" applyNumberFormat="1" applyFont="1" applyAlignment="1">
      <alignment vertical="top"/>
    </xf>
    <xf numFmtId="171" fontId="112" fillId="0" borderId="0" xfId="0" applyNumberFormat="1" applyFont="1" applyAlignment="1">
      <alignment horizontal="right"/>
    </xf>
    <xf numFmtId="171" fontId="25" fillId="0" borderId="0" xfId="0" applyNumberFormat="1" applyFont="1" applyAlignment="1">
      <alignment horizontal="center"/>
    </xf>
    <xf numFmtId="166" fontId="10" fillId="0" borderId="0" xfId="0" applyNumberFormat="1" applyFont="1" applyAlignment="1">
      <alignment vertical="top"/>
    </xf>
    <xf numFmtId="0" fontId="0" fillId="0" borderId="0" xfId="0" applyNumberFormat="1" applyAlignment="1">
      <alignment horizontal="center" vertical="center"/>
    </xf>
    <xf numFmtId="166" fontId="101" fillId="0" borderId="0" xfId="0" applyNumberFormat="1" applyFont="1" applyAlignment="1" applyProtection="1">
      <alignment horizontal="right"/>
    </xf>
    <xf numFmtId="166" fontId="0" fillId="7" borderId="0" xfId="0" applyNumberFormat="1" applyFill="1"/>
    <xf numFmtId="166" fontId="0" fillId="7" borderId="0" xfId="0" applyNumberFormat="1" applyFill="1" applyAlignment="1"/>
    <xf numFmtId="166" fontId="0" fillId="7" borderId="0" xfId="0" applyNumberFormat="1" applyFill="1" applyAlignment="1">
      <alignment horizontal="left"/>
    </xf>
    <xf numFmtId="166" fontId="0" fillId="7" borderId="0" xfId="0" applyNumberFormat="1" applyFill="1" applyProtection="1"/>
    <xf numFmtId="0" fontId="0" fillId="7" borderId="0" xfId="0" applyNumberFormat="1" applyFill="1"/>
    <xf numFmtId="174" fontId="0" fillId="0" borderId="0" xfId="0" applyNumberFormat="1"/>
    <xf numFmtId="174" fontId="101" fillId="0" borderId="0" xfId="0" applyNumberFormat="1" applyFont="1"/>
    <xf numFmtId="0" fontId="128" fillId="7" borderId="0" xfId="0" applyNumberFormat="1" applyFont="1" applyFill="1"/>
    <xf numFmtId="0" fontId="141" fillId="7" borderId="0" xfId="0" applyNumberFormat="1" applyFont="1" applyFill="1"/>
    <xf numFmtId="166" fontId="25" fillId="0" borderId="0" xfId="0" applyNumberFormat="1" applyFont="1" applyAlignment="1">
      <alignment vertical="top"/>
    </xf>
    <xf numFmtId="166" fontId="25" fillId="7" borderId="0" xfId="0" applyNumberFormat="1" applyFont="1" applyFill="1"/>
    <xf numFmtId="166" fontId="25" fillId="7" borderId="0" xfId="0" applyNumberFormat="1" applyFont="1" applyFill="1" applyAlignment="1" applyProtection="1">
      <alignment horizontal="center"/>
    </xf>
    <xf numFmtId="166" fontId="73" fillId="0" borderId="0" xfId="0" applyNumberFormat="1" applyFont="1" applyAlignment="1" applyProtection="1">
      <alignment horizontal="left"/>
    </xf>
    <xf numFmtId="166" fontId="25" fillId="0" borderId="0" xfId="0" applyFont="1" applyAlignment="1">
      <alignment wrapText="1"/>
    </xf>
    <xf numFmtId="166" fontId="73" fillId="0" borderId="0" xfId="0" applyNumberFormat="1" applyFont="1" applyAlignment="1" applyProtection="1">
      <alignment horizontal="left" wrapText="1"/>
    </xf>
    <xf numFmtId="166" fontId="25" fillId="7" borderId="0" xfId="0" applyNumberFormat="1" applyFont="1" applyFill="1" applyProtection="1"/>
    <xf numFmtId="171" fontId="10" fillId="0" borderId="0" xfId="0" applyNumberFormat="1" applyFont="1"/>
    <xf numFmtId="166" fontId="0" fillId="0" borderId="0" xfId="0" applyFont="1" applyBorder="1" applyAlignment="1">
      <alignment horizontal="right" vertical="top"/>
    </xf>
    <xf numFmtId="166" fontId="114" fillId="7" borderId="0" xfId="0" applyFont="1" applyFill="1"/>
    <xf numFmtId="166" fontId="0" fillId="8" borderId="0" xfId="0" applyFill="1" applyAlignment="1">
      <alignment wrapText="1"/>
    </xf>
    <xf numFmtId="166" fontId="25" fillId="8" borderId="0" xfId="0" applyNumberFormat="1" applyFont="1" applyFill="1" applyAlignment="1" applyProtection="1">
      <alignment horizontal="left" wrapText="1"/>
    </xf>
    <xf numFmtId="166" fontId="25" fillId="6" borderId="0" xfId="0" applyNumberFormat="1" applyFont="1" applyFill="1" applyAlignment="1" applyProtection="1">
      <alignment horizontal="left"/>
    </xf>
    <xf numFmtId="166" fontId="102" fillId="12" borderId="0" xfId="0" applyFont="1" applyFill="1" applyBorder="1" applyAlignment="1">
      <alignment horizontal="left" vertical="top"/>
    </xf>
    <xf numFmtId="166" fontId="122" fillId="0" borderId="0" xfId="0" applyFont="1" applyBorder="1" applyAlignment="1">
      <alignment horizontal="left" vertical="top"/>
    </xf>
    <xf numFmtId="166" fontId="93" fillId="0" borderId="0" xfId="0" applyNumberFormat="1" applyFont="1" applyAlignment="1" applyProtection="1">
      <alignment horizontal="left"/>
    </xf>
    <xf numFmtId="166" fontId="93" fillId="0" borderId="0" xfId="0" applyNumberFormat="1" applyFont="1" applyProtection="1"/>
    <xf numFmtId="166" fontId="93" fillId="0" borderId="0" xfId="0" applyFont="1" applyAlignment="1" applyProtection="1">
      <alignment horizontal="left"/>
    </xf>
    <xf numFmtId="167" fontId="36" fillId="7" borderId="0" xfId="0" applyNumberFormat="1" applyFont="1" applyFill="1" applyProtection="1"/>
    <xf numFmtId="166" fontId="102" fillId="7" borderId="0" xfId="0" applyNumberFormat="1" applyFont="1" applyFill="1" applyProtection="1"/>
    <xf numFmtId="166" fontId="0" fillId="7" borderId="0" xfId="0" applyNumberFormat="1" applyFill="1" applyAlignment="1" applyProtection="1"/>
    <xf numFmtId="168" fontId="0" fillId="7" borderId="0" xfId="0" applyNumberFormat="1" applyFill="1"/>
    <xf numFmtId="166" fontId="111" fillId="0" borderId="0" xfId="0" applyNumberFormat="1" applyFont="1" applyAlignment="1" applyProtection="1">
      <alignment horizontal="left"/>
    </xf>
    <xf numFmtId="166" fontId="111" fillId="0" borderId="0" xfId="0" applyNumberFormat="1" applyFont="1" applyAlignment="1" applyProtection="1">
      <alignment horizontal="fill"/>
    </xf>
    <xf numFmtId="166" fontId="0" fillId="0" borderId="0" xfId="0" applyNumberFormat="1" applyAlignment="1" applyProtection="1">
      <alignment horizontal="right" indent="2"/>
    </xf>
    <xf numFmtId="166" fontId="0" fillId="0" borderId="0" xfId="0" applyNumberFormat="1" applyFill="1" applyAlignment="1" applyProtection="1">
      <alignment horizontal="right" indent="2"/>
    </xf>
    <xf numFmtId="166" fontId="0" fillId="0" borderId="0" xfId="0" applyAlignment="1">
      <alignment horizontal="right" indent="2"/>
    </xf>
    <xf numFmtId="166" fontId="12" fillId="0" borderId="0" xfId="0" quotePrefix="1" applyNumberFormat="1" applyFont="1" applyAlignment="1" applyProtection="1">
      <alignment horizontal="right"/>
    </xf>
    <xf numFmtId="166" fontId="81" fillId="0" borderId="0" xfId="0" applyFont="1" applyBorder="1" applyAlignment="1">
      <alignment horizontal="left" vertical="top"/>
    </xf>
    <xf numFmtId="166" fontId="34" fillId="0" borderId="0" xfId="0" applyFont="1" applyBorder="1" applyAlignment="1">
      <alignment horizontal="left" vertical="top"/>
    </xf>
    <xf numFmtId="166" fontId="122" fillId="0" borderId="0" xfId="0" applyNumberFormat="1" applyFont="1" applyProtection="1"/>
    <xf numFmtId="0" fontId="9" fillId="0" borderId="0" xfId="16" applyFont="1" applyBorder="1" applyAlignment="1">
      <alignment horizontal="center" vertical="center" wrapText="1"/>
    </xf>
    <xf numFmtId="166" fontId="10" fillId="0" borderId="15" xfId="0" applyFont="1" applyFill="1" applyBorder="1" applyAlignment="1">
      <alignment horizontal="center" vertical="center" wrapText="1"/>
    </xf>
    <xf numFmtId="174" fontId="129" fillId="0" borderId="15" xfId="0" applyNumberFormat="1" applyFont="1" applyFill="1" applyBorder="1" applyAlignment="1">
      <alignment horizontal="center" vertical="center"/>
    </xf>
    <xf numFmtId="166" fontId="10" fillId="0" borderId="15" xfId="0" applyFont="1" applyFill="1" applyBorder="1" applyAlignment="1">
      <alignment horizontal="center" vertical="center"/>
    </xf>
    <xf numFmtId="174" fontId="129" fillId="0" borderId="15" xfId="0" applyNumberFormat="1" applyFont="1" applyFill="1" applyBorder="1" applyAlignment="1">
      <alignment horizontal="center" vertical="top"/>
    </xf>
    <xf numFmtId="166" fontId="110" fillId="0" borderId="15" xfId="0" applyFont="1" applyFill="1" applyBorder="1" applyAlignment="1">
      <alignment horizontal="justify" vertical="center"/>
    </xf>
    <xf numFmtId="166" fontId="10" fillId="0" borderId="15" xfId="0" applyFont="1" applyFill="1" applyBorder="1" applyAlignment="1">
      <alignment horizontal="right" vertical="center"/>
    </xf>
    <xf numFmtId="173" fontId="25" fillId="0" borderId="15" xfId="16" applyNumberFormat="1" applyFont="1" applyFill="1" applyBorder="1" applyAlignment="1">
      <alignment horizontal="center" vertical="top" wrapText="1"/>
    </xf>
    <xf numFmtId="174" fontId="113" fillId="0" borderId="15" xfId="16" applyNumberFormat="1" applyFont="1" applyFill="1" applyBorder="1" applyAlignment="1">
      <alignment horizontal="center" vertical="top" wrapText="1"/>
    </xf>
    <xf numFmtId="2" fontId="129" fillId="0" borderId="15" xfId="16" applyNumberFormat="1" applyFont="1" applyFill="1" applyBorder="1" applyAlignment="1">
      <alignment horizontal="justify" vertical="top" wrapText="1"/>
    </xf>
    <xf numFmtId="2" fontId="25" fillId="0" borderId="15" xfId="16" applyNumberFormat="1" applyFont="1" applyFill="1" applyBorder="1" applyAlignment="1">
      <alignment horizontal="right" vertical="top" wrapText="1"/>
    </xf>
    <xf numFmtId="2" fontId="25" fillId="0" borderId="15" xfId="16" applyNumberFormat="1" applyFont="1" applyFill="1" applyBorder="1" applyAlignment="1">
      <alignment horizontal="center" vertical="top" wrapText="1"/>
    </xf>
    <xf numFmtId="2" fontId="113" fillId="0" borderId="15" xfId="16" applyNumberFormat="1" applyFont="1" applyFill="1" applyBorder="1" applyAlignment="1">
      <alignment horizontal="right" vertical="top" wrapText="1"/>
    </xf>
    <xf numFmtId="174" fontId="110" fillId="0" borderId="15" xfId="16" applyNumberFormat="1" applyFont="1" applyFill="1" applyBorder="1" applyAlignment="1">
      <alignment horizontal="center" vertical="top" wrapText="1"/>
    </xf>
    <xf numFmtId="2" fontId="110" fillId="0" borderId="15" xfId="16" applyNumberFormat="1" applyFont="1" applyFill="1" applyBorder="1" applyAlignment="1">
      <alignment horizontal="justify" vertical="top" wrapText="1"/>
    </xf>
    <xf numFmtId="2" fontId="10" fillId="0" borderId="15" xfId="16" applyNumberFormat="1" applyFont="1" applyFill="1" applyBorder="1" applyAlignment="1">
      <alignment horizontal="right" vertical="top" wrapText="1"/>
    </xf>
    <xf numFmtId="174" fontId="142" fillId="0" borderId="0" xfId="0" applyNumberFormat="1" applyFont="1" applyFill="1" applyBorder="1" applyAlignment="1">
      <alignment horizontal="center" vertical="top"/>
    </xf>
    <xf numFmtId="166" fontId="142" fillId="0" borderId="0" xfId="0" applyFont="1" applyFill="1" applyBorder="1" applyAlignment="1">
      <alignment horizontal="justify"/>
    </xf>
    <xf numFmtId="166" fontId="53" fillId="0" borderId="0" xfId="0" applyFont="1"/>
    <xf numFmtId="168" fontId="65" fillId="6" borderId="1" xfId="0" applyNumberFormat="1" applyFont="1" applyFill="1" applyBorder="1" applyAlignment="1">
      <alignment vertical="top" wrapText="1"/>
    </xf>
    <xf numFmtId="166" fontId="135" fillId="6" borderId="1" xfId="0" applyFont="1" applyFill="1" applyBorder="1" applyAlignment="1">
      <alignment vertical="top" wrapText="1"/>
    </xf>
    <xf numFmtId="166" fontId="65" fillId="6" borderId="14" xfId="0" applyFont="1" applyFill="1" applyBorder="1" applyAlignment="1">
      <alignment horizontal="right" vertical="top" wrapText="1"/>
    </xf>
    <xf numFmtId="2" fontId="65" fillId="6" borderId="14" xfId="15" applyNumberFormat="1" applyFont="1" applyFill="1" applyBorder="1" applyAlignment="1">
      <alignment horizontal="center" vertical="top" wrapText="1"/>
    </xf>
    <xf numFmtId="2" fontId="139" fillId="6" borderId="1" xfId="15" applyNumberFormat="1" applyFont="1" applyFill="1" applyBorder="1" applyAlignment="1">
      <alignment horizontal="center" vertical="top" wrapText="1"/>
    </xf>
    <xf numFmtId="166" fontId="138" fillId="6" borderId="1" xfId="0" applyFont="1" applyFill="1" applyBorder="1" applyAlignment="1">
      <alignment vertical="top"/>
    </xf>
    <xf numFmtId="166" fontId="138" fillId="6" borderId="0" xfId="0" applyFont="1" applyFill="1" applyAlignment="1">
      <alignment vertical="top"/>
    </xf>
    <xf numFmtId="168" fontId="65" fillId="6" borderId="1" xfId="15" applyNumberFormat="1" applyFont="1" applyFill="1" applyBorder="1" applyAlignment="1">
      <alignment horizontal="center" vertical="top" wrapText="1"/>
    </xf>
    <xf numFmtId="166" fontId="110" fillId="0" borderId="0" xfId="0" applyNumberFormat="1" applyFont="1" applyFill="1" applyBorder="1"/>
    <xf numFmtId="166" fontId="110" fillId="0" borderId="0" xfId="0" applyNumberFormat="1" applyFont="1" applyBorder="1" applyAlignment="1">
      <alignment vertical="center"/>
    </xf>
    <xf numFmtId="0" fontId="0" fillId="0" borderId="0" xfId="0" applyNumberFormat="1" applyBorder="1" applyAlignment="1">
      <alignment vertical="center"/>
    </xf>
    <xf numFmtId="166" fontId="110" fillId="0" borderId="0" xfId="0" applyNumberFormat="1" applyFont="1" applyBorder="1" applyAlignment="1" applyProtection="1">
      <alignment horizontal="left" vertical="center"/>
    </xf>
    <xf numFmtId="166" fontId="110" fillId="0" borderId="0" xfId="0" applyNumberFormat="1" applyFont="1" applyFill="1" applyBorder="1" applyAlignment="1"/>
    <xf numFmtId="2" fontId="0" fillId="0" borderId="0" xfId="0" applyNumberFormat="1" applyBorder="1"/>
    <xf numFmtId="2" fontId="100" fillId="0" borderId="0" xfId="0" applyNumberFormat="1" applyFont="1" applyBorder="1"/>
    <xf numFmtId="166" fontId="25" fillId="0" borderId="0" xfId="0" applyFont="1" applyBorder="1" applyAlignment="1">
      <alignment horizontal="right" vertical="center"/>
    </xf>
    <xf numFmtId="166" fontId="25" fillId="0" borderId="0" xfId="0" applyFont="1" applyBorder="1" applyAlignment="1">
      <alignment horizontal="left" vertical="center"/>
    </xf>
    <xf numFmtId="166" fontId="25" fillId="0" borderId="0" xfId="0" applyFont="1" applyFill="1" applyBorder="1" applyAlignment="1">
      <alignment horizontal="left" vertical="top" wrapText="1"/>
    </xf>
    <xf numFmtId="166" fontId="0" fillId="0" borderId="0" xfId="0" applyNumberFormat="1" applyAlignment="1" applyProtection="1">
      <alignment wrapText="1"/>
    </xf>
    <xf numFmtId="166" fontId="143" fillId="0" borderId="0" xfId="0" applyFont="1"/>
    <xf numFmtId="166" fontId="139" fillId="0" borderId="10" xfId="0" applyFont="1" applyFill="1" applyBorder="1" applyAlignment="1">
      <alignment vertical="top" wrapText="1"/>
    </xf>
    <xf numFmtId="166" fontId="139" fillId="6" borderId="10" xfId="0" applyFont="1" applyFill="1" applyBorder="1" applyAlignment="1">
      <alignment vertical="top" wrapText="1"/>
    </xf>
    <xf numFmtId="2" fontId="80" fillId="6" borderId="10" xfId="16" applyNumberFormat="1" applyFont="1" applyFill="1" applyBorder="1" applyAlignment="1">
      <alignment vertical="top" wrapText="1"/>
    </xf>
    <xf numFmtId="2" fontId="68" fillId="6" borderId="10" xfId="16" applyNumberFormat="1" applyFont="1" applyFill="1" applyBorder="1" applyAlignment="1">
      <alignment vertical="top" wrapText="1"/>
    </xf>
    <xf numFmtId="2" fontId="65" fillId="6" borderId="10" xfId="16" applyNumberFormat="1" applyFont="1" applyFill="1" applyBorder="1" applyAlignment="1">
      <alignment vertical="top" wrapText="1"/>
    </xf>
    <xf numFmtId="2" fontId="66" fillId="6" borderId="10" xfId="16" applyNumberFormat="1" applyFont="1" applyFill="1" applyBorder="1" applyAlignment="1">
      <alignment horizontal="center" vertical="top" wrapText="1"/>
    </xf>
    <xf numFmtId="166" fontId="65" fillId="6" borderId="0" xfId="0" applyFont="1" applyFill="1" applyAlignment="1">
      <alignment horizontal="center" vertical="top"/>
    </xf>
    <xf numFmtId="166" fontId="96" fillId="6" borderId="0" xfId="0" applyFont="1" applyFill="1" applyAlignment="1">
      <alignment horizontal="center" vertical="top"/>
    </xf>
    <xf numFmtId="166" fontId="25" fillId="0" borderId="0" xfId="0" applyFont="1" applyFill="1"/>
    <xf numFmtId="166" fontId="144" fillId="6" borderId="0" xfId="0" applyFont="1" applyFill="1" applyAlignment="1">
      <alignment vertical="top"/>
    </xf>
    <xf numFmtId="166" fontId="144" fillId="0" borderId="0" xfId="0" applyFont="1" applyFill="1" applyAlignment="1">
      <alignment vertical="top"/>
    </xf>
    <xf numFmtId="166" fontId="145" fillId="6" borderId="0" xfId="0" applyFont="1" applyFill="1" applyAlignment="1">
      <alignment vertical="top"/>
    </xf>
    <xf numFmtId="166" fontId="140" fillId="6" borderId="0" xfId="0" applyFont="1" applyFill="1" applyAlignment="1">
      <alignment vertical="top"/>
    </xf>
    <xf numFmtId="174" fontId="110" fillId="0" borderId="15" xfId="0" applyNumberFormat="1" applyFont="1" applyFill="1" applyBorder="1" applyAlignment="1">
      <alignment horizontal="center" vertical="center"/>
    </xf>
    <xf numFmtId="17" fontId="64" fillId="0" borderId="0" xfId="17" quotePrefix="1" applyNumberFormat="1" applyFont="1"/>
    <xf numFmtId="0" fontId="64" fillId="0" borderId="0" xfId="17" applyFont="1" applyAlignment="1">
      <alignment wrapText="1"/>
    </xf>
    <xf numFmtId="166" fontId="0" fillId="0" borderId="0" xfId="0" applyNumberFormat="1" applyFont="1" applyAlignment="1" applyProtection="1">
      <alignment horizontal="left" wrapText="1"/>
    </xf>
    <xf numFmtId="166" fontId="102" fillId="7" borderId="0" xfId="0" applyNumberFormat="1" applyFont="1" applyFill="1" applyAlignment="1" applyProtection="1">
      <alignment horizontal="right"/>
    </xf>
    <xf numFmtId="166" fontId="146" fillId="0" borderId="0" xfId="0" applyFont="1"/>
    <xf numFmtId="166" fontId="0" fillId="0" borderId="0" xfId="0" applyNumberFormat="1" applyFill="1" applyAlignment="1" applyProtection="1">
      <alignment horizontal="left"/>
    </xf>
    <xf numFmtId="166" fontId="114" fillId="6" borderId="0" xfId="0" applyNumberFormat="1" applyFont="1" applyFill="1" applyProtection="1"/>
    <xf numFmtId="166" fontId="114" fillId="6" borderId="0" xfId="0" applyFont="1" applyFill="1"/>
    <xf numFmtId="166" fontId="147" fillId="0" borderId="0" xfId="0" applyNumberFormat="1" applyFont="1" applyProtection="1"/>
    <xf numFmtId="166" fontId="0" fillId="7" borderId="0" xfId="0" applyNumberFormat="1" applyFont="1" applyFill="1" applyAlignment="1" applyProtection="1">
      <alignment horizontal="left"/>
    </xf>
    <xf numFmtId="166" fontId="147" fillId="0" borderId="0" xfId="0" applyFont="1"/>
    <xf numFmtId="166" fontId="147" fillId="7" borderId="0" xfId="0" applyNumberFormat="1" applyFont="1" applyFill="1" applyProtection="1"/>
    <xf numFmtId="166" fontId="93" fillId="0" borderId="0" xfId="0" applyNumberFormat="1" applyFont="1" applyAlignment="1" applyProtection="1">
      <alignment horizontal="left" vertical="top" wrapText="1"/>
    </xf>
    <xf numFmtId="166" fontId="93" fillId="0" borderId="0" xfId="0" applyNumberFormat="1" applyFont="1" applyAlignment="1" applyProtection="1">
      <alignment horizontal="left" vertical="top"/>
    </xf>
    <xf numFmtId="166" fontId="93" fillId="0" borderId="0" xfId="0" applyNumberFormat="1" applyFont="1" applyAlignment="1" applyProtection="1">
      <alignment horizontal="fill"/>
    </xf>
    <xf numFmtId="167" fontId="0" fillId="0" borderId="0" xfId="0" applyNumberFormat="1" applyAlignment="1" applyProtection="1">
      <alignment vertical="center" wrapText="1"/>
    </xf>
    <xf numFmtId="2" fontId="103" fillId="0" borderId="0" xfId="0" applyNumberFormat="1" applyFont="1" applyFill="1" applyBorder="1" applyAlignment="1">
      <alignment horizontal="right" vertical="top" wrapText="1"/>
    </xf>
    <xf numFmtId="2" fontId="148" fillId="0" borderId="0" xfId="0" applyNumberFormat="1" applyFont="1" applyFill="1" applyBorder="1" applyAlignment="1">
      <alignment horizontal="right" vertical="top" wrapText="1"/>
    </xf>
    <xf numFmtId="166" fontId="117" fillId="0" borderId="0" xfId="0" applyFont="1" applyBorder="1" applyAlignment="1">
      <alignment vertical="top" wrapText="1"/>
    </xf>
    <xf numFmtId="166" fontId="117" fillId="0" borderId="0" xfId="0" applyFont="1" applyBorder="1" applyAlignment="1">
      <alignment horizontal="right" vertical="top"/>
    </xf>
    <xf numFmtId="166" fontId="107" fillId="0" borderId="0" xfId="0" applyFont="1" applyBorder="1" applyAlignment="1">
      <alignment horizontal="right" vertical="top"/>
    </xf>
    <xf numFmtId="166" fontId="107" fillId="0" borderId="0" xfId="0" applyFont="1" applyBorder="1" applyAlignment="1">
      <alignment horizontal="right" vertical="center"/>
    </xf>
    <xf numFmtId="166" fontId="117" fillId="0" borderId="0" xfId="0" applyFont="1" applyBorder="1"/>
    <xf numFmtId="166" fontId="107" fillId="8" borderId="0" xfId="0" applyNumberFormat="1" applyFont="1" applyFill="1" applyProtection="1"/>
    <xf numFmtId="166" fontId="117" fillId="0" borderId="0" xfId="0" applyNumberFormat="1" applyFont="1"/>
    <xf numFmtId="166" fontId="117" fillId="0" borderId="0" xfId="0" applyNumberFormat="1" applyFont="1" applyBorder="1"/>
    <xf numFmtId="166" fontId="149" fillId="0" borderId="0" xfId="0" applyNumberFormat="1" applyFont="1" applyProtection="1"/>
    <xf numFmtId="166" fontId="133" fillId="0" borderId="0" xfId="0" applyNumberFormat="1" applyFont="1" applyProtection="1"/>
    <xf numFmtId="166" fontId="120" fillId="0" borderId="0" xfId="0" applyNumberFormat="1" applyFont="1" applyProtection="1"/>
    <xf numFmtId="166" fontId="114" fillId="0" borderId="0" xfId="0" applyNumberFormat="1" applyFont="1" applyAlignment="1" applyProtection="1">
      <alignment horizontal="fill"/>
    </xf>
    <xf numFmtId="166" fontId="117" fillId="0" borderId="0" xfId="0" applyNumberFormat="1" applyFont="1" applyBorder="1" applyAlignment="1">
      <alignment vertical="center"/>
    </xf>
    <xf numFmtId="166" fontId="107" fillId="0" borderId="0" xfId="0" applyNumberFormat="1" applyFont="1" applyFill="1" applyBorder="1"/>
    <xf numFmtId="166" fontId="136" fillId="0" borderId="0" xfId="0" applyNumberFormat="1" applyFont="1" applyProtection="1"/>
    <xf numFmtId="169" fontId="97" fillId="0" borderId="0" xfId="0" applyNumberFormat="1" applyFont="1" applyAlignment="1" applyProtection="1">
      <alignment horizontal="center"/>
    </xf>
    <xf numFmtId="166" fontId="97" fillId="0" borderId="0" xfId="0" applyFont="1" applyAlignment="1"/>
    <xf numFmtId="166" fontId="97" fillId="0" borderId="0" xfId="0" applyNumberFormat="1" applyFont="1" applyAlignment="1" applyProtection="1">
      <alignment horizontal="left"/>
    </xf>
    <xf numFmtId="166" fontId="97" fillId="0" borderId="0" xfId="0" applyFont="1"/>
    <xf numFmtId="166" fontId="97" fillId="0" borderId="0" xfId="0" applyFont="1" applyAlignment="1">
      <alignment horizontal="left"/>
    </xf>
    <xf numFmtId="166" fontId="97" fillId="0" borderId="0" xfId="0" applyNumberFormat="1" applyFont="1" applyAlignment="1" applyProtection="1">
      <alignment horizontal="fill"/>
    </xf>
    <xf numFmtId="166" fontId="98" fillId="0" borderId="0" xfId="0" applyNumberFormat="1" applyFont="1" applyAlignment="1" applyProtection="1">
      <alignment horizontal="left"/>
    </xf>
    <xf numFmtId="168" fontId="97" fillId="0" borderId="0" xfId="0" applyNumberFormat="1" applyFont="1"/>
    <xf numFmtId="168" fontId="98" fillId="0" borderId="0" xfId="0" applyNumberFormat="1" applyFont="1"/>
    <xf numFmtId="166" fontId="98" fillId="0" borderId="0" xfId="0" applyFont="1"/>
    <xf numFmtId="170" fontId="97" fillId="0" borderId="0" xfId="0" applyNumberFormat="1" applyFont="1" applyAlignment="1" applyProtection="1">
      <alignment horizontal="left"/>
    </xf>
    <xf numFmtId="166" fontId="97" fillId="0" borderId="0" xfId="0" applyNumberFormat="1" applyFont="1" applyFill="1" applyProtection="1"/>
    <xf numFmtId="172" fontId="97" fillId="0" borderId="0" xfId="0" applyNumberFormat="1" applyFont="1" applyProtection="1"/>
    <xf numFmtId="166" fontId="97" fillId="0" borderId="0" xfId="0" applyNumberFormat="1" applyFont="1" applyAlignment="1" applyProtection="1"/>
    <xf numFmtId="166" fontId="97" fillId="0" borderId="0" xfId="0" applyNumberFormat="1" applyFont="1" applyProtection="1"/>
    <xf numFmtId="166" fontId="97" fillId="0" borderId="0" xfId="0" applyNumberFormat="1" applyFont="1" applyAlignment="1" applyProtection="1">
      <alignment horizontal="center"/>
    </xf>
    <xf numFmtId="166" fontId="98" fillId="0" borderId="0" xfId="0" applyNumberFormat="1" applyFont="1" applyAlignment="1" applyProtection="1">
      <alignment horizontal="center"/>
    </xf>
    <xf numFmtId="166" fontId="98" fillId="0" borderId="0" xfId="0" applyNumberFormat="1" applyFont="1" applyProtection="1"/>
    <xf numFmtId="166" fontId="99" fillId="0" borderId="0" xfId="0" applyFont="1" applyAlignment="1">
      <alignment wrapText="1"/>
    </xf>
    <xf numFmtId="168" fontId="99" fillId="0" borderId="0" xfId="0" applyNumberFormat="1" applyFont="1" applyAlignment="1">
      <alignment wrapText="1"/>
    </xf>
    <xf numFmtId="166" fontId="99" fillId="0" borderId="0" xfId="0" applyFont="1" applyAlignment="1">
      <alignment horizontal="fill" wrapText="1"/>
    </xf>
    <xf numFmtId="0" fontId="0" fillId="0" borderId="0" xfId="0" applyNumberFormat="1" applyBorder="1" applyAlignment="1"/>
    <xf numFmtId="166" fontId="150" fillId="0" borderId="0" xfId="0" applyFont="1" applyBorder="1" applyAlignment="1">
      <alignment horizontal="left" vertical="top"/>
    </xf>
    <xf numFmtId="166" fontId="0" fillId="0" borderId="0" xfId="0" applyFont="1" applyFill="1" applyBorder="1" applyAlignment="1">
      <alignment horizontal="left" vertical="top" wrapText="1"/>
    </xf>
    <xf numFmtId="166" fontId="102" fillId="0" borderId="0" xfId="0" applyFont="1" applyFill="1" applyBorder="1" applyAlignment="1">
      <alignment horizontal="left" vertical="top"/>
    </xf>
    <xf numFmtId="166" fontId="0" fillId="0" borderId="0" xfId="0" applyFont="1" applyFill="1" applyBorder="1" applyAlignment="1">
      <alignment horizontal="left" vertical="top"/>
    </xf>
    <xf numFmtId="166" fontId="0" fillId="0" borderId="0" xfId="0" applyFont="1" applyFill="1" applyBorder="1"/>
    <xf numFmtId="166" fontId="158" fillId="0" borderId="15" xfId="0" applyFont="1" applyBorder="1" applyAlignment="1">
      <alignment horizontal="center" vertical="center"/>
    </xf>
    <xf numFmtId="166" fontId="159" fillId="0" borderId="15" xfId="0" applyFont="1" applyBorder="1" applyAlignment="1">
      <alignment horizontal="center" vertical="center"/>
    </xf>
    <xf numFmtId="166" fontId="162" fillId="0" borderId="15" xfId="0" applyFont="1" applyBorder="1" applyAlignment="1">
      <alignment vertical="center"/>
    </xf>
    <xf numFmtId="166" fontId="162" fillId="0" borderId="0" xfId="0" applyFont="1"/>
    <xf numFmtId="166" fontId="0" fillId="0" borderId="0" xfId="0" applyNumberFormat="1" applyAlignment="1" applyProtection="1">
      <alignment horizontal="center"/>
    </xf>
    <xf numFmtId="166" fontId="162" fillId="0" borderId="0" xfId="0" applyFont="1" applyAlignment="1">
      <alignment wrapText="1"/>
    </xf>
    <xf numFmtId="166" fontId="93" fillId="0" borderId="0" xfId="0" applyNumberFormat="1" applyFont="1" applyAlignment="1" applyProtection="1">
      <alignment horizontal="left" wrapText="1"/>
    </xf>
    <xf numFmtId="0" fontId="97" fillId="0" borderId="15" xfId="0" applyNumberFormat="1" applyFont="1" applyBorder="1" applyAlignment="1">
      <alignment horizontal="center" vertical="center"/>
    </xf>
    <xf numFmtId="2" fontId="97" fillId="0" borderId="15" xfId="0" applyNumberFormat="1" applyFont="1" applyBorder="1" applyAlignment="1">
      <alignment horizontal="center" vertical="center"/>
    </xf>
    <xf numFmtId="2" fontId="98" fillId="0" borderId="15" xfId="0" applyNumberFormat="1" applyFont="1" applyBorder="1" applyAlignment="1">
      <alignment horizontal="center" vertical="center"/>
    </xf>
    <xf numFmtId="166" fontId="0" fillId="0" borderId="0" xfId="0" applyFill="1"/>
    <xf numFmtId="0" fontId="3" fillId="0" borderId="0" xfId="23"/>
    <xf numFmtId="0" fontId="3" fillId="0" borderId="0" xfId="23" applyAlignment="1">
      <alignment horizontal="left"/>
    </xf>
    <xf numFmtId="0" fontId="167" fillId="0" borderId="15" xfId="23" applyFont="1" applyBorder="1" applyAlignment="1">
      <alignment horizontal="left"/>
    </xf>
    <xf numFmtId="0" fontId="167" fillId="0" borderId="15" xfId="23" applyFont="1" applyBorder="1" applyAlignment="1">
      <alignment horizontal="center"/>
    </xf>
    <xf numFmtId="0" fontId="167" fillId="0" borderId="15" xfId="23" applyFont="1" applyBorder="1"/>
    <xf numFmtId="0" fontId="167" fillId="0" borderId="21" xfId="23" applyFont="1" applyBorder="1" applyAlignment="1">
      <alignment horizontal="center" vertical="center"/>
    </xf>
    <xf numFmtId="2" fontId="168" fillId="0" borderId="20" xfId="23" applyNumberFormat="1" applyFont="1" applyBorder="1" applyAlignment="1">
      <alignment horizontal="center" vertical="center"/>
    </xf>
    <xf numFmtId="0" fontId="168" fillId="0" borderId="20" xfId="23" applyFont="1" applyBorder="1" applyAlignment="1">
      <alignment horizontal="center" vertical="center"/>
    </xf>
    <xf numFmtId="0" fontId="168" fillId="0" borderId="15" xfId="23" applyFont="1" applyBorder="1" applyAlignment="1">
      <alignment horizontal="center" vertical="center"/>
    </xf>
    <xf numFmtId="0" fontId="167" fillId="0" borderId="8" xfId="23" applyFont="1" applyBorder="1" applyAlignment="1">
      <alignment horizontal="center" vertical="center" wrapText="1"/>
    </xf>
    <xf numFmtId="2" fontId="167" fillId="0" borderId="20" xfId="23" applyNumberFormat="1" applyFont="1" applyBorder="1" applyAlignment="1">
      <alignment horizontal="center" vertical="center"/>
    </xf>
    <xf numFmtId="0" fontId="167" fillId="0" borderId="20" xfId="23" applyFont="1" applyBorder="1" applyAlignment="1">
      <alignment horizontal="center" vertical="center"/>
    </xf>
    <xf numFmtId="0" fontId="167" fillId="0" borderId="2" xfId="23" applyFont="1" applyBorder="1" applyAlignment="1">
      <alignment horizontal="center" vertical="center" wrapText="1"/>
    </xf>
    <xf numFmtId="2" fontId="168" fillId="0" borderId="15" xfId="23" applyNumberFormat="1" applyFont="1" applyBorder="1" applyAlignment="1">
      <alignment horizontal="center" vertical="center"/>
    </xf>
    <xf numFmtId="0" fontId="167" fillId="0" borderId="23" xfId="23" applyFont="1" applyBorder="1" applyAlignment="1">
      <alignment horizontal="center" vertical="center" wrapText="1"/>
    </xf>
    <xf numFmtId="2" fontId="167" fillId="0" borderId="23" xfId="23" applyNumberFormat="1" applyFont="1" applyBorder="1" applyAlignment="1">
      <alignment horizontal="center" vertical="center"/>
    </xf>
    <xf numFmtId="2" fontId="167" fillId="0" borderId="23" xfId="23" applyNumberFormat="1" applyFont="1" applyBorder="1" applyAlignment="1">
      <alignment horizontal="left" vertical="center" wrapText="1"/>
    </xf>
    <xf numFmtId="0" fontId="167" fillId="0" borderId="22" xfId="23" applyFont="1" applyBorder="1" applyAlignment="1">
      <alignment horizontal="left" vertical="center" wrapText="1"/>
    </xf>
    <xf numFmtId="0" fontId="167" fillId="0" borderId="15" xfId="23" applyFont="1" applyBorder="1" applyAlignment="1">
      <alignment horizontal="center" vertical="center"/>
    </xf>
    <xf numFmtId="2" fontId="167" fillId="0" borderId="15" xfId="20" applyNumberFormat="1" applyFont="1" applyFill="1" applyBorder="1" applyAlignment="1">
      <alignment horizontal="center" vertical="center"/>
    </xf>
    <xf numFmtId="0" fontId="98" fillId="0" borderId="15" xfId="0" applyNumberFormat="1" applyFont="1" applyBorder="1" applyAlignment="1">
      <alignment horizontal="center" vertical="center"/>
    </xf>
    <xf numFmtId="2" fontId="164" fillId="0" borderId="15" xfId="0" applyNumberFormat="1" applyFont="1" applyBorder="1" applyAlignment="1">
      <alignment horizontal="center" vertical="center"/>
    </xf>
    <xf numFmtId="166" fontId="169" fillId="0" borderId="0" xfId="0" applyFont="1" applyFill="1" applyAlignment="1">
      <alignment vertical="top"/>
    </xf>
    <xf numFmtId="166" fontId="170" fillId="0" borderId="0" xfId="0" applyFont="1" applyFill="1" applyAlignment="1">
      <alignment vertical="top"/>
    </xf>
    <xf numFmtId="166" fontId="96" fillId="6" borderId="0" xfId="0" applyFont="1" applyFill="1" applyAlignment="1">
      <alignment vertical="top"/>
    </xf>
    <xf numFmtId="2" fontId="174" fillId="0" borderId="1" xfId="0" applyNumberFormat="1" applyFont="1" applyBorder="1" applyAlignment="1">
      <alignment horizontal="center"/>
    </xf>
    <xf numFmtId="0" fontId="174" fillId="0" borderId="1" xfId="0" applyNumberFormat="1" applyFont="1" applyBorder="1"/>
    <xf numFmtId="166" fontId="163" fillId="0" borderId="1" xfId="0" applyFont="1" applyFill="1" applyBorder="1" applyAlignment="1">
      <alignment horizontal="right" vertical="top" wrapText="1"/>
    </xf>
    <xf numFmtId="166" fontId="175" fillId="0" borderId="1" xfId="0" applyFont="1" applyFill="1" applyBorder="1" applyAlignment="1">
      <alignment vertical="top" wrapText="1"/>
    </xf>
    <xf numFmtId="166" fontId="175" fillId="0" borderId="1" xfId="0" applyFont="1" applyFill="1" applyBorder="1" applyAlignment="1">
      <alignment horizontal="right" vertical="top" wrapText="1"/>
    </xf>
    <xf numFmtId="166" fontId="175" fillId="0" borderId="1" xfId="25" applyNumberFormat="1" applyFont="1" applyFill="1" applyBorder="1" applyAlignment="1">
      <alignment horizontal="center" vertical="top" wrapText="1"/>
    </xf>
    <xf numFmtId="166" fontId="161" fillId="0" borderId="1" xfId="0" applyNumberFormat="1" applyFont="1" applyFill="1" applyBorder="1"/>
    <xf numFmtId="166" fontId="161" fillId="0" borderId="1" xfId="0" applyNumberFormat="1" applyFont="1" applyBorder="1" applyAlignment="1">
      <alignment horizontal="center" vertical="center"/>
    </xf>
    <xf numFmtId="166" fontId="161" fillId="0" borderId="1" xfId="0" applyNumberFormat="1" applyFont="1" applyBorder="1" applyAlignment="1">
      <alignment horizontal="center" vertical="center" wrapText="1"/>
    </xf>
    <xf numFmtId="166" fontId="177" fillId="6" borderId="0" xfId="0" applyFont="1" applyFill="1" applyAlignment="1">
      <alignment vertical="top"/>
    </xf>
    <xf numFmtId="166" fontId="178" fillId="6" borderId="0" xfId="0" applyFont="1" applyFill="1" applyAlignment="1">
      <alignment vertical="top"/>
    </xf>
    <xf numFmtId="0" fontId="174" fillId="0" borderId="1" xfId="0" applyNumberFormat="1" applyFont="1" applyBorder="1" applyAlignment="1">
      <alignment wrapText="1"/>
    </xf>
    <xf numFmtId="2" fontId="174" fillId="0" borderId="1" xfId="0" applyNumberFormat="1" applyFont="1" applyBorder="1"/>
    <xf numFmtId="0" fontId="179" fillId="0" borderId="1" xfId="0" applyNumberFormat="1" applyFont="1" applyBorder="1" applyAlignment="1">
      <alignment wrapText="1"/>
    </xf>
    <xf numFmtId="0" fontId="174" fillId="0" borderId="1" xfId="0" applyNumberFormat="1" applyFont="1" applyBorder="1" applyAlignment="1">
      <alignment horizontal="center" vertical="center"/>
    </xf>
    <xf numFmtId="2" fontId="174" fillId="0" borderId="1" xfId="0" applyNumberFormat="1" applyFont="1" applyBorder="1" applyAlignment="1">
      <alignment horizontal="center" vertical="center"/>
    </xf>
    <xf numFmtId="2" fontId="180" fillId="0" borderId="1" xfId="25" applyNumberFormat="1" applyFont="1" applyFill="1" applyBorder="1" applyAlignment="1">
      <alignment horizontal="right" vertical="top" wrapText="1"/>
    </xf>
    <xf numFmtId="2" fontId="181" fillId="0" borderId="1" xfId="25" applyNumberFormat="1" applyFont="1" applyFill="1" applyBorder="1" applyAlignment="1">
      <alignment horizontal="right" vertical="top" wrapText="1"/>
    </xf>
    <xf numFmtId="166" fontId="169" fillId="6" borderId="1" xfId="25" applyNumberFormat="1" applyFont="1" applyFill="1" applyBorder="1" applyAlignment="1">
      <alignment horizontal="center" vertical="top" wrapText="1"/>
    </xf>
    <xf numFmtId="166" fontId="175" fillId="6" borderId="1" xfId="0" applyFont="1" applyFill="1" applyBorder="1" applyAlignment="1">
      <alignment vertical="top"/>
    </xf>
    <xf numFmtId="166" fontId="182" fillId="6" borderId="0" xfId="0" applyFont="1" applyFill="1" applyAlignment="1">
      <alignment vertical="top"/>
    </xf>
    <xf numFmtId="166" fontId="169" fillId="0" borderId="1" xfId="0" applyFont="1" applyFill="1" applyBorder="1" applyAlignment="1">
      <alignment vertical="top" wrapText="1"/>
    </xf>
    <xf numFmtId="2" fontId="171" fillId="6" borderId="1" xfId="25" applyNumberFormat="1" applyFont="1" applyFill="1" applyBorder="1" applyAlignment="1">
      <alignment vertical="top" wrapText="1"/>
    </xf>
    <xf numFmtId="1" fontId="175" fillId="6" borderId="1" xfId="25" applyNumberFormat="1" applyFont="1" applyFill="1" applyBorder="1" applyAlignment="1">
      <alignment vertical="top" wrapText="1"/>
    </xf>
    <xf numFmtId="2" fontId="183" fillId="0" borderId="1" xfId="0" applyNumberFormat="1" applyFont="1" applyBorder="1" applyAlignment="1">
      <alignment horizontal="center" vertical="center"/>
    </xf>
    <xf numFmtId="0" fontId="184" fillId="0" borderId="1" xfId="0" applyNumberFormat="1" applyFont="1" applyBorder="1" applyAlignment="1">
      <alignment wrapText="1"/>
    </xf>
    <xf numFmtId="2" fontId="174" fillId="0" borderId="1" xfId="0" applyNumberFormat="1" applyFont="1" applyFill="1" applyBorder="1" applyAlignment="1">
      <alignment horizontal="center" vertical="center"/>
    </xf>
    <xf numFmtId="0" fontId="174" fillId="0" borderId="1" xfId="0" applyNumberFormat="1" applyFont="1" applyBorder="1" applyAlignment="1">
      <alignment horizontal="center" vertical="center" wrapText="1"/>
    </xf>
    <xf numFmtId="0" fontId="174" fillId="0" borderId="1" xfId="0" applyNumberFormat="1" applyFont="1" applyBorder="1" applyAlignment="1">
      <alignment horizontal="left" wrapText="1"/>
    </xf>
    <xf numFmtId="0" fontId="174" fillId="0" borderId="1" xfId="0" applyNumberFormat="1" applyFont="1" applyBorder="1" applyAlignment="1">
      <alignment horizontal="center"/>
    </xf>
    <xf numFmtId="2" fontId="169" fillId="6" borderId="1" xfId="25" applyNumberFormat="1" applyFont="1" applyFill="1" applyBorder="1" applyAlignment="1">
      <alignment horizontal="center" vertical="top" wrapText="1"/>
    </xf>
    <xf numFmtId="2" fontId="175" fillId="6" borderId="1" xfId="25" applyNumberFormat="1" applyFont="1" applyFill="1" applyBorder="1" applyAlignment="1">
      <alignment vertical="top" wrapText="1"/>
    </xf>
    <xf numFmtId="2" fontId="163" fillId="6" borderId="1" xfId="25" applyNumberFormat="1" applyFont="1" applyFill="1" applyBorder="1" applyAlignment="1">
      <alignment vertical="top" wrapText="1"/>
    </xf>
    <xf numFmtId="166" fontId="169" fillId="6" borderId="1" xfId="0" applyFont="1" applyFill="1" applyBorder="1" applyAlignment="1">
      <alignment vertical="top" wrapText="1"/>
    </xf>
    <xf numFmtId="166" fontId="169" fillId="6" borderId="1" xfId="0" applyFont="1" applyFill="1" applyBorder="1" applyAlignment="1">
      <alignment horizontal="right" vertical="top" wrapText="1"/>
    </xf>
    <xf numFmtId="166" fontId="169" fillId="0" borderId="1" xfId="0" applyFont="1" applyFill="1" applyBorder="1" applyAlignment="1">
      <alignment horizontal="right" vertical="top" wrapText="1"/>
    </xf>
    <xf numFmtId="168" fontId="174" fillId="0" borderId="1" xfId="0" applyNumberFormat="1" applyFont="1" applyFill="1" applyBorder="1" applyAlignment="1">
      <alignment vertical="top" wrapText="1"/>
    </xf>
    <xf numFmtId="166" fontId="174" fillId="0" borderId="1" xfId="0" applyFont="1" applyFill="1" applyBorder="1" applyAlignment="1">
      <alignment vertical="top" wrapText="1"/>
    </xf>
    <xf numFmtId="166" fontId="177" fillId="6" borderId="1" xfId="0" applyFont="1" applyFill="1" applyBorder="1" applyAlignment="1">
      <alignment vertical="top"/>
    </xf>
    <xf numFmtId="166" fontId="169" fillId="6" borderId="1" xfId="0" applyFont="1" applyFill="1" applyBorder="1" applyAlignment="1">
      <alignment horizontal="center" vertical="top" wrapText="1"/>
    </xf>
    <xf numFmtId="166" fontId="175" fillId="0" borderId="1" xfId="0" applyFont="1" applyFill="1" applyBorder="1" applyAlignment="1">
      <alignment horizontal="center" vertical="top" wrapText="1"/>
    </xf>
    <xf numFmtId="166" fontId="66" fillId="7" borderId="0" xfId="0" applyFont="1" applyFill="1" applyAlignment="1">
      <alignment vertical="top"/>
    </xf>
    <xf numFmtId="166" fontId="175" fillId="7" borderId="1" xfId="0" applyFont="1" applyFill="1" applyBorder="1" applyAlignment="1">
      <alignment horizontal="right" vertical="top" wrapText="1"/>
    </xf>
    <xf numFmtId="166" fontId="174" fillId="0" borderId="1" xfId="0" applyFont="1" applyFill="1" applyBorder="1" applyAlignment="1">
      <alignment horizontal="right" vertical="top" wrapText="1"/>
    </xf>
    <xf numFmtId="168" fontId="174" fillId="7" borderId="1" xfId="0" applyNumberFormat="1" applyFont="1" applyFill="1" applyBorder="1" applyAlignment="1">
      <alignment vertical="top" wrapText="1"/>
    </xf>
    <xf numFmtId="2" fontId="175" fillId="0" borderId="1" xfId="0" applyNumberFormat="1" applyFont="1" applyFill="1" applyBorder="1" applyAlignment="1">
      <alignment horizontal="center" vertical="top" wrapText="1"/>
    </xf>
    <xf numFmtId="0" fontId="175" fillId="6" borderId="1" xfId="0" applyNumberFormat="1" applyFont="1" applyFill="1" applyBorder="1" applyAlignment="1">
      <alignment horizontal="left" vertical="center" wrapText="1"/>
    </xf>
    <xf numFmtId="166" fontId="170" fillId="6" borderId="0" xfId="0" applyFont="1" applyFill="1" applyAlignment="1">
      <alignment vertical="top"/>
    </xf>
    <xf numFmtId="2" fontId="175" fillId="6" borderId="1" xfId="25" applyNumberFormat="1" applyFont="1" applyFill="1" applyBorder="1" applyAlignment="1">
      <alignment horizontal="center" vertical="top" wrapText="1"/>
    </xf>
    <xf numFmtId="166" fontId="175" fillId="6" borderId="1" xfId="0" applyFont="1" applyFill="1" applyBorder="1" applyAlignment="1">
      <alignment vertical="top" wrapText="1"/>
    </xf>
    <xf numFmtId="166" fontId="174" fillId="6" borderId="1" xfId="0" applyFont="1" applyFill="1" applyBorder="1" applyAlignment="1">
      <alignment horizontal="right" vertical="top"/>
    </xf>
    <xf numFmtId="166" fontId="175" fillId="0" borderId="14" xfId="0" applyFont="1" applyFill="1" applyBorder="1" applyAlignment="1">
      <alignment vertical="top" wrapText="1"/>
    </xf>
    <xf numFmtId="166" fontId="175" fillId="0" borderId="14" xfId="0" applyFont="1" applyFill="1" applyBorder="1" applyAlignment="1">
      <alignment horizontal="right" vertical="top" wrapText="1"/>
    </xf>
    <xf numFmtId="166" fontId="175" fillId="6" borderId="1" xfId="0" applyFont="1" applyFill="1" applyBorder="1" applyAlignment="1">
      <alignment horizontal="left" vertical="top"/>
    </xf>
    <xf numFmtId="166" fontId="174" fillId="6" borderId="1" xfId="0" applyFont="1" applyFill="1" applyBorder="1" applyAlignment="1">
      <alignment vertical="top" wrapText="1"/>
    </xf>
    <xf numFmtId="166" fontId="174" fillId="7" borderId="1" xfId="0" applyFont="1" applyFill="1" applyBorder="1" applyAlignment="1">
      <alignment vertical="top" wrapText="1"/>
    </xf>
    <xf numFmtId="173" fontId="175" fillId="0" borderId="1" xfId="0" applyNumberFormat="1" applyFont="1" applyFill="1" applyBorder="1" applyAlignment="1">
      <alignment vertical="top" wrapText="1"/>
    </xf>
    <xf numFmtId="169" fontId="175" fillId="6" borderId="1" xfId="0" applyNumberFormat="1" applyFont="1" applyFill="1" applyBorder="1" applyAlignment="1">
      <alignment vertical="top"/>
    </xf>
    <xf numFmtId="166" fontId="174" fillId="6" borderId="1" xfId="0" applyFont="1" applyFill="1" applyBorder="1" applyAlignment="1">
      <alignment horizontal="right" vertical="top" wrapText="1"/>
    </xf>
    <xf numFmtId="173" fontId="175" fillId="6" borderId="1" xfId="0" applyNumberFormat="1" applyFont="1" applyFill="1" applyBorder="1" applyAlignment="1">
      <alignment vertical="top" wrapText="1"/>
    </xf>
    <xf numFmtId="166" fontId="175" fillId="0" borderId="18" xfId="0" applyFont="1" applyFill="1" applyBorder="1" applyAlignment="1">
      <alignment vertical="top" wrapText="1"/>
    </xf>
    <xf numFmtId="166" fontId="175" fillId="6" borderId="1" xfId="0" applyFont="1" applyFill="1" applyBorder="1" applyAlignment="1">
      <alignment horizontal="right" vertical="top" wrapText="1"/>
    </xf>
    <xf numFmtId="166" fontId="179" fillId="0" borderId="1" xfId="0" applyFont="1" applyFill="1" applyBorder="1" applyAlignment="1">
      <alignment horizontal="center" vertical="top" wrapText="1"/>
    </xf>
    <xf numFmtId="166" fontId="163" fillId="0" borderId="1" xfId="0" applyFont="1" applyFill="1" applyBorder="1" applyAlignment="1">
      <alignment horizontal="center" vertical="top" wrapText="1"/>
    </xf>
    <xf numFmtId="168" fontId="163" fillId="0" borderId="1" xfId="0" applyNumberFormat="1" applyFont="1" applyFill="1" applyBorder="1" applyAlignment="1">
      <alignment horizontal="center" vertical="top" wrapText="1"/>
    </xf>
    <xf numFmtId="0" fontId="192" fillId="0" borderId="15" xfId="0" applyNumberFormat="1" applyFont="1" applyFill="1" applyBorder="1" applyAlignment="1">
      <alignment horizontal="center"/>
    </xf>
    <xf numFmtId="0" fontId="192" fillId="0" borderId="15" xfId="0" applyNumberFormat="1" applyFont="1" applyFill="1" applyBorder="1" applyAlignment="1">
      <alignment horizontal="center" wrapText="1"/>
    </xf>
    <xf numFmtId="2" fontId="192" fillId="0" borderId="15" xfId="0" applyNumberFormat="1" applyFont="1" applyFill="1" applyBorder="1" applyAlignment="1">
      <alignment horizontal="center"/>
    </xf>
    <xf numFmtId="0" fontId="192" fillId="0" borderId="15" xfId="0" applyNumberFormat="1" applyFont="1" applyFill="1" applyBorder="1" applyAlignment="1">
      <alignment horizontal="right"/>
    </xf>
    <xf numFmtId="0" fontId="192" fillId="0" borderId="15" xfId="0" applyNumberFormat="1" applyFont="1" applyFill="1" applyBorder="1" applyAlignment="1">
      <alignment horizontal="left"/>
    </xf>
    <xf numFmtId="0" fontId="193" fillId="0" borderId="15" xfId="0" applyNumberFormat="1" applyFont="1" applyFill="1" applyBorder="1" applyAlignment="1">
      <alignment horizontal="center" vertical="center"/>
    </xf>
    <xf numFmtId="2" fontId="193" fillId="0" borderId="15" xfId="0" applyNumberFormat="1" applyFont="1" applyFill="1" applyBorder="1" applyAlignment="1">
      <alignment horizontal="center"/>
    </xf>
    <xf numFmtId="2" fontId="193" fillId="0" borderId="15" xfId="0" applyNumberFormat="1" applyFont="1" applyFill="1" applyBorder="1" applyAlignment="1">
      <alignment horizontal="right"/>
    </xf>
    <xf numFmtId="0" fontId="193" fillId="0" borderId="15" xfId="0" applyNumberFormat="1" applyFont="1" applyFill="1" applyBorder="1" applyAlignment="1">
      <alignment horizontal="left"/>
    </xf>
    <xf numFmtId="0" fontId="193" fillId="0" borderId="15" xfId="0" applyNumberFormat="1" applyFont="1" applyFill="1" applyBorder="1"/>
    <xf numFmtId="0" fontId="193" fillId="0" borderId="15" xfId="0" applyNumberFormat="1" applyFont="1" applyFill="1" applyBorder="1" applyAlignment="1">
      <alignment horizontal="center"/>
    </xf>
    <xf numFmtId="0" fontId="192" fillId="0" borderId="15" xfId="0" applyNumberFormat="1" applyFont="1" applyFill="1" applyBorder="1"/>
    <xf numFmtId="174" fontId="193" fillId="0" borderId="15" xfId="0" applyNumberFormat="1" applyFont="1" applyFill="1" applyBorder="1" applyAlignment="1">
      <alignment horizontal="center"/>
    </xf>
    <xf numFmtId="0" fontId="193" fillId="0" borderId="15" xfId="0" applyNumberFormat="1" applyFont="1" applyFill="1" applyBorder="1" applyAlignment="1">
      <alignment wrapText="1"/>
    </xf>
    <xf numFmtId="0" fontId="193" fillId="0" borderId="15" xfId="0" applyNumberFormat="1" applyFont="1" applyFill="1" applyBorder="1" applyAlignment="1">
      <alignment horizontal="center" wrapText="1"/>
    </xf>
    <xf numFmtId="2" fontId="193" fillId="0" borderId="15" xfId="0" applyNumberFormat="1" applyFont="1" applyFill="1" applyBorder="1" applyAlignment="1">
      <alignment horizontal="center" wrapText="1"/>
    </xf>
    <xf numFmtId="0" fontId="101" fillId="0" borderId="15" xfId="0" applyNumberFormat="1" applyFont="1" applyFill="1" applyBorder="1" applyAlignment="1">
      <alignment horizontal="center"/>
    </xf>
    <xf numFmtId="2" fontId="101" fillId="6" borderId="0" xfId="0" applyNumberFormat="1" applyFont="1" applyFill="1"/>
    <xf numFmtId="2" fontId="101" fillId="0" borderId="15" xfId="0" applyNumberFormat="1" applyFont="1" applyFill="1" applyBorder="1" applyAlignment="1">
      <alignment horizontal="center"/>
    </xf>
    <xf numFmtId="0" fontId="192" fillId="0" borderId="15" xfId="0" applyNumberFormat="1" applyFont="1" applyFill="1" applyBorder="1" applyAlignment="1">
      <alignment horizontal="left" wrapText="1"/>
    </xf>
    <xf numFmtId="0" fontId="193" fillId="0" borderId="15" xfId="0" applyNumberFormat="1" applyFont="1" applyFill="1" applyBorder="1" applyAlignment="1">
      <alignment horizontal="left" wrapText="1"/>
    </xf>
    <xf numFmtId="2" fontId="192" fillId="0" borderId="15" xfId="0" applyNumberFormat="1" applyFont="1" applyFill="1" applyBorder="1" applyAlignment="1">
      <alignment horizontal="right"/>
    </xf>
    <xf numFmtId="166" fontId="162" fillId="0" borderId="15" xfId="0" applyNumberFormat="1" applyFont="1" applyBorder="1"/>
    <xf numFmtId="0" fontId="0" fillId="6" borderId="0" xfId="0" applyNumberFormat="1" applyFill="1"/>
    <xf numFmtId="174" fontId="162" fillId="0" borderId="15" xfId="0" applyNumberFormat="1" applyFont="1" applyFill="1" applyBorder="1" applyAlignment="1">
      <alignment horizontal="center"/>
    </xf>
    <xf numFmtId="166" fontId="153" fillId="0" borderId="15" xfId="0" applyNumberFormat="1" applyFont="1" applyBorder="1"/>
    <xf numFmtId="0" fontId="192" fillId="0" borderId="15" xfId="0" applyNumberFormat="1" applyFont="1" applyFill="1" applyBorder="1" applyAlignment="1">
      <alignment wrapText="1"/>
    </xf>
    <xf numFmtId="174" fontId="193" fillId="0" borderId="15" xfId="0" applyNumberFormat="1" applyFont="1" applyFill="1" applyBorder="1" applyAlignment="1">
      <alignment horizontal="center" wrapText="1"/>
    </xf>
    <xf numFmtId="2" fontId="192" fillId="0" borderId="15" xfId="0" applyNumberFormat="1" applyFont="1" applyFill="1" applyBorder="1" applyAlignment="1">
      <alignment horizontal="center" vertical="center"/>
    </xf>
    <xf numFmtId="166" fontId="162" fillId="0" borderId="15" xfId="0" applyFont="1" applyBorder="1" applyAlignment="1">
      <alignment wrapText="1"/>
    </xf>
    <xf numFmtId="2" fontId="173" fillId="0" borderId="19" xfId="0" applyNumberFormat="1" applyFont="1" applyBorder="1"/>
    <xf numFmtId="2" fontId="193" fillId="0" borderId="15" xfId="0" applyNumberFormat="1" applyFont="1" applyFill="1" applyBorder="1"/>
    <xf numFmtId="2" fontId="193" fillId="0" borderId="15" xfId="0" applyNumberFormat="1" applyFont="1" applyFill="1" applyBorder="1" applyAlignment="1">
      <alignment horizontal="center" vertical="center"/>
    </xf>
    <xf numFmtId="2" fontId="101" fillId="6" borderId="15" xfId="0" applyNumberFormat="1" applyFont="1" applyFill="1" applyBorder="1"/>
    <xf numFmtId="166" fontId="153" fillId="0" borderId="15" xfId="0" applyFont="1" applyBorder="1" applyAlignment="1">
      <alignment wrapText="1"/>
    </xf>
    <xf numFmtId="166" fontId="162" fillId="0" borderId="15" xfId="0" applyFont="1" applyBorder="1"/>
    <xf numFmtId="166" fontId="153" fillId="0" borderId="15" xfId="0" applyFont="1" applyBorder="1"/>
    <xf numFmtId="2" fontId="193" fillId="0" borderId="15" xfId="0" applyNumberFormat="1" applyFont="1" applyFill="1" applyBorder="1" applyAlignment="1"/>
    <xf numFmtId="2" fontId="192" fillId="0" borderId="15" xfId="0" applyNumberFormat="1" applyFont="1" applyFill="1" applyBorder="1"/>
    <xf numFmtId="0" fontId="195" fillId="0" borderId="15" xfId="0" applyNumberFormat="1" applyFont="1" applyFill="1" applyBorder="1" applyAlignment="1">
      <alignment horizontal="center"/>
    </xf>
    <xf numFmtId="2" fontId="195" fillId="6" borderId="15" xfId="0" applyNumberFormat="1" applyFont="1" applyFill="1" applyBorder="1"/>
    <xf numFmtId="2" fontId="195" fillId="0" borderId="15" xfId="0" applyNumberFormat="1" applyFont="1" applyFill="1" applyBorder="1" applyAlignment="1">
      <alignment horizontal="center"/>
    </xf>
    <xf numFmtId="2" fontId="196" fillId="6" borderId="15" xfId="0" applyNumberFormat="1" applyFont="1" applyFill="1" applyBorder="1"/>
    <xf numFmtId="2" fontId="195" fillId="6" borderId="0" xfId="0" applyNumberFormat="1" applyFont="1" applyFill="1"/>
    <xf numFmtId="2" fontId="101" fillId="0" borderId="0" xfId="0" applyNumberFormat="1" applyFont="1" applyFill="1"/>
    <xf numFmtId="173" fontId="192" fillId="0" borderId="15" xfId="0" applyNumberFormat="1" applyFont="1" applyFill="1" applyBorder="1"/>
    <xf numFmtId="0" fontId="193" fillId="0" borderId="0" xfId="0" applyNumberFormat="1" applyFont="1" applyFill="1"/>
    <xf numFmtId="1" fontId="193" fillId="0" borderId="15" xfId="0" applyNumberFormat="1" applyFont="1" applyFill="1" applyBorder="1" applyAlignment="1">
      <alignment horizontal="center"/>
    </xf>
    <xf numFmtId="2" fontId="193" fillId="0" borderId="0" xfId="0" applyNumberFormat="1" applyFont="1" applyFill="1" applyAlignment="1">
      <alignment horizontal="center"/>
    </xf>
    <xf numFmtId="0" fontId="192" fillId="0" borderId="15" xfId="0" applyNumberFormat="1" applyFont="1" applyFill="1" applyBorder="1" applyAlignment="1">
      <alignment horizontal="center" vertical="center"/>
    </xf>
    <xf numFmtId="166" fontId="153" fillId="0" borderId="0" xfId="0" applyFont="1" applyFill="1"/>
    <xf numFmtId="1" fontId="193" fillId="0" borderId="15" xfId="0" applyNumberFormat="1" applyFont="1" applyFill="1" applyBorder="1" applyAlignment="1">
      <alignment horizontal="center" vertical="center"/>
    </xf>
    <xf numFmtId="166" fontId="0" fillId="0" borderId="0" xfId="0" applyNumberFormat="1" applyAlignment="1" applyProtection="1">
      <alignment horizontal="center"/>
    </xf>
    <xf numFmtId="2" fontId="1" fillId="6" borderId="15" xfId="0" applyNumberFormat="1" applyFont="1" applyFill="1" applyBorder="1"/>
    <xf numFmtId="1" fontId="193" fillId="0" borderId="15" xfId="0" applyNumberFormat="1" applyFont="1" applyFill="1" applyBorder="1"/>
    <xf numFmtId="2" fontId="101" fillId="0" borderId="15" xfId="0" applyNumberFormat="1" applyFont="1" applyFill="1" applyBorder="1"/>
    <xf numFmtId="166" fontId="162" fillId="0" borderId="15" xfId="0" applyFont="1" applyFill="1" applyBorder="1" applyAlignment="1">
      <alignment wrapText="1"/>
    </xf>
    <xf numFmtId="0" fontId="198" fillId="0" borderId="15" xfId="0" applyNumberFormat="1" applyFont="1" applyFill="1" applyBorder="1" applyAlignment="1">
      <alignment horizontal="center" vertical="center"/>
    </xf>
    <xf numFmtId="2" fontId="198" fillId="0" borderId="15" xfId="0" applyNumberFormat="1" applyFont="1" applyFill="1" applyBorder="1" applyAlignment="1">
      <alignment horizontal="center"/>
    </xf>
    <xf numFmtId="0" fontId="193" fillId="0" borderId="15" xfId="0" applyNumberFormat="1" applyFont="1" applyFill="1" applyBorder="1" applyAlignment="1">
      <alignment horizontal="left" vertical="center" wrapText="1"/>
    </xf>
    <xf numFmtId="2" fontId="193" fillId="0" borderId="15" xfId="0" applyNumberFormat="1" applyFont="1" applyFill="1" applyBorder="1" applyAlignment="1">
      <alignment vertical="center"/>
    </xf>
    <xf numFmtId="0" fontId="193" fillId="0" borderId="15" xfId="0" applyNumberFormat="1" applyFont="1" applyFill="1" applyBorder="1" applyAlignment="1">
      <alignment horizontal="right"/>
    </xf>
    <xf numFmtId="2" fontId="1" fillId="0" borderId="15" xfId="0" applyNumberFormat="1" applyFont="1" applyFill="1" applyBorder="1"/>
    <xf numFmtId="2" fontId="196" fillId="0" borderId="15" xfId="0" applyNumberFormat="1" applyFont="1" applyFill="1" applyBorder="1"/>
    <xf numFmtId="166" fontId="144" fillId="7" borderId="0" xfId="0" applyFont="1" applyFill="1" applyAlignment="1">
      <alignment vertical="top"/>
    </xf>
    <xf numFmtId="166" fontId="163" fillId="6" borderId="1" xfId="0" applyFont="1" applyFill="1" applyBorder="1" applyAlignment="1">
      <alignment horizontal="center" vertical="top" wrapText="1"/>
    </xf>
    <xf numFmtId="168" fontId="163" fillId="6" borderId="1" xfId="0" applyNumberFormat="1" applyFont="1" applyFill="1" applyBorder="1" applyAlignment="1">
      <alignment horizontal="center" vertical="top" wrapText="1"/>
    </xf>
    <xf numFmtId="166" fontId="189" fillId="6" borderId="1" xfId="0" applyFont="1" applyFill="1" applyBorder="1" applyAlignment="1">
      <alignment horizontal="center" vertical="top" wrapText="1"/>
    </xf>
    <xf numFmtId="173" fontId="175" fillId="6" borderId="1" xfId="15" applyNumberFormat="1" applyFont="1" applyFill="1" applyBorder="1" applyAlignment="1">
      <alignment vertical="top" wrapText="1"/>
    </xf>
    <xf numFmtId="2" fontId="175" fillId="6" borderId="1" xfId="15" applyNumberFormat="1" applyFont="1" applyFill="1" applyBorder="1" applyAlignment="1">
      <alignment vertical="top" wrapText="1"/>
    </xf>
    <xf numFmtId="9" fontId="175" fillId="6" borderId="1" xfId="18" applyFont="1" applyFill="1" applyBorder="1" applyAlignment="1">
      <alignment horizontal="right" vertical="top" wrapText="1"/>
    </xf>
    <xf numFmtId="2" fontId="175" fillId="6" borderId="1" xfId="15" applyNumberFormat="1" applyFont="1" applyFill="1" applyBorder="1" applyAlignment="1">
      <alignment horizontal="center" vertical="top" wrapText="1"/>
    </xf>
    <xf numFmtId="168" fontId="175" fillId="6" borderId="1" xfId="15" applyNumberFormat="1" applyFont="1" applyFill="1" applyBorder="1" applyAlignment="1">
      <alignment horizontal="center" vertical="top" wrapText="1"/>
    </xf>
    <xf numFmtId="168" fontId="175" fillId="6" borderId="1" xfId="0" applyNumberFormat="1" applyFont="1" applyFill="1" applyBorder="1" applyAlignment="1">
      <alignment horizontal="right" vertical="top" wrapText="1"/>
    </xf>
    <xf numFmtId="166" fontId="190" fillId="6" borderId="1" xfId="0" applyFont="1" applyFill="1" applyBorder="1" applyAlignment="1">
      <alignment vertical="top" wrapText="1"/>
    </xf>
    <xf numFmtId="2" fontId="174" fillId="6" borderId="1" xfId="15" applyNumberFormat="1" applyFont="1" applyFill="1" applyBorder="1" applyAlignment="1">
      <alignment horizontal="center" vertical="top" wrapText="1"/>
    </xf>
    <xf numFmtId="168" fontId="174" fillId="6" borderId="1" xfId="0" applyNumberFormat="1" applyFont="1" applyFill="1" applyBorder="1" applyAlignment="1">
      <alignment vertical="top" wrapText="1"/>
    </xf>
    <xf numFmtId="173" fontId="169" fillId="0" borderId="14" xfId="15" applyNumberFormat="1" applyFont="1" applyFill="1" applyBorder="1" applyAlignment="1">
      <alignment vertical="top" wrapText="1"/>
    </xf>
    <xf numFmtId="2" fontId="169" fillId="0" borderId="14" xfId="15" applyNumberFormat="1" applyFont="1" applyFill="1" applyBorder="1" applyAlignment="1">
      <alignment vertical="top" wrapText="1"/>
    </xf>
    <xf numFmtId="166" fontId="169" fillId="0" borderId="14" xfId="0" applyFont="1" applyFill="1" applyBorder="1" applyAlignment="1">
      <alignment horizontal="right" vertical="top" wrapText="1"/>
    </xf>
    <xf numFmtId="2" fontId="169" fillId="0" borderId="14" xfId="15" applyNumberFormat="1" applyFont="1" applyFill="1" applyBorder="1" applyAlignment="1">
      <alignment horizontal="center" vertical="top" wrapText="1"/>
    </xf>
    <xf numFmtId="168" fontId="169" fillId="0" borderId="14" xfId="15" applyNumberFormat="1" applyFont="1" applyFill="1" applyBorder="1" applyAlignment="1">
      <alignment horizontal="center" vertical="top" wrapText="1"/>
    </xf>
    <xf numFmtId="2" fontId="169" fillId="6" borderId="1" xfId="15" applyNumberFormat="1" applyFont="1" applyFill="1" applyBorder="1" applyAlignment="1">
      <alignment horizontal="center" vertical="top" wrapText="1"/>
    </xf>
    <xf numFmtId="168" fontId="169" fillId="6" borderId="1" xfId="15" applyNumberFormat="1" applyFont="1" applyFill="1" applyBorder="1" applyAlignment="1">
      <alignment horizontal="center" vertical="top" wrapText="1"/>
    </xf>
    <xf numFmtId="2" fontId="175" fillId="6" borderId="10" xfId="15" applyNumberFormat="1" applyFont="1" applyFill="1" applyBorder="1" applyAlignment="1">
      <alignment vertical="top" wrapText="1"/>
    </xf>
    <xf numFmtId="2" fontId="169" fillId="6" borderId="10" xfId="15" applyNumberFormat="1" applyFont="1" applyFill="1" applyBorder="1" applyAlignment="1">
      <alignment horizontal="center" vertical="top" wrapText="1"/>
    </xf>
    <xf numFmtId="168" fontId="169" fillId="6" borderId="10" xfId="15" applyNumberFormat="1" applyFont="1" applyFill="1" applyBorder="1" applyAlignment="1">
      <alignment horizontal="center" vertical="top" wrapText="1"/>
    </xf>
    <xf numFmtId="166" fontId="174" fillId="0" borderId="10" xfId="0" applyFont="1" applyFill="1" applyBorder="1" applyAlignment="1">
      <alignment vertical="top" wrapText="1"/>
    </xf>
    <xf numFmtId="166" fontId="174" fillId="6" borderId="10" xfId="0" applyFont="1" applyFill="1" applyBorder="1" applyAlignment="1">
      <alignment vertical="top" wrapText="1"/>
    </xf>
    <xf numFmtId="173" fontId="169" fillId="0" borderId="1" xfId="15" applyNumberFormat="1" applyFont="1" applyFill="1" applyBorder="1" applyAlignment="1">
      <alignment vertical="top" wrapText="1"/>
    </xf>
    <xf numFmtId="2" fontId="169" fillId="0" borderId="1" xfId="15" applyNumberFormat="1" applyFont="1" applyFill="1" applyBorder="1" applyAlignment="1">
      <alignment vertical="top" wrapText="1"/>
    </xf>
    <xf numFmtId="2" fontId="175" fillId="0" borderId="1" xfId="15" applyNumberFormat="1" applyFont="1" applyFill="1" applyBorder="1" applyAlignment="1">
      <alignment horizontal="center" vertical="top" wrapText="1"/>
    </xf>
    <xf numFmtId="168" fontId="175" fillId="0" borderId="1" xfId="15" applyNumberFormat="1" applyFont="1" applyFill="1" applyBorder="1" applyAlignment="1">
      <alignment horizontal="center" vertical="top" wrapText="1"/>
    </xf>
    <xf numFmtId="173" fontId="175" fillId="6" borderId="14" xfId="15" applyNumberFormat="1" applyFont="1" applyFill="1" applyBorder="1" applyAlignment="1">
      <alignment vertical="top" wrapText="1"/>
    </xf>
    <xf numFmtId="2" fontId="175" fillId="6" borderId="14" xfId="15" applyNumberFormat="1" applyFont="1" applyFill="1" applyBorder="1" applyAlignment="1">
      <alignment vertical="top" wrapText="1"/>
    </xf>
    <xf numFmtId="166" fontId="169" fillId="6" borderId="14" xfId="0" applyFont="1" applyFill="1" applyBorder="1" applyAlignment="1">
      <alignment horizontal="right" vertical="top" wrapText="1"/>
    </xf>
    <xf numFmtId="2" fontId="169" fillId="6" borderId="14" xfId="15" applyNumberFormat="1" applyFont="1" applyFill="1" applyBorder="1" applyAlignment="1">
      <alignment horizontal="center" vertical="top" wrapText="1"/>
    </xf>
    <xf numFmtId="168" fontId="169" fillId="6" borderId="14" xfId="15" applyNumberFormat="1" applyFont="1" applyFill="1" applyBorder="1" applyAlignment="1">
      <alignment horizontal="center" vertical="top" wrapText="1"/>
    </xf>
    <xf numFmtId="173" fontId="169" fillId="6" borderId="1" xfId="15" applyNumberFormat="1" applyFont="1" applyFill="1" applyBorder="1" applyAlignment="1">
      <alignment vertical="top" wrapText="1"/>
    </xf>
    <xf numFmtId="2" fontId="169" fillId="6" borderId="1" xfId="15" applyNumberFormat="1" applyFont="1" applyFill="1" applyBorder="1" applyAlignment="1">
      <alignment vertical="top" wrapText="1"/>
    </xf>
    <xf numFmtId="166" fontId="169" fillId="6" borderId="14" xfId="0" applyFont="1" applyFill="1" applyBorder="1" applyAlignment="1">
      <alignment vertical="top" wrapText="1"/>
    </xf>
    <xf numFmtId="2" fontId="169" fillId="0" borderId="1" xfId="15" applyNumberFormat="1" applyFont="1" applyFill="1" applyBorder="1" applyAlignment="1">
      <alignment horizontal="center" vertical="top" wrapText="1"/>
    </xf>
    <xf numFmtId="168" fontId="169" fillId="0" borderId="1" xfId="15" applyNumberFormat="1" applyFont="1" applyFill="1" applyBorder="1" applyAlignment="1">
      <alignment horizontal="center" vertical="top" wrapText="1"/>
    </xf>
    <xf numFmtId="2" fontId="163" fillId="6" borderId="1" xfId="15" applyNumberFormat="1" applyFont="1" applyFill="1" applyBorder="1" applyAlignment="1">
      <alignment vertical="top" wrapText="1"/>
    </xf>
    <xf numFmtId="173" fontId="175" fillId="0" borderId="1" xfId="15" applyNumberFormat="1" applyFont="1" applyFill="1" applyBorder="1" applyAlignment="1">
      <alignment vertical="top" wrapText="1"/>
    </xf>
    <xf numFmtId="2" fontId="163" fillId="0" borderId="1" xfId="15" applyNumberFormat="1" applyFont="1" applyFill="1" applyBorder="1" applyAlignment="1">
      <alignment vertical="top" wrapText="1"/>
    </xf>
    <xf numFmtId="2" fontId="175" fillId="0" borderId="1" xfId="15" applyNumberFormat="1" applyFont="1" applyFill="1" applyBorder="1" applyAlignment="1">
      <alignment vertical="top" wrapText="1"/>
    </xf>
    <xf numFmtId="173" fontId="175" fillId="0" borderId="14" xfId="15" applyNumberFormat="1" applyFont="1" applyFill="1" applyBorder="1" applyAlignment="1">
      <alignment vertical="top" wrapText="1"/>
    </xf>
    <xf numFmtId="2" fontId="175" fillId="0" borderId="14" xfId="15" applyNumberFormat="1" applyFont="1" applyFill="1" applyBorder="1" applyAlignment="1">
      <alignment vertical="top" wrapText="1"/>
    </xf>
    <xf numFmtId="2" fontId="175" fillId="0" borderId="14" xfId="15" applyNumberFormat="1" applyFont="1" applyFill="1" applyBorder="1" applyAlignment="1">
      <alignment horizontal="center" vertical="top" wrapText="1"/>
    </xf>
    <xf numFmtId="168" fontId="175" fillId="0" borderId="14" xfId="15" applyNumberFormat="1" applyFont="1" applyFill="1" applyBorder="1" applyAlignment="1">
      <alignment horizontal="center" vertical="top" wrapText="1"/>
    </xf>
    <xf numFmtId="169" fontId="175" fillId="0" borderId="1" xfId="15" applyNumberFormat="1" applyFont="1" applyFill="1" applyBorder="1" applyAlignment="1">
      <alignment vertical="top" wrapText="1"/>
    </xf>
    <xf numFmtId="169" fontId="175" fillId="0" borderId="14" xfId="15" applyNumberFormat="1" applyFont="1" applyFill="1" applyBorder="1" applyAlignment="1">
      <alignment vertical="top" wrapText="1"/>
    </xf>
    <xf numFmtId="2" fontId="163" fillId="6" borderId="1" xfId="15" applyNumberFormat="1" applyFont="1" applyFill="1" applyBorder="1" applyAlignment="1">
      <alignment horizontal="center" vertical="top" wrapText="1"/>
    </xf>
    <xf numFmtId="168" fontId="163" fillId="6" borderId="1" xfId="15" applyNumberFormat="1" applyFont="1" applyFill="1" applyBorder="1" applyAlignment="1">
      <alignment horizontal="center" vertical="top" wrapText="1"/>
    </xf>
    <xf numFmtId="173" fontId="174" fillId="6" borderId="1" xfId="15" applyNumberFormat="1" applyFont="1" applyFill="1" applyBorder="1" applyAlignment="1">
      <alignment vertical="top" wrapText="1"/>
    </xf>
    <xf numFmtId="2" fontId="174" fillId="6" borderId="1" xfId="15" applyNumberFormat="1" applyFont="1" applyFill="1" applyBorder="1" applyAlignment="1">
      <alignment vertical="top" wrapText="1"/>
    </xf>
    <xf numFmtId="168" fontId="174" fillId="6" borderId="1" xfId="15" applyNumberFormat="1" applyFont="1" applyFill="1" applyBorder="1" applyAlignment="1">
      <alignment horizontal="center" vertical="top" wrapText="1"/>
    </xf>
    <xf numFmtId="173" fontId="175" fillId="6" borderId="13" xfId="15" applyNumberFormat="1" applyFont="1" applyFill="1" applyBorder="1" applyAlignment="1">
      <alignment vertical="top" wrapText="1"/>
    </xf>
    <xf numFmtId="2" fontId="175" fillId="6" borderId="13" xfId="15" applyNumberFormat="1" applyFont="1" applyFill="1" applyBorder="1" applyAlignment="1">
      <alignment vertical="top" wrapText="1"/>
    </xf>
    <xf numFmtId="166" fontId="169" fillId="6" borderId="13" xfId="0" applyFont="1" applyFill="1" applyBorder="1" applyAlignment="1">
      <alignment vertical="top" wrapText="1"/>
    </xf>
    <xf numFmtId="2" fontId="169" fillId="6" borderId="13" xfId="15" applyNumberFormat="1" applyFont="1" applyFill="1" applyBorder="1" applyAlignment="1">
      <alignment horizontal="center" vertical="top" wrapText="1"/>
    </xf>
    <xf numFmtId="168" fontId="169" fillId="6" borderId="13" xfId="15" applyNumberFormat="1" applyFont="1" applyFill="1" applyBorder="1" applyAlignment="1">
      <alignment horizontal="center" vertical="top" wrapText="1"/>
    </xf>
    <xf numFmtId="173" fontId="175" fillId="7" borderId="1" xfId="15" applyNumberFormat="1" applyFont="1" applyFill="1" applyBorder="1" applyAlignment="1">
      <alignment horizontal="right" vertical="top" wrapText="1"/>
    </xf>
    <xf numFmtId="2" fontId="175" fillId="7" borderId="1" xfId="15" applyNumberFormat="1" applyFont="1" applyFill="1" applyBorder="1" applyAlignment="1">
      <alignment vertical="top" wrapText="1"/>
    </xf>
    <xf numFmtId="2" fontId="175" fillId="7" borderId="1" xfId="15" applyNumberFormat="1" applyFont="1" applyFill="1" applyBorder="1" applyAlignment="1">
      <alignment horizontal="center" vertical="top" wrapText="1"/>
    </xf>
    <xf numFmtId="168" fontId="175" fillId="7" borderId="1" xfId="15" applyNumberFormat="1" applyFont="1" applyFill="1" applyBorder="1" applyAlignment="1">
      <alignment horizontal="center" vertical="top" wrapText="1"/>
    </xf>
    <xf numFmtId="2" fontId="174" fillId="7" borderId="1" xfId="15" applyNumberFormat="1" applyFont="1" applyFill="1" applyBorder="1" applyAlignment="1">
      <alignment horizontal="center" vertical="top" wrapText="1"/>
    </xf>
    <xf numFmtId="173" fontId="175" fillId="6" borderId="1" xfId="15" applyNumberFormat="1" applyFont="1" applyFill="1" applyBorder="1" applyAlignment="1">
      <alignment horizontal="right" vertical="top" wrapText="1"/>
    </xf>
    <xf numFmtId="166" fontId="180" fillId="6" borderId="1" xfId="0" applyFont="1" applyFill="1" applyBorder="1" applyAlignment="1">
      <alignment horizontal="left" vertical="top" wrapText="1"/>
    </xf>
    <xf numFmtId="2" fontId="175" fillId="0" borderId="1" xfId="15" applyNumberFormat="1" applyFont="1" applyFill="1" applyBorder="1" applyAlignment="1">
      <alignment horizontal="right" vertical="top" wrapText="1"/>
    </xf>
    <xf numFmtId="166" fontId="175" fillId="6" borderId="10" xfId="0" applyFont="1" applyFill="1" applyBorder="1" applyAlignment="1">
      <alignment vertical="top"/>
    </xf>
    <xf numFmtId="2" fontId="175" fillId="6" borderId="10" xfId="15" applyNumberFormat="1" applyFont="1" applyFill="1" applyBorder="1" applyAlignment="1">
      <alignment horizontal="center" vertical="top" wrapText="1"/>
    </xf>
    <xf numFmtId="168" fontId="175" fillId="6" borderId="10" xfId="15" applyNumberFormat="1" applyFont="1" applyFill="1" applyBorder="1" applyAlignment="1">
      <alignment horizontal="center" vertical="top" wrapText="1"/>
    </xf>
    <xf numFmtId="2" fontId="199" fillId="0" borderId="1" xfId="15" applyNumberFormat="1" applyFont="1" applyFill="1" applyBorder="1" applyAlignment="1">
      <alignment vertical="top" wrapText="1"/>
    </xf>
    <xf numFmtId="2" fontId="177" fillId="6" borderId="1" xfId="15" applyNumberFormat="1" applyFont="1" applyFill="1" applyBorder="1" applyAlignment="1">
      <alignment vertical="top" wrapText="1"/>
    </xf>
    <xf numFmtId="2" fontId="185" fillId="6" borderId="1" xfId="15" applyNumberFormat="1" applyFont="1" applyFill="1" applyBorder="1" applyAlignment="1">
      <alignment vertical="top" wrapText="1"/>
    </xf>
    <xf numFmtId="173" fontId="175" fillId="0" borderId="1" xfId="15" applyNumberFormat="1" applyFont="1" applyFill="1" applyBorder="1" applyAlignment="1">
      <alignment horizontal="right" vertical="top" wrapText="1"/>
    </xf>
    <xf numFmtId="173" fontId="175" fillId="0" borderId="14" xfId="15" applyNumberFormat="1" applyFont="1" applyFill="1" applyBorder="1" applyAlignment="1">
      <alignment horizontal="right" vertical="top" wrapText="1"/>
    </xf>
    <xf numFmtId="168" fontId="175" fillId="6" borderId="1" xfId="15" applyNumberFormat="1" applyFont="1" applyFill="1" applyBorder="1" applyAlignment="1">
      <alignment vertical="top" wrapText="1"/>
    </xf>
    <xf numFmtId="2" fontId="175" fillId="6" borderId="1" xfId="16" applyNumberFormat="1" applyFont="1" applyFill="1" applyBorder="1" applyAlignment="1">
      <alignment horizontal="left" vertical="center" wrapText="1"/>
    </xf>
    <xf numFmtId="2" fontId="169" fillId="6" borderId="1" xfId="18" applyNumberFormat="1" applyFont="1" applyFill="1" applyBorder="1" applyAlignment="1">
      <alignment horizontal="right" vertical="top" wrapText="1"/>
    </xf>
    <xf numFmtId="168" fontId="169" fillId="6" borderId="1" xfId="0" applyNumberFormat="1" applyFont="1" applyFill="1" applyBorder="1" applyAlignment="1">
      <alignment horizontal="center" vertical="top" wrapText="1"/>
    </xf>
    <xf numFmtId="2" fontId="169" fillId="6" borderId="1" xfId="16" applyNumberFormat="1" applyFont="1" applyFill="1" applyBorder="1" applyAlignment="1">
      <alignment horizontal="center" vertical="top" wrapText="1"/>
    </xf>
    <xf numFmtId="168" fontId="169" fillId="6" borderId="1" xfId="16" applyNumberFormat="1" applyFont="1" applyFill="1" applyBorder="1" applyAlignment="1">
      <alignment horizontal="center" vertical="top" wrapText="1"/>
    </xf>
    <xf numFmtId="2" fontId="175" fillId="6" borderId="1" xfId="16" applyNumberFormat="1" applyFont="1" applyFill="1" applyBorder="1" applyAlignment="1">
      <alignment horizontal="right" vertical="center" wrapText="1"/>
    </xf>
    <xf numFmtId="2" fontId="175" fillId="6" borderId="1" xfId="16" applyNumberFormat="1" applyFont="1" applyFill="1" applyBorder="1" applyAlignment="1">
      <alignment vertical="top" wrapText="1"/>
    </xf>
    <xf numFmtId="2" fontId="175" fillId="6" borderId="1" xfId="16" applyNumberFormat="1" applyFont="1" applyFill="1" applyBorder="1" applyAlignment="1">
      <alignment horizontal="center" vertical="top" wrapText="1"/>
    </xf>
    <xf numFmtId="168" fontId="175" fillId="6" borderId="1" xfId="16" applyNumberFormat="1" applyFont="1" applyFill="1" applyBorder="1" applyAlignment="1">
      <alignment horizontal="center" vertical="top" wrapText="1"/>
    </xf>
    <xf numFmtId="2" fontId="169" fillId="6" borderId="1" xfId="16" applyNumberFormat="1" applyFont="1" applyFill="1" applyBorder="1" applyAlignment="1">
      <alignment vertical="top" wrapText="1"/>
    </xf>
    <xf numFmtId="2" fontId="169" fillId="6" borderId="1" xfId="16" applyNumberFormat="1" applyFont="1" applyFill="1" applyBorder="1" applyAlignment="1">
      <alignment horizontal="center" wrapText="1"/>
    </xf>
    <xf numFmtId="168" fontId="169" fillId="6" borderId="1" xfId="16" applyNumberFormat="1" applyFont="1" applyFill="1" applyBorder="1" applyAlignment="1">
      <alignment horizontal="center" wrapText="1"/>
    </xf>
    <xf numFmtId="166" fontId="175" fillId="6" borderId="13" xfId="0" applyFont="1" applyFill="1" applyBorder="1" applyAlignment="1">
      <alignment vertical="top"/>
    </xf>
    <xf numFmtId="1" fontId="175" fillId="6" borderId="1" xfId="15" applyNumberFormat="1" applyFont="1" applyFill="1" applyBorder="1" applyAlignment="1">
      <alignment vertical="top" wrapText="1"/>
    </xf>
    <xf numFmtId="173" fontId="169" fillId="6" borderId="1" xfId="15" applyNumberFormat="1" applyFont="1" applyFill="1" applyBorder="1" applyAlignment="1">
      <alignment horizontal="right" vertical="top" wrapText="1"/>
    </xf>
    <xf numFmtId="166" fontId="175" fillId="6" borderId="14" xfId="0" applyFont="1" applyFill="1" applyBorder="1" applyAlignment="1">
      <alignment vertical="top"/>
    </xf>
    <xf numFmtId="1" fontId="175" fillId="0" borderId="1" xfId="15" applyNumberFormat="1" applyFont="1" applyFill="1" applyBorder="1" applyAlignment="1">
      <alignment horizontal="right" vertical="top" wrapText="1"/>
    </xf>
    <xf numFmtId="2" fontId="175" fillId="6" borderId="1" xfId="0" applyNumberFormat="1" applyFont="1" applyFill="1" applyBorder="1" applyAlignment="1">
      <alignment horizontal="center" vertical="top" wrapText="1"/>
    </xf>
    <xf numFmtId="168" fontId="175" fillId="6" borderId="1" xfId="0" applyNumberFormat="1" applyFont="1" applyFill="1" applyBorder="1" applyAlignment="1">
      <alignment horizontal="center" vertical="top" wrapText="1"/>
    </xf>
    <xf numFmtId="168" fontId="175" fillId="0" borderId="1" xfId="0" applyNumberFormat="1" applyFont="1" applyFill="1" applyBorder="1" applyAlignment="1">
      <alignment horizontal="center" vertical="top" wrapText="1"/>
    </xf>
    <xf numFmtId="166" fontId="175" fillId="6" borderId="1" xfId="0" applyFont="1" applyFill="1" applyBorder="1" applyAlignment="1">
      <alignment horizontal="right" wrapText="1"/>
    </xf>
    <xf numFmtId="166" fontId="175" fillId="6" borderId="1" xfId="0" applyFont="1" applyFill="1" applyBorder="1" applyAlignment="1">
      <alignment horizontal="center" wrapText="1"/>
    </xf>
    <xf numFmtId="168" fontId="175" fillId="6" borderId="1" xfId="0" applyNumberFormat="1" applyFont="1" applyFill="1" applyBorder="1" applyAlignment="1">
      <alignment horizontal="center" wrapText="1"/>
    </xf>
    <xf numFmtId="166" fontId="175" fillId="6" borderId="1" xfId="0" applyFont="1" applyFill="1" applyBorder="1" applyAlignment="1">
      <alignment horizontal="center" vertical="top" wrapText="1"/>
    </xf>
    <xf numFmtId="173" fontId="175" fillId="6" borderId="14" xfId="15" applyNumberFormat="1" applyFont="1" applyFill="1" applyBorder="1" applyAlignment="1">
      <alignment horizontal="right" vertical="top" wrapText="1"/>
    </xf>
    <xf numFmtId="2" fontId="169" fillId="6" borderId="14" xfId="0" applyNumberFormat="1" applyFont="1" applyFill="1" applyBorder="1" applyAlignment="1">
      <alignment horizontal="center" vertical="top" wrapText="1"/>
    </xf>
    <xf numFmtId="168" fontId="169" fillId="6" borderId="14" xfId="0" applyNumberFormat="1" applyFont="1" applyFill="1" applyBorder="1" applyAlignment="1">
      <alignment horizontal="center" vertical="top" wrapText="1"/>
    </xf>
    <xf numFmtId="1" fontId="175" fillId="6" borderId="1" xfId="15" applyNumberFormat="1" applyFont="1" applyFill="1" applyBorder="1" applyAlignment="1">
      <alignment horizontal="center" vertical="top" wrapText="1"/>
    </xf>
    <xf numFmtId="1" fontId="169" fillId="6" borderId="1" xfId="15" applyNumberFormat="1" applyFont="1" applyFill="1" applyBorder="1" applyAlignment="1">
      <alignment horizontal="center" vertical="top" wrapText="1"/>
    </xf>
    <xf numFmtId="166" fontId="174" fillId="0" borderId="14" xfId="0" applyFont="1" applyFill="1" applyBorder="1" applyAlignment="1">
      <alignment horizontal="right" vertical="top" wrapText="1"/>
    </xf>
    <xf numFmtId="166" fontId="175" fillId="6" borderId="14" xfId="0" applyFont="1" applyFill="1" applyBorder="1" applyAlignment="1">
      <alignment horizontal="center" vertical="top" wrapText="1"/>
    </xf>
    <xf numFmtId="168" fontId="175" fillId="6" borderId="14" xfId="0" applyNumberFormat="1" applyFont="1" applyFill="1" applyBorder="1" applyAlignment="1">
      <alignment horizontal="center" vertical="top" wrapText="1"/>
    </xf>
    <xf numFmtId="166" fontId="169" fillId="6" borderId="14" xfId="0" applyFont="1" applyFill="1" applyBorder="1" applyAlignment="1">
      <alignment horizontal="center" vertical="top" wrapText="1"/>
    </xf>
    <xf numFmtId="1" fontId="175" fillId="0" borderId="14" xfId="15" applyNumberFormat="1" applyFont="1" applyFill="1" applyBorder="1" applyAlignment="1">
      <alignment vertical="top" wrapText="1"/>
    </xf>
    <xf numFmtId="1" fontId="175" fillId="0" borderId="1" xfId="15" applyNumberFormat="1" applyFont="1" applyFill="1" applyBorder="1" applyAlignment="1">
      <alignment vertical="top" wrapText="1"/>
    </xf>
    <xf numFmtId="1" fontId="175" fillId="0" borderId="1" xfId="15" applyNumberFormat="1" applyFont="1" applyFill="1" applyBorder="1" applyAlignment="1">
      <alignment horizontal="center" vertical="top" wrapText="1"/>
    </xf>
    <xf numFmtId="1" fontId="169" fillId="6" borderId="14" xfId="15" applyNumberFormat="1" applyFont="1" applyFill="1" applyBorder="1" applyAlignment="1">
      <alignment horizontal="center" vertical="top" wrapText="1"/>
    </xf>
    <xf numFmtId="2" fontId="163" fillId="6" borderId="1" xfId="16" applyNumberFormat="1" applyFont="1" applyFill="1" applyBorder="1" applyAlignment="1">
      <alignment vertical="top" wrapText="1"/>
    </xf>
    <xf numFmtId="166" fontId="174" fillId="6" borderId="14" xfId="0" applyFont="1" applyFill="1" applyBorder="1" applyAlignment="1">
      <alignment vertical="top" wrapText="1"/>
    </xf>
    <xf numFmtId="2" fontId="169" fillId="6" borderId="1" xfId="16" applyNumberFormat="1" applyFont="1" applyFill="1" applyBorder="1" applyAlignment="1">
      <alignment horizontal="right" vertical="top" wrapText="1"/>
    </xf>
    <xf numFmtId="2" fontId="175" fillId="6" borderId="1" xfId="18" applyNumberFormat="1" applyFont="1" applyFill="1" applyBorder="1" applyAlignment="1">
      <alignment horizontal="right" vertical="top" wrapText="1"/>
    </xf>
    <xf numFmtId="2" fontId="175" fillId="0" borderId="1" xfId="18" applyNumberFormat="1" applyFont="1" applyFill="1" applyBorder="1" applyAlignment="1">
      <alignment horizontal="right" vertical="top" wrapText="1"/>
    </xf>
    <xf numFmtId="2" fontId="188" fillId="0" borderId="1" xfId="15" applyNumberFormat="1" applyFont="1" applyFill="1" applyBorder="1" applyAlignment="1">
      <alignment vertical="top" wrapText="1"/>
    </xf>
    <xf numFmtId="173" fontId="175" fillId="0" borderId="13" xfId="15" applyNumberFormat="1" applyFont="1" applyFill="1" applyBorder="1" applyAlignment="1">
      <alignment vertical="top" wrapText="1"/>
    </xf>
    <xf numFmtId="2" fontId="177" fillId="0" borderId="13" xfId="15" applyNumberFormat="1" applyFont="1" applyFill="1" applyBorder="1" applyAlignment="1">
      <alignment vertical="top" wrapText="1"/>
    </xf>
    <xf numFmtId="2" fontId="175" fillId="0" borderId="13" xfId="18" applyNumberFormat="1" applyFont="1" applyFill="1" applyBorder="1" applyAlignment="1">
      <alignment horizontal="right" vertical="top" wrapText="1"/>
    </xf>
    <xf numFmtId="2" fontId="175" fillId="0" borderId="13" xfId="15" applyNumberFormat="1" applyFont="1" applyFill="1" applyBorder="1" applyAlignment="1">
      <alignment horizontal="center" vertical="top" wrapText="1"/>
    </xf>
    <xf numFmtId="168" fontId="175" fillId="0" borderId="13" xfId="15" applyNumberFormat="1" applyFont="1" applyFill="1" applyBorder="1" applyAlignment="1">
      <alignment horizontal="center" vertical="top" wrapText="1"/>
    </xf>
    <xf numFmtId="2" fontId="175" fillId="0" borderId="14" xfId="15" applyNumberFormat="1" applyFont="1" applyFill="1" applyBorder="1" applyAlignment="1">
      <alignment horizontal="center" vertical="center" wrapText="1"/>
    </xf>
    <xf numFmtId="168" fontId="175" fillId="0" borderId="14" xfId="15" applyNumberFormat="1" applyFont="1" applyFill="1" applyBorder="1" applyAlignment="1">
      <alignment horizontal="center" vertical="center" wrapText="1"/>
    </xf>
    <xf numFmtId="2" fontId="174" fillId="6" borderId="1" xfId="18" applyNumberFormat="1" applyFont="1" applyFill="1" applyBorder="1" applyAlignment="1">
      <alignment horizontal="right" vertical="top" wrapText="1"/>
    </xf>
    <xf numFmtId="2" fontId="183" fillId="6" borderId="1" xfId="15" applyNumberFormat="1" applyFont="1" applyFill="1" applyBorder="1" applyAlignment="1">
      <alignment vertical="top" wrapText="1"/>
    </xf>
    <xf numFmtId="2" fontId="183" fillId="0" borderId="1" xfId="15" applyNumberFormat="1" applyFont="1" applyFill="1" applyBorder="1" applyAlignment="1">
      <alignment vertical="top" wrapText="1"/>
    </xf>
    <xf numFmtId="1" fontId="175" fillId="6" borderId="10" xfId="15" applyNumberFormat="1" applyFont="1" applyFill="1" applyBorder="1" applyAlignment="1">
      <alignment vertical="top" wrapText="1"/>
    </xf>
    <xf numFmtId="2" fontId="169" fillId="6" borderId="24" xfId="15" applyNumberFormat="1" applyFont="1" applyFill="1" applyBorder="1" applyAlignment="1">
      <alignment horizontal="center" vertical="top" wrapText="1"/>
    </xf>
    <xf numFmtId="2" fontId="163" fillId="6" borderId="10" xfId="15" applyNumberFormat="1" applyFont="1" applyFill="1" applyBorder="1" applyAlignment="1">
      <alignment vertical="top" wrapText="1"/>
    </xf>
    <xf numFmtId="166" fontId="175" fillId="6" borderId="1" xfId="0" applyFont="1" applyFill="1" applyBorder="1" applyAlignment="1">
      <alignment horizontal="center" vertical="top"/>
    </xf>
    <xf numFmtId="2" fontId="175" fillId="6" borderId="1" xfId="25" applyNumberFormat="1" applyFont="1" applyFill="1" applyBorder="1" applyAlignment="1">
      <alignment horizontal="right" vertical="top" wrapText="1"/>
    </xf>
    <xf numFmtId="2" fontId="174" fillId="6" borderId="1" xfId="25" applyNumberFormat="1" applyFont="1" applyFill="1" applyBorder="1" applyAlignment="1">
      <alignment horizontal="right" vertical="top" wrapText="1"/>
    </xf>
    <xf numFmtId="166" fontId="169" fillId="6" borderId="18" xfId="0" applyFont="1" applyFill="1" applyBorder="1" applyAlignment="1">
      <alignment vertical="top" wrapText="1"/>
    </xf>
    <xf numFmtId="2" fontId="163" fillId="6" borderId="1" xfId="15" applyNumberFormat="1" applyFont="1" applyFill="1" applyBorder="1" applyAlignment="1">
      <alignment horizontal="center" vertical="center" wrapText="1"/>
    </xf>
    <xf numFmtId="2" fontId="169" fillId="6" borderId="1" xfId="15" applyNumberFormat="1" applyFont="1" applyFill="1" applyBorder="1" applyAlignment="1">
      <alignment horizontal="center" vertical="center" wrapText="1"/>
    </xf>
    <xf numFmtId="168" fontId="169" fillId="6" borderId="1" xfId="15" applyNumberFormat="1" applyFont="1" applyFill="1" applyBorder="1" applyAlignment="1">
      <alignment horizontal="center" vertical="center" wrapText="1"/>
    </xf>
    <xf numFmtId="2" fontId="171" fillId="6" borderId="1" xfId="15" applyNumberFormat="1" applyFont="1" applyFill="1" applyBorder="1" applyAlignment="1">
      <alignment horizontal="center" vertical="top" wrapText="1"/>
    </xf>
    <xf numFmtId="2" fontId="179" fillId="6" borderId="1" xfId="15" applyNumberFormat="1" applyFont="1" applyFill="1" applyBorder="1" applyAlignment="1">
      <alignment horizontal="center" vertical="top" wrapText="1"/>
    </xf>
    <xf numFmtId="166" fontId="175" fillId="6" borderId="0" xfId="0" applyFont="1" applyFill="1" applyAlignment="1">
      <alignment vertical="top"/>
    </xf>
    <xf numFmtId="166" fontId="163" fillId="6" borderId="0" xfId="0" applyFont="1" applyFill="1" applyAlignment="1">
      <alignment horizontal="right"/>
    </xf>
    <xf numFmtId="166" fontId="175" fillId="6" borderId="0" xfId="0" applyFont="1" applyFill="1" applyAlignment="1">
      <alignment horizontal="right" vertical="top"/>
    </xf>
    <xf numFmtId="166" fontId="177" fillId="6" borderId="0" xfId="0" applyFont="1" applyFill="1" applyAlignment="1">
      <alignment horizontal="center" vertical="top"/>
    </xf>
    <xf numFmtId="168" fontId="177" fillId="6" borderId="0" xfId="0" applyNumberFormat="1" applyFont="1" applyFill="1" applyAlignment="1">
      <alignment horizontal="center" vertical="top"/>
    </xf>
    <xf numFmtId="166" fontId="187" fillId="6" borderId="0" xfId="0" applyFont="1" applyFill="1" applyAlignment="1">
      <alignment horizontal="center" vertical="top"/>
    </xf>
    <xf numFmtId="2" fontId="175" fillId="6" borderId="1" xfId="15" applyNumberFormat="1" applyFont="1" applyFill="1" applyBorder="1" applyAlignment="1">
      <alignment wrapText="1"/>
    </xf>
    <xf numFmtId="166" fontId="175" fillId="6" borderId="1" xfId="0" applyFont="1" applyFill="1" applyBorder="1" applyAlignment="1">
      <alignment horizontal="right" vertical="top"/>
    </xf>
    <xf numFmtId="2" fontId="177" fillId="6" borderId="1" xfId="15" applyNumberFormat="1" applyFont="1" applyFill="1" applyBorder="1" applyAlignment="1">
      <alignment horizontal="center" vertical="top" wrapText="1"/>
    </xf>
    <xf numFmtId="168" fontId="177" fillId="6" borderId="1" xfId="15" applyNumberFormat="1" applyFont="1" applyFill="1" applyBorder="1" applyAlignment="1">
      <alignment horizontal="center" vertical="top" wrapText="1"/>
    </xf>
    <xf numFmtId="2" fontId="187" fillId="6" borderId="1" xfId="15" applyNumberFormat="1" applyFont="1" applyFill="1" applyBorder="1" applyAlignment="1">
      <alignment horizontal="center" vertical="top" wrapText="1"/>
    </xf>
    <xf numFmtId="166" fontId="175" fillId="6" borderId="0" xfId="0" applyFont="1" applyFill="1" applyAlignment="1"/>
    <xf numFmtId="2" fontId="163" fillId="6" borderId="1" xfId="15" applyNumberFormat="1" applyFont="1" applyFill="1" applyBorder="1" applyAlignment="1">
      <alignment wrapText="1"/>
    </xf>
    <xf numFmtId="166" fontId="175" fillId="6" borderId="0" xfId="0" applyFont="1" applyFill="1" applyBorder="1" applyAlignment="1">
      <alignment horizontal="left"/>
    </xf>
    <xf numFmtId="166" fontId="175" fillId="6" borderId="0" xfId="0" applyFont="1" applyFill="1" applyAlignment="1">
      <alignment wrapText="1"/>
    </xf>
    <xf numFmtId="166" fontId="175" fillId="6" borderId="0" xfId="0" applyFont="1" applyFill="1" applyAlignment="1">
      <alignment vertical="top" wrapText="1"/>
    </xf>
    <xf numFmtId="166" fontId="163" fillId="6" borderId="0" xfId="0" applyFont="1" applyFill="1" applyAlignment="1">
      <alignment vertical="top" wrapText="1"/>
    </xf>
    <xf numFmtId="166" fontId="177" fillId="6" borderId="0" xfId="0" applyFont="1" applyFill="1" applyAlignment="1">
      <alignment horizontal="right" vertical="top"/>
    </xf>
    <xf numFmtId="166" fontId="177" fillId="6" borderId="0" xfId="0" applyFont="1" applyFill="1" applyAlignment="1"/>
    <xf numFmtId="166" fontId="169" fillId="6" borderId="0" xfId="0" applyFont="1" applyFill="1" applyAlignment="1">
      <alignment vertical="top"/>
    </xf>
    <xf numFmtId="166" fontId="169" fillId="6" borderId="0" xfId="0" applyFont="1" applyFill="1" applyAlignment="1">
      <alignment horizontal="right" vertical="top"/>
    </xf>
    <xf numFmtId="166" fontId="169" fillId="6" borderId="0" xfId="0" applyFont="1" applyFill="1" applyAlignment="1">
      <alignment horizontal="center" vertical="top"/>
    </xf>
    <xf numFmtId="168" fontId="169" fillId="6" borderId="0" xfId="0" applyNumberFormat="1" applyFont="1" applyFill="1" applyAlignment="1">
      <alignment horizontal="center" vertical="top"/>
    </xf>
    <xf numFmtId="166" fontId="171" fillId="6" borderId="0" xfId="0" applyFont="1" applyFill="1" applyAlignment="1">
      <alignment horizontal="center" vertical="top"/>
    </xf>
    <xf numFmtId="168" fontId="169" fillId="6" borderId="0" xfId="0" applyNumberFormat="1" applyFont="1" applyFill="1" applyAlignment="1">
      <alignment vertical="top"/>
    </xf>
    <xf numFmtId="166" fontId="171" fillId="6" borderId="0" xfId="0" applyFont="1" applyFill="1" applyAlignment="1">
      <alignment vertical="top"/>
    </xf>
    <xf numFmtId="168" fontId="175" fillId="6" borderId="1" xfId="0" applyNumberFormat="1" applyFont="1" applyFill="1" applyBorder="1" applyAlignment="1">
      <alignment vertical="top" wrapText="1"/>
    </xf>
    <xf numFmtId="166" fontId="175" fillId="6" borderId="0" xfId="0" applyFont="1" applyFill="1" applyBorder="1" applyAlignment="1">
      <alignment vertical="top" wrapText="1"/>
    </xf>
    <xf numFmtId="168" fontId="175" fillId="6" borderId="0" xfId="0" applyNumberFormat="1" applyFont="1" applyFill="1" applyBorder="1" applyAlignment="1">
      <alignment vertical="top" wrapText="1"/>
    </xf>
    <xf numFmtId="168" fontId="169" fillId="6" borderId="0" xfId="0" applyNumberFormat="1" applyFont="1" applyFill="1" applyAlignment="1">
      <alignment horizontal="right" vertical="top"/>
    </xf>
    <xf numFmtId="2" fontId="153" fillId="6" borderId="10" xfId="15" applyNumberFormat="1" applyFont="1" applyFill="1" applyBorder="1" applyAlignment="1">
      <alignment vertical="top" wrapText="1"/>
    </xf>
    <xf numFmtId="0" fontId="155" fillId="0" borderId="15" xfId="15" applyFont="1" applyBorder="1" applyAlignment="1">
      <alignment horizontal="center" vertical="center" wrapText="1"/>
    </xf>
    <xf numFmtId="0" fontId="155" fillId="0" borderId="15" xfId="15" applyFont="1" applyBorder="1" applyAlignment="1">
      <alignment horizontal="center" vertical="top" wrapText="1"/>
    </xf>
    <xf numFmtId="0" fontId="155" fillId="0" borderId="15" xfId="15" applyFont="1" applyBorder="1" applyAlignment="1">
      <alignment horizontal="center" vertical="top" wrapText="1"/>
    </xf>
    <xf numFmtId="0" fontId="156" fillId="0" borderId="15" xfId="27" applyFont="1" applyBorder="1" applyAlignment="1">
      <alignment horizontal="center" vertical="center" wrapText="1"/>
    </xf>
    <xf numFmtId="2" fontId="157" fillId="0" borderId="15" xfId="27" applyNumberFormat="1" applyFont="1" applyBorder="1" applyAlignment="1">
      <alignment vertical="center" wrapText="1"/>
    </xf>
    <xf numFmtId="2" fontId="160" fillId="0" borderId="15" xfId="27" applyNumberFormat="1" applyFont="1" applyBorder="1" applyAlignment="1">
      <alignment vertical="center" wrapText="1"/>
    </xf>
    <xf numFmtId="2" fontId="156" fillId="0" borderId="15" xfId="27" applyNumberFormat="1" applyFont="1" applyBorder="1" applyAlignment="1">
      <alignment horizontal="center" vertical="center" wrapText="1"/>
    </xf>
    <xf numFmtId="173" fontId="156" fillId="0" borderId="15" xfId="27" applyNumberFormat="1" applyFont="1" applyBorder="1" applyAlignment="1">
      <alignment horizontal="center" vertical="center" wrapText="1"/>
    </xf>
    <xf numFmtId="2" fontId="154" fillId="0" borderId="15" xfId="27" applyNumberFormat="1" applyFont="1" applyBorder="1" applyAlignment="1">
      <alignment vertical="center" wrapText="1"/>
    </xf>
    <xf numFmtId="0" fontId="155" fillId="0" borderId="15" xfId="27" applyFont="1" applyBorder="1" applyAlignment="1">
      <alignment horizontal="left" vertical="center" wrapText="1"/>
    </xf>
    <xf numFmtId="2" fontId="161" fillId="0" borderId="15" xfId="27" applyNumberFormat="1" applyFont="1" applyBorder="1" applyAlignment="1">
      <alignment vertical="center" wrapText="1"/>
    </xf>
    <xf numFmtId="173" fontId="157" fillId="0" borderId="15" xfId="27" applyNumberFormat="1" applyFont="1" applyBorder="1" applyAlignment="1">
      <alignment vertical="center" wrapText="1"/>
    </xf>
    <xf numFmtId="1" fontId="156" fillId="0" borderId="15" xfId="27" applyNumberFormat="1" applyFont="1" applyBorder="1" applyAlignment="1">
      <alignment horizontal="center" vertical="center" wrapText="1"/>
    </xf>
    <xf numFmtId="173" fontId="156" fillId="0" borderId="15" xfId="27" applyNumberFormat="1" applyFont="1" applyBorder="1" applyAlignment="1">
      <alignment horizontal="center" vertical="center" wrapText="1"/>
    </xf>
    <xf numFmtId="166" fontId="162" fillId="0" borderId="0" xfId="0" applyFont="1" applyAlignment="1">
      <alignment vertical="center"/>
    </xf>
    <xf numFmtId="166" fontId="155" fillId="0" borderId="0" xfId="0" applyFont="1" applyAlignment="1">
      <alignment horizontal="center" vertical="center"/>
    </xf>
    <xf numFmtId="0" fontId="192" fillId="0" borderId="15" xfId="0" applyNumberFormat="1" applyFont="1" applyBorder="1" applyAlignment="1">
      <alignment horizontal="center"/>
    </xf>
    <xf numFmtId="0" fontId="192" fillId="0" borderId="15" xfId="0" applyNumberFormat="1" applyFont="1" applyBorder="1" applyAlignment="1">
      <alignment wrapText="1"/>
    </xf>
    <xf numFmtId="0" fontId="162" fillId="0" borderId="15" xfId="0" applyNumberFormat="1" applyFont="1" applyBorder="1" applyAlignment="1">
      <alignment horizontal="center"/>
    </xf>
    <xf numFmtId="2" fontId="162" fillId="0" borderId="15" xfId="0" applyNumberFormat="1" applyFont="1" applyBorder="1" applyAlignment="1">
      <alignment horizontal="center" vertical="center"/>
    </xf>
    <xf numFmtId="0" fontId="162" fillId="0" borderId="15" xfId="0" applyNumberFormat="1" applyFont="1" applyBorder="1"/>
    <xf numFmtId="2" fontId="162" fillId="0" borderId="15" xfId="0" applyNumberFormat="1" applyFont="1" applyBorder="1" applyAlignment="1">
      <alignment horizontal="center"/>
    </xf>
    <xf numFmtId="2" fontId="192" fillId="0" borderId="15" xfId="0" applyNumberFormat="1" applyFont="1" applyBorder="1" applyAlignment="1">
      <alignment horizontal="center" vertical="center"/>
    </xf>
    <xf numFmtId="2" fontId="192" fillId="0" borderId="15" xfId="0" applyNumberFormat="1" applyFont="1" applyBorder="1" applyAlignment="1">
      <alignment horizontal="center"/>
    </xf>
    <xf numFmtId="2" fontId="192" fillId="0" borderId="15" xfId="0" applyNumberFormat="1" applyFont="1" applyBorder="1"/>
    <xf numFmtId="0" fontId="192" fillId="0" borderId="15" xfId="0" applyNumberFormat="1" applyFont="1" applyBorder="1"/>
    <xf numFmtId="173" fontId="192" fillId="0" borderId="15" xfId="0" applyNumberFormat="1" applyFont="1" applyBorder="1" applyAlignment="1">
      <alignment horizontal="center"/>
    </xf>
    <xf numFmtId="174" fontId="162" fillId="0" borderId="15" xfId="0" applyNumberFormat="1" applyFont="1" applyBorder="1" applyAlignment="1">
      <alignment horizontal="center"/>
    </xf>
    <xf numFmtId="0" fontId="162" fillId="0" borderId="15" xfId="0" applyNumberFormat="1" applyFont="1" applyBorder="1" applyAlignment="1">
      <alignment wrapText="1"/>
    </xf>
    <xf numFmtId="2" fontId="193" fillId="0" borderId="15" xfId="0" applyNumberFormat="1" applyFont="1" applyBorder="1" applyAlignment="1">
      <alignment horizontal="center"/>
    </xf>
    <xf numFmtId="166" fontId="153" fillId="0" borderId="0" xfId="0" applyFont="1"/>
    <xf numFmtId="0" fontId="167" fillId="0" borderId="15" xfId="0" applyNumberFormat="1" applyFont="1" applyBorder="1"/>
    <xf numFmtId="0" fontId="167" fillId="0" borderId="15" xfId="0" applyNumberFormat="1" applyFont="1" applyBorder="1" applyAlignment="1">
      <alignment wrapText="1"/>
    </xf>
    <xf numFmtId="2" fontId="167" fillId="0" borderId="15" xfId="0" applyNumberFormat="1" applyFont="1" applyBorder="1"/>
    <xf numFmtId="0" fontId="167" fillId="0" borderId="15" xfId="0" applyNumberFormat="1" applyFont="1" applyBorder="1" applyAlignment="1">
      <alignment horizontal="center"/>
    </xf>
    <xf numFmtId="2" fontId="168" fillId="0" borderId="15" xfId="0" applyNumberFormat="1" applyFont="1" applyBorder="1"/>
    <xf numFmtId="0" fontId="192" fillId="0" borderId="15" xfId="0" applyNumberFormat="1" applyFont="1" applyBorder="1" applyAlignment="1">
      <alignment horizontal="center" vertical="center"/>
    </xf>
    <xf numFmtId="0" fontId="193" fillId="0" borderId="15" xfId="0" applyNumberFormat="1" applyFont="1" applyBorder="1" applyAlignment="1">
      <alignment horizontal="center"/>
    </xf>
    <xf numFmtId="0" fontId="193" fillId="0" borderId="15" xfId="0" applyNumberFormat="1" applyFont="1" applyBorder="1" applyAlignment="1">
      <alignment wrapText="1"/>
    </xf>
    <xf numFmtId="0" fontId="193" fillId="0" borderId="15" xfId="0" applyNumberFormat="1" applyFont="1" applyBorder="1"/>
    <xf numFmtId="2" fontId="193" fillId="0" borderId="15" xfId="0" applyNumberFormat="1" applyFont="1" applyBorder="1"/>
    <xf numFmtId="0" fontId="193" fillId="0" borderId="15" xfId="0" applyNumberFormat="1" applyFont="1" applyBorder="1" applyAlignment="1">
      <alignment horizontal="left" wrapText="1"/>
    </xf>
    <xf numFmtId="0" fontId="204" fillId="0" borderId="15" xfId="0" applyNumberFormat="1" applyFont="1" applyBorder="1" applyAlignment="1">
      <alignment wrapText="1"/>
    </xf>
    <xf numFmtId="2" fontId="192" fillId="0" borderId="0" xfId="0" applyNumberFormat="1" applyFont="1"/>
    <xf numFmtId="0" fontId="173" fillId="0" borderId="15" xfId="0" applyNumberFormat="1" applyFont="1" applyBorder="1"/>
    <xf numFmtId="0" fontId="173" fillId="0" borderId="15" xfId="0" applyNumberFormat="1" applyFont="1" applyBorder="1" applyAlignment="1">
      <alignment wrapText="1"/>
    </xf>
    <xf numFmtId="0" fontId="173" fillId="0" borderId="15" xfId="0" applyNumberFormat="1" applyFont="1" applyBorder="1" applyAlignment="1">
      <alignment horizontal="center"/>
    </xf>
    <xf numFmtId="2" fontId="202" fillId="0" borderId="15" xfId="0" applyNumberFormat="1" applyFont="1" applyBorder="1"/>
    <xf numFmtId="2" fontId="173" fillId="0" borderId="15" xfId="0" applyNumberFormat="1" applyFont="1" applyBorder="1"/>
    <xf numFmtId="0" fontId="202" fillId="0" borderId="15" xfId="0" applyNumberFormat="1" applyFont="1" applyBorder="1"/>
    <xf numFmtId="16" fontId="173" fillId="0" borderId="15" xfId="0" applyNumberFormat="1" applyFont="1" applyBorder="1"/>
    <xf numFmtId="0" fontId="205" fillId="0" borderId="15" xfId="0" applyNumberFormat="1" applyFont="1" applyBorder="1" applyAlignment="1">
      <alignment horizontal="center" vertical="center" wrapText="1"/>
    </xf>
    <xf numFmtId="0" fontId="205" fillId="0" borderId="15" xfId="0" applyNumberFormat="1" applyFont="1" applyBorder="1" applyAlignment="1">
      <alignment horizontal="center" vertical="center"/>
    </xf>
    <xf numFmtId="0" fontId="205" fillId="0" borderId="15" xfId="0" applyNumberFormat="1" applyFont="1" applyBorder="1" applyAlignment="1">
      <alignment wrapText="1"/>
    </xf>
    <xf numFmtId="0" fontId="205" fillId="0" borderId="15" xfId="0" applyNumberFormat="1" applyFont="1" applyBorder="1" applyAlignment="1">
      <alignment horizontal="center"/>
    </xf>
    <xf numFmtId="0" fontId="205" fillId="0" borderId="15" xfId="0" applyNumberFormat="1" applyFont="1" applyBorder="1"/>
    <xf numFmtId="0" fontId="205" fillId="0" borderId="15" xfId="0" applyNumberFormat="1" applyFont="1" applyBorder="1" applyAlignment="1"/>
    <xf numFmtId="2" fontId="205" fillId="0" borderId="15" xfId="0" applyNumberFormat="1" applyFont="1" applyBorder="1" applyAlignment="1">
      <alignment horizontal="center"/>
    </xf>
    <xf numFmtId="2" fontId="205" fillId="0" borderId="15" xfId="0" applyNumberFormat="1" applyFont="1" applyBorder="1"/>
    <xf numFmtId="2" fontId="205" fillId="0" borderId="15" xfId="0" applyNumberFormat="1" applyFont="1" applyBorder="1" applyAlignment="1"/>
    <xf numFmtId="0" fontId="205" fillId="0" borderId="15" xfId="0" applyNumberFormat="1" applyFont="1" applyBorder="1" applyAlignment="1">
      <alignment horizontal="right"/>
    </xf>
    <xf numFmtId="0" fontId="205" fillId="0" borderId="15" xfId="0" applyNumberFormat="1" applyFont="1" applyBorder="1" applyAlignment="1">
      <alignment vertical="top" wrapText="1"/>
    </xf>
    <xf numFmtId="174" fontId="205" fillId="0" borderId="15" xfId="0" applyNumberFormat="1" applyFont="1" applyBorder="1" applyAlignment="1">
      <alignment horizontal="center"/>
    </xf>
    <xf numFmtId="0" fontId="191" fillId="0" borderId="15" xfId="0" applyNumberFormat="1" applyFont="1" applyBorder="1" applyAlignment="1">
      <alignment horizontal="center" vertical="center"/>
    </xf>
    <xf numFmtId="1" fontId="198" fillId="0" borderId="15" xfId="0" applyNumberFormat="1" applyFont="1" applyBorder="1" applyAlignment="1">
      <alignment horizontal="center" vertical="center"/>
    </xf>
    <xf numFmtId="0" fontId="192" fillId="6" borderId="15" xfId="0" applyNumberFormat="1" applyFont="1" applyFill="1" applyBorder="1" applyAlignment="1">
      <alignment horizontal="center" vertical="center"/>
    </xf>
    <xf numFmtId="0" fontId="193" fillId="0" borderId="15" xfId="0" applyNumberFormat="1" applyFont="1" applyBorder="1" applyAlignment="1">
      <alignment horizontal="center" vertical="center"/>
    </xf>
    <xf numFmtId="2" fontId="193" fillId="0" borderId="15" xfId="0" applyNumberFormat="1" applyFont="1" applyBorder="1" applyAlignment="1">
      <alignment horizontal="center" vertical="center"/>
    </xf>
    <xf numFmtId="1" fontId="97" fillId="0" borderId="15" xfId="0" applyNumberFormat="1" applyFont="1" applyBorder="1" applyAlignment="1">
      <alignment horizontal="center" vertical="center"/>
    </xf>
    <xf numFmtId="0" fontId="166" fillId="0" borderId="15" xfId="0" applyNumberFormat="1" applyFont="1" applyBorder="1" applyAlignment="1">
      <alignment horizontal="justify" vertical="center" wrapText="1"/>
    </xf>
    <xf numFmtId="0" fontId="166" fillId="0" borderId="15" xfId="0" applyNumberFormat="1" applyFont="1" applyBorder="1" applyAlignment="1">
      <alignment horizontal="center" vertical="center"/>
    </xf>
    <xf numFmtId="2" fontId="166" fillId="0" borderId="15" xfId="0" applyNumberFormat="1" applyFont="1" applyBorder="1" applyAlignment="1">
      <alignment horizontal="center" vertical="center"/>
    </xf>
    <xf numFmtId="0" fontId="164" fillId="0" borderId="15" xfId="0" applyNumberFormat="1" applyFont="1" applyBorder="1" applyAlignment="1">
      <alignment wrapText="1"/>
    </xf>
    <xf numFmtId="0" fontId="164" fillId="0" borderId="15" xfId="0" applyNumberFormat="1" applyFont="1" applyBorder="1" applyAlignment="1">
      <alignment horizontal="left" wrapText="1"/>
    </xf>
    <xf numFmtId="0" fontId="166" fillId="0" borderId="15" xfId="0" applyNumberFormat="1" applyFont="1" applyBorder="1" applyAlignment="1">
      <alignment horizontal="center" vertical="center" wrapText="1"/>
    </xf>
    <xf numFmtId="2" fontId="97" fillId="0" borderId="15" xfId="27" applyNumberFormat="1" applyFont="1" applyBorder="1" applyAlignment="1">
      <alignment vertical="top" wrapText="1"/>
    </xf>
    <xf numFmtId="0" fontId="166" fillId="0" borderId="15" xfId="0" applyNumberFormat="1" applyFont="1" applyBorder="1" applyAlignment="1">
      <alignment wrapText="1"/>
    </xf>
    <xf numFmtId="2" fontId="97" fillId="6" borderId="1" xfId="27" applyNumberFormat="1" applyFont="1" applyFill="1" applyBorder="1" applyAlignment="1">
      <alignment vertical="top" wrapText="1"/>
    </xf>
    <xf numFmtId="1" fontId="97" fillId="6" borderId="15" xfId="26" applyNumberFormat="1" applyFont="1" applyFill="1" applyBorder="1" applyAlignment="1" applyProtection="1">
      <alignment horizontal="center" vertical="center"/>
      <protection locked="0"/>
    </xf>
    <xf numFmtId="0" fontId="97" fillId="6" borderId="15" xfId="26" applyFont="1" applyFill="1" applyBorder="1" applyAlignment="1" applyProtection="1">
      <alignment horizontal="center" vertical="center"/>
      <protection locked="0"/>
    </xf>
    <xf numFmtId="2" fontId="97" fillId="6" borderId="15" xfId="26" applyNumberFormat="1" applyFont="1" applyFill="1" applyBorder="1" applyAlignment="1" applyProtection="1">
      <alignment horizontal="center" vertical="center"/>
      <protection locked="0"/>
    </xf>
    <xf numFmtId="2" fontId="98" fillId="6" borderId="15" xfId="26" applyNumberFormat="1" applyFont="1" applyFill="1" applyBorder="1" applyAlignment="1" applyProtection="1">
      <alignment horizontal="center" vertical="center"/>
      <protection locked="0"/>
    </xf>
    <xf numFmtId="0" fontId="168" fillId="0" borderId="15" xfId="0" applyNumberFormat="1" applyFont="1" applyBorder="1" applyAlignment="1">
      <alignment horizontal="center" vertical="center"/>
    </xf>
    <xf numFmtId="0" fontId="168" fillId="0" borderId="15" xfId="0" applyNumberFormat="1" applyFont="1" applyBorder="1" applyAlignment="1">
      <alignment horizontal="center" vertical="center" wrapText="1"/>
    </xf>
    <xf numFmtId="0" fontId="97" fillId="0" borderId="15" xfId="0" applyNumberFormat="1" applyFont="1" applyBorder="1"/>
    <xf numFmtId="0" fontId="97" fillId="0" borderId="15" xfId="0" applyNumberFormat="1" applyFont="1" applyBorder="1" applyAlignment="1">
      <alignment wrapText="1"/>
    </xf>
    <xf numFmtId="174" fontId="97" fillId="0" borderId="19" xfId="0" applyNumberFormat="1" applyFont="1" applyBorder="1" applyAlignment="1">
      <alignment horizontal="center" vertical="center"/>
    </xf>
    <xf numFmtId="174" fontId="97" fillId="0" borderId="21" xfId="0" applyNumberFormat="1" applyFont="1" applyBorder="1" applyAlignment="1">
      <alignment horizontal="center" vertical="center"/>
    </xf>
    <xf numFmtId="2" fontId="97" fillId="0" borderId="15" xfId="0" quotePrefix="1" applyNumberFormat="1" applyFont="1" applyBorder="1" applyAlignment="1">
      <alignment horizontal="center" vertical="center"/>
    </xf>
    <xf numFmtId="0" fontId="26" fillId="0" borderId="15" xfId="0" applyNumberFormat="1" applyFont="1" applyBorder="1"/>
    <xf numFmtId="0" fontId="26" fillId="0" borderId="0" xfId="0" applyNumberFormat="1" applyFont="1"/>
    <xf numFmtId="0" fontId="155" fillId="0" borderId="0" xfId="0" applyNumberFormat="1" applyFont="1"/>
    <xf numFmtId="174" fontId="98" fillId="0" borderId="15" xfId="0" applyNumberFormat="1" applyFont="1" applyBorder="1" applyAlignment="1">
      <alignment horizontal="center" vertical="center"/>
    </xf>
    <xf numFmtId="168" fontId="155" fillId="0" borderId="0" xfId="0" applyNumberFormat="1" applyFont="1"/>
    <xf numFmtId="0" fontId="0" fillId="0" borderId="0" xfId="0" applyNumberFormat="1" applyAlignment="1">
      <alignment wrapText="1"/>
    </xf>
    <xf numFmtId="0" fontId="193" fillId="0" borderId="22" xfId="0" applyNumberFormat="1" applyFont="1" applyFill="1" applyBorder="1" applyAlignment="1">
      <alignment horizontal="left"/>
    </xf>
    <xf numFmtId="0" fontId="193" fillId="0" borderId="22" xfId="0" applyNumberFormat="1" applyFont="1" applyFill="1" applyBorder="1" applyAlignment="1">
      <alignment horizontal="center" vertical="center"/>
    </xf>
    <xf numFmtId="2" fontId="193" fillId="0" borderId="22" xfId="0" applyNumberFormat="1" applyFont="1" applyFill="1" applyBorder="1" applyAlignment="1">
      <alignment horizontal="center"/>
    </xf>
    <xf numFmtId="0" fontId="101" fillId="0" borderId="22" xfId="0" applyNumberFormat="1" applyFont="1" applyFill="1" applyBorder="1" applyAlignment="1">
      <alignment horizontal="center"/>
    </xf>
    <xf numFmtId="2" fontId="193" fillId="0" borderId="15" xfId="0" applyNumberFormat="1" applyFont="1" applyFill="1" applyBorder="1" applyAlignment="1">
      <alignment horizontal="right" vertical="center"/>
    </xf>
    <xf numFmtId="166" fontId="161" fillId="0" borderId="1" xfId="0" applyNumberFormat="1" applyFont="1" applyBorder="1" applyAlignment="1">
      <alignment horizontal="center" vertical="center"/>
    </xf>
    <xf numFmtId="166" fontId="163" fillId="0" borderId="1" xfId="0" applyFont="1" applyFill="1" applyBorder="1" applyAlignment="1">
      <alignment horizontal="center" vertical="top" wrapText="1"/>
    </xf>
    <xf numFmtId="166" fontId="161" fillId="0" borderId="1" xfId="0" applyNumberFormat="1" applyFont="1" applyBorder="1" applyAlignment="1">
      <alignment horizontal="center" vertical="center" wrapText="1"/>
    </xf>
    <xf numFmtId="168" fontId="163" fillId="0" borderId="1" xfId="0" applyNumberFormat="1" applyFont="1" applyFill="1" applyBorder="1" applyAlignment="1">
      <alignment horizontal="center" vertical="top" wrapText="1"/>
    </xf>
    <xf numFmtId="166" fontId="163" fillId="6" borderId="1" xfId="0" applyFont="1" applyFill="1" applyBorder="1" applyAlignment="1">
      <alignment horizontal="center" vertical="top" wrapText="1"/>
    </xf>
    <xf numFmtId="174" fontId="193" fillId="0" borderId="15" xfId="0" applyNumberFormat="1" applyFont="1" applyFill="1" applyBorder="1"/>
    <xf numFmtId="174" fontId="193" fillId="0" borderId="0" xfId="0" applyNumberFormat="1" applyFont="1" applyFill="1" applyBorder="1"/>
    <xf numFmtId="2" fontId="101" fillId="0" borderId="15" xfId="0" applyNumberFormat="1" applyFont="1" applyFill="1" applyBorder="1" applyAlignment="1">
      <alignment horizontal="right"/>
    </xf>
    <xf numFmtId="166" fontId="175" fillId="6" borderId="1" xfId="0" applyFont="1" applyFill="1" applyBorder="1" applyAlignment="1">
      <alignment horizontal="center" vertical="center" wrapText="1"/>
    </xf>
    <xf numFmtId="2" fontId="175" fillId="6" borderId="1" xfId="15" applyNumberFormat="1" applyFont="1" applyFill="1" applyBorder="1" applyAlignment="1">
      <alignment horizontal="center" vertical="center" wrapText="1"/>
    </xf>
    <xf numFmtId="2" fontId="66" fillId="6" borderId="1" xfId="15" applyNumberFormat="1" applyFont="1" applyFill="1" applyBorder="1" applyAlignment="1">
      <alignment horizontal="center" vertical="center" wrapText="1"/>
    </xf>
    <xf numFmtId="166" fontId="162" fillId="0" borderId="15" xfId="0" applyFont="1" applyFill="1" applyBorder="1"/>
    <xf numFmtId="2" fontId="162" fillId="0" borderId="14" xfId="15" applyNumberFormat="1" applyFont="1" applyFill="1" applyBorder="1" applyAlignment="1">
      <alignment vertical="top" wrapText="1"/>
    </xf>
    <xf numFmtId="174" fontId="175" fillId="0" borderId="1" xfId="15" applyNumberFormat="1" applyFont="1" applyFill="1" applyBorder="1" applyAlignment="1">
      <alignment horizontal="center" vertical="top" wrapText="1"/>
    </xf>
    <xf numFmtId="166" fontId="0" fillId="0" borderId="0" xfId="0" applyNumberFormat="1" applyAlignment="1">
      <alignment wrapText="1"/>
    </xf>
    <xf numFmtId="166" fontId="12" fillId="7" borderId="0" xfId="0" applyNumberFormat="1" applyFont="1" applyFill="1" applyAlignment="1" applyProtection="1">
      <alignment horizontal="center"/>
    </xf>
    <xf numFmtId="0" fontId="97" fillId="6" borderId="22" xfId="26" applyFont="1" applyFill="1" applyBorder="1" applyAlignment="1">
      <alignment vertical="top" wrapText="1"/>
    </xf>
    <xf numFmtId="0" fontId="207" fillId="0" borderId="15" xfId="0" applyNumberFormat="1" applyFont="1" applyBorder="1" applyAlignment="1">
      <alignment wrapText="1"/>
    </xf>
    <xf numFmtId="0" fontId="207" fillId="0" borderId="15" xfId="0" applyNumberFormat="1" applyFont="1" applyBorder="1" applyAlignment="1">
      <alignment horizontal="center" vertical="center"/>
    </xf>
    <xf numFmtId="2" fontId="207" fillId="0" borderId="15" xfId="0" applyNumberFormat="1" applyFont="1" applyBorder="1" applyAlignment="1">
      <alignment horizontal="center" vertical="center"/>
    </xf>
    <xf numFmtId="0" fontId="98" fillId="6" borderId="15" xfId="26" applyFont="1" applyFill="1" applyBorder="1" applyAlignment="1" applyProtection="1">
      <alignment vertical="center" wrapText="1"/>
      <protection locked="0"/>
    </xf>
    <xf numFmtId="0" fontId="97" fillId="6" borderId="15" xfId="26" applyFont="1" applyFill="1" applyBorder="1" applyAlignment="1" applyProtection="1">
      <alignment vertical="center" wrapText="1"/>
      <protection locked="0"/>
    </xf>
    <xf numFmtId="166" fontId="161" fillId="0" borderId="1" xfId="0" applyNumberFormat="1" applyFont="1" applyFill="1" applyBorder="1" applyAlignment="1">
      <alignment horizontal="center" vertical="center"/>
    </xf>
    <xf numFmtId="166" fontId="161" fillId="0" borderId="1" xfId="0" applyNumberFormat="1" applyFont="1" applyFill="1" applyBorder="1" applyAlignment="1">
      <alignment horizontal="center" vertical="center" wrapText="1"/>
    </xf>
    <xf numFmtId="0" fontId="176" fillId="0" borderId="1" xfId="0" applyNumberFormat="1" applyFont="1" applyFill="1" applyBorder="1" applyAlignment="1">
      <alignment horizontal="justify" vertical="center" wrapText="1"/>
    </xf>
    <xf numFmtId="0" fontId="176" fillId="0" borderId="1" xfId="0" applyNumberFormat="1" applyFont="1" applyFill="1" applyBorder="1" applyAlignment="1">
      <alignment horizontal="left" vertical="center"/>
    </xf>
    <xf numFmtId="0" fontId="176" fillId="0" borderId="1" xfId="0" applyNumberFormat="1" applyFont="1" applyFill="1" applyBorder="1" applyAlignment="1">
      <alignment horizontal="left" vertical="center" wrapText="1"/>
    </xf>
    <xf numFmtId="0" fontId="176" fillId="0" borderId="1" xfId="0" applyNumberFormat="1" applyFont="1" applyFill="1" applyBorder="1" applyAlignment="1">
      <alignment wrapText="1"/>
    </xf>
    <xf numFmtId="166" fontId="161" fillId="0" borderId="1" xfId="0" applyNumberFormat="1" applyFont="1" applyFill="1" applyBorder="1" applyAlignment="1">
      <alignment horizontal="center" vertical="center" wrapText="1"/>
    </xf>
    <xf numFmtId="166" fontId="161" fillId="0" borderId="1" xfId="0" applyNumberFormat="1" applyFont="1" applyFill="1" applyBorder="1" applyAlignment="1">
      <alignment horizontal="left" vertical="center" wrapText="1"/>
    </xf>
    <xf numFmtId="166" fontId="161" fillId="0" borderId="1" xfId="0" applyNumberFormat="1" applyFont="1" applyFill="1" applyBorder="1" applyAlignment="1">
      <alignment horizontal="center" vertical="center"/>
    </xf>
    <xf numFmtId="166" fontId="177" fillId="0" borderId="1" xfId="0" applyFont="1" applyFill="1" applyBorder="1" applyAlignment="1">
      <alignment vertical="top"/>
    </xf>
    <xf numFmtId="166" fontId="161" fillId="0" borderId="1" xfId="0" applyNumberFormat="1" applyFont="1" applyFill="1" applyBorder="1" applyAlignment="1">
      <alignment wrapText="1"/>
    </xf>
    <xf numFmtId="0" fontId="176" fillId="0" borderId="1" xfId="0" applyNumberFormat="1" applyFont="1" applyFill="1" applyBorder="1"/>
    <xf numFmtId="2" fontId="161" fillId="0" borderId="1" xfId="27" applyNumberFormat="1" applyFont="1" applyFill="1" applyBorder="1" applyAlignment="1">
      <alignment vertical="top" wrapText="1"/>
    </xf>
    <xf numFmtId="0" fontId="174" fillId="0" borderId="15" xfId="0" applyNumberFormat="1" applyFont="1" applyFill="1" applyBorder="1" applyAlignment="1">
      <alignment vertical="center"/>
    </xf>
    <xf numFmtId="166" fontId="175" fillId="0" borderId="15" xfId="0" applyFont="1" applyBorder="1" applyAlignment="1">
      <alignment wrapText="1"/>
    </xf>
    <xf numFmtId="173" fontId="198" fillId="0" borderId="1" xfId="25" applyNumberFormat="1" applyFont="1" applyFill="1" applyBorder="1" applyAlignment="1">
      <alignment vertical="top" wrapText="1"/>
    </xf>
    <xf numFmtId="2" fontId="198" fillId="0" borderId="1" xfId="25" applyNumberFormat="1" applyFont="1" applyFill="1" applyBorder="1" applyAlignment="1">
      <alignment vertical="top" wrapText="1"/>
    </xf>
    <xf numFmtId="2" fontId="175" fillId="6" borderId="10" xfId="15" applyNumberFormat="1" applyFont="1" applyFill="1" applyBorder="1" applyAlignment="1">
      <alignment horizontal="center" vertical="center" wrapText="1"/>
    </xf>
    <xf numFmtId="2" fontId="169" fillId="6" borderId="10" xfId="15" applyNumberFormat="1" applyFont="1" applyFill="1" applyBorder="1" applyAlignment="1">
      <alignment horizontal="center" vertical="center" wrapText="1"/>
    </xf>
    <xf numFmtId="168" fontId="169" fillId="6" borderId="10" xfId="15" applyNumberFormat="1" applyFont="1" applyFill="1" applyBorder="1" applyAlignment="1">
      <alignment horizontal="center" vertical="center" wrapText="1"/>
    </xf>
    <xf numFmtId="2" fontId="169" fillId="6" borderId="24" xfId="15" applyNumberFormat="1" applyFont="1" applyFill="1" applyBorder="1" applyAlignment="1">
      <alignment horizontal="center" vertical="center" wrapText="1"/>
    </xf>
    <xf numFmtId="166" fontId="174" fillId="0" borderId="10" xfId="0" applyFont="1" applyFill="1" applyBorder="1" applyAlignment="1">
      <alignment horizontal="center" vertical="center" wrapText="1"/>
    </xf>
    <xf numFmtId="2" fontId="174" fillId="6" borderId="1" xfId="15" applyNumberFormat="1" applyFont="1" applyFill="1" applyBorder="1" applyAlignment="1">
      <alignment horizontal="center" vertical="center" wrapText="1"/>
    </xf>
    <xf numFmtId="166" fontId="174" fillId="6" borderId="10" xfId="0" applyFont="1" applyFill="1" applyBorder="1" applyAlignment="1">
      <alignment horizontal="center" vertical="center" wrapText="1"/>
    </xf>
    <xf numFmtId="166" fontId="174" fillId="6" borderId="1" xfId="0" applyFont="1" applyFill="1" applyBorder="1" applyAlignment="1">
      <alignment horizontal="center" vertical="center" wrapText="1"/>
    </xf>
    <xf numFmtId="168" fontId="174" fillId="6" borderId="1" xfId="0" applyNumberFormat="1" applyFont="1" applyFill="1" applyBorder="1" applyAlignment="1">
      <alignment horizontal="center" vertical="center" wrapText="1"/>
    </xf>
    <xf numFmtId="173" fontId="175" fillId="7" borderId="1" xfId="15" applyNumberFormat="1" applyFont="1" applyFill="1" applyBorder="1" applyAlignment="1">
      <alignment vertical="top" wrapText="1"/>
    </xf>
    <xf numFmtId="2" fontId="157" fillId="0" borderId="15" xfId="27" applyNumberFormat="1" applyFont="1" applyFill="1" applyBorder="1" applyAlignment="1">
      <alignment vertical="center" wrapText="1"/>
    </xf>
    <xf numFmtId="2" fontId="160" fillId="0" borderId="15" xfId="27" applyNumberFormat="1" applyFont="1" applyFill="1" applyBorder="1" applyAlignment="1">
      <alignment vertical="center" wrapText="1"/>
    </xf>
    <xf numFmtId="166" fontId="161" fillId="0" borderId="0" xfId="0" applyFont="1" applyAlignment="1">
      <alignment horizontal="left" vertical="center"/>
    </xf>
    <xf numFmtId="2" fontId="186" fillId="0" borderId="15" xfId="26" applyNumberFormat="1" applyFont="1" applyBorder="1" applyAlignment="1">
      <alignment horizontal="left" vertical="center" wrapText="1"/>
    </xf>
    <xf numFmtId="166" fontId="208" fillId="0" borderId="15" xfId="0" applyFont="1" applyBorder="1" applyAlignment="1">
      <alignment wrapText="1"/>
    </xf>
    <xf numFmtId="166" fontId="209" fillId="0" borderId="15" xfId="0" applyFont="1" applyBorder="1" applyAlignment="1">
      <alignment wrapText="1"/>
    </xf>
    <xf numFmtId="167" fontId="162" fillId="0" borderId="15" xfId="0" applyNumberFormat="1" applyFont="1" applyBorder="1"/>
    <xf numFmtId="166" fontId="153" fillId="0" borderId="15" xfId="0" applyFont="1" applyFill="1" applyBorder="1"/>
    <xf numFmtId="0" fontId="162" fillId="0" borderId="15" xfId="0" applyNumberFormat="1" applyFont="1" applyBorder="1" applyAlignment="1">
      <alignment horizontal="center"/>
    </xf>
    <xf numFmtId="173" fontId="210" fillId="0" borderId="15" xfId="15" applyNumberFormat="1" applyFont="1" applyFill="1" applyBorder="1" applyAlignment="1">
      <alignment vertical="top" wrapText="1"/>
    </xf>
    <xf numFmtId="2" fontId="210" fillId="0" borderId="15" xfId="15" applyNumberFormat="1" applyFont="1" applyFill="1" applyBorder="1" applyAlignment="1">
      <alignment vertical="top" wrapText="1"/>
    </xf>
    <xf numFmtId="0" fontId="193" fillId="0" borderId="15" xfId="0" applyNumberFormat="1" applyFont="1" applyFill="1" applyBorder="1" applyAlignment="1">
      <alignment horizontal="right" vertical="center"/>
    </xf>
    <xf numFmtId="0" fontId="195" fillId="0" borderId="15" xfId="0" applyNumberFormat="1" applyFont="1" applyFill="1" applyBorder="1" applyAlignment="1">
      <alignment horizontal="right"/>
    </xf>
    <xf numFmtId="2" fontId="196" fillId="0" borderId="15" xfId="0" applyNumberFormat="1" applyFont="1" applyFill="1" applyBorder="1" applyAlignment="1">
      <alignment horizontal="right"/>
    </xf>
    <xf numFmtId="166" fontId="0" fillId="0" borderId="15" xfId="0" applyFill="1" applyBorder="1"/>
    <xf numFmtId="173" fontId="162" fillId="0" borderId="15" xfId="0" applyNumberFormat="1" applyFont="1" applyBorder="1" applyAlignment="1">
      <alignment horizontal="center"/>
    </xf>
    <xf numFmtId="166" fontId="153" fillId="0" borderId="15" xfId="0" applyFont="1" applyFill="1" applyBorder="1" applyAlignment="1">
      <alignment horizontal="right"/>
    </xf>
    <xf numFmtId="0" fontId="77" fillId="0" borderId="0" xfId="0" applyNumberFormat="1" applyFont="1" applyFill="1" applyAlignment="1">
      <alignment horizontal="left" vertical="top" wrapText="1"/>
    </xf>
    <xf numFmtId="0" fontId="76" fillId="0" borderId="0" xfId="0" applyNumberFormat="1" applyFont="1" applyFill="1" applyBorder="1" applyAlignment="1">
      <alignment horizontal="center" vertical="center" wrapText="1"/>
    </xf>
    <xf numFmtId="166" fontId="76" fillId="0" borderId="0" xfId="0" applyNumberFormat="1" applyFont="1" applyFill="1" applyAlignment="1">
      <alignment horizontal="center" vertical="center" wrapText="1"/>
    </xf>
    <xf numFmtId="166" fontId="76" fillId="0" borderId="0" xfId="0" applyNumberFormat="1" applyFont="1" applyFill="1" applyAlignment="1">
      <alignment horizontal="center" vertical="center"/>
    </xf>
    <xf numFmtId="0" fontId="79" fillId="0" borderId="0" xfId="0" applyNumberFormat="1" applyFont="1" applyFill="1" applyAlignment="1">
      <alignment horizontal="left" vertical="top" wrapText="1"/>
    </xf>
    <xf numFmtId="0" fontId="76" fillId="0" borderId="0" xfId="0" applyNumberFormat="1" applyFont="1" applyFill="1" applyAlignment="1">
      <alignment horizontal="center" vertical="top" wrapText="1"/>
    </xf>
    <xf numFmtId="0" fontId="75" fillId="0" borderId="0" xfId="0" applyNumberFormat="1" applyFont="1" applyFill="1" applyAlignment="1">
      <alignment horizontal="left" wrapText="1"/>
    </xf>
    <xf numFmtId="166" fontId="76" fillId="0" borderId="0" xfId="0" applyNumberFormat="1" applyFont="1" applyFill="1" applyAlignment="1">
      <alignment horizontal="left" vertical="center" wrapText="1"/>
    </xf>
    <xf numFmtId="166" fontId="88" fillId="0" borderId="0" xfId="0" applyFont="1" applyFill="1" applyBorder="1" applyAlignment="1">
      <alignment horizontal="center" vertical="center" wrapText="1"/>
    </xf>
    <xf numFmtId="166" fontId="73" fillId="0" borderId="15" xfId="0" applyFont="1" applyFill="1" applyBorder="1" applyAlignment="1">
      <alignment horizontal="center" vertical="center"/>
    </xf>
    <xf numFmtId="174" fontId="151" fillId="0" borderId="15" xfId="0" applyNumberFormat="1" applyFont="1" applyFill="1" applyBorder="1" applyAlignment="1">
      <alignment horizontal="right" vertical="top"/>
    </xf>
    <xf numFmtId="166" fontId="72" fillId="0" borderId="15" xfId="0" applyFont="1" applyFill="1" applyBorder="1" applyAlignment="1">
      <alignment horizontal="justify" vertical="center"/>
    </xf>
    <xf numFmtId="166" fontId="73" fillId="0" borderId="15" xfId="0" applyFont="1" applyFill="1" applyBorder="1" applyAlignment="1">
      <alignment horizontal="right" vertical="center"/>
    </xf>
    <xf numFmtId="166" fontId="10" fillId="0" borderId="15" xfId="0" applyFont="1" applyFill="1" applyBorder="1" applyAlignment="1">
      <alignment horizontal="center" vertical="center" wrapText="1"/>
    </xf>
    <xf numFmtId="174" fontId="112" fillId="0" borderId="15" xfId="0" applyNumberFormat="1" applyFont="1" applyFill="1" applyBorder="1" applyAlignment="1">
      <alignment horizontal="right" vertical="top" wrapText="1"/>
    </xf>
    <xf numFmtId="166" fontId="25" fillId="0" borderId="15" xfId="0" applyFont="1" applyFill="1" applyBorder="1" applyAlignment="1">
      <alignment horizontal="justify" vertical="center" wrapText="1"/>
    </xf>
    <xf numFmtId="166" fontId="10" fillId="0" borderId="15" xfId="0" applyFont="1" applyFill="1" applyBorder="1" applyAlignment="1">
      <alignment horizontal="right" vertical="center" wrapText="1"/>
    </xf>
    <xf numFmtId="166" fontId="0" fillId="0" borderId="0" xfId="0" applyBorder="1" applyAlignment="1">
      <alignment horizontal="center" vertical="top" wrapText="1"/>
    </xf>
    <xf numFmtId="166" fontId="73" fillId="0" borderId="0" xfId="0" applyFont="1" applyBorder="1" applyAlignment="1">
      <alignment horizontal="center" vertical="center"/>
    </xf>
    <xf numFmtId="166" fontId="25" fillId="0" borderId="0" xfId="0" applyFont="1" applyBorder="1" applyAlignment="1">
      <alignment horizontal="center" vertical="center" wrapText="1"/>
    </xf>
    <xf numFmtId="166" fontId="25" fillId="0" borderId="0" xfId="0" applyFont="1" applyBorder="1" applyAlignment="1">
      <alignment horizontal="center" vertical="top"/>
    </xf>
    <xf numFmtId="166" fontId="9" fillId="0" borderId="0" xfId="0" applyFont="1" applyBorder="1" applyAlignment="1">
      <alignment horizontal="center" wrapText="1"/>
    </xf>
    <xf numFmtId="166" fontId="26" fillId="0" borderId="0" xfId="0" applyFont="1" applyBorder="1" applyAlignment="1">
      <alignment horizontal="center" vertical="center"/>
    </xf>
    <xf numFmtId="2" fontId="26" fillId="0" borderId="0" xfId="0" applyNumberFormat="1" applyFont="1" applyBorder="1" applyAlignment="1">
      <alignment horizontal="center"/>
    </xf>
    <xf numFmtId="166" fontId="13" fillId="0" borderId="0" xfId="0" applyFont="1" applyAlignment="1">
      <alignment horizontal="left" vertical="top" wrapText="1"/>
    </xf>
    <xf numFmtId="166" fontId="9" fillId="0" borderId="0" xfId="0" applyFont="1" applyBorder="1" applyAlignment="1">
      <alignment horizontal="center" vertical="center" wrapText="1"/>
    </xf>
    <xf numFmtId="173" fontId="156" fillId="0" borderId="15" xfId="27" applyNumberFormat="1" applyFont="1" applyFill="1" applyBorder="1" applyAlignment="1">
      <alignment horizontal="center" vertical="center" wrapText="1"/>
    </xf>
    <xf numFmtId="0" fontId="155" fillId="0" borderId="15" xfId="27" applyFont="1" applyBorder="1" applyAlignment="1">
      <alignment horizontal="center" vertical="center" wrapText="1"/>
    </xf>
    <xf numFmtId="166" fontId="162" fillId="0" borderId="15" xfId="0" applyFont="1" applyBorder="1" applyAlignment="1">
      <alignment horizontal="center" vertical="center"/>
    </xf>
    <xf numFmtId="0" fontId="200" fillId="0" borderId="15" xfId="15" applyFont="1" applyBorder="1" applyAlignment="1">
      <alignment horizontal="center" vertical="top" wrapText="1"/>
    </xf>
    <xf numFmtId="0" fontId="154" fillId="0" borderId="15" xfId="15" applyFont="1" applyBorder="1" applyAlignment="1">
      <alignment horizontal="center" vertical="top" wrapText="1"/>
    </xf>
    <xf numFmtId="0" fontId="155" fillId="0" borderId="15" xfId="15" applyFont="1" applyBorder="1" applyAlignment="1">
      <alignment horizontal="center" vertical="top" wrapText="1"/>
    </xf>
    <xf numFmtId="166" fontId="162" fillId="0" borderId="19" xfId="0" applyFont="1" applyBorder="1" applyAlignment="1">
      <alignment horizontal="center" vertical="center"/>
    </xf>
    <xf numFmtId="166" fontId="162" fillId="0" borderId="21" xfId="0" applyFont="1" applyBorder="1" applyAlignment="1">
      <alignment horizontal="center" vertical="center"/>
    </xf>
    <xf numFmtId="173" fontId="156" fillId="0" borderId="15" xfId="27" applyNumberFormat="1" applyFont="1" applyBorder="1" applyAlignment="1">
      <alignment horizontal="center" vertical="center" wrapText="1"/>
    </xf>
    <xf numFmtId="166" fontId="201" fillId="0" borderId="15" xfId="0" applyFont="1" applyBorder="1" applyAlignment="1">
      <alignment horizontal="center" vertical="center" wrapText="1"/>
    </xf>
    <xf numFmtId="166" fontId="10" fillId="0" borderId="0" xfId="0" applyNumberFormat="1" applyFont="1" applyAlignment="1">
      <alignment horizontal="center"/>
    </xf>
    <xf numFmtId="166" fontId="21" fillId="0" borderId="0" xfId="0" applyNumberFormat="1" applyFont="1" applyAlignment="1">
      <alignment horizontal="center"/>
    </xf>
    <xf numFmtId="166" fontId="12" fillId="0" borderId="0" xfId="0" applyFont="1" applyAlignment="1">
      <alignment horizontal="center"/>
    </xf>
    <xf numFmtId="166" fontId="21" fillId="0" borderId="0" xfId="0" applyNumberFormat="1" applyFont="1" applyAlignment="1">
      <alignment horizontal="left"/>
    </xf>
    <xf numFmtId="0" fontId="101" fillId="0" borderId="0" xfId="0" applyNumberFormat="1" applyFont="1" applyAlignment="1">
      <alignment horizontal="center" vertical="center" wrapText="1"/>
    </xf>
    <xf numFmtId="166" fontId="180" fillId="6" borderId="17" xfId="0" applyFont="1" applyFill="1" applyBorder="1" applyAlignment="1">
      <alignment horizontal="center" vertical="center" wrapText="1"/>
    </xf>
    <xf numFmtId="166" fontId="180" fillId="6" borderId="18" xfId="0" applyFont="1" applyFill="1" applyBorder="1" applyAlignment="1">
      <alignment horizontal="center" vertical="center" wrapText="1"/>
    </xf>
    <xf numFmtId="168" fontId="180" fillId="6" borderId="18" xfId="0" applyNumberFormat="1" applyFont="1" applyFill="1" applyBorder="1" applyAlignment="1">
      <alignment horizontal="center" vertical="center" wrapText="1"/>
    </xf>
    <xf numFmtId="166" fontId="180" fillId="6" borderId="16" xfId="0" applyFont="1" applyFill="1" applyBorder="1" applyAlignment="1">
      <alignment horizontal="center" vertical="center" wrapText="1"/>
    </xf>
    <xf numFmtId="166" fontId="163" fillId="6" borderId="1" xfId="0" applyFont="1" applyFill="1" applyBorder="1" applyAlignment="1">
      <alignment horizontal="center" vertical="top" wrapText="1"/>
    </xf>
    <xf numFmtId="168" fontId="163" fillId="0" borderId="1" xfId="0" applyNumberFormat="1" applyFont="1" applyFill="1" applyBorder="1" applyAlignment="1">
      <alignment horizontal="center" vertical="top" wrapText="1"/>
    </xf>
    <xf numFmtId="166" fontId="163" fillId="0" borderId="1" xfId="0" applyFont="1" applyFill="1" applyBorder="1" applyAlignment="1">
      <alignment horizontal="center" vertical="top" wrapText="1"/>
    </xf>
    <xf numFmtId="166" fontId="163" fillId="6" borderId="17" xfId="0" applyFont="1" applyFill="1" applyBorder="1" applyAlignment="1">
      <alignment horizontal="center" vertical="top" wrapText="1"/>
    </xf>
    <xf numFmtId="166" fontId="163" fillId="6" borderId="16" xfId="0" applyFont="1" applyFill="1" applyBorder="1" applyAlignment="1">
      <alignment horizontal="center" vertical="top" wrapText="1"/>
    </xf>
    <xf numFmtId="166" fontId="161" fillId="0" borderId="1" xfId="0" applyNumberFormat="1" applyFont="1" applyFill="1" applyBorder="1" applyAlignment="1">
      <alignment horizontal="left" vertical="center" wrapText="1"/>
    </xf>
    <xf numFmtId="0" fontId="161" fillId="0" borderId="1" xfId="26" applyFont="1" applyFill="1" applyBorder="1" applyAlignment="1">
      <alignment horizontal="left" vertical="top" wrapText="1"/>
    </xf>
    <xf numFmtId="0" fontId="176" fillId="0" borderId="1" xfId="0" applyNumberFormat="1" applyFont="1" applyFill="1" applyBorder="1" applyAlignment="1">
      <alignment horizontal="left" vertical="center"/>
    </xf>
    <xf numFmtId="0" fontId="176" fillId="0" borderId="1" xfId="0" applyNumberFormat="1" applyFont="1" applyFill="1" applyBorder="1" applyAlignment="1">
      <alignment horizontal="left" vertical="center" wrapText="1"/>
    </xf>
    <xf numFmtId="166" fontId="161" fillId="0" borderId="1" xfId="0" applyNumberFormat="1" applyFont="1" applyFill="1" applyBorder="1" applyAlignment="1">
      <alignment horizontal="center" vertical="center" wrapText="1"/>
    </xf>
    <xf numFmtId="166" fontId="161" fillId="0" borderId="1" xfId="0" applyNumberFormat="1" applyFont="1" applyFill="1" applyBorder="1" applyAlignment="1">
      <alignment horizontal="center" vertical="center"/>
    </xf>
    <xf numFmtId="0" fontId="191" fillId="0" borderId="3" xfId="0" applyNumberFormat="1" applyFont="1" applyBorder="1" applyAlignment="1">
      <alignment horizontal="center" vertical="top" wrapText="1"/>
    </xf>
    <xf numFmtId="0" fontId="191" fillId="0" borderId="4" xfId="0" applyNumberFormat="1" applyFont="1" applyBorder="1" applyAlignment="1">
      <alignment horizontal="center" vertical="top" wrapText="1"/>
    </xf>
    <xf numFmtId="0" fontId="191" fillId="0" borderId="5" xfId="0" applyNumberFormat="1" applyFont="1" applyBorder="1" applyAlignment="1">
      <alignment horizontal="center" vertical="top" wrapText="1"/>
    </xf>
    <xf numFmtId="0" fontId="192" fillId="0" borderId="6" xfId="0" applyNumberFormat="1" applyFont="1" applyFill="1" applyBorder="1" applyAlignment="1">
      <alignment horizontal="center"/>
    </xf>
    <xf numFmtId="0" fontId="192" fillId="0" borderId="0" xfId="0" applyNumberFormat="1" applyFont="1" applyFill="1" applyBorder="1" applyAlignment="1">
      <alignment horizontal="center"/>
    </xf>
    <xf numFmtId="0" fontId="192" fillId="0" borderId="7" xfId="0" applyNumberFormat="1" applyFont="1" applyFill="1" applyBorder="1" applyAlignment="1">
      <alignment horizontal="center"/>
    </xf>
    <xf numFmtId="0" fontId="191" fillId="0" borderId="6" xfId="0" applyNumberFormat="1" applyFont="1" applyFill="1" applyBorder="1" applyAlignment="1">
      <alignment horizontal="center"/>
    </xf>
    <xf numFmtId="0" fontId="191" fillId="0" borderId="0" xfId="0" applyNumberFormat="1" applyFont="1" applyFill="1" applyBorder="1" applyAlignment="1">
      <alignment horizontal="center"/>
    </xf>
    <xf numFmtId="0" fontId="191" fillId="0" borderId="7" xfId="0" applyNumberFormat="1" applyFont="1" applyFill="1" applyBorder="1" applyAlignment="1">
      <alignment horizontal="center"/>
    </xf>
    <xf numFmtId="0" fontId="192" fillId="0" borderId="19" xfId="0" applyNumberFormat="1" applyFont="1" applyFill="1" applyBorder="1" applyAlignment="1">
      <alignment horizontal="center"/>
    </xf>
    <xf numFmtId="0" fontId="192" fillId="0" borderId="21" xfId="0" applyNumberFormat="1" applyFont="1" applyFill="1" applyBorder="1" applyAlignment="1">
      <alignment horizontal="center"/>
    </xf>
    <xf numFmtId="166" fontId="0" fillId="0" borderId="0" xfId="0" quotePrefix="1" applyNumberFormat="1" applyAlignment="1" applyProtection="1">
      <alignment horizontal="center"/>
    </xf>
    <xf numFmtId="166" fontId="0" fillId="0" borderId="0" xfId="0" applyNumberFormat="1" applyAlignment="1" applyProtection="1">
      <alignment horizontal="center"/>
    </xf>
    <xf numFmtId="166" fontId="12" fillId="0" borderId="0" xfId="0" applyFont="1" applyAlignment="1">
      <alignment horizontal="right"/>
    </xf>
    <xf numFmtId="166" fontId="12" fillId="0" borderId="0" xfId="0" applyFont="1" applyAlignment="1">
      <alignment vertical="top" wrapText="1"/>
    </xf>
    <xf numFmtId="166" fontId="0" fillId="0" borderId="0" xfId="0" applyAlignment="1">
      <alignment vertical="top"/>
    </xf>
    <xf numFmtId="0" fontId="152" fillId="0" borderId="0" xfId="0" applyNumberFormat="1" applyFont="1" applyBorder="1" applyAlignment="1">
      <alignment horizontal="center" wrapText="1"/>
    </xf>
    <xf numFmtId="166" fontId="34" fillId="0" borderId="0" xfId="0" applyNumberFormat="1" applyFont="1" applyAlignment="1">
      <alignment horizontal="center"/>
    </xf>
    <xf numFmtId="166" fontId="0" fillId="0" borderId="0" xfId="0" applyAlignment="1">
      <alignment horizontal="center"/>
    </xf>
    <xf numFmtId="0" fontId="26" fillId="0" borderId="0" xfId="0" applyNumberFormat="1" applyFont="1" applyAlignment="1">
      <alignment horizontal="center" wrapText="1"/>
    </xf>
    <xf numFmtId="168" fontId="0" fillId="0" borderId="0" xfId="0" applyNumberFormat="1" applyAlignment="1">
      <alignment horizontal="right"/>
    </xf>
    <xf numFmtId="166" fontId="12" fillId="0" borderId="0" xfId="0" applyNumberFormat="1" applyFont="1" applyAlignment="1" applyProtection="1">
      <alignment vertical="top"/>
    </xf>
    <xf numFmtId="166" fontId="0" fillId="9" borderId="0" xfId="0" applyNumberFormat="1" applyFill="1" applyAlignment="1" applyProtection="1">
      <alignment horizontal="left" vertical="top" wrapText="1"/>
    </xf>
    <xf numFmtId="166" fontId="13" fillId="9" borderId="0" xfId="0" applyNumberFormat="1" applyFont="1" applyFill="1" applyAlignment="1" applyProtection="1">
      <alignment horizontal="left" vertical="top" wrapText="1"/>
    </xf>
    <xf numFmtId="166" fontId="0" fillId="0" borderId="0" xfId="0" applyNumberFormat="1" applyAlignment="1" applyProtection="1">
      <alignment horizontal="center" wrapText="1"/>
    </xf>
    <xf numFmtId="166" fontId="12" fillId="0" borderId="0" xfId="0" applyFont="1" applyAlignment="1">
      <alignment horizontal="center" vertical="top" wrapText="1"/>
    </xf>
    <xf numFmtId="166" fontId="0" fillId="8" borderId="0" xfId="0" applyNumberFormat="1" applyFill="1" applyAlignment="1" applyProtection="1">
      <alignment horizontal="left" vertical="top" wrapText="1"/>
    </xf>
    <xf numFmtId="166" fontId="13" fillId="8" borderId="0" xfId="0" applyNumberFormat="1" applyFont="1" applyFill="1" applyAlignment="1" applyProtection="1">
      <alignment horizontal="left" vertical="top" wrapText="1"/>
    </xf>
    <xf numFmtId="166" fontId="12" fillId="0" borderId="0" xfId="0" applyNumberFormat="1" applyFont="1" applyAlignment="1" applyProtection="1">
      <alignment horizontal="left" vertical="top"/>
    </xf>
    <xf numFmtId="166" fontId="202" fillId="0" borderId="15" xfId="0" applyFont="1" applyBorder="1" applyAlignment="1">
      <alignment horizontal="center" vertical="center" wrapText="1"/>
    </xf>
    <xf numFmtId="0" fontId="202" fillId="0" borderId="15" xfId="0" applyNumberFormat="1" applyFont="1" applyBorder="1" applyAlignment="1">
      <alignment horizontal="center" vertical="center" wrapText="1"/>
    </xf>
    <xf numFmtId="0" fontId="162" fillId="0" borderId="19" xfId="0" applyNumberFormat="1" applyFont="1" applyBorder="1" applyAlignment="1">
      <alignment horizontal="center"/>
    </xf>
    <xf numFmtId="0" fontId="162" fillId="0" borderId="21" xfId="0" applyNumberFormat="1" applyFont="1" applyBorder="1" applyAlignment="1">
      <alignment horizontal="center"/>
    </xf>
    <xf numFmtId="0" fontId="162" fillId="0" borderId="15" xfId="0" applyNumberFormat="1" applyFont="1" applyBorder="1" applyAlignment="1">
      <alignment horizontal="center"/>
    </xf>
    <xf numFmtId="0" fontId="191" fillId="0" borderId="19" xfId="0" applyNumberFormat="1" applyFont="1" applyBorder="1" applyAlignment="1">
      <alignment horizontal="center"/>
    </xf>
    <xf numFmtId="0" fontId="191" fillId="0" borderId="20" xfId="0" applyNumberFormat="1" applyFont="1" applyBorder="1" applyAlignment="1">
      <alignment horizontal="center"/>
    </xf>
    <xf numFmtId="0" fontId="191" fillId="0" borderId="21" xfId="0" applyNumberFormat="1" applyFont="1" applyBorder="1" applyAlignment="1">
      <alignment horizontal="center"/>
    </xf>
    <xf numFmtId="0" fontId="192" fillId="0" borderId="15" xfId="0" applyNumberFormat="1" applyFont="1" applyBorder="1" applyAlignment="1">
      <alignment horizontal="center"/>
    </xf>
    <xf numFmtId="0" fontId="165" fillId="0" borderId="15" xfId="0" applyNumberFormat="1" applyFont="1" applyBorder="1" applyAlignment="1">
      <alignment horizontal="center"/>
    </xf>
    <xf numFmtId="0" fontId="165" fillId="0" borderId="15" xfId="0" applyNumberFormat="1" applyFont="1" applyBorder="1" applyAlignment="1">
      <alignment horizontal="center" vertical="center"/>
    </xf>
    <xf numFmtId="0" fontId="205" fillId="0" borderId="15" xfId="0" applyNumberFormat="1" applyFont="1" applyBorder="1" applyAlignment="1">
      <alignment horizontal="center" vertical="center"/>
    </xf>
    <xf numFmtId="0" fontId="205" fillId="0" borderId="15" xfId="0" applyNumberFormat="1" applyFont="1" applyBorder="1" applyAlignment="1">
      <alignment horizontal="center" wrapText="1"/>
    </xf>
    <xf numFmtId="0" fontId="206" fillId="0" borderId="19" xfId="0" applyNumberFormat="1" applyFont="1" applyBorder="1" applyAlignment="1">
      <alignment horizontal="center" vertical="center"/>
    </xf>
    <xf numFmtId="0" fontId="165" fillId="0" borderId="20" xfId="0" applyNumberFormat="1" applyFont="1" applyBorder="1" applyAlignment="1">
      <alignment horizontal="center" vertical="center"/>
    </xf>
    <xf numFmtId="0" fontId="165" fillId="0" borderId="21" xfId="0" applyNumberFormat="1" applyFont="1" applyBorder="1" applyAlignment="1">
      <alignment horizontal="center" vertical="center"/>
    </xf>
    <xf numFmtId="0" fontId="192" fillId="0" borderId="19" xfId="0" applyNumberFormat="1" applyFont="1" applyBorder="1" applyAlignment="1">
      <alignment horizontal="left" wrapText="1"/>
    </xf>
    <xf numFmtId="0" fontId="192" fillId="0" borderId="20" xfId="0" applyNumberFormat="1" applyFont="1" applyBorder="1" applyAlignment="1">
      <alignment horizontal="left" wrapText="1"/>
    </xf>
    <xf numFmtId="0" fontId="192" fillId="0" borderId="21" xfId="0" applyNumberFormat="1" applyFont="1" applyBorder="1" applyAlignment="1">
      <alignment horizontal="left" wrapText="1"/>
    </xf>
    <xf numFmtId="0" fontId="192" fillId="0" borderId="15" xfId="0" applyNumberFormat="1" applyFont="1" applyBorder="1" applyAlignment="1">
      <alignment horizontal="center" vertical="center"/>
    </xf>
    <xf numFmtId="0" fontId="191" fillId="0" borderId="15" xfId="0" applyNumberFormat="1" applyFont="1" applyBorder="1" applyAlignment="1">
      <alignment horizontal="center"/>
    </xf>
    <xf numFmtId="0" fontId="191" fillId="0" borderId="15" xfId="0" applyNumberFormat="1" applyFont="1" applyBorder="1" applyAlignment="1">
      <alignment horizontal="center" vertical="center"/>
    </xf>
    <xf numFmtId="174" fontId="97" fillId="0" borderId="19" xfId="0" applyNumberFormat="1" applyFont="1" applyBorder="1" applyAlignment="1">
      <alignment horizontal="center" vertical="center"/>
    </xf>
    <xf numFmtId="174" fontId="97" fillId="0" borderId="21" xfId="0" applyNumberFormat="1" applyFont="1" applyBorder="1" applyAlignment="1">
      <alignment horizontal="center" vertical="center"/>
    </xf>
    <xf numFmtId="0" fontId="168" fillId="0" borderId="15" xfId="0" applyNumberFormat="1" applyFont="1" applyBorder="1" applyAlignment="1">
      <alignment horizontal="center" vertical="center"/>
    </xf>
    <xf numFmtId="0" fontId="168" fillId="0" borderId="19" xfId="0" applyNumberFormat="1" applyFont="1" applyBorder="1" applyAlignment="1">
      <alignment horizontal="center" vertical="center"/>
    </xf>
    <xf numFmtId="0" fontId="168" fillId="0" borderId="21" xfId="0" applyNumberFormat="1" applyFont="1" applyBorder="1" applyAlignment="1">
      <alignment horizontal="center" vertical="center"/>
    </xf>
    <xf numFmtId="0" fontId="167" fillId="0" borderId="15" xfId="23" applyFont="1" applyBorder="1" applyAlignment="1">
      <alignment horizontal="center" vertical="center"/>
    </xf>
    <xf numFmtId="0" fontId="167" fillId="0" borderId="19" xfId="23" applyFont="1" applyBorder="1" applyAlignment="1">
      <alignment horizontal="left" vertical="center" wrapText="1"/>
    </xf>
    <xf numFmtId="0" fontId="167" fillId="0" borderId="20" xfId="23" applyFont="1" applyBorder="1" applyAlignment="1">
      <alignment horizontal="left" vertical="center" wrapText="1"/>
    </xf>
    <xf numFmtId="0" fontId="167" fillId="0" borderId="21" xfId="23" applyFont="1" applyBorder="1" applyAlignment="1">
      <alignment horizontal="left" vertical="center" wrapText="1"/>
    </xf>
    <xf numFmtId="0" fontId="165" fillId="0" borderId="15" xfId="23" applyFont="1" applyBorder="1" applyAlignment="1">
      <alignment horizontal="center"/>
    </xf>
    <xf numFmtId="0" fontId="164" fillId="0" borderId="3" xfId="23" applyFont="1" applyBorder="1" applyAlignment="1">
      <alignment horizontal="center" wrapText="1"/>
    </xf>
    <xf numFmtId="0" fontId="164" fillId="0" borderId="4" xfId="23" applyFont="1" applyBorder="1" applyAlignment="1">
      <alignment horizontal="center" wrapText="1"/>
    </xf>
    <xf numFmtId="0" fontId="164" fillId="0" borderId="5" xfId="23" applyFont="1" applyBorder="1" applyAlignment="1">
      <alignment horizontal="center" wrapText="1"/>
    </xf>
    <xf numFmtId="0" fontId="168" fillId="0" borderId="19" xfId="23" applyFont="1" applyBorder="1" applyAlignment="1">
      <alignment horizontal="center" vertical="center"/>
    </xf>
    <xf numFmtId="0" fontId="168" fillId="0" borderId="20" xfId="23" applyFont="1" applyBorder="1" applyAlignment="1">
      <alignment horizontal="center" vertical="center"/>
    </xf>
    <xf numFmtId="0" fontId="168" fillId="0" borderId="19" xfId="23" applyFont="1" applyBorder="1" applyAlignment="1">
      <alignment horizontal="center" vertical="center" wrapText="1"/>
    </xf>
    <xf numFmtId="0" fontId="168" fillId="0" borderId="21" xfId="23" applyFont="1" applyBorder="1" applyAlignment="1">
      <alignment horizontal="center" vertical="center" wrapText="1"/>
    </xf>
    <xf numFmtId="0" fontId="168" fillId="0" borderId="19" xfId="23" applyFont="1" applyBorder="1" applyAlignment="1">
      <alignment horizontal="center"/>
    </xf>
    <xf numFmtId="0" fontId="168" fillId="0" borderId="20" xfId="23" applyFont="1" applyBorder="1" applyAlignment="1">
      <alignment horizontal="center"/>
    </xf>
    <xf numFmtId="0" fontId="168" fillId="0" borderId="21" xfId="23" applyFont="1" applyBorder="1" applyAlignment="1">
      <alignment horizontal="center"/>
    </xf>
  </cellXfs>
  <cellStyles count="29">
    <cellStyle name="Normal" xfId="0" builtinId="0"/>
    <cellStyle name="Normal 10" xfId="1"/>
    <cellStyle name="Normal 11 2" xfId="2"/>
    <cellStyle name="Normal 15 5" xfId="3"/>
    <cellStyle name="Normal 2" xfId="4"/>
    <cellStyle name="Normal 2 13" xfId="5"/>
    <cellStyle name="Normal 2 2" xfId="6"/>
    <cellStyle name="Normal 2 2 2" xfId="7"/>
    <cellStyle name="Normal 2 3" xfId="8"/>
    <cellStyle name="Normal 2 4" xfId="26"/>
    <cellStyle name="Normal 3" xfId="9"/>
    <cellStyle name="Normal 3 2 2" xfId="10"/>
    <cellStyle name="Normal 3 2 2 2 4" xfId="11"/>
    <cellStyle name="Normal 3 3" xfId="19"/>
    <cellStyle name="Normal 3 4" xfId="12"/>
    <cellStyle name="Normal 4" xfId="13"/>
    <cellStyle name="Normal 5" xfId="21"/>
    <cellStyle name="Normal 6" xfId="22"/>
    <cellStyle name="Normal 7" xfId="23"/>
    <cellStyle name="Normal 7 2" xfId="14"/>
    <cellStyle name="Normal 8" xfId="24"/>
    <cellStyle name="Normal_Abstract" xfId="20"/>
    <cellStyle name="Normal_Phase XI QS" xfId="15"/>
    <cellStyle name="Normal_Phase XI QS 2" xfId="16"/>
    <cellStyle name="Normal_Phase XI QS 2 3" xfId="27"/>
    <cellStyle name="Normal_Phase XI QS 4" xfId="25"/>
    <cellStyle name="Normal_test-1" xfId="17"/>
    <cellStyle name="Percent" xfId="18" builtinId="5"/>
    <cellStyle name="Percent 2" xfId="2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77460" name="Text Box 1"/>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457200</xdr:colOff>
      <xdr:row>7742</xdr:row>
      <xdr:rowOff>190500</xdr:rowOff>
    </xdr:from>
    <xdr:to>
      <xdr:col>14</xdr:col>
      <xdr:colOff>542925</xdr:colOff>
      <xdr:row>7743</xdr:row>
      <xdr:rowOff>152400</xdr:rowOff>
    </xdr:to>
    <xdr:sp macro="" textlink="">
      <xdr:nvSpPr>
        <xdr:cNvPr id="74667" name="Text Box 1"/>
        <xdr:cNvSpPr txBox="1">
          <a:spLocks noChangeArrowheads="1"/>
        </xdr:cNvSpPr>
      </xdr:nvSpPr>
      <xdr:spPr bwMode="auto">
        <a:xfrm>
          <a:off x="12001500" y="1120873425"/>
          <a:ext cx="85725" cy="16192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1552575</xdr:colOff>
      <xdr:row>298</xdr:row>
      <xdr:rowOff>0</xdr:rowOff>
    </xdr:from>
    <xdr:to>
      <xdr:col>1</xdr:col>
      <xdr:colOff>1552575</xdr:colOff>
      <xdr:row>298</xdr:row>
      <xdr:rowOff>28575</xdr:rowOff>
    </xdr:to>
    <xdr:sp macro="" textlink="">
      <xdr:nvSpPr>
        <xdr:cNvPr id="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1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2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3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4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5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2"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3"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4"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5"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6"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7"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8" name="Text Box 1"/>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6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2"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3"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4"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5"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6"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7" name="Text Box 7"/>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8" name="Text Box 8"/>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79" name="Text Box 4"/>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80" name="Text Box 5"/>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298</xdr:row>
      <xdr:rowOff>0</xdr:rowOff>
    </xdr:from>
    <xdr:to>
      <xdr:col>1</xdr:col>
      <xdr:colOff>1552575</xdr:colOff>
      <xdr:row>298</xdr:row>
      <xdr:rowOff>28575</xdr:rowOff>
    </xdr:to>
    <xdr:sp macro="" textlink="">
      <xdr:nvSpPr>
        <xdr:cNvPr id="81" name="Text Box 6"/>
        <xdr:cNvSpPr txBox="1">
          <a:spLocks noChangeArrowheads="1"/>
        </xdr:cNvSpPr>
      </xdr:nvSpPr>
      <xdr:spPr bwMode="auto">
        <a:xfrm>
          <a:off x="2409825" y="156219525"/>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8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9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0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1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2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3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2"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3"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4"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5"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6"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7"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8" name="Text Box 1"/>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4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2"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3"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4"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5"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6"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7" name="Text Box 7"/>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8" name="Text Box 8"/>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59" name="Text Box 4"/>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60" name="Text Box 5"/>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twoCellAnchor editAs="oneCell">
    <xdr:from>
      <xdr:col>1</xdr:col>
      <xdr:colOff>1552575</xdr:colOff>
      <xdr:row>353</xdr:row>
      <xdr:rowOff>0</xdr:rowOff>
    </xdr:from>
    <xdr:to>
      <xdr:col>1</xdr:col>
      <xdr:colOff>1552575</xdr:colOff>
      <xdr:row>353</xdr:row>
      <xdr:rowOff>28575</xdr:rowOff>
    </xdr:to>
    <xdr:sp macro="" textlink="">
      <xdr:nvSpPr>
        <xdr:cNvPr id="161" name="Text Box 6"/>
        <xdr:cNvSpPr txBox="1">
          <a:spLocks noChangeArrowheads="1"/>
        </xdr:cNvSpPr>
      </xdr:nvSpPr>
      <xdr:spPr bwMode="auto">
        <a:xfrm>
          <a:off x="2409825" y="181279800"/>
          <a:ext cx="0"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1552575</xdr:colOff>
      <xdr:row>297</xdr:row>
      <xdr:rowOff>0</xdr:rowOff>
    </xdr:from>
    <xdr:to>
      <xdr:col>1</xdr:col>
      <xdr:colOff>1552575</xdr:colOff>
      <xdr:row>297</xdr:row>
      <xdr:rowOff>28575</xdr:rowOff>
    </xdr:to>
    <xdr:sp macro="" textlink="">
      <xdr:nvSpPr>
        <xdr:cNvPr id="11503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3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3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4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5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6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7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8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09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0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297</xdr:row>
      <xdr:rowOff>0</xdr:rowOff>
    </xdr:from>
    <xdr:to>
      <xdr:col>1</xdr:col>
      <xdr:colOff>1552575</xdr:colOff>
      <xdr:row>297</xdr:row>
      <xdr:rowOff>28575</xdr:rowOff>
    </xdr:to>
    <xdr:sp macro="" textlink="">
      <xdr:nvSpPr>
        <xdr:cNvPr id="11511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6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7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8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19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0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1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2"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3"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4"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5"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6"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7"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8" name="Text Box 1"/>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2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2"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3"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4"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5"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6"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7" name="Text Box 7"/>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8" name="Text Box 8"/>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39" name="Text Box 4"/>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40" name="Text Box 5"/>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twoCellAnchor editAs="oneCell">
    <xdr:from>
      <xdr:col>1</xdr:col>
      <xdr:colOff>1552575</xdr:colOff>
      <xdr:row>352</xdr:row>
      <xdr:rowOff>0</xdr:rowOff>
    </xdr:from>
    <xdr:to>
      <xdr:col>1</xdr:col>
      <xdr:colOff>1552575</xdr:colOff>
      <xdr:row>352</xdr:row>
      <xdr:rowOff>28575</xdr:rowOff>
    </xdr:to>
    <xdr:sp macro="" textlink="">
      <xdr:nvSpPr>
        <xdr:cNvPr id="241" name="Text Box 6"/>
        <xdr:cNvSpPr txBox="1">
          <a:spLocks noChangeArrowheads="1"/>
        </xdr:cNvSpPr>
      </xdr:nvSpPr>
      <xdr:spPr bwMode="auto">
        <a:xfrm>
          <a:off x="2409825" y="186423300"/>
          <a:ext cx="0"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7795</xdr:row>
      <xdr:rowOff>190500</xdr:rowOff>
    </xdr:from>
    <xdr:to>
      <xdr:col>14</xdr:col>
      <xdr:colOff>552450</xdr:colOff>
      <xdr:row>7795</xdr:row>
      <xdr:rowOff>200025</xdr:rowOff>
    </xdr:to>
    <xdr:sp macro="" textlink="">
      <xdr:nvSpPr>
        <xdr:cNvPr id="113692" name="Text Box 1"/>
        <xdr:cNvSpPr txBox="1">
          <a:spLocks noChangeArrowheads="1"/>
        </xdr:cNvSpPr>
      </xdr:nvSpPr>
      <xdr:spPr bwMode="auto">
        <a:xfrm>
          <a:off x="17506950" y="241304445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3693" name="Text Box 2"/>
        <xdr:cNvSpPr txBox="1">
          <a:spLocks noChangeArrowheads="1"/>
        </xdr:cNvSpPr>
      </xdr:nvSpPr>
      <xdr:spPr bwMode="auto">
        <a:xfrm>
          <a:off x="10344150"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DB-12\Share%20313\Users\CEDB1\Desktop\karur%20150%20pc\SR-17-18-J-Karur%20%20Corrected%20on%20CE%20Office%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N-DB-12\Share%20313\Chennai%20Division-II\Estimate%202019-20\MGR%20Nagar%20Police%20Statio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personal\Downloads\pollution%20control%20estimate%2022.06.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esktop%2013.10.21\Barracks%20Estimate%20DGL\Barracks%2021-22\Additional%20estimate%20Temp%20PRS\Comparative%20statement%20cleaning%20tile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107">
          <cell r="B1107" t="str">
            <v>painting two coat for old wood work</v>
          </cell>
          <cell r="C1107">
            <v>127.06</v>
          </cell>
          <cell r="U1107">
            <v>0</v>
          </cell>
        </row>
        <row r="1108">
          <cell r="B1108" t="str">
            <v>Matt paint one coat for old wall</v>
          </cell>
          <cell r="C1108">
            <v>72.95</v>
          </cell>
          <cell r="U1108">
            <v>0</v>
          </cell>
        </row>
        <row r="1109">
          <cell r="B1109" t="str">
            <v>Plastic Emulsion PAINT one coat for old wall</v>
          </cell>
          <cell r="C1109">
            <v>66.11</v>
          </cell>
          <cell r="U1109">
            <v>0</v>
          </cell>
        </row>
        <row r="1110">
          <cell r="B1110" t="str">
            <v>Plastic Emulsion PAINT two coat for old wall</v>
          </cell>
          <cell r="C1110">
            <v>129.27000000000001</v>
          </cell>
          <cell r="U1110">
            <v>0</v>
          </cell>
        </row>
        <row r="1111">
          <cell r="U1111">
            <v>0</v>
          </cell>
        </row>
        <row r="1112">
          <cell r="U1112">
            <v>0</v>
          </cell>
        </row>
        <row r="1113">
          <cell r="U1113">
            <v>0</v>
          </cell>
        </row>
        <row r="1114">
          <cell r="U1114">
            <v>0</v>
          </cell>
        </row>
        <row r="1115">
          <cell r="U1115">
            <v>0</v>
          </cell>
        </row>
        <row r="1116">
          <cell r="U1116">
            <v>0</v>
          </cell>
        </row>
        <row r="1117">
          <cell r="U1117">
            <v>0</v>
          </cell>
        </row>
        <row r="1118">
          <cell r="U1118">
            <v>0</v>
          </cell>
        </row>
        <row r="1119">
          <cell r="U1119">
            <v>0</v>
          </cell>
        </row>
        <row r="1120">
          <cell r="U1120">
            <v>0</v>
          </cell>
        </row>
        <row r="1121">
          <cell r="U1121">
            <v>0</v>
          </cell>
        </row>
        <row r="1122">
          <cell r="U1122">
            <v>0</v>
          </cell>
        </row>
        <row r="1123">
          <cell r="U1123">
            <v>0</v>
          </cell>
        </row>
        <row r="1124">
          <cell r="U1124">
            <v>0</v>
          </cell>
        </row>
        <row r="1125">
          <cell r="U1125">
            <v>0</v>
          </cell>
        </row>
        <row r="1126">
          <cell r="U1126">
            <v>0</v>
          </cell>
        </row>
        <row r="1127">
          <cell r="U1127">
            <v>0</v>
          </cell>
        </row>
        <row r="1128">
          <cell r="U1128">
            <v>0</v>
          </cell>
        </row>
        <row r="1129">
          <cell r="U1129">
            <v>0</v>
          </cell>
        </row>
        <row r="1130">
          <cell r="U1130">
            <v>0</v>
          </cell>
        </row>
        <row r="1131">
          <cell r="U1131">
            <v>0</v>
          </cell>
        </row>
        <row r="1132">
          <cell r="U1132">
            <v>0</v>
          </cell>
        </row>
        <row r="1133">
          <cell r="U1133">
            <v>0</v>
          </cell>
        </row>
        <row r="1134">
          <cell r="U1134">
            <v>0</v>
          </cell>
        </row>
        <row r="1135">
          <cell r="U1135">
            <v>0</v>
          </cell>
        </row>
        <row r="1136">
          <cell r="U1136">
            <v>0</v>
          </cell>
        </row>
        <row r="1137">
          <cell r="U1137">
            <v>0</v>
          </cell>
        </row>
        <row r="1138">
          <cell r="U1138">
            <v>0</v>
          </cell>
        </row>
        <row r="1139">
          <cell r="U1139">
            <v>0</v>
          </cell>
        </row>
        <row r="1140">
          <cell r="U1140">
            <v>0</v>
          </cell>
        </row>
        <row r="1141">
          <cell r="U1141">
            <v>0</v>
          </cell>
        </row>
        <row r="1142">
          <cell r="U1142">
            <v>0</v>
          </cell>
        </row>
        <row r="1143">
          <cell r="U1143">
            <v>0</v>
          </cell>
        </row>
        <row r="1144">
          <cell r="U1144">
            <v>0</v>
          </cell>
        </row>
        <row r="1145">
          <cell r="U1145">
            <v>0</v>
          </cell>
        </row>
        <row r="1146">
          <cell r="U1146">
            <v>0</v>
          </cell>
        </row>
        <row r="1147">
          <cell r="U1147">
            <v>0</v>
          </cell>
        </row>
        <row r="1148">
          <cell r="U1148">
            <v>0</v>
          </cell>
        </row>
        <row r="1149">
          <cell r="U1149">
            <v>0</v>
          </cell>
        </row>
        <row r="1150">
          <cell r="U1150">
            <v>0</v>
          </cell>
        </row>
        <row r="1151">
          <cell r="U1151">
            <v>0</v>
          </cell>
        </row>
        <row r="1152">
          <cell r="U1152">
            <v>0</v>
          </cell>
        </row>
        <row r="1153">
          <cell r="U1153">
            <v>0</v>
          </cell>
        </row>
        <row r="1154">
          <cell r="U1154">
            <v>0</v>
          </cell>
        </row>
        <row r="1155">
          <cell r="U1155">
            <v>0</v>
          </cell>
        </row>
        <row r="1156">
          <cell r="U1156">
            <v>0</v>
          </cell>
        </row>
        <row r="1157">
          <cell r="U1157">
            <v>0</v>
          </cell>
        </row>
        <row r="1158">
          <cell r="U1158">
            <v>0</v>
          </cell>
        </row>
        <row r="1159">
          <cell r="U1159">
            <v>0</v>
          </cell>
        </row>
        <row r="1160">
          <cell r="U1160">
            <v>0</v>
          </cell>
        </row>
        <row r="1161">
          <cell r="U1161">
            <v>0</v>
          </cell>
        </row>
        <row r="1162">
          <cell r="U1162">
            <v>0</v>
          </cell>
        </row>
        <row r="1163">
          <cell r="U1163">
            <v>0</v>
          </cell>
        </row>
        <row r="1164">
          <cell r="U1164">
            <v>0</v>
          </cell>
        </row>
        <row r="1165">
          <cell r="U1165">
            <v>0</v>
          </cell>
        </row>
        <row r="1166">
          <cell r="U1166">
            <v>0</v>
          </cell>
        </row>
        <row r="1167">
          <cell r="U1167">
            <v>0</v>
          </cell>
        </row>
        <row r="1168">
          <cell r="U1168">
            <v>0</v>
          </cell>
        </row>
        <row r="1169">
          <cell r="U1169">
            <v>0</v>
          </cell>
        </row>
        <row r="1170">
          <cell r="U1170">
            <v>0</v>
          </cell>
        </row>
        <row r="1171">
          <cell r="U1171">
            <v>0</v>
          </cell>
        </row>
        <row r="1172">
          <cell r="U1172">
            <v>0</v>
          </cell>
        </row>
        <row r="1173">
          <cell r="U1173">
            <v>0</v>
          </cell>
        </row>
        <row r="1174">
          <cell r="U1174">
            <v>0</v>
          </cell>
        </row>
        <row r="1175">
          <cell r="U1175">
            <v>0</v>
          </cell>
        </row>
        <row r="1176">
          <cell r="U1176">
            <v>0</v>
          </cell>
        </row>
        <row r="1177">
          <cell r="U1177">
            <v>0</v>
          </cell>
        </row>
        <row r="1178">
          <cell r="U1178">
            <v>0</v>
          </cell>
        </row>
        <row r="1179">
          <cell r="U1179">
            <v>0</v>
          </cell>
        </row>
        <row r="1180">
          <cell r="U1180">
            <v>0</v>
          </cell>
        </row>
        <row r="1181">
          <cell r="U1181">
            <v>0</v>
          </cell>
        </row>
        <row r="1182">
          <cell r="U1182">
            <v>0</v>
          </cell>
        </row>
        <row r="1183">
          <cell r="U1183">
            <v>0</v>
          </cell>
        </row>
        <row r="1184">
          <cell r="U1184">
            <v>0</v>
          </cell>
        </row>
        <row r="1185">
          <cell r="U1185">
            <v>0</v>
          </cell>
        </row>
        <row r="1186">
          <cell r="U1186">
            <v>0</v>
          </cell>
        </row>
        <row r="1187">
          <cell r="U1187">
            <v>0</v>
          </cell>
        </row>
        <row r="1188">
          <cell r="U1188">
            <v>0</v>
          </cell>
        </row>
        <row r="1189">
          <cell r="U1189">
            <v>0</v>
          </cell>
        </row>
        <row r="1190">
          <cell r="U1190">
            <v>0</v>
          </cell>
        </row>
        <row r="1191">
          <cell r="U1191">
            <v>0</v>
          </cell>
        </row>
        <row r="1192">
          <cell r="U1192">
            <v>0</v>
          </cell>
        </row>
        <row r="1193">
          <cell r="U1193">
            <v>0</v>
          </cell>
        </row>
        <row r="1194">
          <cell r="U1194">
            <v>0</v>
          </cell>
        </row>
        <row r="1195">
          <cell r="U1195">
            <v>0</v>
          </cell>
        </row>
        <row r="1196">
          <cell r="U1196">
            <v>0</v>
          </cell>
        </row>
        <row r="1197">
          <cell r="U1197">
            <v>0</v>
          </cell>
        </row>
        <row r="1198">
          <cell r="U1198">
            <v>0</v>
          </cell>
        </row>
        <row r="1199">
          <cell r="U1199">
            <v>0</v>
          </cell>
        </row>
        <row r="1200">
          <cell r="U1200">
            <v>0</v>
          </cell>
        </row>
        <row r="1201">
          <cell r="U1201">
            <v>0</v>
          </cell>
        </row>
        <row r="1202">
          <cell r="U1202">
            <v>0</v>
          </cell>
        </row>
        <row r="1203">
          <cell r="U1203">
            <v>0</v>
          </cell>
        </row>
        <row r="1204">
          <cell r="U1204">
            <v>0</v>
          </cell>
        </row>
        <row r="1205">
          <cell r="U1205">
            <v>0</v>
          </cell>
        </row>
        <row r="1206">
          <cell r="U1206">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  Coastal  Elec.Data "/>
      <sheetName val="Elec.Data"/>
      <sheetName val="Elec.abs"/>
      <sheetName val="Sheet1"/>
      <sheetName val="OHT(A4)"/>
      <sheetName val="paver"/>
      <sheetName val="Sheet2"/>
      <sheetName val="Culvert"/>
      <sheetName val="Sliding and french window"/>
      <sheetName val="lead  charge"/>
      <sheetName val="LED data"/>
      <sheetName val="Building (2)"/>
      <sheetName val="Sub data"/>
      <sheetName val="data"/>
      <sheetName val="G. Abstractfinal"/>
      <sheetName val="Abst"/>
      <sheetName val="building"/>
      <sheetName val="PC QTRS"/>
      <sheetName val="ST"/>
      <sheetName val="Sump"/>
      <sheetName val="Ex. WS"/>
      <sheetName val="Paver "/>
      <sheetName val="Sullage drain"/>
      <sheetName val="Plinth P"/>
      <sheetName val="UG cable"/>
      <sheetName val="Com.wall"/>
      <sheetName val="Sheet3"/>
    </sheetNames>
    <sheetDataSet>
      <sheetData sheetId="0" refreshError="1"/>
      <sheetData sheetId="1" refreshError="1"/>
      <sheetData sheetId="2" refreshError="1"/>
      <sheetData sheetId="3">
        <row r="17">
          <cell r="F17">
            <v>2892.43</v>
          </cell>
        </row>
      </sheetData>
      <sheetData sheetId="4">
        <row r="2860">
          <cell r="K2860">
            <v>1343</v>
          </cell>
        </row>
      </sheetData>
      <sheetData sheetId="5">
        <row r="2977">
          <cell r="K2977">
            <v>688</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9">
          <cell r="C9">
            <v>2991</v>
          </cell>
        </row>
      </sheetData>
      <sheetData sheetId="15" refreshError="1"/>
      <sheetData sheetId="16">
        <row r="7">
          <cell r="F7">
            <v>927.31</v>
          </cell>
        </row>
      </sheetData>
      <sheetData sheetId="17">
        <row r="207">
          <cell r="R207">
            <v>5175.4399999999996</v>
          </cell>
        </row>
      </sheetData>
      <sheetData sheetId="18" refreshError="1"/>
      <sheetData sheetId="19" refreshError="1"/>
      <sheetData sheetId="20" refreshError="1"/>
      <sheetData sheetId="21">
        <row r="32">
          <cell r="G32">
            <v>169.9</v>
          </cell>
        </row>
      </sheetData>
      <sheetData sheetId="22">
        <row r="9">
          <cell r="G9">
            <v>66.3</v>
          </cell>
        </row>
      </sheetData>
      <sheetData sheetId="23">
        <row r="7">
          <cell r="G7">
            <v>69.099999999999994</v>
          </cell>
        </row>
      </sheetData>
      <sheetData sheetId="24">
        <row r="8">
          <cell r="H8">
            <v>375</v>
          </cell>
        </row>
      </sheetData>
      <sheetData sheetId="25">
        <row r="11">
          <cell r="G11">
            <v>46.7</v>
          </cell>
        </row>
      </sheetData>
      <sheetData sheetId="26">
        <row r="10">
          <cell r="G10">
            <v>22.5</v>
          </cell>
        </row>
      </sheetData>
      <sheetData sheetId="27">
        <row r="12">
          <cell r="G12">
            <v>14.1</v>
          </cell>
        </row>
      </sheetData>
      <sheetData sheetId="28">
        <row r="7">
          <cell r="H7">
            <v>1</v>
          </cell>
        </row>
      </sheetData>
      <sheetData sheetId="29" refreshError="1"/>
      <sheetData sheetId="3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P SI"/>
      <sheetName val="AP PC"/>
      <sheetName val="Q BRANCH"/>
      <sheetName val="PC 8in1(I)"/>
      <sheetName val="PC 8in1 (J)"/>
      <sheetName val="PC 3in1 (K) "/>
      <sheetName val="PC 6in1 (L)  "/>
      <sheetName val="Sheet2"/>
    </sheetNames>
    <sheetDataSet>
      <sheetData sheetId="0"/>
      <sheetData sheetId="1"/>
      <sheetData sheetId="2"/>
      <sheetData sheetId="3"/>
      <sheetData sheetId="4"/>
      <sheetData sheetId="5"/>
      <sheetData sheetId="6"/>
      <sheetData sheetId="7">
        <row r="9">
          <cell r="H9">
            <v>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M226"/>
  <sheetViews>
    <sheetView view="pageBreakPreview" zoomScale="80" zoomScaleSheetLayoutView="80" workbookViewId="0">
      <selection activeCell="D16" sqref="D16"/>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59" t="s">
        <v>3877</v>
      </c>
      <c r="B1" s="1459"/>
      <c r="C1" s="1459"/>
      <c r="D1" s="1459"/>
      <c r="E1" s="1459"/>
      <c r="F1" s="1459"/>
    </row>
    <row r="2" spans="1:7" ht="17.25">
      <c r="A2" s="1459" t="s">
        <v>3876</v>
      </c>
      <c r="B2" s="1459"/>
      <c r="C2" s="1459"/>
      <c r="D2" s="1459"/>
      <c r="E2" s="1459"/>
      <c r="F2" s="1459"/>
    </row>
    <row r="3" spans="1:7" ht="31.5" customHeight="1">
      <c r="A3" s="1460" t="s">
        <v>4033</v>
      </c>
      <c r="B3" s="1460"/>
      <c r="C3" s="1460"/>
      <c r="D3" s="1460"/>
      <c r="E3" s="1460"/>
      <c r="F3" s="1460"/>
    </row>
    <row r="4" spans="1:7" ht="17.25">
      <c r="A4" s="1461" t="s">
        <v>4392</v>
      </c>
      <c r="B4" s="1461"/>
      <c r="C4" s="1461"/>
      <c r="D4" s="1461"/>
      <c r="E4" s="1461"/>
      <c r="F4" s="597"/>
    </row>
    <row r="5" spans="1:7" ht="6" customHeight="1">
      <c r="A5" s="597"/>
      <c r="B5" s="597"/>
      <c r="C5" s="597"/>
      <c r="D5" s="597"/>
      <c r="E5" s="597"/>
      <c r="F5" s="597"/>
    </row>
    <row r="6" spans="1:7" ht="45.75" customHeight="1">
      <c r="B6" s="615"/>
      <c r="C6" s="1462" t="s">
        <v>3874</v>
      </c>
      <c r="D6" s="1462"/>
      <c r="E6" s="1462"/>
      <c r="F6" s="615"/>
      <c r="G6" s="4" t="s">
        <v>2070</v>
      </c>
    </row>
    <row r="7" spans="1:7" ht="24" customHeight="1">
      <c r="A7" s="614"/>
      <c r="B7" s="1458" t="s">
        <v>3873</v>
      </c>
      <c r="C7" s="1458"/>
      <c r="D7" s="1458"/>
      <c r="E7" s="1458"/>
      <c r="F7" s="1458"/>
      <c r="G7" s="51">
        <v>1.57</v>
      </c>
    </row>
    <row r="8" spans="1:7" ht="28.5" customHeight="1">
      <c r="A8" s="606"/>
      <c r="B8" s="606"/>
      <c r="C8" s="810" t="s">
        <v>3872</v>
      </c>
      <c r="D8" s="606"/>
      <c r="E8" s="606"/>
      <c r="F8" s="606"/>
    </row>
    <row r="9" spans="1:7" ht="30.75" customHeight="1">
      <c r="A9" s="608">
        <f>G7</f>
        <v>1.57</v>
      </c>
      <c r="B9" s="606" t="s">
        <v>2070</v>
      </c>
      <c r="C9" s="606" t="s">
        <v>3908</v>
      </c>
      <c r="D9" s="597"/>
      <c r="E9" s="607">
        <f>G54</f>
        <v>7584.57</v>
      </c>
      <c r="F9" s="607">
        <f>A9*E9</f>
        <v>11907.77</v>
      </c>
    </row>
    <row r="10" spans="1:7" ht="30.75" customHeight="1">
      <c r="A10" s="612">
        <f>A9*10/100</f>
        <v>0.157</v>
      </c>
      <c r="B10" s="606" t="s">
        <v>494</v>
      </c>
      <c r="C10" s="606" t="s">
        <v>3870</v>
      </c>
      <c r="D10" s="597"/>
      <c r="E10" s="607">
        <v>4000</v>
      </c>
      <c r="F10" s="607">
        <f>A10*E10</f>
        <v>628</v>
      </c>
    </row>
    <row r="11" spans="1:7" ht="30.75" customHeight="1">
      <c r="A11" s="607">
        <v>8</v>
      </c>
      <c r="B11" s="606" t="s">
        <v>794</v>
      </c>
      <c r="C11" s="606" t="s">
        <v>2568</v>
      </c>
      <c r="D11" s="597"/>
      <c r="E11" s="607">
        <v>960</v>
      </c>
      <c r="F11" s="607">
        <f>A11*E11</f>
        <v>7680</v>
      </c>
    </row>
    <row r="12" spans="1:7" ht="21" customHeight="1">
      <c r="A12" s="606"/>
      <c r="B12" s="606"/>
      <c r="C12" s="606"/>
      <c r="D12" s="597"/>
      <c r="E12" s="606"/>
      <c r="F12" s="606"/>
    </row>
    <row r="13" spans="1:7" ht="21" customHeight="1">
      <c r="A13" s="606"/>
      <c r="B13" s="606"/>
      <c r="C13" s="606" t="s">
        <v>3869</v>
      </c>
      <c r="D13" s="597"/>
      <c r="E13" s="606"/>
      <c r="F13" s="607">
        <f>SUM(F9:F12)</f>
        <v>20215.77</v>
      </c>
    </row>
    <row r="14" spans="1:7" ht="21" customHeight="1">
      <c r="A14" s="606"/>
      <c r="B14" s="606"/>
      <c r="C14" s="606" t="s">
        <v>1585</v>
      </c>
      <c r="D14" s="597"/>
      <c r="E14" s="606"/>
      <c r="F14" s="607">
        <f>F13/7</f>
        <v>2887.97</v>
      </c>
    </row>
    <row r="15" spans="1:7" ht="21" customHeight="1">
      <c r="A15" s="606"/>
      <c r="B15" s="606"/>
      <c r="C15" s="606" t="s">
        <v>3868</v>
      </c>
      <c r="D15" s="597"/>
      <c r="E15" s="606"/>
      <c r="F15" s="606">
        <f>1000/8</f>
        <v>125</v>
      </c>
    </row>
    <row r="16" spans="1:7" ht="21" customHeight="1">
      <c r="A16" s="606"/>
      <c r="B16" s="606"/>
      <c r="C16" s="606"/>
      <c r="D16" s="597"/>
      <c r="E16" s="606"/>
      <c r="F16" s="606"/>
    </row>
    <row r="17" spans="1:13" ht="21" customHeight="1">
      <c r="A17" s="606"/>
      <c r="B17" s="606"/>
      <c r="C17" s="606" t="s">
        <v>1585</v>
      </c>
      <c r="D17" s="597"/>
      <c r="E17" s="606"/>
      <c r="F17" s="605">
        <f>SUM(F14:F16)</f>
        <v>3012.97</v>
      </c>
    </row>
    <row r="18" spans="1:13" ht="21" customHeight="1">
      <c r="A18" s="606"/>
      <c r="B18" s="606"/>
      <c r="C18" s="606" t="s">
        <v>3867</v>
      </c>
      <c r="D18" s="606"/>
      <c r="E18" s="606"/>
      <c r="F18" s="606"/>
    </row>
    <row r="19" spans="1:13" ht="21" customHeight="1">
      <c r="A19" s="606"/>
      <c r="B19" s="606"/>
      <c r="C19" s="606"/>
      <c r="D19" s="606"/>
      <c r="E19" s="606"/>
      <c r="F19" s="606"/>
    </row>
    <row r="20" spans="1:13" ht="12.75" customHeight="1">
      <c r="A20" s="606"/>
      <c r="B20" s="606"/>
      <c r="C20" s="606"/>
      <c r="D20" s="606"/>
      <c r="E20" s="606"/>
      <c r="F20" s="606"/>
    </row>
    <row r="21" spans="1:13" s="37" customFormat="1" ht="42" customHeight="1">
      <c r="A21" s="611"/>
      <c r="B21" s="611"/>
      <c r="C21" s="1463" t="s">
        <v>3866</v>
      </c>
      <c r="D21" s="1463"/>
      <c r="E21" s="1463"/>
      <c r="F21" s="611"/>
    </row>
    <row r="22" spans="1:13" ht="30.75" customHeight="1">
      <c r="A22" s="610"/>
      <c r="B22" s="1458" t="s">
        <v>3865</v>
      </c>
      <c r="C22" s="1458"/>
      <c r="D22" s="1458"/>
      <c r="E22" s="1458"/>
      <c r="F22" s="1458"/>
      <c r="G22" s="51">
        <v>0.19600000000000001</v>
      </c>
    </row>
    <row r="23" spans="1:13" ht="30.75" customHeight="1">
      <c r="A23" s="606"/>
      <c r="B23" s="606"/>
      <c r="C23" s="609" t="s">
        <v>3864</v>
      </c>
      <c r="D23" s="606"/>
      <c r="E23" s="606"/>
      <c r="F23" s="606"/>
    </row>
    <row r="24" spans="1:13" ht="30.75" customHeight="1">
      <c r="A24" s="608">
        <f>G22</f>
        <v>0.19600000000000001</v>
      </c>
      <c r="B24" s="606" t="s">
        <v>2070</v>
      </c>
      <c r="C24" s="606" t="s">
        <v>4219</v>
      </c>
      <c r="D24" s="597"/>
      <c r="E24" s="607">
        <v>3820</v>
      </c>
      <c r="F24" s="607">
        <f>A24*E24</f>
        <v>748.72</v>
      </c>
    </row>
    <row r="25" spans="1:13" ht="42.75" customHeight="1">
      <c r="A25" s="608">
        <f>+A24</f>
        <v>0.19600000000000001</v>
      </c>
      <c r="B25" s="606" t="s">
        <v>2070</v>
      </c>
      <c r="C25" s="1464" t="s">
        <v>4220</v>
      </c>
      <c r="D25" s="1464"/>
      <c r="E25" s="607">
        <f>9.62*5</f>
        <v>48.1</v>
      </c>
      <c r="F25" s="607">
        <f>E25*A25</f>
        <v>9.43</v>
      </c>
      <c r="I25">
        <f>8.69*0.125</f>
        <v>1.0900000000000001</v>
      </c>
    </row>
    <row r="26" spans="1:13" ht="36" customHeight="1">
      <c r="A26" s="608">
        <f>+A25</f>
        <v>0.19600000000000001</v>
      </c>
      <c r="B26" s="606" t="s">
        <v>2070</v>
      </c>
      <c r="C26" s="606" t="s">
        <v>4221</v>
      </c>
      <c r="D26" s="597"/>
      <c r="E26" s="607">
        <v>30.1</v>
      </c>
      <c r="F26" s="607">
        <f>A26*E26</f>
        <v>5.9</v>
      </c>
      <c r="I26" s="37">
        <f>0.125*26.3</f>
        <v>3.29</v>
      </c>
    </row>
    <row r="27" spans="1:13" ht="17.25">
      <c r="A27" s="607"/>
      <c r="B27" s="606"/>
      <c r="C27" s="606"/>
      <c r="D27" s="597"/>
      <c r="E27" s="607"/>
      <c r="F27" s="607"/>
      <c r="I27">
        <f>26.58/3</f>
        <v>8.86</v>
      </c>
    </row>
    <row r="28" spans="1:13" ht="17.25">
      <c r="A28" s="606"/>
      <c r="B28" s="606"/>
      <c r="C28" s="606" t="s">
        <v>1585</v>
      </c>
      <c r="D28" s="597"/>
      <c r="E28" s="606"/>
      <c r="F28" s="605">
        <f>SUM(F24:F27)</f>
        <v>764.05</v>
      </c>
    </row>
    <row r="29" spans="1:13" ht="17.25">
      <c r="A29" s="597"/>
      <c r="B29" s="597"/>
      <c r="C29" s="597"/>
      <c r="D29" s="597"/>
      <c r="E29" s="597"/>
      <c r="F29" s="597"/>
    </row>
    <row r="30" spans="1:13" ht="51" customHeight="1">
      <c r="B30" s="604"/>
      <c r="C30" s="1465" t="s">
        <v>3861</v>
      </c>
      <c r="D30" s="1465"/>
      <c r="E30" s="1465"/>
      <c r="F30" s="604"/>
    </row>
    <row r="31" spans="1:13" ht="17.25">
      <c r="A31" s="597"/>
      <c r="B31" s="597"/>
      <c r="C31" s="597"/>
      <c r="D31" s="597"/>
      <c r="E31" s="597"/>
      <c r="F31" s="597"/>
      <c r="M31">
        <f>8.69*3</f>
        <v>26.07</v>
      </c>
    </row>
    <row r="32" spans="1:13" ht="60" customHeight="1">
      <c r="A32" s="600" t="s">
        <v>3859</v>
      </c>
      <c r="B32" s="600">
        <v>3</v>
      </c>
      <c r="C32" s="603" t="s">
        <v>3860</v>
      </c>
      <c r="E32" s="607">
        <v>9.16</v>
      </c>
      <c r="F32" s="607"/>
      <c r="G32" s="600">
        <f>E32*B32</f>
        <v>27.48</v>
      </c>
    </row>
    <row r="33" spans="1:10" ht="21.75" customHeight="1">
      <c r="A33" s="600" t="s">
        <v>3859</v>
      </c>
      <c r="B33" s="600">
        <v>3</v>
      </c>
      <c r="C33" s="602" t="s">
        <v>3858</v>
      </c>
      <c r="E33" s="607">
        <v>30.1</v>
      </c>
      <c r="F33" s="607"/>
      <c r="G33" s="600">
        <f>E33*B33</f>
        <v>90.3</v>
      </c>
      <c r="J33" t="s">
        <v>4222</v>
      </c>
    </row>
    <row r="34" spans="1:10" ht="17.25">
      <c r="A34" s="600"/>
      <c r="B34" s="600"/>
      <c r="C34" s="601"/>
      <c r="E34" s="607"/>
      <c r="F34" s="607"/>
      <c r="G34" s="600"/>
    </row>
    <row r="35" spans="1:10" ht="17.25">
      <c r="A35" s="600"/>
      <c r="B35" s="600"/>
      <c r="C35" s="601" t="s">
        <v>3857</v>
      </c>
      <c r="E35" s="600"/>
      <c r="F35" s="600"/>
      <c r="G35" s="599">
        <f>SUM(G32:G34)</f>
        <v>117.78</v>
      </c>
    </row>
    <row r="36" spans="1:10" ht="17.25">
      <c r="A36" s="597"/>
      <c r="B36" s="597"/>
      <c r="C36" s="597"/>
      <c r="E36" s="597"/>
      <c r="F36" s="597"/>
      <c r="G36" s="597"/>
    </row>
    <row r="37" spans="1:10" ht="17.25" hidden="1">
      <c r="A37" s="597"/>
      <c r="B37" s="597"/>
      <c r="C37" s="597"/>
      <c r="E37" s="597"/>
      <c r="F37" s="597"/>
      <c r="G37" s="597"/>
    </row>
    <row r="38" spans="1:10" ht="17.25" hidden="1">
      <c r="A38" s="597"/>
      <c r="B38" s="597"/>
      <c r="C38" s="597"/>
      <c r="E38" s="597"/>
      <c r="F38" s="597"/>
      <c r="G38" s="597"/>
    </row>
    <row r="39" spans="1:10" ht="3" customHeight="1">
      <c r="A39" s="598"/>
      <c r="B39" s="597"/>
      <c r="C39" s="598"/>
      <c r="E39" s="597"/>
      <c r="F39" s="597"/>
      <c r="G39" s="597"/>
    </row>
    <row r="40" spans="1:10" ht="24" customHeight="1">
      <c r="A40" s="51"/>
      <c r="B40" s="37">
        <v>4.2</v>
      </c>
      <c r="C40" s="37" t="s">
        <v>3886</v>
      </c>
    </row>
    <row r="41" spans="1:10" ht="24" customHeight="1">
      <c r="A41" s="51">
        <v>5</v>
      </c>
      <c r="B41" t="s">
        <v>1289</v>
      </c>
      <c r="C41" t="s">
        <v>3895</v>
      </c>
      <c r="D41">
        <f>Data!V678</f>
        <v>1581.38</v>
      </c>
      <c r="F41">
        <f>D41*A41</f>
        <v>7906.9</v>
      </c>
    </row>
    <row r="42" spans="1:10" ht="24" customHeight="1">
      <c r="A42" s="51">
        <v>3.3</v>
      </c>
      <c r="B42" t="s">
        <v>1289</v>
      </c>
      <c r="C42" t="s">
        <v>3896</v>
      </c>
      <c r="D42">
        <f>Data!V679</f>
        <v>1302.3800000000001</v>
      </c>
      <c r="F42">
        <f t="shared" ref="F42:F48" si="0">D42*A42</f>
        <v>4297.8500000000004</v>
      </c>
    </row>
    <row r="43" spans="1:10" ht="24" customHeight="1">
      <c r="A43" s="51">
        <v>4.79</v>
      </c>
      <c r="B43" t="s">
        <v>1289</v>
      </c>
      <c r="C43" t="s">
        <v>3897</v>
      </c>
      <c r="D43">
        <f>Data!V680</f>
        <v>1400.82</v>
      </c>
      <c r="F43">
        <f t="shared" si="0"/>
        <v>6709.93</v>
      </c>
    </row>
    <row r="44" spans="1:10" ht="24" customHeight="1">
      <c r="A44" s="51">
        <v>4</v>
      </c>
      <c r="B44" t="s">
        <v>494</v>
      </c>
      <c r="C44" t="s">
        <v>364</v>
      </c>
      <c r="D44">
        <f>Data!V681</f>
        <v>5960</v>
      </c>
      <c r="F44">
        <f t="shared" si="0"/>
        <v>23840</v>
      </c>
    </row>
    <row r="45" spans="1:10" ht="24" customHeight="1">
      <c r="A45" s="51">
        <v>40</v>
      </c>
      <c r="B45" t="s">
        <v>1591</v>
      </c>
      <c r="C45" t="s">
        <v>3904</v>
      </c>
      <c r="D45">
        <f>Data!V682</f>
        <v>42.8</v>
      </c>
      <c r="F45">
        <f t="shared" si="0"/>
        <v>1712</v>
      </c>
    </row>
    <row r="46" spans="1:10" ht="24" customHeight="1">
      <c r="A46" s="51">
        <v>3.5</v>
      </c>
      <c r="B46" t="s">
        <v>1375</v>
      </c>
      <c r="C46" t="s">
        <v>435</v>
      </c>
      <c r="D46">
        <f>Data!V683</f>
        <v>804</v>
      </c>
      <c r="F46">
        <f>D46*A46</f>
        <v>2814</v>
      </c>
    </row>
    <row r="47" spans="1:10" ht="24" customHeight="1">
      <c r="A47" s="51">
        <v>21.2</v>
      </c>
      <c r="B47" t="s">
        <v>1375</v>
      </c>
      <c r="C47" t="s">
        <v>3414</v>
      </c>
      <c r="D47">
        <f>Data!V684</f>
        <v>562</v>
      </c>
      <c r="F47">
        <f t="shared" si="0"/>
        <v>11914.4</v>
      </c>
    </row>
    <row r="48" spans="1:10" ht="24" customHeight="1">
      <c r="A48" s="51">
        <v>35.299999999999997</v>
      </c>
      <c r="B48" t="s">
        <v>1375</v>
      </c>
      <c r="C48" t="s">
        <v>3415</v>
      </c>
      <c r="D48">
        <f>Data!V685</f>
        <v>461</v>
      </c>
      <c r="F48">
        <f t="shared" si="0"/>
        <v>16273.3</v>
      </c>
    </row>
    <row r="49" spans="1:8" ht="24" customHeight="1">
      <c r="A49" s="51"/>
      <c r="C49" s="37" t="s">
        <v>3899</v>
      </c>
      <c r="D49">
        <f>Data!V686</f>
        <v>0</v>
      </c>
      <c r="F49" s="37">
        <f>SUM(F41:F48)</f>
        <v>75468.38</v>
      </c>
    </row>
    <row r="50" spans="1:8" ht="24" customHeight="1">
      <c r="A50" s="51"/>
      <c r="C50" s="37" t="s">
        <v>3900</v>
      </c>
      <c r="D50">
        <f>Data!V687</f>
        <v>0</v>
      </c>
      <c r="F50" s="37">
        <f>F49/10</f>
        <v>7546.84</v>
      </c>
      <c r="G50">
        <f>F50</f>
        <v>7546.84</v>
      </c>
    </row>
    <row r="51" spans="1:8" ht="24" customHeight="1">
      <c r="A51" s="51">
        <v>1</v>
      </c>
      <c r="B51" t="s">
        <v>1289</v>
      </c>
      <c r="C51" t="s">
        <v>3416</v>
      </c>
      <c r="D51">
        <f>Data!V688</f>
        <v>81.3</v>
      </c>
      <c r="F51">
        <f>D51</f>
        <v>81.3</v>
      </c>
    </row>
    <row r="52" spans="1:8" ht="24" customHeight="1">
      <c r="A52" s="51"/>
      <c r="C52" t="s">
        <v>3901</v>
      </c>
      <c r="F52" s="37">
        <f>SUM(F50:F51)</f>
        <v>7628.14</v>
      </c>
      <c r="G52">
        <f>SUM(G50:G51)</f>
        <v>7546.84</v>
      </c>
    </row>
    <row r="53" spans="1:8">
      <c r="A53" s="420" t="s">
        <v>625</v>
      </c>
      <c r="C53" t="s">
        <v>3902</v>
      </c>
      <c r="D53" s="420" t="s">
        <v>625</v>
      </c>
      <c r="F53">
        <f>F52*0.5%</f>
        <v>38.14</v>
      </c>
      <c r="G53">
        <f>G52*0.5/100</f>
        <v>37.729999999999997</v>
      </c>
    </row>
    <row r="54" spans="1:8" ht="47.25">
      <c r="A54" s="51"/>
      <c r="B54" s="3"/>
      <c r="C54" s="37" t="s">
        <v>3523</v>
      </c>
      <c r="E54" s="11"/>
      <c r="F54" s="39">
        <f>SUM(F52:F53)</f>
        <v>7666.28</v>
      </c>
      <c r="G54" s="37">
        <f>SUM(G52:G53)</f>
        <v>7584.57</v>
      </c>
      <c r="H54" s="412" t="s">
        <v>3913</v>
      </c>
    </row>
    <row r="55" spans="1:8">
      <c r="A55" s="51"/>
      <c r="B55" s="3"/>
      <c r="E55" s="11"/>
      <c r="F55" s="5" t="s">
        <v>1530</v>
      </c>
    </row>
    <row r="56" spans="1:8">
      <c r="A56" s="51"/>
      <c r="B56" s="3"/>
      <c r="C56" s="1" t="s">
        <v>361</v>
      </c>
      <c r="E56" s="11"/>
      <c r="F56" s="39">
        <f>F54+Data!C23</f>
        <v>7869.78</v>
      </c>
    </row>
    <row r="57" spans="1:8">
      <c r="A57" s="51"/>
      <c r="B57" s="3"/>
      <c r="C57" s="1" t="s">
        <v>363</v>
      </c>
      <c r="E57" s="11"/>
      <c r="F57" s="670"/>
    </row>
    <row r="58" spans="1:8">
      <c r="A58" s="51"/>
      <c r="B58" s="3"/>
      <c r="C58" s="1" t="s">
        <v>2149</v>
      </c>
      <c r="E58" s="11"/>
      <c r="F58" s="39">
        <f>F56+Data!C25</f>
        <v>7951.08</v>
      </c>
    </row>
    <row r="59" spans="1:8">
      <c r="A59" s="51"/>
      <c r="B59" s="3"/>
      <c r="C59" s="1" t="s">
        <v>355</v>
      </c>
      <c r="E59" s="11"/>
      <c r="F59" s="39"/>
    </row>
    <row r="60" spans="1:8">
      <c r="A60" s="51"/>
      <c r="B60" s="3"/>
      <c r="C60" s="1" t="s">
        <v>1477</v>
      </c>
      <c r="E60" s="11"/>
      <c r="F60" s="39">
        <f>F58+Data!C27</f>
        <v>7980.58</v>
      </c>
    </row>
    <row r="61" spans="1:8" ht="17.25">
      <c r="A61" s="597"/>
      <c r="B61" s="597"/>
      <c r="C61" s="597"/>
      <c r="E61" s="597"/>
      <c r="F61" s="597"/>
      <c r="G61" s="597"/>
    </row>
    <row r="62" spans="1:8" ht="7.5" customHeight="1">
      <c r="A62" s="597"/>
      <c r="B62" s="597"/>
      <c r="C62" s="597"/>
      <c r="E62" s="597"/>
      <c r="F62" s="597"/>
      <c r="G62" s="597"/>
    </row>
    <row r="63" spans="1:8" ht="17.25" hidden="1">
      <c r="A63" s="597"/>
      <c r="B63" s="597"/>
      <c r="C63" s="597"/>
      <c r="E63" s="597"/>
      <c r="F63" s="597"/>
      <c r="G63" s="597"/>
    </row>
    <row r="64" spans="1:8" ht="17.25" hidden="1">
      <c r="A64" s="597"/>
      <c r="B64" s="597"/>
      <c r="C64" s="597"/>
      <c r="E64" s="597"/>
      <c r="F64" s="597"/>
      <c r="G64" s="597"/>
    </row>
    <row r="65" spans="1:7" ht="17.25">
      <c r="A65" s="1459" t="s">
        <v>3877</v>
      </c>
      <c r="B65" s="1459"/>
      <c r="C65" s="1459"/>
      <c r="D65" s="1459"/>
      <c r="E65" s="1459"/>
      <c r="F65" s="1459"/>
    </row>
    <row r="66" spans="1:7" ht="17.25">
      <c r="A66" s="1459" t="s">
        <v>3876</v>
      </c>
      <c r="B66" s="1459"/>
      <c r="C66" s="1459"/>
      <c r="D66" s="1459"/>
      <c r="E66" s="1459"/>
      <c r="F66" s="1459"/>
    </row>
    <row r="67" spans="1:7" ht="17.25">
      <c r="A67" s="1460" t="s">
        <v>4033</v>
      </c>
      <c r="B67" s="1460"/>
      <c r="C67" s="1460"/>
      <c r="D67" s="1460"/>
      <c r="E67" s="1460"/>
      <c r="F67" s="1460"/>
    </row>
    <row r="68" spans="1:7" ht="17.25">
      <c r="A68" s="1461" t="s">
        <v>3875</v>
      </c>
      <c r="B68" s="1461"/>
      <c r="C68" s="1461"/>
      <c r="D68" s="1461"/>
      <c r="E68" s="1461"/>
      <c r="F68" s="597"/>
    </row>
    <row r="69" spans="1:7" ht="17.25">
      <c r="A69" s="597"/>
      <c r="B69" s="597"/>
      <c r="C69" s="597"/>
      <c r="D69" s="597"/>
      <c r="E69" s="597"/>
      <c r="F69" s="597"/>
    </row>
    <row r="70" spans="1:7" ht="19.5">
      <c r="B70" s="615"/>
      <c r="C70" s="1462" t="s">
        <v>4034</v>
      </c>
      <c r="D70" s="1462"/>
      <c r="E70" s="1462"/>
      <c r="F70" s="615"/>
      <c r="G70" s="4" t="s">
        <v>2070</v>
      </c>
    </row>
    <row r="71" spans="1:7" ht="20.25">
      <c r="A71" s="614"/>
      <c r="B71" s="1458" t="s">
        <v>4035</v>
      </c>
      <c r="C71" s="1458"/>
      <c r="D71" s="1458"/>
      <c r="E71" s="1458"/>
      <c r="F71" s="1458"/>
      <c r="G71" s="51">
        <f>3.14*0.45*0.45*8/4</f>
        <v>1.272</v>
      </c>
    </row>
    <row r="72" spans="1:7" ht="39" customHeight="1">
      <c r="A72" s="606"/>
      <c r="B72" s="606"/>
      <c r="C72" s="810" t="s">
        <v>4040</v>
      </c>
      <c r="D72" s="606"/>
      <c r="E72" s="606"/>
      <c r="F72" s="606"/>
    </row>
    <row r="73" spans="1:7" ht="28.5" customHeight="1">
      <c r="A73" s="608">
        <f>G71</f>
        <v>1.272</v>
      </c>
      <c r="B73" s="606" t="s">
        <v>2070</v>
      </c>
      <c r="C73" s="606" t="s">
        <v>3908</v>
      </c>
      <c r="D73" s="597"/>
      <c r="E73" s="607">
        <f>G54</f>
        <v>7584.57</v>
      </c>
      <c r="F73" s="607">
        <f>A73*E73</f>
        <v>9647.57</v>
      </c>
    </row>
    <row r="74" spans="1:7" ht="28.5" customHeight="1">
      <c r="A74" s="612">
        <f>A73*10/100</f>
        <v>0.12720000000000001</v>
      </c>
      <c r="B74" s="606" t="s">
        <v>494</v>
      </c>
      <c r="C74" s="606" t="s">
        <v>3870</v>
      </c>
      <c r="D74" s="597"/>
      <c r="E74" s="607">
        <v>4000</v>
      </c>
      <c r="F74" s="607">
        <f>A74*E74</f>
        <v>508.8</v>
      </c>
    </row>
    <row r="75" spans="1:7" ht="28.5" customHeight="1">
      <c r="A75" s="607">
        <v>8</v>
      </c>
      <c r="B75" s="606" t="s">
        <v>794</v>
      </c>
      <c r="C75" s="606" t="s">
        <v>2568</v>
      </c>
      <c r="D75" s="597"/>
      <c r="E75" s="607">
        <v>960</v>
      </c>
      <c r="F75" s="607">
        <f>A75*E75</f>
        <v>7680</v>
      </c>
    </row>
    <row r="76" spans="1:7" ht="17.25">
      <c r="A76" s="606"/>
      <c r="B76" s="606"/>
      <c r="C76" s="606"/>
      <c r="D76" s="597"/>
      <c r="E76" s="606"/>
      <c r="F76" s="606"/>
    </row>
    <row r="77" spans="1:7" ht="17.25">
      <c r="A77" s="606"/>
      <c r="B77" s="606"/>
      <c r="C77" s="606" t="s">
        <v>3869</v>
      </c>
      <c r="D77" s="597"/>
      <c r="E77" s="606"/>
      <c r="F77" s="607">
        <f>SUM(F73:F76)</f>
        <v>17836.37</v>
      </c>
    </row>
    <row r="78" spans="1:7" ht="17.25">
      <c r="A78" s="606"/>
      <c r="B78" s="606"/>
      <c r="C78" s="606" t="s">
        <v>1585</v>
      </c>
      <c r="D78" s="597"/>
      <c r="E78" s="606"/>
      <c r="F78" s="607">
        <f>F77/7</f>
        <v>2548.0500000000002</v>
      </c>
    </row>
    <row r="79" spans="1:7" ht="17.25">
      <c r="A79" s="606"/>
      <c r="B79" s="606"/>
      <c r="C79" s="606" t="s">
        <v>3868</v>
      </c>
      <c r="D79" s="597"/>
      <c r="E79" s="606"/>
      <c r="F79" s="606">
        <f>1000/8</f>
        <v>125</v>
      </c>
    </row>
    <row r="80" spans="1:7" ht="17.25">
      <c r="A80" s="606"/>
      <c r="B80" s="606"/>
      <c r="C80" s="606"/>
      <c r="D80" s="597"/>
      <c r="E80" s="606"/>
      <c r="F80" s="606"/>
    </row>
    <row r="81" spans="1:7" ht="17.25">
      <c r="A81" s="606"/>
      <c r="B81" s="606"/>
      <c r="C81" s="606" t="s">
        <v>1585</v>
      </c>
      <c r="D81" s="597"/>
      <c r="E81" s="606"/>
      <c r="F81" s="605">
        <f>SUM(F78:F80)</f>
        <v>2673.05</v>
      </c>
    </row>
    <row r="82" spans="1:7" ht="17.25">
      <c r="A82" s="606"/>
      <c r="B82" s="606"/>
      <c r="C82" s="606" t="s">
        <v>3867</v>
      </c>
      <c r="D82" s="606"/>
      <c r="E82" s="606"/>
      <c r="F82" s="606"/>
    </row>
    <row r="83" spans="1:7" ht="17.25">
      <c r="A83" s="606"/>
      <c r="B83" s="606"/>
      <c r="C83" s="606"/>
      <c r="D83" s="606"/>
      <c r="E83" s="606"/>
      <c r="F83" s="606"/>
    </row>
    <row r="84" spans="1:7" ht="17.25">
      <c r="A84" s="606"/>
      <c r="B84" s="606"/>
      <c r="C84" s="606"/>
      <c r="D84" s="606"/>
      <c r="E84" s="606"/>
      <c r="F84" s="606"/>
    </row>
    <row r="85" spans="1:7" ht="17.25">
      <c r="A85" s="611"/>
      <c r="B85" s="611"/>
      <c r="C85" s="1463" t="s">
        <v>3866</v>
      </c>
      <c r="D85" s="1463"/>
      <c r="E85" s="1463"/>
      <c r="F85" s="611"/>
      <c r="G85" s="37"/>
    </row>
    <row r="86" spans="1:7" ht="20.25">
      <c r="A86" s="610"/>
      <c r="B86" s="1458" t="s">
        <v>4036</v>
      </c>
      <c r="C86" s="1458"/>
      <c r="D86" s="1458"/>
      <c r="E86" s="1458"/>
      <c r="F86" s="1458"/>
      <c r="G86" s="51">
        <f>3.14*0.45*0.45/4</f>
        <v>0.159</v>
      </c>
    </row>
    <row r="87" spans="1:7" ht="17.25">
      <c r="A87" s="606"/>
      <c r="B87" s="606"/>
      <c r="C87" s="609" t="s">
        <v>3864</v>
      </c>
      <c r="D87" s="606"/>
      <c r="E87" s="606"/>
      <c r="F87" s="606"/>
    </row>
    <row r="88" spans="1:7" ht="17.25">
      <c r="A88" s="608">
        <f>G86</f>
        <v>0.159</v>
      </c>
      <c r="B88" s="606" t="s">
        <v>2070</v>
      </c>
      <c r="C88" s="606" t="s">
        <v>3863</v>
      </c>
      <c r="D88" s="597"/>
      <c r="E88" s="607">
        <f>E24</f>
        <v>3820</v>
      </c>
      <c r="F88" s="607">
        <f>A88*E88</f>
        <v>607.38</v>
      </c>
    </row>
    <row r="89" spans="1:7" ht="17.25">
      <c r="A89" s="608">
        <f>+A88</f>
        <v>0.159</v>
      </c>
      <c r="B89" s="606" t="s">
        <v>2070</v>
      </c>
      <c r="C89" s="1464" t="s">
        <v>4220</v>
      </c>
      <c r="D89" s="1464"/>
      <c r="E89" s="607">
        <f>9.62*5</f>
        <v>48.1</v>
      </c>
      <c r="F89" s="607">
        <f>E89*A89</f>
        <v>7.65</v>
      </c>
    </row>
    <row r="90" spans="1:7" ht="17.25">
      <c r="A90" s="608">
        <f>+A89</f>
        <v>0.159</v>
      </c>
      <c r="B90" s="606" t="s">
        <v>2070</v>
      </c>
      <c r="C90" s="606" t="s">
        <v>4221</v>
      </c>
      <c r="D90" s="597"/>
      <c r="E90" s="607">
        <v>30.1</v>
      </c>
      <c r="F90" s="607">
        <f>A90*E90</f>
        <v>4.79</v>
      </c>
    </row>
    <row r="91" spans="1:7" ht="17.25">
      <c r="A91" s="607"/>
      <c r="B91" s="606"/>
      <c r="C91" s="606"/>
      <c r="D91" s="597"/>
      <c r="E91" s="607"/>
      <c r="F91" s="607"/>
    </row>
    <row r="92" spans="1:7" ht="17.25">
      <c r="A92" s="606"/>
      <c r="B92" s="606"/>
      <c r="C92" s="606" t="s">
        <v>1585</v>
      </c>
      <c r="D92" s="597"/>
      <c r="E92" s="606"/>
      <c r="F92" s="605">
        <f>SUM(F88:F91)</f>
        <v>619.82000000000005</v>
      </c>
    </row>
    <row r="93" spans="1:7" ht="17.25">
      <c r="A93" s="597"/>
      <c r="B93" s="597"/>
      <c r="C93" s="597"/>
      <c r="D93" s="597"/>
      <c r="E93" s="597"/>
      <c r="F93" s="597"/>
    </row>
    <row r="94" spans="1:7" ht="17.25">
      <c r="B94" s="604"/>
      <c r="C94" s="1465" t="s">
        <v>3861</v>
      </c>
      <c r="D94" s="1465"/>
      <c r="E94" s="1465"/>
      <c r="F94" s="604"/>
    </row>
    <row r="95" spans="1:7" ht="17.25">
      <c r="A95" s="597"/>
      <c r="B95" s="597"/>
      <c r="C95" s="597"/>
      <c r="D95" s="597"/>
      <c r="E95" s="597"/>
      <c r="F95" s="597"/>
    </row>
    <row r="96" spans="1:7" ht="34.5">
      <c r="A96" s="600" t="s">
        <v>3859</v>
      </c>
      <c r="B96" s="600">
        <v>3</v>
      </c>
      <c r="C96" s="603" t="s">
        <v>3860</v>
      </c>
      <c r="E96" s="600">
        <v>9.6199999999999992</v>
      </c>
      <c r="F96" s="600" t="s">
        <v>1289</v>
      </c>
      <c r="G96" s="600">
        <f>E96*B96</f>
        <v>28.86</v>
      </c>
    </row>
    <row r="97" spans="1:7" ht="17.25">
      <c r="A97" s="600" t="s">
        <v>3859</v>
      </c>
      <c r="B97" s="600">
        <v>3</v>
      </c>
      <c r="C97" s="602" t="s">
        <v>3858</v>
      </c>
      <c r="E97" s="600">
        <f>E90</f>
        <v>30.1</v>
      </c>
      <c r="F97" s="600" t="s">
        <v>1289</v>
      </c>
      <c r="G97" s="600">
        <f>E97*B97</f>
        <v>90.3</v>
      </c>
    </row>
    <row r="98" spans="1:7" ht="17.25">
      <c r="A98" s="600"/>
      <c r="B98" s="600"/>
      <c r="C98" s="601"/>
      <c r="E98" s="600"/>
      <c r="F98" s="600"/>
      <c r="G98" s="600"/>
    </row>
    <row r="99" spans="1:7" ht="17.25">
      <c r="A99" s="600"/>
      <c r="B99" s="600"/>
      <c r="C99" s="601" t="s">
        <v>3857</v>
      </c>
      <c r="E99" s="600"/>
      <c r="F99" s="600"/>
      <c r="G99" s="599">
        <f>SUM(G96:G98)</f>
        <v>119.16</v>
      </c>
    </row>
    <row r="100" spans="1:7" ht="17.25">
      <c r="A100" s="597"/>
      <c r="B100" s="597"/>
      <c r="C100" s="597"/>
      <c r="E100" s="597"/>
      <c r="F100" s="597"/>
      <c r="G100" s="597"/>
    </row>
    <row r="101" spans="1:7" ht="23.25" hidden="1" customHeight="1">
      <c r="A101" s="597"/>
      <c r="B101" s="597"/>
      <c r="C101" s="597"/>
      <c r="E101" s="597"/>
      <c r="F101" s="597"/>
      <c r="G101" s="597"/>
    </row>
    <row r="102" spans="1:7" ht="23.25" hidden="1" customHeight="1">
      <c r="A102" s="597"/>
      <c r="B102" s="597"/>
      <c r="C102" s="597"/>
      <c r="E102" s="597"/>
      <c r="F102" s="597"/>
      <c r="G102" s="597"/>
    </row>
    <row r="103" spans="1:7" ht="29.25" hidden="1" customHeight="1">
      <c r="A103" s="51"/>
      <c r="B103" s="37">
        <v>4.2</v>
      </c>
      <c r="C103" s="37" t="s">
        <v>3886</v>
      </c>
    </row>
    <row r="104" spans="1:7" ht="30" hidden="1" customHeight="1">
      <c r="A104" s="51">
        <v>5</v>
      </c>
      <c r="B104" t="s">
        <v>1289</v>
      </c>
      <c r="C104" t="s">
        <v>3895</v>
      </c>
      <c r="D104">
        <f>D41</f>
        <v>1581.38</v>
      </c>
      <c r="F104">
        <f>D104*A104</f>
        <v>7906.9</v>
      </c>
    </row>
    <row r="105" spans="1:7" ht="30" hidden="1" customHeight="1">
      <c r="A105" s="51">
        <v>3.3</v>
      </c>
      <c r="B105" t="s">
        <v>1289</v>
      </c>
      <c r="C105" t="s">
        <v>3896</v>
      </c>
      <c r="D105">
        <f t="shared" ref="D105:D116" si="1">D42</f>
        <v>1302.3800000000001</v>
      </c>
      <c r="F105">
        <f t="shared" ref="F105:F111" si="2">D105*A105</f>
        <v>4297.8500000000004</v>
      </c>
    </row>
    <row r="106" spans="1:7" ht="30" hidden="1" customHeight="1">
      <c r="A106" s="51">
        <v>4.79</v>
      </c>
      <c r="B106" t="s">
        <v>1289</v>
      </c>
      <c r="C106" t="s">
        <v>3897</v>
      </c>
      <c r="D106">
        <f t="shared" si="1"/>
        <v>1400.82</v>
      </c>
      <c r="F106">
        <f t="shared" si="2"/>
        <v>6709.93</v>
      </c>
    </row>
    <row r="107" spans="1:7" ht="30" hidden="1" customHeight="1">
      <c r="A107" s="51">
        <v>4</v>
      </c>
      <c r="B107" t="s">
        <v>494</v>
      </c>
      <c r="C107" t="s">
        <v>364</v>
      </c>
      <c r="D107">
        <f t="shared" si="1"/>
        <v>5960</v>
      </c>
      <c r="F107">
        <f t="shared" si="2"/>
        <v>23840</v>
      </c>
    </row>
    <row r="108" spans="1:7" ht="30" hidden="1" customHeight="1">
      <c r="A108" s="51">
        <v>40</v>
      </c>
      <c r="B108" t="s">
        <v>1591</v>
      </c>
      <c r="C108" t="s">
        <v>3904</v>
      </c>
      <c r="D108">
        <f t="shared" si="1"/>
        <v>42.8</v>
      </c>
      <c r="F108">
        <f t="shared" si="2"/>
        <v>1712</v>
      </c>
    </row>
    <row r="109" spans="1:7" ht="30" hidden="1" customHeight="1">
      <c r="A109" s="51">
        <v>3.5</v>
      </c>
      <c r="B109" t="s">
        <v>1375</v>
      </c>
      <c r="C109" t="s">
        <v>435</v>
      </c>
      <c r="D109">
        <f t="shared" si="1"/>
        <v>804</v>
      </c>
      <c r="F109">
        <f>D109*A109</f>
        <v>2814</v>
      </c>
    </row>
    <row r="110" spans="1:7" ht="30" hidden="1" customHeight="1">
      <c r="A110" s="51">
        <v>21.2</v>
      </c>
      <c r="B110" t="s">
        <v>1375</v>
      </c>
      <c r="C110" t="s">
        <v>3414</v>
      </c>
      <c r="D110">
        <f t="shared" si="1"/>
        <v>562</v>
      </c>
      <c r="F110">
        <f t="shared" si="2"/>
        <v>11914.4</v>
      </c>
    </row>
    <row r="111" spans="1:7" ht="30" hidden="1" customHeight="1">
      <c r="A111" s="51">
        <v>35.299999999999997</v>
      </c>
      <c r="B111" t="s">
        <v>1375</v>
      </c>
      <c r="C111" t="s">
        <v>3415</v>
      </c>
      <c r="D111">
        <f t="shared" si="1"/>
        <v>461</v>
      </c>
      <c r="F111">
        <f t="shared" si="2"/>
        <v>16273.3</v>
      </c>
    </row>
    <row r="112" spans="1:7" ht="30" hidden="1" customHeight="1">
      <c r="A112" s="51"/>
      <c r="C112" s="37" t="s">
        <v>3899</v>
      </c>
      <c r="D112">
        <f t="shared" si="1"/>
        <v>0</v>
      </c>
      <c r="F112" s="37">
        <f>SUM(F104:F111)</f>
        <v>75468.38</v>
      </c>
    </row>
    <row r="113" spans="1:7" ht="30" hidden="1" customHeight="1">
      <c r="A113" s="51"/>
      <c r="C113" s="37" t="s">
        <v>3900</v>
      </c>
      <c r="D113">
        <f t="shared" si="1"/>
        <v>0</v>
      </c>
      <c r="F113" s="37">
        <f>F112/10</f>
        <v>7546.84</v>
      </c>
      <c r="G113">
        <f>F113</f>
        <v>7546.84</v>
      </c>
    </row>
    <row r="114" spans="1:7" ht="30" hidden="1" customHeight="1">
      <c r="A114" s="51">
        <v>1</v>
      </c>
      <c r="B114" t="s">
        <v>1289</v>
      </c>
      <c r="C114" t="s">
        <v>3416</v>
      </c>
      <c r="D114">
        <f t="shared" si="1"/>
        <v>81.3</v>
      </c>
      <c r="F114">
        <f>D114</f>
        <v>81.3</v>
      </c>
    </row>
    <row r="115" spans="1:7" ht="30" hidden="1" customHeight="1">
      <c r="A115" s="51"/>
      <c r="C115" t="s">
        <v>3901</v>
      </c>
      <c r="D115">
        <f t="shared" si="1"/>
        <v>0</v>
      </c>
      <c r="F115" s="37">
        <f>SUM(F113:F114)</f>
        <v>7628.14</v>
      </c>
      <c r="G115">
        <f>SUM(G113:G114)</f>
        <v>7546.84</v>
      </c>
    </row>
    <row r="116" spans="1:7" ht="30" hidden="1" customHeight="1">
      <c r="A116" s="420" t="s">
        <v>625</v>
      </c>
      <c r="C116" t="s">
        <v>3902</v>
      </c>
      <c r="D116" t="str">
        <f t="shared" si="1"/>
        <v>LS</v>
      </c>
      <c r="F116">
        <f>F115*0.5%</f>
        <v>38.14</v>
      </c>
      <c r="G116">
        <f>G115*0.5/100</f>
        <v>37.729999999999997</v>
      </c>
    </row>
    <row r="117" spans="1:7" ht="30" hidden="1" customHeight="1">
      <c r="A117" s="51"/>
      <c r="B117" s="3"/>
      <c r="C117" s="37" t="s">
        <v>3523</v>
      </c>
      <c r="E117" s="11"/>
      <c r="F117" s="39">
        <f>SUM(F115:F116)</f>
        <v>7666.28</v>
      </c>
      <c r="G117" s="37">
        <f>SUM(G115:G116)</f>
        <v>7584.57</v>
      </c>
    </row>
    <row r="118" spans="1:7" ht="17.25" hidden="1">
      <c r="A118" s="597"/>
      <c r="B118" s="597"/>
      <c r="C118" s="597"/>
      <c r="E118" s="597"/>
      <c r="F118" s="597"/>
      <c r="G118" s="597"/>
    </row>
    <row r="119" spans="1:7" ht="17.25" hidden="1">
      <c r="A119" s="597"/>
      <c r="B119" s="597"/>
      <c r="C119" s="597"/>
      <c r="E119" s="597"/>
      <c r="F119" s="597"/>
      <c r="G119" s="597"/>
    </row>
    <row r="120" spans="1:7" ht="17.25" hidden="1">
      <c r="A120" s="597"/>
      <c r="B120" s="597"/>
      <c r="C120" s="597"/>
      <c r="E120" s="597"/>
      <c r="F120" s="597"/>
      <c r="G120" s="597"/>
    </row>
    <row r="121" spans="1:7" ht="17.25" hidden="1">
      <c r="A121" s="597"/>
      <c r="B121" s="597"/>
      <c r="C121" s="597"/>
      <c r="E121" s="597"/>
      <c r="F121" s="597"/>
      <c r="G121" s="598"/>
    </row>
    <row r="122" spans="1:7" ht="17.25" hidden="1">
      <c r="A122" s="597"/>
      <c r="B122" s="597"/>
      <c r="C122" s="597"/>
      <c r="E122" s="597"/>
      <c r="F122" s="597"/>
      <c r="G122" s="597"/>
    </row>
    <row r="123" spans="1:7" ht="17.25" hidden="1">
      <c r="A123" s="597"/>
      <c r="B123" s="597"/>
      <c r="C123" s="597"/>
      <c r="E123" s="597"/>
      <c r="F123" s="597"/>
      <c r="G123" s="597"/>
    </row>
    <row r="124" spans="1:7" ht="17.25" hidden="1">
      <c r="A124" s="597"/>
      <c r="B124" s="597"/>
      <c r="C124" s="597"/>
      <c r="E124" s="597"/>
      <c r="F124" s="597"/>
      <c r="G124" s="597"/>
    </row>
    <row r="125" spans="1:7" ht="17.25">
      <c r="A125" s="1459" t="s">
        <v>3877</v>
      </c>
      <c r="B125" s="1459"/>
      <c r="C125" s="1459"/>
      <c r="D125" s="1459"/>
      <c r="E125" s="1459"/>
      <c r="F125" s="1459"/>
    </row>
    <row r="126" spans="1:7" ht="17.25">
      <c r="A126" s="1459" t="s">
        <v>3876</v>
      </c>
      <c r="B126" s="1459"/>
      <c r="C126" s="1459"/>
      <c r="D126" s="1459"/>
      <c r="E126" s="1459"/>
      <c r="F126" s="1459"/>
    </row>
    <row r="127" spans="1:7" ht="17.25">
      <c r="A127" s="1460" t="s">
        <v>4033</v>
      </c>
      <c r="B127" s="1460"/>
      <c r="C127" s="1460"/>
      <c r="D127" s="1460"/>
      <c r="E127" s="1460"/>
      <c r="F127" s="1460"/>
    </row>
    <row r="128" spans="1:7" ht="17.25">
      <c r="A128" s="1461" t="s">
        <v>3875</v>
      </c>
      <c r="B128" s="1461"/>
      <c r="C128" s="1461"/>
      <c r="D128" s="1461"/>
      <c r="E128" s="1461"/>
      <c r="F128" s="597"/>
    </row>
    <row r="129" spans="1:7" ht="17.25">
      <c r="A129" s="597"/>
      <c r="B129" s="597"/>
      <c r="C129" s="597"/>
      <c r="D129" s="597"/>
      <c r="E129" s="597"/>
      <c r="F129" s="597"/>
    </row>
    <row r="130" spans="1:7" ht="19.5">
      <c r="B130" s="615"/>
      <c r="C130" s="1462" t="s">
        <v>4037</v>
      </c>
      <c r="D130" s="1462"/>
      <c r="E130" s="1462"/>
      <c r="F130" s="615"/>
      <c r="G130" s="4" t="s">
        <v>2070</v>
      </c>
    </row>
    <row r="131" spans="1:7" ht="20.25">
      <c r="A131" s="614"/>
      <c r="B131" s="1458" t="s">
        <v>4038</v>
      </c>
      <c r="C131" s="1458"/>
      <c r="D131" s="1458"/>
      <c r="E131" s="1458"/>
      <c r="F131" s="1458"/>
      <c r="G131" s="51">
        <f>3.14*0.4*0.4*8/4</f>
        <v>1.0049999999999999</v>
      </c>
    </row>
    <row r="132" spans="1:7" ht="39.75" customHeight="1">
      <c r="A132" s="606"/>
      <c r="B132" s="606"/>
      <c r="C132" s="810" t="s">
        <v>4041</v>
      </c>
      <c r="D132" s="606"/>
      <c r="E132" s="606"/>
      <c r="F132" s="606"/>
    </row>
    <row r="133" spans="1:7" ht="17.25">
      <c r="A133" s="608">
        <f>G131</f>
        <v>1.0049999999999999</v>
      </c>
      <c r="B133" s="606" t="s">
        <v>2070</v>
      </c>
      <c r="C133" s="606" t="s">
        <v>3871</v>
      </c>
      <c r="D133" s="597"/>
      <c r="E133" s="607">
        <f>G117</f>
        <v>7584.57</v>
      </c>
      <c r="F133" s="607">
        <f>A133*E133</f>
        <v>7622.49</v>
      </c>
    </row>
    <row r="134" spans="1:7" ht="17.25">
      <c r="A134" s="612">
        <f>A133*10/100</f>
        <v>0.10050000000000001</v>
      </c>
      <c r="B134" s="606" t="s">
        <v>494</v>
      </c>
      <c r="C134" s="606" t="s">
        <v>3870</v>
      </c>
      <c r="D134" s="597"/>
      <c r="E134" s="607">
        <v>4000</v>
      </c>
      <c r="F134" s="607">
        <f>A134*E134</f>
        <v>402</v>
      </c>
    </row>
    <row r="135" spans="1:7" ht="17.25">
      <c r="A135" s="607">
        <v>8</v>
      </c>
      <c r="B135" s="606" t="s">
        <v>794</v>
      </c>
      <c r="C135" s="606" t="s">
        <v>2568</v>
      </c>
      <c r="D135" s="597"/>
      <c r="E135" s="607">
        <v>960</v>
      </c>
      <c r="F135" s="607">
        <f>A135*E135</f>
        <v>7680</v>
      </c>
    </row>
    <row r="136" spans="1:7" ht="17.25">
      <c r="A136" s="606"/>
      <c r="B136" s="606"/>
      <c r="C136" s="606"/>
      <c r="D136" s="597"/>
      <c r="E136" s="606"/>
      <c r="F136" s="606"/>
    </row>
    <row r="137" spans="1:7" ht="17.25">
      <c r="A137" s="606"/>
      <c r="B137" s="606"/>
      <c r="C137" s="606" t="s">
        <v>3869</v>
      </c>
      <c r="D137" s="597"/>
      <c r="E137" s="606"/>
      <c r="F137" s="607">
        <f>SUM(F133:F136)</f>
        <v>15704.49</v>
      </c>
    </row>
    <row r="138" spans="1:7" ht="17.25">
      <c r="A138" s="606"/>
      <c r="B138" s="606"/>
      <c r="C138" s="606" t="s">
        <v>1585</v>
      </c>
      <c r="D138" s="597"/>
      <c r="E138" s="606"/>
      <c r="F138" s="607">
        <f>F137/7</f>
        <v>2243.5</v>
      </c>
    </row>
    <row r="139" spans="1:7" ht="17.25">
      <c r="A139" s="606"/>
      <c r="B139" s="606"/>
      <c r="C139" s="606" t="s">
        <v>3868</v>
      </c>
      <c r="D139" s="597"/>
      <c r="E139" s="606"/>
      <c r="F139" s="606">
        <f>1000/8</f>
        <v>125</v>
      </c>
    </row>
    <row r="140" spans="1:7" ht="17.25">
      <c r="A140" s="606"/>
      <c r="B140" s="606"/>
      <c r="C140" s="606"/>
      <c r="D140" s="597"/>
      <c r="E140" s="606"/>
      <c r="F140" s="606"/>
    </row>
    <row r="141" spans="1:7" ht="17.25">
      <c r="A141" s="606"/>
      <c r="B141" s="606"/>
      <c r="C141" s="606" t="s">
        <v>1585</v>
      </c>
      <c r="D141" s="597"/>
      <c r="E141" s="606"/>
      <c r="F141" s="605">
        <f>SUM(F138:F140)</f>
        <v>2368.5</v>
      </c>
    </row>
    <row r="142" spans="1:7" ht="17.25">
      <c r="A142" s="606"/>
      <c r="B142" s="606"/>
      <c r="C142" s="606" t="s">
        <v>3867</v>
      </c>
      <c r="D142" s="606"/>
      <c r="E142" s="606"/>
      <c r="F142" s="606"/>
    </row>
    <row r="143" spans="1:7" ht="17.25">
      <c r="A143" s="606"/>
      <c r="B143" s="606"/>
      <c r="C143" s="606"/>
      <c r="D143" s="606"/>
      <c r="E143" s="606"/>
      <c r="F143" s="606"/>
    </row>
    <row r="144" spans="1:7" ht="17.25">
      <c r="A144" s="606"/>
      <c r="B144" s="606"/>
      <c r="C144" s="606"/>
      <c r="D144" s="606"/>
      <c r="E144" s="606"/>
      <c r="F144" s="606"/>
    </row>
    <row r="145" spans="1:7" ht="17.25">
      <c r="A145" s="611"/>
      <c r="B145" s="611"/>
      <c r="C145" s="1463" t="s">
        <v>3866</v>
      </c>
      <c r="D145" s="1463"/>
      <c r="E145" s="1463"/>
      <c r="F145" s="611"/>
      <c r="G145" s="37"/>
    </row>
    <row r="146" spans="1:7" ht="20.25">
      <c r="A146" s="610"/>
      <c r="B146" s="1458" t="s">
        <v>4039</v>
      </c>
      <c r="C146" s="1458"/>
      <c r="D146" s="1458"/>
      <c r="E146" s="1458"/>
      <c r="F146" s="1458"/>
      <c r="G146" s="51">
        <f>3.14*0.4*0.4/4</f>
        <v>0.126</v>
      </c>
    </row>
    <row r="147" spans="1:7" ht="17.25">
      <c r="A147" s="606"/>
      <c r="B147" s="606"/>
      <c r="C147" s="609" t="s">
        <v>4042</v>
      </c>
      <c r="D147" s="606"/>
      <c r="E147" s="606"/>
      <c r="F147" s="606"/>
    </row>
    <row r="148" spans="1:7" ht="17.25">
      <c r="A148" s="608">
        <f>G146</f>
        <v>0.126</v>
      </c>
      <c r="B148" s="606" t="s">
        <v>2070</v>
      </c>
      <c r="C148" s="606" t="s">
        <v>3863</v>
      </c>
      <c r="D148" s="597"/>
      <c r="E148" s="607">
        <f>E88</f>
        <v>3820</v>
      </c>
      <c r="F148" s="607">
        <f>A148*E148</f>
        <v>481.32</v>
      </c>
    </row>
    <row r="149" spans="1:7" ht="17.25">
      <c r="A149" s="608">
        <f>+A148</f>
        <v>0.126</v>
      </c>
      <c r="B149" s="606" t="s">
        <v>2070</v>
      </c>
      <c r="C149" s="1464" t="s">
        <v>3862</v>
      </c>
      <c r="D149" s="1464"/>
      <c r="E149" s="607">
        <f>E89</f>
        <v>48.1</v>
      </c>
      <c r="F149" s="607">
        <f>E149*A149</f>
        <v>6.06</v>
      </c>
    </row>
    <row r="150" spans="1:7" ht="17.25">
      <c r="A150" s="608">
        <f>+A149</f>
        <v>0.126</v>
      </c>
      <c r="B150" s="606" t="s">
        <v>2070</v>
      </c>
      <c r="C150" s="606" t="s">
        <v>3858</v>
      </c>
      <c r="D150" s="597"/>
      <c r="E150" s="607">
        <f>E90</f>
        <v>30.1</v>
      </c>
      <c r="F150" s="607">
        <f>A150*E150</f>
        <v>3.79</v>
      </c>
    </row>
    <row r="151" spans="1:7" ht="17.25">
      <c r="A151" s="607"/>
      <c r="B151" s="606"/>
      <c r="C151" s="606"/>
      <c r="D151" s="597"/>
      <c r="E151" s="607"/>
      <c r="F151" s="607"/>
    </row>
    <row r="152" spans="1:7" ht="17.25">
      <c r="A152" s="606"/>
      <c r="B152" s="606"/>
      <c r="C152" s="606" t="s">
        <v>1585</v>
      </c>
      <c r="D152" s="597"/>
      <c r="E152" s="606"/>
      <c r="F152" s="605">
        <f>SUM(F148:F151)</f>
        <v>491.17</v>
      </c>
    </row>
    <row r="153" spans="1:7" ht="17.25">
      <c r="A153" s="597"/>
      <c r="B153" s="597"/>
      <c r="C153" s="597"/>
      <c r="D153" s="597"/>
      <c r="E153" s="597"/>
      <c r="F153" s="597"/>
    </row>
    <row r="154" spans="1:7" ht="17.25">
      <c r="B154" s="604"/>
      <c r="C154" s="1465" t="s">
        <v>3861</v>
      </c>
      <c r="D154" s="1465"/>
      <c r="E154" s="1465"/>
      <c r="F154" s="604"/>
    </row>
    <row r="155" spans="1:7" ht="17.25">
      <c r="A155" s="597"/>
      <c r="B155" s="597"/>
      <c r="C155" s="597"/>
      <c r="D155" s="597"/>
      <c r="E155" s="597"/>
      <c r="F155" s="597"/>
    </row>
    <row r="156" spans="1:7" ht="34.5">
      <c r="A156" s="600" t="s">
        <v>3859</v>
      </c>
      <c r="B156" s="600">
        <v>3</v>
      </c>
      <c r="C156" s="603" t="s">
        <v>3860</v>
      </c>
      <c r="E156" s="600">
        <f>E96</f>
        <v>9.6199999999999992</v>
      </c>
      <c r="F156" s="600" t="s">
        <v>1289</v>
      </c>
      <c r="G156" s="600">
        <f>E156*B156</f>
        <v>28.86</v>
      </c>
    </row>
    <row r="157" spans="1:7" ht="17.25">
      <c r="A157" s="600" t="s">
        <v>3859</v>
      </c>
      <c r="B157" s="600">
        <v>3</v>
      </c>
      <c r="C157" s="602" t="s">
        <v>3858</v>
      </c>
      <c r="E157" s="600">
        <f>E97</f>
        <v>30.1</v>
      </c>
      <c r="F157" s="600" t="s">
        <v>1289</v>
      </c>
      <c r="G157" s="600">
        <f>E157*B157</f>
        <v>90.3</v>
      </c>
    </row>
    <row r="158" spans="1:7" ht="17.25">
      <c r="A158" s="600"/>
      <c r="B158" s="600"/>
      <c r="C158" s="601"/>
      <c r="E158" s="600"/>
      <c r="F158" s="600"/>
      <c r="G158" s="600"/>
    </row>
    <row r="159" spans="1:7" ht="17.25">
      <c r="A159" s="600"/>
      <c r="B159" s="600"/>
      <c r="C159" s="601" t="s">
        <v>3857</v>
      </c>
      <c r="E159" s="600"/>
      <c r="F159" s="600"/>
      <c r="G159" s="599">
        <f>SUM(G156:G158)</f>
        <v>119.16</v>
      </c>
    </row>
    <row r="160" spans="1:7" ht="17.25">
      <c r="A160" s="597"/>
      <c r="B160" s="597"/>
      <c r="C160" s="597"/>
      <c r="E160" s="597"/>
      <c r="F160" s="597"/>
      <c r="G160" s="597"/>
    </row>
    <row r="161" spans="1:7" ht="17.25">
      <c r="A161" s="597"/>
      <c r="B161" s="597"/>
      <c r="C161" s="597"/>
      <c r="E161" s="597"/>
      <c r="F161" s="597"/>
      <c r="G161" s="597"/>
    </row>
    <row r="162" spans="1:7">
      <c r="A162" s="25"/>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9"/>
      <c r="B169" s="408"/>
      <c r="C169" s="34"/>
    </row>
    <row r="170" spans="1:7">
      <c r="A170" s="8"/>
      <c r="B170" s="7"/>
      <c r="C170" s="1"/>
    </row>
    <row r="171" spans="1:7">
      <c r="A171" s="8"/>
      <c r="B171" s="7"/>
      <c r="C171" s="1"/>
    </row>
    <row r="172" spans="1:7">
      <c r="B172" s="7"/>
      <c r="C172" s="1"/>
    </row>
    <row r="173" spans="1:7">
      <c r="C173" s="1"/>
    </row>
    <row r="175" spans="1:7">
      <c r="C175" s="1"/>
      <c r="F175" s="37"/>
    </row>
    <row r="177" spans="1:6">
      <c r="B177" s="3"/>
      <c r="E177" s="11"/>
      <c r="F177" s="5"/>
    </row>
    <row r="178" spans="1:6">
      <c r="B178" s="3"/>
      <c r="C178" s="59"/>
      <c r="D178" s="37"/>
      <c r="E178" s="99"/>
      <c r="F178" s="39"/>
    </row>
    <row r="179" spans="1:6">
      <c r="B179" s="3"/>
      <c r="C179" s="1"/>
      <c r="E179" s="11"/>
      <c r="F179" s="5"/>
    </row>
    <row r="184" spans="1:6">
      <c r="A184" s="21"/>
      <c r="B184" s="7"/>
      <c r="C184" s="34"/>
      <c r="E184" s="11"/>
    </row>
    <row r="185" spans="1:6">
      <c r="A185" s="51"/>
      <c r="B185" s="3"/>
      <c r="C185" s="1"/>
      <c r="E185" s="11"/>
    </row>
    <row r="186" spans="1:6">
      <c r="A186" s="51"/>
      <c r="B186" s="3"/>
      <c r="C186" s="1"/>
      <c r="E186" s="11"/>
    </row>
    <row r="187" spans="1:6">
      <c r="A187" s="51"/>
      <c r="B187" s="3"/>
      <c r="C187" s="1"/>
      <c r="E187" s="11"/>
    </row>
    <row r="188" spans="1:6">
      <c r="A188" s="51"/>
      <c r="B188" s="3"/>
      <c r="C188" s="1"/>
      <c r="E188" s="11"/>
    </row>
    <row r="189" spans="1:6">
      <c r="A189" s="51"/>
      <c r="B189" s="3"/>
      <c r="C189" s="1"/>
      <c r="E189" s="11"/>
    </row>
    <row r="190" spans="1:6">
      <c r="A190" s="51"/>
      <c r="B190" s="3"/>
      <c r="C190" s="1"/>
      <c r="E190" s="11"/>
    </row>
    <row r="191" spans="1:6">
      <c r="A191" s="51"/>
      <c r="B191" s="3"/>
      <c r="C191" s="5"/>
      <c r="D191" s="5"/>
      <c r="E191" s="11"/>
    </row>
    <row r="192" spans="1:6">
      <c r="A192" s="51"/>
      <c r="B192" s="7"/>
      <c r="C192" s="1"/>
      <c r="E192" s="11"/>
    </row>
    <row r="193" spans="1:6">
      <c r="A193" s="51"/>
      <c r="B193" s="3"/>
      <c r="C193" s="1"/>
      <c r="E193" s="11"/>
    </row>
    <row r="194" spans="1:6">
      <c r="A194" s="13"/>
      <c r="B194" s="7"/>
      <c r="C194" s="1"/>
      <c r="D194" s="64"/>
      <c r="E194" s="1"/>
      <c r="F194" s="8"/>
    </row>
    <row r="195" spans="1:6">
      <c r="A195" s="13"/>
      <c r="B195" s="7"/>
      <c r="C195" s="1"/>
      <c r="D195" s="64"/>
      <c r="E195" s="1"/>
      <c r="F195" s="8"/>
    </row>
    <row r="196" spans="1:6">
      <c r="A196" s="13"/>
      <c r="B196" s="7"/>
      <c r="C196" s="1"/>
      <c r="D196" s="64"/>
      <c r="E196" s="1"/>
      <c r="F196" s="8"/>
    </row>
    <row r="197" spans="1:6">
      <c r="A197" s="51"/>
      <c r="B197" s="7"/>
      <c r="C197" s="1"/>
      <c r="D197" s="64"/>
      <c r="E197" s="1"/>
      <c r="F197" s="8"/>
    </row>
    <row r="198" spans="1:6">
      <c r="A198" s="51"/>
      <c r="B198" s="3"/>
      <c r="C198" s="1"/>
      <c r="E198" s="11"/>
      <c r="F198" s="5"/>
    </row>
    <row r="199" spans="1:6">
      <c r="A199" s="51"/>
      <c r="B199" s="3"/>
      <c r="C199" s="2"/>
      <c r="E199" s="11"/>
      <c r="F199" s="8"/>
    </row>
    <row r="200" spans="1:6">
      <c r="A200" s="51"/>
      <c r="B200" s="3"/>
      <c r="E200" s="11"/>
      <c r="F200" s="5"/>
    </row>
    <row r="201" spans="1:6">
      <c r="A201" s="51"/>
      <c r="B201" s="3"/>
      <c r="C201" s="2"/>
      <c r="E201" s="11"/>
      <c r="F201" s="8"/>
    </row>
    <row r="202" spans="1:6">
      <c r="A202" s="51"/>
      <c r="B202" s="3"/>
      <c r="C202" s="1"/>
      <c r="D202" s="8"/>
      <c r="E202" s="1"/>
      <c r="F202" s="39"/>
    </row>
    <row r="203" spans="1:6">
      <c r="A203" s="51"/>
      <c r="B203" s="3"/>
      <c r="C203" s="1"/>
      <c r="D203" s="8"/>
      <c r="E203" s="1"/>
      <c r="F203" s="39"/>
    </row>
    <row r="204" spans="1:6">
      <c r="A204" s="51"/>
      <c r="B204" s="3"/>
      <c r="C204" s="1"/>
      <c r="D204" s="8"/>
      <c r="E204" s="1"/>
      <c r="F204" s="39"/>
    </row>
    <row r="205" spans="1:6">
      <c r="A205" s="51"/>
      <c r="B205" s="3"/>
      <c r="C205" s="1"/>
      <c r="D205" s="8"/>
      <c r="E205" s="1"/>
      <c r="F205" s="39"/>
    </row>
    <row r="206" spans="1:6">
      <c r="A206" s="51"/>
      <c r="B206" s="3"/>
      <c r="C206" s="1"/>
      <c r="D206" s="8"/>
      <c r="E206" s="1"/>
      <c r="F206" s="39"/>
    </row>
    <row r="207" spans="1:6">
      <c r="A207" s="21"/>
      <c r="B207" s="7"/>
      <c r="C207" s="1"/>
      <c r="E207" s="11"/>
      <c r="F207" s="39"/>
    </row>
    <row r="208" spans="1:6">
      <c r="A208" s="51"/>
    </row>
    <row r="209" spans="1:13">
      <c r="A209" s="51"/>
    </row>
    <row r="210" spans="1:13">
      <c r="A210" s="51"/>
    </row>
    <row r="212" spans="1:13">
      <c r="J212" s="37"/>
    </row>
    <row r="213" spans="1:13">
      <c r="J213" s="37"/>
    </row>
    <row r="217" spans="1:13">
      <c r="D217" s="435"/>
    </row>
    <row r="218" spans="1:13">
      <c r="D218" s="435"/>
    </row>
    <row r="219" spans="1:13">
      <c r="M219" s="37"/>
    </row>
    <row r="221" spans="1:13">
      <c r="C221" s="459"/>
      <c r="E221" s="459"/>
      <c r="F221" s="459"/>
      <c r="J221" s="459"/>
      <c r="L221" s="564"/>
      <c r="M221" s="564"/>
    </row>
    <row r="222" spans="1:13">
      <c r="C222" s="459"/>
      <c r="D222" s="37"/>
      <c r="E222" s="563"/>
      <c r="F222" s="563"/>
      <c r="J222" s="563"/>
      <c r="K222" s="37"/>
      <c r="L222" s="37"/>
      <c r="M222" s="37"/>
    </row>
    <row r="223" spans="1:13">
      <c r="C223" s="563"/>
      <c r="E223" s="459"/>
      <c r="F223" s="459"/>
      <c r="J223" s="459"/>
      <c r="L223" s="459"/>
      <c r="M223" s="459"/>
    </row>
    <row r="224" spans="1:13">
      <c r="C224" s="459"/>
      <c r="E224" s="459"/>
      <c r="F224" s="459"/>
      <c r="L224" s="459"/>
      <c r="M224" s="459"/>
    </row>
    <row r="225" spans="3:13">
      <c r="C225" s="459"/>
      <c r="J225" s="459"/>
      <c r="L225" s="37"/>
      <c r="M225" s="37"/>
    </row>
    <row r="226" spans="3:13">
      <c r="C226" s="459"/>
      <c r="D226" s="459"/>
      <c r="E226" s="459"/>
      <c r="F226" s="459"/>
    </row>
  </sheetData>
  <mergeCells count="30">
    <mergeCell ref="C154:E154"/>
    <mergeCell ref="C89:D89"/>
    <mergeCell ref="C94:E94"/>
    <mergeCell ref="A125:F125"/>
    <mergeCell ref="A126:F126"/>
    <mergeCell ref="A127:F127"/>
    <mergeCell ref="A128:E128"/>
    <mergeCell ref="C130:E130"/>
    <mergeCell ref="B131:F131"/>
    <mergeCell ref="C145:E145"/>
    <mergeCell ref="B146:F146"/>
    <mergeCell ref="C149:D149"/>
    <mergeCell ref="B86:F86"/>
    <mergeCell ref="C21:E21"/>
    <mergeCell ref="B22:F22"/>
    <mergeCell ref="C25:D25"/>
    <mergeCell ref="C30:E30"/>
    <mergeCell ref="A65:F65"/>
    <mergeCell ref="A66:F66"/>
    <mergeCell ref="A67:F67"/>
    <mergeCell ref="A68:E68"/>
    <mergeCell ref="C70:E70"/>
    <mergeCell ref="B71:F71"/>
    <mergeCell ref="C85:E85"/>
    <mergeCell ref="B7:F7"/>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filterMode="1"/>
  <dimension ref="A1:P1216"/>
  <sheetViews>
    <sheetView showZeros="0" view="pageBreakPreview" topLeftCell="A775" zoomScale="79" zoomScaleSheetLayoutView="79" workbookViewId="0">
      <selection activeCell="M39" sqref="M39"/>
    </sheetView>
  </sheetViews>
  <sheetFormatPr defaultRowHeight="45" customHeight="1"/>
  <cols>
    <col min="1" max="1" width="6.44140625" style="724" customWidth="1"/>
    <col min="2" max="2" width="8.6640625" style="858" customWidth="1"/>
    <col min="3" max="3" width="41" style="859" customWidth="1"/>
    <col min="4" max="4" width="11.88671875" style="725" customWidth="1"/>
    <col min="5" max="5" width="6.21875" style="724" customWidth="1"/>
    <col min="6" max="6" width="14" style="725" customWidth="1"/>
    <col min="7" max="16384" width="8.88671875" style="724"/>
  </cols>
  <sheetData>
    <row r="1" spans="1:16" ht="31.5" customHeight="1">
      <c r="A1" s="1467" t="s">
        <v>4608</v>
      </c>
      <c r="B1" s="1468"/>
      <c r="C1" s="1469"/>
      <c r="D1" s="1470"/>
      <c r="E1" s="1467"/>
      <c r="F1" s="1470"/>
    </row>
    <row r="2" spans="1:16" ht="18.75" customHeight="1">
      <c r="A2" s="1467" t="s">
        <v>4156</v>
      </c>
      <c r="B2" s="1468"/>
      <c r="C2" s="1469"/>
      <c r="D2" s="1470"/>
      <c r="E2" s="1467"/>
      <c r="F2" s="1470"/>
      <c r="G2" s="730"/>
      <c r="H2" s="730"/>
      <c r="I2" s="730"/>
      <c r="J2" s="730"/>
      <c r="K2" s="730"/>
      <c r="L2" s="730"/>
      <c r="M2" s="730"/>
      <c r="N2" s="730"/>
      <c r="O2" s="730"/>
      <c r="P2" s="730"/>
    </row>
    <row r="3" spans="1:16" ht="45" customHeight="1">
      <c r="A3" s="1471" t="str">
        <f>building!A1</f>
        <v>N/W : Construction of District office building for Tamilnadu Pollution Control Board at Theni in Theni district.</v>
      </c>
      <c r="B3" s="1472"/>
      <c r="C3" s="1473"/>
      <c r="D3" s="1474"/>
      <c r="E3" s="1471"/>
      <c r="F3" s="1474"/>
      <c r="G3" s="730"/>
      <c r="H3" s="730"/>
      <c r="I3" s="730"/>
      <c r="J3" s="730"/>
      <c r="K3" s="730"/>
      <c r="L3" s="730"/>
      <c r="M3" s="730"/>
      <c r="N3" s="730"/>
      <c r="O3" s="730"/>
      <c r="P3" s="730"/>
    </row>
    <row r="4" spans="1:16" s="728" customFormat="1" ht="46.5" customHeight="1">
      <c r="A4" s="843" t="s">
        <v>218</v>
      </c>
      <c r="B4" s="844" t="s">
        <v>2033</v>
      </c>
      <c r="C4" s="894" t="s">
        <v>1720</v>
      </c>
      <c r="D4" s="845" t="s">
        <v>95</v>
      </c>
      <c r="E4" s="843" t="s">
        <v>216</v>
      </c>
      <c r="F4" s="843" t="s">
        <v>4948</v>
      </c>
      <c r="G4" s="1466"/>
      <c r="H4" s="1466"/>
      <c r="I4" s="1466"/>
      <c r="J4" s="1466"/>
      <c r="K4" s="1466"/>
      <c r="L4" s="1466"/>
      <c r="M4" s="1466"/>
      <c r="N4" s="1466"/>
      <c r="O4" s="1466"/>
      <c r="P4" s="1466"/>
    </row>
    <row r="5" spans="1:16" s="728" customFormat="1" ht="25.5" customHeight="1">
      <c r="A5" s="845"/>
      <c r="B5" s="846"/>
      <c r="C5" s="847"/>
      <c r="D5" s="848"/>
      <c r="E5" s="843"/>
      <c r="F5" s="848"/>
      <c r="G5" s="729"/>
      <c r="H5" s="729"/>
      <c r="I5" s="729"/>
      <c r="J5" s="729"/>
      <c r="K5" s="729"/>
      <c r="L5" s="729"/>
      <c r="M5" s="729"/>
      <c r="N5" s="729"/>
      <c r="O5" s="729"/>
      <c r="P5" s="729"/>
    </row>
    <row r="6" spans="1:16" ht="38.450000000000003" customHeight="1">
      <c r="A6" s="849">
        <f>building!A5</f>
        <v>1.1000000000000001</v>
      </c>
      <c r="B6" s="850" t="str">
        <f>building!Y5</f>
        <v>*</v>
      </c>
      <c r="C6" s="851" t="str">
        <f>building!B5</f>
        <v>Earth work excavation in all soils (including refilling)</v>
      </c>
      <c r="D6" s="852">
        <f>building!C5</f>
        <v>0</v>
      </c>
      <c r="E6" s="853" t="str">
        <f>building!D5</f>
        <v xml:space="preserve"> </v>
      </c>
      <c r="F6" s="854" t="str">
        <f>'[1]Building+Dev( Main)'!AD5</f>
        <v>*</v>
      </c>
      <c r="G6" s="727"/>
      <c r="H6" s="727"/>
      <c r="I6" s="727"/>
      <c r="J6" s="727"/>
      <c r="K6" s="727"/>
      <c r="L6" s="727"/>
      <c r="M6" s="727"/>
      <c r="N6" s="727"/>
      <c r="O6" s="727"/>
      <c r="P6" s="727"/>
    </row>
    <row r="7" spans="1:16" ht="39" customHeight="1">
      <c r="A7" s="849">
        <f>building!A6</f>
        <v>0</v>
      </c>
      <c r="B7" s="855">
        <f>building!Y6</f>
        <v>538.1</v>
      </c>
      <c r="C7" s="856" t="str">
        <f>building!B6</f>
        <v>a. 0 to 2 mt.</v>
      </c>
      <c r="D7" s="852">
        <f>building!C6</f>
        <v>204.4</v>
      </c>
      <c r="E7" s="853" t="str">
        <f>building!D6</f>
        <v>Cum.</v>
      </c>
      <c r="F7" s="852">
        <f>D7*B7</f>
        <v>109987.64</v>
      </c>
      <c r="G7" s="727"/>
      <c r="H7" s="727"/>
      <c r="I7" s="727"/>
      <c r="J7" s="727"/>
      <c r="K7" s="727"/>
      <c r="L7" s="727"/>
      <c r="M7" s="727"/>
      <c r="N7" s="727"/>
      <c r="O7" s="727"/>
      <c r="P7" s="727"/>
    </row>
    <row r="8" spans="1:16" s="726" customFormat="1" ht="28.5" customHeight="1">
      <c r="A8" s="849">
        <f>building!A7</f>
        <v>0</v>
      </c>
      <c r="B8" s="855">
        <f>building!Y7</f>
        <v>0</v>
      </c>
      <c r="C8" s="856" t="str">
        <f>building!B7</f>
        <v>b. 2 to 3 mt.</v>
      </c>
      <c r="D8" s="852">
        <f>building!C7</f>
        <v>213.7</v>
      </c>
      <c r="E8" s="853" t="str">
        <f>building!D7</f>
        <v>Cum.</v>
      </c>
      <c r="F8" s="852">
        <f t="shared" ref="F8:F71" si="0">D8*B8</f>
        <v>0</v>
      </c>
    </row>
    <row r="9" spans="1:16" ht="15.75" hidden="1">
      <c r="A9" s="849" t="e">
        <f>building!#REF!</f>
        <v>#REF!</v>
      </c>
      <c r="B9" s="855" t="e">
        <f>building!#REF!</f>
        <v>#REF!</v>
      </c>
      <c r="C9" s="856" t="e">
        <f>building!#REF!</f>
        <v>#REF!</v>
      </c>
      <c r="D9" s="852" t="e">
        <f>building!#REF!</f>
        <v>#REF!</v>
      </c>
      <c r="E9" s="853" t="e">
        <f>building!#REF!</f>
        <v>#REF!</v>
      </c>
      <c r="F9" s="852" t="e">
        <f t="shared" si="0"/>
        <v>#REF!</v>
      </c>
    </row>
    <row r="10" spans="1:16" ht="15.75" hidden="1">
      <c r="A10" s="849" t="e">
        <f>building!#REF!</f>
        <v>#REF!</v>
      </c>
      <c r="B10" s="855" t="e">
        <f>building!#REF!</f>
        <v>#REF!</v>
      </c>
      <c r="C10" s="856" t="e">
        <f>building!#REF!</f>
        <v>#REF!</v>
      </c>
      <c r="D10" s="852" t="e">
        <f>building!#REF!</f>
        <v>#REF!</v>
      </c>
      <c r="E10" s="853" t="e">
        <f>building!#REF!</f>
        <v>#REF!</v>
      </c>
      <c r="F10" s="852" t="e">
        <f t="shared" si="0"/>
        <v>#REF!</v>
      </c>
    </row>
    <row r="11" spans="1:16" s="726" customFormat="1" ht="17.25" hidden="1">
      <c r="A11" s="849" t="e">
        <f>building!#REF!</f>
        <v>#REF!</v>
      </c>
      <c r="B11" s="855" t="e">
        <f>building!#REF!</f>
        <v>#REF!</v>
      </c>
      <c r="C11" s="856" t="e">
        <f>building!#REF!</f>
        <v>#REF!</v>
      </c>
      <c r="D11" s="852" t="e">
        <f>building!#REF!</f>
        <v>#REF!</v>
      </c>
      <c r="E11" s="853" t="e">
        <f>building!#REF!</f>
        <v>#REF!</v>
      </c>
      <c r="F11" s="852" t="e">
        <f t="shared" si="0"/>
        <v>#REF!</v>
      </c>
    </row>
    <row r="12" spans="1:16" s="726" customFormat="1" ht="45.75" hidden="1" customHeight="1">
      <c r="A12" s="849" t="e">
        <f>building!#REF!</f>
        <v>#REF!</v>
      </c>
      <c r="B12" s="855" t="e">
        <f>building!#REF!</f>
        <v>#REF!</v>
      </c>
      <c r="C12" s="856" t="e">
        <f>building!#REF!</f>
        <v>#REF!</v>
      </c>
      <c r="D12" s="852" t="e">
        <f>building!#REF!</f>
        <v>#REF!</v>
      </c>
      <c r="E12" s="853" t="e">
        <f>building!#REF!</f>
        <v>#REF!</v>
      </c>
      <c r="F12" s="852" t="e">
        <f t="shared" si="0"/>
        <v>#REF!</v>
      </c>
    </row>
    <row r="13" spans="1:16" s="726" customFormat="1" ht="28.9" hidden="1" customHeight="1">
      <c r="A13" s="849" t="e">
        <f>building!#REF!</f>
        <v>#REF!</v>
      </c>
      <c r="B13" s="855" t="e">
        <f>building!#REF!</f>
        <v>#REF!</v>
      </c>
      <c r="C13" s="856" t="e">
        <f>building!#REF!</f>
        <v>#REF!</v>
      </c>
      <c r="D13" s="852" t="e">
        <f>building!#REF!</f>
        <v>#REF!</v>
      </c>
      <c r="E13" s="853" t="e">
        <f>building!#REF!</f>
        <v>#REF!</v>
      </c>
      <c r="F13" s="852" t="e">
        <f t="shared" si="0"/>
        <v>#REF!</v>
      </c>
    </row>
    <row r="14" spans="1:16" s="726" customFormat="1" ht="33" hidden="1" customHeight="1">
      <c r="A14" s="849" t="e">
        <f>building!#REF!</f>
        <v>#REF!</v>
      </c>
      <c r="B14" s="855" t="e">
        <f>building!#REF!</f>
        <v>#REF!</v>
      </c>
      <c r="C14" s="856" t="e">
        <f>building!#REF!</f>
        <v>#REF!</v>
      </c>
      <c r="D14" s="852" t="e">
        <f>building!#REF!</f>
        <v>#REF!</v>
      </c>
      <c r="E14" s="853" t="e">
        <f>building!#REF!</f>
        <v>#REF!</v>
      </c>
      <c r="F14" s="852" t="e">
        <f t="shared" si="0"/>
        <v>#REF!</v>
      </c>
    </row>
    <row r="15" spans="1:16" s="726" customFormat="1" ht="17.25" hidden="1">
      <c r="A15" s="849" t="e">
        <f>building!#REF!</f>
        <v>#REF!</v>
      </c>
      <c r="B15" s="855" t="e">
        <f>building!#REF!</f>
        <v>#REF!</v>
      </c>
      <c r="C15" s="856" t="e">
        <f>building!#REF!</f>
        <v>#REF!</v>
      </c>
      <c r="D15" s="852" t="e">
        <f>building!#REF!</f>
        <v>#REF!</v>
      </c>
      <c r="E15" s="853" t="e">
        <f>building!#REF!</f>
        <v>#REF!</v>
      </c>
      <c r="F15" s="852" t="e">
        <f t="shared" si="0"/>
        <v>#REF!</v>
      </c>
    </row>
    <row r="16" spans="1:16" s="726" customFormat="1" ht="17.25" hidden="1">
      <c r="A16" s="849" t="e">
        <f>building!#REF!</f>
        <v>#REF!</v>
      </c>
      <c r="B16" s="855" t="e">
        <f>building!#REF!</f>
        <v>#REF!</v>
      </c>
      <c r="C16" s="856" t="e">
        <f>building!#REF!</f>
        <v>#REF!</v>
      </c>
      <c r="D16" s="852" t="e">
        <f>building!#REF!</f>
        <v>#REF!</v>
      </c>
      <c r="E16" s="853" t="e">
        <f>building!#REF!</f>
        <v>#REF!</v>
      </c>
      <c r="F16" s="852" t="e">
        <f t="shared" si="0"/>
        <v>#REF!</v>
      </c>
    </row>
    <row r="17" spans="1:6" s="726" customFormat="1" ht="17.25" hidden="1">
      <c r="A17" s="849" t="e">
        <f>building!#REF!</f>
        <v>#REF!</v>
      </c>
      <c r="B17" s="855" t="e">
        <f>building!#REF!</f>
        <v>#REF!</v>
      </c>
      <c r="C17" s="856" t="e">
        <f>building!#REF!</f>
        <v>#REF!</v>
      </c>
      <c r="D17" s="852" t="e">
        <f>building!#REF!</f>
        <v>#REF!</v>
      </c>
      <c r="E17" s="853" t="e">
        <f>building!#REF!</f>
        <v>#REF!</v>
      </c>
      <c r="F17" s="852" t="e">
        <f t="shared" si="0"/>
        <v>#REF!</v>
      </c>
    </row>
    <row r="18" spans="1:6" s="726" customFormat="1" ht="44.45" customHeight="1">
      <c r="A18" s="849">
        <f>building!A8</f>
        <v>1.5</v>
      </c>
      <c r="B18" s="850">
        <f>building!Y8</f>
        <v>0</v>
      </c>
      <c r="C18" s="851" t="str">
        <f>building!B8</f>
        <v>Earth work excavation for Open foundation (excluding refilling)</v>
      </c>
      <c r="D18" s="852">
        <f>building!C8</f>
        <v>0</v>
      </c>
      <c r="E18" s="853" t="str">
        <f>building!D8</f>
        <v xml:space="preserve"> </v>
      </c>
      <c r="F18" s="852"/>
    </row>
    <row r="19" spans="1:6" s="726" customFormat="1" ht="33" customHeight="1">
      <c r="A19" s="849">
        <f>building!A9</f>
        <v>0</v>
      </c>
      <c r="B19" s="855">
        <f>building!Y9</f>
        <v>135.4</v>
      </c>
      <c r="C19" s="856" t="str">
        <f>building!B9</f>
        <v>a. 0 to 2 mt.</v>
      </c>
      <c r="D19" s="852">
        <f>building!C9</f>
        <v>96.6</v>
      </c>
      <c r="E19" s="853" t="str">
        <f>building!D9</f>
        <v>Cum.</v>
      </c>
      <c r="F19" s="852">
        <f t="shared" si="0"/>
        <v>13079.64</v>
      </c>
    </row>
    <row r="20" spans="1:6" ht="24.75" customHeight="1">
      <c r="A20" s="849">
        <f>building!A10</f>
        <v>0</v>
      </c>
      <c r="B20" s="855">
        <f>building!Y10</f>
        <v>0</v>
      </c>
      <c r="C20" s="856" t="str">
        <f>building!B10</f>
        <v>b. 2 to 3 mt.</v>
      </c>
      <c r="D20" s="852">
        <f>building!C10</f>
        <v>105.9</v>
      </c>
      <c r="E20" s="853" t="str">
        <f>building!D10</f>
        <v>Cum.</v>
      </c>
      <c r="F20" s="852">
        <f t="shared" si="0"/>
        <v>0</v>
      </c>
    </row>
    <row r="21" spans="1:6" ht="15.75" hidden="1">
      <c r="A21" s="849" t="e">
        <f>building!#REF!</f>
        <v>#REF!</v>
      </c>
      <c r="B21" s="855" t="e">
        <f>building!#REF!</f>
        <v>#REF!</v>
      </c>
      <c r="C21" s="856" t="e">
        <f>building!#REF!</f>
        <v>#REF!</v>
      </c>
      <c r="D21" s="852" t="e">
        <f>building!#REF!</f>
        <v>#REF!</v>
      </c>
      <c r="E21" s="853" t="e">
        <f>building!#REF!</f>
        <v>#REF!</v>
      </c>
      <c r="F21" s="852" t="e">
        <f t="shared" si="0"/>
        <v>#REF!</v>
      </c>
    </row>
    <row r="22" spans="1:6" s="726" customFormat="1" ht="17.25" hidden="1">
      <c r="A22" s="849" t="e">
        <f>building!#REF!</f>
        <v>#REF!</v>
      </c>
      <c r="B22" s="855" t="e">
        <f>building!#REF!</f>
        <v>#REF!</v>
      </c>
      <c r="C22" s="856" t="e">
        <f>building!#REF!</f>
        <v>#REF!</v>
      </c>
      <c r="D22" s="852" t="e">
        <f>building!#REF!</f>
        <v>#REF!</v>
      </c>
      <c r="E22" s="853" t="e">
        <f>building!#REF!</f>
        <v>#REF!</v>
      </c>
      <c r="F22" s="852" t="e">
        <f t="shared" si="0"/>
        <v>#REF!</v>
      </c>
    </row>
    <row r="23" spans="1:6" ht="37.5" hidden="1" customHeight="1">
      <c r="A23" s="849">
        <f>building!A11</f>
        <v>1.6</v>
      </c>
      <c r="B23" s="855">
        <f>building!Y11</f>
        <v>0</v>
      </c>
      <c r="C23" s="856" t="str">
        <f>building!B11</f>
        <v>Earth work excavation for Open foundation  for drains (excluding refilling) width  upto 1.25 m</v>
      </c>
      <c r="D23" s="852">
        <f>building!C11</f>
        <v>0</v>
      </c>
      <c r="E23" s="853">
        <f>building!D11</f>
        <v>0</v>
      </c>
      <c r="F23" s="852">
        <f t="shared" si="0"/>
        <v>0</v>
      </c>
    </row>
    <row r="24" spans="1:6" ht="30" hidden="1" customHeight="1">
      <c r="A24" s="849">
        <f>building!A12</f>
        <v>0</v>
      </c>
      <c r="B24" s="855">
        <f>building!Y12</f>
        <v>22.5</v>
      </c>
      <c r="C24" s="856" t="str">
        <f>building!B12</f>
        <v>a. 0 to 2 mt.</v>
      </c>
      <c r="D24" s="852">
        <f>building!C12</f>
        <v>144.9</v>
      </c>
      <c r="E24" s="853" t="str">
        <f>building!D12</f>
        <v>Cum.</v>
      </c>
      <c r="F24" s="852">
        <f t="shared" si="0"/>
        <v>3260.25</v>
      </c>
    </row>
    <row r="25" spans="1:6" s="726" customFormat="1" ht="22.5" hidden="1" customHeight="1">
      <c r="A25" s="849">
        <f>building!A13</f>
        <v>0</v>
      </c>
      <c r="B25" s="855">
        <f>building!Y13</f>
        <v>0</v>
      </c>
      <c r="C25" s="856" t="str">
        <f>building!B13</f>
        <v>b. 2 to 3 mt.</v>
      </c>
      <c r="D25" s="852">
        <f>building!C13</f>
        <v>154.19999999999999</v>
      </c>
      <c r="E25" s="853" t="str">
        <f>building!D13</f>
        <v>Cum.</v>
      </c>
      <c r="F25" s="852">
        <f t="shared" si="0"/>
        <v>0</v>
      </c>
    </row>
    <row r="26" spans="1:6" s="726" customFormat="1" ht="17.25" hidden="1">
      <c r="A26" s="849" t="e">
        <f>building!#REF!</f>
        <v>#REF!</v>
      </c>
      <c r="B26" s="855" t="e">
        <f>building!#REF!</f>
        <v>#REF!</v>
      </c>
      <c r="C26" s="856" t="e">
        <f>building!#REF!</f>
        <v>#REF!</v>
      </c>
      <c r="D26" s="852" t="e">
        <f>building!#REF!</f>
        <v>#REF!</v>
      </c>
      <c r="E26" s="853" t="e">
        <f>building!#REF!</f>
        <v>#REF!</v>
      </c>
      <c r="F26" s="852" t="e">
        <f t="shared" si="0"/>
        <v>#REF!</v>
      </c>
    </row>
    <row r="27" spans="1:6" s="726" customFormat="1" ht="17.25" hidden="1">
      <c r="A27" s="849" t="e">
        <f>building!#REF!</f>
        <v>#REF!</v>
      </c>
      <c r="B27" s="855" t="e">
        <f>building!#REF!</f>
        <v>#REF!</v>
      </c>
      <c r="C27" s="856" t="e">
        <f>building!#REF!</f>
        <v>#REF!</v>
      </c>
      <c r="D27" s="852" t="e">
        <f>building!#REF!</f>
        <v>#REF!</v>
      </c>
      <c r="E27" s="853" t="e">
        <f>building!#REF!</f>
        <v>#REF!</v>
      </c>
      <c r="F27" s="852" t="e">
        <f t="shared" si="0"/>
        <v>#REF!</v>
      </c>
    </row>
    <row r="28" spans="1:6" ht="15.75" hidden="1">
      <c r="A28" s="849" t="e">
        <f>building!#REF!</f>
        <v>#REF!</v>
      </c>
      <c r="B28" s="855" t="e">
        <f>building!#REF!</f>
        <v>#REF!</v>
      </c>
      <c r="C28" s="856" t="e">
        <f>building!#REF!</f>
        <v>#REF!</v>
      </c>
      <c r="D28" s="852" t="e">
        <f>building!#REF!</f>
        <v>#REF!</v>
      </c>
      <c r="E28" s="853" t="e">
        <f>building!#REF!</f>
        <v>#REF!</v>
      </c>
      <c r="F28" s="852" t="e">
        <f t="shared" si="0"/>
        <v>#REF!</v>
      </c>
    </row>
    <row r="29" spans="1:6" ht="46.9" hidden="1" customHeight="1">
      <c r="A29" s="849" t="e">
        <f>building!#REF!</f>
        <v>#REF!</v>
      </c>
      <c r="B29" s="855" t="e">
        <f>building!#REF!</f>
        <v>#REF!</v>
      </c>
      <c r="C29" s="856" t="e">
        <f>building!#REF!</f>
        <v>#REF!</v>
      </c>
      <c r="D29" s="852" t="e">
        <f>building!#REF!</f>
        <v>#REF!</v>
      </c>
      <c r="E29" s="853" t="e">
        <f>building!#REF!</f>
        <v>#REF!</v>
      </c>
      <c r="F29" s="852" t="e">
        <f t="shared" si="0"/>
        <v>#REF!</v>
      </c>
    </row>
    <row r="30" spans="1:6" s="726" customFormat="1" ht="32.450000000000003" hidden="1" customHeight="1">
      <c r="A30" s="849" t="e">
        <f>building!#REF!</f>
        <v>#REF!</v>
      </c>
      <c r="B30" s="855" t="e">
        <f>building!#REF!</f>
        <v>#REF!</v>
      </c>
      <c r="C30" s="856" t="e">
        <f>building!#REF!</f>
        <v>#REF!</v>
      </c>
      <c r="D30" s="852" t="e">
        <f>building!#REF!</f>
        <v>#REF!</v>
      </c>
      <c r="E30" s="853" t="e">
        <f>building!#REF!</f>
        <v>#REF!</v>
      </c>
      <c r="F30" s="852" t="e">
        <f t="shared" si="0"/>
        <v>#REF!</v>
      </c>
    </row>
    <row r="31" spans="1:6" s="726" customFormat="1" ht="32.450000000000003" hidden="1" customHeight="1">
      <c r="A31" s="849" t="e">
        <f>building!#REF!</f>
        <v>#REF!</v>
      </c>
      <c r="B31" s="855" t="e">
        <f>building!#REF!</f>
        <v>#REF!</v>
      </c>
      <c r="C31" s="856" t="e">
        <f>building!#REF!</f>
        <v>#REF!</v>
      </c>
      <c r="D31" s="852" t="e">
        <f>building!#REF!</f>
        <v>#REF!</v>
      </c>
      <c r="E31" s="853" t="e">
        <f>building!#REF!</f>
        <v>#REF!</v>
      </c>
      <c r="F31" s="852" t="e">
        <f t="shared" si="0"/>
        <v>#REF!</v>
      </c>
    </row>
    <row r="32" spans="1:6" s="726" customFormat="1" ht="17.25" hidden="1">
      <c r="A32" s="849" t="e">
        <f>building!#REF!</f>
        <v>#REF!</v>
      </c>
      <c r="B32" s="855" t="e">
        <f>building!#REF!</f>
        <v>#REF!</v>
      </c>
      <c r="C32" s="856" t="e">
        <f>building!#REF!</f>
        <v>#REF!</v>
      </c>
      <c r="D32" s="852" t="e">
        <f>building!#REF!</f>
        <v>#REF!</v>
      </c>
      <c r="E32" s="853" t="e">
        <f>building!#REF!</f>
        <v>#REF!</v>
      </c>
      <c r="F32" s="852" t="e">
        <f t="shared" si="0"/>
        <v>#REF!</v>
      </c>
    </row>
    <row r="33" spans="1:6" s="726" customFormat="1" ht="17.25" hidden="1">
      <c r="A33" s="849" t="e">
        <f>building!#REF!</f>
        <v>#REF!</v>
      </c>
      <c r="B33" s="855" t="e">
        <f>building!#REF!</f>
        <v>#REF!</v>
      </c>
      <c r="C33" s="856" t="e">
        <f>building!#REF!</f>
        <v>#REF!</v>
      </c>
      <c r="D33" s="852" t="e">
        <f>building!#REF!</f>
        <v>#REF!</v>
      </c>
      <c r="E33" s="853" t="e">
        <f>building!#REF!</f>
        <v>#REF!</v>
      </c>
      <c r="F33" s="852" t="e">
        <f t="shared" si="0"/>
        <v>#REF!</v>
      </c>
    </row>
    <row r="34" spans="1:6" s="726" customFormat="1" ht="17.25" hidden="1">
      <c r="A34" s="849" t="e">
        <f>building!#REF!</f>
        <v>#REF!</v>
      </c>
      <c r="B34" s="855" t="e">
        <f>building!#REF!</f>
        <v>#REF!</v>
      </c>
      <c r="C34" s="856" t="e">
        <f>building!#REF!</f>
        <v>#REF!</v>
      </c>
      <c r="D34" s="852" t="e">
        <f>building!#REF!</f>
        <v>#REF!</v>
      </c>
      <c r="E34" s="853" t="e">
        <f>building!#REF!</f>
        <v>#REF!</v>
      </c>
      <c r="F34" s="852" t="e">
        <f t="shared" si="0"/>
        <v>#REF!</v>
      </c>
    </row>
    <row r="35" spans="1:6" s="726" customFormat="1" ht="17.25" hidden="1">
      <c r="A35" s="849" t="e">
        <f>building!#REF!</f>
        <v>#REF!</v>
      </c>
      <c r="B35" s="855" t="e">
        <f>building!#REF!</f>
        <v>#REF!</v>
      </c>
      <c r="C35" s="856" t="e">
        <f>building!#REF!</f>
        <v>#REF!</v>
      </c>
      <c r="D35" s="852" t="e">
        <f>building!#REF!</f>
        <v>#REF!</v>
      </c>
      <c r="E35" s="853" t="e">
        <f>building!#REF!</f>
        <v>#REF!</v>
      </c>
      <c r="F35" s="852" t="e">
        <f t="shared" si="0"/>
        <v>#REF!</v>
      </c>
    </row>
    <row r="36" spans="1:6" s="726" customFormat="1" ht="17.25" hidden="1">
      <c r="A36" s="849" t="e">
        <f>building!#REF!</f>
        <v>#REF!</v>
      </c>
      <c r="B36" s="855" t="e">
        <f>building!#REF!</f>
        <v>#REF!</v>
      </c>
      <c r="C36" s="856" t="e">
        <f>building!#REF!</f>
        <v>#REF!</v>
      </c>
      <c r="D36" s="852" t="e">
        <f>building!#REF!</f>
        <v>#REF!</v>
      </c>
      <c r="E36" s="853" t="e">
        <f>building!#REF!</f>
        <v>#REF!</v>
      </c>
      <c r="F36" s="852" t="e">
        <f t="shared" si="0"/>
        <v>#REF!</v>
      </c>
    </row>
    <row r="37" spans="1:6" s="726" customFormat="1" ht="17.25" hidden="1">
      <c r="A37" s="849" t="e">
        <f>building!#REF!</f>
        <v>#REF!</v>
      </c>
      <c r="B37" s="855" t="e">
        <f>building!#REF!</f>
        <v>#REF!</v>
      </c>
      <c r="C37" s="856" t="e">
        <f>building!#REF!</f>
        <v>#REF!</v>
      </c>
      <c r="D37" s="852" t="e">
        <f>building!#REF!</f>
        <v>#REF!</v>
      </c>
      <c r="E37" s="853" t="e">
        <f>building!#REF!</f>
        <v>#REF!</v>
      </c>
      <c r="F37" s="852" t="e">
        <f t="shared" si="0"/>
        <v>#REF!</v>
      </c>
    </row>
    <row r="38" spans="1:6" s="726" customFormat="1" ht="17.25" hidden="1">
      <c r="A38" s="849" t="e">
        <f>building!#REF!</f>
        <v>#REF!</v>
      </c>
      <c r="B38" s="855" t="e">
        <f>building!#REF!</f>
        <v>#REF!</v>
      </c>
      <c r="C38" s="856" t="e">
        <f>building!#REF!</f>
        <v>#REF!</v>
      </c>
      <c r="D38" s="852" t="e">
        <f>building!#REF!</f>
        <v>#REF!</v>
      </c>
      <c r="E38" s="853" t="e">
        <f>building!#REF!</f>
        <v>#REF!</v>
      </c>
      <c r="F38" s="852" t="e">
        <f t="shared" si="0"/>
        <v>#REF!</v>
      </c>
    </row>
    <row r="39" spans="1:6" s="726" customFormat="1" ht="32.450000000000003" customHeight="1">
      <c r="A39" s="849">
        <f>building!A14</f>
        <v>2.1</v>
      </c>
      <c r="B39" s="855">
        <f>building!Y14</f>
        <v>228.1</v>
      </c>
      <c r="C39" s="856" t="str">
        <f>building!B14</f>
        <v>Filling sand</v>
      </c>
      <c r="D39" s="852">
        <f>building!C14</f>
        <v>1430.32</v>
      </c>
      <c r="E39" s="853" t="str">
        <f>building!D14</f>
        <v>Cum.</v>
      </c>
      <c r="F39" s="852">
        <f t="shared" si="0"/>
        <v>326255.99</v>
      </c>
    </row>
    <row r="40" spans="1:6" s="726" customFormat="1" ht="22.5" hidden="1" customHeight="1">
      <c r="A40" s="849">
        <f>building!A15</f>
        <v>2.2000000000000002</v>
      </c>
      <c r="B40" s="855">
        <f>building!Y15</f>
        <v>0</v>
      </c>
      <c r="C40" s="856" t="str">
        <f>building!B15</f>
        <v>Sand Gravel Mix</v>
      </c>
      <c r="D40" s="852">
        <f>building!C15</f>
        <v>1350.13</v>
      </c>
      <c r="E40" s="853" t="str">
        <f>building!D15</f>
        <v>Cum.</v>
      </c>
      <c r="F40" s="852">
        <f t="shared" si="0"/>
        <v>0</v>
      </c>
    </row>
    <row r="41" spans="1:6" s="726" customFormat="1" ht="24.75" hidden="1" customHeight="1">
      <c r="A41" s="849">
        <f>building!A16</f>
        <v>2.2999999999999998</v>
      </c>
      <c r="B41" s="855">
        <f>building!Y16</f>
        <v>0</v>
      </c>
      <c r="C41" s="856" t="str">
        <f>building!B16</f>
        <v>Supply and filling of 40 mm Brick jelly</v>
      </c>
      <c r="D41" s="852">
        <f>building!C16</f>
        <v>744.52</v>
      </c>
      <c r="E41" s="853" t="str">
        <f>building!D16</f>
        <v>Cum.</v>
      </c>
      <c r="F41" s="852">
        <f t="shared" si="0"/>
        <v>0</v>
      </c>
    </row>
    <row r="42" spans="1:6" s="726" customFormat="1" ht="24.75" hidden="1" customHeight="1">
      <c r="A42" s="849">
        <f>building!A17</f>
        <v>2.4</v>
      </c>
      <c r="B42" s="855">
        <f>building!Y17</f>
        <v>1055.2</v>
      </c>
      <c r="C42" s="856" t="str">
        <f>building!B17</f>
        <v>Supplying and Laying of inter locking paver block stone 83 mm  tk over base layer sand filling including cost of materials laying and hammering charges etc.</v>
      </c>
      <c r="D42" s="852">
        <f>building!C17</f>
        <v>1159.55</v>
      </c>
      <c r="E42" s="853" t="str">
        <f>building!D17</f>
        <v>Sqm.</v>
      </c>
      <c r="F42" s="852">
        <f t="shared" si="0"/>
        <v>1223557.1599999999</v>
      </c>
    </row>
    <row r="43" spans="1:6" s="726" customFormat="1" ht="17.25" hidden="1">
      <c r="A43" s="849">
        <f>building!A18</f>
        <v>2.5</v>
      </c>
      <c r="B43" s="855">
        <f>building!Y18</f>
        <v>158.30000000000001</v>
      </c>
      <c r="C43" s="856" t="str">
        <f>building!B18</f>
        <v>Supplying and filling with 3 to 10mm HBG Metal</v>
      </c>
      <c r="D43" s="852">
        <f>building!C18</f>
        <v>927.31</v>
      </c>
      <c r="E43" s="853" t="str">
        <f>building!D18</f>
        <v>Cum.</v>
      </c>
      <c r="F43" s="852">
        <f t="shared" si="0"/>
        <v>146793.17000000001</v>
      </c>
    </row>
    <row r="44" spans="1:6" ht="30" hidden="1" customHeight="1">
      <c r="A44" s="849">
        <f>building!A19</f>
        <v>2.6</v>
      </c>
      <c r="B44" s="855">
        <f>building!Y19</f>
        <v>7.2</v>
      </c>
      <c r="C44" s="856" t="str">
        <f>building!B19</f>
        <v>Supply and filling of 40 mm HBSJ</v>
      </c>
      <c r="D44" s="852">
        <f>building!C19</f>
        <v>1211.98</v>
      </c>
      <c r="E44" s="853" t="str">
        <f>building!D19</f>
        <v>Cum.</v>
      </c>
      <c r="F44" s="852">
        <f t="shared" si="0"/>
        <v>8726.26</v>
      </c>
    </row>
    <row r="45" spans="1:6" s="726" customFormat="1" ht="30" hidden="1" customHeight="1">
      <c r="A45" s="849">
        <f>building!A20</f>
        <v>2.7</v>
      </c>
      <c r="B45" s="855">
        <f>building!Y20</f>
        <v>2.4</v>
      </c>
      <c r="C45" s="856" t="str">
        <f>building!B20</f>
        <v>Supply and filling of 20 mm HBSJ</v>
      </c>
      <c r="D45" s="852">
        <f>building!C20</f>
        <v>1614.98</v>
      </c>
      <c r="E45" s="853" t="str">
        <f>building!D20</f>
        <v>Cum.</v>
      </c>
      <c r="F45" s="852">
        <f t="shared" si="0"/>
        <v>3875.95</v>
      </c>
    </row>
    <row r="46" spans="1:6" s="726" customFormat="1" ht="33" customHeight="1">
      <c r="A46" s="849">
        <f>building!A21</f>
        <v>3.1</v>
      </c>
      <c r="B46" s="855">
        <f>building!Y21</f>
        <v>48.2</v>
      </c>
      <c r="C46" s="856" t="str">
        <f>building!B21</f>
        <v>C.C.1:5:10 for Foundation &amp; Basement</v>
      </c>
      <c r="D46" s="852">
        <f>building!C21</f>
        <v>4297.8</v>
      </c>
      <c r="E46" s="853" t="str">
        <f>building!D21</f>
        <v>Cum.</v>
      </c>
      <c r="F46" s="852">
        <f t="shared" si="0"/>
        <v>207153.96</v>
      </c>
    </row>
    <row r="47" spans="1:6" s="726" customFormat="1" ht="36.6" customHeight="1">
      <c r="A47" s="849">
        <f>building!A22</f>
        <v>3.2</v>
      </c>
      <c r="B47" s="855">
        <f>building!Y22</f>
        <v>4.2</v>
      </c>
      <c r="C47" s="856" t="str">
        <f>building!B22</f>
        <v>P.C.C. 1:2:4 for Foundation &amp; Basement and other similar works</v>
      </c>
      <c r="D47" s="852">
        <f>building!C22</f>
        <v>5819.12</v>
      </c>
      <c r="E47" s="853" t="str">
        <f>building!D22</f>
        <v>Cum.</v>
      </c>
      <c r="F47" s="852">
        <f t="shared" si="0"/>
        <v>24440.3</v>
      </c>
    </row>
    <row r="48" spans="1:6" s="726" customFormat="1" ht="31.5" hidden="1" customHeight="1">
      <c r="A48" s="849">
        <f>building!A23</f>
        <v>3.3</v>
      </c>
      <c r="B48" s="855">
        <f>building!Y23</f>
        <v>0.1</v>
      </c>
      <c r="C48" s="856" t="str">
        <f>building!B23</f>
        <v>P.C.C. 1:8:16 using 20 mm broken brick jelly</v>
      </c>
      <c r="D48" s="852">
        <f>building!C23</f>
        <v>3658.53</v>
      </c>
      <c r="E48" s="853" t="str">
        <f>building!D23</f>
        <v>Cum.</v>
      </c>
      <c r="F48" s="852">
        <f t="shared" si="0"/>
        <v>365.85</v>
      </c>
    </row>
    <row r="49" spans="1:6" ht="30" hidden="1">
      <c r="A49" s="849">
        <f>building!A24</f>
        <v>3.4</v>
      </c>
      <c r="B49" s="855">
        <f>building!Y24</f>
        <v>0</v>
      </c>
      <c r="C49" s="856" t="str">
        <f>building!B24</f>
        <v>Providing  WBM 125  mm consolidated thick with gravel blindage</v>
      </c>
      <c r="D49" s="852">
        <f>building!C24</f>
        <v>0</v>
      </c>
      <c r="E49" s="853" t="str">
        <f>building!D24</f>
        <v>Sqm.</v>
      </c>
      <c r="F49" s="852">
        <f t="shared" si="0"/>
        <v>0</v>
      </c>
    </row>
    <row r="50" spans="1:6" ht="15.75" hidden="1">
      <c r="A50" s="849" t="e">
        <f>building!#REF!</f>
        <v>#REF!</v>
      </c>
      <c r="B50" s="855" t="e">
        <f>building!#REF!</f>
        <v>#REF!</v>
      </c>
      <c r="C50" s="856" t="e">
        <f>building!#REF!</f>
        <v>#REF!</v>
      </c>
      <c r="D50" s="852" t="e">
        <f>building!#REF!</f>
        <v>#REF!</v>
      </c>
      <c r="E50" s="853" t="e">
        <f>building!#REF!</f>
        <v>#REF!</v>
      </c>
      <c r="F50" s="852" t="e">
        <f t="shared" si="0"/>
        <v>#REF!</v>
      </c>
    </row>
    <row r="51" spans="1:6" ht="15.75" hidden="1">
      <c r="A51" s="849" t="e">
        <f>building!#REF!</f>
        <v>#REF!</v>
      </c>
      <c r="B51" s="855" t="e">
        <f>building!#REF!</f>
        <v>#REF!</v>
      </c>
      <c r="C51" s="856" t="e">
        <f>building!#REF!</f>
        <v>#REF!</v>
      </c>
      <c r="D51" s="852" t="e">
        <f>building!#REF!</f>
        <v>#REF!</v>
      </c>
      <c r="E51" s="853" t="e">
        <f>building!#REF!</f>
        <v>#REF!</v>
      </c>
      <c r="F51" s="852" t="e">
        <f t="shared" si="0"/>
        <v>#REF!</v>
      </c>
    </row>
    <row r="52" spans="1:6" ht="15.75" hidden="1">
      <c r="A52" s="849" t="e">
        <f>building!#REF!</f>
        <v>#REF!</v>
      </c>
      <c r="B52" s="855" t="e">
        <f>building!#REF!</f>
        <v>#REF!</v>
      </c>
      <c r="C52" s="856" t="e">
        <f>building!#REF!</f>
        <v>#REF!</v>
      </c>
      <c r="D52" s="852" t="e">
        <f>building!#REF!</f>
        <v>#REF!</v>
      </c>
      <c r="E52" s="853" t="e">
        <f>building!#REF!</f>
        <v>#REF!</v>
      </c>
      <c r="F52" s="852" t="e">
        <f t="shared" si="0"/>
        <v>#REF!</v>
      </c>
    </row>
    <row r="53" spans="1:6" ht="15.75" hidden="1">
      <c r="A53" s="849">
        <f>building!A25</f>
        <v>4.0999999999999996</v>
      </c>
      <c r="B53" s="855">
        <f>building!Y25</f>
        <v>0</v>
      </c>
      <c r="C53" s="856" t="str">
        <f>building!B25</f>
        <v>R.C.C. 1:2:4 Foundation and Basement</v>
      </c>
      <c r="D53" s="852">
        <f>building!C25</f>
        <v>7160.76</v>
      </c>
      <c r="E53" s="853" t="str">
        <f>building!D25</f>
        <v>Cum.</v>
      </c>
      <c r="F53" s="852">
        <f t="shared" si="0"/>
        <v>0</v>
      </c>
    </row>
    <row r="54" spans="1:6" ht="15.75" hidden="1">
      <c r="A54" s="849">
        <f>building!A26</f>
        <v>4.2</v>
      </c>
      <c r="B54" s="855">
        <f>building!Y26</f>
        <v>0</v>
      </c>
      <c r="C54" s="856" t="str">
        <f>building!B26</f>
        <v>R.C.C. 1: 11/2: 3 Foundation and Basement</v>
      </c>
      <c r="D54" s="852">
        <f>building!C26</f>
        <v>7802.65</v>
      </c>
      <c r="E54" s="853" t="str">
        <f>building!D26</f>
        <v>Cum.</v>
      </c>
      <c r="F54" s="852">
        <f t="shared" si="0"/>
        <v>0</v>
      </c>
    </row>
    <row r="55" spans="1:6" s="726" customFormat="1" ht="24.75" hidden="1" customHeight="1">
      <c r="A55" s="849">
        <f>building!A27</f>
        <v>5</v>
      </c>
      <c r="B55" s="855">
        <f>building!Y27</f>
        <v>0</v>
      </c>
      <c r="C55" s="856" t="str">
        <f>building!B27</f>
        <v>R.R. masonry in C.M. 1:5 Foundation and Basment</v>
      </c>
      <c r="D55" s="852">
        <f>building!C27</f>
        <v>4673.38</v>
      </c>
      <c r="E55" s="853" t="str">
        <f>building!D27</f>
        <v>Cum.</v>
      </c>
      <c r="F55" s="852">
        <f t="shared" si="0"/>
        <v>0</v>
      </c>
    </row>
    <row r="56" spans="1:6" s="726" customFormat="1" ht="17.25" hidden="1">
      <c r="A56" s="849" t="e">
        <f>building!#REF!</f>
        <v>#REF!</v>
      </c>
      <c r="B56" s="855" t="e">
        <f>building!#REF!</f>
        <v>#REF!</v>
      </c>
      <c r="C56" s="856" t="e">
        <f>building!#REF!</f>
        <v>#REF!</v>
      </c>
      <c r="D56" s="852" t="e">
        <f>building!#REF!</f>
        <v>#REF!</v>
      </c>
      <c r="E56" s="853" t="e">
        <f>building!#REF!</f>
        <v>#REF!</v>
      </c>
      <c r="F56" s="852" t="e">
        <f t="shared" si="0"/>
        <v>#REF!</v>
      </c>
    </row>
    <row r="57" spans="1:6" s="726" customFormat="1" ht="55.5" customHeight="1">
      <c r="A57" s="849" t="e">
        <f>building!#REF!</f>
        <v>#REF!</v>
      </c>
      <c r="B57" s="855" t="e">
        <f>building!#REF!</f>
        <v>#REF!</v>
      </c>
      <c r="C57" s="856" t="e">
        <f>building!#REF!</f>
        <v>#REF!</v>
      </c>
      <c r="D57" s="852" t="e">
        <f>building!#REF!</f>
        <v>#REF!</v>
      </c>
      <c r="E57" s="853" t="e">
        <f>building!#REF!</f>
        <v>#REF!</v>
      </c>
      <c r="F57" s="852" t="e">
        <f t="shared" si="0"/>
        <v>#REF!</v>
      </c>
    </row>
    <row r="58" spans="1:6" s="726" customFormat="1" ht="17.25" hidden="1">
      <c r="A58" s="849" t="e">
        <f>building!#REF!</f>
        <v>#REF!</v>
      </c>
      <c r="B58" s="855" t="e">
        <f>building!#REF!</f>
        <v>#REF!</v>
      </c>
      <c r="C58" s="856" t="e">
        <f>building!#REF!</f>
        <v>#REF!</v>
      </c>
      <c r="D58" s="852" t="e">
        <f>building!#REF!</f>
        <v>#REF!</v>
      </c>
      <c r="E58" s="853" t="e">
        <f>building!#REF!</f>
        <v>#REF!</v>
      </c>
      <c r="F58" s="852" t="e">
        <f t="shared" si="0"/>
        <v>#REF!</v>
      </c>
    </row>
    <row r="59" spans="1:6" s="726" customFormat="1" ht="17.25" hidden="1">
      <c r="A59" s="849" t="e">
        <f>building!#REF!</f>
        <v>#REF!</v>
      </c>
      <c r="B59" s="855" t="e">
        <f>building!#REF!</f>
        <v>#REF!</v>
      </c>
      <c r="C59" s="856" t="e">
        <f>building!#REF!</f>
        <v>#REF!</v>
      </c>
      <c r="D59" s="852" t="e">
        <f>building!#REF!</f>
        <v>#REF!</v>
      </c>
      <c r="E59" s="853" t="e">
        <f>building!#REF!</f>
        <v>#REF!</v>
      </c>
      <c r="F59" s="852" t="e">
        <f t="shared" si="0"/>
        <v>#REF!</v>
      </c>
    </row>
    <row r="60" spans="1:6" s="726" customFormat="1" ht="45.75" hidden="1" customHeight="1">
      <c r="A60" s="849">
        <f>building!A28</f>
        <v>6.5</v>
      </c>
      <c r="B60" s="855">
        <f>building!Y28</f>
        <v>57.9</v>
      </c>
      <c r="C60" s="856" t="str">
        <f>building!B28</f>
        <v>Brick work in C.M. 1:5 (F&amp; B) using Kiln Burnt Country bricks of size 22 x 11 x 7 cm (8 3/4" x 4 1/4" x 2 3/4")</v>
      </c>
      <c r="D60" s="852">
        <f>building!C28</f>
        <v>6021.38</v>
      </c>
      <c r="E60" s="853" t="str">
        <f>building!D28</f>
        <v>Cum.</v>
      </c>
      <c r="F60" s="852">
        <f t="shared" si="0"/>
        <v>348637.9</v>
      </c>
    </row>
    <row r="61" spans="1:6" s="726" customFormat="1" ht="17.25" hidden="1">
      <c r="A61" s="849" t="e">
        <f>building!#REF!</f>
        <v>#REF!</v>
      </c>
      <c r="B61" s="855" t="e">
        <f>building!#REF!</f>
        <v>#REF!</v>
      </c>
      <c r="C61" s="856" t="e">
        <f>building!#REF!</f>
        <v>#REF!</v>
      </c>
      <c r="D61" s="852" t="e">
        <f>building!#REF!</f>
        <v>#REF!</v>
      </c>
      <c r="E61" s="853" t="e">
        <f>building!#REF!</f>
        <v>#REF!</v>
      </c>
      <c r="F61" s="852" t="e">
        <f t="shared" si="0"/>
        <v>#REF!</v>
      </c>
    </row>
    <row r="62" spans="1:6" ht="40.5" hidden="1" customHeight="1">
      <c r="A62" s="849" t="e">
        <f>building!#REF!</f>
        <v>#REF!</v>
      </c>
      <c r="B62" s="855" t="e">
        <f>building!#REF!</f>
        <v>#REF!</v>
      </c>
      <c r="C62" s="856" t="e">
        <f>building!#REF!</f>
        <v>#REF!</v>
      </c>
      <c r="D62" s="852" t="e">
        <f>building!#REF!</f>
        <v>#REF!</v>
      </c>
      <c r="E62" s="853" t="e">
        <f>building!#REF!</f>
        <v>#REF!</v>
      </c>
      <c r="F62" s="852" t="e">
        <f t="shared" si="0"/>
        <v>#REF!</v>
      </c>
    </row>
    <row r="63" spans="1:6" s="726" customFormat="1" ht="38.450000000000003" customHeight="1">
      <c r="A63" s="849">
        <f>building!A29</f>
        <v>7.2</v>
      </c>
      <c r="B63" s="855">
        <f>building!Y29</f>
        <v>0</v>
      </c>
      <c r="C63" s="856" t="str">
        <f>building!B29</f>
        <v>Supply and fixing of Bituminous filler pad, 20 mm tk. for expansion joint</v>
      </c>
      <c r="D63" s="852">
        <f>building!C29</f>
        <v>712</v>
      </c>
      <c r="E63" s="853" t="str">
        <f>building!D29</f>
        <v>Sqm.</v>
      </c>
      <c r="F63" s="852">
        <f t="shared" si="0"/>
        <v>0</v>
      </c>
    </row>
    <row r="64" spans="1:6" s="726" customFormat="1" ht="17.25" hidden="1">
      <c r="A64" s="849" t="e">
        <f>building!#REF!</f>
        <v>#REF!</v>
      </c>
      <c r="B64" s="855" t="e">
        <f>building!#REF!</f>
        <v>#REF!</v>
      </c>
      <c r="C64" s="856" t="e">
        <f>building!#REF!</f>
        <v>#REF!</v>
      </c>
      <c r="D64" s="852" t="e">
        <f>building!#REF!</f>
        <v>#REF!</v>
      </c>
      <c r="E64" s="853" t="e">
        <f>building!#REF!</f>
        <v>#REF!</v>
      </c>
      <c r="F64" s="852" t="e">
        <f t="shared" si="0"/>
        <v>#REF!</v>
      </c>
    </row>
    <row r="65" spans="1:6" s="726" customFormat="1" ht="17.25" hidden="1">
      <c r="A65" s="849" t="e">
        <f>building!#REF!</f>
        <v>#REF!</v>
      </c>
      <c r="B65" s="855" t="e">
        <f>building!#REF!</f>
        <v>#REF!</v>
      </c>
      <c r="C65" s="856" t="e">
        <f>building!#REF!</f>
        <v>#REF!</v>
      </c>
      <c r="D65" s="852" t="e">
        <f>building!#REF!</f>
        <v>#REF!</v>
      </c>
      <c r="E65" s="853" t="e">
        <f>building!#REF!</f>
        <v>#REF!</v>
      </c>
      <c r="F65" s="852" t="e">
        <f t="shared" si="0"/>
        <v>#REF!</v>
      </c>
    </row>
    <row r="66" spans="1:6" s="726" customFormat="1" ht="17.25" hidden="1">
      <c r="A66" s="849" t="e">
        <f>building!#REF!</f>
        <v>#REF!</v>
      </c>
      <c r="B66" s="855" t="e">
        <f>building!#REF!</f>
        <v>#REF!</v>
      </c>
      <c r="C66" s="856" t="e">
        <f>building!#REF!</f>
        <v>#REF!</v>
      </c>
      <c r="D66" s="852" t="e">
        <f>building!#REF!</f>
        <v>#REF!</v>
      </c>
      <c r="E66" s="853" t="e">
        <f>building!#REF!</f>
        <v>#REF!</v>
      </c>
      <c r="F66" s="852" t="e">
        <f t="shared" si="0"/>
        <v>#REF!</v>
      </c>
    </row>
    <row r="67" spans="1:6" ht="15.75" hidden="1">
      <c r="A67" s="849" t="e">
        <f>building!#REF!</f>
        <v>#REF!</v>
      </c>
      <c r="B67" s="855" t="e">
        <f>building!#REF!</f>
        <v>#REF!</v>
      </c>
      <c r="C67" s="856" t="e">
        <f>building!#REF!</f>
        <v>#REF!</v>
      </c>
      <c r="D67" s="852" t="e">
        <f>building!#REF!</f>
        <v>#REF!</v>
      </c>
      <c r="E67" s="853" t="e">
        <f>building!#REF!</f>
        <v>#REF!</v>
      </c>
      <c r="F67" s="852" t="e">
        <f t="shared" si="0"/>
        <v>#REF!</v>
      </c>
    </row>
    <row r="68" spans="1:6" s="726" customFormat="1" ht="17.25" hidden="1">
      <c r="A68" s="849" t="e">
        <f>building!#REF!</f>
        <v>#REF!</v>
      </c>
      <c r="B68" s="855" t="e">
        <f>building!#REF!</f>
        <v>#REF!</v>
      </c>
      <c r="C68" s="856" t="e">
        <f>building!#REF!</f>
        <v>#REF!</v>
      </c>
      <c r="D68" s="852" t="e">
        <f>building!#REF!</f>
        <v>#REF!</v>
      </c>
      <c r="E68" s="853" t="e">
        <f>building!#REF!</f>
        <v>#REF!</v>
      </c>
      <c r="F68" s="852" t="e">
        <f t="shared" si="0"/>
        <v>#REF!</v>
      </c>
    </row>
    <row r="69" spans="1:6" s="726" customFormat="1" ht="17.25" hidden="1">
      <c r="A69" s="849" t="e">
        <f>building!#REF!</f>
        <v>#REF!</v>
      </c>
      <c r="B69" s="855" t="e">
        <f>building!#REF!</f>
        <v>#REF!</v>
      </c>
      <c r="C69" s="856" t="e">
        <f>building!#REF!</f>
        <v>#REF!</v>
      </c>
      <c r="D69" s="852" t="e">
        <f>building!#REF!</f>
        <v>#REF!</v>
      </c>
      <c r="E69" s="853" t="e">
        <f>building!#REF!</f>
        <v>#REF!</v>
      </c>
      <c r="F69" s="852" t="e">
        <f t="shared" si="0"/>
        <v>#REF!</v>
      </c>
    </row>
    <row r="70" spans="1:6" s="726" customFormat="1" ht="17.25" hidden="1">
      <c r="A70" s="849" t="e">
        <f>building!#REF!</f>
        <v>#REF!</v>
      </c>
      <c r="B70" s="855" t="e">
        <f>building!#REF!</f>
        <v>#REF!</v>
      </c>
      <c r="C70" s="856" t="e">
        <f>building!#REF!</f>
        <v>#REF!</v>
      </c>
      <c r="D70" s="852" t="e">
        <f>building!#REF!</f>
        <v>#REF!</v>
      </c>
      <c r="E70" s="853" t="e">
        <f>building!#REF!</f>
        <v>#REF!</v>
      </c>
      <c r="F70" s="852" t="e">
        <f t="shared" si="0"/>
        <v>#REF!</v>
      </c>
    </row>
    <row r="71" spans="1:6" s="726" customFormat="1" ht="17.25" hidden="1">
      <c r="A71" s="849" t="e">
        <f>building!#REF!</f>
        <v>#REF!</v>
      </c>
      <c r="B71" s="855" t="e">
        <f>building!#REF!</f>
        <v>#REF!</v>
      </c>
      <c r="C71" s="856" t="e">
        <f>building!#REF!</f>
        <v>#REF!</v>
      </c>
      <c r="D71" s="852" t="e">
        <f>building!#REF!</f>
        <v>#REF!</v>
      </c>
      <c r="E71" s="853" t="e">
        <f>building!#REF!</f>
        <v>#REF!</v>
      </c>
      <c r="F71" s="852" t="e">
        <f t="shared" si="0"/>
        <v>#REF!</v>
      </c>
    </row>
    <row r="72" spans="1:6" s="726" customFormat="1" ht="17.25" hidden="1">
      <c r="A72" s="849" t="e">
        <f>building!#REF!</f>
        <v>#REF!</v>
      </c>
      <c r="B72" s="855" t="e">
        <f>building!#REF!</f>
        <v>#REF!</v>
      </c>
      <c r="C72" s="856" t="e">
        <f>building!#REF!</f>
        <v>#REF!</v>
      </c>
      <c r="D72" s="852" t="e">
        <f>building!#REF!</f>
        <v>#REF!</v>
      </c>
      <c r="E72" s="853" t="e">
        <f>building!#REF!</f>
        <v>#REF!</v>
      </c>
      <c r="F72" s="852" t="e">
        <f t="shared" ref="F72:F135" si="1">D72*B72</f>
        <v>#REF!</v>
      </c>
    </row>
    <row r="73" spans="1:6" s="726" customFormat="1" ht="17.25" hidden="1">
      <c r="A73" s="849" t="e">
        <f>building!#REF!</f>
        <v>#REF!</v>
      </c>
      <c r="B73" s="855" t="e">
        <f>building!#REF!</f>
        <v>#REF!</v>
      </c>
      <c r="C73" s="856" t="e">
        <f>building!#REF!</f>
        <v>#REF!</v>
      </c>
      <c r="D73" s="852" t="e">
        <f>building!#REF!</f>
        <v>#REF!</v>
      </c>
      <c r="E73" s="853" t="e">
        <f>building!#REF!</f>
        <v>#REF!</v>
      </c>
      <c r="F73" s="852" t="e">
        <f t="shared" si="1"/>
        <v>#REF!</v>
      </c>
    </row>
    <row r="74" spans="1:6" s="726" customFormat="1" ht="17.25" hidden="1">
      <c r="A74" s="849" t="e">
        <f>building!#REF!</f>
        <v>#REF!</v>
      </c>
      <c r="B74" s="855" t="e">
        <f>building!#REF!</f>
        <v>#REF!</v>
      </c>
      <c r="C74" s="856" t="e">
        <f>building!#REF!</f>
        <v>#REF!</v>
      </c>
      <c r="D74" s="852" t="e">
        <f>building!#REF!</f>
        <v>#REF!</v>
      </c>
      <c r="E74" s="853" t="e">
        <f>building!#REF!</f>
        <v>#REF!</v>
      </c>
      <c r="F74" s="852" t="e">
        <f t="shared" si="1"/>
        <v>#REF!</v>
      </c>
    </row>
    <row r="75" spans="1:6" s="726" customFormat="1" ht="17.25" hidden="1">
      <c r="A75" s="849" t="e">
        <f>building!#REF!</f>
        <v>#REF!</v>
      </c>
      <c r="B75" s="855" t="e">
        <f>building!#REF!</f>
        <v>#REF!</v>
      </c>
      <c r="C75" s="856" t="e">
        <f>building!#REF!</f>
        <v>#REF!</v>
      </c>
      <c r="D75" s="852" t="e">
        <f>building!#REF!</f>
        <v>#REF!</v>
      </c>
      <c r="E75" s="853" t="e">
        <f>building!#REF!</f>
        <v>#REF!</v>
      </c>
      <c r="F75" s="852" t="e">
        <f t="shared" si="1"/>
        <v>#REF!</v>
      </c>
    </row>
    <row r="76" spans="1:6" s="726" customFormat="1" ht="17.25" hidden="1">
      <c r="A76" s="849" t="e">
        <f>building!#REF!</f>
        <v>#REF!</v>
      </c>
      <c r="B76" s="855" t="e">
        <f>building!#REF!</f>
        <v>#REF!</v>
      </c>
      <c r="C76" s="856" t="e">
        <f>building!#REF!</f>
        <v>#REF!</v>
      </c>
      <c r="D76" s="852" t="e">
        <f>building!#REF!</f>
        <v>#REF!</v>
      </c>
      <c r="E76" s="853" t="e">
        <f>building!#REF!</f>
        <v>#REF!</v>
      </c>
      <c r="F76" s="852" t="e">
        <f t="shared" si="1"/>
        <v>#REF!</v>
      </c>
    </row>
    <row r="77" spans="1:6" s="726" customFormat="1" ht="17.25" hidden="1">
      <c r="A77" s="849" t="e">
        <f>building!#REF!</f>
        <v>#REF!</v>
      </c>
      <c r="B77" s="855" t="e">
        <f>building!#REF!</f>
        <v>#REF!</v>
      </c>
      <c r="C77" s="856" t="e">
        <f>building!#REF!</f>
        <v>#REF!</v>
      </c>
      <c r="D77" s="852" t="e">
        <f>building!#REF!</f>
        <v>#REF!</v>
      </c>
      <c r="E77" s="853" t="e">
        <f>building!#REF!</f>
        <v>#REF!</v>
      </c>
      <c r="F77" s="852" t="e">
        <f t="shared" si="1"/>
        <v>#REF!</v>
      </c>
    </row>
    <row r="78" spans="1:6" s="726" customFormat="1" ht="17.25" hidden="1">
      <c r="A78" s="849" t="e">
        <f>building!#REF!</f>
        <v>#REF!</v>
      </c>
      <c r="B78" s="855" t="e">
        <f>building!#REF!</f>
        <v>#REF!</v>
      </c>
      <c r="C78" s="856" t="e">
        <f>building!#REF!</f>
        <v>#REF!</v>
      </c>
      <c r="D78" s="852" t="e">
        <f>building!#REF!</f>
        <v>#REF!</v>
      </c>
      <c r="E78" s="853" t="e">
        <f>building!#REF!</f>
        <v>#REF!</v>
      </c>
      <c r="F78" s="852" t="e">
        <f t="shared" si="1"/>
        <v>#REF!</v>
      </c>
    </row>
    <row r="79" spans="1:6" s="726" customFormat="1" ht="17.25" hidden="1">
      <c r="A79" s="849" t="e">
        <f>building!#REF!</f>
        <v>#REF!</v>
      </c>
      <c r="B79" s="855" t="e">
        <f>building!#REF!</f>
        <v>#REF!</v>
      </c>
      <c r="C79" s="856" t="e">
        <f>building!#REF!</f>
        <v>#REF!</v>
      </c>
      <c r="D79" s="852" t="e">
        <f>building!#REF!</f>
        <v>#REF!</v>
      </c>
      <c r="E79" s="853" t="e">
        <f>building!#REF!</f>
        <v>#REF!</v>
      </c>
      <c r="F79" s="852" t="e">
        <f t="shared" si="1"/>
        <v>#REF!</v>
      </c>
    </row>
    <row r="80" spans="1:6" s="726" customFormat="1" ht="17.25" hidden="1">
      <c r="A80" s="849" t="e">
        <f>building!#REF!</f>
        <v>#REF!</v>
      </c>
      <c r="B80" s="855" t="e">
        <f>building!#REF!</f>
        <v>#REF!</v>
      </c>
      <c r="C80" s="856" t="e">
        <f>building!#REF!</f>
        <v>#REF!</v>
      </c>
      <c r="D80" s="852" t="e">
        <f>building!#REF!</f>
        <v>#REF!</v>
      </c>
      <c r="E80" s="853" t="e">
        <f>building!#REF!</f>
        <v>#REF!</v>
      </c>
      <c r="F80" s="852" t="e">
        <f t="shared" si="1"/>
        <v>#REF!</v>
      </c>
    </row>
    <row r="81" spans="1:6" s="726" customFormat="1" ht="17.25" hidden="1">
      <c r="A81" s="849" t="e">
        <f>building!#REF!</f>
        <v>#REF!</v>
      </c>
      <c r="B81" s="855" t="e">
        <f>building!#REF!</f>
        <v>#REF!</v>
      </c>
      <c r="C81" s="856" t="e">
        <f>building!#REF!</f>
        <v>#REF!</v>
      </c>
      <c r="D81" s="852" t="e">
        <f>building!#REF!</f>
        <v>#REF!</v>
      </c>
      <c r="E81" s="853" t="e">
        <f>building!#REF!</f>
        <v>#REF!</v>
      </c>
      <c r="F81" s="852" t="e">
        <f t="shared" si="1"/>
        <v>#REF!</v>
      </c>
    </row>
    <row r="82" spans="1:6" s="726" customFormat="1" ht="17.25" hidden="1">
      <c r="A82" s="849" t="e">
        <f>building!#REF!</f>
        <v>#REF!</v>
      </c>
      <c r="B82" s="855" t="e">
        <f>building!#REF!</f>
        <v>#REF!</v>
      </c>
      <c r="C82" s="856" t="e">
        <f>building!#REF!</f>
        <v>#REF!</v>
      </c>
      <c r="D82" s="852" t="e">
        <f>building!#REF!</f>
        <v>#REF!</v>
      </c>
      <c r="E82" s="853" t="e">
        <f>building!#REF!</f>
        <v>#REF!</v>
      </c>
      <c r="F82" s="852" t="e">
        <f t="shared" si="1"/>
        <v>#REF!</v>
      </c>
    </row>
    <row r="83" spans="1:6" s="726" customFormat="1" ht="17.25" hidden="1">
      <c r="A83" s="849" t="e">
        <f>building!#REF!</f>
        <v>#REF!</v>
      </c>
      <c r="B83" s="855" t="e">
        <f>building!#REF!</f>
        <v>#REF!</v>
      </c>
      <c r="C83" s="856" t="e">
        <f>building!#REF!</f>
        <v>#REF!</v>
      </c>
      <c r="D83" s="852" t="e">
        <f>building!#REF!</f>
        <v>#REF!</v>
      </c>
      <c r="E83" s="853" t="e">
        <f>building!#REF!</f>
        <v>#REF!</v>
      </c>
      <c r="F83" s="852" t="e">
        <f t="shared" si="1"/>
        <v>#REF!</v>
      </c>
    </row>
    <row r="84" spans="1:6" s="726" customFormat="1" ht="17.25" hidden="1">
      <c r="A84" s="849" t="e">
        <f>building!#REF!</f>
        <v>#REF!</v>
      </c>
      <c r="B84" s="855" t="e">
        <f>building!#REF!</f>
        <v>#REF!</v>
      </c>
      <c r="C84" s="856" t="e">
        <f>building!#REF!</f>
        <v>#REF!</v>
      </c>
      <c r="D84" s="852" t="e">
        <f>building!#REF!</f>
        <v>#REF!</v>
      </c>
      <c r="E84" s="853" t="e">
        <f>building!#REF!</f>
        <v>#REF!</v>
      </c>
      <c r="F84" s="852" t="e">
        <f t="shared" si="1"/>
        <v>#REF!</v>
      </c>
    </row>
    <row r="85" spans="1:6" s="726" customFormat="1" ht="17.25" hidden="1">
      <c r="A85" s="849" t="e">
        <f>building!#REF!</f>
        <v>#REF!</v>
      </c>
      <c r="B85" s="855" t="e">
        <f>building!#REF!</f>
        <v>#REF!</v>
      </c>
      <c r="C85" s="856" t="e">
        <f>building!#REF!</f>
        <v>#REF!</v>
      </c>
      <c r="D85" s="852" t="e">
        <f>building!#REF!</f>
        <v>#REF!</v>
      </c>
      <c r="E85" s="853" t="e">
        <f>building!#REF!</f>
        <v>#REF!</v>
      </c>
      <c r="F85" s="852" t="e">
        <f t="shared" si="1"/>
        <v>#REF!</v>
      </c>
    </row>
    <row r="86" spans="1:6" s="726" customFormat="1" ht="17.25" hidden="1">
      <c r="A86" s="849" t="e">
        <f>building!#REF!</f>
        <v>#REF!</v>
      </c>
      <c r="B86" s="855" t="e">
        <f>building!#REF!</f>
        <v>#REF!</v>
      </c>
      <c r="C86" s="856" t="e">
        <f>building!#REF!</f>
        <v>#REF!</v>
      </c>
      <c r="D86" s="852" t="e">
        <f>building!#REF!</f>
        <v>#REF!</v>
      </c>
      <c r="E86" s="853" t="e">
        <f>building!#REF!</f>
        <v>#REF!</v>
      </c>
      <c r="F86" s="852" t="e">
        <f t="shared" si="1"/>
        <v>#REF!</v>
      </c>
    </row>
    <row r="87" spans="1:6" s="726" customFormat="1" ht="17.25" hidden="1">
      <c r="A87" s="849" t="e">
        <f>building!#REF!</f>
        <v>#REF!</v>
      </c>
      <c r="B87" s="855" t="e">
        <f>building!#REF!</f>
        <v>#REF!</v>
      </c>
      <c r="C87" s="856" t="e">
        <f>building!#REF!</f>
        <v>#REF!</v>
      </c>
      <c r="D87" s="852" t="e">
        <f>building!#REF!</f>
        <v>#REF!</v>
      </c>
      <c r="E87" s="853" t="e">
        <f>building!#REF!</f>
        <v>#REF!</v>
      </c>
      <c r="F87" s="852" t="e">
        <f t="shared" si="1"/>
        <v>#REF!</v>
      </c>
    </row>
    <row r="88" spans="1:6" s="726" customFormat="1" ht="17.25" hidden="1">
      <c r="A88" s="849" t="e">
        <f>building!#REF!</f>
        <v>#REF!</v>
      </c>
      <c r="B88" s="855" t="e">
        <f>building!#REF!</f>
        <v>#REF!</v>
      </c>
      <c r="C88" s="856" t="e">
        <f>building!#REF!</f>
        <v>#REF!</v>
      </c>
      <c r="D88" s="852" t="e">
        <f>building!#REF!</f>
        <v>#REF!</v>
      </c>
      <c r="E88" s="853" t="e">
        <f>building!#REF!</f>
        <v>#REF!</v>
      </c>
      <c r="F88" s="852" t="e">
        <f t="shared" si="1"/>
        <v>#REF!</v>
      </c>
    </row>
    <row r="89" spans="1:6" s="726" customFormat="1" ht="17.25" hidden="1">
      <c r="A89" s="849" t="e">
        <f>building!#REF!</f>
        <v>#REF!</v>
      </c>
      <c r="B89" s="855" t="e">
        <f>building!#REF!</f>
        <v>#REF!</v>
      </c>
      <c r="C89" s="856" t="e">
        <f>building!#REF!</f>
        <v>#REF!</v>
      </c>
      <c r="D89" s="852" t="e">
        <f>building!#REF!</f>
        <v>#REF!</v>
      </c>
      <c r="E89" s="853" t="e">
        <f>building!#REF!</f>
        <v>#REF!</v>
      </c>
      <c r="F89" s="852" t="e">
        <f t="shared" si="1"/>
        <v>#REF!</v>
      </c>
    </row>
    <row r="90" spans="1:6" s="726" customFormat="1" ht="17.25" hidden="1">
      <c r="A90" s="849" t="e">
        <f>building!#REF!</f>
        <v>#REF!</v>
      </c>
      <c r="B90" s="855" t="e">
        <f>building!#REF!</f>
        <v>#REF!</v>
      </c>
      <c r="C90" s="856" t="e">
        <f>building!#REF!</f>
        <v>#REF!</v>
      </c>
      <c r="D90" s="852" t="e">
        <f>building!#REF!</f>
        <v>#REF!</v>
      </c>
      <c r="E90" s="853" t="e">
        <f>building!#REF!</f>
        <v>#REF!</v>
      </c>
      <c r="F90" s="852" t="e">
        <f t="shared" si="1"/>
        <v>#REF!</v>
      </c>
    </row>
    <row r="91" spans="1:6" s="726" customFormat="1" ht="55.9" customHeight="1">
      <c r="A91" s="849" t="e">
        <f>building!#REF!</f>
        <v>#REF!</v>
      </c>
      <c r="B91" s="850" t="e">
        <f>building!#REF!</f>
        <v>#REF!</v>
      </c>
      <c r="C91" s="851" t="e">
        <f>building!#REF!</f>
        <v>#REF!</v>
      </c>
      <c r="D91" s="852" t="e">
        <f>building!#REF!</f>
        <v>#REF!</v>
      </c>
      <c r="E91" s="853" t="e">
        <f>building!#REF!</f>
        <v>#REF!</v>
      </c>
      <c r="F91" s="852"/>
    </row>
    <row r="92" spans="1:6" s="726" customFormat="1" ht="33" customHeight="1">
      <c r="A92" s="849" t="e">
        <f>building!#REF!</f>
        <v>#REF!</v>
      </c>
      <c r="B92" s="855" t="e">
        <f>building!#REF!</f>
        <v>#REF!</v>
      </c>
      <c r="C92" s="856" t="e">
        <f>building!#REF!</f>
        <v>#REF!</v>
      </c>
      <c r="D92" s="852" t="e">
        <f>building!#REF!</f>
        <v>#REF!</v>
      </c>
      <c r="E92" s="853" t="e">
        <f>building!#REF!</f>
        <v>#REF!</v>
      </c>
      <c r="F92" s="852" t="e">
        <f t="shared" si="1"/>
        <v>#REF!</v>
      </c>
    </row>
    <row r="93" spans="1:6" s="726" customFormat="1" ht="33" customHeight="1">
      <c r="A93" s="849" t="e">
        <f>building!#REF!</f>
        <v>#REF!</v>
      </c>
      <c r="B93" s="855" t="e">
        <f>building!#REF!</f>
        <v>#REF!</v>
      </c>
      <c r="C93" s="856" t="e">
        <f>building!#REF!</f>
        <v>#REF!</v>
      </c>
      <c r="D93" s="852" t="e">
        <f>building!#REF!</f>
        <v>#REF!</v>
      </c>
      <c r="E93" s="853" t="e">
        <f>building!#REF!</f>
        <v>#REF!</v>
      </c>
      <c r="F93" s="852" t="e">
        <f t="shared" si="1"/>
        <v>#REF!</v>
      </c>
    </row>
    <row r="94" spans="1:6" s="726" customFormat="1" ht="33" customHeight="1">
      <c r="A94" s="849" t="e">
        <f>building!#REF!</f>
        <v>#REF!</v>
      </c>
      <c r="B94" s="855" t="e">
        <f>building!#REF!</f>
        <v>#REF!</v>
      </c>
      <c r="C94" s="856" t="e">
        <f>building!#REF!</f>
        <v>#REF!</v>
      </c>
      <c r="D94" s="852" t="e">
        <f>building!#REF!</f>
        <v>#REF!</v>
      </c>
      <c r="E94" s="853" t="e">
        <f>building!#REF!</f>
        <v>#REF!</v>
      </c>
      <c r="F94" s="852" t="e">
        <f t="shared" si="1"/>
        <v>#REF!</v>
      </c>
    </row>
    <row r="95" spans="1:6" s="726" customFormat="1" ht="33" customHeight="1">
      <c r="A95" s="849" t="e">
        <f>building!#REF!</f>
        <v>#REF!</v>
      </c>
      <c r="B95" s="855" t="e">
        <f>building!#REF!</f>
        <v>#REF!</v>
      </c>
      <c r="C95" s="856" t="e">
        <f>building!#REF!</f>
        <v>#REF!</v>
      </c>
      <c r="D95" s="852" t="e">
        <f>building!#REF!</f>
        <v>#REF!</v>
      </c>
      <c r="E95" s="853" t="e">
        <f>building!#REF!</f>
        <v>#REF!</v>
      </c>
      <c r="F95" s="852" t="e">
        <f t="shared" si="1"/>
        <v>#REF!</v>
      </c>
    </row>
    <row r="96" spans="1:6" s="726" customFormat="1" ht="33" hidden="1" customHeight="1">
      <c r="A96" s="849" t="e">
        <f>building!#REF!</f>
        <v>#REF!</v>
      </c>
      <c r="B96" s="855" t="e">
        <f>building!#REF!</f>
        <v>#REF!</v>
      </c>
      <c r="C96" s="856" t="e">
        <f>building!#REF!</f>
        <v>#REF!</v>
      </c>
      <c r="D96" s="852" t="e">
        <f>building!#REF!</f>
        <v>#REF!</v>
      </c>
      <c r="E96" s="853" t="e">
        <f>building!#REF!</f>
        <v>#REF!</v>
      </c>
      <c r="F96" s="852" t="e">
        <f t="shared" si="1"/>
        <v>#REF!</v>
      </c>
    </row>
    <row r="97" spans="1:6" s="726" customFormat="1" ht="17.25" hidden="1">
      <c r="A97" s="849" t="e">
        <f>building!#REF!</f>
        <v>#REF!</v>
      </c>
      <c r="B97" s="855" t="e">
        <f>building!#REF!</f>
        <v>#REF!</v>
      </c>
      <c r="C97" s="856" t="e">
        <f>building!#REF!</f>
        <v>#REF!</v>
      </c>
      <c r="D97" s="852" t="e">
        <f>building!#REF!</f>
        <v>#REF!</v>
      </c>
      <c r="E97" s="853" t="e">
        <f>building!#REF!</f>
        <v>#REF!</v>
      </c>
      <c r="F97" s="852" t="e">
        <f t="shared" si="1"/>
        <v>#REF!</v>
      </c>
    </row>
    <row r="98" spans="1:6" s="726" customFormat="1" ht="17.25" hidden="1">
      <c r="A98" s="849" t="e">
        <f>building!#REF!</f>
        <v>#REF!</v>
      </c>
      <c r="B98" s="855" t="e">
        <f>building!#REF!</f>
        <v>#REF!</v>
      </c>
      <c r="C98" s="856" t="e">
        <f>building!#REF!</f>
        <v>#REF!</v>
      </c>
      <c r="D98" s="852" t="e">
        <f>building!#REF!</f>
        <v>#REF!</v>
      </c>
      <c r="E98" s="853" t="e">
        <f>building!#REF!</f>
        <v>#REF!</v>
      </c>
      <c r="F98" s="852" t="e">
        <f t="shared" si="1"/>
        <v>#REF!</v>
      </c>
    </row>
    <row r="99" spans="1:6" s="726" customFormat="1" ht="17.25" hidden="1">
      <c r="A99" s="849" t="e">
        <f>building!#REF!</f>
        <v>#REF!</v>
      </c>
      <c r="B99" s="855" t="e">
        <f>building!#REF!</f>
        <v>#REF!</v>
      </c>
      <c r="C99" s="856" t="e">
        <f>building!#REF!</f>
        <v>#REF!</v>
      </c>
      <c r="D99" s="852" t="e">
        <f>building!#REF!</f>
        <v>#REF!</v>
      </c>
      <c r="E99" s="853" t="e">
        <f>building!#REF!</f>
        <v>#REF!</v>
      </c>
      <c r="F99" s="852" t="e">
        <f t="shared" si="1"/>
        <v>#REF!</v>
      </c>
    </row>
    <row r="100" spans="1:6" s="726" customFormat="1" ht="17.25" hidden="1">
      <c r="A100" s="849" t="e">
        <f>building!#REF!</f>
        <v>#REF!</v>
      </c>
      <c r="B100" s="855" t="e">
        <f>building!#REF!</f>
        <v>#REF!</v>
      </c>
      <c r="C100" s="856" t="e">
        <f>building!#REF!</f>
        <v>#REF!</v>
      </c>
      <c r="D100" s="852" t="e">
        <f>building!#REF!</f>
        <v>#REF!</v>
      </c>
      <c r="E100" s="853" t="e">
        <f>building!#REF!</f>
        <v>#REF!</v>
      </c>
      <c r="F100" s="852" t="e">
        <f t="shared" si="1"/>
        <v>#REF!</v>
      </c>
    </row>
    <row r="101" spans="1:6" s="726" customFormat="1" ht="17.25" hidden="1">
      <c r="A101" s="849" t="e">
        <f>building!#REF!</f>
        <v>#REF!</v>
      </c>
      <c r="B101" s="855" t="e">
        <f>building!#REF!</f>
        <v>#REF!</v>
      </c>
      <c r="C101" s="856" t="e">
        <f>building!#REF!</f>
        <v>#REF!</v>
      </c>
      <c r="D101" s="852" t="e">
        <f>building!#REF!</f>
        <v>#REF!</v>
      </c>
      <c r="E101" s="853" t="e">
        <f>building!#REF!</f>
        <v>#REF!</v>
      </c>
      <c r="F101" s="852" t="e">
        <f t="shared" si="1"/>
        <v>#REF!</v>
      </c>
    </row>
    <row r="102" spans="1:6" s="726" customFormat="1" ht="17.25" hidden="1">
      <c r="A102" s="849" t="e">
        <f>building!#REF!</f>
        <v>#REF!</v>
      </c>
      <c r="B102" s="855" t="e">
        <f>building!#REF!</f>
        <v>#REF!</v>
      </c>
      <c r="C102" s="856" t="e">
        <f>building!#REF!</f>
        <v>#REF!</v>
      </c>
      <c r="D102" s="852" t="e">
        <f>building!#REF!</f>
        <v>#REF!</v>
      </c>
      <c r="E102" s="853" t="e">
        <f>building!#REF!</f>
        <v>#REF!</v>
      </c>
      <c r="F102" s="852" t="e">
        <f t="shared" si="1"/>
        <v>#REF!</v>
      </c>
    </row>
    <row r="103" spans="1:6" s="726" customFormat="1" ht="17.25" hidden="1">
      <c r="A103" s="849" t="e">
        <f>building!#REF!</f>
        <v>#REF!</v>
      </c>
      <c r="B103" s="855" t="e">
        <f>building!#REF!</f>
        <v>#REF!</v>
      </c>
      <c r="C103" s="856" t="e">
        <f>building!#REF!</f>
        <v>#REF!</v>
      </c>
      <c r="D103" s="852" t="e">
        <f>building!#REF!</f>
        <v>#REF!</v>
      </c>
      <c r="E103" s="853" t="e">
        <f>building!#REF!</f>
        <v>#REF!</v>
      </c>
      <c r="F103" s="852" t="e">
        <f t="shared" si="1"/>
        <v>#REF!</v>
      </c>
    </row>
    <row r="104" spans="1:6" s="726" customFormat="1" ht="17.25" hidden="1">
      <c r="A104" s="849" t="e">
        <f>building!#REF!</f>
        <v>#REF!</v>
      </c>
      <c r="B104" s="855" t="e">
        <f>building!#REF!</f>
        <v>#REF!</v>
      </c>
      <c r="C104" s="856" t="e">
        <f>building!#REF!</f>
        <v>#REF!</v>
      </c>
      <c r="D104" s="852" t="e">
        <f>building!#REF!</f>
        <v>#REF!</v>
      </c>
      <c r="E104" s="853" t="e">
        <f>building!#REF!</f>
        <v>#REF!</v>
      </c>
      <c r="F104" s="852" t="e">
        <f t="shared" si="1"/>
        <v>#REF!</v>
      </c>
    </row>
    <row r="105" spans="1:6" s="726" customFormat="1" ht="17.25" hidden="1">
      <c r="A105" s="849" t="e">
        <f>building!#REF!</f>
        <v>#REF!</v>
      </c>
      <c r="B105" s="855" t="e">
        <f>building!#REF!</f>
        <v>#REF!</v>
      </c>
      <c r="C105" s="856" t="e">
        <f>building!#REF!</f>
        <v>#REF!</v>
      </c>
      <c r="D105" s="852" t="e">
        <f>building!#REF!</f>
        <v>#REF!</v>
      </c>
      <c r="E105" s="853" t="e">
        <f>building!#REF!</f>
        <v>#REF!</v>
      </c>
      <c r="F105" s="852" t="e">
        <f t="shared" si="1"/>
        <v>#REF!</v>
      </c>
    </row>
    <row r="106" spans="1:6" s="726" customFormat="1" ht="17.25" hidden="1">
      <c r="A106" s="849" t="e">
        <f>building!#REF!</f>
        <v>#REF!</v>
      </c>
      <c r="B106" s="855" t="e">
        <f>building!#REF!</f>
        <v>#REF!</v>
      </c>
      <c r="C106" s="856" t="e">
        <f>building!#REF!</f>
        <v>#REF!</v>
      </c>
      <c r="D106" s="852" t="e">
        <f>building!#REF!</f>
        <v>#REF!</v>
      </c>
      <c r="E106" s="853" t="e">
        <f>building!#REF!</f>
        <v>#REF!</v>
      </c>
      <c r="F106" s="852" t="e">
        <f t="shared" si="1"/>
        <v>#REF!</v>
      </c>
    </row>
    <row r="107" spans="1:6" s="726" customFormat="1" ht="17.25" hidden="1">
      <c r="A107" s="849" t="e">
        <f>building!#REF!</f>
        <v>#REF!</v>
      </c>
      <c r="B107" s="855" t="e">
        <f>building!#REF!</f>
        <v>#REF!</v>
      </c>
      <c r="C107" s="856" t="e">
        <f>building!#REF!</f>
        <v>#REF!</v>
      </c>
      <c r="D107" s="852" t="e">
        <f>building!#REF!</f>
        <v>#REF!</v>
      </c>
      <c r="E107" s="853" t="e">
        <f>building!#REF!</f>
        <v>#REF!</v>
      </c>
      <c r="F107" s="852" t="e">
        <f t="shared" si="1"/>
        <v>#REF!</v>
      </c>
    </row>
    <row r="108" spans="1:6" s="726" customFormat="1" ht="17.25" hidden="1">
      <c r="A108" s="849" t="e">
        <f>building!#REF!</f>
        <v>#REF!</v>
      </c>
      <c r="B108" s="855" t="e">
        <f>building!#REF!</f>
        <v>#REF!</v>
      </c>
      <c r="C108" s="856" t="e">
        <f>building!#REF!</f>
        <v>#REF!</v>
      </c>
      <c r="D108" s="852" t="e">
        <f>building!#REF!</f>
        <v>#REF!</v>
      </c>
      <c r="E108" s="853" t="e">
        <f>building!#REF!</f>
        <v>#REF!</v>
      </c>
      <c r="F108" s="852" t="e">
        <f t="shared" si="1"/>
        <v>#REF!</v>
      </c>
    </row>
    <row r="109" spans="1:6" s="726" customFormat="1" ht="17.25" hidden="1">
      <c r="A109" s="849" t="e">
        <f>building!#REF!</f>
        <v>#REF!</v>
      </c>
      <c r="B109" s="855" t="e">
        <f>building!#REF!</f>
        <v>#REF!</v>
      </c>
      <c r="C109" s="856" t="e">
        <f>building!#REF!</f>
        <v>#REF!</v>
      </c>
      <c r="D109" s="852" t="e">
        <f>building!#REF!</f>
        <v>#REF!</v>
      </c>
      <c r="E109" s="853" t="e">
        <f>building!#REF!</f>
        <v>#REF!</v>
      </c>
      <c r="F109" s="852" t="e">
        <f t="shared" si="1"/>
        <v>#REF!</v>
      </c>
    </row>
    <row r="110" spans="1:6" s="726" customFormat="1" ht="17.25" hidden="1">
      <c r="A110" s="849" t="e">
        <f>building!#REF!</f>
        <v>#REF!</v>
      </c>
      <c r="B110" s="855" t="e">
        <f>building!#REF!</f>
        <v>#REF!</v>
      </c>
      <c r="C110" s="856" t="e">
        <f>building!#REF!</f>
        <v>#REF!</v>
      </c>
      <c r="D110" s="852" t="e">
        <f>building!#REF!</f>
        <v>#REF!</v>
      </c>
      <c r="E110" s="853" t="e">
        <f>building!#REF!</f>
        <v>#REF!</v>
      </c>
      <c r="F110" s="852" t="e">
        <f t="shared" si="1"/>
        <v>#REF!</v>
      </c>
    </row>
    <row r="111" spans="1:6" s="726" customFormat="1" ht="17.25" hidden="1">
      <c r="A111" s="849" t="e">
        <f>building!#REF!</f>
        <v>#REF!</v>
      </c>
      <c r="B111" s="855" t="e">
        <f>building!#REF!</f>
        <v>#REF!</v>
      </c>
      <c r="C111" s="856" t="e">
        <f>building!#REF!</f>
        <v>#REF!</v>
      </c>
      <c r="D111" s="852" t="e">
        <f>building!#REF!</f>
        <v>#REF!</v>
      </c>
      <c r="E111" s="853" t="e">
        <f>building!#REF!</f>
        <v>#REF!</v>
      </c>
      <c r="F111" s="852" t="e">
        <f t="shared" si="1"/>
        <v>#REF!</v>
      </c>
    </row>
    <row r="112" spans="1:6" s="726" customFormat="1" ht="17.25" hidden="1">
      <c r="A112" s="849" t="e">
        <f>building!#REF!</f>
        <v>#REF!</v>
      </c>
      <c r="B112" s="855" t="e">
        <f>building!#REF!</f>
        <v>#REF!</v>
      </c>
      <c r="C112" s="856" t="e">
        <f>building!#REF!</f>
        <v>#REF!</v>
      </c>
      <c r="D112" s="852" t="e">
        <f>building!#REF!</f>
        <v>#REF!</v>
      </c>
      <c r="E112" s="853" t="e">
        <f>building!#REF!</f>
        <v>#REF!</v>
      </c>
      <c r="F112" s="852" t="e">
        <f t="shared" si="1"/>
        <v>#REF!</v>
      </c>
    </row>
    <row r="113" spans="1:6" s="726" customFormat="1" ht="17.25" hidden="1">
      <c r="A113" s="849" t="e">
        <f>building!#REF!</f>
        <v>#REF!</v>
      </c>
      <c r="B113" s="855" t="e">
        <f>building!#REF!</f>
        <v>#REF!</v>
      </c>
      <c r="C113" s="856" t="e">
        <f>building!#REF!</f>
        <v>#REF!</v>
      </c>
      <c r="D113" s="852" t="e">
        <f>building!#REF!</f>
        <v>#REF!</v>
      </c>
      <c r="E113" s="853" t="e">
        <f>building!#REF!</f>
        <v>#REF!</v>
      </c>
      <c r="F113" s="852" t="e">
        <f t="shared" si="1"/>
        <v>#REF!</v>
      </c>
    </row>
    <row r="114" spans="1:6" s="726" customFormat="1" ht="17.25" hidden="1">
      <c r="A114" s="849" t="e">
        <f>building!#REF!</f>
        <v>#REF!</v>
      </c>
      <c r="B114" s="855" t="e">
        <f>building!#REF!</f>
        <v>#REF!</v>
      </c>
      <c r="C114" s="856" t="e">
        <f>building!#REF!</f>
        <v>#REF!</v>
      </c>
      <c r="D114" s="852" t="e">
        <f>building!#REF!</f>
        <v>#REF!</v>
      </c>
      <c r="E114" s="853" t="e">
        <f>building!#REF!</f>
        <v>#REF!</v>
      </c>
      <c r="F114" s="852" t="e">
        <f t="shared" si="1"/>
        <v>#REF!</v>
      </c>
    </row>
    <row r="115" spans="1:6" s="726" customFormat="1" ht="17.25" hidden="1">
      <c r="A115" s="849" t="e">
        <f>building!#REF!</f>
        <v>#REF!</v>
      </c>
      <c r="B115" s="855" t="e">
        <f>building!#REF!</f>
        <v>#REF!</v>
      </c>
      <c r="C115" s="856" t="e">
        <f>building!#REF!</f>
        <v>#REF!</v>
      </c>
      <c r="D115" s="852" t="e">
        <f>building!#REF!</f>
        <v>#REF!</v>
      </c>
      <c r="E115" s="853" t="e">
        <f>building!#REF!</f>
        <v>#REF!</v>
      </c>
      <c r="F115" s="852" t="e">
        <f t="shared" si="1"/>
        <v>#REF!</v>
      </c>
    </row>
    <row r="116" spans="1:6" s="726" customFormat="1" ht="17.25" hidden="1">
      <c r="A116" s="849" t="e">
        <f>building!#REF!</f>
        <v>#REF!</v>
      </c>
      <c r="B116" s="855" t="e">
        <f>building!#REF!</f>
        <v>#REF!</v>
      </c>
      <c r="C116" s="856" t="e">
        <f>building!#REF!</f>
        <v>#REF!</v>
      </c>
      <c r="D116" s="852" t="e">
        <f>building!#REF!</f>
        <v>#REF!</v>
      </c>
      <c r="E116" s="853" t="e">
        <f>building!#REF!</f>
        <v>#REF!</v>
      </c>
      <c r="F116" s="852" t="e">
        <f t="shared" si="1"/>
        <v>#REF!</v>
      </c>
    </row>
    <row r="117" spans="1:6" s="726" customFormat="1" ht="17.25" hidden="1">
      <c r="A117" s="849" t="e">
        <f>building!#REF!</f>
        <v>#REF!</v>
      </c>
      <c r="B117" s="855" t="e">
        <f>building!#REF!</f>
        <v>#REF!</v>
      </c>
      <c r="C117" s="856" t="e">
        <f>building!#REF!</f>
        <v>#REF!</v>
      </c>
      <c r="D117" s="852" t="e">
        <f>building!#REF!</f>
        <v>#REF!</v>
      </c>
      <c r="E117" s="853" t="e">
        <f>building!#REF!</f>
        <v>#REF!</v>
      </c>
      <c r="F117" s="852" t="e">
        <f t="shared" si="1"/>
        <v>#REF!</v>
      </c>
    </row>
    <row r="118" spans="1:6" s="726" customFormat="1" ht="55.5" hidden="1" customHeight="1">
      <c r="A118" s="849">
        <f>building!A30</f>
        <v>9.5</v>
      </c>
      <c r="B118" s="855">
        <f>building!Y30</f>
        <v>0</v>
      </c>
      <c r="C118" s="856" t="str">
        <f>building!B30</f>
        <v>Brick work in C.M. 1:6  using Kiln Burnt Country bricks of size 22 x 11 x 7 cm ( 8 3/4" x 4 1/4" x 2 3/4")</v>
      </c>
      <c r="D118" s="852">
        <f>building!C30</f>
        <v>0</v>
      </c>
      <c r="E118" s="853">
        <f>building!D30</f>
        <v>0</v>
      </c>
      <c r="F118" s="852">
        <f t="shared" si="1"/>
        <v>0</v>
      </c>
    </row>
    <row r="119" spans="1:6" s="726" customFormat="1" ht="26.1" hidden="1" customHeight="1">
      <c r="A119" s="849">
        <f>building!A31</f>
        <v>0</v>
      </c>
      <c r="B119" s="855">
        <f>building!Y31</f>
        <v>100.9</v>
      </c>
      <c r="C119" s="856" t="str">
        <f>building!B31</f>
        <v>a. In Ground Floor</v>
      </c>
      <c r="D119" s="852">
        <f>building!C31</f>
        <v>6017.86</v>
      </c>
      <c r="E119" s="853" t="str">
        <f>building!D31</f>
        <v>Cum.</v>
      </c>
      <c r="F119" s="852">
        <f t="shared" si="1"/>
        <v>607202.06999999995</v>
      </c>
    </row>
    <row r="120" spans="1:6" s="726" customFormat="1" ht="26.1" hidden="1" customHeight="1">
      <c r="A120" s="849">
        <f>building!A32</f>
        <v>0</v>
      </c>
      <c r="B120" s="855">
        <f>building!Y32</f>
        <v>97.3</v>
      </c>
      <c r="C120" s="856" t="str">
        <f>building!B32</f>
        <v>b. In First Floor</v>
      </c>
      <c r="D120" s="852">
        <f>building!C32</f>
        <v>6155.06</v>
      </c>
      <c r="E120" s="853" t="str">
        <f>building!D32</f>
        <v>Cum.</v>
      </c>
      <c r="F120" s="852">
        <f t="shared" si="1"/>
        <v>598887.34</v>
      </c>
    </row>
    <row r="121" spans="1:6" s="726" customFormat="1" ht="26.1" hidden="1" customHeight="1">
      <c r="A121" s="849">
        <f>building!A33</f>
        <v>0</v>
      </c>
      <c r="B121" s="855">
        <f>building!Y33</f>
        <v>83.7</v>
      </c>
      <c r="C121" s="856" t="str">
        <f>building!B33</f>
        <v>c. In Second Floor</v>
      </c>
      <c r="D121" s="852">
        <f>building!C33</f>
        <v>6292.26</v>
      </c>
      <c r="E121" s="853" t="str">
        <f>building!D33</f>
        <v>Cum.</v>
      </c>
      <c r="F121" s="852">
        <f t="shared" si="1"/>
        <v>526662.16</v>
      </c>
    </row>
    <row r="122" spans="1:6" s="726" customFormat="1" ht="26.1" hidden="1" customHeight="1">
      <c r="A122" s="849">
        <f>building!A34</f>
        <v>0</v>
      </c>
      <c r="B122" s="855">
        <f>building!Y34</f>
        <v>17.7</v>
      </c>
      <c r="C122" s="856" t="str">
        <f>building!B34</f>
        <v>d. In Third Floor</v>
      </c>
      <c r="D122" s="852">
        <f>building!C34</f>
        <v>6429.46</v>
      </c>
      <c r="E122" s="853" t="str">
        <f>building!D34</f>
        <v>Cum.</v>
      </c>
      <c r="F122" s="852">
        <f t="shared" si="1"/>
        <v>113801.44</v>
      </c>
    </row>
    <row r="123" spans="1:6" s="726" customFormat="1" ht="22.5" hidden="1" customHeight="1">
      <c r="A123" s="849">
        <f>building!A35</f>
        <v>0</v>
      </c>
      <c r="B123" s="855">
        <f>building!Y35</f>
        <v>0</v>
      </c>
      <c r="C123" s="856" t="str">
        <f>building!B35</f>
        <v>e. In Fourth Floor</v>
      </c>
      <c r="D123" s="852">
        <f>building!C35</f>
        <v>6566.66</v>
      </c>
      <c r="E123" s="853" t="str">
        <f>building!D35</f>
        <v>Cum.</v>
      </c>
      <c r="F123" s="852">
        <f t="shared" si="1"/>
        <v>0</v>
      </c>
    </row>
    <row r="124" spans="1:6" s="726" customFormat="1" ht="24" hidden="1" customHeight="1">
      <c r="A124" s="849" t="e">
        <f>building!#REF!</f>
        <v>#REF!</v>
      </c>
      <c r="B124" s="855" t="e">
        <f>building!#REF!</f>
        <v>#REF!</v>
      </c>
      <c r="C124" s="856" t="e">
        <f>building!#REF!</f>
        <v>#REF!</v>
      </c>
      <c r="D124" s="852" t="e">
        <f>building!#REF!</f>
        <v>#REF!</v>
      </c>
      <c r="E124" s="853" t="e">
        <f>building!#REF!</f>
        <v>#REF!</v>
      </c>
      <c r="F124" s="852" t="e">
        <f t="shared" si="1"/>
        <v>#REF!</v>
      </c>
    </row>
    <row r="125" spans="1:6" ht="24" hidden="1" customHeight="1">
      <c r="A125" s="849" t="e">
        <f>building!#REF!</f>
        <v>#REF!</v>
      </c>
      <c r="B125" s="855" t="e">
        <f>building!#REF!</f>
        <v>#REF!</v>
      </c>
      <c r="C125" s="856" t="e">
        <f>building!#REF!</f>
        <v>#REF!</v>
      </c>
      <c r="D125" s="852" t="e">
        <f>building!#REF!</f>
        <v>#REF!</v>
      </c>
      <c r="E125" s="853" t="e">
        <f>building!#REF!</f>
        <v>#REF!</v>
      </c>
      <c r="F125" s="852" t="e">
        <f t="shared" si="1"/>
        <v>#REF!</v>
      </c>
    </row>
    <row r="126" spans="1:6" ht="15.75" hidden="1">
      <c r="A126" s="849" t="e">
        <f>building!#REF!</f>
        <v>#REF!</v>
      </c>
      <c r="B126" s="855" t="e">
        <f>building!#REF!</f>
        <v>#REF!</v>
      </c>
      <c r="C126" s="856" t="e">
        <f>building!#REF!</f>
        <v>#REF!</v>
      </c>
      <c r="D126" s="852" t="e">
        <f>building!#REF!</f>
        <v>#REF!</v>
      </c>
      <c r="E126" s="853" t="e">
        <f>building!#REF!</f>
        <v>#REF!</v>
      </c>
      <c r="F126" s="852" t="e">
        <f t="shared" si="1"/>
        <v>#REF!</v>
      </c>
    </row>
    <row r="127" spans="1:6" ht="15.75" hidden="1">
      <c r="A127" s="849" t="e">
        <f>building!#REF!</f>
        <v>#REF!</v>
      </c>
      <c r="B127" s="855" t="e">
        <f>building!#REF!</f>
        <v>#REF!</v>
      </c>
      <c r="C127" s="856" t="e">
        <f>building!#REF!</f>
        <v>#REF!</v>
      </c>
      <c r="D127" s="852" t="e">
        <f>building!#REF!</f>
        <v>#REF!</v>
      </c>
      <c r="E127" s="853" t="e">
        <f>building!#REF!</f>
        <v>#REF!</v>
      </c>
      <c r="F127" s="852" t="e">
        <f t="shared" si="1"/>
        <v>#REF!</v>
      </c>
    </row>
    <row r="128" spans="1:6" ht="15.75" hidden="1">
      <c r="A128" s="849" t="e">
        <f>building!#REF!</f>
        <v>#REF!</v>
      </c>
      <c r="B128" s="855" t="e">
        <f>building!#REF!</f>
        <v>#REF!</v>
      </c>
      <c r="C128" s="856" t="e">
        <f>building!#REF!</f>
        <v>#REF!</v>
      </c>
      <c r="D128" s="852" t="e">
        <f>building!#REF!</f>
        <v>#REF!</v>
      </c>
      <c r="E128" s="853" t="e">
        <f>building!#REF!</f>
        <v>#REF!</v>
      </c>
      <c r="F128" s="852" t="e">
        <f t="shared" si="1"/>
        <v>#REF!</v>
      </c>
    </row>
    <row r="129" spans="1:6" ht="15.75" hidden="1">
      <c r="A129" s="849" t="e">
        <f>building!#REF!</f>
        <v>#REF!</v>
      </c>
      <c r="B129" s="855" t="e">
        <f>building!#REF!</f>
        <v>#REF!</v>
      </c>
      <c r="C129" s="856" t="e">
        <f>building!#REF!</f>
        <v>#REF!</v>
      </c>
      <c r="D129" s="852" t="e">
        <f>building!#REF!</f>
        <v>#REF!</v>
      </c>
      <c r="E129" s="853" t="e">
        <f>building!#REF!</f>
        <v>#REF!</v>
      </c>
      <c r="F129" s="852" t="e">
        <f t="shared" si="1"/>
        <v>#REF!</v>
      </c>
    </row>
    <row r="130" spans="1:6" ht="15.75" hidden="1">
      <c r="A130" s="849" t="e">
        <f>building!#REF!</f>
        <v>#REF!</v>
      </c>
      <c r="B130" s="855" t="e">
        <f>building!#REF!</f>
        <v>#REF!</v>
      </c>
      <c r="C130" s="856" t="e">
        <f>building!#REF!</f>
        <v>#REF!</v>
      </c>
      <c r="D130" s="852" t="e">
        <f>building!#REF!</f>
        <v>#REF!</v>
      </c>
      <c r="E130" s="853" t="e">
        <f>building!#REF!</f>
        <v>#REF!</v>
      </c>
      <c r="F130" s="852" t="e">
        <f t="shared" si="1"/>
        <v>#REF!</v>
      </c>
    </row>
    <row r="131" spans="1:6" s="726" customFormat="1" ht="17.25" hidden="1">
      <c r="A131" s="849" t="e">
        <f>building!#REF!</f>
        <v>#REF!</v>
      </c>
      <c r="B131" s="855" t="e">
        <f>building!#REF!</f>
        <v>#REF!</v>
      </c>
      <c r="C131" s="856" t="e">
        <f>building!#REF!</f>
        <v>#REF!</v>
      </c>
      <c r="D131" s="852" t="e">
        <f>building!#REF!</f>
        <v>#REF!</v>
      </c>
      <c r="E131" s="853" t="e">
        <f>building!#REF!</f>
        <v>#REF!</v>
      </c>
      <c r="F131" s="852" t="e">
        <f t="shared" si="1"/>
        <v>#REF!</v>
      </c>
    </row>
    <row r="132" spans="1:6" s="726" customFormat="1" ht="17.25" hidden="1">
      <c r="A132" s="849" t="e">
        <f>building!#REF!</f>
        <v>#REF!</v>
      </c>
      <c r="B132" s="855" t="e">
        <f>building!#REF!</f>
        <v>#REF!</v>
      </c>
      <c r="C132" s="856" t="e">
        <f>building!#REF!</f>
        <v>#REF!</v>
      </c>
      <c r="D132" s="852" t="e">
        <f>building!#REF!</f>
        <v>#REF!</v>
      </c>
      <c r="E132" s="853" t="e">
        <f>building!#REF!</f>
        <v>#REF!</v>
      </c>
      <c r="F132" s="852" t="e">
        <f t="shared" si="1"/>
        <v>#REF!</v>
      </c>
    </row>
    <row r="133" spans="1:6" s="726" customFormat="1" ht="17.25" hidden="1">
      <c r="A133" s="849" t="e">
        <f>building!#REF!</f>
        <v>#REF!</v>
      </c>
      <c r="B133" s="855" t="e">
        <f>building!#REF!</f>
        <v>#REF!</v>
      </c>
      <c r="C133" s="856" t="e">
        <f>building!#REF!</f>
        <v>#REF!</v>
      </c>
      <c r="D133" s="852" t="e">
        <f>building!#REF!</f>
        <v>#REF!</v>
      </c>
      <c r="E133" s="853" t="e">
        <f>building!#REF!</f>
        <v>#REF!</v>
      </c>
      <c r="F133" s="852" t="e">
        <f t="shared" si="1"/>
        <v>#REF!</v>
      </c>
    </row>
    <row r="134" spans="1:6" s="726" customFormat="1" ht="17.25" hidden="1">
      <c r="A134" s="849" t="e">
        <f>building!#REF!</f>
        <v>#REF!</v>
      </c>
      <c r="B134" s="855" t="e">
        <f>building!#REF!</f>
        <v>#REF!</v>
      </c>
      <c r="C134" s="856" t="e">
        <f>building!#REF!</f>
        <v>#REF!</v>
      </c>
      <c r="D134" s="852" t="e">
        <f>building!#REF!</f>
        <v>#REF!</v>
      </c>
      <c r="E134" s="853" t="e">
        <f>building!#REF!</f>
        <v>#REF!</v>
      </c>
      <c r="F134" s="852" t="e">
        <f t="shared" si="1"/>
        <v>#REF!</v>
      </c>
    </row>
    <row r="135" spans="1:6" s="726" customFormat="1" ht="17.25" hidden="1">
      <c r="A135" s="849" t="e">
        <f>building!#REF!</f>
        <v>#REF!</v>
      </c>
      <c r="B135" s="855" t="e">
        <f>building!#REF!</f>
        <v>#REF!</v>
      </c>
      <c r="C135" s="856" t="e">
        <f>building!#REF!</f>
        <v>#REF!</v>
      </c>
      <c r="D135" s="852" t="e">
        <f>building!#REF!</f>
        <v>#REF!</v>
      </c>
      <c r="E135" s="853" t="e">
        <f>building!#REF!</f>
        <v>#REF!</v>
      </c>
      <c r="F135" s="852" t="e">
        <f t="shared" si="1"/>
        <v>#REF!</v>
      </c>
    </row>
    <row r="136" spans="1:6" s="726" customFormat="1" ht="17.25" hidden="1">
      <c r="A136" s="849" t="e">
        <f>building!#REF!</f>
        <v>#REF!</v>
      </c>
      <c r="B136" s="855" t="e">
        <f>building!#REF!</f>
        <v>#REF!</v>
      </c>
      <c r="C136" s="856" t="e">
        <f>building!#REF!</f>
        <v>#REF!</v>
      </c>
      <c r="D136" s="852" t="e">
        <f>building!#REF!</f>
        <v>#REF!</v>
      </c>
      <c r="E136" s="853" t="e">
        <f>building!#REF!</f>
        <v>#REF!</v>
      </c>
      <c r="F136" s="852" t="e">
        <f t="shared" ref="F136:F199" si="2">D136*B136</f>
        <v>#REF!</v>
      </c>
    </row>
    <row r="137" spans="1:6" s="726" customFormat="1" ht="58.9" customHeight="1">
      <c r="A137" s="849" t="e">
        <f>building!#REF!</f>
        <v>#REF!</v>
      </c>
      <c r="B137" s="850" t="e">
        <f>building!#REF!</f>
        <v>#REF!</v>
      </c>
      <c r="C137" s="851" t="e">
        <f>building!#REF!</f>
        <v>#REF!</v>
      </c>
      <c r="D137" s="852" t="e">
        <f>building!#REF!</f>
        <v>#REF!</v>
      </c>
      <c r="E137" s="853" t="e">
        <f>building!#REF!</f>
        <v>#REF!</v>
      </c>
      <c r="F137" s="852"/>
    </row>
    <row r="138" spans="1:6" s="726" customFormat="1" ht="33" customHeight="1">
      <c r="A138" s="849" t="e">
        <f>building!#REF!</f>
        <v>#REF!</v>
      </c>
      <c r="B138" s="855" t="e">
        <f>building!#REF!</f>
        <v>#REF!</v>
      </c>
      <c r="C138" s="856" t="e">
        <f>building!#REF!</f>
        <v>#REF!</v>
      </c>
      <c r="D138" s="852" t="e">
        <f>building!#REF!</f>
        <v>#REF!</v>
      </c>
      <c r="E138" s="853" t="e">
        <f>building!#REF!</f>
        <v>#REF!</v>
      </c>
      <c r="F138" s="852" t="e">
        <f t="shared" si="2"/>
        <v>#REF!</v>
      </c>
    </row>
    <row r="139" spans="1:6" s="726" customFormat="1" ht="33" customHeight="1">
      <c r="A139" s="849" t="e">
        <f>building!#REF!</f>
        <v>#REF!</v>
      </c>
      <c r="B139" s="855" t="e">
        <f>building!#REF!</f>
        <v>#REF!</v>
      </c>
      <c r="C139" s="856" t="e">
        <f>building!#REF!</f>
        <v>#REF!</v>
      </c>
      <c r="D139" s="852" t="e">
        <f>building!#REF!</f>
        <v>#REF!</v>
      </c>
      <c r="E139" s="853" t="e">
        <f>building!#REF!</f>
        <v>#REF!</v>
      </c>
      <c r="F139" s="852" t="e">
        <f t="shared" si="2"/>
        <v>#REF!</v>
      </c>
    </row>
    <row r="140" spans="1:6" s="726" customFormat="1" ht="33" customHeight="1">
      <c r="A140" s="849" t="e">
        <f>building!#REF!</f>
        <v>#REF!</v>
      </c>
      <c r="B140" s="855" t="e">
        <f>building!#REF!</f>
        <v>#REF!</v>
      </c>
      <c r="C140" s="856" t="e">
        <f>building!#REF!</f>
        <v>#REF!</v>
      </c>
      <c r="D140" s="852" t="e">
        <f>building!#REF!</f>
        <v>#REF!</v>
      </c>
      <c r="E140" s="853" t="e">
        <f>building!#REF!</f>
        <v>#REF!</v>
      </c>
      <c r="F140" s="852" t="e">
        <f t="shared" si="2"/>
        <v>#REF!</v>
      </c>
    </row>
    <row r="141" spans="1:6" s="726" customFormat="1" ht="33" customHeight="1">
      <c r="A141" s="849" t="e">
        <f>building!#REF!</f>
        <v>#REF!</v>
      </c>
      <c r="B141" s="855" t="e">
        <f>building!#REF!</f>
        <v>#REF!</v>
      </c>
      <c r="C141" s="856" t="e">
        <f>building!#REF!</f>
        <v>#REF!</v>
      </c>
      <c r="D141" s="852" t="e">
        <f>building!#REF!</f>
        <v>#REF!</v>
      </c>
      <c r="E141" s="853" t="e">
        <f>building!#REF!</f>
        <v>#REF!</v>
      </c>
      <c r="F141" s="852" t="e">
        <f t="shared" si="2"/>
        <v>#REF!</v>
      </c>
    </row>
    <row r="142" spans="1:6" s="726" customFormat="1" ht="33" customHeight="1">
      <c r="A142" s="849" t="e">
        <f>building!#REF!</f>
        <v>#REF!</v>
      </c>
      <c r="B142" s="855" t="e">
        <f>building!#REF!</f>
        <v>#REF!</v>
      </c>
      <c r="C142" s="856" t="e">
        <f>building!#REF!</f>
        <v>#REF!</v>
      </c>
      <c r="D142" s="852" t="e">
        <f>building!#REF!</f>
        <v>#REF!</v>
      </c>
      <c r="E142" s="853" t="e">
        <f>building!#REF!</f>
        <v>#REF!</v>
      </c>
      <c r="F142" s="852" t="e">
        <f t="shared" si="2"/>
        <v>#REF!</v>
      </c>
    </row>
    <row r="143" spans="1:6" s="726" customFormat="1" ht="17.25" hidden="1">
      <c r="A143" s="849" t="e">
        <f>building!#REF!</f>
        <v>#REF!</v>
      </c>
      <c r="B143" s="855" t="e">
        <f>building!#REF!</f>
        <v>#REF!</v>
      </c>
      <c r="C143" s="856" t="e">
        <f>building!#REF!</f>
        <v>#REF!</v>
      </c>
      <c r="D143" s="852" t="e">
        <f>building!#REF!</f>
        <v>#REF!</v>
      </c>
      <c r="E143" s="853" t="e">
        <f>building!#REF!</f>
        <v>#REF!</v>
      </c>
      <c r="F143" s="852" t="e">
        <f t="shared" si="2"/>
        <v>#REF!</v>
      </c>
    </row>
    <row r="144" spans="1:6" s="726" customFormat="1" ht="17.25" hidden="1">
      <c r="A144" s="849" t="e">
        <f>building!#REF!</f>
        <v>#REF!</v>
      </c>
      <c r="B144" s="855" t="e">
        <f>building!#REF!</f>
        <v>#REF!</v>
      </c>
      <c r="C144" s="856" t="e">
        <f>building!#REF!</f>
        <v>#REF!</v>
      </c>
      <c r="D144" s="852" t="e">
        <f>building!#REF!</f>
        <v>#REF!</v>
      </c>
      <c r="E144" s="853" t="e">
        <f>building!#REF!</f>
        <v>#REF!</v>
      </c>
      <c r="F144" s="852" t="e">
        <f t="shared" si="2"/>
        <v>#REF!</v>
      </c>
    </row>
    <row r="145" spans="1:6" s="726" customFormat="1" ht="17.25" hidden="1">
      <c r="A145" s="849" t="e">
        <f>building!#REF!</f>
        <v>#REF!</v>
      </c>
      <c r="B145" s="855" t="e">
        <f>building!#REF!</f>
        <v>#REF!</v>
      </c>
      <c r="C145" s="856" t="e">
        <f>building!#REF!</f>
        <v>#REF!</v>
      </c>
      <c r="D145" s="852" t="e">
        <f>building!#REF!</f>
        <v>#REF!</v>
      </c>
      <c r="E145" s="853" t="e">
        <f>building!#REF!</f>
        <v>#REF!</v>
      </c>
      <c r="F145" s="852" t="e">
        <f t="shared" si="2"/>
        <v>#REF!</v>
      </c>
    </row>
    <row r="146" spans="1:6" s="726" customFormat="1" ht="17.25" hidden="1">
      <c r="A146" s="849" t="e">
        <f>building!#REF!</f>
        <v>#REF!</v>
      </c>
      <c r="B146" s="855" t="e">
        <f>building!#REF!</f>
        <v>#REF!</v>
      </c>
      <c r="C146" s="856" t="e">
        <f>building!#REF!</f>
        <v>#REF!</v>
      </c>
      <c r="D146" s="852" t="e">
        <f>building!#REF!</f>
        <v>#REF!</v>
      </c>
      <c r="E146" s="853" t="e">
        <f>building!#REF!</f>
        <v>#REF!</v>
      </c>
      <c r="F146" s="852" t="e">
        <f t="shared" si="2"/>
        <v>#REF!</v>
      </c>
    </row>
    <row r="147" spans="1:6" s="726" customFormat="1" ht="17.25" hidden="1">
      <c r="A147" s="849" t="e">
        <f>building!#REF!</f>
        <v>#REF!</v>
      </c>
      <c r="B147" s="855" t="e">
        <f>building!#REF!</f>
        <v>#REF!</v>
      </c>
      <c r="C147" s="856" t="e">
        <f>building!#REF!</f>
        <v>#REF!</v>
      </c>
      <c r="D147" s="852" t="e">
        <f>building!#REF!</f>
        <v>#REF!</v>
      </c>
      <c r="E147" s="853" t="e">
        <f>building!#REF!</f>
        <v>#REF!</v>
      </c>
      <c r="F147" s="852" t="e">
        <f t="shared" si="2"/>
        <v>#REF!</v>
      </c>
    </row>
    <row r="148" spans="1:6" s="726" customFormat="1" ht="17.25" hidden="1">
      <c r="A148" s="849" t="e">
        <f>building!#REF!</f>
        <v>#REF!</v>
      </c>
      <c r="B148" s="855" t="e">
        <f>building!#REF!</f>
        <v>#REF!</v>
      </c>
      <c r="C148" s="856" t="e">
        <f>building!#REF!</f>
        <v>#REF!</v>
      </c>
      <c r="D148" s="852" t="e">
        <f>building!#REF!</f>
        <v>#REF!</v>
      </c>
      <c r="E148" s="853" t="e">
        <f>building!#REF!</f>
        <v>#REF!</v>
      </c>
      <c r="F148" s="852" t="e">
        <f t="shared" si="2"/>
        <v>#REF!</v>
      </c>
    </row>
    <row r="149" spans="1:6" s="726" customFormat="1" ht="17.25" hidden="1">
      <c r="A149" s="849" t="e">
        <f>building!#REF!</f>
        <v>#REF!</v>
      </c>
      <c r="B149" s="855" t="e">
        <f>building!#REF!</f>
        <v>#REF!</v>
      </c>
      <c r="C149" s="856" t="e">
        <f>building!#REF!</f>
        <v>#REF!</v>
      </c>
      <c r="D149" s="852" t="e">
        <f>building!#REF!</f>
        <v>#REF!</v>
      </c>
      <c r="E149" s="853" t="e">
        <f>building!#REF!</f>
        <v>#REF!</v>
      </c>
      <c r="F149" s="852" t="e">
        <f t="shared" si="2"/>
        <v>#REF!</v>
      </c>
    </row>
    <row r="150" spans="1:6" s="726" customFormat="1" ht="17.25" hidden="1">
      <c r="A150" s="849" t="e">
        <f>building!#REF!</f>
        <v>#REF!</v>
      </c>
      <c r="B150" s="855" t="e">
        <f>building!#REF!</f>
        <v>#REF!</v>
      </c>
      <c r="C150" s="856" t="e">
        <f>building!#REF!</f>
        <v>#REF!</v>
      </c>
      <c r="D150" s="852" t="e">
        <f>building!#REF!</f>
        <v>#REF!</v>
      </c>
      <c r="E150" s="853" t="e">
        <f>building!#REF!</f>
        <v>#REF!</v>
      </c>
      <c r="F150" s="852" t="e">
        <f t="shared" si="2"/>
        <v>#REF!</v>
      </c>
    </row>
    <row r="151" spans="1:6" s="726" customFormat="1" ht="17.25" hidden="1">
      <c r="A151" s="849" t="e">
        <f>building!#REF!</f>
        <v>#REF!</v>
      </c>
      <c r="B151" s="855" t="e">
        <f>building!#REF!</f>
        <v>#REF!</v>
      </c>
      <c r="C151" s="856" t="e">
        <f>building!#REF!</f>
        <v>#REF!</v>
      </c>
      <c r="D151" s="852" t="e">
        <f>building!#REF!</f>
        <v>#REF!</v>
      </c>
      <c r="E151" s="853" t="e">
        <f>building!#REF!</f>
        <v>#REF!</v>
      </c>
      <c r="F151" s="852" t="e">
        <f t="shared" si="2"/>
        <v>#REF!</v>
      </c>
    </row>
    <row r="152" spans="1:6" s="726" customFormat="1" ht="17.25" hidden="1">
      <c r="A152" s="849" t="e">
        <f>building!#REF!</f>
        <v>#REF!</v>
      </c>
      <c r="B152" s="855" t="e">
        <f>building!#REF!</f>
        <v>#REF!</v>
      </c>
      <c r="C152" s="856" t="e">
        <f>building!#REF!</f>
        <v>#REF!</v>
      </c>
      <c r="D152" s="852" t="e">
        <f>building!#REF!</f>
        <v>#REF!</v>
      </c>
      <c r="E152" s="853" t="e">
        <f>building!#REF!</f>
        <v>#REF!</v>
      </c>
      <c r="F152" s="852" t="e">
        <f t="shared" si="2"/>
        <v>#REF!</v>
      </c>
    </row>
    <row r="153" spans="1:6" s="726" customFormat="1" ht="17.25" hidden="1">
      <c r="A153" s="849" t="e">
        <f>building!#REF!</f>
        <v>#REF!</v>
      </c>
      <c r="B153" s="855" t="e">
        <f>building!#REF!</f>
        <v>#REF!</v>
      </c>
      <c r="C153" s="856" t="e">
        <f>building!#REF!</f>
        <v>#REF!</v>
      </c>
      <c r="D153" s="852" t="e">
        <f>building!#REF!</f>
        <v>#REF!</v>
      </c>
      <c r="E153" s="853" t="e">
        <f>building!#REF!</f>
        <v>#REF!</v>
      </c>
      <c r="F153" s="852" t="e">
        <f t="shared" si="2"/>
        <v>#REF!</v>
      </c>
    </row>
    <row r="154" spans="1:6" s="726" customFormat="1" ht="17.25" hidden="1">
      <c r="A154" s="849" t="e">
        <f>building!#REF!</f>
        <v>#REF!</v>
      </c>
      <c r="B154" s="855" t="e">
        <f>building!#REF!</f>
        <v>#REF!</v>
      </c>
      <c r="C154" s="856" t="e">
        <f>building!#REF!</f>
        <v>#REF!</v>
      </c>
      <c r="D154" s="852" t="e">
        <f>building!#REF!</f>
        <v>#REF!</v>
      </c>
      <c r="E154" s="853" t="e">
        <f>building!#REF!</f>
        <v>#REF!</v>
      </c>
      <c r="F154" s="852" t="e">
        <f t="shared" si="2"/>
        <v>#REF!</v>
      </c>
    </row>
    <row r="155" spans="1:6" s="726" customFormat="1" ht="17.25" hidden="1">
      <c r="A155" s="849" t="e">
        <f>building!#REF!</f>
        <v>#REF!</v>
      </c>
      <c r="B155" s="855" t="e">
        <f>building!#REF!</f>
        <v>#REF!</v>
      </c>
      <c r="C155" s="856" t="e">
        <f>building!#REF!</f>
        <v>#REF!</v>
      </c>
      <c r="D155" s="852" t="e">
        <f>building!#REF!</f>
        <v>#REF!</v>
      </c>
      <c r="E155" s="853" t="e">
        <f>building!#REF!</f>
        <v>#REF!</v>
      </c>
      <c r="F155" s="852" t="e">
        <f t="shared" si="2"/>
        <v>#REF!</v>
      </c>
    </row>
    <row r="156" spans="1:6" s="726" customFormat="1" ht="17.25" hidden="1">
      <c r="A156" s="849" t="e">
        <f>building!#REF!</f>
        <v>#REF!</v>
      </c>
      <c r="B156" s="855" t="e">
        <f>building!#REF!</f>
        <v>#REF!</v>
      </c>
      <c r="C156" s="856" t="e">
        <f>building!#REF!</f>
        <v>#REF!</v>
      </c>
      <c r="D156" s="852" t="e">
        <f>building!#REF!</f>
        <v>#REF!</v>
      </c>
      <c r="E156" s="853" t="e">
        <f>building!#REF!</f>
        <v>#REF!</v>
      </c>
      <c r="F156" s="852" t="e">
        <f t="shared" si="2"/>
        <v>#REF!</v>
      </c>
    </row>
    <row r="157" spans="1:6" s="726" customFormat="1" ht="17.25" hidden="1">
      <c r="A157" s="849" t="e">
        <f>building!#REF!</f>
        <v>#REF!</v>
      </c>
      <c r="B157" s="855" t="e">
        <f>building!#REF!</f>
        <v>#REF!</v>
      </c>
      <c r="C157" s="856" t="e">
        <f>building!#REF!</f>
        <v>#REF!</v>
      </c>
      <c r="D157" s="852" t="e">
        <f>building!#REF!</f>
        <v>#REF!</v>
      </c>
      <c r="E157" s="853" t="e">
        <f>building!#REF!</f>
        <v>#REF!</v>
      </c>
      <c r="F157" s="852" t="e">
        <f t="shared" si="2"/>
        <v>#REF!</v>
      </c>
    </row>
    <row r="158" spans="1:6" s="726" customFormat="1" ht="17.25" hidden="1">
      <c r="A158" s="849" t="e">
        <f>building!#REF!</f>
        <v>#REF!</v>
      </c>
      <c r="B158" s="855" t="e">
        <f>building!#REF!</f>
        <v>#REF!</v>
      </c>
      <c r="C158" s="856" t="e">
        <f>building!#REF!</f>
        <v>#REF!</v>
      </c>
      <c r="D158" s="852" t="e">
        <f>building!#REF!</f>
        <v>#REF!</v>
      </c>
      <c r="E158" s="853" t="e">
        <f>building!#REF!</f>
        <v>#REF!</v>
      </c>
      <c r="F158" s="852" t="e">
        <f t="shared" si="2"/>
        <v>#REF!</v>
      </c>
    </row>
    <row r="159" spans="1:6" s="726" customFormat="1" ht="17.25" hidden="1">
      <c r="A159" s="849" t="e">
        <f>building!#REF!</f>
        <v>#REF!</v>
      </c>
      <c r="B159" s="855" t="e">
        <f>building!#REF!</f>
        <v>#REF!</v>
      </c>
      <c r="C159" s="856" t="e">
        <f>building!#REF!</f>
        <v>#REF!</v>
      </c>
      <c r="D159" s="852" t="e">
        <f>building!#REF!</f>
        <v>#REF!</v>
      </c>
      <c r="E159" s="853" t="e">
        <f>building!#REF!</f>
        <v>#REF!</v>
      </c>
      <c r="F159" s="852" t="e">
        <f t="shared" si="2"/>
        <v>#REF!</v>
      </c>
    </row>
    <row r="160" spans="1:6" s="726" customFormat="1" ht="17.25" hidden="1">
      <c r="A160" s="849" t="e">
        <f>building!#REF!</f>
        <v>#REF!</v>
      </c>
      <c r="B160" s="855" t="e">
        <f>building!#REF!</f>
        <v>#REF!</v>
      </c>
      <c r="C160" s="856" t="e">
        <f>building!#REF!</f>
        <v>#REF!</v>
      </c>
      <c r="D160" s="852" t="e">
        <f>building!#REF!</f>
        <v>#REF!</v>
      </c>
      <c r="E160" s="853" t="e">
        <f>building!#REF!</f>
        <v>#REF!</v>
      </c>
      <c r="F160" s="852" t="e">
        <f t="shared" si="2"/>
        <v>#REF!</v>
      </c>
    </row>
    <row r="161" spans="1:6" s="726" customFormat="1" ht="17.25" hidden="1">
      <c r="A161" s="849" t="e">
        <f>building!#REF!</f>
        <v>#REF!</v>
      </c>
      <c r="B161" s="855" t="e">
        <f>building!#REF!</f>
        <v>#REF!</v>
      </c>
      <c r="C161" s="856" t="e">
        <f>building!#REF!</f>
        <v>#REF!</v>
      </c>
      <c r="D161" s="852" t="e">
        <f>building!#REF!</f>
        <v>#REF!</v>
      </c>
      <c r="E161" s="853" t="e">
        <f>building!#REF!</f>
        <v>#REF!</v>
      </c>
      <c r="F161" s="852" t="e">
        <f t="shared" si="2"/>
        <v>#REF!</v>
      </c>
    </row>
    <row r="162" spans="1:6" s="726" customFormat="1" ht="17.25" hidden="1">
      <c r="A162" s="849" t="e">
        <f>building!#REF!</f>
        <v>#REF!</v>
      </c>
      <c r="B162" s="855" t="e">
        <f>building!#REF!</f>
        <v>#REF!</v>
      </c>
      <c r="C162" s="856" t="e">
        <f>building!#REF!</f>
        <v>#REF!</v>
      </c>
      <c r="D162" s="852" t="e">
        <f>building!#REF!</f>
        <v>#REF!</v>
      </c>
      <c r="E162" s="853" t="e">
        <f>building!#REF!</f>
        <v>#REF!</v>
      </c>
      <c r="F162" s="852" t="e">
        <f t="shared" si="2"/>
        <v>#REF!</v>
      </c>
    </row>
    <row r="163" spans="1:6" s="726" customFormat="1" ht="17.25" hidden="1">
      <c r="A163" s="849" t="e">
        <f>building!#REF!</f>
        <v>#REF!</v>
      </c>
      <c r="B163" s="855" t="e">
        <f>building!#REF!</f>
        <v>#REF!</v>
      </c>
      <c r="C163" s="856" t="e">
        <f>building!#REF!</f>
        <v>#REF!</v>
      </c>
      <c r="D163" s="852" t="e">
        <f>building!#REF!</f>
        <v>#REF!</v>
      </c>
      <c r="E163" s="853" t="e">
        <f>building!#REF!</f>
        <v>#REF!</v>
      </c>
      <c r="F163" s="852" t="e">
        <f t="shared" si="2"/>
        <v>#REF!</v>
      </c>
    </row>
    <row r="164" spans="1:6" s="726" customFormat="1" ht="17.25" hidden="1">
      <c r="A164" s="849" t="e">
        <f>building!#REF!</f>
        <v>#REF!</v>
      </c>
      <c r="B164" s="855" t="e">
        <f>building!#REF!</f>
        <v>#REF!</v>
      </c>
      <c r="C164" s="856" t="e">
        <f>building!#REF!</f>
        <v>#REF!</v>
      </c>
      <c r="D164" s="852" t="e">
        <f>building!#REF!</f>
        <v>#REF!</v>
      </c>
      <c r="E164" s="853" t="e">
        <f>building!#REF!</f>
        <v>#REF!</v>
      </c>
      <c r="F164" s="852" t="e">
        <f t="shared" si="2"/>
        <v>#REF!</v>
      </c>
    </row>
    <row r="165" spans="1:6" s="726" customFormat="1" ht="17.25" hidden="1">
      <c r="A165" s="849" t="e">
        <f>building!#REF!</f>
        <v>#REF!</v>
      </c>
      <c r="B165" s="855" t="e">
        <f>building!#REF!</f>
        <v>#REF!</v>
      </c>
      <c r="C165" s="856" t="e">
        <f>building!#REF!</f>
        <v>#REF!</v>
      </c>
      <c r="D165" s="852" t="e">
        <f>building!#REF!</f>
        <v>#REF!</v>
      </c>
      <c r="E165" s="853" t="e">
        <f>building!#REF!</f>
        <v>#REF!</v>
      </c>
      <c r="F165" s="852" t="e">
        <f t="shared" si="2"/>
        <v>#REF!</v>
      </c>
    </row>
    <row r="166" spans="1:6" s="726" customFormat="1" ht="17.25" hidden="1">
      <c r="A166" s="849" t="e">
        <f>building!#REF!</f>
        <v>#REF!</v>
      </c>
      <c r="B166" s="855" t="e">
        <f>building!#REF!</f>
        <v>#REF!</v>
      </c>
      <c r="C166" s="856" t="e">
        <f>building!#REF!</f>
        <v>#REF!</v>
      </c>
      <c r="D166" s="852" t="e">
        <f>building!#REF!</f>
        <v>#REF!</v>
      </c>
      <c r="E166" s="853" t="e">
        <f>building!#REF!</f>
        <v>#REF!</v>
      </c>
      <c r="F166" s="852" t="e">
        <f t="shared" si="2"/>
        <v>#REF!</v>
      </c>
    </row>
    <row r="167" spans="1:6" s="726" customFormat="1" ht="51.75" hidden="1" customHeight="1">
      <c r="A167" s="849">
        <f>building!A36</f>
        <v>10.5</v>
      </c>
      <c r="B167" s="855">
        <f>building!Y36</f>
        <v>0</v>
      </c>
      <c r="C167" s="856" t="str">
        <f>building!B36</f>
        <v>Brick partition work in C.M. 1:4 Kiln Burnt Country bricks of size 22 x 11 x 7 cm (8 3/4" x 4 1/4" x 2 3/4") 110 mm tk (B.P.)</v>
      </c>
      <c r="D167" s="852">
        <f>building!C36</f>
        <v>0</v>
      </c>
      <c r="E167" s="853">
        <f>building!D36</f>
        <v>0</v>
      </c>
      <c r="F167" s="852">
        <f t="shared" si="2"/>
        <v>0</v>
      </c>
    </row>
    <row r="168" spans="1:6" s="726" customFormat="1" ht="30" hidden="1" customHeight="1">
      <c r="A168" s="849">
        <f>building!A37</f>
        <v>0</v>
      </c>
      <c r="B168" s="855">
        <f>building!Y37</f>
        <v>153.4</v>
      </c>
      <c r="C168" s="856" t="str">
        <f>building!B37</f>
        <v>a. In Foundation and basement</v>
      </c>
      <c r="D168" s="852">
        <f>building!C37</f>
        <v>725.95</v>
      </c>
      <c r="E168" s="853" t="str">
        <f>building!D37</f>
        <v>Sqm.</v>
      </c>
      <c r="F168" s="852">
        <f t="shared" si="2"/>
        <v>111360.73</v>
      </c>
    </row>
    <row r="169" spans="1:6" s="726" customFormat="1" ht="30" hidden="1" customHeight="1">
      <c r="A169" s="849">
        <f>building!A38</f>
        <v>0</v>
      </c>
      <c r="B169" s="855">
        <f>building!Y38</f>
        <v>164.4</v>
      </c>
      <c r="C169" s="856" t="str">
        <f>building!B38</f>
        <v>b. In Ground Floor</v>
      </c>
      <c r="D169" s="852">
        <f>building!C38</f>
        <v>733.43</v>
      </c>
      <c r="E169" s="853" t="str">
        <f>building!D38</f>
        <v>Sqm.</v>
      </c>
      <c r="F169" s="852">
        <f t="shared" si="2"/>
        <v>120575.89</v>
      </c>
    </row>
    <row r="170" spans="1:6" s="726" customFormat="1" ht="30" hidden="1" customHeight="1">
      <c r="A170" s="849">
        <f>building!A39</f>
        <v>0</v>
      </c>
      <c r="B170" s="855">
        <f>building!Y39</f>
        <v>193.2</v>
      </c>
      <c r="C170" s="856" t="str">
        <f>building!B39</f>
        <v>c. In First Floor</v>
      </c>
      <c r="D170" s="852">
        <f>building!C39</f>
        <v>748.52</v>
      </c>
      <c r="E170" s="853" t="str">
        <f>building!D39</f>
        <v>Sqm.</v>
      </c>
      <c r="F170" s="852">
        <f t="shared" si="2"/>
        <v>144614.06</v>
      </c>
    </row>
    <row r="171" spans="1:6" s="726" customFormat="1" ht="30" hidden="1" customHeight="1">
      <c r="A171" s="849">
        <f>building!A40</f>
        <v>0</v>
      </c>
      <c r="B171" s="855">
        <f>building!Y40</f>
        <v>100.2</v>
      </c>
      <c r="C171" s="856" t="str">
        <f>building!B40</f>
        <v>d. In Second Floor</v>
      </c>
      <c r="D171" s="852">
        <f>building!C40</f>
        <v>763.61</v>
      </c>
      <c r="E171" s="853" t="str">
        <f>building!D40</f>
        <v>Sqm.</v>
      </c>
      <c r="F171" s="852">
        <f t="shared" si="2"/>
        <v>76513.72</v>
      </c>
    </row>
    <row r="172" spans="1:6" s="726" customFormat="1" ht="23.25" hidden="1" customHeight="1">
      <c r="A172" s="849">
        <f>building!A41</f>
        <v>0</v>
      </c>
      <c r="B172" s="855">
        <f>building!Y41</f>
        <v>123.8</v>
      </c>
      <c r="C172" s="856" t="str">
        <f>building!B41</f>
        <v>e. In Third Floor</v>
      </c>
      <c r="D172" s="852">
        <f>building!C41</f>
        <v>778.7</v>
      </c>
      <c r="E172" s="853" t="str">
        <f>building!D41</f>
        <v>Sqm.</v>
      </c>
      <c r="F172" s="852">
        <f t="shared" si="2"/>
        <v>96403.06</v>
      </c>
    </row>
    <row r="173" spans="1:6" s="726" customFormat="1" ht="22.5" hidden="1" customHeight="1">
      <c r="A173" s="849">
        <f>building!A42</f>
        <v>0</v>
      </c>
      <c r="B173" s="855">
        <f>building!Y42</f>
        <v>0</v>
      </c>
      <c r="C173" s="856" t="str">
        <f>building!B42</f>
        <v>f. In Fourth Floor</v>
      </c>
      <c r="D173" s="852">
        <f>building!C42</f>
        <v>793.79</v>
      </c>
      <c r="E173" s="853" t="str">
        <f>building!D42</f>
        <v>Sqm.</v>
      </c>
      <c r="F173" s="852">
        <f t="shared" si="2"/>
        <v>0</v>
      </c>
    </row>
    <row r="174" spans="1:6" ht="22.5" hidden="1" customHeight="1">
      <c r="A174" s="849" t="e">
        <f>building!#REF!</f>
        <v>#REF!</v>
      </c>
      <c r="B174" s="855" t="e">
        <f>building!#REF!</f>
        <v>#REF!</v>
      </c>
      <c r="C174" s="856" t="e">
        <f>building!#REF!</f>
        <v>#REF!</v>
      </c>
      <c r="D174" s="852" t="e">
        <f>building!#REF!</f>
        <v>#REF!</v>
      </c>
      <c r="E174" s="853" t="e">
        <f>building!#REF!</f>
        <v>#REF!</v>
      </c>
      <c r="F174" s="852" t="e">
        <f t="shared" si="2"/>
        <v>#REF!</v>
      </c>
    </row>
    <row r="175" spans="1:6" ht="15.75" hidden="1">
      <c r="A175" s="849" t="e">
        <f>building!#REF!</f>
        <v>#REF!</v>
      </c>
      <c r="B175" s="855" t="e">
        <f>building!#REF!</f>
        <v>#REF!</v>
      </c>
      <c r="C175" s="856" t="e">
        <f>building!#REF!</f>
        <v>#REF!</v>
      </c>
      <c r="D175" s="852" t="e">
        <f>building!#REF!</f>
        <v>#REF!</v>
      </c>
      <c r="E175" s="853" t="e">
        <f>building!#REF!</f>
        <v>#REF!</v>
      </c>
      <c r="F175" s="852" t="e">
        <f t="shared" si="2"/>
        <v>#REF!</v>
      </c>
    </row>
    <row r="176" spans="1:6" ht="15.75" hidden="1">
      <c r="A176" s="849" t="e">
        <f>building!#REF!</f>
        <v>#REF!</v>
      </c>
      <c r="B176" s="855" t="e">
        <f>building!#REF!</f>
        <v>#REF!</v>
      </c>
      <c r="C176" s="856" t="e">
        <f>building!#REF!</f>
        <v>#REF!</v>
      </c>
      <c r="D176" s="852" t="e">
        <f>building!#REF!</f>
        <v>#REF!</v>
      </c>
      <c r="E176" s="853" t="e">
        <f>building!#REF!</f>
        <v>#REF!</v>
      </c>
      <c r="F176" s="852" t="e">
        <f t="shared" si="2"/>
        <v>#REF!</v>
      </c>
    </row>
    <row r="177" spans="1:6" ht="15.75" hidden="1">
      <c r="A177" s="849" t="e">
        <f>building!#REF!</f>
        <v>#REF!</v>
      </c>
      <c r="B177" s="855" t="e">
        <f>building!#REF!</f>
        <v>#REF!</v>
      </c>
      <c r="C177" s="856" t="e">
        <f>building!#REF!</f>
        <v>#REF!</v>
      </c>
      <c r="D177" s="852" t="e">
        <f>building!#REF!</f>
        <v>#REF!</v>
      </c>
      <c r="E177" s="853" t="e">
        <f>building!#REF!</f>
        <v>#REF!</v>
      </c>
      <c r="F177" s="852" t="e">
        <f t="shared" si="2"/>
        <v>#REF!</v>
      </c>
    </row>
    <row r="178" spans="1:6" ht="15.75" hidden="1">
      <c r="A178" s="849" t="e">
        <f>building!#REF!</f>
        <v>#REF!</v>
      </c>
      <c r="B178" s="855" t="e">
        <f>building!#REF!</f>
        <v>#REF!</v>
      </c>
      <c r="C178" s="856" t="e">
        <f>building!#REF!</f>
        <v>#REF!</v>
      </c>
      <c r="D178" s="852" t="e">
        <f>building!#REF!</f>
        <v>#REF!</v>
      </c>
      <c r="E178" s="853" t="e">
        <f>building!#REF!</f>
        <v>#REF!</v>
      </c>
      <c r="F178" s="852" t="e">
        <f t="shared" si="2"/>
        <v>#REF!</v>
      </c>
    </row>
    <row r="179" spans="1:6" ht="15.75" hidden="1">
      <c r="A179" s="849" t="e">
        <f>building!#REF!</f>
        <v>#REF!</v>
      </c>
      <c r="B179" s="855" t="e">
        <f>building!#REF!</f>
        <v>#REF!</v>
      </c>
      <c r="C179" s="856" t="e">
        <f>building!#REF!</f>
        <v>#REF!</v>
      </c>
      <c r="D179" s="852" t="e">
        <f>building!#REF!</f>
        <v>#REF!</v>
      </c>
      <c r="E179" s="853" t="e">
        <f>building!#REF!</f>
        <v>#REF!</v>
      </c>
      <c r="F179" s="852" t="e">
        <f t="shared" si="2"/>
        <v>#REF!</v>
      </c>
    </row>
    <row r="180" spans="1:6" s="726" customFormat="1" ht="17.25" hidden="1">
      <c r="A180" s="849" t="e">
        <f>building!#REF!</f>
        <v>#REF!</v>
      </c>
      <c r="B180" s="855" t="e">
        <f>building!#REF!</f>
        <v>#REF!</v>
      </c>
      <c r="C180" s="856" t="e">
        <f>building!#REF!</f>
        <v>#REF!</v>
      </c>
      <c r="D180" s="852" t="e">
        <f>building!#REF!</f>
        <v>#REF!</v>
      </c>
      <c r="E180" s="853" t="e">
        <f>building!#REF!</f>
        <v>#REF!</v>
      </c>
      <c r="F180" s="852" t="e">
        <f t="shared" si="2"/>
        <v>#REF!</v>
      </c>
    </row>
    <row r="181" spans="1:6" s="726" customFormat="1" ht="17.25" hidden="1">
      <c r="A181" s="849" t="e">
        <f>building!#REF!</f>
        <v>#REF!</v>
      </c>
      <c r="B181" s="855" t="e">
        <f>building!#REF!</f>
        <v>#REF!</v>
      </c>
      <c r="C181" s="856" t="e">
        <f>building!#REF!</f>
        <v>#REF!</v>
      </c>
      <c r="D181" s="852" t="e">
        <f>building!#REF!</f>
        <v>#REF!</v>
      </c>
      <c r="E181" s="853" t="e">
        <f>building!#REF!</f>
        <v>#REF!</v>
      </c>
      <c r="F181" s="852" t="e">
        <f t="shared" si="2"/>
        <v>#REF!</v>
      </c>
    </row>
    <row r="182" spans="1:6" s="726" customFormat="1" ht="17.25" hidden="1">
      <c r="A182" s="849" t="e">
        <f>building!#REF!</f>
        <v>#REF!</v>
      </c>
      <c r="B182" s="855" t="e">
        <f>building!#REF!</f>
        <v>#REF!</v>
      </c>
      <c r="C182" s="856" t="e">
        <f>building!#REF!</f>
        <v>#REF!</v>
      </c>
      <c r="D182" s="852" t="e">
        <f>building!#REF!</f>
        <v>#REF!</v>
      </c>
      <c r="E182" s="853" t="e">
        <f>building!#REF!</f>
        <v>#REF!</v>
      </c>
      <c r="F182" s="852" t="e">
        <f t="shared" si="2"/>
        <v>#REF!</v>
      </c>
    </row>
    <row r="183" spans="1:6" s="726" customFormat="1" ht="17.25" hidden="1">
      <c r="A183" s="849" t="e">
        <f>building!#REF!</f>
        <v>#REF!</v>
      </c>
      <c r="B183" s="855" t="e">
        <f>building!#REF!</f>
        <v>#REF!</v>
      </c>
      <c r="C183" s="856" t="e">
        <f>building!#REF!</f>
        <v>#REF!</v>
      </c>
      <c r="D183" s="852" t="e">
        <f>building!#REF!</f>
        <v>#REF!</v>
      </c>
      <c r="E183" s="853" t="e">
        <f>building!#REF!</f>
        <v>#REF!</v>
      </c>
      <c r="F183" s="852" t="e">
        <f t="shared" si="2"/>
        <v>#REF!</v>
      </c>
    </row>
    <row r="184" spans="1:6" s="726" customFormat="1" ht="17.25" hidden="1">
      <c r="A184" s="849" t="e">
        <f>building!#REF!</f>
        <v>#REF!</v>
      </c>
      <c r="B184" s="855" t="e">
        <f>building!#REF!</f>
        <v>#REF!</v>
      </c>
      <c r="C184" s="856" t="e">
        <f>building!#REF!</f>
        <v>#REF!</v>
      </c>
      <c r="D184" s="852" t="e">
        <f>building!#REF!</f>
        <v>#REF!</v>
      </c>
      <c r="E184" s="853" t="e">
        <f>building!#REF!</f>
        <v>#REF!</v>
      </c>
      <c r="F184" s="852" t="e">
        <f t="shared" si="2"/>
        <v>#REF!</v>
      </c>
    </row>
    <row r="185" spans="1:6" s="726" customFormat="1" ht="17.25" hidden="1">
      <c r="A185" s="849" t="e">
        <f>building!#REF!</f>
        <v>#REF!</v>
      </c>
      <c r="B185" s="855" t="e">
        <f>building!#REF!</f>
        <v>#REF!</v>
      </c>
      <c r="C185" s="856" t="e">
        <f>building!#REF!</f>
        <v>#REF!</v>
      </c>
      <c r="D185" s="852" t="e">
        <f>building!#REF!</f>
        <v>#REF!</v>
      </c>
      <c r="E185" s="853" t="e">
        <f>building!#REF!</f>
        <v>#REF!</v>
      </c>
      <c r="F185" s="852" t="e">
        <f t="shared" si="2"/>
        <v>#REF!</v>
      </c>
    </row>
    <row r="186" spans="1:6" s="726" customFormat="1" ht="17.25" hidden="1">
      <c r="A186" s="849" t="e">
        <f>building!#REF!</f>
        <v>#REF!</v>
      </c>
      <c r="B186" s="855" t="e">
        <f>building!#REF!</f>
        <v>#REF!</v>
      </c>
      <c r="C186" s="856" t="e">
        <f>building!#REF!</f>
        <v>#REF!</v>
      </c>
      <c r="D186" s="852" t="e">
        <f>building!#REF!</f>
        <v>#REF!</v>
      </c>
      <c r="E186" s="853" t="e">
        <f>building!#REF!</f>
        <v>#REF!</v>
      </c>
      <c r="F186" s="852" t="e">
        <f t="shared" si="2"/>
        <v>#REF!</v>
      </c>
    </row>
    <row r="187" spans="1:6" s="726" customFormat="1" ht="63.75" customHeight="1">
      <c r="A187" s="849" t="e">
        <f>building!#REF!</f>
        <v>#REF!</v>
      </c>
      <c r="B187" s="850" t="e">
        <f>building!#REF!</f>
        <v>#REF!</v>
      </c>
      <c r="C187" s="851" t="e">
        <f>building!#REF!</f>
        <v>#REF!</v>
      </c>
      <c r="D187" s="852" t="e">
        <f>building!#REF!</f>
        <v>#REF!</v>
      </c>
      <c r="E187" s="853" t="e">
        <f>building!#REF!</f>
        <v>#REF!</v>
      </c>
      <c r="F187" s="852"/>
    </row>
    <row r="188" spans="1:6" s="726" customFormat="1" ht="25.9" customHeight="1">
      <c r="A188" s="849" t="e">
        <f>building!#REF!</f>
        <v>#REF!</v>
      </c>
      <c r="B188" s="855" t="e">
        <f>building!#REF!</f>
        <v>#REF!</v>
      </c>
      <c r="C188" s="856" t="e">
        <f>building!#REF!</f>
        <v>#REF!</v>
      </c>
      <c r="D188" s="852" t="e">
        <f>building!#REF!</f>
        <v>#REF!</v>
      </c>
      <c r="E188" s="853" t="e">
        <f>building!#REF!</f>
        <v>#REF!</v>
      </c>
      <c r="F188" s="852" t="e">
        <f t="shared" si="2"/>
        <v>#REF!</v>
      </c>
    </row>
    <row r="189" spans="1:6" s="726" customFormat="1" ht="33" customHeight="1">
      <c r="A189" s="849" t="e">
        <f>building!#REF!</f>
        <v>#REF!</v>
      </c>
      <c r="B189" s="855" t="e">
        <f>building!#REF!</f>
        <v>#REF!</v>
      </c>
      <c r="C189" s="856" t="e">
        <f>building!#REF!</f>
        <v>#REF!</v>
      </c>
      <c r="D189" s="852" t="e">
        <f>building!#REF!</f>
        <v>#REF!</v>
      </c>
      <c r="E189" s="853" t="e">
        <f>building!#REF!</f>
        <v>#REF!</v>
      </c>
      <c r="F189" s="852" t="e">
        <f t="shared" si="2"/>
        <v>#REF!</v>
      </c>
    </row>
    <row r="190" spans="1:6" s="726" customFormat="1" ht="33" customHeight="1">
      <c r="A190" s="849" t="e">
        <f>building!#REF!</f>
        <v>#REF!</v>
      </c>
      <c r="B190" s="855" t="e">
        <f>building!#REF!</f>
        <v>#REF!</v>
      </c>
      <c r="C190" s="856" t="e">
        <f>building!#REF!</f>
        <v>#REF!</v>
      </c>
      <c r="D190" s="852" t="e">
        <f>building!#REF!</f>
        <v>#REF!</v>
      </c>
      <c r="E190" s="853" t="e">
        <f>building!#REF!</f>
        <v>#REF!</v>
      </c>
      <c r="F190" s="852" t="e">
        <f t="shared" si="2"/>
        <v>#REF!</v>
      </c>
    </row>
    <row r="191" spans="1:6" s="726" customFormat="1" ht="33" hidden="1" customHeight="1">
      <c r="A191" s="849" t="e">
        <f>building!#REF!</f>
        <v>#REF!</v>
      </c>
      <c r="B191" s="855" t="e">
        <f>building!#REF!</f>
        <v>#REF!</v>
      </c>
      <c r="C191" s="856" t="e">
        <f>building!#REF!</f>
        <v>#REF!</v>
      </c>
      <c r="D191" s="852" t="e">
        <f>building!#REF!</f>
        <v>#REF!</v>
      </c>
      <c r="E191" s="853" t="e">
        <f>building!#REF!</f>
        <v>#REF!</v>
      </c>
      <c r="F191" s="852" t="e">
        <f t="shared" si="2"/>
        <v>#REF!</v>
      </c>
    </row>
    <row r="192" spans="1:6" s="726" customFormat="1" ht="17.25" hidden="1">
      <c r="A192" s="849" t="e">
        <f>building!#REF!</f>
        <v>#REF!</v>
      </c>
      <c r="B192" s="855" t="e">
        <f>building!#REF!</f>
        <v>#REF!</v>
      </c>
      <c r="C192" s="856" t="e">
        <f>building!#REF!</f>
        <v>#REF!</v>
      </c>
      <c r="D192" s="852" t="e">
        <f>building!#REF!</f>
        <v>#REF!</v>
      </c>
      <c r="E192" s="853" t="e">
        <f>building!#REF!</f>
        <v>#REF!</v>
      </c>
      <c r="F192" s="852" t="e">
        <f t="shared" si="2"/>
        <v>#REF!</v>
      </c>
    </row>
    <row r="193" spans="1:6" s="726" customFormat="1" ht="17.25" hidden="1">
      <c r="A193" s="849" t="e">
        <f>building!#REF!</f>
        <v>#REF!</v>
      </c>
      <c r="B193" s="855" t="e">
        <f>building!#REF!</f>
        <v>#REF!</v>
      </c>
      <c r="C193" s="856" t="e">
        <f>building!#REF!</f>
        <v>#REF!</v>
      </c>
      <c r="D193" s="852" t="e">
        <f>building!#REF!</f>
        <v>#REF!</v>
      </c>
      <c r="E193" s="853" t="e">
        <f>building!#REF!</f>
        <v>#REF!</v>
      </c>
      <c r="F193" s="852" t="e">
        <f t="shared" si="2"/>
        <v>#REF!</v>
      </c>
    </row>
    <row r="194" spans="1:6" s="726" customFormat="1" ht="17.25" hidden="1">
      <c r="A194" s="849" t="e">
        <f>building!#REF!</f>
        <v>#REF!</v>
      </c>
      <c r="B194" s="855" t="e">
        <f>building!#REF!</f>
        <v>#REF!</v>
      </c>
      <c r="C194" s="856" t="e">
        <f>building!#REF!</f>
        <v>#REF!</v>
      </c>
      <c r="D194" s="852" t="e">
        <f>building!#REF!</f>
        <v>#REF!</v>
      </c>
      <c r="E194" s="853" t="e">
        <f>building!#REF!</f>
        <v>#REF!</v>
      </c>
      <c r="F194" s="852" t="e">
        <f t="shared" si="2"/>
        <v>#REF!</v>
      </c>
    </row>
    <row r="195" spans="1:6" s="726" customFormat="1" ht="17.25" hidden="1">
      <c r="A195" s="849" t="e">
        <f>building!#REF!</f>
        <v>#REF!</v>
      </c>
      <c r="B195" s="855" t="e">
        <f>building!#REF!</f>
        <v>#REF!</v>
      </c>
      <c r="C195" s="856" t="e">
        <f>building!#REF!</f>
        <v>#REF!</v>
      </c>
      <c r="D195" s="852" t="e">
        <f>building!#REF!</f>
        <v>#REF!</v>
      </c>
      <c r="E195" s="853" t="e">
        <f>building!#REF!</f>
        <v>#REF!</v>
      </c>
      <c r="F195" s="852" t="e">
        <f t="shared" si="2"/>
        <v>#REF!</v>
      </c>
    </row>
    <row r="196" spans="1:6" s="726" customFormat="1" ht="17.25" hidden="1">
      <c r="A196" s="849" t="e">
        <f>building!#REF!</f>
        <v>#REF!</v>
      </c>
      <c r="B196" s="855" t="e">
        <f>building!#REF!</f>
        <v>#REF!</v>
      </c>
      <c r="C196" s="856" t="e">
        <f>building!#REF!</f>
        <v>#REF!</v>
      </c>
      <c r="D196" s="852" t="e">
        <f>building!#REF!</f>
        <v>#REF!</v>
      </c>
      <c r="E196" s="853" t="e">
        <f>building!#REF!</f>
        <v>#REF!</v>
      </c>
      <c r="F196" s="852" t="e">
        <f t="shared" si="2"/>
        <v>#REF!</v>
      </c>
    </row>
    <row r="197" spans="1:6" s="726" customFormat="1" ht="17.25" hidden="1">
      <c r="A197" s="849" t="e">
        <f>building!#REF!</f>
        <v>#REF!</v>
      </c>
      <c r="B197" s="855" t="e">
        <f>building!#REF!</f>
        <v>#REF!</v>
      </c>
      <c r="C197" s="856" t="e">
        <f>building!#REF!</f>
        <v>#REF!</v>
      </c>
      <c r="D197" s="852" t="e">
        <f>building!#REF!</f>
        <v>#REF!</v>
      </c>
      <c r="E197" s="853" t="e">
        <f>building!#REF!</f>
        <v>#REF!</v>
      </c>
      <c r="F197" s="852" t="e">
        <f t="shared" si="2"/>
        <v>#REF!</v>
      </c>
    </row>
    <row r="198" spans="1:6" s="726" customFormat="1" ht="17.25" hidden="1">
      <c r="A198" s="849" t="e">
        <f>building!#REF!</f>
        <v>#REF!</v>
      </c>
      <c r="B198" s="855" t="e">
        <f>building!#REF!</f>
        <v>#REF!</v>
      </c>
      <c r="C198" s="856" t="e">
        <f>building!#REF!</f>
        <v>#REF!</v>
      </c>
      <c r="D198" s="852" t="e">
        <f>building!#REF!</f>
        <v>#REF!</v>
      </c>
      <c r="E198" s="853" t="e">
        <f>building!#REF!</f>
        <v>#REF!</v>
      </c>
      <c r="F198" s="852" t="e">
        <f t="shared" si="2"/>
        <v>#REF!</v>
      </c>
    </row>
    <row r="199" spans="1:6" s="726" customFormat="1" ht="17.25" hidden="1">
      <c r="A199" s="849" t="e">
        <f>building!#REF!</f>
        <v>#REF!</v>
      </c>
      <c r="B199" s="855" t="e">
        <f>building!#REF!</f>
        <v>#REF!</v>
      </c>
      <c r="C199" s="856" t="e">
        <f>building!#REF!</f>
        <v>#REF!</v>
      </c>
      <c r="D199" s="852" t="e">
        <f>building!#REF!</f>
        <v>#REF!</v>
      </c>
      <c r="E199" s="853" t="e">
        <f>building!#REF!</f>
        <v>#REF!</v>
      </c>
      <c r="F199" s="852" t="e">
        <f t="shared" si="2"/>
        <v>#REF!</v>
      </c>
    </row>
    <row r="200" spans="1:6" s="726" customFormat="1" ht="17.25" hidden="1">
      <c r="A200" s="849" t="e">
        <f>building!#REF!</f>
        <v>#REF!</v>
      </c>
      <c r="B200" s="855" t="e">
        <f>building!#REF!</f>
        <v>#REF!</v>
      </c>
      <c r="C200" s="856" t="e">
        <f>building!#REF!</f>
        <v>#REF!</v>
      </c>
      <c r="D200" s="852" t="e">
        <f>building!#REF!</f>
        <v>#REF!</v>
      </c>
      <c r="E200" s="853" t="e">
        <f>building!#REF!</f>
        <v>#REF!</v>
      </c>
      <c r="F200" s="852" t="e">
        <f t="shared" ref="F200:F263" si="3">D200*B200</f>
        <v>#REF!</v>
      </c>
    </row>
    <row r="201" spans="1:6" s="726" customFormat="1" ht="17.25" hidden="1">
      <c r="A201" s="849" t="e">
        <f>building!#REF!</f>
        <v>#REF!</v>
      </c>
      <c r="B201" s="855" t="e">
        <f>building!#REF!</f>
        <v>#REF!</v>
      </c>
      <c r="C201" s="856" t="e">
        <f>building!#REF!</f>
        <v>#REF!</v>
      </c>
      <c r="D201" s="852" t="e">
        <f>building!#REF!</f>
        <v>#REF!</v>
      </c>
      <c r="E201" s="853" t="e">
        <f>building!#REF!</f>
        <v>#REF!</v>
      </c>
      <c r="F201" s="852" t="e">
        <f t="shared" si="3"/>
        <v>#REF!</v>
      </c>
    </row>
    <row r="202" spans="1:6" s="726" customFormat="1" ht="17.25" hidden="1">
      <c r="A202" s="849" t="e">
        <f>building!#REF!</f>
        <v>#REF!</v>
      </c>
      <c r="B202" s="855" t="e">
        <f>building!#REF!</f>
        <v>#REF!</v>
      </c>
      <c r="C202" s="856" t="e">
        <f>building!#REF!</f>
        <v>#REF!</v>
      </c>
      <c r="D202" s="852" t="e">
        <f>building!#REF!</f>
        <v>#REF!</v>
      </c>
      <c r="E202" s="853" t="e">
        <f>building!#REF!</f>
        <v>#REF!</v>
      </c>
      <c r="F202" s="852" t="e">
        <f t="shared" si="3"/>
        <v>#REF!</v>
      </c>
    </row>
    <row r="203" spans="1:6" s="726" customFormat="1" ht="17.25" hidden="1">
      <c r="A203" s="849" t="e">
        <f>building!#REF!</f>
        <v>#REF!</v>
      </c>
      <c r="B203" s="855" t="e">
        <f>building!#REF!</f>
        <v>#REF!</v>
      </c>
      <c r="C203" s="856" t="e">
        <f>building!#REF!</f>
        <v>#REF!</v>
      </c>
      <c r="D203" s="852" t="e">
        <f>building!#REF!</f>
        <v>#REF!</v>
      </c>
      <c r="E203" s="853" t="e">
        <f>building!#REF!</f>
        <v>#REF!</v>
      </c>
      <c r="F203" s="852" t="e">
        <f t="shared" si="3"/>
        <v>#REF!</v>
      </c>
    </row>
    <row r="204" spans="1:6" s="726" customFormat="1" ht="5.25" hidden="1" customHeight="1">
      <c r="A204" s="849" t="e">
        <f>building!#REF!</f>
        <v>#REF!</v>
      </c>
      <c r="B204" s="855" t="e">
        <f>building!#REF!</f>
        <v>#REF!</v>
      </c>
      <c r="C204" s="856" t="e">
        <f>building!#REF!</f>
        <v>#REF!</v>
      </c>
      <c r="D204" s="852" t="e">
        <f>building!#REF!</f>
        <v>#REF!</v>
      </c>
      <c r="E204" s="853" t="e">
        <f>building!#REF!</f>
        <v>#REF!</v>
      </c>
      <c r="F204" s="852" t="e">
        <f t="shared" si="3"/>
        <v>#REF!</v>
      </c>
    </row>
    <row r="205" spans="1:6" s="726" customFormat="1" ht="60.75" hidden="1" customHeight="1">
      <c r="A205" s="849">
        <f>building!A43</f>
        <v>11.5</v>
      </c>
      <c r="B205" s="855">
        <f>building!Y43</f>
        <v>0</v>
      </c>
      <c r="C205" s="856" t="str">
        <f>building!B43</f>
        <v>Brick work in C.M. 1:4 Kiln Burnt Country bricks of size 22 x 11 x 7 cm (8 3/4" x 4 1/4" x 2 3/4") 70 mm tk (B.P.)</v>
      </c>
      <c r="D205" s="852">
        <f>building!C43</f>
        <v>0</v>
      </c>
      <c r="E205" s="853">
        <f>building!D43</f>
        <v>0</v>
      </c>
      <c r="F205" s="852">
        <f t="shared" si="3"/>
        <v>0</v>
      </c>
    </row>
    <row r="206" spans="1:6" s="726" customFormat="1" ht="22.5" hidden="1" customHeight="1">
      <c r="A206" s="849">
        <f>building!A44</f>
        <v>0</v>
      </c>
      <c r="B206" s="855">
        <f>building!Y44</f>
        <v>7.6</v>
      </c>
      <c r="C206" s="856" t="str">
        <f>building!B44</f>
        <v>a. In Ground Floor</v>
      </c>
      <c r="D206" s="852">
        <f>building!C44</f>
        <v>498.04</v>
      </c>
      <c r="E206" s="853" t="str">
        <f>building!D44</f>
        <v>Sqm.</v>
      </c>
      <c r="F206" s="852">
        <f t="shared" si="3"/>
        <v>3785.1</v>
      </c>
    </row>
    <row r="207" spans="1:6" s="726" customFormat="1" ht="22.5" hidden="1" customHeight="1">
      <c r="A207" s="849">
        <f>building!A45</f>
        <v>0</v>
      </c>
      <c r="B207" s="855">
        <f>building!Y45</f>
        <v>22.3</v>
      </c>
      <c r="C207" s="856" t="str">
        <f>building!B45</f>
        <v>b. In First Floor</v>
      </c>
      <c r="D207" s="852">
        <f>building!C45</f>
        <v>507.64</v>
      </c>
      <c r="E207" s="853" t="str">
        <f>building!D45</f>
        <v>Sqm.</v>
      </c>
      <c r="F207" s="852">
        <f t="shared" si="3"/>
        <v>11320.37</v>
      </c>
    </row>
    <row r="208" spans="1:6" s="726" customFormat="1" ht="22.5" hidden="1" customHeight="1">
      <c r="A208" s="849">
        <f>building!A46</f>
        <v>0</v>
      </c>
      <c r="B208" s="855">
        <f>building!Y46</f>
        <v>25.2</v>
      </c>
      <c r="C208" s="856" t="str">
        <f>building!B46</f>
        <v>c. In Second Floor</v>
      </c>
      <c r="D208" s="852">
        <f>building!C46</f>
        <v>517.24</v>
      </c>
      <c r="E208" s="853" t="str">
        <f>building!D46</f>
        <v>Sqm.</v>
      </c>
      <c r="F208" s="852">
        <f t="shared" si="3"/>
        <v>13034.45</v>
      </c>
    </row>
    <row r="209" spans="1:6" s="726" customFormat="1" ht="22.5" hidden="1" customHeight="1">
      <c r="A209" s="849">
        <f>building!A47</f>
        <v>0</v>
      </c>
      <c r="B209" s="855">
        <f>building!Y47</f>
        <v>0</v>
      </c>
      <c r="C209" s="856" t="str">
        <f>building!B47</f>
        <v>d. In Third Floor</v>
      </c>
      <c r="D209" s="852">
        <f>building!C47</f>
        <v>526.84</v>
      </c>
      <c r="E209" s="853" t="str">
        <f>building!D47</f>
        <v>Sqm.</v>
      </c>
      <c r="F209" s="852">
        <f t="shared" si="3"/>
        <v>0</v>
      </c>
    </row>
    <row r="210" spans="1:6" s="726" customFormat="1" ht="25.5" hidden="1" customHeight="1">
      <c r="A210" s="849">
        <f>building!A48</f>
        <v>0</v>
      </c>
      <c r="B210" s="855">
        <f>building!Y48</f>
        <v>0</v>
      </c>
      <c r="C210" s="856" t="str">
        <f>building!B48</f>
        <v>e. In Fourth Floor</v>
      </c>
      <c r="D210" s="852">
        <f>building!C48</f>
        <v>536.44000000000005</v>
      </c>
      <c r="E210" s="853" t="str">
        <f>building!D48</f>
        <v>Sqm.</v>
      </c>
      <c r="F210" s="852">
        <f t="shared" si="3"/>
        <v>0</v>
      </c>
    </row>
    <row r="211" spans="1:6" s="726" customFormat="1" ht="25.5" hidden="1" customHeight="1">
      <c r="A211" s="849" t="e">
        <f>building!#REF!</f>
        <v>#REF!</v>
      </c>
      <c r="B211" s="855" t="e">
        <f>building!#REF!</f>
        <v>#REF!</v>
      </c>
      <c r="C211" s="856" t="e">
        <f>building!#REF!</f>
        <v>#REF!</v>
      </c>
      <c r="D211" s="852" t="e">
        <f>building!#REF!</f>
        <v>#REF!</v>
      </c>
      <c r="E211" s="853" t="e">
        <f>building!#REF!</f>
        <v>#REF!</v>
      </c>
      <c r="F211" s="852" t="e">
        <f t="shared" si="3"/>
        <v>#REF!</v>
      </c>
    </row>
    <row r="212" spans="1:6" ht="15.75" hidden="1">
      <c r="A212" s="849" t="e">
        <f>building!#REF!</f>
        <v>#REF!</v>
      </c>
      <c r="B212" s="855" t="e">
        <f>building!#REF!</f>
        <v>#REF!</v>
      </c>
      <c r="C212" s="856" t="e">
        <f>building!#REF!</f>
        <v>#REF!</v>
      </c>
      <c r="D212" s="852" t="e">
        <f>building!#REF!</f>
        <v>#REF!</v>
      </c>
      <c r="E212" s="853" t="e">
        <f>building!#REF!</f>
        <v>#REF!</v>
      </c>
      <c r="F212" s="852" t="e">
        <f t="shared" si="3"/>
        <v>#REF!</v>
      </c>
    </row>
    <row r="213" spans="1:6" ht="15.75" hidden="1">
      <c r="A213" s="849" t="e">
        <f>building!#REF!</f>
        <v>#REF!</v>
      </c>
      <c r="B213" s="855" t="e">
        <f>building!#REF!</f>
        <v>#REF!</v>
      </c>
      <c r="C213" s="856" t="e">
        <f>building!#REF!</f>
        <v>#REF!</v>
      </c>
      <c r="D213" s="852" t="e">
        <f>building!#REF!</f>
        <v>#REF!</v>
      </c>
      <c r="E213" s="853" t="e">
        <f>building!#REF!</f>
        <v>#REF!</v>
      </c>
      <c r="F213" s="852" t="e">
        <f t="shared" si="3"/>
        <v>#REF!</v>
      </c>
    </row>
    <row r="214" spans="1:6" ht="15.75" hidden="1">
      <c r="A214" s="849" t="e">
        <f>building!#REF!</f>
        <v>#REF!</v>
      </c>
      <c r="B214" s="855" t="e">
        <f>building!#REF!</f>
        <v>#REF!</v>
      </c>
      <c r="C214" s="856" t="e">
        <f>building!#REF!</f>
        <v>#REF!</v>
      </c>
      <c r="D214" s="852" t="e">
        <f>building!#REF!</f>
        <v>#REF!</v>
      </c>
      <c r="E214" s="853" t="e">
        <f>building!#REF!</f>
        <v>#REF!</v>
      </c>
      <c r="F214" s="852" t="e">
        <f t="shared" si="3"/>
        <v>#REF!</v>
      </c>
    </row>
    <row r="215" spans="1:6" ht="15.75" hidden="1">
      <c r="A215" s="849" t="e">
        <f>building!#REF!</f>
        <v>#REF!</v>
      </c>
      <c r="B215" s="855" t="e">
        <f>building!#REF!</f>
        <v>#REF!</v>
      </c>
      <c r="C215" s="856" t="e">
        <f>building!#REF!</f>
        <v>#REF!</v>
      </c>
      <c r="D215" s="852" t="e">
        <f>building!#REF!</f>
        <v>#REF!</v>
      </c>
      <c r="E215" s="853" t="e">
        <f>building!#REF!</f>
        <v>#REF!</v>
      </c>
      <c r="F215" s="852" t="e">
        <f t="shared" si="3"/>
        <v>#REF!</v>
      </c>
    </row>
    <row r="216" spans="1:6" ht="15.75" hidden="1">
      <c r="A216" s="849" t="e">
        <f>building!#REF!</f>
        <v>#REF!</v>
      </c>
      <c r="B216" s="855" t="e">
        <f>building!#REF!</f>
        <v>#REF!</v>
      </c>
      <c r="C216" s="856" t="e">
        <f>building!#REF!</f>
        <v>#REF!</v>
      </c>
      <c r="D216" s="852" t="e">
        <f>building!#REF!</f>
        <v>#REF!</v>
      </c>
      <c r="E216" s="853" t="e">
        <f>building!#REF!</f>
        <v>#REF!</v>
      </c>
      <c r="F216" s="852" t="e">
        <f t="shared" si="3"/>
        <v>#REF!</v>
      </c>
    </row>
    <row r="217" spans="1:6" s="726" customFormat="1" ht="45.6" customHeight="1">
      <c r="A217" s="849">
        <f>building!A49</f>
        <v>12.1</v>
      </c>
      <c r="B217" s="850">
        <f>building!Y49</f>
        <v>0</v>
      </c>
      <c r="C217" s="851" t="str">
        <f>building!B49</f>
        <v>Brick partition in C.M. 1:4 using country bricks of size 22 x11x5cm 50 mm thick</v>
      </c>
      <c r="D217" s="852">
        <f>building!C49</f>
        <v>0</v>
      </c>
      <c r="E217" s="853">
        <f>building!D49</f>
        <v>0</v>
      </c>
      <c r="F217" s="852"/>
    </row>
    <row r="218" spans="1:6" s="726" customFormat="1" ht="25.9" customHeight="1">
      <c r="A218" s="849">
        <f>building!A50</f>
        <v>0</v>
      </c>
      <c r="B218" s="855">
        <f>building!Y50</f>
        <v>0</v>
      </c>
      <c r="C218" s="856" t="str">
        <f>building!B50</f>
        <v>a. In Ground Floor</v>
      </c>
      <c r="D218" s="852">
        <f>building!C50</f>
        <v>360.11</v>
      </c>
      <c r="E218" s="853" t="str">
        <f>building!D50</f>
        <v>Sqm.</v>
      </c>
      <c r="F218" s="852">
        <f t="shared" si="3"/>
        <v>0</v>
      </c>
    </row>
    <row r="219" spans="1:6" s="726" customFormat="1" ht="25.9" customHeight="1">
      <c r="A219" s="849">
        <f>building!A51</f>
        <v>0</v>
      </c>
      <c r="B219" s="855">
        <f>building!Y51</f>
        <v>0</v>
      </c>
      <c r="C219" s="856" t="str">
        <f>building!B51</f>
        <v>b. In First Floor</v>
      </c>
      <c r="D219" s="852">
        <f>building!C51</f>
        <v>366.97</v>
      </c>
      <c r="E219" s="853" t="str">
        <f>building!D51</f>
        <v>Sqm.</v>
      </c>
      <c r="F219" s="852">
        <f t="shared" si="3"/>
        <v>0</v>
      </c>
    </row>
    <row r="220" spans="1:6" s="726" customFormat="1" ht="25.5" customHeight="1">
      <c r="A220" s="849">
        <f>building!A52</f>
        <v>0</v>
      </c>
      <c r="B220" s="855">
        <f>building!Y52</f>
        <v>0</v>
      </c>
      <c r="C220" s="856" t="str">
        <f>building!B52</f>
        <v>c. In Second Floor</v>
      </c>
      <c r="D220" s="852">
        <f>building!C52</f>
        <v>373.83</v>
      </c>
      <c r="E220" s="853" t="str">
        <f>building!D52</f>
        <v>Sqm.</v>
      </c>
      <c r="F220" s="852">
        <f t="shared" si="3"/>
        <v>0</v>
      </c>
    </row>
    <row r="221" spans="1:6" s="726" customFormat="1" ht="25.5" hidden="1" customHeight="1">
      <c r="A221" s="849">
        <f>building!A53</f>
        <v>0</v>
      </c>
      <c r="B221" s="855">
        <f>building!Y53</f>
        <v>0</v>
      </c>
      <c r="C221" s="856" t="str">
        <f>building!B53</f>
        <v>d. In Third Floor</v>
      </c>
      <c r="D221" s="852">
        <f>building!C53</f>
        <v>380.69</v>
      </c>
      <c r="E221" s="853" t="str">
        <f>building!D53</f>
        <v>Sqm.</v>
      </c>
      <c r="F221" s="852">
        <f t="shared" si="3"/>
        <v>0</v>
      </c>
    </row>
    <row r="222" spans="1:6" s="726" customFormat="1" ht="25.5" hidden="1" customHeight="1">
      <c r="A222" s="849">
        <f>building!A54</f>
        <v>0</v>
      </c>
      <c r="B222" s="855">
        <f>building!Y54</f>
        <v>0</v>
      </c>
      <c r="C222" s="856" t="str">
        <f>building!B54</f>
        <v>e. In Fourth Floor</v>
      </c>
      <c r="D222" s="852">
        <f>building!C54</f>
        <v>387.55</v>
      </c>
      <c r="E222" s="853" t="str">
        <f>building!D54</f>
        <v>Sqm.</v>
      </c>
      <c r="F222" s="852">
        <f t="shared" si="3"/>
        <v>0</v>
      </c>
    </row>
    <row r="223" spans="1:6" s="726" customFormat="1" ht="25.5" hidden="1" customHeight="1">
      <c r="A223" s="849" t="e">
        <f>building!#REF!</f>
        <v>#REF!</v>
      </c>
      <c r="B223" s="855" t="e">
        <f>building!#REF!</f>
        <v>#REF!</v>
      </c>
      <c r="C223" s="856" t="e">
        <f>building!#REF!</f>
        <v>#REF!</v>
      </c>
      <c r="D223" s="852" t="e">
        <f>building!#REF!</f>
        <v>#REF!</v>
      </c>
      <c r="E223" s="853" t="e">
        <f>building!#REF!</f>
        <v>#REF!</v>
      </c>
      <c r="F223" s="852" t="e">
        <f t="shared" si="3"/>
        <v>#REF!</v>
      </c>
    </row>
    <row r="224" spans="1:6" ht="15.75" hidden="1">
      <c r="A224" s="849" t="e">
        <f>building!#REF!</f>
        <v>#REF!</v>
      </c>
      <c r="B224" s="855" t="e">
        <f>building!#REF!</f>
        <v>#REF!</v>
      </c>
      <c r="C224" s="856" t="e">
        <f>building!#REF!</f>
        <v>#REF!</v>
      </c>
      <c r="D224" s="852" t="e">
        <f>building!#REF!</f>
        <v>#REF!</v>
      </c>
      <c r="E224" s="853" t="e">
        <f>building!#REF!</f>
        <v>#REF!</v>
      </c>
      <c r="F224" s="852" t="e">
        <f t="shared" si="3"/>
        <v>#REF!</v>
      </c>
    </row>
    <row r="225" spans="1:6" ht="15.75" hidden="1">
      <c r="A225" s="849" t="e">
        <f>building!#REF!</f>
        <v>#REF!</v>
      </c>
      <c r="B225" s="855" t="e">
        <f>building!#REF!</f>
        <v>#REF!</v>
      </c>
      <c r="C225" s="856" t="e">
        <f>building!#REF!</f>
        <v>#REF!</v>
      </c>
      <c r="D225" s="852" t="e">
        <f>building!#REF!</f>
        <v>#REF!</v>
      </c>
      <c r="E225" s="853" t="e">
        <f>building!#REF!</f>
        <v>#REF!</v>
      </c>
      <c r="F225" s="852" t="e">
        <f t="shared" si="3"/>
        <v>#REF!</v>
      </c>
    </row>
    <row r="226" spans="1:6" ht="15.75" hidden="1">
      <c r="A226" s="849" t="e">
        <f>building!#REF!</f>
        <v>#REF!</v>
      </c>
      <c r="B226" s="855" t="e">
        <f>building!#REF!</f>
        <v>#REF!</v>
      </c>
      <c r="C226" s="856" t="e">
        <f>building!#REF!</f>
        <v>#REF!</v>
      </c>
      <c r="D226" s="852" t="e">
        <f>building!#REF!</f>
        <v>#REF!</v>
      </c>
      <c r="E226" s="853" t="e">
        <f>building!#REF!</f>
        <v>#REF!</v>
      </c>
      <c r="F226" s="852" t="e">
        <f t="shared" si="3"/>
        <v>#REF!</v>
      </c>
    </row>
    <row r="227" spans="1:6" ht="15.75" hidden="1">
      <c r="A227" s="849" t="e">
        <f>building!#REF!</f>
        <v>#REF!</v>
      </c>
      <c r="B227" s="855" t="e">
        <f>building!#REF!</f>
        <v>#REF!</v>
      </c>
      <c r="C227" s="856" t="e">
        <f>building!#REF!</f>
        <v>#REF!</v>
      </c>
      <c r="D227" s="852" t="e">
        <f>building!#REF!</f>
        <v>#REF!</v>
      </c>
      <c r="E227" s="853" t="e">
        <f>building!#REF!</f>
        <v>#REF!</v>
      </c>
      <c r="F227" s="852" t="e">
        <f t="shared" si="3"/>
        <v>#REF!</v>
      </c>
    </row>
    <row r="228" spans="1:6" ht="15.75" hidden="1">
      <c r="A228" s="849" t="e">
        <f>building!#REF!</f>
        <v>#REF!</v>
      </c>
      <c r="B228" s="855" t="e">
        <f>building!#REF!</f>
        <v>#REF!</v>
      </c>
      <c r="C228" s="856" t="e">
        <f>building!#REF!</f>
        <v>#REF!</v>
      </c>
      <c r="D228" s="852" t="e">
        <f>building!#REF!</f>
        <v>#REF!</v>
      </c>
      <c r="E228" s="853" t="e">
        <f>building!#REF!</f>
        <v>#REF!</v>
      </c>
      <c r="F228" s="852" t="e">
        <f t="shared" si="3"/>
        <v>#REF!</v>
      </c>
    </row>
    <row r="229" spans="1:6" ht="15.75" hidden="1">
      <c r="A229" s="849">
        <f>building!A55</f>
        <v>0</v>
      </c>
      <c r="B229" s="855">
        <f>building!Y55</f>
        <v>0</v>
      </c>
      <c r="C229" s="856">
        <f>building!B55</f>
        <v>0</v>
      </c>
      <c r="D229" s="852">
        <f>building!C55</f>
        <v>0</v>
      </c>
      <c r="E229" s="853">
        <f>building!D55</f>
        <v>0</v>
      </c>
      <c r="F229" s="852">
        <f t="shared" si="3"/>
        <v>0</v>
      </c>
    </row>
    <row r="230" spans="1:6" s="726" customFormat="1" ht="33" customHeight="1">
      <c r="A230" s="849">
        <f>building!A56</f>
        <v>13.1</v>
      </c>
      <c r="B230" s="855">
        <f>building!Y56</f>
        <v>109.2</v>
      </c>
      <c r="C230" s="856" t="str">
        <f>building!B56</f>
        <v>Filling with Excavated Earth</v>
      </c>
      <c r="D230" s="852">
        <f>building!C56</f>
        <v>33.6</v>
      </c>
      <c r="E230" s="853" t="str">
        <f>building!D56</f>
        <v>Cum.</v>
      </c>
      <c r="F230" s="852">
        <f t="shared" si="3"/>
        <v>3669.12</v>
      </c>
    </row>
    <row r="231" spans="1:6" s="726" customFormat="1" ht="25.5" hidden="1" customHeight="1">
      <c r="A231" s="849" t="e">
        <f>building!#REF!</f>
        <v>#REF!</v>
      </c>
      <c r="B231" s="855" t="e">
        <f>building!#REF!</f>
        <v>#REF!</v>
      </c>
      <c r="C231" s="856" t="e">
        <f>building!#REF!</f>
        <v>#REF!</v>
      </c>
      <c r="D231" s="852" t="e">
        <f>building!#REF!</f>
        <v>#REF!</v>
      </c>
      <c r="E231" s="853" t="e">
        <f>building!#REF!</f>
        <v>#REF!</v>
      </c>
      <c r="F231" s="852" t="e">
        <f t="shared" si="3"/>
        <v>#REF!</v>
      </c>
    </row>
    <row r="232" spans="1:6" s="726" customFormat="1" ht="17.25" hidden="1">
      <c r="A232" s="849" t="e">
        <f>building!#REF!</f>
        <v>#REF!</v>
      </c>
      <c r="B232" s="855" t="e">
        <f>building!#REF!</f>
        <v>#REF!</v>
      </c>
      <c r="C232" s="856" t="e">
        <f>building!#REF!</f>
        <v>#REF!</v>
      </c>
      <c r="D232" s="852" t="e">
        <f>building!#REF!</f>
        <v>#REF!</v>
      </c>
      <c r="E232" s="853" t="e">
        <f>building!#REF!</f>
        <v>#REF!</v>
      </c>
      <c r="F232" s="852" t="e">
        <f t="shared" si="3"/>
        <v>#REF!</v>
      </c>
    </row>
    <row r="233" spans="1:6" s="726" customFormat="1" ht="17.25" hidden="1">
      <c r="A233" s="849" t="e">
        <f>building!#REF!</f>
        <v>#REF!</v>
      </c>
      <c r="B233" s="855" t="e">
        <f>building!#REF!</f>
        <v>#REF!</v>
      </c>
      <c r="C233" s="856" t="e">
        <f>building!#REF!</f>
        <v>#REF!</v>
      </c>
      <c r="D233" s="852" t="e">
        <f>building!#REF!</f>
        <v>#REF!</v>
      </c>
      <c r="E233" s="853" t="e">
        <f>building!#REF!</f>
        <v>#REF!</v>
      </c>
      <c r="F233" s="852" t="e">
        <f t="shared" si="3"/>
        <v>#REF!</v>
      </c>
    </row>
    <row r="234" spans="1:6" s="726" customFormat="1" ht="17.25" hidden="1">
      <c r="A234" s="849" t="e">
        <f>building!#REF!</f>
        <v>#REF!</v>
      </c>
      <c r="B234" s="855" t="e">
        <f>building!#REF!</f>
        <v>#REF!</v>
      </c>
      <c r="C234" s="856" t="e">
        <f>building!#REF!</f>
        <v>#REF!</v>
      </c>
      <c r="D234" s="852" t="e">
        <f>building!#REF!</f>
        <v>#REF!</v>
      </c>
      <c r="E234" s="853" t="e">
        <f>building!#REF!</f>
        <v>#REF!</v>
      </c>
      <c r="F234" s="852" t="e">
        <f t="shared" si="3"/>
        <v>#REF!</v>
      </c>
    </row>
    <row r="235" spans="1:6" s="726" customFormat="1" ht="17.25" hidden="1">
      <c r="A235" s="849" t="e">
        <f>building!#REF!</f>
        <v>#REF!</v>
      </c>
      <c r="B235" s="855" t="e">
        <f>building!#REF!</f>
        <v>#REF!</v>
      </c>
      <c r="C235" s="856" t="e">
        <f>building!#REF!</f>
        <v>#REF!</v>
      </c>
      <c r="D235" s="852" t="e">
        <f>building!#REF!</f>
        <v>#REF!</v>
      </c>
      <c r="E235" s="853" t="e">
        <f>building!#REF!</f>
        <v>#REF!</v>
      </c>
      <c r="F235" s="852" t="e">
        <f t="shared" si="3"/>
        <v>#REF!</v>
      </c>
    </row>
    <row r="236" spans="1:6" ht="15.75" hidden="1">
      <c r="A236" s="849" t="e">
        <f>building!#REF!</f>
        <v>#REF!</v>
      </c>
      <c r="B236" s="855" t="e">
        <f>building!#REF!</f>
        <v>#REF!</v>
      </c>
      <c r="C236" s="856" t="e">
        <f>building!#REF!</f>
        <v>#REF!</v>
      </c>
      <c r="D236" s="852" t="e">
        <f>building!#REF!</f>
        <v>#REF!</v>
      </c>
      <c r="E236" s="853" t="e">
        <f>building!#REF!</f>
        <v>#REF!</v>
      </c>
      <c r="F236" s="852" t="e">
        <f t="shared" si="3"/>
        <v>#REF!</v>
      </c>
    </row>
    <row r="237" spans="1:6" s="726" customFormat="1" ht="17.25" hidden="1">
      <c r="A237" s="849" t="e">
        <f>building!#REF!</f>
        <v>#REF!</v>
      </c>
      <c r="B237" s="855" t="e">
        <f>building!#REF!</f>
        <v>#REF!</v>
      </c>
      <c r="C237" s="856" t="e">
        <f>building!#REF!</f>
        <v>#REF!</v>
      </c>
      <c r="D237" s="852" t="e">
        <f>building!#REF!</f>
        <v>#REF!</v>
      </c>
      <c r="E237" s="853" t="e">
        <f>building!#REF!</f>
        <v>#REF!</v>
      </c>
      <c r="F237" s="852" t="e">
        <f t="shared" si="3"/>
        <v>#REF!</v>
      </c>
    </row>
    <row r="238" spans="1:6" s="726" customFormat="1" ht="17.25" hidden="1">
      <c r="A238" s="849" t="e">
        <f>building!#REF!</f>
        <v>#REF!</v>
      </c>
      <c r="B238" s="855" t="e">
        <f>building!#REF!</f>
        <v>#REF!</v>
      </c>
      <c r="C238" s="856" t="e">
        <f>building!#REF!</f>
        <v>#REF!</v>
      </c>
      <c r="D238" s="852" t="e">
        <f>building!#REF!</f>
        <v>#REF!</v>
      </c>
      <c r="E238" s="853" t="e">
        <f>building!#REF!</f>
        <v>#REF!</v>
      </c>
      <c r="F238" s="852" t="e">
        <f t="shared" si="3"/>
        <v>#REF!</v>
      </c>
    </row>
    <row r="239" spans="1:6" s="726" customFormat="1" ht="17.25" hidden="1">
      <c r="A239" s="849" t="e">
        <f>building!#REF!</f>
        <v>#REF!</v>
      </c>
      <c r="B239" s="855" t="e">
        <f>building!#REF!</f>
        <v>#REF!</v>
      </c>
      <c r="C239" s="856" t="e">
        <f>building!#REF!</f>
        <v>#REF!</v>
      </c>
      <c r="D239" s="852" t="e">
        <f>building!#REF!</f>
        <v>#REF!</v>
      </c>
      <c r="E239" s="853" t="e">
        <f>building!#REF!</f>
        <v>#REF!</v>
      </c>
      <c r="F239" s="852" t="e">
        <f t="shared" si="3"/>
        <v>#REF!</v>
      </c>
    </row>
    <row r="240" spans="1:6" s="726" customFormat="1" ht="17.25" hidden="1">
      <c r="A240" s="849" t="e">
        <f>building!#REF!</f>
        <v>#REF!</v>
      </c>
      <c r="B240" s="855" t="e">
        <f>building!#REF!</f>
        <v>#REF!</v>
      </c>
      <c r="C240" s="856" t="e">
        <f>building!#REF!</f>
        <v>#REF!</v>
      </c>
      <c r="D240" s="852" t="e">
        <f>building!#REF!</f>
        <v>#REF!</v>
      </c>
      <c r="E240" s="853" t="e">
        <f>building!#REF!</f>
        <v>#REF!</v>
      </c>
      <c r="F240" s="852" t="e">
        <f t="shared" si="3"/>
        <v>#REF!</v>
      </c>
    </row>
    <row r="241" spans="1:6" s="726" customFormat="1" ht="17.25" hidden="1">
      <c r="A241" s="849" t="e">
        <f>building!#REF!</f>
        <v>#REF!</v>
      </c>
      <c r="B241" s="855" t="e">
        <f>building!#REF!</f>
        <v>#REF!</v>
      </c>
      <c r="C241" s="856" t="e">
        <f>building!#REF!</f>
        <v>#REF!</v>
      </c>
      <c r="D241" s="852" t="e">
        <f>building!#REF!</f>
        <v>#REF!</v>
      </c>
      <c r="E241" s="853" t="e">
        <f>building!#REF!</f>
        <v>#REF!</v>
      </c>
      <c r="F241" s="852" t="e">
        <f t="shared" si="3"/>
        <v>#REF!</v>
      </c>
    </row>
    <row r="242" spans="1:6" s="726" customFormat="1" ht="17.25" hidden="1">
      <c r="A242" s="849" t="e">
        <f>building!#REF!</f>
        <v>#REF!</v>
      </c>
      <c r="B242" s="855" t="e">
        <f>building!#REF!</f>
        <v>#REF!</v>
      </c>
      <c r="C242" s="856" t="e">
        <f>building!#REF!</f>
        <v>#REF!</v>
      </c>
      <c r="D242" s="852" t="e">
        <f>building!#REF!</f>
        <v>#REF!</v>
      </c>
      <c r="E242" s="853" t="e">
        <f>building!#REF!</f>
        <v>#REF!</v>
      </c>
      <c r="F242" s="852" t="e">
        <f t="shared" si="3"/>
        <v>#REF!</v>
      </c>
    </row>
    <row r="243" spans="1:6" s="726" customFormat="1" ht="17.25" hidden="1">
      <c r="A243" s="849" t="e">
        <f>building!#REF!</f>
        <v>#REF!</v>
      </c>
      <c r="B243" s="855" t="e">
        <f>building!#REF!</f>
        <v>#REF!</v>
      </c>
      <c r="C243" s="856" t="e">
        <f>building!#REF!</f>
        <v>#REF!</v>
      </c>
      <c r="D243" s="852" t="e">
        <f>building!#REF!</f>
        <v>#REF!</v>
      </c>
      <c r="E243" s="853" t="e">
        <f>building!#REF!</f>
        <v>#REF!</v>
      </c>
      <c r="F243" s="852" t="e">
        <f t="shared" si="3"/>
        <v>#REF!</v>
      </c>
    </row>
    <row r="244" spans="1:6" s="726" customFormat="1" ht="17.25" hidden="1">
      <c r="A244" s="849" t="e">
        <f>building!#REF!</f>
        <v>#REF!</v>
      </c>
      <c r="B244" s="855" t="e">
        <f>building!#REF!</f>
        <v>#REF!</v>
      </c>
      <c r="C244" s="856" t="e">
        <f>building!#REF!</f>
        <v>#REF!</v>
      </c>
      <c r="D244" s="852" t="e">
        <f>building!#REF!</f>
        <v>#REF!</v>
      </c>
      <c r="E244" s="853" t="e">
        <f>building!#REF!</f>
        <v>#REF!</v>
      </c>
      <c r="F244" s="852" t="e">
        <f t="shared" si="3"/>
        <v>#REF!</v>
      </c>
    </row>
    <row r="245" spans="1:6" s="726" customFormat="1" ht="17.25" hidden="1">
      <c r="A245" s="849" t="e">
        <f>building!#REF!</f>
        <v>#REF!</v>
      </c>
      <c r="B245" s="855" t="e">
        <f>building!#REF!</f>
        <v>#REF!</v>
      </c>
      <c r="C245" s="856" t="e">
        <f>building!#REF!</f>
        <v>#REF!</v>
      </c>
      <c r="D245" s="852" t="e">
        <f>building!#REF!</f>
        <v>#REF!</v>
      </c>
      <c r="E245" s="853" t="e">
        <f>building!#REF!</f>
        <v>#REF!</v>
      </c>
      <c r="F245" s="852" t="e">
        <f t="shared" si="3"/>
        <v>#REF!</v>
      </c>
    </row>
    <row r="246" spans="1:6" s="726" customFormat="1" ht="17.25" hidden="1">
      <c r="A246" s="849" t="e">
        <f>building!#REF!</f>
        <v>#REF!</v>
      </c>
      <c r="B246" s="855" t="e">
        <f>building!#REF!</f>
        <v>#REF!</v>
      </c>
      <c r="C246" s="856" t="e">
        <f>building!#REF!</f>
        <v>#REF!</v>
      </c>
      <c r="D246" s="852" t="e">
        <f>building!#REF!</f>
        <v>#REF!</v>
      </c>
      <c r="E246" s="853" t="e">
        <f>building!#REF!</f>
        <v>#REF!</v>
      </c>
      <c r="F246" s="852" t="e">
        <f t="shared" si="3"/>
        <v>#REF!</v>
      </c>
    </row>
    <row r="247" spans="1:6" s="726" customFormat="1" ht="17.25" hidden="1">
      <c r="A247" s="849" t="e">
        <f>building!#REF!</f>
        <v>#REF!</v>
      </c>
      <c r="B247" s="855" t="e">
        <f>building!#REF!</f>
        <v>#REF!</v>
      </c>
      <c r="C247" s="856" t="e">
        <f>building!#REF!</f>
        <v>#REF!</v>
      </c>
      <c r="D247" s="852" t="e">
        <f>building!#REF!</f>
        <v>#REF!</v>
      </c>
      <c r="E247" s="853" t="e">
        <f>building!#REF!</f>
        <v>#REF!</v>
      </c>
      <c r="F247" s="852" t="e">
        <f t="shared" si="3"/>
        <v>#REF!</v>
      </c>
    </row>
    <row r="248" spans="1:6" s="726" customFormat="1" ht="17.25" hidden="1">
      <c r="A248" s="849" t="e">
        <f>building!#REF!</f>
        <v>#REF!</v>
      </c>
      <c r="B248" s="855" t="e">
        <f>building!#REF!</f>
        <v>#REF!</v>
      </c>
      <c r="C248" s="856" t="e">
        <f>building!#REF!</f>
        <v>#REF!</v>
      </c>
      <c r="D248" s="852" t="e">
        <f>building!#REF!</f>
        <v>#REF!</v>
      </c>
      <c r="E248" s="853" t="e">
        <f>building!#REF!</f>
        <v>#REF!</v>
      </c>
      <c r="F248" s="852" t="e">
        <f t="shared" si="3"/>
        <v>#REF!</v>
      </c>
    </row>
    <row r="249" spans="1:6" s="726" customFormat="1" ht="17.25" hidden="1">
      <c r="A249" s="849" t="e">
        <f>building!#REF!</f>
        <v>#REF!</v>
      </c>
      <c r="B249" s="855" t="e">
        <f>building!#REF!</f>
        <v>#REF!</v>
      </c>
      <c r="C249" s="856" t="e">
        <f>building!#REF!</f>
        <v>#REF!</v>
      </c>
      <c r="D249" s="852" t="e">
        <f>building!#REF!</f>
        <v>#REF!</v>
      </c>
      <c r="E249" s="853" t="e">
        <f>building!#REF!</f>
        <v>#REF!</v>
      </c>
      <c r="F249" s="852" t="e">
        <f t="shared" si="3"/>
        <v>#REF!</v>
      </c>
    </row>
    <row r="250" spans="1:6" s="726" customFormat="1" ht="17.25" hidden="1">
      <c r="A250" s="849" t="e">
        <f>building!#REF!</f>
        <v>#REF!</v>
      </c>
      <c r="B250" s="855" t="e">
        <f>building!#REF!</f>
        <v>#REF!</v>
      </c>
      <c r="C250" s="856" t="e">
        <f>building!#REF!</f>
        <v>#REF!</v>
      </c>
      <c r="D250" s="852" t="e">
        <f>building!#REF!</f>
        <v>#REF!</v>
      </c>
      <c r="E250" s="853" t="e">
        <f>building!#REF!</f>
        <v>#REF!</v>
      </c>
      <c r="F250" s="852" t="e">
        <f t="shared" si="3"/>
        <v>#REF!</v>
      </c>
    </row>
    <row r="251" spans="1:6" s="726" customFormat="1" ht="17.25" hidden="1">
      <c r="A251" s="849" t="e">
        <f>building!#REF!</f>
        <v>#REF!</v>
      </c>
      <c r="B251" s="855" t="e">
        <f>building!#REF!</f>
        <v>#REF!</v>
      </c>
      <c r="C251" s="856" t="e">
        <f>building!#REF!</f>
        <v>#REF!</v>
      </c>
      <c r="D251" s="852" t="e">
        <f>building!#REF!</f>
        <v>#REF!</v>
      </c>
      <c r="E251" s="853" t="e">
        <f>building!#REF!</f>
        <v>#REF!</v>
      </c>
      <c r="F251" s="852" t="e">
        <f t="shared" si="3"/>
        <v>#REF!</v>
      </c>
    </row>
    <row r="252" spans="1:6" s="726" customFormat="1" ht="17.25" hidden="1">
      <c r="A252" s="849" t="e">
        <f>building!#REF!</f>
        <v>#REF!</v>
      </c>
      <c r="B252" s="855" t="e">
        <f>building!#REF!</f>
        <v>#REF!</v>
      </c>
      <c r="C252" s="856" t="e">
        <f>building!#REF!</f>
        <v>#REF!</v>
      </c>
      <c r="D252" s="852" t="e">
        <f>building!#REF!</f>
        <v>#REF!</v>
      </c>
      <c r="E252" s="853" t="e">
        <f>building!#REF!</f>
        <v>#REF!</v>
      </c>
      <c r="F252" s="852" t="e">
        <f t="shared" si="3"/>
        <v>#REF!</v>
      </c>
    </row>
    <row r="253" spans="1:6" s="726" customFormat="1" ht="17.25" hidden="1">
      <c r="A253" s="849" t="e">
        <f>building!#REF!</f>
        <v>#REF!</v>
      </c>
      <c r="B253" s="855" t="e">
        <f>building!#REF!</f>
        <v>#REF!</v>
      </c>
      <c r="C253" s="856" t="e">
        <f>building!#REF!</f>
        <v>#REF!</v>
      </c>
      <c r="D253" s="852" t="e">
        <f>building!#REF!</f>
        <v>#REF!</v>
      </c>
      <c r="E253" s="853" t="e">
        <f>building!#REF!</f>
        <v>#REF!</v>
      </c>
      <c r="F253" s="852" t="e">
        <f t="shared" si="3"/>
        <v>#REF!</v>
      </c>
    </row>
    <row r="254" spans="1:6" s="726" customFormat="1" ht="17.25" hidden="1">
      <c r="A254" s="849" t="e">
        <f>building!#REF!</f>
        <v>#REF!</v>
      </c>
      <c r="B254" s="855" t="e">
        <f>building!#REF!</f>
        <v>#REF!</v>
      </c>
      <c r="C254" s="856" t="e">
        <f>building!#REF!</f>
        <v>#REF!</v>
      </c>
      <c r="D254" s="852" t="e">
        <f>building!#REF!</f>
        <v>#REF!</v>
      </c>
      <c r="E254" s="853" t="e">
        <f>building!#REF!</f>
        <v>#REF!</v>
      </c>
      <c r="F254" s="852" t="e">
        <f t="shared" si="3"/>
        <v>#REF!</v>
      </c>
    </row>
    <row r="255" spans="1:6" s="726" customFormat="1" ht="17.25" hidden="1">
      <c r="A255" s="849" t="e">
        <f>building!#REF!</f>
        <v>#REF!</v>
      </c>
      <c r="B255" s="855" t="e">
        <f>building!#REF!</f>
        <v>#REF!</v>
      </c>
      <c r="C255" s="856" t="e">
        <f>building!#REF!</f>
        <v>#REF!</v>
      </c>
      <c r="D255" s="852" t="e">
        <f>building!#REF!</f>
        <v>#REF!</v>
      </c>
      <c r="E255" s="853" t="e">
        <f>building!#REF!</f>
        <v>#REF!</v>
      </c>
      <c r="F255" s="852" t="e">
        <f t="shared" si="3"/>
        <v>#REF!</v>
      </c>
    </row>
    <row r="256" spans="1:6" s="726" customFormat="1" ht="17.25" hidden="1">
      <c r="A256" s="849" t="e">
        <f>building!#REF!</f>
        <v>#REF!</v>
      </c>
      <c r="B256" s="855" t="e">
        <f>building!#REF!</f>
        <v>#REF!</v>
      </c>
      <c r="C256" s="856" t="e">
        <f>building!#REF!</f>
        <v>#REF!</v>
      </c>
      <c r="D256" s="852" t="e">
        <f>building!#REF!</f>
        <v>#REF!</v>
      </c>
      <c r="E256" s="853" t="e">
        <f>building!#REF!</f>
        <v>#REF!</v>
      </c>
      <c r="F256" s="852" t="e">
        <f t="shared" si="3"/>
        <v>#REF!</v>
      </c>
    </row>
    <row r="257" spans="1:6" s="726" customFormat="1" ht="17.25" hidden="1">
      <c r="A257" s="849" t="e">
        <f>building!#REF!</f>
        <v>#REF!</v>
      </c>
      <c r="B257" s="855" t="e">
        <f>building!#REF!</f>
        <v>#REF!</v>
      </c>
      <c r="C257" s="856" t="e">
        <f>building!#REF!</f>
        <v>#REF!</v>
      </c>
      <c r="D257" s="852" t="e">
        <f>building!#REF!</f>
        <v>#REF!</v>
      </c>
      <c r="E257" s="853" t="e">
        <f>building!#REF!</f>
        <v>#REF!</v>
      </c>
      <c r="F257" s="852" t="e">
        <f t="shared" si="3"/>
        <v>#REF!</v>
      </c>
    </row>
    <row r="258" spans="1:6" ht="15.75" hidden="1">
      <c r="A258" s="849" t="e">
        <f>building!#REF!</f>
        <v>#REF!</v>
      </c>
      <c r="B258" s="855" t="e">
        <f>building!#REF!</f>
        <v>#REF!</v>
      </c>
      <c r="C258" s="856" t="e">
        <f>building!#REF!</f>
        <v>#REF!</v>
      </c>
      <c r="D258" s="852" t="e">
        <f>building!#REF!</f>
        <v>#REF!</v>
      </c>
      <c r="E258" s="853" t="e">
        <f>building!#REF!</f>
        <v>#REF!</v>
      </c>
      <c r="F258" s="852" t="e">
        <f t="shared" si="3"/>
        <v>#REF!</v>
      </c>
    </row>
    <row r="259" spans="1:6" ht="15.75" hidden="1">
      <c r="A259" s="849" t="e">
        <f>building!#REF!</f>
        <v>#REF!</v>
      </c>
      <c r="B259" s="855" t="e">
        <f>building!#REF!</f>
        <v>#REF!</v>
      </c>
      <c r="C259" s="856" t="e">
        <f>building!#REF!</f>
        <v>#REF!</v>
      </c>
      <c r="D259" s="852" t="e">
        <f>building!#REF!</f>
        <v>#REF!</v>
      </c>
      <c r="E259" s="853" t="e">
        <f>building!#REF!</f>
        <v>#REF!</v>
      </c>
      <c r="F259" s="852" t="e">
        <f t="shared" si="3"/>
        <v>#REF!</v>
      </c>
    </row>
    <row r="260" spans="1:6" ht="15.75" hidden="1">
      <c r="A260" s="849" t="e">
        <f>building!#REF!</f>
        <v>#REF!</v>
      </c>
      <c r="B260" s="855" t="e">
        <f>building!#REF!</f>
        <v>#REF!</v>
      </c>
      <c r="C260" s="856" t="e">
        <f>building!#REF!</f>
        <v>#REF!</v>
      </c>
      <c r="D260" s="852" t="e">
        <f>building!#REF!</f>
        <v>#REF!</v>
      </c>
      <c r="E260" s="853" t="e">
        <f>building!#REF!</f>
        <v>#REF!</v>
      </c>
      <c r="F260" s="852" t="e">
        <f t="shared" si="3"/>
        <v>#REF!</v>
      </c>
    </row>
    <row r="261" spans="1:6" ht="15.75" hidden="1">
      <c r="A261" s="849" t="e">
        <f>building!#REF!</f>
        <v>#REF!</v>
      </c>
      <c r="B261" s="855" t="e">
        <f>building!#REF!</f>
        <v>#REF!</v>
      </c>
      <c r="C261" s="856" t="e">
        <f>building!#REF!</f>
        <v>#REF!</v>
      </c>
      <c r="D261" s="852" t="e">
        <f>building!#REF!</f>
        <v>#REF!</v>
      </c>
      <c r="E261" s="853" t="e">
        <f>building!#REF!</f>
        <v>#REF!</v>
      </c>
      <c r="F261" s="852" t="e">
        <f t="shared" si="3"/>
        <v>#REF!</v>
      </c>
    </row>
    <row r="262" spans="1:6" ht="15.75" hidden="1">
      <c r="A262" s="849" t="e">
        <f>building!#REF!</f>
        <v>#REF!</v>
      </c>
      <c r="B262" s="855" t="e">
        <f>building!#REF!</f>
        <v>#REF!</v>
      </c>
      <c r="C262" s="856" t="e">
        <f>building!#REF!</f>
        <v>#REF!</v>
      </c>
      <c r="D262" s="852" t="e">
        <f>building!#REF!</f>
        <v>#REF!</v>
      </c>
      <c r="E262" s="853" t="e">
        <f>building!#REF!</f>
        <v>#REF!</v>
      </c>
      <c r="F262" s="852" t="e">
        <f t="shared" si="3"/>
        <v>#REF!</v>
      </c>
    </row>
    <row r="263" spans="1:6" s="726" customFormat="1" ht="17.25" hidden="1">
      <c r="A263" s="849" t="e">
        <f>building!#REF!</f>
        <v>#REF!</v>
      </c>
      <c r="B263" s="855" t="e">
        <f>building!#REF!</f>
        <v>#REF!</v>
      </c>
      <c r="C263" s="856" t="e">
        <f>building!#REF!</f>
        <v>#REF!</v>
      </c>
      <c r="D263" s="852" t="e">
        <f>building!#REF!</f>
        <v>#REF!</v>
      </c>
      <c r="E263" s="853" t="e">
        <f>building!#REF!</f>
        <v>#REF!</v>
      </c>
      <c r="F263" s="852" t="e">
        <f t="shared" si="3"/>
        <v>#REF!</v>
      </c>
    </row>
    <row r="264" spans="1:6" ht="15.75" hidden="1">
      <c r="A264" s="849" t="e">
        <f>building!#REF!</f>
        <v>#REF!</v>
      </c>
      <c r="B264" s="855" t="e">
        <f>building!#REF!</f>
        <v>#REF!</v>
      </c>
      <c r="C264" s="856" t="e">
        <f>building!#REF!</f>
        <v>#REF!</v>
      </c>
      <c r="D264" s="852" t="e">
        <f>building!#REF!</f>
        <v>#REF!</v>
      </c>
      <c r="E264" s="853" t="e">
        <f>building!#REF!</f>
        <v>#REF!</v>
      </c>
      <c r="F264" s="852" t="e">
        <f t="shared" ref="F264:F327" si="4">D264*B264</f>
        <v>#REF!</v>
      </c>
    </row>
    <row r="265" spans="1:6" ht="15.75" hidden="1">
      <c r="A265" s="849" t="e">
        <f>building!#REF!</f>
        <v>#REF!</v>
      </c>
      <c r="B265" s="855" t="e">
        <f>building!#REF!</f>
        <v>#REF!</v>
      </c>
      <c r="C265" s="856" t="e">
        <f>building!#REF!</f>
        <v>#REF!</v>
      </c>
      <c r="D265" s="852" t="e">
        <f>building!#REF!</f>
        <v>#REF!</v>
      </c>
      <c r="E265" s="853" t="e">
        <f>building!#REF!</f>
        <v>#REF!</v>
      </c>
      <c r="F265" s="852" t="e">
        <f t="shared" si="4"/>
        <v>#REF!</v>
      </c>
    </row>
    <row r="266" spans="1:6" ht="15.75" hidden="1">
      <c r="A266" s="849" t="e">
        <f>building!#REF!</f>
        <v>#REF!</v>
      </c>
      <c r="B266" s="855" t="e">
        <f>building!#REF!</f>
        <v>#REF!</v>
      </c>
      <c r="C266" s="856" t="e">
        <f>building!#REF!</f>
        <v>#REF!</v>
      </c>
      <c r="D266" s="852" t="e">
        <f>building!#REF!</f>
        <v>#REF!</v>
      </c>
      <c r="E266" s="853" t="e">
        <f>building!#REF!</f>
        <v>#REF!</v>
      </c>
      <c r="F266" s="852" t="e">
        <f t="shared" si="4"/>
        <v>#REF!</v>
      </c>
    </row>
    <row r="267" spans="1:6" ht="15.75" hidden="1">
      <c r="A267" s="849" t="e">
        <f>building!#REF!</f>
        <v>#REF!</v>
      </c>
      <c r="B267" s="855" t="e">
        <f>building!#REF!</f>
        <v>#REF!</v>
      </c>
      <c r="C267" s="856" t="e">
        <f>building!#REF!</f>
        <v>#REF!</v>
      </c>
      <c r="D267" s="852" t="e">
        <f>building!#REF!</f>
        <v>#REF!</v>
      </c>
      <c r="E267" s="853" t="e">
        <f>building!#REF!</f>
        <v>#REF!</v>
      </c>
      <c r="F267" s="852" t="e">
        <f t="shared" si="4"/>
        <v>#REF!</v>
      </c>
    </row>
    <row r="268" spans="1:6" ht="15.75" hidden="1">
      <c r="A268" s="849" t="e">
        <f>building!#REF!</f>
        <v>#REF!</v>
      </c>
      <c r="B268" s="855" t="e">
        <f>building!#REF!</f>
        <v>#REF!</v>
      </c>
      <c r="C268" s="856" t="e">
        <f>building!#REF!</f>
        <v>#REF!</v>
      </c>
      <c r="D268" s="852" t="e">
        <f>building!#REF!</f>
        <v>#REF!</v>
      </c>
      <c r="E268" s="853" t="e">
        <f>building!#REF!</f>
        <v>#REF!</v>
      </c>
      <c r="F268" s="852" t="e">
        <f t="shared" si="4"/>
        <v>#REF!</v>
      </c>
    </row>
    <row r="269" spans="1:6" s="726" customFormat="1" ht="17.25" hidden="1">
      <c r="A269" s="849" t="e">
        <f>building!#REF!</f>
        <v>#REF!</v>
      </c>
      <c r="B269" s="855" t="e">
        <f>building!#REF!</f>
        <v>#REF!</v>
      </c>
      <c r="C269" s="856" t="e">
        <f>building!#REF!</f>
        <v>#REF!</v>
      </c>
      <c r="D269" s="852" t="e">
        <f>building!#REF!</f>
        <v>#REF!</v>
      </c>
      <c r="E269" s="853" t="e">
        <f>building!#REF!</f>
        <v>#REF!</v>
      </c>
      <c r="F269" s="852" t="e">
        <f t="shared" si="4"/>
        <v>#REF!</v>
      </c>
    </row>
    <row r="270" spans="1:6" s="726" customFormat="1" ht="17.25" hidden="1">
      <c r="A270" s="849" t="e">
        <f>building!#REF!</f>
        <v>#REF!</v>
      </c>
      <c r="B270" s="855" t="e">
        <f>building!#REF!</f>
        <v>#REF!</v>
      </c>
      <c r="C270" s="856" t="e">
        <f>building!#REF!</f>
        <v>#REF!</v>
      </c>
      <c r="D270" s="852" t="e">
        <f>building!#REF!</f>
        <v>#REF!</v>
      </c>
      <c r="E270" s="853" t="e">
        <f>building!#REF!</f>
        <v>#REF!</v>
      </c>
      <c r="F270" s="852" t="e">
        <f t="shared" si="4"/>
        <v>#REF!</v>
      </c>
    </row>
    <row r="271" spans="1:6" s="726" customFormat="1" ht="17.25" hidden="1">
      <c r="A271" s="849" t="e">
        <f>building!#REF!</f>
        <v>#REF!</v>
      </c>
      <c r="B271" s="855" t="e">
        <f>building!#REF!</f>
        <v>#REF!</v>
      </c>
      <c r="C271" s="856" t="e">
        <f>building!#REF!</f>
        <v>#REF!</v>
      </c>
      <c r="D271" s="852" t="e">
        <f>building!#REF!</f>
        <v>#REF!</v>
      </c>
      <c r="E271" s="853" t="e">
        <f>building!#REF!</f>
        <v>#REF!</v>
      </c>
      <c r="F271" s="852" t="e">
        <f t="shared" si="4"/>
        <v>#REF!</v>
      </c>
    </row>
    <row r="272" spans="1:6" s="726" customFormat="1" ht="17.25" hidden="1">
      <c r="A272" s="849" t="e">
        <f>building!#REF!</f>
        <v>#REF!</v>
      </c>
      <c r="B272" s="855" t="e">
        <f>building!#REF!</f>
        <v>#REF!</v>
      </c>
      <c r="C272" s="856" t="e">
        <f>building!#REF!</f>
        <v>#REF!</v>
      </c>
      <c r="D272" s="852" t="e">
        <f>building!#REF!</f>
        <v>#REF!</v>
      </c>
      <c r="E272" s="853" t="e">
        <f>building!#REF!</f>
        <v>#REF!</v>
      </c>
      <c r="F272" s="852" t="e">
        <f t="shared" si="4"/>
        <v>#REF!</v>
      </c>
    </row>
    <row r="273" spans="1:6" s="726" customFormat="1" ht="17.25" hidden="1">
      <c r="A273" s="849" t="e">
        <f>building!#REF!</f>
        <v>#REF!</v>
      </c>
      <c r="B273" s="855" t="e">
        <f>building!#REF!</f>
        <v>#REF!</v>
      </c>
      <c r="C273" s="856" t="e">
        <f>building!#REF!</f>
        <v>#REF!</v>
      </c>
      <c r="D273" s="852" t="e">
        <f>building!#REF!</f>
        <v>#REF!</v>
      </c>
      <c r="E273" s="853" t="e">
        <f>building!#REF!</f>
        <v>#REF!</v>
      </c>
      <c r="F273" s="852" t="e">
        <f t="shared" si="4"/>
        <v>#REF!</v>
      </c>
    </row>
    <row r="274" spans="1:6" s="726" customFormat="1" ht="17.25" hidden="1">
      <c r="A274" s="849" t="e">
        <f>building!#REF!</f>
        <v>#REF!</v>
      </c>
      <c r="B274" s="855" t="e">
        <f>building!#REF!</f>
        <v>#REF!</v>
      </c>
      <c r="C274" s="856" t="e">
        <f>building!#REF!</f>
        <v>#REF!</v>
      </c>
      <c r="D274" s="852" t="e">
        <f>building!#REF!</f>
        <v>#REF!</v>
      </c>
      <c r="E274" s="853" t="e">
        <f>building!#REF!</f>
        <v>#REF!</v>
      </c>
      <c r="F274" s="852" t="e">
        <f t="shared" si="4"/>
        <v>#REF!</v>
      </c>
    </row>
    <row r="275" spans="1:6" s="726" customFormat="1" ht="17.25" hidden="1">
      <c r="A275" s="849" t="e">
        <f>building!#REF!</f>
        <v>#REF!</v>
      </c>
      <c r="B275" s="855" t="e">
        <f>building!#REF!</f>
        <v>#REF!</v>
      </c>
      <c r="C275" s="856" t="e">
        <f>building!#REF!</f>
        <v>#REF!</v>
      </c>
      <c r="D275" s="852" t="e">
        <f>building!#REF!</f>
        <v>#REF!</v>
      </c>
      <c r="E275" s="853" t="e">
        <f>building!#REF!</f>
        <v>#REF!</v>
      </c>
      <c r="F275" s="852" t="e">
        <f t="shared" si="4"/>
        <v>#REF!</v>
      </c>
    </row>
    <row r="276" spans="1:6" s="726" customFormat="1" ht="17.25" hidden="1">
      <c r="A276" s="849" t="e">
        <f>building!#REF!</f>
        <v>#REF!</v>
      </c>
      <c r="B276" s="855" t="e">
        <f>building!#REF!</f>
        <v>#REF!</v>
      </c>
      <c r="C276" s="856" t="e">
        <f>building!#REF!</f>
        <v>#REF!</v>
      </c>
      <c r="D276" s="852" t="e">
        <f>building!#REF!</f>
        <v>#REF!</v>
      </c>
      <c r="E276" s="853" t="e">
        <f>building!#REF!</f>
        <v>#REF!</v>
      </c>
      <c r="F276" s="852" t="e">
        <f t="shared" si="4"/>
        <v>#REF!</v>
      </c>
    </row>
    <row r="277" spans="1:6" s="726" customFormat="1" ht="17.25" hidden="1">
      <c r="A277" s="849" t="e">
        <f>building!#REF!</f>
        <v>#REF!</v>
      </c>
      <c r="B277" s="855" t="e">
        <f>building!#REF!</f>
        <v>#REF!</v>
      </c>
      <c r="C277" s="856" t="e">
        <f>building!#REF!</f>
        <v>#REF!</v>
      </c>
      <c r="D277" s="852" t="e">
        <f>building!#REF!</f>
        <v>#REF!</v>
      </c>
      <c r="E277" s="853" t="e">
        <f>building!#REF!</f>
        <v>#REF!</v>
      </c>
      <c r="F277" s="852" t="e">
        <f t="shared" si="4"/>
        <v>#REF!</v>
      </c>
    </row>
    <row r="278" spans="1:6" s="726" customFormat="1" ht="17.25" hidden="1">
      <c r="A278" s="849" t="e">
        <f>building!#REF!</f>
        <v>#REF!</v>
      </c>
      <c r="B278" s="855" t="e">
        <f>building!#REF!</f>
        <v>#REF!</v>
      </c>
      <c r="C278" s="856" t="e">
        <f>building!#REF!</f>
        <v>#REF!</v>
      </c>
      <c r="D278" s="852" t="e">
        <f>building!#REF!</f>
        <v>#REF!</v>
      </c>
      <c r="E278" s="853" t="e">
        <f>building!#REF!</f>
        <v>#REF!</v>
      </c>
      <c r="F278" s="852" t="e">
        <f t="shared" si="4"/>
        <v>#REF!</v>
      </c>
    </row>
    <row r="279" spans="1:6" s="726" customFormat="1" ht="17.25" hidden="1">
      <c r="A279" s="849" t="e">
        <f>building!#REF!</f>
        <v>#REF!</v>
      </c>
      <c r="B279" s="855" t="e">
        <f>building!#REF!</f>
        <v>#REF!</v>
      </c>
      <c r="C279" s="856" t="e">
        <f>building!#REF!</f>
        <v>#REF!</v>
      </c>
      <c r="D279" s="852" t="e">
        <f>building!#REF!</f>
        <v>#REF!</v>
      </c>
      <c r="E279" s="853" t="e">
        <f>building!#REF!</f>
        <v>#REF!</v>
      </c>
      <c r="F279" s="852" t="e">
        <f t="shared" si="4"/>
        <v>#REF!</v>
      </c>
    </row>
    <row r="280" spans="1:6" s="726" customFormat="1" ht="17.25" hidden="1">
      <c r="A280" s="849" t="e">
        <f>building!#REF!</f>
        <v>#REF!</v>
      </c>
      <c r="B280" s="855" t="e">
        <f>building!#REF!</f>
        <v>#REF!</v>
      </c>
      <c r="C280" s="856" t="e">
        <f>building!#REF!</f>
        <v>#REF!</v>
      </c>
      <c r="D280" s="852" t="e">
        <f>building!#REF!</f>
        <v>#REF!</v>
      </c>
      <c r="E280" s="853" t="e">
        <f>building!#REF!</f>
        <v>#REF!</v>
      </c>
      <c r="F280" s="852" t="e">
        <f t="shared" si="4"/>
        <v>#REF!</v>
      </c>
    </row>
    <row r="281" spans="1:6" s="726" customFormat="1" ht="21" hidden="1" customHeight="1">
      <c r="A281" s="849" t="e">
        <f>building!#REF!</f>
        <v>#REF!</v>
      </c>
      <c r="B281" s="855" t="e">
        <f>building!#REF!</f>
        <v>#REF!</v>
      </c>
      <c r="C281" s="856" t="e">
        <f>building!#REF!</f>
        <v>#REF!</v>
      </c>
      <c r="D281" s="852" t="e">
        <f>building!#REF!</f>
        <v>#REF!</v>
      </c>
      <c r="E281" s="853" t="e">
        <f>building!#REF!</f>
        <v>#REF!</v>
      </c>
      <c r="F281" s="852" t="e">
        <f t="shared" si="4"/>
        <v>#REF!</v>
      </c>
    </row>
    <row r="282" spans="1:6" s="726" customFormat="1" ht="21" hidden="1" customHeight="1">
      <c r="A282" s="849" t="e">
        <f>building!#REF!</f>
        <v>#REF!</v>
      </c>
      <c r="B282" s="855" t="e">
        <f>building!#REF!</f>
        <v>#REF!</v>
      </c>
      <c r="C282" s="856" t="e">
        <f>building!#REF!</f>
        <v>#REF!</v>
      </c>
      <c r="D282" s="852" t="e">
        <f>building!#REF!</f>
        <v>#REF!</v>
      </c>
      <c r="E282" s="853" t="e">
        <f>building!#REF!</f>
        <v>#REF!</v>
      </c>
      <c r="F282" s="852" t="e">
        <f t="shared" si="4"/>
        <v>#REF!</v>
      </c>
    </row>
    <row r="283" spans="1:6" s="726" customFormat="1" ht="21" hidden="1" customHeight="1">
      <c r="A283" s="849" t="e">
        <f>building!#REF!</f>
        <v>#REF!</v>
      </c>
      <c r="B283" s="855" t="e">
        <f>building!#REF!</f>
        <v>#REF!</v>
      </c>
      <c r="C283" s="856" t="e">
        <f>building!#REF!</f>
        <v>#REF!</v>
      </c>
      <c r="D283" s="852" t="e">
        <f>building!#REF!</f>
        <v>#REF!</v>
      </c>
      <c r="E283" s="853" t="e">
        <f>building!#REF!</f>
        <v>#REF!</v>
      </c>
      <c r="F283" s="852" t="e">
        <f t="shared" si="4"/>
        <v>#REF!</v>
      </c>
    </row>
    <row r="284" spans="1:6" s="726" customFormat="1" ht="17.25" hidden="1">
      <c r="A284" s="849" t="e">
        <f>building!#REF!</f>
        <v>#REF!</v>
      </c>
      <c r="B284" s="855" t="e">
        <f>building!#REF!</f>
        <v>#REF!</v>
      </c>
      <c r="C284" s="856" t="e">
        <f>building!#REF!</f>
        <v>#REF!</v>
      </c>
      <c r="D284" s="852" t="e">
        <f>building!#REF!</f>
        <v>#REF!</v>
      </c>
      <c r="E284" s="853" t="e">
        <f>building!#REF!</f>
        <v>#REF!</v>
      </c>
      <c r="F284" s="852" t="e">
        <f t="shared" si="4"/>
        <v>#REF!</v>
      </c>
    </row>
    <row r="285" spans="1:6" s="726" customFormat="1" ht="17.25" hidden="1">
      <c r="A285" s="849" t="e">
        <f>building!#REF!</f>
        <v>#REF!</v>
      </c>
      <c r="B285" s="855" t="e">
        <f>building!#REF!</f>
        <v>#REF!</v>
      </c>
      <c r="C285" s="856" t="e">
        <f>building!#REF!</f>
        <v>#REF!</v>
      </c>
      <c r="D285" s="852" t="e">
        <f>building!#REF!</f>
        <v>#REF!</v>
      </c>
      <c r="E285" s="853" t="e">
        <f>building!#REF!</f>
        <v>#REF!</v>
      </c>
      <c r="F285" s="852" t="e">
        <f t="shared" si="4"/>
        <v>#REF!</v>
      </c>
    </row>
    <row r="286" spans="1:6" s="726" customFormat="1" ht="17.25" hidden="1">
      <c r="A286" s="849" t="e">
        <f>building!#REF!</f>
        <v>#REF!</v>
      </c>
      <c r="B286" s="855" t="e">
        <f>building!#REF!</f>
        <v>#REF!</v>
      </c>
      <c r="C286" s="856" t="e">
        <f>building!#REF!</f>
        <v>#REF!</v>
      </c>
      <c r="D286" s="852" t="e">
        <f>building!#REF!</f>
        <v>#REF!</v>
      </c>
      <c r="E286" s="853" t="e">
        <f>building!#REF!</f>
        <v>#REF!</v>
      </c>
      <c r="F286" s="852" t="e">
        <f t="shared" si="4"/>
        <v>#REF!</v>
      </c>
    </row>
    <row r="287" spans="1:6" s="726" customFormat="1" ht="17.25" hidden="1">
      <c r="A287" s="849" t="e">
        <f>building!#REF!</f>
        <v>#REF!</v>
      </c>
      <c r="B287" s="855" t="e">
        <f>building!#REF!</f>
        <v>#REF!</v>
      </c>
      <c r="C287" s="856" t="e">
        <f>building!#REF!</f>
        <v>#REF!</v>
      </c>
      <c r="D287" s="852" t="e">
        <f>building!#REF!</f>
        <v>#REF!</v>
      </c>
      <c r="E287" s="853" t="e">
        <f>building!#REF!</f>
        <v>#REF!</v>
      </c>
      <c r="F287" s="852" t="e">
        <f t="shared" si="4"/>
        <v>#REF!</v>
      </c>
    </row>
    <row r="288" spans="1:6" s="726" customFormat="1" ht="17.25" hidden="1">
      <c r="A288" s="849" t="e">
        <f>building!#REF!</f>
        <v>#REF!</v>
      </c>
      <c r="B288" s="855" t="e">
        <f>building!#REF!</f>
        <v>#REF!</v>
      </c>
      <c r="C288" s="856" t="e">
        <f>building!#REF!</f>
        <v>#REF!</v>
      </c>
      <c r="D288" s="852" t="e">
        <f>building!#REF!</f>
        <v>#REF!</v>
      </c>
      <c r="E288" s="853" t="e">
        <f>building!#REF!</f>
        <v>#REF!</v>
      </c>
      <c r="F288" s="852" t="e">
        <f t="shared" si="4"/>
        <v>#REF!</v>
      </c>
    </row>
    <row r="289" spans="1:6" s="726" customFormat="1" ht="17.25" hidden="1">
      <c r="A289" s="849" t="e">
        <f>building!#REF!</f>
        <v>#REF!</v>
      </c>
      <c r="B289" s="855" t="e">
        <f>building!#REF!</f>
        <v>#REF!</v>
      </c>
      <c r="C289" s="856" t="e">
        <f>building!#REF!</f>
        <v>#REF!</v>
      </c>
      <c r="D289" s="852" t="e">
        <f>building!#REF!</f>
        <v>#REF!</v>
      </c>
      <c r="E289" s="853" t="e">
        <f>building!#REF!</f>
        <v>#REF!</v>
      </c>
      <c r="F289" s="852" t="e">
        <f t="shared" si="4"/>
        <v>#REF!</v>
      </c>
    </row>
    <row r="290" spans="1:6" s="726" customFormat="1" ht="25.9" customHeight="1">
      <c r="A290" s="849">
        <f>building!A57</f>
        <v>21.2</v>
      </c>
      <c r="B290" s="850">
        <f>building!Y57</f>
        <v>0</v>
      </c>
      <c r="C290" s="851" t="str">
        <f>building!B57</f>
        <v>Teak wood Wrought &amp; Put up</v>
      </c>
      <c r="D290" s="852">
        <f>building!C57</f>
        <v>0</v>
      </c>
      <c r="E290" s="853">
        <f>building!D57</f>
        <v>0</v>
      </c>
      <c r="F290" s="852"/>
    </row>
    <row r="291" spans="1:6" s="726" customFormat="1" ht="25.9" customHeight="1">
      <c r="A291" s="849">
        <f>building!A58</f>
        <v>0</v>
      </c>
      <c r="B291" s="855">
        <f>building!Y58</f>
        <v>0.8</v>
      </c>
      <c r="C291" s="856" t="str">
        <f>building!B58</f>
        <v>a. T.W. over 2 m &amp; below 3 m</v>
      </c>
      <c r="D291" s="852">
        <f>building!C58</f>
        <v>123400</v>
      </c>
      <c r="E291" s="853" t="str">
        <f>building!D58</f>
        <v>Cum.</v>
      </c>
      <c r="F291" s="852">
        <f t="shared" si="4"/>
        <v>98720</v>
      </c>
    </row>
    <row r="292" spans="1:6" s="726" customFormat="1" ht="25.9" customHeight="1">
      <c r="A292" s="849">
        <f>building!A59</f>
        <v>0</v>
      </c>
      <c r="B292" s="855">
        <f>building!Y59</f>
        <v>0.4</v>
      </c>
      <c r="C292" s="856" t="str">
        <f>building!B59</f>
        <v>b. T.W. below 2 m length.</v>
      </c>
      <c r="D292" s="852">
        <f>building!C59</f>
        <v>111200</v>
      </c>
      <c r="E292" s="853" t="str">
        <f>building!D59</f>
        <v>Cum.</v>
      </c>
      <c r="F292" s="852">
        <f t="shared" si="4"/>
        <v>44480</v>
      </c>
    </row>
    <row r="293" spans="1:6" s="726" customFormat="1" ht="30" hidden="1">
      <c r="A293" s="849">
        <f>building!A60</f>
        <v>21.3</v>
      </c>
      <c r="B293" s="855">
        <f>building!Y60</f>
        <v>0</v>
      </c>
      <c r="C293" s="856" t="str">
        <f>building!B60</f>
        <v xml:space="preserve">PVC Door frame &amp; shutter  
</v>
      </c>
      <c r="D293" s="852">
        <f>building!C60</f>
        <v>2034</v>
      </c>
      <c r="E293" s="853" t="str">
        <f>building!D60</f>
        <v>Sqm.</v>
      </c>
      <c r="F293" s="852">
        <f t="shared" si="4"/>
        <v>0</v>
      </c>
    </row>
    <row r="294" spans="1:6" s="726" customFormat="1" ht="17.25" hidden="1">
      <c r="A294" s="849" t="e">
        <f>building!#REF!</f>
        <v>#REF!</v>
      </c>
      <c r="B294" s="855" t="e">
        <f>building!#REF!</f>
        <v>#REF!</v>
      </c>
      <c r="C294" s="856" t="e">
        <f>building!#REF!</f>
        <v>#REF!</v>
      </c>
      <c r="D294" s="852" t="e">
        <f>building!#REF!</f>
        <v>#REF!</v>
      </c>
      <c r="E294" s="853" t="e">
        <f>building!#REF!</f>
        <v>#REF!</v>
      </c>
      <c r="F294" s="852" t="e">
        <f t="shared" si="4"/>
        <v>#REF!</v>
      </c>
    </row>
    <row r="295" spans="1:6" s="726" customFormat="1" ht="17.25" hidden="1">
      <c r="A295" s="849" t="e">
        <f>building!#REF!</f>
        <v>#REF!</v>
      </c>
      <c r="B295" s="855" t="e">
        <f>building!#REF!</f>
        <v>#REF!</v>
      </c>
      <c r="C295" s="856" t="e">
        <f>building!#REF!</f>
        <v>#REF!</v>
      </c>
      <c r="D295" s="852" t="e">
        <f>building!#REF!</f>
        <v>#REF!</v>
      </c>
      <c r="E295" s="853" t="e">
        <f>building!#REF!</f>
        <v>#REF!</v>
      </c>
      <c r="F295" s="852" t="e">
        <f t="shared" si="4"/>
        <v>#REF!</v>
      </c>
    </row>
    <row r="296" spans="1:6" ht="15.75" hidden="1">
      <c r="A296" s="849" t="e">
        <f>building!#REF!</f>
        <v>#REF!</v>
      </c>
      <c r="B296" s="855" t="e">
        <f>building!#REF!</f>
        <v>#REF!</v>
      </c>
      <c r="C296" s="856" t="e">
        <f>building!#REF!</f>
        <v>#REF!</v>
      </c>
      <c r="D296" s="852" t="e">
        <f>building!#REF!</f>
        <v>#REF!</v>
      </c>
      <c r="E296" s="853" t="e">
        <f>building!#REF!</f>
        <v>#REF!</v>
      </c>
      <c r="F296" s="852" t="e">
        <f t="shared" si="4"/>
        <v>#REF!</v>
      </c>
    </row>
    <row r="297" spans="1:6" ht="15.75" hidden="1">
      <c r="A297" s="849" t="e">
        <f>building!#REF!</f>
        <v>#REF!</v>
      </c>
      <c r="B297" s="855" t="e">
        <f>building!#REF!</f>
        <v>#REF!</v>
      </c>
      <c r="C297" s="856" t="e">
        <f>building!#REF!</f>
        <v>#REF!</v>
      </c>
      <c r="D297" s="852" t="e">
        <f>building!#REF!</f>
        <v>#REF!</v>
      </c>
      <c r="E297" s="853" t="e">
        <f>building!#REF!</f>
        <v>#REF!</v>
      </c>
      <c r="F297" s="852" t="e">
        <f t="shared" si="4"/>
        <v>#REF!</v>
      </c>
    </row>
    <row r="298" spans="1:6" ht="15.75" hidden="1">
      <c r="A298" s="849" t="e">
        <f>building!#REF!</f>
        <v>#REF!</v>
      </c>
      <c r="B298" s="855" t="e">
        <f>building!#REF!</f>
        <v>#REF!</v>
      </c>
      <c r="C298" s="856" t="e">
        <f>building!#REF!</f>
        <v>#REF!</v>
      </c>
      <c r="D298" s="852" t="e">
        <f>building!#REF!</f>
        <v>#REF!</v>
      </c>
      <c r="E298" s="853" t="e">
        <f>building!#REF!</f>
        <v>#REF!</v>
      </c>
      <c r="F298" s="852" t="e">
        <f t="shared" si="4"/>
        <v>#REF!</v>
      </c>
    </row>
    <row r="299" spans="1:6" s="726" customFormat="1" ht="17.25" hidden="1">
      <c r="A299" s="849" t="e">
        <f>building!#REF!</f>
        <v>#REF!</v>
      </c>
      <c r="B299" s="855" t="e">
        <f>building!#REF!</f>
        <v>#REF!</v>
      </c>
      <c r="C299" s="856" t="e">
        <f>building!#REF!</f>
        <v>#REF!</v>
      </c>
      <c r="D299" s="852" t="e">
        <f>building!#REF!</f>
        <v>#REF!</v>
      </c>
      <c r="E299" s="853" t="e">
        <f>building!#REF!</f>
        <v>#REF!</v>
      </c>
      <c r="F299" s="852" t="e">
        <f t="shared" si="4"/>
        <v>#REF!</v>
      </c>
    </row>
    <row r="300" spans="1:6" ht="15.75" hidden="1">
      <c r="A300" s="849" t="e">
        <f>building!#REF!</f>
        <v>#REF!</v>
      </c>
      <c r="B300" s="855" t="e">
        <f>building!#REF!</f>
        <v>#REF!</v>
      </c>
      <c r="C300" s="856" t="e">
        <f>building!#REF!</f>
        <v>#REF!</v>
      </c>
      <c r="D300" s="852" t="e">
        <f>building!#REF!</f>
        <v>#REF!</v>
      </c>
      <c r="E300" s="853" t="e">
        <f>building!#REF!</f>
        <v>#REF!</v>
      </c>
      <c r="F300" s="852" t="e">
        <f t="shared" si="4"/>
        <v>#REF!</v>
      </c>
    </row>
    <row r="301" spans="1:6" ht="15.75" hidden="1">
      <c r="A301" s="849" t="e">
        <f>building!#REF!</f>
        <v>#REF!</v>
      </c>
      <c r="B301" s="855" t="e">
        <f>building!#REF!</f>
        <v>#REF!</v>
      </c>
      <c r="C301" s="856" t="e">
        <f>building!#REF!</f>
        <v>#REF!</v>
      </c>
      <c r="D301" s="852" t="e">
        <f>building!#REF!</f>
        <v>#REF!</v>
      </c>
      <c r="E301" s="853" t="e">
        <f>building!#REF!</f>
        <v>#REF!</v>
      </c>
      <c r="F301" s="852" t="e">
        <f t="shared" si="4"/>
        <v>#REF!</v>
      </c>
    </row>
    <row r="302" spans="1:6" s="726" customFormat="1" ht="17.25" hidden="1">
      <c r="A302" s="849" t="e">
        <f>building!#REF!</f>
        <v>#REF!</v>
      </c>
      <c r="B302" s="855" t="e">
        <f>building!#REF!</f>
        <v>#REF!</v>
      </c>
      <c r="C302" s="856" t="e">
        <f>building!#REF!</f>
        <v>#REF!</v>
      </c>
      <c r="D302" s="852" t="e">
        <f>building!#REF!</f>
        <v>#REF!</v>
      </c>
      <c r="E302" s="853" t="e">
        <f>building!#REF!</f>
        <v>#REF!</v>
      </c>
      <c r="F302" s="852" t="e">
        <f t="shared" si="4"/>
        <v>#REF!</v>
      </c>
    </row>
    <row r="303" spans="1:6" s="726" customFormat="1" ht="17.25" hidden="1">
      <c r="A303" s="849" t="e">
        <f>building!#REF!</f>
        <v>#REF!</v>
      </c>
      <c r="B303" s="855" t="e">
        <f>building!#REF!</f>
        <v>#REF!</v>
      </c>
      <c r="C303" s="856" t="e">
        <f>building!#REF!</f>
        <v>#REF!</v>
      </c>
      <c r="D303" s="852" t="e">
        <f>building!#REF!</f>
        <v>#REF!</v>
      </c>
      <c r="E303" s="853" t="e">
        <f>building!#REF!</f>
        <v>#REF!</v>
      </c>
      <c r="F303" s="852" t="e">
        <f t="shared" si="4"/>
        <v>#REF!</v>
      </c>
    </row>
    <row r="304" spans="1:6" s="726" customFormat="1" ht="17.25" hidden="1">
      <c r="A304" s="849" t="e">
        <f>building!#REF!</f>
        <v>#REF!</v>
      </c>
      <c r="B304" s="855" t="e">
        <f>building!#REF!</f>
        <v>#REF!</v>
      </c>
      <c r="C304" s="856" t="e">
        <f>building!#REF!</f>
        <v>#REF!</v>
      </c>
      <c r="D304" s="852" t="e">
        <f>building!#REF!</f>
        <v>#REF!</v>
      </c>
      <c r="E304" s="853" t="e">
        <f>building!#REF!</f>
        <v>#REF!</v>
      </c>
      <c r="F304" s="852" t="e">
        <f t="shared" si="4"/>
        <v>#REF!</v>
      </c>
    </row>
    <row r="305" spans="1:6" s="726" customFormat="1" ht="17.25" hidden="1">
      <c r="A305" s="849" t="e">
        <f>building!#REF!</f>
        <v>#REF!</v>
      </c>
      <c r="B305" s="855" t="e">
        <f>building!#REF!</f>
        <v>#REF!</v>
      </c>
      <c r="C305" s="856" t="e">
        <f>building!#REF!</f>
        <v>#REF!</v>
      </c>
      <c r="D305" s="852" t="e">
        <f>building!#REF!</f>
        <v>#REF!</v>
      </c>
      <c r="E305" s="853" t="e">
        <f>building!#REF!</f>
        <v>#REF!</v>
      </c>
      <c r="F305" s="852" t="e">
        <f t="shared" si="4"/>
        <v>#REF!</v>
      </c>
    </row>
    <row r="306" spans="1:6" s="726" customFormat="1" ht="24.75" hidden="1" customHeight="1">
      <c r="A306" s="849" t="e">
        <f>building!#REF!</f>
        <v>#REF!</v>
      </c>
      <c r="B306" s="855" t="e">
        <f>building!#REF!</f>
        <v>#REF!</v>
      </c>
      <c r="C306" s="856" t="e">
        <f>building!#REF!</f>
        <v>#REF!</v>
      </c>
      <c r="D306" s="852" t="e">
        <f>building!#REF!</f>
        <v>#REF!</v>
      </c>
      <c r="E306" s="853" t="e">
        <f>building!#REF!</f>
        <v>#REF!</v>
      </c>
      <c r="F306" s="852" t="e">
        <f t="shared" si="4"/>
        <v>#REF!</v>
      </c>
    </row>
    <row r="307" spans="1:6" s="726" customFormat="1" ht="24.75" hidden="1" customHeight="1">
      <c r="A307" s="849">
        <f>building!A61</f>
        <v>23.2</v>
      </c>
      <c r="B307" s="855">
        <f>building!Y61</f>
        <v>0</v>
      </c>
      <c r="C307" s="856" t="str">
        <f>building!B61</f>
        <v>Glass panels with Aluminium beedings</v>
      </c>
      <c r="D307" s="852">
        <f>building!C61</f>
        <v>708.1</v>
      </c>
      <c r="E307" s="853" t="str">
        <f>building!D61</f>
        <v>Sqm.</v>
      </c>
      <c r="F307" s="852">
        <f t="shared" si="4"/>
        <v>0</v>
      </c>
    </row>
    <row r="308" spans="1:6" s="726" customFormat="1" ht="33" customHeight="1">
      <c r="A308" s="849">
        <f>building!A62</f>
        <v>23.3</v>
      </c>
      <c r="B308" s="855">
        <f>building!Y62</f>
        <v>26</v>
      </c>
      <c r="C308" s="856" t="str">
        <f>building!B62</f>
        <v>S&amp;F of Magnetic door catches</v>
      </c>
      <c r="D308" s="852">
        <f>building!C62</f>
        <v>52</v>
      </c>
      <c r="E308" s="853" t="str">
        <f>building!D62</f>
        <v>Each</v>
      </c>
      <c r="F308" s="852">
        <f t="shared" si="4"/>
        <v>1352</v>
      </c>
    </row>
    <row r="309" spans="1:6" s="726" customFormat="1" ht="17.25" hidden="1">
      <c r="A309" s="849">
        <f>building!A63</f>
        <v>23.4</v>
      </c>
      <c r="B309" s="855">
        <f>building!Y63</f>
        <v>97.7</v>
      </c>
      <c r="C309" s="856" t="str">
        <f>building!B63</f>
        <v>UPVC Window</v>
      </c>
      <c r="D309" s="852">
        <f>building!C63</f>
        <v>7126</v>
      </c>
      <c r="E309" s="853" t="str">
        <f>building!D63</f>
        <v>Sqm.</v>
      </c>
      <c r="F309" s="852">
        <f t="shared" si="4"/>
        <v>696210.2</v>
      </c>
    </row>
    <row r="310" spans="1:6" s="726" customFormat="1" ht="17.25" hidden="1">
      <c r="A310" s="849">
        <f>building!A64</f>
        <v>0</v>
      </c>
      <c r="B310" s="855">
        <f>building!Y64</f>
        <v>0</v>
      </c>
      <c r="C310" s="856" t="str">
        <f>building!B64</f>
        <v>UPVC Ventilator</v>
      </c>
      <c r="D310" s="852">
        <f>building!C64</f>
        <v>7720</v>
      </c>
      <c r="E310" s="853" t="str">
        <f>building!D64</f>
        <v>Sqm.</v>
      </c>
      <c r="F310" s="852">
        <f t="shared" si="4"/>
        <v>0</v>
      </c>
    </row>
    <row r="311" spans="1:6" ht="15.75" hidden="1">
      <c r="A311" s="849" t="e">
        <f>building!#REF!</f>
        <v>#REF!</v>
      </c>
      <c r="B311" s="855" t="e">
        <f>building!#REF!</f>
        <v>#REF!</v>
      </c>
      <c r="C311" s="856" t="e">
        <f>building!#REF!</f>
        <v>#REF!</v>
      </c>
      <c r="D311" s="852" t="e">
        <f>building!#REF!</f>
        <v>#REF!</v>
      </c>
      <c r="E311" s="853" t="e">
        <f>building!#REF!</f>
        <v>#REF!</v>
      </c>
      <c r="F311" s="852" t="e">
        <f t="shared" si="4"/>
        <v>#REF!</v>
      </c>
    </row>
    <row r="312" spans="1:6" s="726" customFormat="1" ht="17.25" hidden="1">
      <c r="A312" s="849" t="e">
        <f>building!#REF!</f>
        <v>#REF!</v>
      </c>
      <c r="B312" s="855" t="e">
        <f>building!#REF!</f>
        <v>#REF!</v>
      </c>
      <c r="C312" s="856" t="e">
        <f>building!#REF!</f>
        <v>#REF!</v>
      </c>
      <c r="D312" s="852" t="e">
        <f>building!#REF!</f>
        <v>#REF!</v>
      </c>
      <c r="E312" s="853" t="e">
        <f>building!#REF!</f>
        <v>#REF!</v>
      </c>
      <c r="F312" s="852" t="e">
        <f t="shared" si="4"/>
        <v>#REF!</v>
      </c>
    </row>
    <row r="313" spans="1:6" ht="15.75" hidden="1">
      <c r="A313" s="849" t="e">
        <f>building!#REF!</f>
        <v>#REF!</v>
      </c>
      <c r="B313" s="855" t="e">
        <f>building!#REF!</f>
        <v>#REF!</v>
      </c>
      <c r="C313" s="856" t="e">
        <f>building!#REF!</f>
        <v>#REF!</v>
      </c>
      <c r="D313" s="852" t="e">
        <f>building!#REF!</f>
        <v>#REF!</v>
      </c>
      <c r="E313" s="853" t="e">
        <f>building!#REF!</f>
        <v>#REF!</v>
      </c>
      <c r="F313" s="852" t="e">
        <f t="shared" si="4"/>
        <v>#REF!</v>
      </c>
    </row>
    <row r="314" spans="1:6" s="726" customFormat="1" ht="17.25" hidden="1">
      <c r="A314" s="849" t="e">
        <f>building!#REF!</f>
        <v>#REF!</v>
      </c>
      <c r="B314" s="855" t="e">
        <f>building!#REF!</f>
        <v>#REF!</v>
      </c>
      <c r="C314" s="856" t="e">
        <f>building!#REF!</f>
        <v>#REF!</v>
      </c>
      <c r="D314" s="852" t="e">
        <f>building!#REF!</f>
        <v>#REF!</v>
      </c>
      <c r="E314" s="853" t="e">
        <f>building!#REF!</f>
        <v>#REF!</v>
      </c>
      <c r="F314" s="852" t="e">
        <f t="shared" si="4"/>
        <v>#REF!</v>
      </c>
    </row>
    <row r="315" spans="1:6" s="726" customFormat="1" ht="24.75" hidden="1" customHeight="1">
      <c r="A315" s="849" t="e">
        <f>building!#REF!</f>
        <v>#REF!</v>
      </c>
      <c r="B315" s="855" t="e">
        <f>building!#REF!</f>
        <v>#REF!</v>
      </c>
      <c r="C315" s="856" t="e">
        <f>building!#REF!</f>
        <v>#REF!</v>
      </c>
      <c r="D315" s="852" t="e">
        <f>building!#REF!</f>
        <v>#REF!</v>
      </c>
      <c r="E315" s="853" t="e">
        <f>building!#REF!</f>
        <v>#REF!</v>
      </c>
      <c r="F315" s="852" t="e">
        <f t="shared" si="4"/>
        <v>#REF!</v>
      </c>
    </row>
    <row r="316" spans="1:6" s="726" customFormat="1" ht="17.25" hidden="1">
      <c r="A316" s="849" t="e">
        <f>building!#REF!</f>
        <v>#REF!</v>
      </c>
      <c r="B316" s="855" t="e">
        <f>building!#REF!</f>
        <v>#REF!</v>
      </c>
      <c r="C316" s="856" t="e">
        <f>building!#REF!</f>
        <v>#REF!</v>
      </c>
      <c r="D316" s="852" t="e">
        <f>building!#REF!</f>
        <v>#REF!</v>
      </c>
      <c r="E316" s="853" t="e">
        <f>building!#REF!</f>
        <v>#REF!</v>
      </c>
      <c r="F316" s="852" t="e">
        <f t="shared" si="4"/>
        <v>#REF!</v>
      </c>
    </row>
    <row r="317" spans="1:6" s="726" customFormat="1" ht="17.25" hidden="1">
      <c r="A317" s="849" t="e">
        <f>building!#REF!</f>
        <v>#REF!</v>
      </c>
      <c r="B317" s="855" t="e">
        <f>building!#REF!</f>
        <v>#REF!</v>
      </c>
      <c r="C317" s="856" t="e">
        <f>building!#REF!</f>
        <v>#REF!</v>
      </c>
      <c r="D317" s="852" t="e">
        <f>building!#REF!</f>
        <v>#REF!</v>
      </c>
      <c r="E317" s="853" t="e">
        <f>building!#REF!</f>
        <v>#REF!</v>
      </c>
      <c r="F317" s="852" t="e">
        <f t="shared" si="4"/>
        <v>#REF!</v>
      </c>
    </row>
    <row r="318" spans="1:6" s="726" customFormat="1" ht="17.25" hidden="1">
      <c r="A318" s="849" t="e">
        <f>building!#REF!</f>
        <v>#REF!</v>
      </c>
      <c r="B318" s="855" t="e">
        <f>building!#REF!</f>
        <v>#REF!</v>
      </c>
      <c r="C318" s="856" t="e">
        <f>building!#REF!</f>
        <v>#REF!</v>
      </c>
      <c r="D318" s="852" t="e">
        <f>building!#REF!</f>
        <v>#REF!</v>
      </c>
      <c r="E318" s="853" t="e">
        <f>building!#REF!</f>
        <v>#REF!</v>
      </c>
      <c r="F318" s="852" t="e">
        <f t="shared" si="4"/>
        <v>#REF!</v>
      </c>
    </row>
    <row r="319" spans="1:6" s="726" customFormat="1" ht="17.25" hidden="1">
      <c r="A319" s="849" t="e">
        <f>building!#REF!</f>
        <v>#REF!</v>
      </c>
      <c r="B319" s="855" t="e">
        <f>building!#REF!</f>
        <v>#REF!</v>
      </c>
      <c r="C319" s="856" t="e">
        <f>building!#REF!</f>
        <v>#REF!</v>
      </c>
      <c r="D319" s="852" t="e">
        <f>building!#REF!</f>
        <v>#REF!</v>
      </c>
      <c r="E319" s="853" t="e">
        <f>building!#REF!</f>
        <v>#REF!</v>
      </c>
      <c r="F319" s="852" t="e">
        <f t="shared" si="4"/>
        <v>#REF!</v>
      </c>
    </row>
    <row r="320" spans="1:6" s="726" customFormat="1" ht="17.25" hidden="1">
      <c r="A320" s="849" t="e">
        <f>building!#REF!</f>
        <v>#REF!</v>
      </c>
      <c r="B320" s="855" t="e">
        <f>building!#REF!</f>
        <v>#REF!</v>
      </c>
      <c r="C320" s="856" t="e">
        <f>building!#REF!</f>
        <v>#REF!</v>
      </c>
      <c r="D320" s="852" t="e">
        <f>building!#REF!</f>
        <v>#REF!</v>
      </c>
      <c r="E320" s="853" t="e">
        <f>building!#REF!</f>
        <v>#REF!</v>
      </c>
      <c r="F320" s="852" t="e">
        <f t="shared" si="4"/>
        <v>#REF!</v>
      </c>
    </row>
    <row r="321" spans="1:6" s="726" customFormat="1" ht="24.75" hidden="1" customHeight="1">
      <c r="A321" s="849" t="e">
        <f>building!#REF!</f>
        <v>#REF!</v>
      </c>
      <c r="B321" s="855" t="e">
        <f>building!#REF!</f>
        <v>#REF!</v>
      </c>
      <c r="C321" s="856" t="e">
        <f>building!#REF!</f>
        <v>#REF!</v>
      </c>
      <c r="D321" s="852" t="e">
        <f>building!#REF!</f>
        <v>#REF!</v>
      </c>
      <c r="E321" s="853" t="e">
        <f>building!#REF!</f>
        <v>#REF!</v>
      </c>
      <c r="F321" s="852" t="e">
        <f t="shared" si="4"/>
        <v>#REF!</v>
      </c>
    </row>
    <row r="322" spans="1:6" s="726" customFormat="1" ht="39.75" hidden="1" customHeight="1">
      <c r="A322" s="849">
        <f>building!A65</f>
        <v>24</v>
      </c>
      <c r="B322" s="855">
        <f>building!Y65</f>
        <v>2060.4</v>
      </c>
      <c r="C322" s="856" t="str">
        <f>building!B65</f>
        <v>Manufacturing &amp; supply of steel windows (Weight basis)</v>
      </c>
      <c r="D322" s="852">
        <f>building!C65</f>
        <v>62.1</v>
      </c>
      <c r="E322" s="853" t="str">
        <f>building!D65</f>
        <v>Kg.</v>
      </c>
      <c r="F322" s="852">
        <f t="shared" si="4"/>
        <v>127950.84</v>
      </c>
    </row>
    <row r="323" spans="1:6" s="726" customFormat="1" ht="33" customHeight="1">
      <c r="A323" s="849">
        <f>building!A66</f>
        <v>25</v>
      </c>
      <c r="B323" s="855">
        <f>building!Y66</f>
        <v>97.62</v>
      </c>
      <c r="C323" s="856" t="str">
        <f>building!B66</f>
        <v>M.S.Holdfast</v>
      </c>
      <c r="D323" s="852">
        <f>building!C66</f>
        <v>9.6</v>
      </c>
      <c r="E323" s="853" t="str">
        <f>building!D66</f>
        <v>Each</v>
      </c>
      <c r="F323" s="852">
        <f t="shared" si="4"/>
        <v>937.15</v>
      </c>
    </row>
    <row r="324" spans="1:6" s="726" customFormat="1" ht="33" customHeight="1">
      <c r="A324" s="849">
        <f>building!A67</f>
        <v>26</v>
      </c>
      <c r="B324" s="855">
        <f>building!Y67</f>
        <v>32.6</v>
      </c>
      <c r="C324" s="856" t="str">
        <f>building!B67</f>
        <v>Flooring in C.C.1:5:10</v>
      </c>
      <c r="D324" s="852">
        <f>building!C67</f>
        <v>4297.8</v>
      </c>
      <c r="E324" s="853" t="str">
        <f>building!D67</f>
        <v>Cum.</v>
      </c>
      <c r="F324" s="852">
        <f t="shared" si="4"/>
        <v>140108.28</v>
      </c>
    </row>
    <row r="325" spans="1:6" s="726" customFormat="1" ht="17.25" hidden="1">
      <c r="A325" s="849" t="e">
        <f>building!#REF!</f>
        <v>#REF!</v>
      </c>
      <c r="B325" s="855" t="e">
        <f>building!#REF!</f>
        <v>#REF!</v>
      </c>
      <c r="C325" s="856" t="e">
        <f>building!#REF!</f>
        <v>#REF!</v>
      </c>
      <c r="D325" s="852" t="e">
        <f>building!#REF!</f>
        <v>#REF!</v>
      </c>
      <c r="E325" s="853" t="e">
        <f>building!#REF!</f>
        <v>#REF!</v>
      </c>
      <c r="F325" s="852" t="e">
        <f t="shared" si="4"/>
        <v>#REF!</v>
      </c>
    </row>
    <row r="326" spans="1:6" s="726" customFormat="1" ht="24.75" hidden="1" customHeight="1">
      <c r="A326" s="849" t="e">
        <f>building!#REF!</f>
        <v>#REF!</v>
      </c>
      <c r="B326" s="855" t="e">
        <f>building!#REF!</f>
        <v>#REF!</v>
      </c>
      <c r="C326" s="856" t="e">
        <f>building!#REF!</f>
        <v>#REF!</v>
      </c>
      <c r="D326" s="852" t="e">
        <f>building!#REF!</f>
        <v>#REF!</v>
      </c>
      <c r="E326" s="853" t="e">
        <f>building!#REF!</f>
        <v>#REF!</v>
      </c>
      <c r="F326" s="852" t="e">
        <f t="shared" si="4"/>
        <v>#REF!</v>
      </c>
    </row>
    <row r="327" spans="1:6" ht="24.75" hidden="1" customHeight="1">
      <c r="A327" s="849" t="e">
        <f>building!#REF!</f>
        <v>#REF!</v>
      </c>
      <c r="B327" s="855" t="e">
        <f>building!#REF!</f>
        <v>#REF!</v>
      </c>
      <c r="C327" s="856" t="e">
        <f>building!#REF!</f>
        <v>#REF!</v>
      </c>
      <c r="D327" s="852" t="e">
        <f>building!#REF!</f>
        <v>#REF!</v>
      </c>
      <c r="E327" s="853" t="e">
        <f>building!#REF!</f>
        <v>#REF!</v>
      </c>
      <c r="F327" s="852" t="e">
        <f t="shared" si="4"/>
        <v>#REF!</v>
      </c>
    </row>
    <row r="328" spans="1:6" ht="24.75" hidden="1" customHeight="1">
      <c r="A328" s="849" t="e">
        <f>building!#REF!</f>
        <v>#REF!</v>
      </c>
      <c r="B328" s="855" t="e">
        <f>building!#REF!</f>
        <v>#REF!</v>
      </c>
      <c r="C328" s="856" t="e">
        <f>building!#REF!</f>
        <v>#REF!</v>
      </c>
      <c r="D328" s="852" t="e">
        <f>building!#REF!</f>
        <v>#REF!</v>
      </c>
      <c r="E328" s="853" t="e">
        <f>building!#REF!</f>
        <v>#REF!</v>
      </c>
      <c r="F328" s="852" t="e">
        <f t="shared" ref="F328:F391" si="5">D328*B328</f>
        <v>#REF!</v>
      </c>
    </row>
    <row r="329" spans="1:6" ht="24" hidden="1" customHeight="1">
      <c r="A329" s="849">
        <f>building!A68</f>
        <v>27.5</v>
      </c>
      <c r="B329" s="855">
        <f>building!Y68</f>
        <v>0</v>
      </c>
      <c r="C329" s="856" t="str">
        <f>building!B68</f>
        <v>B.w. in C.M. 1:4 for staircase steps Kiln burnt country bricks 22 x 11 x 7 cm.</v>
      </c>
      <c r="D329" s="852">
        <f>building!C68</f>
        <v>6402.46</v>
      </c>
      <c r="E329" s="853" t="str">
        <f>building!D68</f>
        <v>Cum.</v>
      </c>
      <c r="F329" s="852">
        <f t="shared" si="5"/>
        <v>0</v>
      </c>
    </row>
    <row r="330" spans="1:6" s="726" customFormat="1" ht="24" hidden="1" customHeight="1">
      <c r="A330" s="849" t="e">
        <f>building!#REF!</f>
        <v>#REF!</v>
      </c>
      <c r="B330" s="855" t="e">
        <f>building!#REF!</f>
        <v>#REF!</v>
      </c>
      <c r="C330" s="856" t="e">
        <f>building!#REF!</f>
        <v>#REF!</v>
      </c>
      <c r="D330" s="852" t="e">
        <f>building!#REF!</f>
        <v>#REF!</v>
      </c>
      <c r="E330" s="853" t="e">
        <f>building!#REF!</f>
        <v>#REF!</v>
      </c>
      <c r="F330" s="852" t="e">
        <f t="shared" si="5"/>
        <v>#REF!</v>
      </c>
    </row>
    <row r="331" spans="1:6" s="726" customFormat="1" ht="33" customHeight="1">
      <c r="A331" s="849">
        <f>building!A69</f>
        <v>28</v>
      </c>
      <c r="B331" s="855">
        <f>building!Y69</f>
        <v>30.9</v>
      </c>
      <c r="C331" s="856" t="str">
        <f>building!B69</f>
        <v>Floor plastering in C.M. 1:4, 20 mm tk.</v>
      </c>
      <c r="D331" s="852">
        <f>building!C69</f>
        <v>445.26</v>
      </c>
      <c r="E331" s="853" t="str">
        <f>building!D69</f>
        <v>Sqm.</v>
      </c>
      <c r="F331" s="852">
        <f t="shared" si="5"/>
        <v>13758.53</v>
      </c>
    </row>
    <row r="332" spans="1:6" s="726" customFormat="1" ht="24" hidden="1" customHeight="1">
      <c r="A332" s="849" t="e">
        <f>building!#REF!</f>
        <v>#REF!</v>
      </c>
      <c r="B332" s="855" t="e">
        <f>building!#REF!</f>
        <v>#REF!</v>
      </c>
      <c r="C332" s="856" t="e">
        <f>building!#REF!</f>
        <v>#REF!</v>
      </c>
      <c r="D332" s="852" t="e">
        <f>building!#REF!</f>
        <v>#REF!</v>
      </c>
      <c r="E332" s="853" t="e">
        <f>building!#REF!</f>
        <v>#REF!</v>
      </c>
      <c r="F332" s="852" t="e">
        <f t="shared" si="5"/>
        <v>#REF!</v>
      </c>
    </row>
    <row r="333" spans="1:6" s="726" customFormat="1" ht="24" hidden="1" customHeight="1">
      <c r="A333" s="849" t="e">
        <f>building!#REF!</f>
        <v>#REF!</v>
      </c>
      <c r="B333" s="855" t="e">
        <f>building!#REF!</f>
        <v>#REF!</v>
      </c>
      <c r="C333" s="856" t="e">
        <f>building!#REF!</f>
        <v>#REF!</v>
      </c>
      <c r="D333" s="852" t="e">
        <f>building!#REF!</f>
        <v>#REF!</v>
      </c>
      <c r="E333" s="853" t="e">
        <f>building!#REF!</f>
        <v>#REF!</v>
      </c>
      <c r="F333" s="852" t="e">
        <f t="shared" si="5"/>
        <v>#REF!</v>
      </c>
    </row>
    <row r="334" spans="1:6" s="726" customFormat="1" ht="17.25" hidden="1">
      <c r="A334" s="849" t="e">
        <f>building!#REF!</f>
        <v>#REF!</v>
      </c>
      <c r="B334" s="855" t="e">
        <f>building!#REF!</f>
        <v>#REF!</v>
      </c>
      <c r="C334" s="856" t="e">
        <f>building!#REF!</f>
        <v>#REF!</v>
      </c>
      <c r="D334" s="852" t="e">
        <f>building!#REF!</f>
        <v>#REF!</v>
      </c>
      <c r="E334" s="853" t="e">
        <f>building!#REF!</f>
        <v>#REF!</v>
      </c>
      <c r="F334" s="852" t="e">
        <f t="shared" si="5"/>
        <v>#REF!</v>
      </c>
    </row>
    <row r="335" spans="1:6" s="726" customFormat="1" ht="17.25" hidden="1">
      <c r="A335" s="849" t="e">
        <f>building!#REF!</f>
        <v>#REF!</v>
      </c>
      <c r="B335" s="855" t="e">
        <f>building!#REF!</f>
        <v>#REF!</v>
      </c>
      <c r="C335" s="856" t="e">
        <f>building!#REF!</f>
        <v>#REF!</v>
      </c>
      <c r="D335" s="852" t="e">
        <f>building!#REF!</f>
        <v>#REF!</v>
      </c>
      <c r="E335" s="853" t="e">
        <f>building!#REF!</f>
        <v>#REF!</v>
      </c>
      <c r="F335" s="852" t="e">
        <f t="shared" si="5"/>
        <v>#REF!</v>
      </c>
    </row>
    <row r="336" spans="1:6" ht="15.75" hidden="1">
      <c r="A336" s="849" t="e">
        <f>building!#REF!</f>
        <v>#REF!</v>
      </c>
      <c r="B336" s="855" t="e">
        <f>building!#REF!</f>
        <v>#REF!</v>
      </c>
      <c r="C336" s="856" t="e">
        <f>building!#REF!</f>
        <v>#REF!</v>
      </c>
      <c r="D336" s="852" t="e">
        <f>building!#REF!</f>
        <v>#REF!</v>
      </c>
      <c r="E336" s="853" t="e">
        <f>building!#REF!</f>
        <v>#REF!</v>
      </c>
      <c r="F336" s="852" t="e">
        <f t="shared" si="5"/>
        <v>#REF!</v>
      </c>
    </row>
    <row r="337" spans="1:6" s="726" customFormat="1" ht="33" customHeight="1">
      <c r="A337" s="849">
        <f>building!A70</f>
        <v>30</v>
      </c>
      <c r="B337" s="855">
        <f>building!Y70</f>
        <v>13.6</v>
      </c>
      <c r="C337" s="856" t="str">
        <f>building!B70</f>
        <v>Ellispattern</v>
      </c>
      <c r="D337" s="852">
        <f>building!C70</f>
        <v>394.28</v>
      </c>
      <c r="E337" s="853" t="str">
        <f>building!D70</f>
        <v>Sqm.</v>
      </c>
      <c r="F337" s="852">
        <f t="shared" si="5"/>
        <v>5362.21</v>
      </c>
    </row>
    <row r="338" spans="1:6" s="726" customFormat="1" ht="33" customHeight="1">
      <c r="A338" s="849">
        <f>building!A71</f>
        <v>31</v>
      </c>
      <c r="B338" s="855">
        <f>building!Y71</f>
        <v>35.4</v>
      </c>
      <c r="C338" s="856" t="str">
        <f>building!B71</f>
        <v>Weathering course</v>
      </c>
      <c r="D338" s="852">
        <f>building!C71</f>
        <v>3297.83</v>
      </c>
      <c r="E338" s="853" t="str">
        <f>building!D71</f>
        <v>Cum.</v>
      </c>
      <c r="F338" s="852">
        <f t="shared" si="5"/>
        <v>116743.18</v>
      </c>
    </row>
    <row r="339" spans="1:6" s="726" customFormat="1" ht="24" hidden="1" customHeight="1">
      <c r="A339" s="849">
        <f>building!A72</f>
        <v>32</v>
      </c>
      <c r="B339" s="855">
        <f>building!Y72</f>
        <v>0</v>
      </c>
      <c r="C339" s="856" t="str">
        <f>building!B72</f>
        <v>Pressed tiles (23cmx23cmx20mm) mixed with Crude oil</v>
      </c>
      <c r="D339" s="852">
        <f>building!C72</f>
        <v>0</v>
      </c>
      <c r="E339" s="853" t="str">
        <f>building!D72</f>
        <v>Sqm.</v>
      </c>
      <c r="F339" s="852">
        <f t="shared" si="5"/>
        <v>0</v>
      </c>
    </row>
    <row r="340" spans="1:6" s="726" customFormat="1" ht="30" hidden="1">
      <c r="A340" s="849">
        <f>building!A73</f>
        <v>32.1</v>
      </c>
      <c r="B340" s="855">
        <f>building!Y73</f>
        <v>490.4</v>
      </c>
      <c r="C340" s="856" t="str">
        <f>building!B73</f>
        <v>Pressed tiles (23cmx23cmx20mm) mixed with Water proofing compound</v>
      </c>
      <c r="D340" s="852">
        <f>building!C73</f>
        <v>1075.9100000000001</v>
      </c>
      <c r="E340" s="853" t="str">
        <f>building!D73</f>
        <v>Sqm.</v>
      </c>
      <c r="F340" s="852">
        <f t="shared" si="5"/>
        <v>527626.26</v>
      </c>
    </row>
    <row r="341" spans="1:6" s="726" customFormat="1" ht="30" hidden="1">
      <c r="A341" s="849">
        <f>building!A74</f>
        <v>32.200000000000003</v>
      </c>
      <c r="B341" s="855">
        <f>building!Y74</f>
        <v>0</v>
      </c>
      <c r="C341" s="856" t="str">
        <f>building!B74</f>
        <v>Pressed tiles (23cmx23cmx18mm) mixed with Water proofing compound</v>
      </c>
      <c r="D341" s="852">
        <f>building!C74</f>
        <v>0</v>
      </c>
      <c r="E341" s="853" t="str">
        <f>building!D74</f>
        <v>Sqm.</v>
      </c>
      <c r="F341" s="852">
        <f t="shared" si="5"/>
        <v>0</v>
      </c>
    </row>
    <row r="342" spans="1:6" ht="33" customHeight="1">
      <c r="A342" s="849">
        <f>building!A75</f>
        <v>33</v>
      </c>
      <c r="B342" s="855">
        <f>building!Y75</f>
        <v>5509.4</v>
      </c>
      <c r="C342" s="856" t="str">
        <f>building!B75</f>
        <v>Plastering in C.M. 1:5, 12 mm tk.</v>
      </c>
      <c r="D342" s="852">
        <f>building!C75</f>
        <v>218.56</v>
      </c>
      <c r="E342" s="853" t="str">
        <f>building!D75</f>
        <v>Sqm.</v>
      </c>
      <c r="F342" s="852">
        <f t="shared" si="5"/>
        <v>1204134.46</v>
      </c>
    </row>
    <row r="343" spans="1:6" ht="33" customHeight="1">
      <c r="A343" s="849">
        <f>building!A76</f>
        <v>34</v>
      </c>
      <c r="B343" s="855">
        <f>building!Y76</f>
        <v>165.8</v>
      </c>
      <c r="C343" s="856" t="str">
        <f>building!B76</f>
        <v>Plastering in C.M. 1:4, 12 mm tk.</v>
      </c>
      <c r="D343" s="852">
        <f>building!C76</f>
        <v>224.57</v>
      </c>
      <c r="E343" s="853" t="str">
        <f>building!D76</f>
        <v>Sqm.</v>
      </c>
      <c r="F343" s="852">
        <f t="shared" si="5"/>
        <v>37233.71</v>
      </c>
    </row>
    <row r="344" spans="1:6" s="726" customFormat="1" ht="41.25" customHeight="1">
      <c r="A344" s="849">
        <f>building!A77</f>
        <v>35</v>
      </c>
      <c r="B344" s="855">
        <f>building!Y77</f>
        <v>1466.3</v>
      </c>
      <c r="C344" s="856" t="str">
        <f>building!B77</f>
        <v>Spl. Ceiling plastering in C.M. 1:3,
 10 mm tk.</v>
      </c>
      <c r="D344" s="852">
        <f>building!C77</f>
        <v>250.86</v>
      </c>
      <c r="E344" s="853" t="str">
        <f>building!D77</f>
        <v>Sqm.</v>
      </c>
      <c r="F344" s="852">
        <f t="shared" si="5"/>
        <v>367836.02</v>
      </c>
    </row>
    <row r="345" spans="1:6" s="726" customFormat="1" ht="34.9" customHeight="1">
      <c r="A345" s="849">
        <f>building!A78</f>
        <v>36</v>
      </c>
      <c r="B345" s="850">
        <f>building!Y78</f>
        <v>0</v>
      </c>
      <c r="C345" s="851" t="str">
        <f>building!B78</f>
        <v>Cement mortar Border in  C.M. 1:5, 12 mm tk.</v>
      </c>
      <c r="D345" s="852">
        <f>building!C78</f>
        <v>0</v>
      </c>
      <c r="E345" s="853">
        <f>building!D78</f>
        <v>0</v>
      </c>
      <c r="F345" s="852"/>
    </row>
    <row r="346" spans="1:6" s="726" customFormat="1" ht="33" customHeight="1">
      <c r="A346" s="849" t="str">
        <f>building!A79</f>
        <v xml:space="preserve"> </v>
      </c>
      <c r="B346" s="855">
        <f>building!Y79</f>
        <v>288.2</v>
      </c>
      <c r="C346" s="856" t="str">
        <f>building!B79</f>
        <v>a. 150 mm wide</v>
      </c>
      <c r="D346" s="852">
        <f>building!C79</f>
        <v>69.709999999999994</v>
      </c>
      <c r="E346" s="853" t="str">
        <f>building!D79</f>
        <v>Rmt</v>
      </c>
      <c r="F346" s="852">
        <f t="shared" si="5"/>
        <v>20090.419999999998</v>
      </c>
    </row>
    <row r="347" spans="1:6" ht="33" customHeight="1">
      <c r="A347" s="849">
        <f>building!A80</f>
        <v>0</v>
      </c>
      <c r="B347" s="855">
        <f>building!Y80</f>
        <v>288.2</v>
      </c>
      <c r="C347" s="856" t="str">
        <f>building!B80</f>
        <v>b. 75 mm wide</v>
      </c>
      <c r="D347" s="852">
        <f>building!C80</f>
        <v>45.36</v>
      </c>
      <c r="E347" s="853" t="str">
        <f>building!D80</f>
        <v>Rmt</v>
      </c>
      <c r="F347" s="852">
        <f t="shared" si="5"/>
        <v>13072.75</v>
      </c>
    </row>
    <row r="348" spans="1:6" ht="33" customHeight="1">
      <c r="A348" s="849">
        <f>building!A81</f>
        <v>0</v>
      </c>
      <c r="B348" s="855">
        <f>building!Y81</f>
        <v>137.56</v>
      </c>
      <c r="C348" s="856" t="str">
        <f>building!B81</f>
        <v>c. 50 mm wide</v>
      </c>
      <c r="D348" s="852">
        <f>building!C81</f>
        <v>33.76</v>
      </c>
      <c r="E348" s="853" t="str">
        <f>building!D81</f>
        <v>Rmt</v>
      </c>
      <c r="F348" s="852">
        <f t="shared" si="5"/>
        <v>4644.03</v>
      </c>
    </row>
    <row r="349" spans="1:6" ht="33" customHeight="1">
      <c r="A349" s="849">
        <f>building!A82</f>
        <v>37.1</v>
      </c>
      <c r="B349" s="855">
        <f>building!Y82</f>
        <v>1466.3</v>
      </c>
      <c r="C349" s="856" t="str">
        <f>building!B82</f>
        <v>White washing 3 coats  (slaked)</v>
      </c>
      <c r="D349" s="852">
        <f>building!C82</f>
        <v>39.22</v>
      </c>
      <c r="E349" s="853" t="str">
        <f>building!D82</f>
        <v>Sqm.</v>
      </c>
      <c r="F349" s="852">
        <f t="shared" si="5"/>
        <v>57508.29</v>
      </c>
    </row>
    <row r="350" spans="1:6" s="726" customFormat="1" ht="53.25" hidden="1" customHeight="1">
      <c r="A350" s="849" t="e">
        <f>building!#REF!</f>
        <v>#REF!</v>
      </c>
      <c r="B350" s="855" t="e">
        <f>building!#REF!</f>
        <v>#REF!</v>
      </c>
      <c r="C350" s="856" t="e">
        <f>building!#REF!</f>
        <v>#REF!</v>
      </c>
      <c r="D350" s="852" t="e">
        <f>building!#REF!</f>
        <v>#REF!</v>
      </c>
      <c r="E350" s="853" t="e">
        <f>building!#REF!</f>
        <v>#REF!</v>
      </c>
      <c r="F350" s="852" t="e">
        <f t="shared" si="5"/>
        <v>#REF!</v>
      </c>
    </row>
    <row r="351" spans="1:6" ht="59.25" hidden="1" customHeight="1">
      <c r="A351" s="849" t="e">
        <f>building!#REF!</f>
        <v>#REF!</v>
      </c>
      <c r="B351" s="855" t="e">
        <f>building!#REF!</f>
        <v>#REF!</v>
      </c>
      <c r="C351" s="856" t="e">
        <f>building!#REF!</f>
        <v>#REF!</v>
      </c>
      <c r="D351" s="852" t="e">
        <f>building!#REF!</f>
        <v>#REF!</v>
      </c>
      <c r="E351" s="853" t="e">
        <f>building!#REF!</f>
        <v>#REF!</v>
      </c>
      <c r="F351" s="852" t="e">
        <f t="shared" si="5"/>
        <v>#REF!</v>
      </c>
    </row>
    <row r="352" spans="1:6" ht="24" hidden="1" customHeight="1">
      <c r="A352" s="849" t="e">
        <f>building!#REF!</f>
        <v>#REF!</v>
      </c>
      <c r="B352" s="855" t="e">
        <f>building!#REF!</f>
        <v>#REF!</v>
      </c>
      <c r="C352" s="856" t="e">
        <f>building!#REF!</f>
        <v>#REF!</v>
      </c>
      <c r="D352" s="852" t="e">
        <f>building!#REF!</f>
        <v>#REF!</v>
      </c>
      <c r="E352" s="853" t="e">
        <f>building!#REF!</f>
        <v>#REF!</v>
      </c>
      <c r="F352" s="852" t="e">
        <f t="shared" si="5"/>
        <v>#REF!</v>
      </c>
    </row>
    <row r="353" spans="1:6" ht="33" hidden="1" customHeight="1">
      <c r="A353" s="849" t="e">
        <f>building!#REF!</f>
        <v>#REF!</v>
      </c>
      <c r="B353" s="855" t="e">
        <f>building!#REF!</f>
        <v>#REF!</v>
      </c>
      <c r="C353" s="856" t="e">
        <f>building!#REF!</f>
        <v>#REF!</v>
      </c>
      <c r="D353" s="852" t="e">
        <f>building!#REF!</f>
        <v>#REF!</v>
      </c>
      <c r="E353" s="853" t="e">
        <f>building!#REF!</f>
        <v>#REF!</v>
      </c>
      <c r="F353" s="852" t="e">
        <f t="shared" si="5"/>
        <v>#REF!</v>
      </c>
    </row>
    <row r="354" spans="1:6" ht="33" hidden="1" customHeight="1">
      <c r="A354" s="849" t="e">
        <f>building!#REF!</f>
        <v>#REF!</v>
      </c>
      <c r="B354" s="855" t="e">
        <f>building!#REF!</f>
        <v>#REF!</v>
      </c>
      <c r="C354" s="856" t="e">
        <f>building!#REF!</f>
        <v>#REF!</v>
      </c>
      <c r="D354" s="852" t="e">
        <f>building!#REF!</f>
        <v>#REF!</v>
      </c>
      <c r="E354" s="853" t="e">
        <f>building!#REF!</f>
        <v>#REF!</v>
      </c>
      <c r="F354" s="852" t="e">
        <f t="shared" si="5"/>
        <v>#REF!</v>
      </c>
    </row>
    <row r="355" spans="1:6" s="726" customFormat="1" ht="33" hidden="1" customHeight="1">
      <c r="A355" s="849" t="e">
        <f>building!#REF!</f>
        <v>#REF!</v>
      </c>
      <c r="B355" s="855" t="e">
        <f>building!#REF!</f>
        <v>#REF!</v>
      </c>
      <c r="C355" s="856" t="e">
        <f>building!#REF!</f>
        <v>#REF!</v>
      </c>
      <c r="D355" s="852" t="e">
        <f>building!#REF!</f>
        <v>#REF!</v>
      </c>
      <c r="E355" s="853" t="e">
        <f>building!#REF!</f>
        <v>#REF!</v>
      </c>
      <c r="F355" s="852" t="e">
        <f t="shared" si="5"/>
        <v>#REF!</v>
      </c>
    </row>
    <row r="356" spans="1:6" s="726" customFormat="1" ht="35.25" customHeight="1">
      <c r="A356" s="849">
        <f>building!A83</f>
        <v>39</v>
      </c>
      <c r="B356" s="855">
        <f>building!Y83</f>
        <v>807</v>
      </c>
      <c r="C356" s="856" t="str">
        <f>building!B83</f>
        <v>M.s Grills</v>
      </c>
      <c r="D356" s="852">
        <f>building!C83</f>
        <v>62.6</v>
      </c>
      <c r="E356" s="853" t="str">
        <f>building!D83</f>
        <v>Kg.</v>
      </c>
      <c r="F356" s="852">
        <f t="shared" si="5"/>
        <v>50518.2</v>
      </c>
    </row>
    <row r="357" spans="1:6" s="726" customFormat="1" ht="32.25" customHeight="1">
      <c r="A357" s="849">
        <f>building!A84</f>
        <v>40</v>
      </c>
      <c r="B357" s="855">
        <f>building!Y84</f>
        <v>134.69999999999999</v>
      </c>
      <c r="C357" s="856" t="str">
        <f>building!B84</f>
        <v>Painting - New "wood work"</v>
      </c>
      <c r="D357" s="852">
        <f>building!C84</f>
        <v>212.24</v>
      </c>
      <c r="E357" s="853" t="str">
        <f>building!D84</f>
        <v>Sqm.</v>
      </c>
      <c r="F357" s="852">
        <f t="shared" si="5"/>
        <v>28588.73</v>
      </c>
    </row>
    <row r="358" spans="1:6" ht="15.75">
      <c r="A358" s="849">
        <f>building!A85</f>
        <v>41</v>
      </c>
      <c r="B358" s="855">
        <f>building!Y85</f>
        <v>333.1</v>
      </c>
      <c r="C358" s="856" t="str">
        <f>building!B85</f>
        <v>Painting - New "iron work"</v>
      </c>
      <c r="D358" s="852">
        <f>building!C85</f>
        <v>125.87</v>
      </c>
      <c r="E358" s="853" t="str">
        <f>building!D85</f>
        <v>Sqm.</v>
      </c>
      <c r="F358" s="852">
        <f t="shared" si="5"/>
        <v>41927.300000000003</v>
      </c>
    </row>
    <row r="359" spans="1:6" ht="25.5" hidden="1" customHeight="1">
      <c r="A359" s="849" t="e">
        <f>building!#REF!</f>
        <v>#REF!</v>
      </c>
      <c r="B359" s="855" t="e">
        <f>building!#REF!</f>
        <v>#REF!</v>
      </c>
      <c r="C359" s="856" t="e">
        <f>building!#REF!</f>
        <v>#REF!</v>
      </c>
      <c r="D359" s="852" t="e">
        <f>building!#REF!</f>
        <v>#REF!</v>
      </c>
      <c r="E359" s="853" t="e">
        <f>building!#REF!</f>
        <v>#REF!</v>
      </c>
      <c r="F359" s="852" t="e">
        <f t="shared" si="5"/>
        <v>#REF!</v>
      </c>
    </row>
    <row r="360" spans="1:6" ht="25.5" hidden="1" customHeight="1">
      <c r="A360" s="849" t="e">
        <f>building!#REF!</f>
        <v>#REF!</v>
      </c>
      <c r="B360" s="855" t="e">
        <f>building!#REF!</f>
        <v>#REF!</v>
      </c>
      <c r="C360" s="856" t="e">
        <f>building!#REF!</f>
        <v>#REF!</v>
      </c>
      <c r="D360" s="852" t="e">
        <f>building!#REF!</f>
        <v>#REF!</v>
      </c>
      <c r="E360" s="853" t="e">
        <f>building!#REF!</f>
        <v>#REF!</v>
      </c>
      <c r="F360" s="852" t="e">
        <f t="shared" si="5"/>
        <v>#REF!</v>
      </c>
    </row>
    <row r="361" spans="1:6" s="726" customFormat="1" ht="25.5" hidden="1" customHeight="1">
      <c r="A361" s="849" t="e">
        <f>building!#REF!</f>
        <v>#REF!</v>
      </c>
      <c r="B361" s="855" t="e">
        <f>building!#REF!</f>
        <v>#REF!</v>
      </c>
      <c r="C361" s="856" t="e">
        <f>building!#REF!</f>
        <v>#REF!</v>
      </c>
      <c r="D361" s="852" t="e">
        <f>building!#REF!</f>
        <v>#REF!</v>
      </c>
      <c r="E361" s="853" t="e">
        <f>building!#REF!</f>
        <v>#REF!</v>
      </c>
      <c r="F361" s="852" t="e">
        <f t="shared" si="5"/>
        <v>#REF!</v>
      </c>
    </row>
    <row r="362" spans="1:6" s="726" customFormat="1" ht="17.25" hidden="1">
      <c r="A362" s="849" t="e">
        <f>building!#REF!</f>
        <v>#REF!</v>
      </c>
      <c r="B362" s="855" t="e">
        <f>building!#REF!</f>
        <v>#REF!</v>
      </c>
      <c r="C362" s="856" t="e">
        <f>building!#REF!</f>
        <v>#REF!</v>
      </c>
      <c r="D362" s="852" t="e">
        <f>building!#REF!</f>
        <v>#REF!</v>
      </c>
      <c r="E362" s="853" t="e">
        <f>building!#REF!</f>
        <v>#REF!</v>
      </c>
      <c r="F362" s="852" t="e">
        <f t="shared" si="5"/>
        <v>#REF!</v>
      </c>
    </row>
    <row r="363" spans="1:6" s="726" customFormat="1" ht="37.5" hidden="1" customHeight="1">
      <c r="A363" s="849" t="e">
        <f>building!#REF!</f>
        <v>#REF!</v>
      </c>
      <c r="B363" s="855" t="e">
        <f>building!#REF!</f>
        <v>#REF!</v>
      </c>
      <c r="C363" s="856" t="e">
        <f>building!#REF!</f>
        <v>#REF!</v>
      </c>
      <c r="D363" s="852" t="e">
        <f>building!#REF!</f>
        <v>#REF!</v>
      </c>
      <c r="E363" s="853" t="e">
        <f>building!#REF!</f>
        <v>#REF!</v>
      </c>
      <c r="F363" s="852" t="e">
        <f t="shared" si="5"/>
        <v>#REF!</v>
      </c>
    </row>
    <row r="364" spans="1:6" s="726" customFormat="1" ht="17.25" hidden="1">
      <c r="A364" s="849" t="e">
        <f>building!#REF!</f>
        <v>#REF!</v>
      </c>
      <c r="B364" s="855" t="e">
        <f>building!#REF!</f>
        <v>#REF!</v>
      </c>
      <c r="C364" s="856" t="e">
        <f>building!#REF!</f>
        <v>#REF!</v>
      </c>
      <c r="D364" s="852" t="e">
        <f>building!#REF!</f>
        <v>#REF!</v>
      </c>
      <c r="E364" s="853" t="e">
        <f>building!#REF!</f>
        <v>#REF!</v>
      </c>
      <c r="F364" s="852" t="e">
        <f t="shared" si="5"/>
        <v>#REF!</v>
      </c>
    </row>
    <row r="365" spans="1:6" s="726" customFormat="1" ht="33" hidden="1" customHeight="1">
      <c r="A365" s="849" t="e">
        <f>building!#REF!</f>
        <v>#REF!</v>
      </c>
      <c r="B365" s="855" t="e">
        <f>building!#REF!</f>
        <v>#REF!</v>
      </c>
      <c r="C365" s="856" t="e">
        <f>building!#REF!</f>
        <v>#REF!</v>
      </c>
      <c r="D365" s="852" t="e">
        <f>building!#REF!</f>
        <v>#REF!</v>
      </c>
      <c r="E365" s="853" t="e">
        <f>building!#REF!</f>
        <v>#REF!</v>
      </c>
      <c r="F365" s="852" t="e">
        <f t="shared" si="5"/>
        <v>#REF!</v>
      </c>
    </row>
    <row r="366" spans="1:6" s="726" customFormat="1" ht="33" hidden="1" customHeight="1">
      <c r="A366" s="849" t="e">
        <f>building!#REF!</f>
        <v>#REF!</v>
      </c>
      <c r="B366" s="855" t="e">
        <f>building!#REF!</f>
        <v>#REF!</v>
      </c>
      <c r="C366" s="856" t="e">
        <f>building!#REF!</f>
        <v>#REF!</v>
      </c>
      <c r="D366" s="852" t="e">
        <f>building!#REF!</f>
        <v>#REF!</v>
      </c>
      <c r="E366" s="853" t="e">
        <f>building!#REF!</f>
        <v>#REF!</v>
      </c>
      <c r="F366" s="852" t="e">
        <f t="shared" si="5"/>
        <v>#REF!</v>
      </c>
    </row>
    <row r="367" spans="1:6" s="726" customFormat="1" ht="33" hidden="1" customHeight="1">
      <c r="A367" s="849" t="e">
        <f>building!#REF!</f>
        <v>#REF!</v>
      </c>
      <c r="B367" s="855" t="e">
        <f>building!#REF!</f>
        <v>#REF!</v>
      </c>
      <c r="C367" s="856" t="e">
        <f>building!#REF!</f>
        <v>#REF!</v>
      </c>
      <c r="D367" s="852" t="e">
        <f>building!#REF!</f>
        <v>#REF!</v>
      </c>
      <c r="E367" s="853" t="e">
        <f>building!#REF!</f>
        <v>#REF!</v>
      </c>
      <c r="F367" s="852" t="e">
        <f t="shared" si="5"/>
        <v>#REF!</v>
      </c>
    </row>
    <row r="368" spans="1:6" s="726" customFormat="1" ht="33" customHeight="1">
      <c r="A368" s="849">
        <f>building!A86</f>
        <v>46</v>
      </c>
      <c r="B368" s="855">
        <f>building!Y86</f>
        <v>16</v>
      </c>
      <c r="C368" s="856" t="str">
        <f>building!B86</f>
        <v>S &amp; F 20 mm dia Alu. Hanger Rod</v>
      </c>
      <c r="D368" s="852">
        <f>building!C86</f>
        <v>58</v>
      </c>
      <c r="E368" s="853" t="str">
        <f>building!D86</f>
        <v>Rmt</v>
      </c>
      <c r="F368" s="852">
        <f t="shared" si="5"/>
        <v>928</v>
      </c>
    </row>
    <row r="369" spans="1:6" s="726" customFormat="1" ht="38.25" customHeight="1">
      <c r="A369" s="849">
        <f>building!A87</f>
        <v>47</v>
      </c>
      <c r="B369" s="855">
        <f>building!Y87</f>
        <v>8</v>
      </c>
      <c r="C369" s="856" t="str">
        <f>building!B87</f>
        <v>S &amp; F Alu  Towel rail 75 cm long</v>
      </c>
      <c r="D369" s="852">
        <f>building!C87</f>
        <v>95</v>
      </c>
      <c r="E369" s="853" t="str">
        <f>building!D87</f>
        <v>Each</v>
      </c>
      <c r="F369" s="852">
        <f t="shared" si="5"/>
        <v>760</v>
      </c>
    </row>
    <row r="370" spans="1:6" ht="36.75" customHeight="1">
      <c r="A370" s="849">
        <f>building!A88</f>
        <v>48</v>
      </c>
      <c r="B370" s="855">
        <f>building!Y88</f>
        <v>16</v>
      </c>
      <c r="C370" s="856" t="str">
        <f>building!B88</f>
        <v>S &amp; F 5 pin Coat stand</v>
      </c>
      <c r="D370" s="852">
        <f>building!C88</f>
        <v>55</v>
      </c>
      <c r="E370" s="853" t="str">
        <f>building!D88</f>
        <v>Each</v>
      </c>
      <c r="F370" s="852">
        <f t="shared" si="5"/>
        <v>880</v>
      </c>
    </row>
    <row r="371" spans="1:6" ht="26.25" customHeight="1">
      <c r="A371" s="849">
        <f>building!A89</f>
        <v>49</v>
      </c>
      <c r="B371" s="855">
        <f>building!Y89</f>
        <v>96</v>
      </c>
      <c r="C371" s="856" t="str">
        <f>building!B89</f>
        <v>S &amp; F chromium plated 8 guage Picture Hook</v>
      </c>
      <c r="D371" s="852">
        <f>building!C89</f>
        <v>1.5</v>
      </c>
      <c r="E371" s="853" t="str">
        <f>building!D89</f>
        <v>Each</v>
      </c>
      <c r="F371" s="852">
        <f t="shared" si="5"/>
        <v>144</v>
      </c>
    </row>
    <row r="372" spans="1:6" ht="36" hidden="1" customHeight="1">
      <c r="A372" s="849" t="e">
        <f>building!#REF!</f>
        <v>#REF!</v>
      </c>
      <c r="B372" s="855" t="e">
        <f>building!#REF!</f>
        <v>#REF!</v>
      </c>
      <c r="C372" s="856" t="e">
        <f>building!#REF!</f>
        <v>#REF!</v>
      </c>
      <c r="D372" s="852" t="e">
        <f>building!#REF!</f>
        <v>#REF!</v>
      </c>
      <c r="E372" s="853" t="e">
        <f>building!#REF!</f>
        <v>#REF!</v>
      </c>
      <c r="F372" s="852" t="e">
        <f t="shared" si="5"/>
        <v>#REF!</v>
      </c>
    </row>
    <row r="373" spans="1:6" ht="43.9" customHeight="1">
      <c r="A373" s="849">
        <f>building!A90</f>
        <v>50.2</v>
      </c>
      <c r="B373" s="855">
        <f>building!Y90</f>
        <v>278</v>
      </c>
      <c r="C373" s="856" t="str">
        <f>building!B90</f>
        <v xml:space="preserve">Providing precast Kerb stone in C.C. 1:3:6,  450 x 300 x 150 mm </v>
      </c>
      <c r="D373" s="852">
        <f>building!C90</f>
        <v>238.28</v>
      </c>
      <c r="E373" s="853" t="str">
        <f>building!D90</f>
        <v>Rmt</v>
      </c>
      <c r="F373" s="852">
        <f t="shared" si="5"/>
        <v>66241.84</v>
      </c>
    </row>
    <row r="374" spans="1:6" s="726" customFormat="1" ht="30.75" customHeight="1">
      <c r="A374" s="849">
        <f>building!A91</f>
        <v>50.3</v>
      </c>
      <c r="B374" s="855">
        <f>building!Y91</f>
        <v>0</v>
      </c>
      <c r="C374" s="856" t="str">
        <f>building!B91</f>
        <v>Supply and planting avenue trees</v>
      </c>
      <c r="D374" s="852">
        <f>building!C91</f>
        <v>343.21</v>
      </c>
      <c r="E374" s="853" t="str">
        <f>building!D91</f>
        <v>Each</v>
      </c>
      <c r="F374" s="852">
        <f t="shared" si="5"/>
        <v>0</v>
      </c>
    </row>
    <row r="375" spans="1:6" ht="33" customHeight="1">
      <c r="A375" s="849">
        <f>building!A92</f>
        <v>50.4</v>
      </c>
      <c r="B375" s="855">
        <f>building!Y92</f>
        <v>0</v>
      </c>
      <c r="C375" s="856" t="str">
        <f>building!B92</f>
        <v>Providing Tree guard</v>
      </c>
      <c r="D375" s="852">
        <f>building!C92</f>
        <v>807.7</v>
      </c>
      <c r="E375" s="853" t="str">
        <f>building!D92</f>
        <v>Each</v>
      </c>
      <c r="F375" s="852">
        <f t="shared" si="5"/>
        <v>0</v>
      </c>
    </row>
    <row r="376" spans="1:6" ht="33" customHeight="1">
      <c r="A376" s="849">
        <f>building!A93</f>
        <v>50.5</v>
      </c>
      <c r="B376" s="855">
        <f>building!Y93</f>
        <v>1</v>
      </c>
      <c r="C376" s="856" t="str">
        <f>building!B93</f>
        <v>Supplying. Fabricating and erection of M.S Scheme Name board</v>
      </c>
      <c r="D376" s="852">
        <f>building!C93</f>
        <v>17153.259999999998</v>
      </c>
      <c r="E376" s="853" t="str">
        <f>building!D93</f>
        <v>Each</v>
      </c>
      <c r="F376" s="852">
        <f t="shared" si="5"/>
        <v>17153.259999999998</v>
      </c>
    </row>
    <row r="377" spans="1:6" ht="33" hidden="1" customHeight="1">
      <c r="A377" s="849">
        <f>building!A94</f>
        <v>51</v>
      </c>
      <c r="B377" s="855">
        <f>building!Y94</f>
        <v>4</v>
      </c>
      <c r="C377" s="856" t="str">
        <f>building!B94</f>
        <v>HDPE water tank 700 lit capacity with ISI mark</v>
      </c>
      <c r="D377" s="852">
        <f>building!C94</f>
        <v>6720</v>
      </c>
      <c r="E377" s="853" t="str">
        <f>building!D94</f>
        <v>Each</v>
      </c>
      <c r="F377" s="852">
        <f t="shared" si="5"/>
        <v>26880</v>
      </c>
    </row>
    <row r="378" spans="1:6" s="726" customFormat="1" ht="30" hidden="1" customHeight="1">
      <c r="A378" s="849">
        <f>building!A95</f>
        <v>52</v>
      </c>
      <c r="B378" s="855">
        <f>building!Y95</f>
        <v>0</v>
      </c>
      <c r="C378" s="856" t="str">
        <f>building!B95</f>
        <v>PVC Water supply (ASTM)</v>
      </c>
      <c r="D378" s="852">
        <f>building!C95</f>
        <v>0</v>
      </c>
      <c r="E378" s="853">
        <f>building!D95</f>
        <v>0</v>
      </c>
      <c r="F378" s="852">
        <f t="shared" si="5"/>
        <v>0</v>
      </c>
    </row>
    <row r="379" spans="1:6" s="726" customFormat="1" ht="47.25" hidden="1" customHeight="1">
      <c r="A379" s="849">
        <f>building!A96</f>
        <v>0</v>
      </c>
      <c r="B379" s="855">
        <f>building!Y96</f>
        <v>60</v>
      </c>
      <c r="C379" s="856" t="str">
        <f>building!B96</f>
        <v xml:space="preserve">a. 32 mm dia </v>
      </c>
      <c r="D379" s="852">
        <f>building!C96</f>
        <v>227.81</v>
      </c>
      <c r="E379" s="853" t="str">
        <f>building!D96</f>
        <v>Rmt</v>
      </c>
      <c r="F379" s="852">
        <f t="shared" si="5"/>
        <v>13668.6</v>
      </c>
    </row>
    <row r="380" spans="1:6" ht="15.75" hidden="1">
      <c r="A380" s="849">
        <f>building!A97</f>
        <v>0</v>
      </c>
      <c r="B380" s="855">
        <f>building!Y97</f>
        <v>537</v>
      </c>
      <c r="C380" s="856" t="str">
        <f>building!B97</f>
        <v xml:space="preserve">b. 25 mm dia </v>
      </c>
      <c r="D380" s="852">
        <f>building!C97</f>
        <v>208.73</v>
      </c>
      <c r="E380" s="853" t="str">
        <f>building!D97</f>
        <v>Rmt</v>
      </c>
      <c r="F380" s="852">
        <f t="shared" si="5"/>
        <v>112088.01</v>
      </c>
    </row>
    <row r="381" spans="1:6" ht="41.25" hidden="1" customHeight="1">
      <c r="A381" s="849">
        <f>building!A98</f>
        <v>0</v>
      </c>
      <c r="B381" s="855">
        <f>building!Y98</f>
        <v>0</v>
      </c>
      <c r="C381" s="856" t="str">
        <f>building!B98</f>
        <v xml:space="preserve">c. 20 mm dia </v>
      </c>
      <c r="D381" s="852">
        <f>building!C98</f>
        <v>203.95</v>
      </c>
      <c r="E381" s="853" t="str">
        <f>building!D98</f>
        <v>Rmt</v>
      </c>
      <c r="F381" s="852">
        <f t="shared" si="5"/>
        <v>0</v>
      </c>
    </row>
    <row r="382" spans="1:6" ht="42" customHeight="1">
      <c r="A382" s="849">
        <f>building!A99</f>
        <v>52.1</v>
      </c>
      <c r="B382" s="855">
        <f>building!Y99</f>
        <v>0</v>
      </c>
      <c r="C382" s="856" t="str">
        <f>building!B99</f>
        <v>G.I Pipe 20mm dia for Hot water line (Fully Concealed in walls)</v>
      </c>
      <c r="D382" s="852">
        <f>building!C99</f>
        <v>286.08</v>
      </c>
      <c r="E382" s="853" t="str">
        <f>building!D99</f>
        <v>Rmt</v>
      </c>
      <c r="F382" s="852">
        <f t="shared" si="5"/>
        <v>0</v>
      </c>
    </row>
    <row r="383" spans="1:6" s="726" customFormat="1" ht="21" hidden="1" customHeight="1">
      <c r="A383" s="849">
        <f>building!A100</f>
        <v>53.1</v>
      </c>
      <c r="B383" s="855">
        <f>building!Y100</f>
        <v>0</v>
      </c>
      <c r="C383" s="856" t="str">
        <f>building!B100</f>
        <v>Wash basin</v>
      </c>
      <c r="D383" s="852">
        <f>building!C100</f>
        <v>3074.82</v>
      </c>
      <c r="E383" s="853" t="str">
        <f>building!D100</f>
        <v>Each</v>
      </c>
      <c r="F383" s="852">
        <f t="shared" si="5"/>
        <v>0</v>
      </c>
    </row>
    <row r="384" spans="1:6" ht="30.75" hidden="1" customHeight="1">
      <c r="A384" s="849">
        <f>building!A101</f>
        <v>53.2</v>
      </c>
      <c r="B384" s="855">
        <f>building!Y101</f>
        <v>0</v>
      </c>
      <c r="C384" s="856" t="str">
        <f>building!B101</f>
        <v>S &amp; F  of  C.I. Manhole cover 45 x 45 cm
 (20 kg. weight)</v>
      </c>
      <c r="D384" s="852">
        <f>building!C101</f>
        <v>0</v>
      </c>
      <c r="E384" s="853" t="str">
        <f>building!D101</f>
        <v>Each</v>
      </c>
      <c r="F384" s="852">
        <f t="shared" si="5"/>
        <v>0</v>
      </c>
    </row>
    <row r="385" spans="1:6" ht="32.25" customHeight="1">
      <c r="A385" s="849">
        <f>building!A102</f>
        <v>53.3</v>
      </c>
      <c r="B385" s="855">
        <f>building!Y102</f>
        <v>5</v>
      </c>
      <c r="C385" s="856" t="str">
        <f>building!B102</f>
        <v>C.I. Steps ( 5 kg)</v>
      </c>
      <c r="D385" s="852">
        <f>building!C102</f>
        <v>30</v>
      </c>
      <c r="E385" s="853" t="str">
        <f>building!D102</f>
        <v>Each</v>
      </c>
      <c r="F385" s="852">
        <f t="shared" si="5"/>
        <v>150</v>
      </c>
    </row>
    <row r="386" spans="1:6" s="726" customFormat="1" ht="17.25" hidden="1">
      <c r="A386" s="849" t="e">
        <f>building!#REF!</f>
        <v>#REF!</v>
      </c>
      <c r="B386" s="855" t="e">
        <f>building!#REF!</f>
        <v>#REF!</v>
      </c>
      <c r="C386" s="856" t="e">
        <f>building!#REF!</f>
        <v>#REF!</v>
      </c>
      <c r="D386" s="852" t="e">
        <f>building!#REF!</f>
        <v>#REF!</v>
      </c>
      <c r="E386" s="853" t="e">
        <f>building!#REF!</f>
        <v>#REF!</v>
      </c>
      <c r="F386" s="852" t="e">
        <f t="shared" si="5"/>
        <v>#REF!</v>
      </c>
    </row>
    <row r="387" spans="1:6" ht="33" hidden="1" customHeight="1">
      <c r="A387" s="849" t="e">
        <f>building!#REF!</f>
        <v>#REF!</v>
      </c>
      <c r="B387" s="855" t="e">
        <f>building!#REF!</f>
        <v>#REF!</v>
      </c>
      <c r="C387" s="856" t="e">
        <f>building!#REF!</f>
        <v>#REF!</v>
      </c>
      <c r="D387" s="852" t="e">
        <f>building!#REF!</f>
        <v>#REF!</v>
      </c>
      <c r="E387" s="853" t="e">
        <f>building!#REF!</f>
        <v>#REF!</v>
      </c>
      <c r="F387" s="852" t="e">
        <f t="shared" si="5"/>
        <v>#REF!</v>
      </c>
    </row>
    <row r="388" spans="1:6" s="726" customFormat="1" ht="17.25" hidden="1">
      <c r="A388" s="849" t="e">
        <f>building!#REF!</f>
        <v>#REF!</v>
      </c>
      <c r="B388" s="855" t="e">
        <f>building!#REF!</f>
        <v>#REF!</v>
      </c>
      <c r="C388" s="856" t="e">
        <f>building!#REF!</f>
        <v>#REF!</v>
      </c>
      <c r="D388" s="852" t="e">
        <f>building!#REF!</f>
        <v>#REF!</v>
      </c>
      <c r="E388" s="853" t="e">
        <f>building!#REF!</f>
        <v>#REF!</v>
      </c>
      <c r="F388" s="852" t="e">
        <f t="shared" si="5"/>
        <v>#REF!</v>
      </c>
    </row>
    <row r="389" spans="1:6" s="726" customFormat="1" ht="17.25" hidden="1">
      <c r="A389" s="849" t="e">
        <f>building!#REF!</f>
        <v>#REF!</v>
      </c>
      <c r="B389" s="855" t="e">
        <f>building!#REF!</f>
        <v>#REF!</v>
      </c>
      <c r="C389" s="856" t="e">
        <f>building!#REF!</f>
        <v>#REF!</v>
      </c>
      <c r="D389" s="852" t="e">
        <f>building!#REF!</f>
        <v>#REF!</v>
      </c>
      <c r="E389" s="853" t="e">
        <f>building!#REF!</f>
        <v>#REF!</v>
      </c>
      <c r="F389" s="852" t="e">
        <f t="shared" si="5"/>
        <v>#REF!</v>
      </c>
    </row>
    <row r="390" spans="1:6" s="726" customFormat="1" ht="17.25" hidden="1">
      <c r="A390" s="849" t="e">
        <f>building!#REF!</f>
        <v>#REF!</v>
      </c>
      <c r="B390" s="855" t="e">
        <f>building!#REF!</f>
        <v>#REF!</v>
      </c>
      <c r="C390" s="856" t="e">
        <f>building!#REF!</f>
        <v>#REF!</v>
      </c>
      <c r="D390" s="852" t="e">
        <f>building!#REF!</f>
        <v>#REF!</v>
      </c>
      <c r="E390" s="853" t="e">
        <f>building!#REF!</f>
        <v>#REF!</v>
      </c>
      <c r="F390" s="852" t="e">
        <f t="shared" si="5"/>
        <v>#REF!</v>
      </c>
    </row>
    <row r="391" spans="1:6" s="726" customFormat="1" ht="17.25" hidden="1">
      <c r="A391" s="849" t="e">
        <f>building!#REF!</f>
        <v>#REF!</v>
      </c>
      <c r="B391" s="855" t="e">
        <f>building!#REF!</f>
        <v>#REF!</v>
      </c>
      <c r="C391" s="856" t="e">
        <f>building!#REF!</f>
        <v>#REF!</v>
      </c>
      <c r="D391" s="852" t="e">
        <f>building!#REF!</f>
        <v>#REF!</v>
      </c>
      <c r="E391" s="853" t="e">
        <f>building!#REF!</f>
        <v>#REF!</v>
      </c>
      <c r="F391" s="852" t="e">
        <f t="shared" si="5"/>
        <v>#REF!</v>
      </c>
    </row>
    <row r="392" spans="1:6" s="726" customFormat="1" ht="17.25" hidden="1">
      <c r="A392" s="849" t="e">
        <f>building!#REF!</f>
        <v>#REF!</v>
      </c>
      <c r="B392" s="855" t="e">
        <f>building!#REF!</f>
        <v>#REF!</v>
      </c>
      <c r="C392" s="856" t="e">
        <f>building!#REF!</f>
        <v>#REF!</v>
      </c>
      <c r="D392" s="852" t="e">
        <f>building!#REF!</f>
        <v>#REF!</v>
      </c>
      <c r="E392" s="853" t="e">
        <f>building!#REF!</f>
        <v>#REF!</v>
      </c>
      <c r="F392" s="852" t="e">
        <f t="shared" ref="F392:F455" si="6">D392*B392</f>
        <v>#REF!</v>
      </c>
    </row>
    <row r="393" spans="1:6" s="726" customFormat="1" ht="17.25" hidden="1">
      <c r="A393" s="849" t="e">
        <f>building!#REF!</f>
        <v>#REF!</v>
      </c>
      <c r="B393" s="855" t="e">
        <f>building!#REF!</f>
        <v>#REF!</v>
      </c>
      <c r="C393" s="856" t="e">
        <f>building!#REF!</f>
        <v>#REF!</v>
      </c>
      <c r="D393" s="852" t="e">
        <f>building!#REF!</f>
        <v>#REF!</v>
      </c>
      <c r="E393" s="853" t="e">
        <f>building!#REF!</f>
        <v>#REF!</v>
      </c>
      <c r="F393" s="852" t="e">
        <f t="shared" si="6"/>
        <v>#REF!</v>
      </c>
    </row>
    <row r="394" spans="1:6" s="726" customFormat="1" ht="17.25" hidden="1">
      <c r="A394" s="849" t="e">
        <f>building!#REF!</f>
        <v>#REF!</v>
      </c>
      <c r="B394" s="855" t="e">
        <f>building!#REF!</f>
        <v>#REF!</v>
      </c>
      <c r="C394" s="856" t="e">
        <f>building!#REF!</f>
        <v>#REF!</v>
      </c>
      <c r="D394" s="852" t="e">
        <f>building!#REF!</f>
        <v>#REF!</v>
      </c>
      <c r="E394" s="853" t="e">
        <f>building!#REF!</f>
        <v>#REF!</v>
      </c>
      <c r="F394" s="852" t="e">
        <f t="shared" si="6"/>
        <v>#REF!</v>
      </c>
    </row>
    <row r="395" spans="1:6" s="726" customFormat="1" ht="17.25" hidden="1">
      <c r="A395" s="849" t="e">
        <f>building!#REF!</f>
        <v>#REF!</v>
      </c>
      <c r="B395" s="855" t="e">
        <f>building!#REF!</f>
        <v>#REF!</v>
      </c>
      <c r="C395" s="856" t="e">
        <f>building!#REF!</f>
        <v>#REF!</v>
      </c>
      <c r="D395" s="852" t="e">
        <f>building!#REF!</f>
        <v>#REF!</v>
      </c>
      <c r="E395" s="853" t="e">
        <f>building!#REF!</f>
        <v>#REF!</v>
      </c>
      <c r="F395" s="852" t="e">
        <f t="shared" si="6"/>
        <v>#REF!</v>
      </c>
    </row>
    <row r="396" spans="1:6" s="726" customFormat="1" ht="17.25" hidden="1">
      <c r="A396" s="849" t="e">
        <f>building!#REF!</f>
        <v>#REF!</v>
      </c>
      <c r="B396" s="855" t="e">
        <f>building!#REF!</f>
        <v>#REF!</v>
      </c>
      <c r="C396" s="856" t="e">
        <f>building!#REF!</f>
        <v>#REF!</v>
      </c>
      <c r="D396" s="852" t="e">
        <f>building!#REF!</f>
        <v>#REF!</v>
      </c>
      <c r="E396" s="853" t="e">
        <f>building!#REF!</f>
        <v>#REF!</v>
      </c>
      <c r="F396" s="852" t="e">
        <f t="shared" si="6"/>
        <v>#REF!</v>
      </c>
    </row>
    <row r="397" spans="1:6" s="726" customFormat="1" ht="39.6" hidden="1" customHeight="1">
      <c r="A397" s="849" t="e">
        <f>building!#REF!</f>
        <v>#REF!</v>
      </c>
      <c r="B397" s="855" t="e">
        <f>building!#REF!</f>
        <v>#REF!</v>
      </c>
      <c r="C397" s="856" t="e">
        <f>building!#REF!</f>
        <v>#REF!</v>
      </c>
      <c r="D397" s="852" t="e">
        <f>building!#REF!</f>
        <v>#REF!</v>
      </c>
      <c r="E397" s="853" t="e">
        <f>building!#REF!</f>
        <v>#REF!</v>
      </c>
      <c r="F397" s="852" t="e">
        <f t="shared" si="6"/>
        <v>#REF!</v>
      </c>
    </row>
    <row r="398" spans="1:6" s="726" customFormat="1" ht="17.25" hidden="1">
      <c r="A398" s="849" t="e">
        <f>building!#REF!</f>
        <v>#REF!</v>
      </c>
      <c r="B398" s="855" t="e">
        <f>building!#REF!</f>
        <v>#REF!</v>
      </c>
      <c r="C398" s="856" t="e">
        <f>building!#REF!</f>
        <v>#REF!</v>
      </c>
      <c r="D398" s="852" t="e">
        <f>building!#REF!</f>
        <v>#REF!</v>
      </c>
      <c r="E398" s="853" t="e">
        <f>building!#REF!</f>
        <v>#REF!</v>
      </c>
      <c r="F398" s="852" t="e">
        <f t="shared" si="6"/>
        <v>#REF!</v>
      </c>
    </row>
    <row r="399" spans="1:6" s="726" customFormat="1" ht="36" hidden="1" customHeight="1">
      <c r="A399" s="849" t="e">
        <f>building!#REF!</f>
        <v>#REF!</v>
      </c>
      <c r="B399" s="855" t="e">
        <f>building!#REF!</f>
        <v>#REF!</v>
      </c>
      <c r="C399" s="856" t="e">
        <f>building!#REF!</f>
        <v>#REF!</v>
      </c>
      <c r="D399" s="852" t="e">
        <f>building!#REF!</f>
        <v>#REF!</v>
      </c>
      <c r="E399" s="853" t="e">
        <f>building!#REF!</f>
        <v>#REF!</v>
      </c>
      <c r="F399" s="852" t="e">
        <f t="shared" si="6"/>
        <v>#REF!</v>
      </c>
    </row>
    <row r="400" spans="1:6" ht="39.75" hidden="1" customHeight="1">
      <c r="A400" s="849" t="e">
        <f>building!#REF!</f>
        <v>#REF!</v>
      </c>
      <c r="B400" s="855" t="e">
        <f>building!#REF!</f>
        <v>#REF!</v>
      </c>
      <c r="C400" s="856" t="e">
        <f>building!#REF!</f>
        <v>#REF!</v>
      </c>
      <c r="D400" s="852" t="e">
        <f>building!#REF!</f>
        <v>#REF!</v>
      </c>
      <c r="E400" s="853" t="e">
        <f>building!#REF!</f>
        <v>#REF!</v>
      </c>
      <c r="F400" s="852" t="e">
        <f t="shared" si="6"/>
        <v>#REF!</v>
      </c>
    </row>
    <row r="401" spans="1:6" s="726" customFormat="1" ht="17.25" hidden="1">
      <c r="A401" s="849" t="e">
        <f>building!#REF!</f>
        <v>#REF!</v>
      </c>
      <c r="B401" s="855" t="e">
        <f>building!#REF!</f>
        <v>#REF!</v>
      </c>
      <c r="C401" s="856" t="e">
        <f>building!#REF!</f>
        <v>#REF!</v>
      </c>
      <c r="D401" s="852" t="e">
        <f>building!#REF!</f>
        <v>#REF!</v>
      </c>
      <c r="E401" s="853" t="e">
        <f>building!#REF!</f>
        <v>#REF!</v>
      </c>
      <c r="F401" s="852" t="e">
        <f t="shared" si="6"/>
        <v>#REF!</v>
      </c>
    </row>
    <row r="402" spans="1:6" s="726" customFormat="1" ht="36.6" hidden="1" customHeight="1">
      <c r="A402" s="849" t="e">
        <f>building!#REF!</f>
        <v>#REF!</v>
      </c>
      <c r="B402" s="855" t="e">
        <f>building!#REF!</f>
        <v>#REF!</v>
      </c>
      <c r="C402" s="856" t="e">
        <f>building!#REF!</f>
        <v>#REF!</v>
      </c>
      <c r="D402" s="852" t="e">
        <f>building!#REF!</f>
        <v>#REF!</v>
      </c>
      <c r="E402" s="853" t="e">
        <f>building!#REF!</f>
        <v>#REF!</v>
      </c>
      <c r="F402" s="852" t="e">
        <f t="shared" si="6"/>
        <v>#REF!</v>
      </c>
    </row>
    <row r="403" spans="1:6" s="726" customFormat="1" ht="39.75" customHeight="1">
      <c r="A403" s="849">
        <f>building!A103</f>
        <v>59.5</v>
      </c>
      <c r="B403" s="855">
        <f>building!Y103</f>
        <v>8</v>
      </c>
      <c r="C403" s="856" t="str">
        <f>building!B103</f>
        <v>Gully Trap using Kiln burnt country bricks 22 x 11 x 7 cm.</v>
      </c>
      <c r="D403" s="852">
        <f>building!C103</f>
        <v>1745.11</v>
      </c>
      <c r="E403" s="853" t="str">
        <f>building!D103</f>
        <v>Each</v>
      </c>
      <c r="F403" s="852">
        <f t="shared" si="6"/>
        <v>13960.88</v>
      </c>
    </row>
    <row r="404" spans="1:6" s="726" customFormat="1" ht="34.5" hidden="1" customHeight="1">
      <c r="A404" s="849" t="e">
        <f>building!#REF!</f>
        <v>#REF!</v>
      </c>
      <c r="B404" s="855" t="e">
        <f>building!#REF!</f>
        <v>#REF!</v>
      </c>
      <c r="C404" s="856" t="e">
        <f>building!#REF!</f>
        <v>#REF!</v>
      </c>
      <c r="D404" s="852" t="e">
        <f>building!#REF!</f>
        <v>#REF!</v>
      </c>
      <c r="E404" s="853" t="e">
        <f>building!#REF!</f>
        <v>#REF!</v>
      </c>
      <c r="F404" s="852" t="e">
        <f t="shared" si="6"/>
        <v>#REF!</v>
      </c>
    </row>
    <row r="405" spans="1:6" ht="36" customHeight="1">
      <c r="A405" s="849">
        <f>building!A104</f>
        <v>60</v>
      </c>
      <c r="B405" s="855">
        <f>building!Y104</f>
        <v>8</v>
      </c>
      <c r="C405" s="856" t="str">
        <f>building!B104</f>
        <v>PVC Nahani trap (4way/2way)</v>
      </c>
      <c r="D405" s="852">
        <f>building!C104</f>
        <v>152.6</v>
      </c>
      <c r="E405" s="853" t="str">
        <f>building!D104</f>
        <v>Each</v>
      </c>
      <c r="F405" s="852">
        <f t="shared" si="6"/>
        <v>1220.8</v>
      </c>
    </row>
    <row r="406" spans="1:6" s="726" customFormat="1" ht="36.6" hidden="1" customHeight="1">
      <c r="A406" s="849" t="e">
        <f>building!#REF!</f>
        <v>#REF!</v>
      </c>
      <c r="B406" s="855" t="e">
        <f>building!#REF!</f>
        <v>#REF!</v>
      </c>
      <c r="C406" s="856" t="e">
        <f>building!#REF!</f>
        <v>#REF!</v>
      </c>
      <c r="D406" s="852" t="e">
        <f>building!#REF!</f>
        <v>#REF!</v>
      </c>
      <c r="E406" s="853" t="e">
        <f>building!#REF!</f>
        <v>#REF!</v>
      </c>
      <c r="F406" s="852" t="e">
        <f t="shared" si="6"/>
        <v>#REF!</v>
      </c>
    </row>
    <row r="407" spans="1:6" ht="36.6" hidden="1" customHeight="1">
      <c r="A407" s="849" t="e">
        <f>building!#REF!</f>
        <v>#REF!</v>
      </c>
      <c r="B407" s="855" t="e">
        <f>building!#REF!</f>
        <v>#REF!</v>
      </c>
      <c r="C407" s="856" t="e">
        <f>building!#REF!</f>
        <v>#REF!</v>
      </c>
      <c r="D407" s="852" t="e">
        <f>building!#REF!</f>
        <v>#REF!</v>
      </c>
      <c r="E407" s="853" t="e">
        <f>building!#REF!</f>
        <v>#REF!</v>
      </c>
      <c r="F407" s="852" t="e">
        <f t="shared" si="6"/>
        <v>#REF!</v>
      </c>
    </row>
    <row r="408" spans="1:6" s="726" customFormat="1" ht="33.75" hidden="1" customHeight="1">
      <c r="A408" s="849" t="e">
        <f>building!#REF!</f>
        <v>#REF!</v>
      </c>
      <c r="B408" s="855" t="e">
        <f>building!#REF!</f>
        <v>#REF!</v>
      </c>
      <c r="C408" s="856" t="e">
        <f>building!#REF!</f>
        <v>#REF!</v>
      </c>
      <c r="D408" s="852" t="e">
        <f>building!#REF!</f>
        <v>#REF!</v>
      </c>
      <c r="E408" s="853" t="e">
        <f>building!#REF!</f>
        <v>#REF!</v>
      </c>
      <c r="F408" s="852" t="e">
        <f t="shared" si="6"/>
        <v>#REF!</v>
      </c>
    </row>
    <row r="409" spans="1:6" s="726" customFormat="1" ht="30.75" hidden="1" customHeight="1">
      <c r="A409" s="849" t="e">
        <f>building!#REF!</f>
        <v>#REF!</v>
      </c>
      <c r="B409" s="855" t="e">
        <f>building!#REF!</f>
        <v>#REF!</v>
      </c>
      <c r="C409" s="856" t="e">
        <f>building!#REF!</f>
        <v>#REF!</v>
      </c>
      <c r="D409" s="852" t="e">
        <f>building!#REF!</f>
        <v>#REF!</v>
      </c>
      <c r="E409" s="853" t="e">
        <f>building!#REF!</f>
        <v>#REF!</v>
      </c>
      <c r="F409" s="852" t="e">
        <f t="shared" si="6"/>
        <v>#REF!</v>
      </c>
    </row>
    <row r="410" spans="1:6" s="726" customFormat="1" ht="17.25" hidden="1">
      <c r="A410" s="849" t="e">
        <f>building!#REF!</f>
        <v>#REF!</v>
      </c>
      <c r="B410" s="855" t="e">
        <f>building!#REF!</f>
        <v>#REF!</v>
      </c>
      <c r="C410" s="856" t="e">
        <f>building!#REF!</f>
        <v>#REF!</v>
      </c>
      <c r="D410" s="852" t="e">
        <f>building!#REF!</f>
        <v>#REF!</v>
      </c>
      <c r="E410" s="853" t="e">
        <f>building!#REF!</f>
        <v>#REF!</v>
      </c>
      <c r="F410" s="852" t="e">
        <f t="shared" si="6"/>
        <v>#REF!</v>
      </c>
    </row>
    <row r="411" spans="1:6" s="726" customFormat="1" ht="17.25" hidden="1">
      <c r="A411" s="849" t="e">
        <f>building!#REF!</f>
        <v>#REF!</v>
      </c>
      <c r="B411" s="855" t="e">
        <f>building!#REF!</f>
        <v>#REF!</v>
      </c>
      <c r="C411" s="856" t="e">
        <f>building!#REF!</f>
        <v>#REF!</v>
      </c>
      <c r="D411" s="852" t="e">
        <f>building!#REF!</f>
        <v>#REF!</v>
      </c>
      <c r="E411" s="853" t="e">
        <f>building!#REF!</f>
        <v>#REF!</v>
      </c>
      <c r="F411" s="852" t="e">
        <f t="shared" si="6"/>
        <v>#REF!</v>
      </c>
    </row>
    <row r="412" spans="1:6" s="726" customFormat="1" ht="36.6" hidden="1" customHeight="1">
      <c r="A412" s="849" t="e">
        <f>building!#REF!</f>
        <v>#REF!</v>
      </c>
      <c r="B412" s="855" t="e">
        <f>building!#REF!</f>
        <v>#REF!</v>
      </c>
      <c r="C412" s="856" t="e">
        <f>building!#REF!</f>
        <v>#REF!</v>
      </c>
      <c r="D412" s="852" t="e">
        <f>building!#REF!</f>
        <v>#REF!</v>
      </c>
      <c r="E412" s="853" t="e">
        <f>building!#REF!</f>
        <v>#REF!</v>
      </c>
      <c r="F412" s="852" t="e">
        <f t="shared" si="6"/>
        <v>#REF!</v>
      </c>
    </row>
    <row r="413" spans="1:6" s="726" customFormat="1" ht="36.6" hidden="1" customHeight="1">
      <c r="A413" s="849" t="e">
        <f>building!#REF!</f>
        <v>#REF!</v>
      </c>
      <c r="B413" s="855" t="e">
        <f>building!#REF!</f>
        <v>#REF!</v>
      </c>
      <c r="C413" s="856" t="e">
        <f>building!#REF!</f>
        <v>#REF!</v>
      </c>
      <c r="D413" s="852" t="e">
        <f>building!#REF!</f>
        <v>#REF!</v>
      </c>
      <c r="E413" s="853" t="e">
        <f>building!#REF!</f>
        <v>#REF!</v>
      </c>
      <c r="F413" s="852" t="e">
        <f t="shared" si="6"/>
        <v>#REF!</v>
      </c>
    </row>
    <row r="414" spans="1:6" s="726" customFormat="1" ht="21.75" hidden="1" customHeight="1">
      <c r="A414" s="849" t="e">
        <f>building!#REF!</f>
        <v>#REF!</v>
      </c>
      <c r="B414" s="855" t="e">
        <f>building!#REF!</f>
        <v>#REF!</v>
      </c>
      <c r="C414" s="856" t="e">
        <f>building!#REF!</f>
        <v>#REF!</v>
      </c>
      <c r="D414" s="852" t="e">
        <f>building!#REF!</f>
        <v>#REF!</v>
      </c>
      <c r="E414" s="853" t="e">
        <f>building!#REF!</f>
        <v>#REF!</v>
      </c>
      <c r="F414" s="852" t="e">
        <f t="shared" si="6"/>
        <v>#REF!</v>
      </c>
    </row>
    <row r="415" spans="1:6" s="726" customFormat="1" ht="17.25" hidden="1">
      <c r="A415" s="849" t="e">
        <f>building!#REF!</f>
        <v>#REF!</v>
      </c>
      <c r="B415" s="855" t="e">
        <f>building!#REF!</f>
        <v>#REF!</v>
      </c>
      <c r="C415" s="856" t="e">
        <f>building!#REF!</f>
        <v>#REF!</v>
      </c>
      <c r="D415" s="852" t="e">
        <f>building!#REF!</f>
        <v>#REF!</v>
      </c>
      <c r="E415" s="853" t="e">
        <f>building!#REF!</f>
        <v>#REF!</v>
      </c>
      <c r="F415" s="852" t="e">
        <f t="shared" si="6"/>
        <v>#REF!</v>
      </c>
    </row>
    <row r="416" spans="1:6" s="726" customFormat="1" ht="36.6" hidden="1" customHeight="1">
      <c r="A416" s="849" t="e">
        <f>building!#REF!</f>
        <v>#REF!</v>
      </c>
      <c r="B416" s="855" t="e">
        <f>building!#REF!</f>
        <v>#REF!</v>
      </c>
      <c r="C416" s="856" t="e">
        <f>building!#REF!</f>
        <v>#REF!</v>
      </c>
      <c r="D416" s="852" t="e">
        <f>building!#REF!</f>
        <v>#REF!</v>
      </c>
      <c r="E416" s="853" t="e">
        <f>building!#REF!</f>
        <v>#REF!</v>
      </c>
      <c r="F416" s="852" t="e">
        <f t="shared" si="6"/>
        <v>#REF!</v>
      </c>
    </row>
    <row r="417" spans="1:6" s="726" customFormat="1" ht="17.25" hidden="1">
      <c r="A417" s="849" t="e">
        <f>building!#REF!</f>
        <v>#REF!</v>
      </c>
      <c r="B417" s="855" t="e">
        <f>building!#REF!</f>
        <v>#REF!</v>
      </c>
      <c r="C417" s="856" t="e">
        <f>building!#REF!</f>
        <v>#REF!</v>
      </c>
      <c r="D417" s="852" t="e">
        <f>building!#REF!</f>
        <v>#REF!</v>
      </c>
      <c r="E417" s="853" t="e">
        <f>building!#REF!</f>
        <v>#REF!</v>
      </c>
      <c r="F417" s="852" t="e">
        <f t="shared" si="6"/>
        <v>#REF!</v>
      </c>
    </row>
    <row r="418" spans="1:6" s="726" customFormat="1" ht="37.5" hidden="1" customHeight="1">
      <c r="A418" s="849" t="e">
        <f>building!#REF!</f>
        <v>#REF!</v>
      </c>
      <c r="B418" s="855" t="e">
        <f>building!#REF!</f>
        <v>#REF!</v>
      </c>
      <c r="C418" s="856" t="e">
        <f>building!#REF!</f>
        <v>#REF!</v>
      </c>
      <c r="D418" s="852" t="e">
        <f>building!#REF!</f>
        <v>#REF!</v>
      </c>
      <c r="E418" s="853" t="e">
        <f>building!#REF!</f>
        <v>#REF!</v>
      </c>
      <c r="F418" s="852" t="e">
        <f t="shared" si="6"/>
        <v>#REF!</v>
      </c>
    </row>
    <row r="419" spans="1:6" s="726" customFormat="1" ht="30" customHeight="1">
      <c r="A419" s="849">
        <f>building!A105</f>
        <v>0</v>
      </c>
      <c r="B419" s="850">
        <f>building!Y105</f>
        <v>0</v>
      </c>
      <c r="C419" s="851" t="str">
        <f>building!B105</f>
        <v>Electrical arrangements</v>
      </c>
      <c r="D419" s="852">
        <f>building!C105</f>
        <v>0</v>
      </c>
      <c r="E419" s="853">
        <f>building!D105</f>
        <v>0</v>
      </c>
      <c r="F419" s="852"/>
    </row>
    <row r="420" spans="1:6" s="726" customFormat="1" ht="21.75" hidden="1" customHeight="1">
      <c r="A420" s="849" t="e">
        <f>building!#REF!</f>
        <v>#REF!</v>
      </c>
      <c r="B420" s="855" t="e">
        <f>building!#REF!</f>
        <v>#REF!</v>
      </c>
      <c r="C420" s="856" t="e">
        <f>building!#REF!</f>
        <v>#REF!</v>
      </c>
      <c r="D420" s="852" t="e">
        <f>building!#REF!</f>
        <v>#REF!</v>
      </c>
      <c r="E420" s="853" t="e">
        <f>building!#REF!</f>
        <v>#REF!</v>
      </c>
      <c r="F420" s="852" t="e">
        <f t="shared" si="6"/>
        <v>#REF!</v>
      </c>
    </row>
    <row r="421" spans="1:6" s="726" customFormat="1" ht="17.25" hidden="1">
      <c r="A421" s="849" t="e">
        <f>building!#REF!</f>
        <v>#REF!</v>
      </c>
      <c r="B421" s="855" t="e">
        <f>building!#REF!</f>
        <v>#REF!</v>
      </c>
      <c r="C421" s="856" t="e">
        <f>building!#REF!</f>
        <v>#REF!</v>
      </c>
      <c r="D421" s="852" t="e">
        <f>building!#REF!</f>
        <v>#REF!</v>
      </c>
      <c r="E421" s="853" t="e">
        <f>building!#REF!</f>
        <v>#REF!</v>
      </c>
      <c r="F421" s="852" t="e">
        <f t="shared" si="6"/>
        <v>#REF!</v>
      </c>
    </row>
    <row r="422" spans="1:6" s="726" customFormat="1" ht="17.25" hidden="1">
      <c r="A422" s="849" t="e">
        <f>building!#REF!</f>
        <v>#REF!</v>
      </c>
      <c r="B422" s="855" t="e">
        <f>building!#REF!</f>
        <v>#REF!</v>
      </c>
      <c r="C422" s="856" t="e">
        <f>building!#REF!</f>
        <v>#REF!</v>
      </c>
      <c r="D422" s="852" t="e">
        <f>building!#REF!</f>
        <v>#REF!</v>
      </c>
      <c r="E422" s="853" t="e">
        <f>building!#REF!</f>
        <v>#REF!</v>
      </c>
      <c r="F422" s="852" t="e">
        <f t="shared" si="6"/>
        <v>#REF!</v>
      </c>
    </row>
    <row r="423" spans="1:6" s="726" customFormat="1" ht="17.25" hidden="1">
      <c r="A423" s="849" t="e">
        <f>building!#REF!</f>
        <v>#REF!</v>
      </c>
      <c r="B423" s="855" t="e">
        <f>building!#REF!</f>
        <v>#REF!</v>
      </c>
      <c r="C423" s="856" t="e">
        <f>building!#REF!</f>
        <v>#REF!</v>
      </c>
      <c r="D423" s="852" t="e">
        <f>building!#REF!</f>
        <v>#REF!</v>
      </c>
      <c r="E423" s="853" t="e">
        <f>building!#REF!</f>
        <v>#REF!</v>
      </c>
      <c r="F423" s="852" t="e">
        <f t="shared" si="6"/>
        <v>#REF!</v>
      </c>
    </row>
    <row r="424" spans="1:6" s="726" customFormat="1" ht="36.6" hidden="1" customHeight="1">
      <c r="A424" s="849" t="e">
        <f>building!#REF!</f>
        <v>#REF!</v>
      </c>
      <c r="B424" s="855" t="e">
        <f>building!#REF!</f>
        <v>#REF!</v>
      </c>
      <c r="C424" s="856" t="e">
        <f>building!#REF!</f>
        <v>#REF!</v>
      </c>
      <c r="D424" s="852" t="e">
        <f>building!#REF!</f>
        <v>#REF!</v>
      </c>
      <c r="E424" s="853" t="e">
        <f>building!#REF!</f>
        <v>#REF!</v>
      </c>
      <c r="F424" s="852" t="e">
        <f t="shared" si="6"/>
        <v>#REF!</v>
      </c>
    </row>
    <row r="425" spans="1:6" s="726" customFormat="1" ht="21.75" hidden="1" customHeight="1">
      <c r="A425" s="849" t="e">
        <f>building!#REF!</f>
        <v>#REF!</v>
      </c>
      <c r="B425" s="855" t="e">
        <f>building!#REF!</f>
        <v>#REF!</v>
      </c>
      <c r="C425" s="856" t="e">
        <f>building!#REF!</f>
        <v>#REF!</v>
      </c>
      <c r="D425" s="852" t="e">
        <f>building!#REF!</f>
        <v>#REF!</v>
      </c>
      <c r="E425" s="853" t="e">
        <f>building!#REF!</f>
        <v>#REF!</v>
      </c>
      <c r="F425" s="852" t="e">
        <f t="shared" si="6"/>
        <v>#REF!</v>
      </c>
    </row>
    <row r="426" spans="1:6" s="726" customFormat="1" ht="24.75" hidden="1" customHeight="1">
      <c r="A426" s="849" t="e">
        <f>building!#REF!</f>
        <v>#REF!</v>
      </c>
      <c r="B426" s="855" t="e">
        <f>building!#REF!</f>
        <v>#REF!</v>
      </c>
      <c r="C426" s="856" t="e">
        <f>building!#REF!</f>
        <v>#REF!</v>
      </c>
      <c r="D426" s="852" t="e">
        <f>building!#REF!</f>
        <v>#REF!</v>
      </c>
      <c r="E426" s="853" t="e">
        <f>building!#REF!</f>
        <v>#REF!</v>
      </c>
      <c r="F426" s="852" t="e">
        <f t="shared" si="6"/>
        <v>#REF!</v>
      </c>
    </row>
    <row r="427" spans="1:6" s="726" customFormat="1" ht="17.25" hidden="1">
      <c r="A427" s="849">
        <f>building!A106</f>
        <v>69</v>
      </c>
      <c r="B427" s="855">
        <f>building!Y106</f>
        <v>44</v>
      </c>
      <c r="C427" s="856" t="str">
        <f>building!B106</f>
        <v>15 Amp. Power plug</v>
      </c>
      <c r="D427" s="852">
        <f>building!C106</f>
        <v>138.69999999999999</v>
      </c>
      <c r="E427" s="853" t="str">
        <f>building!D106</f>
        <v>Each</v>
      </c>
      <c r="F427" s="852">
        <f t="shared" si="6"/>
        <v>6102.8</v>
      </c>
    </row>
    <row r="428" spans="1:6" s="726" customFormat="1" ht="17.25" hidden="1">
      <c r="A428" s="849" t="e">
        <f>building!#REF!</f>
        <v>#REF!</v>
      </c>
      <c r="B428" s="855" t="e">
        <f>building!#REF!</f>
        <v>#REF!</v>
      </c>
      <c r="C428" s="856" t="e">
        <f>building!#REF!</f>
        <v>#REF!</v>
      </c>
      <c r="D428" s="852" t="e">
        <f>building!#REF!</f>
        <v>#REF!</v>
      </c>
      <c r="E428" s="853" t="e">
        <f>building!#REF!</f>
        <v>#REF!</v>
      </c>
      <c r="F428" s="852" t="e">
        <f t="shared" si="6"/>
        <v>#REF!</v>
      </c>
    </row>
    <row r="429" spans="1:6" ht="15.75" hidden="1">
      <c r="A429" s="849" t="e">
        <f>building!#REF!</f>
        <v>#REF!</v>
      </c>
      <c r="B429" s="855" t="e">
        <f>building!#REF!</f>
        <v>#REF!</v>
      </c>
      <c r="C429" s="856" t="e">
        <f>building!#REF!</f>
        <v>#REF!</v>
      </c>
      <c r="D429" s="852" t="e">
        <f>building!#REF!</f>
        <v>#REF!</v>
      </c>
      <c r="E429" s="853" t="e">
        <f>building!#REF!</f>
        <v>#REF!</v>
      </c>
      <c r="F429" s="852" t="e">
        <f t="shared" si="6"/>
        <v>#REF!</v>
      </c>
    </row>
    <row r="430" spans="1:6" s="726" customFormat="1" ht="36.6" hidden="1" customHeight="1">
      <c r="A430" s="849" t="e">
        <f>building!#REF!</f>
        <v>#REF!</v>
      </c>
      <c r="B430" s="855" t="e">
        <f>building!#REF!</f>
        <v>#REF!</v>
      </c>
      <c r="C430" s="856" t="e">
        <f>building!#REF!</f>
        <v>#REF!</v>
      </c>
      <c r="D430" s="852" t="e">
        <f>building!#REF!</f>
        <v>#REF!</v>
      </c>
      <c r="E430" s="853" t="e">
        <f>building!#REF!</f>
        <v>#REF!</v>
      </c>
      <c r="F430" s="852" t="e">
        <f t="shared" si="6"/>
        <v>#REF!</v>
      </c>
    </row>
    <row r="431" spans="1:6" s="726" customFormat="1" ht="28.15" hidden="1" customHeight="1">
      <c r="A431" s="849" t="e">
        <f>building!#REF!</f>
        <v>#REF!</v>
      </c>
      <c r="B431" s="855" t="e">
        <f>building!#REF!</f>
        <v>#REF!</v>
      </c>
      <c r="C431" s="856" t="e">
        <f>building!#REF!</f>
        <v>#REF!</v>
      </c>
      <c r="D431" s="852" t="e">
        <f>building!#REF!</f>
        <v>#REF!</v>
      </c>
      <c r="E431" s="853" t="e">
        <f>building!#REF!</f>
        <v>#REF!</v>
      </c>
      <c r="F431" s="852" t="e">
        <f t="shared" si="6"/>
        <v>#REF!</v>
      </c>
    </row>
    <row r="432" spans="1:6" s="726" customFormat="1" ht="36.6" hidden="1" customHeight="1">
      <c r="A432" s="849" t="e">
        <f>building!#REF!</f>
        <v>#REF!</v>
      </c>
      <c r="B432" s="855" t="e">
        <f>building!#REF!</f>
        <v>#REF!</v>
      </c>
      <c r="C432" s="856" t="e">
        <f>building!#REF!</f>
        <v>#REF!</v>
      </c>
      <c r="D432" s="852" t="e">
        <f>building!#REF!</f>
        <v>#REF!</v>
      </c>
      <c r="E432" s="853" t="e">
        <f>building!#REF!</f>
        <v>#REF!</v>
      </c>
      <c r="F432" s="852" t="e">
        <f t="shared" si="6"/>
        <v>#REF!</v>
      </c>
    </row>
    <row r="433" spans="1:6" s="726" customFormat="1" ht="36.6" customHeight="1">
      <c r="A433" s="849">
        <f>building!A107</f>
        <v>72</v>
      </c>
      <c r="B433" s="855">
        <f>building!Y107</f>
        <v>88</v>
      </c>
      <c r="C433" s="856" t="str">
        <f>building!B107</f>
        <v>Box type Fibre Fan hook</v>
      </c>
      <c r="D433" s="852">
        <f>building!C107</f>
        <v>33.9</v>
      </c>
      <c r="E433" s="853" t="str">
        <f>building!D107</f>
        <v>Each</v>
      </c>
      <c r="F433" s="852">
        <f t="shared" si="6"/>
        <v>2983.2</v>
      </c>
    </row>
    <row r="434" spans="1:6" s="726" customFormat="1" ht="17.25" hidden="1">
      <c r="A434" s="849">
        <f>building!A108</f>
        <v>73.099999999999994</v>
      </c>
      <c r="B434" s="855">
        <f>building!Y108</f>
        <v>0</v>
      </c>
      <c r="C434" s="856" t="str">
        <f>building!B108</f>
        <v>6 way - D.B.</v>
      </c>
      <c r="D434" s="852">
        <f>building!C108</f>
        <v>4116.8500000000004</v>
      </c>
      <c r="E434" s="853" t="str">
        <f>building!D108</f>
        <v>Each</v>
      </c>
      <c r="F434" s="852">
        <f t="shared" si="6"/>
        <v>0</v>
      </c>
    </row>
    <row r="435" spans="1:6" ht="29.25" customHeight="1">
      <c r="A435" s="849">
        <f>building!A109</f>
        <v>73.2</v>
      </c>
      <c r="B435" s="855">
        <f>building!Y109</f>
        <v>0</v>
      </c>
      <c r="C435" s="856" t="str">
        <f>building!B109</f>
        <v>4 way - D.B.</v>
      </c>
      <c r="D435" s="852">
        <f>building!C109</f>
        <v>3342.85</v>
      </c>
      <c r="E435" s="853" t="str">
        <f>building!D109</f>
        <v>Each</v>
      </c>
      <c r="F435" s="852">
        <f t="shared" si="6"/>
        <v>0</v>
      </c>
    </row>
    <row r="436" spans="1:6" ht="24.75" customHeight="1">
      <c r="A436" s="849">
        <f>building!A110</f>
        <v>74</v>
      </c>
      <c r="B436" s="855">
        <f>building!Y110</f>
        <v>88</v>
      </c>
      <c r="C436" s="856" t="str">
        <f>building!B110</f>
        <v>Charges for fixing of "Fan"</v>
      </c>
      <c r="D436" s="852">
        <f>building!C110</f>
        <v>521.46</v>
      </c>
      <c r="E436" s="853" t="str">
        <f>building!D110</f>
        <v>Each</v>
      </c>
      <c r="F436" s="852">
        <f t="shared" si="6"/>
        <v>45888.480000000003</v>
      </c>
    </row>
    <row r="437" spans="1:6" s="726" customFormat="1" ht="33" hidden="1" customHeight="1">
      <c r="A437" s="849" t="e">
        <f>building!#REF!</f>
        <v>#REF!</v>
      </c>
      <c r="B437" s="855" t="e">
        <f>building!#REF!</f>
        <v>#REF!</v>
      </c>
      <c r="C437" s="856" t="e">
        <f>building!#REF!</f>
        <v>#REF!</v>
      </c>
      <c r="D437" s="852" t="e">
        <f>building!#REF!</f>
        <v>#REF!</v>
      </c>
      <c r="E437" s="853" t="e">
        <f>building!#REF!</f>
        <v>#REF!</v>
      </c>
      <c r="F437" s="852" t="e">
        <f t="shared" si="6"/>
        <v>#REF!</v>
      </c>
    </row>
    <row r="438" spans="1:6" ht="15.75" hidden="1">
      <c r="A438" s="849" t="e">
        <f>building!#REF!</f>
        <v>#REF!</v>
      </c>
      <c r="B438" s="855" t="e">
        <f>building!#REF!</f>
        <v>#REF!</v>
      </c>
      <c r="C438" s="856" t="e">
        <f>building!#REF!</f>
        <v>#REF!</v>
      </c>
      <c r="D438" s="852" t="e">
        <f>building!#REF!</f>
        <v>#REF!</v>
      </c>
      <c r="E438" s="853" t="e">
        <f>building!#REF!</f>
        <v>#REF!</v>
      </c>
      <c r="F438" s="852" t="e">
        <f t="shared" si="6"/>
        <v>#REF!</v>
      </c>
    </row>
    <row r="439" spans="1:6" s="726" customFormat="1" ht="32.25" hidden="1" customHeight="1">
      <c r="A439" s="849" t="e">
        <f>building!#REF!</f>
        <v>#REF!</v>
      </c>
      <c r="B439" s="855" t="e">
        <f>building!#REF!</f>
        <v>#REF!</v>
      </c>
      <c r="C439" s="856" t="e">
        <f>building!#REF!</f>
        <v>#REF!</v>
      </c>
      <c r="D439" s="852" t="e">
        <f>building!#REF!</f>
        <v>#REF!</v>
      </c>
      <c r="E439" s="853" t="e">
        <f>building!#REF!</f>
        <v>#REF!</v>
      </c>
      <c r="F439" s="852" t="e">
        <f t="shared" si="6"/>
        <v>#REF!</v>
      </c>
    </row>
    <row r="440" spans="1:6" s="726" customFormat="1" ht="33" customHeight="1">
      <c r="A440" s="849">
        <f>building!A111</f>
        <v>76</v>
      </c>
      <c r="B440" s="855">
        <f>building!Y111</f>
        <v>10</v>
      </c>
      <c r="C440" s="856" t="str">
        <f>building!B111</f>
        <v>8 SWG wire</v>
      </c>
      <c r="D440" s="852">
        <f>building!C111</f>
        <v>23.79</v>
      </c>
      <c r="E440" s="853" t="str">
        <f>building!D111</f>
        <v>Rmt</v>
      </c>
      <c r="F440" s="852">
        <f t="shared" si="6"/>
        <v>237.9</v>
      </c>
    </row>
    <row r="441" spans="1:6" s="726" customFormat="1" ht="33" hidden="1" customHeight="1">
      <c r="A441" s="849" t="e">
        <f>building!#REF!</f>
        <v>#REF!</v>
      </c>
      <c r="B441" s="855" t="e">
        <f>building!#REF!</f>
        <v>#REF!</v>
      </c>
      <c r="C441" s="856" t="e">
        <f>building!#REF!</f>
        <v>#REF!</v>
      </c>
      <c r="D441" s="852" t="e">
        <f>building!#REF!</f>
        <v>#REF!</v>
      </c>
      <c r="E441" s="853" t="e">
        <f>building!#REF!</f>
        <v>#REF!</v>
      </c>
      <c r="F441" s="852" t="e">
        <f t="shared" si="6"/>
        <v>#REF!</v>
      </c>
    </row>
    <row r="442" spans="1:6" ht="33.6" hidden="1" customHeight="1">
      <c r="A442" s="849" t="e">
        <f>building!#REF!</f>
        <v>#REF!</v>
      </c>
      <c r="B442" s="855" t="e">
        <f>building!#REF!</f>
        <v>#REF!</v>
      </c>
      <c r="C442" s="856" t="e">
        <f>building!#REF!</f>
        <v>#REF!</v>
      </c>
      <c r="D442" s="852" t="e">
        <f>building!#REF!</f>
        <v>#REF!</v>
      </c>
      <c r="E442" s="853" t="e">
        <f>building!#REF!</f>
        <v>#REF!</v>
      </c>
      <c r="F442" s="852" t="e">
        <f t="shared" si="6"/>
        <v>#REF!</v>
      </c>
    </row>
    <row r="443" spans="1:6" s="726" customFormat="1" ht="33" hidden="1" customHeight="1">
      <c r="A443" s="849" t="e">
        <f>building!#REF!</f>
        <v>#REF!</v>
      </c>
      <c r="B443" s="855" t="e">
        <f>building!#REF!</f>
        <v>#REF!</v>
      </c>
      <c r="C443" s="856" t="e">
        <f>building!#REF!</f>
        <v>#REF!</v>
      </c>
      <c r="D443" s="852" t="e">
        <f>building!#REF!</f>
        <v>#REF!</v>
      </c>
      <c r="E443" s="853" t="e">
        <f>building!#REF!</f>
        <v>#REF!</v>
      </c>
      <c r="F443" s="852" t="e">
        <f t="shared" si="6"/>
        <v>#REF!</v>
      </c>
    </row>
    <row r="444" spans="1:6" s="726" customFormat="1" ht="38.25" customHeight="1">
      <c r="A444" s="849">
        <f>building!A112</f>
        <v>77.3</v>
      </c>
      <c r="B444" s="855">
        <f>building!Y112</f>
        <v>8</v>
      </c>
      <c r="C444" s="856" t="str">
        <f>building!B112</f>
        <v>S&amp;F of TV/Telephone line Socket</v>
      </c>
      <c r="D444" s="852">
        <f>building!C112</f>
        <v>76.67</v>
      </c>
      <c r="E444" s="853" t="str">
        <f>building!D112</f>
        <v>Each</v>
      </c>
      <c r="F444" s="852">
        <f t="shared" si="6"/>
        <v>613.36</v>
      </c>
    </row>
    <row r="445" spans="1:6" ht="24.75" customHeight="1">
      <c r="A445" s="849">
        <f>building!A113</f>
        <v>77.400000000000006</v>
      </c>
      <c r="B445" s="855">
        <f>building!Y113</f>
        <v>100</v>
      </c>
      <c r="C445" s="856" t="str">
        <f>building!B113</f>
        <v>S&amp;F of 20mm dia PVC pipe for TV/Telephone line</v>
      </c>
      <c r="D445" s="852">
        <f>building!C113</f>
        <v>76.180000000000007</v>
      </c>
      <c r="E445" s="853" t="str">
        <f>building!D113</f>
        <v>Rmt</v>
      </c>
      <c r="F445" s="852">
        <f t="shared" si="6"/>
        <v>7618</v>
      </c>
    </row>
    <row r="446" spans="1:6" ht="30.75" customHeight="1">
      <c r="A446" s="849">
        <f>building!A114</f>
        <v>78</v>
      </c>
      <c r="B446" s="855">
        <f>building!Y114</f>
        <v>1</v>
      </c>
      <c r="C446" s="856" t="str">
        <f>building!B114</f>
        <v>Earthing Station IS3043 (Type I)</v>
      </c>
      <c r="D446" s="852">
        <f>building!C114</f>
        <v>2723</v>
      </c>
      <c r="E446" s="853" t="str">
        <f>building!D114</f>
        <v>Each</v>
      </c>
      <c r="F446" s="852">
        <f t="shared" si="6"/>
        <v>2723</v>
      </c>
    </row>
    <row r="447" spans="1:6" ht="43.5" hidden="1" customHeight="1">
      <c r="A447" s="849" t="e">
        <f>building!#REF!</f>
        <v>#REF!</v>
      </c>
      <c r="B447" s="855" t="e">
        <f>building!#REF!</f>
        <v>#REF!</v>
      </c>
      <c r="C447" s="856" t="e">
        <f>building!#REF!</f>
        <v>#REF!</v>
      </c>
      <c r="D447" s="852" t="e">
        <f>building!#REF!</f>
        <v>#REF!</v>
      </c>
      <c r="E447" s="853" t="e">
        <f>building!#REF!</f>
        <v>#REF!</v>
      </c>
      <c r="F447" s="852" t="e">
        <f t="shared" si="6"/>
        <v>#REF!</v>
      </c>
    </row>
    <row r="448" spans="1:6" ht="32.450000000000003" hidden="1" customHeight="1">
      <c r="A448" s="849" t="e">
        <f>building!#REF!</f>
        <v>#REF!</v>
      </c>
      <c r="B448" s="855" t="e">
        <f>building!#REF!</f>
        <v>#REF!</v>
      </c>
      <c r="C448" s="856" t="e">
        <f>building!#REF!</f>
        <v>#REF!</v>
      </c>
      <c r="D448" s="852" t="e">
        <f>building!#REF!</f>
        <v>#REF!</v>
      </c>
      <c r="E448" s="853" t="e">
        <f>building!#REF!</f>
        <v>#REF!</v>
      </c>
      <c r="F448" s="852" t="e">
        <f t="shared" si="6"/>
        <v>#REF!</v>
      </c>
    </row>
    <row r="449" spans="1:6" s="726" customFormat="1" ht="24" hidden="1" customHeight="1">
      <c r="A449" s="849" t="e">
        <f>building!#REF!</f>
        <v>#REF!</v>
      </c>
      <c r="B449" s="855" t="e">
        <f>building!#REF!</f>
        <v>#REF!</v>
      </c>
      <c r="C449" s="856" t="e">
        <f>building!#REF!</f>
        <v>#REF!</v>
      </c>
      <c r="D449" s="852" t="e">
        <f>building!#REF!</f>
        <v>#REF!</v>
      </c>
      <c r="E449" s="853" t="e">
        <f>building!#REF!</f>
        <v>#REF!</v>
      </c>
      <c r="F449" s="852" t="e">
        <f t="shared" si="6"/>
        <v>#REF!</v>
      </c>
    </row>
    <row r="450" spans="1:6" s="726" customFormat="1" ht="24" hidden="1" customHeight="1">
      <c r="A450" s="849" t="e">
        <f>building!#REF!</f>
        <v>#REF!</v>
      </c>
      <c r="B450" s="855" t="e">
        <f>building!#REF!</f>
        <v>#REF!</v>
      </c>
      <c r="C450" s="856" t="e">
        <f>building!#REF!</f>
        <v>#REF!</v>
      </c>
      <c r="D450" s="852" t="e">
        <f>building!#REF!</f>
        <v>#REF!</v>
      </c>
      <c r="E450" s="853" t="e">
        <f>building!#REF!</f>
        <v>#REF!</v>
      </c>
      <c r="F450" s="852" t="e">
        <f t="shared" si="6"/>
        <v>#REF!</v>
      </c>
    </row>
    <row r="451" spans="1:6" s="726" customFormat="1" ht="24" customHeight="1">
      <c r="A451" s="849">
        <f>building!A115</f>
        <v>81</v>
      </c>
      <c r="B451" s="855">
        <f>building!Y115</f>
        <v>0</v>
      </c>
      <c r="C451" s="856" t="str">
        <f>building!B115</f>
        <v>Meter cupboard</v>
      </c>
      <c r="D451" s="852">
        <f>building!C115</f>
        <v>2363.98</v>
      </c>
      <c r="E451" s="853" t="str">
        <f>building!D115</f>
        <v>Sqm</v>
      </c>
      <c r="F451" s="852">
        <f t="shared" si="6"/>
        <v>0</v>
      </c>
    </row>
    <row r="452" spans="1:6" s="726" customFormat="1" ht="24" hidden="1" customHeight="1">
      <c r="A452" s="849" t="e">
        <f>building!#REF!</f>
        <v>#REF!</v>
      </c>
      <c r="B452" s="855" t="e">
        <f>building!#REF!</f>
        <v>#REF!</v>
      </c>
      <c r="C452" s="856" t="e">
        <f>building!#REF!</f>
        <v>#REF!</v>
      </c>
      <c r="D452" s="852" t="e">
        <f>building!#REF!</f>
        <v>#REF!</v>
      </c>
      <c r="E452" s="853" t="e">
        <f>building!#REF!</f>
        <v>#REF!</v>
      </c>
      <c r="F452" s="852" t="e">
        <f t="shared" si="6"/>
        <v>#REF!</v>
      </c>
    </row>
    <row r="453" spans="1:6" ht="33" hidden="1" customHeight="1">
      <c r="A453" s="849" t="e">
        <f>building!#REF!</f>
        <v>#REF!</v>
      </c>
      <c r="B453" s="855" t="e">
        <f>building!#REF!</f>
        <v>#REF!</v>
      </c>
      <c r="C453" s="856" t="e">
        <f>building!#REF!</f>
        <v>#REF!</v>
      </c>
      <c r="D453" s="852" t="e">
        <f>building!#REF!</f>
        <v>#REF!</v>
      </c>
      <c r="E453" s="853" t="e">
        <f>building!#REF!</f>
        <v>#REF!</v>
      </c>
      <c r="F453" s="852" t="e">
        <f t="shared" si="6"/>
        <v>#REF!</v>
      </c>
    </row>
    <row r="454" spans="1:6" s="726" customFormat="1" ht="42" hidden="1" customHeight="1">
      <c r="A454" s="849" t="e">
        <f>building!#REF!</f>
        <v>#REF!</v>
      </c>
      <c r="B454" s="855" t="e">
        <f>building!#REF!</f>
        <v>#REF!</v>
      </c>
      <c r="C454" s="856" t="e">
        <f>building!#REF!</f>
        <v>#REF!</v>
      </c>
      <c r="D454" s="852" t="e">
        <f>building!#REF!</f>
        <v>#REF!</v>
      </c>
      <c r="E454" s="853" t="e">
        <f>building!#REF!</f>
        <v>#REF!</v>
      </c>
      <c r="F454" s="852" t="e">
        <f t="shared" si="6"/>
        <v>#REF!</v>
      </c>
    </row>
    <row r="455" spans="1:6" s="726" customFormat="1" ht="28.15" hidden="1" customHeight="1">
      <c r="A455" s="849" t="e">
        <f>building!#REF!</f>
        <v>#REF!</v>
      </c>
      <c r="B455" s="855" t="e">
        <f>building!#REF!</f>
        <v>#REF!</v>
      </c>
      <c r="C455" s="856" t="e">
        <f>building!#REF!</f>
        <v>#REF!</v>
      </c>
      <c r="D455" s="852" t="e">
        <f>building!#REF!</f>
        <v>#REF!</v>
      </c>
      <c r="E455" s="853" t="e">
        <f>building!#REF!</f>
        <v>#REF!</v>
      </c>
      <c r="F455" s="852" t="e">
        <f t="shared" si="6"/>
        <v>#REF!</v>
      </c>
    </row>
    <row r="456" spans="1:6" s="726" customFormat="1" ht="33" customHeight="1">
      <c r="A456" s="849">
        <f>building!A116</f>
        <v>86</v>
      </c>
      <c r="B456" s="855">
        <f>building!Y116</f>
        <v>433.9</v>
      </c>
      <c r="C456" s="856" t="str">
        <f>building!B116</f>
        <v>Anti termite treatment</v>
      </c>
      <c r="D456" s="852">
        <f>building!C116</f>
        <v>34</v>
      </c>
      <c r="E456" s="853" t="str">
        <f>building!D116</f>
        <v>Sqm.</v>
      </c>
      <c r="F456" s="852">
        <f t="shared" ref="F456:F519" si="7">D456*B456</f>
        <v>14752.6</v>
      </c>
    </row>
    <row r="457" spans="1:6" s="726" customFormat="1" ht="36.75" hidden="1" customHeight="1">
      <c r="A457" s="849">
        <f>building!A117</f>
        <v>87</v>
      </c>
      <c r="B457" s="855">
        <f>building!Y117</f>
        <v>0</v>
      </c>
      <c r="C457" s="856" t="str">
        <f>building!B117</f>
        <v>ELCB Single phase</v>
      </c>
      <c r="D457" s="852">
        <f>building!C117</f>
        <v>2850.6</v>
      </c>
      <c r="E457" s="853" t="str">
        <f>building!D117</f>
        <v>Each</v>
      </c>
      <c r="F457" s="852">
        <f t="shared" si="7"/>
        <v>0</v>
      </c>
    </row>
    <row r="458" spans="1:6" ht="39.75" customHeight="1">
      <c r="A458" s="849">
        <f>building!A118</f>
        <v>112</v>
      </c>
      <c r="B458" s="855">
        <f>building!Y118</f>
        <v>0</v>
      </c>
      <c r="C458" s="856" t="str">
        <f>building!B118</f>
        <v>S &amp; F of Exsaust Fan 300 mm dia</v>
      </c>
      <c r="D458" s="852">
        <f>building!C118</f>
        <v>2110.5</v>
      </c>
      <c r="E458" s="853" t="str">
        <f>building!D118</f>
        <v>Each</v>
      </c>
      <c r="F458" s="852">
        <f t="shared" si="7"/>
        <v>0</v>
      </c>
    </row>
    <row r="459" spans="1:6" s="726" customFormat="1" ht="27.75" customHeight="1">
      <c r="A459" s="849" t="e">
        <f>building!#REF!</f>
        <v>#REF!</v>
      </c>
      <c r="B459" s="855" t="e">
        <f>building!#REF!</f>
        <v>#REF!</v>
      </c>
      <c r="C459" s="856" t="e">
        <f>building!#REF!</f>
        <v>#REF!</v>
      </c>
      <c r="D459" s="852" t="e">
        <f>building!#REF!</f>
        <v>#REF!</v>
      </c>
      <c r="E459" s="853" t="e">
        <f>building!#REF!</f>
        <v>#REF!</v>
      </c>
      <c r="F459" s="852" t="e">
        <f t="shared" si="7"/>
        <v>#REF!</v>
      </c>
    </row>
    <row r="460" spans="1:6" s="726" customFormat="1" ht="34.5" customHeight="1">
      <c r="A460" s="849">
        <f>building!A119</f>
        <v>0</v>
      </c>
      <c r="B460" s="850">
        <f>building!Y119</f>
        <v>0</v>
      </c>
      <c r="C460" s="851" t="str">
        <f>building!B119</f>
        <v>ANNEXURE</v>
      </c>
      <c r="D460" s="852">
        <f>building!C119</f>
        <v>0</v>
      </c>
      <c r="E460" s="853">
        <f>building!D119</f>
        <v>0</v>
      </c>
      <c r="F460" s="852"/>
    </row>
    <row r="461" spans="1:6" s="726" customFormat="1" ht="27.75" hidden="1" customHeight="1">
      <c r="A461" s="849" t="str">
        <f>building!A120</f>
        <v>14.I</v>
      </c>
      <c r="B461" s="855">
        <f>building!Y120</f>
        <v>0</v>
      </c>
      <c r="C461" s="856" t="str">
        <f>building!B120</f>
        <v>Precast Cupboard slab 20 mm tk.using standardised concrete mix M20 (annexure)</v>
      </c>
      <c r="D461" s="852">
        <f>building!C120</f>
        <v>0</v>
      </c>
      <c r="E461" s="853">
        <f>building!D120</f>
        <v>0</v>
      </c>
      <c r="F461" s="852">
        <f t="shared" si="7"/>
        <v>0</v>
      </c>
    </row>
    <row r="462" spans="1:6" s="726" customFormat="1" ht="27.75" hidden="1" customHeight="1">
      <c r="A462" s="849">
        <f>building!A121</f>
        <v>0</v>
      </c>
      <c r="B462" s="855">
        <f>building!Y121</f>
        <v>2.8</v>
      </c>
      <c r="C462" s="856" t="str">
        <f>building!B121</f>
        <v>a. In Ground floor</v>
      </c>
      <c r="D462" s="852">
        <f>building!C121</f>
        <v>1281.3499999999999</v>
      </c>
      <c r="E462" s="853" t="str">
        <f>building!D121</f>
        <v>Sqm.</v>
      </c>
      <c r="F462" s="852">
        <f t="shared" si="7"/>
        <v>3587.78</v>
      </c>
    </row>
    <row r="463" spans="1:6" s="726" customFormat="1" ht="23.25" hidden="1" customHeight="1">
      <c r="A463" s="849">
        <f>building!A122</f>
        <v>0</v>
      </c>
      <c r="B463" s="855">
        <f>building!Y122</f>
        <v>38.700000000000003</v>
      </c>
      <c r="C463" s="856" t="str">
        <f>building!B122</f>
        <v>b. In First floor</v>
      </c>
      <c r="D463" s="852">
        <f>building!C122</f>
        <v>1285.46</v>
      </c>
      <c r="E463" s="853" t="str">
        <f>building!D122</f>
        <v>Sqm.</v>
      </c>
      <c r="F463" s="852">
        <f t="shared" si="7"/>
        <v>49747.3</v>
      </c>
    </row>
    <row r="464" spans="1:6" s="726" customFormat="1" ht="45.6" hidden="1" customHeight="1">
      <c r="A464" s="849">
        <f>building!A123</f>
        <v>0</v>
      </c>
      <c r="B464" s="855">
        <f>building!Y123</f>
        <v>47</v>
      </c>
      <c r="C464" s="856" t="str">
        <f>building!B123</f>
        <v>c. In Second floor</v>
      </c>
      <c r="D464" s="852">
        <f>building!C123</f>
        <v>1289.57</v>
      </c>
      <c r="E464" s="853" t="str">
        <f>building!D123</f>
        <v>Sqm.</v>
      </c>
      <c r="F464" s="852">
        <f t="shared" si="7"/>
        <v>60609.79</v>
      </c>
    </row>
    <row r="465" spans="1:6" s="726" customFormat="1" ht="27" hidden="1" customHeight="1">
      <c r="A465" s="849">
        <f>building!A124</f>
        <v>0</v>
      </c>
      <c r="B465" s="855">
        <f>building!Y124</f>
        <v>0</v>
      </c>
      <c r="C465" s="856" t="str">
        <f>building!B124</f>
        <v>d. In Third floor</v>
      </c>
      <c r="D465" s="852">
        <f>building!C124</f>
        <v>1293.68</v>
      </c>
      <c r="E465" s="853" t="str">
        <f>building!D124</f>
        <v>Sqm.</v>
      </c>
      <c r="F465" s="852">
        <f t="shared" si="7"/>
        <v>0</v>
      </c>
    </row>
    <row r="466" spans="1:6" s="726" customFormat="1" ht="27" hidden="1" customHeight="1">
      <c r="A466" s="849">
        <f>building!A125</f>
        <v>0</v>
      </c>
      <c r="B466" s="855">
        <f>building!Y125</f>
        <v>0</v>
      </c>
      <c r="C466" s="856" t="str">
        <f>building!B125</f>
        <v>e.  In Fourth floor</v>
      </c>
      <c r="D466" s="852">
        <f>building!C125</f>
        <v>1297.79</v>
      </c>
      <c r="E466" s="853" t="str">
        <f>building!D125</f>
        <v>Sqm.</v>
      </c>
      <c r="F466" s="852">
        <f t="shared" si="7"/>
        <v>0</v>
      </c>
    </row>
    <row r="467" spans="1:6" s="726" customFormat="1" ht="27" hidden="1" customHeight="1">
      <c r="A467" s="849" t="str">
        <f>building!A126</f>
        <v>14.II</v>
      </c>
      <c r="B467" s="855">
        <f>building!Y126</f>
        <v>0</v>
      </c>
      <c r="C467" s="856" t="str">
        <f>building!B126</f>
        <v>Precast cupboard slab 40 mm tkusing standardised concrete mix M20 (annexure)</v>
      </c>
      <c r="D467" s="852">
        <f>building!C126</f>
        <v>0</v>
      </c>
      <c r="E467" s="853">
        <f>building!D126</f>
        <v>0</v>
      </c>
      <c r="F467" s="852">
        <f t="shared" si="7"/>
        <v>0</v>
      </c>
    </row>
    <row r="468" spans="1:6" s="726" customFormat="1" ht="27" hidden="1" customHeight="1">
      <c r="A468" s="849">
        <f>building!A127</f>
        <v>0</v>
      </c>
      <c r="B468" s="855">
        <f>building!Y127</f>
        <v>18.100000000000001</v>
      </c>
      <c r="C468" s="856" t="str">
        <f>building!B127</f>
        <v>a. In Foundation &amp; basement</v>
      </c>
      <c r="D468" s="852">
        <f>building!C127</f>
        <v>1411.82</v>
      </c>
      <c r="E468" s="853" t="str">
        <f>building!D127</f>
        <v>Sqm.</v>
      </c>
      <c r="F468" s="852">
        <f t="shared" si="7"/>
        <v>25553.94</v>
      </c>
    </row>
    <row r="469" spans="1:6" ht="27.75" hidden="1" customHeight="1">
      <c r="A469" s="849">
        <f>building!A128</f>
        <v>0</v>
      </c>
      <c r="B469" s="855">
        <f>building!Y128</f>
        <v>0.7</v>
      </c>
      <c r="C469" s="856" t="str">
        <f>building!B128</f>
        <v>b. In Ground floor</v>
      </c>
      <c r="D469" s="852">
        <f>building!C128</f>
        <v>1415.99</v>
      </c>
      <c r="E469" s="853" t="str">
        <f>building!D128</f>
        <v>Sqm.</v>
      </c>
      <c r="F469" s="852">
        <f t="shared" si="7"/>
        <v>991.19</v>
      </c>
    </row>
    <row r="470" spans="1:6" ht="15.75" hidden="1">
      <c r="A470" s="849">
        <f>building!A129</f>
        <v>0</v>
      </c>
      <c r="B470" s="855">
        <f>building!Y129</f>
        <v>15.9</v>
      </c>
      <c r="C470" s="856" t="str">
        <f>building!B129</f>
        <v>c. In First floor</v>
      </c>
      <c r="D470" s="852">
        <f>building!C129</f>
        <v>1424.21</v>
      </c>
      <c r="E470" s="853" t="str">
        <f>building!D129</f>
        <v>Sqm.</v>
      </c>
      <c r="F470" s="852">
        <f t="shared" si="7"/>
        <v>22644.94</v>
      </c>
    </row>
    <row r="471" spans="1:6" s="726" customFormat="1" ht="42" hidden="1" customHeight="1">
      <c r="A471" s="849">
        <f>building!A130</f>
        <v>0</v>
      </c>
      <c r="B471" s="855">
        <f>building!Y130</f>
        <v>0</v>
      </c>
      <c r="C471" s="856" t="str">
        <f>building!B130</f>
        <v>d. In Second floor</v>
      </c>
      <c r="D471" s="852">
        <f>building!C130</f>
        <v>1432.43</v>
      </c>
      <c r="E471" s="853" t="str">
        <f>building!D130</f>
        <v>Sqm.</v>
      </c>
      <c r="F471" s="852">
        <f t="shared" si="7"/>
        <v>0</v>
      </c>
    </row>
    <row r="472" spans="1:6" s="726" customFormat="1" ht="17.25" hidden="1">
      <c r="A472" s="849">
        <f>building!A131</f>
        <v>0</v>
      </c>
      <c r="B472" s="855">
        <f>building!Y131</f>
        <v>0</v>
      </c>
      <c r="C472" s="856" t="str">
        <f>building!B131</f>
        <v>e. In Third floor</v>
      </c>
      <c r="D472" s="852">
        <f>building!C131</f>
        <v>1440.65</v>
      </c>
      <c r="E472" s="853" t="str">
        <f>building!D131</f>
        <v>Sqm.</v>
      </c>
      <c r="F472" s="852">
        <f t="shared" si="7"/>
        <v>0</v>
      </c>
    </row>
    <row r="473" spans="1:6" s="726" customFormat="1" ht="54" hidden="1" customHeight="1">
      <c r="A473" s="849">
        <f>building!A132</f>
        <v>0</v>
      </c>
      <c r="B473" s="855">
        <f>building!Y132</f>
        <v>0</v>
      </c>
      <c r="C473" s="856" t="str">
        <f>building!B132</f>
        <v>f.  In Fourth floor</v>
      </c>
      <c r="D473" s="852">
        <f>building!C132</f>
        <v>1448.87</v>
      </c>
      <c r="E473" s="853" t="str">
        <f>building!D132</f>
        <v>Sqm.</v>
      </c>
      <c r="F473" s="852">
        <f t="shared" si="7"/>
        <v>0</v>
      </c>
    </row>
    <row r="474" spans="1:6" s="726" customFormat="1" ht="33" hidden="1" customHeight="1">
      <c r="A474" s="849" t="e">
        <f>building!#REF!</f>
        <v>#REF!</v>
      </c>
      <c r="B474" s="855" t="e">
        <f>building!#REF!</f>
        <v>#REF!</v>
      </c>
      <c r="C474" s="856" t="e">
        <f>building!#REF!</f>
        <v>#REF!</v>
      </c>
      <c r="D474" s="852" t="e">
        <f>building!#REF!</f>
        <v>#REF!</v>
      </c>
      <c r="E474" s="853" t="e">
        <f>building!#REF!</f>
        <v>#REF!</v>
      </c>
      <c r="F474" s="852" t="e">
        <f t="shared" si="7"/>
        <v>#REF!</v>
      </c>
    </row>
    <row r="475" spans="1:6" s="726" customFormat="1" ht="33" hidden="1" customHeight="1">
      <c r="A475" s="849" t="e">
        <f>building!#REF!</f>
        <v>#REF!</v>
      </c>
      <c r="B475" s="855" t="e">
        <f>building!#REF!</f>
        <v>#REF!</v>
      </c>
      <c r="C475" s="856" t="e">
        <f>building!#REF!</f>
        <v>#REF!</v>
      </c>
      <c r="D475" s="852" t="e">
        <f>building!#REF!</f>
        <v>#REF!</v>
      </c>
      <c r="E475" s="853" t="e">
        <f>building!#REF!</f>
        <v>#REF!</v>
      </c>
      <c r="F475" s="852" t="e">
        <f t="shared" si="7"/>
        <v>#REF!</v>
      </c>
    </row>
    <row r="476" spans="1:6" ht="32.25" hidden="1" customHeight="1">
      <c r="A476" s="849" t="e">
        <f>building!#REF!</f>
        <v>#REF!</v>
      </c>
      <c r="B476" s="855" t="e">
        <f>building!#REF!</f>
        <v>#REF!</v>
      </c>
      <c r="C476" s="856" t="e">
        <f>building!#REF!</f>
        <v>#REF!</v>
      </c>
      <c r="D476" s="852" t="e">
        <f>building!#REF!</f>
        <v>#REF!</v>
      </c>
      <c r="E476" s="853" t="e">
        <f>building!#REF!</f>
        <v>#REF!</v>
      </c>
      <c r="F476" s="852" t="e">
        <f t="shared" si="7"/>
        <v>#REF!</v>
      </c>
    </row>
    <row r="477" spans="1:6" ht="32.25" hidden="1" customHeight="1">
      <c r="A477" s="849" t="e">
        <f>building!#REF!</f>
        <v>#REF!</v>
      </c>
      <c r="B477" s="855" t="e">
        <f>building!#REF!</f>
        <v>#REF!</v>
      </c>
      <c r="C477" s="856" t="e">
        <f>building!#REF!</f>
        <v>#REF!</v>
      </c>
      <c r="D477" s="852" t="e">
        <f>building!#REF!</f>
        <v>#REF!</v>
      </c>
      <c r="E477" s="853" t="e">
        <f>building!#REF!</f>
        <v>#REF!</v>
      </c>
      <c r="F477" s="852" t="e">
        <f t="shared" si="7"/>
        <v>#REF!</v>
      </c>
    </row>
    <row r="478" spans="1:6" ht="15.75" hidden="1">
      <c r="A478" s="849" t="e">
        <f>building!#REF!</f>
        <v>#REF!</v>
      </c>
      <c r="B478" s="855" t="e">
        <f>building!#REF!</f>
        <v>#REF!</v>
      </c>
      <c r="C478" s="856" t="e">
        <f>building!#REF!</f>
        <v>#REF!</v>
      </c>
      <c r="D478" s="852" t="e">
        <f>building!#REF!</f>
        <v>#REF!</v>
      </c>
      <c r="E478" s="853" t="e">
        <f>building!#REF!</f>
        <v>#REF!</v>
      </c>
      <c r="F478" s="852" t="e">
        <f t="shared" si="7"/>
        <v>#REF!</v>
      </c>
    </row>
    <row r="479" spans="1:6" ht="51.75" hidden="1" customHeight="1">
      <c r="A479" s="849" t="e">
        <f>building!#REF!</f>
        <v>#REF!</v>
      </c>
      <c r="B479" s="855" t="e">
        <f>building!#REF!</f>
        <v>#REF!</v>
      </c>
      <c r="C479" s="856" t="e">
        <f>building!#REF!</f>
        <v>#REF!</v>
      </c>
      <c r="D479" s="852" t="e">
        <f>building!#REF!</f>
        <v>#REF!</v>
      </c>
      <c r="E479" s="853" t="e">
        <f>building!#REF!</f>
        <v>#REF!</v>
      </c>
      <c r="F479" s="852" t="e">
        <f t="shared" si="7"/>
        <v>#REF!</v>
      </c>
    </row>
    <row r="480" spans="1:6" ht="44.25" customHeight="1">
      <c r="A480" s="849" t="e">
        <f>building!#REF!</f>
        <v>#REF!</v>
      </c>
      <c r="B480" s="850" t="e">
        <f>building!#REF!</f>
        <v>#REF!</v>
      </c>
      <c r="C480" s="851" t="e">
        <f>building!#REF!</f>
        <v>#REF!</v>
      </c>
      <c r="D480" s="852" t="e">
        <f>building!#REF!</f>
        <v>#REF!</v>
      </c>
      <c r="E480" s="853" t="e">
        <f>building!#REF!</f>
        <v>#REF!</v>
      </c>
      <c r="F480" s="852"/>
    </row>
    <row r="481" spans="1:6" ht="33" customHeight="1">
      <c r="A481" s="849" t="e">
        <f>building!#REF!</f>
        <v>#REF!</v>
      </c>
      <c r="B481" s="855" t="e">
        <f>building!#REF!</f>
        <v>#REF!</v>
      </c>
      <c r="C481" s="856" t="e">
        <f>building!#REF!</f>
        <v>#REF!</v>
      </c>
      <c r="D481" s="852" t="e">
        <f>building!#REF!</f>
        <v>#REF!</v>
      </c>
      <c r="E481" s="853" t="e">
        <f>building!#REF!</f>
        <v>#REF!</v>
      </c>
      <c r="F481" s="852" t="e">
        <f t="shared" si="7"/>
        <v>#REF!</v>
      </c>
    </row>
    <row r="482" spans="1:6" s="726" customFormat="1" ht="33" hidden="1" customHeight="1">
      <c r="A482" s="849" t="e">
        <f>building!#REF!</f>
        <v>#REF!</v>
      </c>
      <c r="B482" s="855" t="e">
        <f>building!#REF!</f>
        <v>#REF!</v>
      </c>
      <c r="C482" s="856" t="e">
        <f>building!#REF!</f>
        <v>#REF!</v>
      </c>
      <c r="D482" s="852" t="e">
        <f>building!#REF!</f>
        <v>#REF!</v>
      </c>
      <c r="E482" s="853" t="e">
        <f>building!#REF!</f>
        <v>#REF!</v>
      </c>
      <c r="F482" s="852" t="e">
        <f t="shared" si="7"/>
        <v>#REF!</v>
      </c>
    </row>
    <row r="483" spans="1:6" ht="29.25" hidden="1" customHeight="1">
      <c r="A483" s="849" t="e">
        <f>building!#REF!</f>
        <v>#REF!</v>
      </c>
      <c r="B483" s="855" t="e">
        <f>building!#REF!</f>
        <v>#REF!</v>
      </c>
      <c r="C483" s="856" t="e">
        <f>building!#REF!</f>
        <v>#REF!</v>
      </c>
      <c r="D483" s="852" t="e">
        <f>building!#REF!</f>
        <v>#REF!</v>
      </c>
      <c r="E483" s="853" t="e">
        <f>building!#REF!</f>
        <v>#REF!</v>
      </c>
      <c r="F483" s="852" t="e">
        <f t="shared" si="7"/>
        <v>#REF!</v>
      </c>
    </row>
    <row r="484" spans="1:6" ht="29.25" hidden="1" customHeight="1">
      <c r="A484" s="849" t="e">
        <f>building!#REF!</f>
        <v>#REF!</v>
      </c>
      <c r="B484" s="855" t="e">
        <f>building!#REF!</f>
        <v>#REF!</v>
      </c>
      <c r="C484" s="856" t="e">
        <f>building!#REF!</f>
        <v>#REF!</v>
      </c>
      <c r="D484" s="852" t="e">
        <f>building!#REF!</f>
        <v>#REF!</v>
      </c>
      <c r="E484" s="853" t="e">
        <f>building!#REF!</f>
        <v>#REF!</v>
      </c>
      <c r="F484" s="852" t="e">
        <f t="shared" si="7"/>
        <v>#REF!</v>
      </c>
    </row>
    <row r="485" spans="1:6" ht="15.75" hidden="1">
      <c r="A485" s="849" t="e">
        <f>building!#REF!</f>
        <v>#REF!</v>
      </c>
      <c r="B485" s="855" t="e">
        <f>building!#REF!</f>
        <v>#REF!</v>
      </c>
      <c r="C485" s="856" t="e">
        <f>building!#REF!</f>
        <v>#REF!</v>
      </c>
      <c r="D485" s="852" t="e">
        <f>building!#REF!</f>
        <v>#REF!</v>
      </c>
      <c r="E485" s="853" t="e">
        <f>building!#REF!</f>
        <v>#REF!</v>
      </c>
      <c r="F485" s="852" t="e">
        <f t="shared" si="7"/>
        <v>#REF!</v>
      </c>
    </row>
    <row r="486" spans="1:6" ht="15.75" hidden="1">
      <c r="A486" s="849" t="e">
        <f>building!#REF!</f>
        <v>#REF!</v>
      </c>
      <c r="B486" s="855" t="e">
        <f>building!#REF!</f>
        <v>#REF!</v>
      </c>
      <c r="C486" s="856" t="e">
        <f>building!#REF!</f>
        <v>#REF!</v>
      </c>
      <c r="D486" s="852" t="e">
        <f>building!#REF!</f>
        <v>#REF!</v>
      </c>
      <c r="E486" s="853" t="e">
        <f>building!#REF!</f>
        <v>#REF!</v>
      </c>
      <c r="F486" s="852" t="e">
        <f t="shared" si="7"/>
        <v>#REF!</v>
      </c>
    </row>
    <row r="487" spans="1:6" ht="62.25" customHeight="1">
      <c r="A487" s="849" t="e">
        <f>building!#REF!</f>
        <v>#REF!</v>
      </c>
      <c r="B487" s="850" t="e">
        <f>building!#REF!</f>
        <v>#REF!</v>
      </c>
      <c r="C487" s="851" t="e">
        <f>building!#REF!</f>
        <v>#REF!</v>
      </c>
      <c r="D487" s="852" t="e">
        <f>building!#REF!</f>
        <v>#REF!</v>
      </c>
      <c r="E487" s="853" t="e">
        <f>building!#REF!</f>
        <v>#REF!</v>
      </c>
      <c r="F487" s="852"/>
    </row>
    <row r="488" spans="1:6" ht="30" customHeight="1">
      <c r="A488" s="849" t="e">
        <f>building!#REF!</f>
        <v>#REF!</v>
      </c>
      <c r="B488" s="855" t="e">
        <f>building!#REF!</f>
        <v>#REF!</v>
      </c>
      <c r="C488" s="856" t="e">
        <f>building!#REF!</f>
        <v>#REF!</v>
      </c>
      <c r="D488" s="852" t="e">
        <f>building!#REF!</f>
        <v>#REF!</v>
      </c>
      <c r="E488" s="853" t="e">
        <f>building!#REF!</f>
        <v>#REF!</v>
      </c>
      <c r="F488" s="852" t="e">
        <f t="shared" si="7"/>
        <v>#REF!</v>
      </c>
    </row>
    <row r="489" spans="1:6" ht="30.75" customHeight="1">
      <c r="A489" s="849" t="e">
        <f>building!#REF!</f>
        <v>#REF!</v>
      </c>
      <c r="B489" s="855" t="e">
        <f>building!#REF!</f>
        <v>#REF!</v>
      </c>
      <c r="C489" s="856" t="e">
        <f>building!#REF!</f>
        <v>#REF!</v>
      </c>
      <c r="D489" s="852" t="e">
        <f>building!#REF!</f>
        <v>#REF!</v>
      </c>
      <c r="E489" s="853" t="e">
        <f>building!#REF!</f>
        <v>#REF!</v>
      </c>
      <c r="F489" s="852" t="e">
        <f t="shared" si="7"/>
        <v>#REF!</v>
      </c>
    </row>
    <row r="490" spans="1:6" s="726" customFormat="1" ht="27" customHeight="1">
      <c r="A490" s="849" t="e">
        <f>building!#REF!</f>
        <v>#REF!</v>
      </c>
      <c r="B490" s="855" t="e">
        <f>building!#REF!</f>
        <v>#REF!</v>
      </c>
      <c r="C490" s="856" t="e">
        <f>building!#REF!</f>
        <v>#REF!</v>
      </c>
      <c r="D490" s="852" t="e">
        <f>building!#REF!</f>
        <v>#REF!</v>
      </c>
      <c r="E490" s="853" t="e">
        <f>building!#REF!</f>
        <v>#REF!</v>
      </c>
      <c r="F490" s="852" t="e">
        <f t="shared" si="7"/>
        <v>#REF!</v>
      </c>
    </row>
    <row r="491" spans="1:6" s="726" customFormat="1" ht="25.5" customHeight="1">
      <c r="A491" s="849" t="e">
        <f>building!#REF!</f>
        <v>#REF!</v>
      </c>
      <c r="B491" s="855" t="e">
        <f>building!#REF!</f>
        <v>#REF!</v>
      </c>
      <c r="C491" s="856" t="e">
        <f>building!#REF!</f>
        <v>#REF!</v>
      </c>
      <c r="D491" s="852" t="e">
        <f>building!#REF!</f>
        <v>#REF!</v>
      </c>
      <c r="E491" s="853" t="e">
        <f>building!#REF!</f>
        <v>#REF!</v>
      </c>
      <c r="F491" s="852" t="e">
        <f t="shared" si="7"/>
        <v>#REF!</v>
      </c>
    </row>
    <row r="492" spans="1:6" s="726" customFormat="1" ht="25.5" hidden="1" customHeight="1">
      <c r="A492" s="849" t="e">
        <f>building!#REF!</f>
        <v>#REF!</v>
      </c>
      <c r="B492" s="855" t="e">
        <f>building!#REF!</f>
        <v>#REF!</v>
      </c>
      <c r="C492" s="856" t="e">
        <f>building!#REF!</f>
        <v>#REF!</v>
      </c>
      <c r="D492" s="852" t="e">
        <f>building!#REF!</f>
        <v>#REF!</v>
      </c>
      <c r="E492" s="853" t="e">
        <f>building!#REF!</f>
        <v>#REF!</v>
      </c>
      <c r="F492" s="852" t="e">
        <f t="shared" si="7"/>
        <v>#REF!</v>
      </c>
    </row>
    <row r="493" spans="1:6" s="726" customFormat="1" ht="25.5" hidden="1" customHeight="1">
      <c r="A493" s="849" t="e">
        <f>building!#REF!</f>
        <v>#REF!</v>
      </c>
      <c r="B493" s="855" t="e">
        <f>building!#REF!</f>
        <v>#REF!</v>
      </c>
      <c r="C493" s="856" t="e">
        <f>building!#REF!</f>
        <v>#REF!</v>
      </c>
      <c r="D493" s="852" t="e">
        <f>building!#REF!</f>
        <v>#REF!</v>
      </c>
      <c r="E493" s="853" t="e">
        <f>building!#REF!</f>
        <v>#REF!</v>
      </c>
      <c r="F493" s="852" t="e">
        <f t="shared" si="7"/>
        <v>#REF!</v>
      </c>
    </row>
    <row r="494" spans="1:6" s="726" customFormat="1" ht="25.5" hidden="1" customHeight="1">
      <c r="A494" s="849" t="e">
        <f>building!#REF!</f>
        <v>#REF!</v>
      </c>
      <c r="B494" s="855" t="e">
        <f>building!#REF!</f>
        <v>#REF!</v>
      </c>
      <c r="C494" s="856" t="e">
        <f>building!#REF!</f>
        <v>#REF!</v>
      </c>
      <c r="D494" s="852" t="e">
        <f>building!#REF!</f>
        <v>#REF!</v>
      </c>
      <c r="E494" s="853" t="e">
        <f>building!#REF!</f>
        <v>#REF!</v>
      </c>
      <c r="F494" s="852" t="e">
        <f t="shared" si="7"/>
        <v>#REF!</v>
      </c>
    </row>
    <row r="495" spans="1:6" s="726" customFormat="1" ht="25.5" hidden="1" customHeight="1">
      <c r="A495" s="849" t="e">
        <f>building!#REF!</f>
        <v>#REF!</v>
      </c>
      <c r="B495" s="855" t="e">
        <f>building!#REF!</f>
        <v>#REF!</v>
      </c>
      <c r="C495" s="856" t="e">
        <f>building!#REF!</f>
        <v>#REF!</v>
      </c>
      <c r="D495" s="852" t="e">
        <f>building!#REF!</f>
        <v>#REF!</v>
      </c>
      <c r="E495" s="853" t="e">
        <f>building!#REF!</f>
        <v>#REF!</v>
      </c>
      <c r="F495" s="852" t="e">
        <f t="shared" si="7"/>
        <v>#REF!</v>
      </c>
    </row>
    <row r="496" spans="1:6" s="726" customFormat="1" ht="17.25" hidden="1">
      <c r="A496" s="849" t="e">
        <f>building!#REF!</f>
        <v>#REF!</v>
      </c>
      <c r="B496" s="855" t="e">
        <f>building!#REF!</f>
        <v>#REF!</v>
      </c>
      <c r="C496" s="856" t="e">
        <f>building!#REF!</f>
        <v>#REF!</v>
      </c>
      <c r="D496" s="852" t="e">
        <f>building!#REF!</f>
        <v>#REF!</v>
      </c>
      <c r="E496" s="853" t="e">
        <f>building!#REF!</f>
        <v>#REF!</v>
      </c>
      <c r="F496" s="852" t="e">
        <f t="shared" si="7"/>
        <v>#REF!</v>
      </c>
    </row>
    <row r="497" spans="1:6" s="726" customFormat="1" ht="33.6" hidden="1" customHeight="1">
      <c r="A497" s="849" t="e">
        <f>building!#REF!</f>
        <v>#REF!</v>
      </c>
      <c r="B497" s="855" t="e">
        <f>building!#REF!</f>
        <v>#REF!</v>
      </c>
      <c r="C497" s="856" t="e">
        <f>building!#REF!</f>
        <v>#REF!</v>
      </c>
      <c r="D497" s="852" t="e">
        <f>building!#REF!</f>
        <v>#REF!</v>
      </c>
      <c r="E497" s="853" t="e">
        <f>building!#REF!</f>
        <v>#REF!</v>
      </c>
      <c r="F497" s="852" t="e">
        <f t="shared" si="7"/>
        <v>#REF!</v>
      </c>
    </row>
    <row r="498" spans="1:6" s="726" customFormat="1" ht="28.15" hidden="1" customHeight="1">
      <c r="A498" s="849" t="e">
        <f>building!#REF!</f>
        <v>#REF!</v>
      </c>
      <c r="B498" s="855" t="e">
        <f>building!#REF!</f>
        <v>#REF!</v>
      </c>
      <c r="C498" s="856" t="e">
        <f>building!#REF!</f>
        <v>#REF!</v>
      </c>
      <c r="D498" s="852" t="e">
        <f>building!#REF!</f>
        <v>#REF!</v>
      </c>
      <c r="E498" s="853" t="e">
        <f>building!#REF!</f>
        <v>#REF!</v>
      </c>
      <c r="F498" s="852" t="e">
        <f t="shared" si="7"/>
        <v>#REF!</v>
      </c>
    </row>
    <row r="499" spans="1:6" s="726" customFormat="1" ht="28.15" hidden="1" customHeight="1">
      <c r="A499" s="849" t="e">
        <f>building!#REF!</f>
        <v>#REF!</v>
      </c>
      <c r="B499" s="855" t="e">
        <f>building!#REF!</f>
        <v>#REF!</v>
      </c>
      <c r="C499" s="856" t="e">
        <f>building!#REF!</f>
        <v>#REF!</v>
      </c>
      <c r="D499" s="852" t="e">
        <f>building!#REF!</f>
        <v>#REF!</v>
      </c>
      <c r="E499" s="853" t="e">
        <f>building!#REF!</f>
        <v>#REF!</v>
      </c>
      <c r="F499" s="852" t="e">
        <f t="shared" si="7"/>
        <v>#REF!</v>
      </c>
    </row>
    <row r="500" spans="1:6" s="726" customFormat="1" ht="28.15" hidden="1" customHeight="1">
      <c r="A500" s="849">
        <f>building!A133</f>
        <v>4.0999999999999996</v>
      </c>
      <c r="B500" s="855">
        <f>building!Y133</f>
        <v>0</v>
      </c>
      <c r="C500" s="856" t="str">
        <f>building!B133</f>
        <v>Standardised concrete Mix M20 Grade Concrete</v>
      </c>
      <c r="D500" s="852">
        <f>building!C133</f>
        <v>0</v>
      </c>
      <c r="E500" s="853">
        <f>building!D133</f>
        <v>0</v>
      </c>
      <c r="F500" s="852">
        <f t="shared" si="7"/>
        <v>0</v>
      </c>
    </row>
    <row r="501" spans="1:6" s="726" customFormat="1" ht="28.15" hidden="1" customHeight="1">
      <c r="A501" s="849">
        <f>building!A134</f>
        <v>0</v>
      </c>
      <c r="B501" s="855">
        <f>building!Y134</f>
        <v>170.3</v>
      </c>
      <c r="C501" s="856" t="str">
        <f>building!B134</f>
        <v>a. In Foundation and basement</v>
      </c>
      <c r="D501" s="852">
        <f>building!C134</f>
        <v>7128.87</v>
      </c>
      <c r="E501" s="853" t="str">
        <f>building!D134</f>
        <v>Cum</v>
      </c>
      <c r="F501" s="852">
        <f t="shared" si="7"/>
        <v>1214046.56</v>
      </c>
    </row>
    <row r="502" spans="1:6" s="726" customFormat="1" ht="27" hidden="1" customHeight="1">
      <c r="A502" s="849">
        <f>building!A135</f>
        <v>8.1</v>
      </c>
      <c r="B502" s="855">
        <f>building!Y135</f>
        <v>94.1</v>
      </c>
      <c r="C502" s="856" t="str">
        <f>building!B135</f>
        <v>b. Ground Floor</v>
      </c>
      <c r="D502" s="852">
        <f>building!C135</f>
        <v>7232.17</v>
      </c>
      <c r="E502" s="853" t="str">
        <f>building!D135</f>
        <v>Cum</v>
      </c>
      <c r="F502" s="852">
        <f t="shared" si="7"/>
        <v>680547.2</v>
      </c>
    </row>
    <row r="503" spans="1:6" s="726" customFormat="1" ht="27" hidden="1" customHeight="1">
      <c r="A503" s="849">
        <f>building!A136</f>
        <v>0</v>
      </c>
      <c r="B503" s="855">
        <f>building!Y136</f>
        <v>109.4</v>
      </c>
      <c r="C503" s="856" t="str">
        <f>building!B136</f>
        <v>c. In First Floor</v>
      </c>
      <c r="D503" s="852">
        <f>building!C136</f>
        <v>7435.67</v>
      </c>
      <c r="E503" s="853" t="str">
        <f>building!D136</f>
        <v>Cum</v>
      </c>
      <c r="F503" s="852">
        <f t="shared" si="7"/>
        <v>813462.3</v>
      </c>
    </row>
    <row r="504" spans="1:6" s="726" customFormat="1" ht="43.5" hidden="1" customHeight="1">
      <c r="A504" s="849">
        <f>building!A137</f>
        <v>0</v>
      </c>
      <c r="B504" s="855">
        <f>building!Y137</f>
        <v>109.4</v>
      </c>
      <c r="C504" s="856" t="str">
        <f>building!B137</f>
        <v>d. In Second Floor</v>
      </c>
      <c r="D504" s="852">
        <f>building!C137</f>
        <v>7639.17</v>
      </c>
      <c r="E504" s="853" t="str">
        <f>building!D137</f>
        <v>Cum</v>
      </c>
      <c r="F504" s="852">
        <f t="shared" si="7"/>
        <v>835725.2</v>
      </c>
    </row>
    <row r="505" spans="1:6" s="726" customFormat="1" ht="31.5" hidden="1" customHeight="1">
      <c r="A505" s="849">
        <f>building!A138</f>
        <v>0</v>
      </c>
      <c r="B505" s="855">
        <f>building!Y138</f>
        <v>12.2</v>
      </c>
      <c r="C505" s="856" t="str">
        <f>building!B138</f>
        <v>e. In Third floor</v>
      </c>
      <c r="D505" s="852">
        <f>building!C138</f>
        <v>7842.67</v>
      </c>
      <c r="E505" s="853" t="str">
        <f>building!D138</f>
        <v>Cum</v>
      </c>
      <c r="F505" s="852">
        <f t="shared" si="7"/>
        <v>95680.57</v>
      </c>
    </row>
    <row r="506" spans="1:6" s="726" customFormat="1" ht="30" hidden="1" customHeight="1">
      <c r="A506" s="849">
        <f>building!A139</f>
        <v>0</v>
      </c>
      <c r="B506" s="855">
        <f>building!Y139</f>
        <v>0</v>
      </c>
      <c r="C506" s="856" t="str">
        <f>building!B139</f>
        <v>f.In fourth floor</v>
      </c>
      <c r="D506" s="852">
        <f>building!C139</f>
        <v>8046.17</v>
      </c>
      <c r="E506" s="853" t="str">
        <f>building!D139</f>
        <v>Cum</v>
      </c>
      <c r="F506" s="852">
        <f t="shared" si="7"/>
        <v>0</v>
      </c>
    </row>
    <row r="507" spans="1:6" s="726" customFormat="1" ht="40.5" customHeight="1">
      <c r="A507" s="849" t="e">
        <f>building!#REF!</f>
        <v>#REF!</v>
      </c>
      <c r="B507" s="850" t="e">
        <f>building!#REF!</f>
        <v>#REF!</v>
      </c>
      <c r="C507" s="851" t="e">
        <f>building!#REF!</f>
        <v>#REF!</v>
      </c>
      <c r="D507" s="852" t="e">
        <f>building!#REF!</f>
        <v>#REF!</v>
      </c>
      <c r="E507" s="853" t="e">
        <f>building!#REF!</f>
        <v>#REF!</v>
      </c>
      <c r="F507" s="852"/>
    </row>
    <row r="508" spans="1:6" s="726" customFormat="1" ht="29.25" customHeight="1">
      <c r="A508" s="849" t="e">
        <f>building!#REF!</f>
        <v>#REF!</v>
      </c>
      <c r="B508" s="855" t="e">
        <f>building!#REF!</f>
        <v>#REF!</v>
      </c>
      <c r="C508" s="856" t="e">
        <f>building!#REF!</f>
        <v>#REF!</v>
      </c>
      <c r="D508" s="852" t="e">
        <f>building!#REF!</f>
        <v>#REF!</v>
      </c>
      <c r="E508" s="853" t="e">
        <f>building!#REF!</f>
        <v>#REF!</v>
      </c>
      <c r="F508" s="852" t="e">
        <f t="shared" si="7"/>
        <v>#REF!</v>
      </c>
    </row>
    <row r="509" spans="1:6" s="726" customFormat="1" ht="29.25" customHeight="1">
      <c r="A509" s="849" t="e">
        <f>building!#REF!</f>
        <v>#REF!</v>
      </c>
      <c r="B509" s="855" t="e">
        <f>building!#REF!</f>
        <v>#REF!</v>
      </c>
      <c r="C509" s="856" t="e">
        <f>building!#REF!</f>
        <v>#REF!</v>
      </c>
      <c r="D509" s="852" t="e">
        <f>building!#REF!</f>
        <v>#REF!</v>
      </c>
      <c r="E509" s="853" t="e">
        <f>building!#REF!</f>
        <v>#REF!</v>
      </c>
      <c r="F509" s="852" t="e">
        <f t="shared" si="7"/>
        <v>#REF!</v>
      </c>
    </row>
    <row r="510" spans="1:6" s="726" customFormat="1" ht="29.25" customHeight="1">
      <c r="A510" s="849" t="e">
        <f>building!#REF!</f>
        <v>#REF!</v>
      </c>
      <c r="B510" s="855" t="e">
        <f>building!#REF!</f>
        <v>#REF!</v>
      </c>
      <c r="C510" s="856" t="e">
        <f>building!#REF!</f>
        <v>#REF!</v>
      </c>
      <c r="D510" s="852" t="e">
        <f>building!#REF!</f>
        <v>#REF!</v>
      </c>
      <c r="E510" s="853" t="e">
        <f>building!#REF!</f>
        <v>#REF!</v>
      </c>
      <c r="F510" s="852" t="e">
        <f t="shared" si="7"/>
        <v>#REF!</v>
      </c>
    </row>
    <row r="511" spans="1:6" s="726" customFormat="1" ht="29.25" customHeight="1">
      <c r="A511" s="849" t="e">
        <f>building!#REF!</f>
        <v>#REF!</v>
      </c>
      <c r="B511" s="855" t="e">
        <f>building!#REF!</f>
        <v>#REF!</v>
      </c>
      <c r="C511" s="856" t="e">
        <f>building!#REF!</f>
        <v>#REF!</v>
      </c>
      <c r="D511" s="852" t="e">
        <f>building!#REF!</f>
        <v>#REF!</v>
      </c>
      <c r="E511" s="853" t="e">
        <f>building!#REF!</f>
        <v>#REF!</v>
      </c>
      <c r="F511" s="852" t="e">
        <f t="shared" si="7"/>
        <v>#REF!</v>
      </c>
    </row>
    <row r="512" spans="1:6" s="726" customFormat="1" ht="29.25" customHeight="1">
      <c r="A512" s="849" t="e">
        <f>building!#REF!</f>
        <v>#REF!</v>
      </c>
      <c r="B512" s="855" t="e">
        <f>building!#REF!</f>
        <v>#REF!</v>
      </c>
      <c r="C512" s="856" t="e">
        <f>building!#REF!</f>
        <v>#REF!</v>
      </c>
      <c r="D512" s="852" t="e">
        <f>building!#REF!</f>
        <v>#REF!</v>
      </c>
      <c r="E512" s="853" t="e">
        <f>building!#REF!</f>
        <v>#REF!</v>
      </c>
      <c r="F512" s="852" t="e">
        <f t="shared" si="7"/>
        <v>#REF!</v>
      </c>
    </row>
    <row r="513" spans="1:6" s="726" customFormat="1" ht="17.25" hidden="1">
      <c r="A513" s="849" t="e">
        <f>building!#REF!</f>
        <v>#REF!</v>
      </c>
      <c r="B513" s="855" t="e">
        <f>building!#REF!</f>
        <v>#REF!</v>
      </c>
      <c r="C513" s="856" t="e">
        <f>building!#REF!</f>
        <v>#REF!</v>
      </c>
      <c r="D513" s="852" t="e">
        <f>building!#REF!</f>
        <v>#REF!</v>
      </c>
      <c r="E513" s="853" t="e">
        <f>building!#REF!</f>
        <v>#REF!</v>
      </c>
      <c r="F513" s="852" t="e">
        <f t="shared" si="7"/>
        <v>#REF!</v>
      </c>
    </row>
    <row r="514" spans="1:6" s="726" customFormat="1" ht="21.75" hidden="1" customHeight="1">
      <c r="A514" s="849" t="e">
        <f>building!#REF!</f>
        <v>#REF!</v>
      </c>
      <c r="B514" s="855" t="e">
        <f>building!#REF!</f>
        <v>#REF!</v>
      </c>
      <c r="C514" s="856" t="e">
        <f>building!#REF!</f>
        <v>#REF!</v>
      </c>
      <c r="D514" s="852" t="e">
        <f>building!#REF!</f>
        <v>#REF!</v>
      </c>
      <c r="E514" s="853" t="e">
        <f>building!#REF!</f>
        <v>#REF!</v>
      </c>
      <c r="F514" s="852" t="e">
        <f t="shared" si="7"/>
        <v>#REF!</v>
      </c>
    </row>
    <row r="515" spans="1:6" s="726" customFormat="1" ht="21.75" hidden="1" customHeight="1">
      <c r="A515" s="849" t="e">
        <f>building!#REF!</f>
        <v>#REF!</v>
      </c>
      <c r="B515" s="855" t="e">
        <f>building!#REF!</f>
        <v>#REF!</v>
      </c>
      <c r="C515" s="856" t="e">
        <f>building!#REF!</f>
        <v>#REF!</v>
      </c>
      <c r="D515" s="852" t="e">
        <f>building!#REF!</f>
        <v>#REF!</v>
      </c>
      <c r="E515" s="853" t="e">
        <f>building!#REF!</f>
        <v>#REF!</v>
      </c>
      <c r="F515" s="852" t="e">
        <f t="shared" si="7"/>
        <v>#REF!</v>
      </c>
    </row>
    <row r="516" spans="1:6" s="726" customFormat="1" ht="17.25" hidden="1">
      <c r="A516" s="849" t="e">
        <f>building!#REF!</f>
        <v>#REF!</v>
      </c>
      <c r="B516" s="855" t="e">
        <f>building!#REF!</f>
        <v>#REF!</v>
      </c>
      <c r="C516" s="856" t="e">
        <f>building!#REF!</f>
        <v>#REF!</v>
      </c>
      <c r="D516" s="852" t="e">
        <f>building!#REF!</f>
        <v>#REF!</v>
      </c>
      <c r="E516" s="853" t="e">
        <f>building!#REF!</f>
        <v>#REF!</v>
      </c>
      <c r="F516" s="852" t="e">
        <f t="shared" si="7"/>
        <v>#REF!</v>
      </c>
    </row>
    <row r="517" spans="1:6" s="726" customFormat="1" ht="17.25" hidden="1">
      <c r="A517" s="849" t="e">
        <f>building!#REF!</f>
        <v>#REF!</v>
      </c>
      <c r="B517" s="855" t="e">
        <f>building!#REF!</f>
        <v>#REF!</v>
      </c>
      <c r="C517" s="856" t="e">
        <f>building!#REF!</f>
        <v>#REF!</v>
      </c>
      <c r="D517" s="852" t="e">
        <f>building!#REF!</f>
        <v>#REF!</v>
      </c>
      <c r="E517" s="853" t="e">
        <f>building!#REF!</f>
        <v>#REF!</v>
      </c>
      <c r="F517" s="852" t="e">
        <f t="shared" si="7"/>
        <v>#REF!</v>
      </c>
    </row>
    <row r="518" spans="1:6" s="726" customFormat="1" ht="17.25" hidden="1">
      <c r="A518" s="849" t="e">
        <f>building!#REF!</f>
        <v>#REF!</v>
      </c>
      <c r="B518" s="855" t="e">
        <f>building!#REF!</f>
        <v>#REF!</v>
      </c>
      <c r="C518" s="856" t="e">
        <f>building!#REF!</f>
        <v>#REF!</v>
      </c>
      <c r="D518" s="852" t="e">
        <f>building!#REF!</f>
        <v>#REF!</v>
      </c>
      <c r="E518" s="853" t="e">
        <f>building!#REF!</f>
        <v>#REF!</v>
      </c>
      <c r="F518" s="852" t="e">
        <f t="shared" si="7"/>
        <v>#REF!</v>
      </c>
    </row>
    <row r="519" spans="1:6" s="726" customFormat="1" ht="17.25" hidden="1">
      <c r="A519" s="849" t="e">
        <f>building!#REF!</f>
        <v>#REF!</v>
      </c>
      <c r="B519" s="855" t="e">
        <f>building!#REF!</f>
        <v>#REF!</v>
      </c>
      <c r="C519" s="856" t="e">
        <f>building!#REF!</f>
        <v>#REF!</v>
      </c>
      <c r="D519" s="852" t="e">
        <f>building!#REF!</f>
        <v>#REF!</v>
      </c>
      <c r="E519" s="853" t="e">
        <f>building!#REF!</f>
        <v>#REF!</v>
      </c>
      <c r="F519" s="852" t="e">
        <f t="shared" si="7"/>
        <v>#REF!</v>
      </c>
    </row>
    <row r="520" spans="1:6" s="726" customFormat="1" ht="17.25" hidden="1">
      <c r="A520" s="849" t="e">
        <f>building!#REF!</f>
        <v>#REF!</v>
      </c>
      <c r="B520" s="855" t="e">
        <f>building!#REF!</f>
        <v>#REF!</v>
      </c>
      <c r="C520" s="856" t="e">
        <f>building!#REF!</f>
        <v>#REF!</v>
      </c>
      <c r="D520" s="852" t="e">
        <f>building!#REF!</f>
        <v>#REF!</v>
      </c>
      <c r="E520" s="853" t="e">
        <f>building!#REF!</f>
        <v>#REF!</v>
      </c>
      <c r="F520" s="852" t="e">
        <f t="shared" ref="F520:F583" si="8">D520*B520</f>
        <v>#REF!</v>
      </c>
    </row>
    <row r="521" spans="1:6" s="726" customFormat="1" ht="17.25" hidden="1">
      <c r="A521" s="849" t="e">
        <f>building!#REF!</f>
        <v>#REF!</v>
      </c>
      <c r="B521" s="855" t="e">
        <f>building!#REF!</f>
        <v>#REF!</v>
      </c>
      <c r="C521" s="856" t="e">
        <f>building!#REF!</f>
        <v>#REF!</v>
      </c>
      <c r="D521" s="852" t="e">
        <f>building!#REF!</f>
        <v>#REF!</v>
      </c>
      <c r="E521" s="853" t="e">
        <f>building!#REF!</f>
        <v>#REF!</v>
      </c>
      <c r="F521" s="852" t="e">
        <f t="shared" si="8"/>
        <v>#REF!</v>
      </c>
    </row>
    <row r="522" spans="1:6" s="726" customFormat="1" ht="21.75" hidden="1" customHeight="1">
      <c r="A522" s="849" t="e">
        <f>building!#REF!</f>
        <v>#REF!</v>
      </c>
      <c r="B522" s="855" t="e">
        <f>building!#REF!</f>
        <v>#REF!</v>
      </c>
      <c r="C522" s="856" t="e">
        <f>building!#REF!</f>
        <v>#REF!</v>
      </c>
      <c r="D522" s="852" t="e">
        <f>building!#REF!</f>
        <v>#REF!</v>
      </c>
      <c r="E522" s="853" t="e">
        <f>building!#REF!</f>
        <v>#REF!</v>
      </c>
      <c r="F522" s="852" t="e">
        <f t="shared" si="8"/>
        <v>#REF!</v>
      </c>
    </row>
    <row r="523" spans="1:6" s="726" customFormat="1" ht="17.25" hidden="1">
      <c r="A523" s="849" t="e">
        <f>building!#REF!</f>
        <v>#REF!</v>
      </c>
      <c r="B523" s="855" t="e">
        <f>building!#REF!</f>
        <v>#REF!</v>
      </c>
      <c r="C523" s="856" t="e">
        <f>building!#REF!</f>
        <v>#REF!</v>
      </c>
      <c r="D523" s="852" t="e">
        <f>building!#REF!</f>
        <v>#REF!</v>
      </c>
      <c r="E523" s="853" t="e">
        <f>building!#REF!</f>
        <v>#REF!</v>
      </c>
      <c r="F523" s="852" t="e">
        <f t="shared" si="8"/>
        <v>#REF!</v>
      </c>
    </row>
    <row r="524" spans="1:6" s="726" customFormat="1" ht="33" hidden="1" customHeight="1">
      <c r="A524" s="849" t="e">
        <f>building!#REF!</f>
        <v>#REF!</v>
      </c>
      <c r="B524" s="855" t="e">
        <f>building!#REF!</f>
        <v>#REF!</v>
      </c>
      <c r="C524" s="856" t="e">
        <f>building!#REF!</f>
        <v>#REF!</v>
      </c>
      <c r="D524" s="852" t="e">
        <f>building!#REF!</f>
        <v>#REF!</v>
      </c>
      <c r="E524" s="853" t="e">
        <f>building!#REF!</f>
        <v>#REF!</v>
      </c>
      <c r="F524" s="852" t="e">
        <f t="shared" si="8"/>
        <v>#REF!</v>
      </c>
    </row>
    <row r="525" spans="1:6" s="726" customFormat="1" ht="33" hidden="1" customHeight="1">
      <c r="A525" s="849" t="e">
        <f>building!#REF!</f>
        <v>#REF!</v>
      </c>
      <c r="B525" s="855" t="e">
        <f>building!#REF!</f>
        <v>#REF!</v>
      </c>
      <c r="C525" s="856" t="e">
        <f>building!#REF!</f>
        <v>#REF!</v>
      </c>
      <c r="D525" s="852" t="e">
        <f>building!#REF!</f>
        <v>#REF!</v>
      </c>
      <c r="E525" s="853" t="e">
        <f>building!#REF!</f>
        <v>#REF!</v>
      </c>
      <c r="F525" s="852" t="e">
        <f t="shared" si="8"/>
        <v>#REF!</v>
      </c>
    </row>
    <row r="526" spans="1:6" s="726" customFormat="1" ht="42.75" hidden="1" customHeight="1">
      <c r="A526" s="849" t="e">
        <f>building!#REF!</f>
        <v>#REF!</v>
      </c>
      <c r="B526" s="855" t="e">
        <f>building!#REF!</f>
        <v>#REF!</v>
      </c>
      <c r="C526" s="856" t="e">
        <f>building!#REF!</f>
        <v>#REF!</v>
      </c>
      <c r="D526" s="852" t="e">
        <f>building!#REF!</f>
        <v>#REF!</v>
      </c>
      <c r="E526" s="853" t="e">
        <f>building!#REF!</f>
        <v>#REF!</v>
      </c>
      <c r="F526" s="852" t="e">
        <f t="shared" si="8"/>
        <v>#REF!</v>
      </c>
    </row>
    <row r="527" spans="1:6" s="726" customFormat="1" ht="33" hidden="1" customHeight="1">
      <c r="A527" s="849" t="e">
        <f>building!#REF!</f>
        <v>#REF!</v>
      </c>
      <c r="B527" s="855" t="e">
        <f>building!#REF!</f>
        <v>#REF!</v>
      </c>
      <c r="C527" s="856" t="e">
        <f>building!#REF!</f>
        <v>#REF!</v>
      </c>
      <c r="D527" s="852" t="e">
        <f>building!#REF!</f>
        <v>#REF!</v>
      </c>
      <c r="E527" s="853" t="e">
        <f>building!#REF!</f>
        <v>#REF!</v>
      </c>
      <c r="F527" s="852" t="e">
        <f t="shared" si="8"/>
        <v>#REF!</v>
      </c>
    </row>
    <row r="528" spans="1:6" s="726" customFormat="1" ht="33" hidden="1" customHeight="1">
      <c r="A528" s="849" t="e">
        <f>building!#REF!</f>
        <v>#REF!</v>
      </c>
      <c r="B528" s="855" t="e">
        <f>building!#REF!</f>
        <v>#REF!</v>
      </c>
      <c r="C528" s="856" t="e">
        <f>building!#REF!</f>
        <v>#REF!</v>
      </c>
      <c r="D528" s="852" t="e">
        <f>building!#REF!</f>
        <v>#REF!</v>
      </c>
      <c r="E528" s="853" t="e">
        <f>building!#REF!</f>
        <v>#REF!</v>
      </c>
      <c r="F528" s="852" t="e">
        <f t="shared" si="8"/>
        <v>#REF!</v>
      </c>
    </row>
    <row r="529" spans="1:6" s="726" customFormat="1" ht="33" hidden="1" customHeight="1">
      <c r="A529" s="849" t="e">
        <f>building!#REF!</f>
        <v>#REF!</v>
      </c>
      <c r="B529" s="855" t="e">
        <f>building!#REF!</f>
        <v>#REF!</v>
      </c>
      <c r="C529" s="856" t="e">
        <f>building!#REF!</f>
        <v>#REF!</v>
      </c>
      <c r="D529" s="852" t="e">
        <f>building!#REF!</f>
        <v>#REF!</v>
      </c>
      <c r="E529" s="853" t="e">
        <f>building!#REF!</f>
        <v>#REF!</v>
      </c>
      <c r="F529" s="852" t="e">
        <f t="shared" si="8"/>
        <v>#REF!</v>
      </c>
    </row>
    <row r="530" spans="1:6" s="726" customFormat="1" ht="33" hidden="1" customHeight="1">
      <c r="A530" s="849" t="e">
        <f>building!#REF!</f>
        <v>#REF!</v>
      </c>
      <c r="B530" s="855" t="e">
        <f>building!#REF!</f>
        <v>#REF!</v>
      </c>
      <c r="C530" s="856" t="e">
        <f>building!#REF!</f>
        <v>#REF!</v>
      </c>
      <c r="D530" s="852" t="e">
        <f>building!#REF!</f>
        <v>#REF!</v>
      </c>
      <c r="E530" s="853" t="e">
        <f>building!#REF!</f>
        <v>#REF!</v>
      </c>
      <c r="F530" s="852" t="e">
        <f t="shared" si="8"/>
        <v>#REF!</v>
      </c>
    </row>
    <row r="531" spans="1:6" s="726" customFormat="1" ht="30" hidden="1" customHeight="1">
      <c r="A531" s="849" t="e">
        <f>building!#REF!</f>
        <v>#REF!</v>
      </c>
      <c r="B531" s="855" t="e">
        <f>building!#REF!</f>
        <v>#REF!</v>
      </c>
      <c r="C531" s="856" t="e">
        <f>building!#REF!</f>
        <v>#REF!</v>
      </c>
      <c r="D531" s="852" t="e">
        <f>building!#REF!</f>
        <v>#REF!</v>
      </c>
      <c r="E531" s="853" t="e">
        <f>building!#REF!</f>
        <v>#REF!</v>
      </c>
      <c r="F531" s="852" t="e">
        <f t="shared" si="8"/>
        <v>#REF!</v>
      </c>
    </row>
    <row r="532" spans="1:6" s="726" customFormat="1" ht="17.25" hidden="1">
      <c r="A532" s="849" t="e">
        <f>building!#REF!</f>
        <v>#REF!</v>
      </c>
      <c r="B532" s="855" t="e">
        <f>building!#REF!</f>
        <v>#REF!</v>
      </c>
      <c r="C532" s="856" t="e">
        <f>building!#REF!</f>
        <v>#REF!</v>
      </c>
      <c r="D532" s="852" t="e">
        <f>building!#REF!</f>
        <v>#REF!</v>
      </c>
      <c r="E532" s="853" t="e">
        <f>building!#REF!</f>
        <v>#REF!</v>
      </c>
      <c r="F532" s="852" t="e">
        <f t="shared" si="8"/>
        <v>#REF!</v>
      </c>
    </row>
    <row r="533" spans="1:6" s="726" customFormat="1" ht="17.25" hidden="1">
      <c r="A533" s="849" t="e">
        <f>building!#REF!</f>
        <v>#REF!</v>
      </c>
      <c r="B533" s="855" t="e">
        <f>building!#REF!</f>
        <v>#REF!</v>
      </c>
      <c r="C533" s="856" t="e">
        <f>building!#REF!</f>
        <v>#REF!</v>
      </c>
      <c r="D533" s="852" t="e">
        <f>building!#REF!</f>
        <v>#REF!</v>
      </c>
      <c r="E533" s="853" t="e">
        <f>building!#REF!</f>
        <v>#REF!</v>
      </c>
      <c r="F533" s="852" t="e">
        <f t="shared" si="8"/>
        <v>#REF!</v>
      </c>
    </row>
    <row r="534" spans="1:6" s="726" customFormat="1" ht="17.25" hidden="1">
      <c r="A534" s="849" t="e">
        <f>building!#REF!</f>
        <v>#REF!</v>
      </c>
      <c r="B534" s="855" t="e">
        <f>building!#REF!</f>
        <v>#REF!</v>
      </c>
      <c r="C534" s="856" t="e">
        <f>building!#REF!</f>
        <v>#REF!</v>
      </c>
      <c r="D534" s="852" t="e">
        <f>building!#REF!</f>
        <v>#REF!</v>
      </c>
      <c r="E534" s="853" t="e">
        <f>building!#REF!</f>
        <v>#REF!</v>
      </c>
      <c r="F534" s="852" t="e">
        <f t="shared" si="8"/>
        <v>#REF!</v>
      </c>
    </row>
    <row r="535" spans="1:6" s="726" customFormat="1" ht="17.25" hidden="1">
      <c r="A535" s="849" t="e">
        <f>building!#REF!</f>
        <v>#REF!</v>
      </c>
      <c r="B535" s="855" t="e">
        <f>building!#REF!</f>
        <v>#REF!</v>
      </c>
      <c r="C535" s="856" t="e">
        <f>building!#REF!</f>
        <v>#REF!</v>
      </c>
      <c r="D535" s="852" t="e">
        <f>building!#REF!</f>
        <v>#REF!</v>
      </c>
      <c r="E535" s="853" t="e">
        <f>building!#REF!</f>
        <v>#REF!</v>
      </c>
      <c r="F535" s="852" t="e">
        <f t="shared" si="8"/>
        <v>#REF!</v>
      </c>
    </row>
    <row r="536" spans="1:6" ht="15.75" hidden="1">
      <c r="A536" s="849" t="e">
        <f>building!#REF!</f>
        <v>#REF!</v>
      </c>
      <c r="B536" s="855" t="e">
        <f>building!#REF!</f>
        <v>#REF!</v>
      </c>
      <c r="C536" s="856" t="e">
        <f>building!#REF!</f>
        <v>#REF!</v>
      </c>
      <c r="D536" s="852" t="e">
        <f>building!#REF!</f>
        <v>#REF!</v>
      </c>
      <c r="E536" s="853" t="e">
        <f>building!#REF!</f>
        <v>#REF!</v>
      </c>
      <c r="F536" s="852" t="e">
        <f t="shared" si="8"/>
        <v>#REF!</v>
      </c>
    </row>
    <row r="537" spans="1:6" ht="15.75" hidden="1">
      <c r="A537" s="849" t="e">
        <f>building!#REF!</f>
        <v>#REF!</v>
      </c>
      <c r="B537" s="855" t="e">
        <f>building!#REF!</f>
        <v>#REF!</v>
      </c>
      <c r="C537" s="856" t="e">
        <f>building!#REF!</f>
        <v>#REF!</v>
      </c>
      <c r="D537" s="852" t="e">
        <f>building!#REF!</f>
        <v>#REF!</v>
      </c>
      <c r="E537" s="853" t="e">
        <f>building!#REF!</f>
        <v>#REF!</v>
      </c>
      <c r="F537" s="852" t="e">
        <f t="shared" si="8"/>
        <v>#REF!</v>
      </c>
    </row>
    <row r="538" spans="1:6" s="726" customFormat="1" ht="17.25" hidden="1">
      <c r="A538" s="849" t="e">
        <f>building!#REF!</f>
        <v>#REF!</v>
      </c>
      <c r="B538" s="855" t="e">
        <f>building!#REF!</f>
        <v>#REF!</v>
      </c>
      <c r="C538" s="856" t="e">
        <f>building!#REF!</f>
        <v>#REF!</v>
      </c>
      <c r="D538" s="852" t="e">
        <f>building!#REF!</f>
        <v>#REF!</v>
      </c>
      <c r="E538" s="853" t="e">
        <f>building!#REF!</f>
        <v>#REF!</v>
      </c>
      <c r="F538" s="852" t="e">
        <f t="shared" si="8"/>
        <v>#REF!</v>
      </c>
    </row>
    <row r="539" spans="1:6" s="726" customFormat="1" ht="21.75" hidden="1" customHeight="1">
      <c r="A539" s="849" t="e">
        <f>building!#REF!</f>
        <v>#REF!</v>
      </c>
      <c r="B539" s="855" t="e">
        <f>building!#REF!</f>
        <v>#REF!</v>
      </c>
      <c r="C539" s="856" t="e">
        <f>building!#REF!</f>
        <v>#REF!</v>
      </c>
      <c r="D539" s="852" t="e">
        <f>building!#REF!</f>
        <v>#REF!</v>
      </c>
      <c r="E539" s="853" t="e">
        <f>building!#REF!</f>
        <v>#REF!</v>
      </c>
      <c r="F539" s="852" t="e">
        <f t="shared" si="8"/>
        <v>#REF!</v>
      </c>
    </row>
    <row r="540" spans="1:6" s="726" customFormat="1" ht="17.25" hidden="1">
      <c r="A540" s="849" t="e">
        <f>building!#REF!</f>
        <v>#REF!</v>
      </c>
      <c r="B540" s="855" t="e">
        <f>building!#REF!</f>
        <v>#REF!</v>
      </c>
      <c r="C540" s="856" t="e">
        <f>building!#REF!</f>
        <v>#REF!</v>
      </c>
      <c r="D540" s="852" t="e">
        <f>building!#REF!</f>
        <v>#REF!</v>
      </c>
      <c r="E540" s="853" t="e">
        <f>building!#REF!</f>
        <v>#REF!</v>
      </c>
      <c r="F540" s="852" t="e">
        <f t="shared" si="8"/>
        <v>#REF!</v>
      </c>
    </row>
    <row r="541" spans="1:6" s="726" customFormat="1" ht="54.75" hidden="1" customHeight="1">
      <c r="A541" s="849" t="e">
        <f>building!#REF!</f>
        <v>#REF!</v>
      </c>
      <c r="B541" s="855" t="e">
        <f>building!#REF!</f>
        <v>#REF!</v>
      </c>
      <c r="C541" s="856" t="e">
        <f>building!#REF!</f>
        <v>#REF!</v>
      </c>
      <c r="D541" s="852" t="e">
        <f>building!#REF!</f>
        <v>#REF!</v>
      </c>
      <c r="E541" s="853" t="e">
        <f>building!#REF!</f>
        <v>#REF!</v>
      </c>
      <c r="F541" s="852" t="e">
        <f t="shared" si="8"/>
        <v>#REF!</v>
      </c>
    </row>
    <row r="542" spans="1:6" s="726" customFormat="1" ht="17.25" hidden="1">
      <c r="A542" s="849" t="e">
        <f>building!#REF!</f>
        <v>#REF!</v>
      </c>
      <c r="B542" s="855" t="e">
        <f>building!#REF!</f>
        <v>#REF!</v>
      </c>
      <c r="C542" s="856" t="e">
        <f>building!#REF!</f>
        <v>#REF!</v>
      </c>
      <c r="D542" s="852" t="e">
        <f>building!#REF!</f>
        <v>#REF!</v>
      </c>
      <c r="E542" s="853" t="e">
        <f>building!#REF!</f>
        <v>#REF!</v>
      </c>
      <c r="F542" s="852" t="e">
        <f t="shared" si="8"/>
        <v>#REF!</v>
      </c>
    </row>
    <row r="543" spans="1:6" s="726" customFormat="1" ht="21.75" hidden="1" customHeight="1">
      <c r="A543" s="849" t="e">
        <f>building!#REF!</f>
        <v>#REF!</v>
      </c>
      <c r="B543" s="855" t="e">
        <f>building!#REF!</f>
        <v>#REF!</v>
      </c>
      <c r="C543" s="856" t="e">
        <f>building!#REF!</f>
        <v>#REF!</v>
      </c>
      <c r="D543" s="852" t="e">
        <f>building!#REF!</f>
        <v>#REF!</v>
      </c>
      <c r="E543" s="853" t="e">
        <f>building!#REF!</f>
        <v>#REF!</v>
      </c>
      <c r="F543" s="852" t="e">
        <f t="shared" si="8"/>
        <v>#REF!</v>
      </c>
    </row>
    <row r="544" spans="1:6" s="726" customFormat="1" ht="17.25" hidden="1">
      <c r="A544" s="849" t="e">
        <f>building!#REF!</f>
        <v>#REF!</v>
      </c>
      <c r="B544" s="855" t="e">
        <f>building!#REF!</f>
        <v>#REF!</v>
      </c>
      <c r="C544" s="856" t="e">
        <f>building!#REF!</f>
        <v>#REF!</v>
      </c>
      <c r="D544" s="852" t="e">
        <f>building!#REF!</f>
        <v>#REF!</v>
      </c>
      <c r="E544" s="853" t="e">
        <f>building!#REF!</f>
        <v>#REF!</v>
      </c>
      <c r="F544" s="852" t="e">
        <f t="shared" si="8"/>
        <v>#REF!</v>
      </c>
    </row>
    <row r="545" spans="1:6" s="726" customFormat="1" ht="21.75" hidden="1" customHeight="1">
      <c r="A545" s="849" t="e">
        <f>building!#REF!</f>
        <v>#REF!</v>
      </c>
      <c r="B545" s="855" t="e">
        <f>building!#REF!</f>
        <v>#REF!</v>
      </c>
      <c r="C545" s="856" t="e">
        <f>building!#REF!</f>
        <v>#REF!</v>
      </c>
      <c r="D545" s="852" t="e">
        <f>building!#REF!</f>
        <v>#REF!</v>
      </c>
      <c r="E545" s="853" t="e">
        <f>building!#REF!</f>
        <v>#REF!</v>
      </c>
      <c r="F545" s="852" t="e">
        <f t="shared" si="8"/>
        <v>#REF!</v>
      </c>
    </row>
    <row r="546" spans="1:6" s="726" customFormat="1" ht="17.25" hidden="1">
      <c r="A546" s="849" t="e">
        <f>building!#REF!</f>
        <v>#REF!</v>
      </c>
      <c r="B546" s="855" t="e">
        <f>building!#REF!</f>
        <v>#REF!</v>
      </c>
      <c r="C546" s="856" t="e">
        <f>building!#REF!</f>
        <v>#REF!</v>
      </c>
      <c r="D546" s="852" t="e">
        <f>building!#REF!</f>
        <v>#REF!</v>
      </c>
      <c r="E546" s="853" t="e">
        <f>building!#REF!</f>
        <v>#REF!</v>
      </c>
      <c r="F546" s="852" t="e">
        <f t="shared" si="8"/>
        <v>#REF!</v>
      </c>
    </row>
    <row r="547" spans="1:6" s="726" customFormat="1" ht="53.25" hidden="1" customHeight="1">
      <c r="A547" s="849" t="e">
        <f>building!#REF!</f>
        <v>#REF!</v>
      </c>
      <c r="B547" s="855" t="e">
        <f>building!#REF!</f>
        <v>#REF!</v>
      </c>
      <c r="C547" s="856" t="e">
        <f>building!#REF!</f>
        <v>#REF!</v>
      </c>
      <c r="D547" s="852" t="e">
        <f>building!#REF!</f>
        <v>#REF!</v>
      </c>
      <c r="E547" s="853" t="e">
        <f>building!#REF!</f>
        <v>#REF!</v>
      </c>
      <c r="F547" s="852" t="e">
        <f t="shared" si="8"/>
        <v>#REF!</v>
      </c>
    </row>
    <row r="548" spans="1:6" s="726" customFormat="1" ht="32.25" hidden="1" customHeight="1">
      <c r="A548" s="849" t="e">
        <f>building!#REF!</f>
        <v>#REF!</v>
      </c>
      <c r="B548" s="855" t="e">
        <f>building!#REF!</f>
        <v>#REF!</v>
      </c>
      <c r="C548" s="856" t="e">
        <f>building!#REF!</f>
        <v>#REF!</v>
      </c>
      <c r="D548" s="852" t="e">
        <f>building!#REF!</f>
        <v>#REF!</v>
      </c>
      <c r="E548" s="853" t="e">
        <f>building!#REF!</f>
        <v>#REF!</v>
      </c>
      <c r="F548" s="852" t="e">
        <f t="shared" si="8"/>
        <v>#REF!</v>
      </c>
    </row>
    <row r="549" spans="1:6" s="726" customFormat="1" ht="34.5" hidden="1" customHeight="1">
      <c r="A549" s="849" t="e">
        <f>building!#REF!</f>
        <v>#REF!</v>
      </c>
      <c r="B549" s="855" t="e">
        <f>building!#REF!</f>
        <v>#REF!</v>
      </c>
      <c r="C549" s="856" t="e">
        <f>building!#REF!</f>
        <v>#REF!</v>
      </c>
      <c r="D549" s="852" t="e">
        <f>building!#REF!</f>
        <v>#REF!</v>
      </c>
      <c r="E549" s="853" t="e">
        <f>building!#REF!</f>
        <v>#REF!</v>
      </c>
      <c r="F549" s="852" t="e">
        <f t="shared" si="8"/>
        <v>#REF!</v>
      </c>
    </row>
    <row r="550" spans="1:6" s="726" customFormat="1" ht="43.5" hidden="1" customHeight="1">
      <c r="A550" s="849" t="e">
        <f>building!#REF!</f>
        <v>#REF!</v>
      </c>
      <c r="B550" s="855" t="e">
        <f>building!#REF!</f>
        <v>#REF!</v>
      </c>
      <c r="C550" s="856" t="e">
        <f>building!#REF!</f>
        <v>#REF!</v>
      </c>
      <c r="D550" s="852" t="e">
        <f>building!#REF!</f>
        <v>#REF!</v>
      </c>
      <c r="E550" s="853" t="e">
        <f>building!#REF!</f>
        <v>#REF!</v>
      </c>
      <c r="F550" s="852" t="e">
        <f t="shared" si="8"/>
        <v>#REF!</v>
      </c>
    </row>
    <row r="551" spans="1:6" s="726" customFormat="1" ht="39.75" customHeight="1">
      <c r="A551" s="849">
        <f>building!A140</f>
        <v>0</v>
      </c>
      <c r="B551" s="855">
        <f>building!Y140</f>
        <v>0</v>
      </c>
      <c r="C551" s="856" t="str">
        <f>building!B140</f>
        <v xml:space="preserve">Supply and laying of Hard core layer 200mm </v>
      </c>
      <c r="D551" s="852">
        <f>building!C140</f>
        <v>3082.74</v>
      </c>
      <c r="E551" s="853" t="str">
        <f>building!D140</f>
        <v>Cum</v>
      </c>
      <c r="F551" s="852">
        <f t="shared" si="8"/>
        <v>0</v>
      </c>
    </row>
    <row r="552" spans="1:6" s="726" customFormat="1" ht="35.25" customHeight="1">
      <c r="A552" s="849">
        <f>building!A141</f>
        <v>0</v>
      </c>
      <c r="B552" s="855">
        <f>building!Y141</f>
        <v>0</v>
      </c>
      <c r="C552" s="856" t="str">
        <f>building!B141</f>
        <v>Supplying and filling stone dust</v>
      </c>
      <c r="D552" s="852">
        <f>building!C141</f>
        <v>156.1</v>
      </c>
      <c r="E552" s="853" t="str">
        <f>building!D141</f>
        <v>Cum.</v>
      </c>
      <c r="F552" s="852">
        <f t="shared" si="8"/>
        <v>0</v>
      </c>
    </row>
    <row r="553" spans="1:6" s="726" customFormat="1" ht="37.5" customHeight="1">
      <c r="A553" s="849">
        <f>building!A142</f>
        <v>0</v>
      </c>
      <c r="B553" s="855">
        <f>building!Y142</f>
        <v>20.5</v>
      </c>
      <c r="C553" s="856" t="str">
        <f>building!B142</f>
        <v>Plastering with CM 1:3, 12mm with WPC</v>
      </c>
      <c r="D553" s="852">
        <f>building!C142</f>
        <v>243.04</v>
      </c>
      <c r="E553" s="853" t="str">
        <f>building!D142</f>
        <v>Sqm</v>
      </c>
      <c r="F553" s="852">
        <f t="shared" si="8"/>
        <v>4982.32</v>
      </c>
    </row>
    <row r="554" spans="1:6" s="726" customFormat="1" ht="41.25" hidden="1" customHeight="1">
      <c r="A554" s="849">
        <f>building!A143</f>
        <v>0</v>
      </c>
      <c r="B554" s="855">
        <f>building!Y143</f>
        <v>345.1</v>
      </c>
      <c r="C554" s="856" t="str">
        <f>building!B143</f>
        <v xml:space="preserve">Supplying and filling with gravel </v>
      </c>
      <c r="D554" s="852">
        <f>building!C143</f>
        <v>380.24</v>
      </c>
      <c r="E554" s="853" t="str">
        <f>building!D143</f>
        <v>Cum</v>
      </c>
      <c r="F554" s="852">
        <f t="shared" si="8"/>
        <v>131220.82</v>
      </c>
    </row>
    <row r="555" spans="1:6" s="726" customFormat="1" ht="35.25" hidden="1" customHeight="1">
      <c r="A555" s="849" t="e">
        <f>building!#REF!</f>
        <v>#REF!</v>
      </c>
      <c r="B555" s="855" t="e">
        <f>building!#REF!</f>
        <v>#REF!</v>
      </c>
      <c r="C555" s="856" t="e">
        <f>building!#REF!</f>
        <v>#REF!</v>
      </c>
      <c r="D555" s="852" t="e">
        <f>building!#REF!</f>
        <v>#REF!</v>
      </c>
      <c r="E555" s="853" t="e">
        <f>building!#REF!</f>
        <v>#REF!</v>
      </c>
      <c r="F555" s="852" t="e">
        <f t="shared" si="8"/>
        <v>#REF!</v>
      </c>
    </row>
    <row r="556" spans="1:6" s="726" customFormat="1" ht="17.25" hidden="1">
      <c r="A556" s="849" t="e">
        <f>building!#REF!</f>
        <v>#REF!</v>
      </c>
      <c r="B556" s="855" t="e">
        <f>building!#REF!</f>
        <v>#REF!</v>
      </c>
      <c r="C556" s="856" t="e">
        <f>building!#REF!</f>
        <v>#REF!</v>
      </c>
      <c r="D556" s="852" t="e">
        <f>building!#REF!</f>
        <v>#REF!</v>
      </c>
      <c r="E556" s="853" t="e">
        <f>building!#REF!</f>
        <v>#REF!</v>
      </c>
      <c r="F556" s="852" t="e">
        <f t="shared" si="8"/>
        <v>#REF!</v>
      </c>
    </row>
    <row r="557" spans="1:6" s="726" customFormat="1" ht="17.25" hidden="1">
      <c r="A557" s="849" t="e">
        <f>building!#REF!</f>
        <v>#REF!</v>
      </c>
      <c r="B557" s="855" t="e">
        <f>building!#REF!</f>
        <v>#REF!</v>
      </c>
      <c r="C557" s="856" t="e">
        <f>building!#REF!</f>
        <v>#REF!</v>
      </c>
      <c r="D557" s="852" t="e">
        <f>building!#REF!</f>
        <v>#REF!</v>
      </c>
      <c r="E557" s="853" t="e">
        <f>building!#REF!</f>
        <v>#REF!</v>
      </c>
      <c r="F557" s="852" t="e">
        <f t="shared" si="8"/>
        <v>#REF!</v>
      </c>
    </row>
    <row r="558" spans="1:6" s="726" customFormat="1" ht="17.25" hidden="1">
      <c r="A558" s="849" t="e">
        <f>building!#REF!</f>
        <v>#REF!</v>
      </c>
      <c r="B558" s="855" t="e">
        <f>building!#REF!</f>
        <v>#REF!</v>
      </c>
      <c r="C558" s="856" t="e">
        <f>building!#REF!</f>
        <v>#REF!</v>
      </c>
      <c r="D558" s="852" t="e">
        <f>building!#REF!</f>
        <v>#REF!</v>
      </c>
      <c r="E558" s="853" t="e">
        <f>building!#REF!</f>
        <v>#REF!</v>
      </c>
      <c r="F558" s="852" t="e">
        <f t="shared" si="8"/>
        <v>#REF!</v>
      </c>
    </row>
    <row r="559" spans="1:6" s="726" customFormat="1" ht="17.25" hidden="1">
      <c r="A559" s="849" t="e">
        <f>building!#REF!</f>
        <v>#REF!</v>
      </c>
      <c r="B559" s="855" t="e">
        <f>building!#REF!</f>
        <v>#REF!</v>
      </c>
      <c r="C559" s="856" t="e">
        <f>building!#REF!</f>
        <v>#REF!</v>
      </c>
      <c r="D559" s="852" t="e">
        <f>building!#REF!</f>
        <v>#REF!</v>
      </c>
      <c r="E559" s="853" t="e">
        <f>building!#REF!</f>
        <v>#REF!</v>
      </c>
      <c r="F559" s="852" t="e">
        <f t="shared" si="8"/>
        <v>#REF!</v>
      </c>
    </row>
    <row r="560" spans="1:6" s="726" customFormat="1" ht="17.25" hidden="1">
      <c r="A560" s="849" t="e">
        <f>building!#REF!</f>
        <v>#REF!</v>
      </c>
      <c r="B560" s="855" t="e">
        <f>building!#REF!</f>
        <v>#REF!</v>
      </c>
      <c r="C560" s="856" t="e">
        <f>building!#REF!</f>
        <v>#REF!</v>
      </c>
      <c r="D560" s="852" t="e">
        <f>building!#REF!</f>
        <v>#REF!</v>
      </c>
      <c r="E560" s="853" t="e">
        <f>building!#REF!</f>
        <v>#REF!</v>
      </c>
      <c r="F560" s="852" t="e">
        <f t="shared" si="8"/>
        <v>#REF!</v>
      </c>
    </row>
    <row r="561" spans="1:6" ht="15.75" hidden="1">
      <c r="A561" s="849" t="e">
        <f>building!#REF!</f>
        <v>#REF!</v>
      </c>
      <c r="B561" s="855" t="e">
        <f>building!#REF!</f>
        <v>#REF!</v>
      </c>
      <c r="C561" s="856" t="e">
        <f>building!#REF!</f>
        <v>#REF!</v>
      </c>
      <c r="D561" s="852" t="e">
        <f>building!#REF!</f>
        <v>#REF!</v>
      </c>
      <c r="E561" s="853" t="e">
        <f>building!#REF!</f>
        <v>#REF!</v>
      </c>
      <c r="F561" s="852" t="e">
        <f t="shared" si="8"/>
        <v>#REF!</v>
      </c>
    </row>
    <row r="562" spans="1:6" ht="21.75" hidden="1" customHeight="1">
      <c r="A562" s="849" t="e">
        <f>building!#REF!</f>
        <v>#REF!</v>
      </c>
      <c r="B562" s="855" t="e">
        <f>building!#REF!</f>
        <v>#REF!</v>
      </c>
      <c r="C562" s="856" t="e">
        <f>building!#REF!</f>
        <v>#REF!</v>
      </c>
      <c r="D562" s="852" t="e">
        <f>building!#REF!</f>
        <v>#REF!</v>
      </c>
      <c r="E562" s="853" t="e">
        <f>building!#REF!</f>
        <v>#REF!</v>
      </c>
      <c r="F562" s="852" t="e">
        <f t="shared" si="8"/>
        <v>#REF!</v>
      </c>
    </row>
    <row r="563" spans="1:6" ht="21.75" hidden="1" customHeight="1">
      <c r="A563" s="849" t="e">
        <f>building!#REF!</f>
        <v>#REF!</v>
      </c>
      <c r="B563" s="855" t="e">
        <f>building!#REF!</f>
        <v>#REF!</v>
      </c>
      <c r="C563" s="856" t="e">
        <f>building!#REF!</f>
        <v>#REF!</v>
      </c>
      <c r="D563" s="852" t="e">
        <f>building!#REF!</f>
        <v>#REF!</v>
      </c>
      <c r="E563" s="853" t="e">
        <f>building!#REF!</f>
        <v>#REF!</v>
      </c>
      <c r="F563" s="852" t="e">
        <f t="shared" si="8"/>
        <v>#REF!</v>
      </c>
    </row>
    <row r="564" spans="1:6" ht="15.75" hidden="1">
      <c r="A564" s="849" t="e">
        <f>building!#REF!</f>
        <v>#REF!</v>
      </c>
      <c r="B564" s="855" t="e">
        <f>building!#REF!</f>
        <v>#REF!</v>
      </c>
      <c r="C564" s="856" t="e">
        <f>building!#REF!</f>
        <v>#REF!</v>
      </c>
      <c r="D564" s="852" t="e">
        <f>building!#REF!</f>
        <v>#REF!</v>
      </c>
      <c r="E564" s="853" t="e">
        <f>building!#REF!</f>
        <v>#REF!</v>
      </c>
      <c r="F564" s="852" t="e">
        <f t="shared" si="8"/>
        <v>#REF!</v>
      </c>
    </row>
    <row r="565" spans="1:6" ht="15.75" hidden="1">
      <c r="A565" s="849" t="e">
        <f>building!#REF!</f>
        <v>#REF!</v>
      </c>
      <c r="B565" s="855" t="e">
        <f>building!#REF!</f>
        <v>#REF!</v>
      </c>
      <c r="C565" s="856" t="e">
        <f>building!#REF!</f>
        <v>#REF!</v>
      </c>
      <c r="D565" s="852" t="e">
        <f>building!#REF!</f>
        <v>#REF!</v>
      </c>
      <c r="E565" s="853" t="e">
        <f>building!#REF!</f>
        <v>#REF!</v>
      </c>
      <c r="F565" s="852" t="e">
        <f t="shared" si="8"/>
        <v>#REF!</v>
      </c>
    </row>
    <row r="566" spans="1:6" s="726" customFormat="1" ht="17.25" hidden="1">
      <c r="A566" s="849" t="e">
        <f>building!#REF!</f>
        <v>#REF!</v>
      </c>
      <c r="B566" s="855" t="e">
        <f>building!#REF!</f>
        <v>#REF!</v>
      </c>
      <c r="C566" s="856" t="e">
        <f>building!#REF!</f>
        <v>#REF!</v>
      </c>
      <c r="D566" s="852" t="e">
        <f>building!#REF!</f>
        <v>#REF!</v>
      </c>
      <c r="E566" s="853" t="e">
        <f>building!#REF!</f>
        <v>#REF!</v>
      </c>
      <c r="F566" s="852" t="e">
        <f t="shared" si="8"/>
        <v>#REF!</v>
      </c>
    </row>
    <row r="567" spans="1:6" s="726" customFormat="1" ht="17.25" hidden="1">
      <c r="A567" s="849" t="e">
        <f>building!#REF!</f>
        <v>#REF!</v>
      </c>
      <c r="B567" s="855" t="e">
        <f>building!#REF!</f>
        <v>#REF!</v>
      </c>
      <c r="C567" s="856" t="e">
        <f>building!#REF!</f>
        <v>#REF!</v>
      </c>
      <c r="D567" s="852" t="e">
        <f>building!#REF!</f>
        <v>#REF!</v>
      </c>
      <c r="E567" s="853" t="e">
        <f>building!#REF!</f>
        <v>#REF!</v>
      </c>
      <c r="F567" s="852" t="e">
        <f t="shared" si="8"/>
        <v>#REF!</v>
      </c>
    </row>
    <row r="568" spans="1:6" s="726" customFormat="1" ht="17.25" hidden="1">
      <c r="A568" s="849" t="e">
        <f>building!#REF!</f>
        <v>#REF!</v>
      </c>
      <c r="B568" s="855" t="e">
        <f>building!#REF!</f>
        <v>#REF!</v>
      </c>
      <c r="C568" s="856" t="e">
        <f>building!#REF!</f>
        <v>#REF!</v>
      </c>
      <c r="D568" s="852" t="e">
        <f>building!#REF!</f>
        <v>#REF!</v>
      </c>
      <c r="E568" s="853" t="e">
        <f>building!#REF!</f>
        <v>#REF!</v>
      </c>
      <c r="F568" s="852" t="e">
        <f t="shared" si="8"/>
        <v>#REF!</v>
      </c>
    </row>
    <row r="569" spans="1:6" ht="15.75" hidden="1">
      <c r="A569" s="849" t="e">
        <f>building!#REF!</f>
        <v>#REF!</v>
      </c>
      <c r="B569" s="855" t="e">
        <f>building!#REF!</f>
        <v>#REF!</v>
      </c>
      <c r="C569" s="856" t="e">
        <f>building!#REF!</f>
        <v>#REF!</v>
      </c>
      <c r="D569" s="852" t="e">
        <f>building!#REF!</f>
        <v>#REF!</v>
      </c>
      <c r="E569" s="853" t="e">
        <f>building!#REF!</f>
        <v>#REF!</v>
      </c>
      <c r="F569" s="852" t="e">
        <f t="shared" si="8"/>
        <v>#REF!</v>
      </c>
    </row>
    <row r="570" spans="1:6" ht="15.75" hidden="1">
      <c r="A570" s="849" t="e">
        <f>building!#REF!</f>
        <v>#REF!</v>
      </c>
      <c r="B570" s="855" t="e">
        <f>building!#REF!</f>
        <v>#REF!</v>
      </c>
      <c r="C570" s="856" t="e">
        <f>building!#REF!</f>
        <v>#REF!</v>
      </c>
      <c r="D570" s="852" t="e">
        <f>building!#REF!</f>
        <v>#REF!</v>
      </c>
      <c r="E570" s="853" t="e">
        <f>building!#REF!</f>
        <v>#REF!</v>
      </c>
      <c r="F570" s="852" t="e">
        <f t="shared" si="8"/>
        <v>#REF!</v>
      </c>
    </row>
    <row r="571" spans="1:6" s="726" customFormat="1" ht="17.25" hidden="1">
      <c r="A571" s="849" t="e">
        <f>building!#REF!</f>
        <v>#REF!</v>
      </c>
      <c r="B571" s="855" t="e">
        <f>building!#REF!</f>
        <v>#REF!</v>
      </c>
      <c r="C571" s="856" t="e">
        <f>building!#REF!</f>
        <v>#REF!</v>
      </c>
      <c r="D571" s="852" t="e">
        <f>building!#REF!</f>
        <v>#REF!</v>
      </c>
      <c r="E571" s="853" t="e">
        <f>building!#REF!</f>
        <v>#REF!</v>
      </c>
      <c r="F571" s="852" t="e">
        <f t="shared" si="8"/>
        <v>#REF!</v>
      </c>
    </row>
    <row r="572" spans="1:6" s="726" customFormat="1" ht="17.25" hidden="1">
      <c r="A572" s="849" t="e">
        <f>building!#REF!</f>
        <v>#REF!</v>
      </c>
      <c r="B572" s="855" t="e">
        <f>building!#REF!</f>
        <v>#REF!</v>
      </c>
      <c r="C572" s="856" t="e">
        <f>building!#REF!</f>
        <v>#REF!</v>
      </c>
      <c r="D572" s="852" t="e">
        <f>building!#REF!</f>
        <v>#REF!</v>
      </c>
      <c r="E572" s="853" t="e">
        <f>building!#REF!</f>
        <v>#REF!</v>
      </c>
      <c r="F572" s="852" t="e">
        <f t="shared" si="8"/>
        <v>#REF!</v>
      </c>
    </row>
    <row r="573" spans="1:6" s="726" customFormat="1" ht="17.25" hidden="1">
      <c r="A573" s="849" t="e">
        <f>building!#REF!</f>
        <v>#REF!</v>
      </c>
      <c r="B573" s="855" t="e">
        <f>building!#REF!</f>
        <v>#REF!</v>
      </c>
      <c r="C573" s="856" t="e">
        <f>building!#REF!</f>
        <v>#REF!</v>
      </c>
      <c r="D573" s="852" t="e">
        <f>building!#REF!</f>
        <v>#REF!</v>
      </c>
      <c r="E573" s="853" t="e">
        <f>building!#REF!</f>
        <v>#REF!</v>
      </c>
      <c r="F573" s="852" t="e">
        <f t="shared" si="8"/>
        <v>#REF!</v>
      </c>
    </row>
    <row r="574" spans="1:6" s="726" customFormat="1" ht="16.5" hidden="1" customHeight="1">
      <c r="A574" s="849" t="e">
        <f>building!#REF!</f>
        <v>#REF!</v>
      </c>
      <c r="B574" s="855" t="e">
        <f>building!#REF!</f>
        <v>#REF!</v>
      </c>
      <c r="C574" s="856" t="e">
        <f>building!#REF!</f>
        <v>#REF!</v>
      </c>
      <c r="D574" s="852" t="e">
        <f>building!#REF!</f>
        <v>#REF!</v>
      </c>
      <c r="E574" s="853" t="e">
        <f>building!#REF!</f>
        <v>#REF!</v>
      </c>
      <c r="F574" s="852" t="e">
        <f t="shared" si="8"/>
        <v>#REF!</v>
      </c>
    </row>
    <row r="575" spans="1:6" s="726" customFormat="1" ht="24.75" hidden="1" customHeight="1">
      <c r="A575" s="849" t="e">
        <f>building!#REF!</f>
        <v>#REF!</v>
      </c>
      <c r="B575" s="855" t="e">
        <f>building!#REF!</f>
        <v>#REF!</v>
      </c>
      <c r="C575" s="856" t="e">
        <f>building!#REF!</f>
        <v>#REF!</v>
      </c>
      <c r="D575" s="852" t="e">
        <f>building!#REF!</f>
        <v>#REF!</v>
      </c>
      <c r="E575" s="853" t="e">
        <f>building!#REF!</f>
        <v>#REF!</v>
      </c>
      <c r="F575" s="852" t="e">
        <f t="shared" si="8"/>
        <v>#REF!</v>
      </c>
    </row>
    <row r="576" spans="1:6" s="726" customFormat="1" ht="33" hidden="1" customHeight="1">
      <c r="A576" s="849" t="e">
        <f>building!#REF!</f>
        <v>#REF!</v>
      </c>
      <c r="B576" s="855" t="e">
        <f>building!#REF!</f>
        <v>#REF!</v>
      </c>
      <c r="C576" s="856" t="e">
        <f>building!#REF!</f>
        <v>#REF!</v>
      </c>
      <c r="D576" s="852" t="e">
        <f>building!#REF!</f>
        <v>#REF!</v>
      </c>
      <c r="E576" s="853" t="e">
        <f>building!#REF!</f>
        <v>#REF!</v>
      </c>
      <c r="F576" s="852" t="e">
        <f t="shared" si="8"/>
        <v>#REF!</v>
      </c>
    </row>
    <row r="577" spans="1:6" s="726" customFormat="1" ht="33" hidden="1" customHeight="1">
      <c r="A577" s="849" t="e">
        <f>building!#REF!</f>
        <v>#REF!</v>
      </c>
      <c r="B577" s="855" t="e">
        <f>building!#REF!</f>
        <v>#REF!</v>
      </c>
      <c r="C577" s="856" t="e">
        <f>building!#REF!</f>
        <v>#REF!</v>
      </c>
      <c r="D577" s="852" t="e">
        <f>building!#REF!</f>
        <v>#REF!</v>
      </c>
      <c r="E577" s="853" t="e">
        <f>building!#REF!</f>
        <v>#REF!</v>
      </c>
      <c r="F577" s="852" t="e">
        <f t="shared" si="8"/>
        <v>#REF!</v>
      </c>
    </row>
    <row r="578" spans="1:6" s="726" customFormat="1" ht="27.75" hidden="1" customHeight="1">
      <c r="A578" s="849" t="e">
        <f>building!#REF!</f>
        <v>#REF!</v>
      </c>
      <c r="B578" s="855" t="e">
        <f>building!#REF!</f>
        <v>#REF!</v>
      </c>
      <c r="C578" s="856" t="e">
        <f>building!#REF!</f>
        <v>#REF!</v>
      </c>
      <c r="D578" s="852" t="e">
        <f>building!#REF!</f>
        <v>#REF!</v>
      </c>
      <c r="E578" s="853" t="e">
        <f>building!#REF!</f>
        <v>#REF!</v>
      </c>
      <c r="F578" s="852" t="e">
        <f t="shared" si="8"/>
        <v>#REF!</v>
      </c>
    </row>
    <row r="579" spans="1:6" s="726" customFormat="1" ht="41.45" hidden="1" customHeight="1">
      <c r="A579" s="849" t="e">
        <f>building!#REF!</f>
        <v>#REF!</v>
      </c>
      <c r="B579" s="855" t="e">
        <f>building!#REF!</f>
        <v>#REF!</v>
      </c>
      <c r="C579" s="856" t="e">
        <f>building!#REF!</f>
        <v>#REF!</v>
      </c>
      <c r="D579" s="852" t="e">
        <f>building!#REF!</f>
        <v>#REF!</v>
      </c>
      <c r="E579" s="853" t="e">
        <f>building!#REF!</f>
        <v>#REF!</v>
      </c>
      <c r="F579" s="852" t="e">
        <f t="shared" si="8"/>
        <v>#REF!</v>
      </c>
    </row>
    <row r="580" spans="1:6" s="726" customFormat="1" ht="28.15" hidden="1" customHeight="1">
      <c r="A580" s="849" t="e">
        <f>building!#REF!</f>
        <v>#REF!</v>
      </c>
      <c r="B580" s="855" t="e">
        <f>building!#REF!</f>
        <v>#REF!</v>
      </c>
      <c r="C580" s="856" t="e">
        <f>building!#REF!</f>
        <v>#REF!</v>
      </c>
      <c r="D580" s="852" t="e">
        <f>building!#REF!</f>
        <v>#REF!</v>
      </c>
      <c r="E580" s="853" t="e">
        <f>building!#REF!</f>
        <v>#REF!</v>
      </c>
      <c r="F580" s="852" t="e">
        <f t="shared" si="8"/>
        <v>#REF!</v>
      </c>
    </row>
    <row r="581" spans="1:6" ht="26.25" hidden="1" customHeight="1">
      <c r="A581" s="849">
        <f>building!A144</f>
        <v>0</v>
      </c>
      <c r="B581" s="855">
        <f>building!Y144</f>
        <v>0</v>
      </c>
      <c r="C581" s="856" t="str">
        <f>building!B144</f>
        <v xml:space="preserve">Red oxide plastering in CM 1:4 </v>
      </c>
      <c r="D581" s="852">
        <f>building!C144</f>
        <v>680.91</v>
      </c>
      <c r="E581" s="853" t="str">
        <f>building!D144</f>
        <v>Sqm</v>
      </c>
      <c r="F581" s="852">
        <f t="shared" si="8"/>
        <v>0</v>
      </c>
    </row>
    <row r="582" spans="1:6" s="726" customFormat="1" ht="31.5" hidden="1" customHeight="1">
      <c r="A582" s="849">
        <f>building!A145</f>
        <v>3.8</v>
      </c>
      <c r="B582" s="855">
        <f>building!Y145</f>
        <v>0</v>
      </c>
      <c r="C582" s="856" t="str">
        <f>building!B145</f>
        <v>P.C.C. 1:3:6  for foundation &amp; basement using 20mm metal</v>
      </c>
      <c r="D582" s="852">
        <f>building!C145</f>
        <v>5175.4399999999996</v>
      </c>
      <c r="E582" s="853" t="str">
        <f>building!D145</f>
        <v>Cum</v>
      </c>
      <c r="F582" s="852">
        <f t="shared" si="8"/>
        <v>0</v>
      </c>
    </row>
    <row r="583" spans="1:6" s="726" customFormat="1" ht="40.9" customHeight="1">
      <c r="A583" s="849">
        <f>building!A146</f>
        <v>3.3</v>
      </c>
      <c r="B583" s="855">
        <f>building!Y146</f>
        <v>0</v>
      </c>
      <c r="C583" s="856" t="str">
        <f>building!B146</f>
        <v xml:space="preserve">P.C.C. 1:4:8 using 40 mm hard broken stone jelly </v>
      </c>
      <c r="D583" s="852">
        <f>building!C146</f>
        <v>4490.8999999999996</v>
      </c>
      <c r="E583" s="853" t="str">
        <f>building!D146</f>
        <v>Cum</v>
      </c>
      <c r="F583" s="852">
        <f t="shared" si="8"/>
        <v>0</v>
      </c>
    </row>
    <row r="584" spans="1:6" s="726" customFormat="1" ht="55.9" hidden="1" customHeight="1">
      <c r="A584" s="849">
        <f>building!A147</f>
        <v>0</v>
      </c>
      <c r="B584" s="855">
        <f>building!Y147</f>
        <v>0</v>
      </c>
      <c r="C584" s="856" t="str">
        <f>building!B147</f>
        <v>P. C.C. 1:3:6 for foundation &amp; basement using 40mm metal</v>
      </c>
      <c r="D584" s="852">
        <f>building!C147</f>
        <v>4812.74</v>
      </c>
      <c r="E584" s="853" t="str">
        <f>building!D147</f>
        <v>Cum</v>
      </c>
      <c r="F584" s="852">
        <f t="shared" ref="F584:F647" si="9">D584*B584</f>
        <v>0</v>
      </c>
    </row>
    <row r="585" spans="1:6" s="726" customFormat="1" ht="42" customHeight="1">
      <c r="A585" s="849">
        <f>building!A148</f>
        <v>18.100000000000001</v>
      </c>
      <c r="B585" s="850">
        <f>building!Y148</f>
        <v>0</v>
      </c>
      <c r="C585" s="851" t="str">
        <f>building!B148</f>
        <v>Formwork using M.S.Sheet</v>
      </c>
      <c r="D585" s="852">
        <f>building!C148</f>
        <v>0</v>
      </c>
      <c r="E585" s="853">
        <f>building!D148</f>
        <v>0</v>
      </c>
      <c r="F585" s="852"/>
    </row>
    <row r="586" spans="1:6" s="726" customFormat="1" ht="48.75" customHeight="1">
      <c r="A586" s="849">
        <f>building!A149</f>
        <v>0</v>
      </c>
      <c r="B586" s="855">
        <f>building!Y149</f>
        <v>692.9</v>
      </c>
      <c r="C586" s="856" t="str">
        <f>building!B149</f>
        <v>a.For Column footings,plinth beam,Grade beam,Raftbeam,Raft slab etc.,</v>
      </c>
      <c r="D586" s="852">
        <f>building!C149</f>
        <v>739.38</v>
      </c>
      <c r="E586" s="853" t="str">
        <f>building!D149</f>
        <v>Sqm</v>
      </c>
      <c r="F586" s="852">
        <f t="shared" si="9"/>
        <v>512316.4</v>
      </c>
    </row>
    <row r="587" spans="1:6" s="726" customFormat="1" ht="66.75" customHeight="1">
      <c r="A587" s="849">
        <f>building!A150</f>
        <v>0</v>
      </c>
      <c r="B587" s="855">
        <f>building!Y150</f>
        <v>2300</v>
      </c>
      <c r="C587" s="856" t="str">
        <f>building!B150</f>
        <v>b.Plain surfaces such as Roof slab,floorslab,Beams,lintels,lofts,sill slab,staircase,portico slab and other similar works</v>
      </c>
      <c r="D587" s="852">
        <f>building!C150</f>
        <v>831.23</v>
      </c>
      <c r="E587" s="853" t="str">
        <f>building!D150</f>
        <v>Sqm</v>
      </c>
      <c r="F587" s="852">
        <f t="shared" si="9"/>
        <v>1911829</v>
      </c>
    </row>
    <row r="588" spans="1:6" s="726" customFormat="1" ht="43.5" customHeight="1">
      <c r="A588" s="849">
        <f>building!A151</f>
        <v>0</v>
      </c>
      <c r="B588" s="855">
        <f>building!Y151</f>
        <v>905.5</v>
      </c>
      <c r="C588" s="856" t="str">
        <f>building!B151</f>
        <v>c.For Square and rectangular columns and small quantities</v>
      </c>
      <c r="D588" s="852">
        <f>building!C151</f>
        <v>997.48</v>
      </c>
      <c r="E588" s="853" t="str">
        <f>building!D151</f>
        <v>Sqm</v>
      </c>
      <c r="F588" s="852">
        <f t="shared" si="9"/>
        <v>903218.14</v>
      </c>
    </row>
    <row r="589" spans="1:6" s="726" customFormat="1" ht="35.25" customHeight="1">
      <c r="A589" s="849">
        <f>building!A152</f>
        <v>0</v>
      </c>
      <c r="B589" s="855">
        <f>building!Y152</f>
        <v>0</v>
      </c>
      <c r="C589" s="856" t="str">
        <f>building!B152</f>
        <v>d.Vertical wall</v>
      </c>
      <c r="D589" s="852">
        <f>building!C152</f>
        <v>914.35</v>
      </c>
      <c r="E589" s="853" t="str">
        <f>building!D152</f>
        <v>Sqm</v>
      </c>
      <c r="F589" s="852">
        <f t="shared" si="9"/>
        <v>0</v>
      </c>
    </row>
    <row r="590" spans="1:6" s="726" customFormat="1" ht="65.25" hidden="1" customHeight="1">
      <c r="A590" s="849">
        <f>building!A153</f>
        <v>0</v>
      </c>
      <c r="B590" s="855">
        <f>building!Y153</f>
        <v>0</v>
      </c>
      <c r="C590" s="856" t="str">
        <f>building!B153</f>
        <v>e.Circular column</v>
      </c>
      <c r="D590" s="852">
        <f>building!C153</f>
        <v>1994.96</v>
      </c>
      <c r="E590" s="853" t="str">
        <f>building!D153</f>
        <v>Sqm</v>
      </c>
      <c r="F590" s="852">
        <f t="shared" si="9"/>
        <v>0</v>
      </c>
    </row>
    <row r="591" spans="1:6" s="726" customFormat="1" ht="30" customHeight="1">
      <c r="A591" s="849">
        <f>building!A154</f>
        <v>0</v>
      </c>
      <c r="B591" s="855">
        <f>building!Y154</f>
        <v>19.899999999999999</v>
      </c>
      <c r="C591" s="856" t="str">
        <f>building!B154</f>
        <v>f.Curved surface</v>
      </c>
      <c r="D591" s="852">
        <f>building!C154</f>
        <v>1246.8499999999999</v>
      </c>
      <c r="E591" s="853" t="str">
        <f>building!D154</f>
        <v>Sqm</v>
      </c>
      <c r="F591" s="852">
        <f t="shared" si="9"/>
        <v>24812.32</v>
      </c>
    </row>
    <row r="592" spans="1:6" s="726" customFormat="1" ht="36" customHeight="1">
      <c r="A592" s="849">
        <f>building!A155</f>
        <v>0</v>
      </c>
      <c r="B592" s="855">
        <f>building!Y155</f>
        <v>0</v>
      </c>
      <c r="C592" s="856" t="str">
        <f>building!B155</f>
        <v>g.Double centering portico area</v>
      </c>
      <c r="D592" s="852">
        <f>building!C155</f>
        <v>1662.46</v>
      </c>
      <c r="E592" s="853" t="str">
        <f>building!D155</f>
        <v>Sqm</v>
      </c>
      <c r="F592" s="852">
        <f t="shared" si="9"/>
        <v>0</v>
      </c>
    </row>
    <row r="593" spans="1:6" s="726" customFormat="1" ht="70.5" customHeight="1">
      <c r="A593" s="849">
        <f>building!A156</f>
        <v>21.6</v>
      </c>
      <c r="B593" s="850">
        <f>building!Y156</f>
        <v>0</v>
      </c>
      <c r="C593" s="851" t="str">
        <f>building!B156</f>
        <v>R.C.C.Door frames of size 100 x 75mm with one edge grooves size 't' x 20 mm using M20 grade ( with out vibrating charges)</v>
      </c>
      <c r="D593" s="852">
        <f>building!C156</f>
        <v>0</v>
      </c>
      <c r="E593" s="853">
        <f>building!D156</f>
        <v>0</v>
      </c>
      <c r="F593" s="852"/>
    </row>
    <row r="594" spans="1:6" s="726" customFormat="1" ht="33" customHeight="1">
      <c r="A594" s="849">
        <f>building!A157</f>
        <v>0</v>
      </c>
      <c r="B594" s="855">
        <f>building!Y157</f>
        <v>0</v>
      </c>
      <c r="C594" s="856" t="str">
        <f>building!B157</f>
        <v>a. 900 x 2100 mm</v>
      </c>
      <c r="D594" s="852">
        <f>building!C157</f>
        <v>2442.37</v>
      </c>
      <c r="E594" s="853" t="str">
        <f>building!D157</f>
        <v>Each</v>
      </c>
      <c r="F594" s="852">
        <f t="shared" si="9"/>
        <v>0</v>
      </c>
    </row>
    <row r="595" spans="1:6" s="726" customFormat="1" ht="17.25" hidden="1">
      <c r="A595" s="849" t="e">
        <f>building!#REF!</f>
        <v>#REF!</v>
      </c>
      <c r="B595" s="855" t="e">
        <f>building!#REF!</f>
        <v>#REF!</v>
      </c>
      <c r="C595" s="856" t="e">
        <f>building!#REF!</f>
        <v>#REF!</v>
      </c>
      <c r="D595" s="852" t="e">
        <f>building!#REF!</f>
        <v>#REF!</v>
      </c>
      <c r="E595" s="853" t="e">
        <f>building!#REF!</f>
        <v>#REF!</v>
      </c>
      <c r="F595" s="852" t="e">
        <f t="shared" si="9"/>
        <v>#REF!</v>
      </c>
    </row>
    <row r="596" spans="1:6" s="726" customFormat="1" ht="33.75" customHeight="1">
      <c r="A596" s="849">
        <f>building!A158</f>
        <v>0</v>
      </c>
      <c r="B596" s="855">
        <f>building!Y158</f>
        <v>0</v>
      </c>
      <c r="C596" s="856" t="str">
        <f>building!B158</f>
        <v>c. 1000 x 2100 mm</v>
      </c>
      <c r="D596" s="852">
        <f>building!C158</f>
        <v>2462.2399999999998</v>
      </c>
      <c r="E596" s="853" t="str">
        <f>building!D158</f>
        <v>Each</v>
      </c>
      <c r="F596" s="852">
        <f t="shared" si="9"/>
        <v>0</v>
      </c>
    </row>
    <row r="597" spans="1:6" s="726" customFormat="1" ht="17.25" hidden="1">
      <c r="A597" s="849">
        <f>building!A159</f>
        <v>0</v>
      </c>
      <c r="B597" s="855">
        <f>building!Y159</f>
        <v>0</v>
      </c>
      <c r="C597" s="856" t="str">
        <f>building!B159</f>
        <v>d. 750 x 2100 mm</v>
      </c>
      <c r="D597" s="852">
        <f>building!C159</f>
        <v>2408.6799999999998</v>
      </c>
      <c r="E597" s="853" t="str">
        <f>building!D159</f>
        <v>Each</v>
      </c>
      <c r="F597" s="852">
        <f t="shared" si="9"/>
        <v>0</v>
      </c>
    </row>
    <row r="598" spans="1:6" s="726" customFormat="1" ht="17.25" hidden="1">
      <c r="A598" s="849" t="e">
        <f>building!#REF!</f>
        <v>#REF!</v>
      </c>
      <c r="B598" s="855" t="e">
        <f>building!#REF!</f>
        <v>#REF!</v>
      </c>
      <c r="C598" s="856" t="e">
        <f>building!#REF!</f>
        <v>#REF!</v>
      </c>
      <c r="D598" s="852" t="e">
        <f>building!#REF!</f>
        <v>#REF!</v>
      </c>
      <c r="E598" s="853" t="e">
        <f>building!#REF!</f>
        <v>#REF!</v>
      </c>
      <c r="F598" s="852" t="e">
        <f t="shared" si="9"/>
        <v>#REF!</v>
      </c>
    </row>
    <row r="599" spans="1:6" s="726" customFormat="1" ht="17.25" hidden="1">
      <c r="A599" s="849" t="e">
        <f>building!#REF!</f>
        <v>#REF!</v>
      </c>
      <c r="B599" s="855" t="e">
        <f>building!#REF!</f>
        <v>#REF!</v>
      </c>
      <c r="C599" s="856" t="e">
        <f>building!#REF!</f>
        <v>#REF!</v>
      </c>
      <c r="D599" s="852" t="e">
        <f>building!#REF!</f>
        <v>#REF!</v>
      </c>
      <c r="E599" s="853" t="e">
        <f>building!#REF!</f>
        <v>#REF!</v>
      </c>
      <c r="F599" s="852" t="e">
        <f t="shared" si="9"/>
        <v>#REF!</v>
      </c>
    </row>
    <row r="600" spans="1:6" ht="15.75" hidden="1">
      <c r="A600" s="849" t="e">
        <f>building!#REF!</f>
        <v>#REF!</v>
      </c>
      <c r="B600" s="855" t="e">
        <f>building!#REF!</f>
        <v>#REF!</v>
      </c>
      <c r="C600" s="856" t="e">
        <f>building!#REF!</f>
        <v>#REF!</v>
      </c>
      <c r="D600" s="852" t="e">
        <f>building!#REF!</f>
        <v>#REF!</v>
      </c>
      <c r="E600" s="853" t="e">
        <f>building!#REF!</f>
        <v>#REF!</v>
      </c>
      <c r="F600" s="852" t="e">
        <f t="shared" si="9"/>
        <v>#REF!</v>
      </c>
    </row>
    <row r="601" spans="1:6" ht="27" hidden="1" customHeight="1">
      <c r="A601" s="849" t="e">
        <f>building!#REF!</f>
        <v>#REF!</v>
      </c>
      <c r="B601" s="855" t="e">
        <f>building!#REF!</f>
        <v>#REF!</v>
      </c>
      <c r="C601" s="856" t="e">
        <f>building!#REF!</f>
        <v>#REF!</v>
      </c>
      <c r="D601" s="852" t="e">
        <f>building!#REF!</f>
        <v>#REF!</v>
      </c>
      <c r="E601" s="853" t="e">
        <f>building!#REF!</f>
        <v>#REF!</v>
      </c>
      <c r="F601" s="852" t="e">
        <f t="shared" si="9"/>
        <v>#REF!</v>
      </c>
    </row>
    <row r="602" spans="1:6" s="726" customFormat="1" ht="57.6" hidden="1" customHeight="1">
      <c r="A602" s="849" t="e">
        <f>building!#REF!</f>
        <v>#REF!</v>
      </c>
      <c r="B602" s="855" t="e">
        <f>building!#REF!</f>
        <v>#REF!</v>
      </c>
      <c r="C602" s="856" t="e">
        <f>building!#REF!</f>
        <v>#REF!</v>
      </c>
      <c r="D602" s="852" t="e">
        <f>building!#REF!</f>
        <v>#REF!</v>
      </c>
      <c r="E602" s="853" t="e">
        <f>building!#REF!</f>
        <v>#REF!</v>
      </c>
      <c r="F602" s="852" t="e">
        <f t="shared" si="9"/>
        <v>#REF!</v>
      </c>
    </row>
    <row r="603" spans="1:6" s="726" customFormat="1" ht="23.25" hidden="1" customHeight="1">
      <c r="A603" s="849" t="e">
        <f>building!#REF!</f>
        <v>#REF!</v>
      </c>
      <c r="B603" s="855" t="e">
        <f>building!#REF!</f>
        <v>#REF!</v>
      </c>
      <c r="C603" s="856" t="e">
        <f>building!#REF!</f>
        <v>#REF!</v>
      </c>
      <c r="D603" s="852" t="e">
        <f>building!#REF!</f>
        <v>#REF!</v>
      </c>
      <c r="E603" s="853" t="e">
        <f>building!#REF!</f>
        <v>#REF!</v>
      </c>
      <c r="F603" s="852" t="e">
        <f t="shared" si="9"/>
        <v>#REF!</v>
      </c>
    </row>
    <row r="604" spans="1:6" s="726" customFormat="1" ht="27" hidden="1" customHeight="1">
      <c r="A604" s="849" t="str">
        <f>building!A160</f>
        <v>22.3.2</v>
      </c>
      <c r="B604" s="855">
        <f>building!Y160</f>
        <v>37.799999999999997</v>
      </c>
      <c r="C604" s="856" t="str">
        <f>building!B160</f>
        <v>Providing Cup-board Shutter with frame using termite / water proof plywood of 19mm thick over which laminated sheet of 0.8mm thick fixed inside the shutter and 1mm thick fixed in the outside of the shutter using fevicol along with necessary
furniture fittings, such as, hydralic hinges, tower bolt,
handles, multi purpose locks etc., as directed by the
Departmental Officers. The design pattern, water proof
plywood, laminate sheet and other materials should be got approved from the Executive Engineer befoe use on work.</v>
      </c>
      <c r="D604" s="852">
        <f>building!C160</f>
        <v>4998</v>
      </c>
      <c r="E604" s="853" t="str">
        <f>building!D160</f>
        <v>Sqm/SOR22</v>
      </c>
      <c r="F604" s="852">
        <f t="shared" si="9"/>
        <v>188924.4</v>
      </c>
    </row>
    <row r="605" spans="1:6" s="726" customFormat="1" ht="61.5" customHeight="1">
      <c r="A605" s="849">
        <f>building!A161</f>
        <v>0</v>
      </c>
      <c r="B605" s="855">
        <f>building!Y161</f>
        <v>9.5</v>
      </c>
      <c r="C605" s="856" t="str">
        <f>building!B161</f>
        <v>Providing of 35mm thick factory made pre-laminated ABS (Acrolynitrile Butadiene Styrene) Door Shutter moulded in different designs, consisting of all round frame made out of water proof solid foam PVC bar of size 20 x 32mm, reinforced by 32 x 32mm - 2 Nos., for vertical made out of LVL (Laminated Veneer Lumber), core material of 32mm thick high density craft paper honey comb board, sandwiched on both sides with pre-laminated ABS sheet thickness of 1.5mm. PVC edge banding of size 0.45mm on the vertical sides. Hardware made out of steel coated butterfly hinges - 3 Nos.,
for each shutter and ISI make SS round lock complete for
finished item of work, complete complying with the standard specification. The door shutter and frame should be got approved from the Executive Engineer before use on work</v>
      </c>
      <c r="D605" s="852">
        <f>building!C161</f>
        <v>5888</v>
      </c>
      <c r="E605" s="853" t="str">
        <f>building!D161</f>
        <v>Sqm/SOR22</v>
      </c>
      <c r="F605" s="852">
        <f t="shared" si="9"/>
        <v>55936</v>
      </c>
    </row>
    <row r="606" spans="1:6" s="726" customFormat="1" ht="63" customHeight="1">
      <c r="A606" s="849">
        <f>building!A162</f>
        <v>0</v>
      </c>
      <c r="B606" s="855">
        <f>building!Y162</f>
        <v>0</v>
      </c>
      <c r="C606" s="856" t="str">
        <f>building!B162</f>
        <v>T.W. frame &amp; TW styles &amp; rails with BWR double leaf shutters for cup board/ ward robes including two coat enamel paint &amp; one coat primer.</v>
      </c>
      <c r="D606" s="852">
        <f>building!C162</f>
        <v>4024.1</v>
      </c>
      <c r="E606" s="853" t="str">
        <f>building!D162</f>
        <v>Sqm</v>
      </c>
      <c r="F606" s="852">
        <f t="shared" si="9"/>
        <v>0</v>
      </c>
    </row>
    <row r="607" spans="1:6" s="726" customFormat="1" ht="49.5" hidden="1" customHeight="1">
      <c r="A607" s="849" t="e">
        <f>building!#REF!</f>
        <v>#REF!</v>
      </c>
      <c r="B607" s="855" t="e">
        <f>building!#REF!</f>
        <v>#REF!</v>
      </c>
      <c r="C607" s="856" t="e">
        <f>building!#REF!</f>
        <v>#REF!</v>
      </c>
      <c r="D607" s="852" t="e">
        <f>building!#REF!</f>
        <v>#REF!</v>
      </c>
      <c r="E607" s="853" t="e">
        <f>building!#REF!</f>
        <v>#REF!</v>
      </c>
      <c r="F607" s="852" t="e">
        <f t="shared" si="9"/>
        <v>#REF!</v>
      </c>
    </row>
    <row r="608" spans="1:6" s="726" customFormat="1" ht="22.5" hidden="1" customHeight="1">
      <c r="A608" s="849" t="e">
        <f>building!#REF!</f>
        <v>#REF!</v>
      </c>
      <c r="B608" s="855" t="e">
        <f>building!#REF!</f>
        <v>#REF!</v>
      </c>
      <c r="C608" s="856" t="e">
        <f>building!#REF!</f>
        <v>#REF!</v>
      </c>
      <c r="D608" s="852" t="e">
        <f>building!#REF!</f>
        <v>#REF!</v>
      </c>
      <c r="E608" s="853" t="e">
        <f>building!#REF!</f>
        <v>#REF!</v>
      </c>
      <c r="F608" s="852" t="e">
        <f t="shared" si="9"/>
        <v>#REF!</v>
      </c>
    </row>
    <row r="609" spans="1:6" s="726" customFormat="1" ht="33" hidden="1" customHeight="1">
      <c r="A609" s="849" t="e">
        <f>building!#REF!</f>
        <v>#REF!</v>
      </c>
      <c r="B609" s="855" t="e">
        <f>building!#REF!</f>
        <v>#REF!</v>
      </c>
      <c r="C609" s="856" t="e">
        <f>building!#REF!</f>
        <v>#REF!</v>
      </c>
      <c r="D609" s="852" t="e">
        <f>building!#REF!</f>
        <v>#REF!</v>
      </c>
      <c r="E609" s="853" t="e">
        <f>building!#REF!</f>
        <v>#REF!</v>
      </c>
      <c r="F609" s="852" t="e">
        <f t="shared" si="9"/>
        <v>#REF!</v>
      </c>
    </row>
    <row r="610" spans="1:6" s="726" customFormat="1" ht="37.9" hidden="1" customHeight="1">
      <c r="A610" s="849" t="e">
        <f>building!#REF!</f>
        <v>#REF!</v>
      </c>
      <c r="B610" s="855" t="e">
        <f>building!#REF!</f>
        <v>#REF!</v>
      </c>
      <c r="C610" s="856" t="e">
        <f>building!#REF!</f>
        <v>#REF!</v>
      </c>
      <c r="D610" s="852" t="e">
        <f>building!#REF!</f>
        <v>#REF!</v>
      </c>
      <c r="E610" s="853" t="e">
        <f>building!#REF!</f>
        <v>#REF!</v>
      </c>
      <c r="F610" s="852" t="e">
        <f t="shared" si="9"/>
        <v>#REF!</v>
      </c>
    </row>
    <row r="611" spans="1:6" s="726" customFormat="1" ht="36.75" customHeight="1">
      <c r="A611" s="849">
        <f>building!A163</f>
        <v>0</v>
      </c>
      <c r="B611" s="850">
        <f>building!Y163</f>
        <v>0</v>
      </c>
      <c r="C611" s="851" t="str">
        <f>building!B163</f>
        <v>TW panelled  single door shutter with brass fittings.</v>
      </c>
      <c r="D611" s="852">
        <f>building!C163</f>
        <v>0</v>
      </c>
      <c r="E611" s="853">
        <f>building!D163</f>
        <v>0</v>
      </c>
      <c r="F611" s="852"/>
    </row>
    <row r="612" spans="1:6" s="726" customFormat="1" ht="29.25" customHeight="1">
      <c r="A612" s="849">
        <f>building!A164</f>
        <v>0</v>
      </c>
      <c r="B612" s="855">
        <f>building!Y164</f>
        <v>44.1</v>
      </c>
      <c r="C612" s="856" t="str">
        <f>building!B164</f>
        <v>a. 1000X2100mm.(Single leaf) For Qtrs</v>
      </c>
      <c r="D612" s="852">
        <f>building!C164</f>
        <v>6399.66</v>
      </c>
      <c r="E612" s="853" t="str">
        <f>building!D164</f>
        <v>Sqm</v>
      </c>
      <c r="F612" s="852">
        <f t="shared" si="9"/>
        <v>282225.01</v>
      </c>
    </row>
    <row r="613" spans="1:6" s="726" customFormat="1" ht="65.25" hidden="1" customHeight="1">
      <c r="A613" s="849">
        <f>building!A165</f>
        <v>0</v>
      </c>
      <c r="B613" s="855">
        <f>building!Y165</f>
        <v>0</v>
      </c>
      <c r="C613" s="856" t="str">
        <f>building!B165</f>
        <v>b.1200x2400mm</v>
      </c>
      <c r="D613" s="852">
        <f>building!C165</f>
        <v>0</v>
      </c>
      <c r="E613" s="853">
        <f>building!D165</f>
        <v>0</v>
      </c>
      <c r="F613" s="852">
        <f t="shared" si="9"/>
        <v>0</v>
      </c>
    </row>
    <row r="614" spans="1:6" s="726" customFormat="1" ht="41.25" hidden="1" customHeight="1">
      <c r="A614" s="849" t="e">
        <f>building!#REF!</f>
        <v>#REF!</v>
      </c>
      <c r="B614" s="855" t="e">
        <f>building!#REF!</f>
        <v>#REF!</v>
      </c>
      <c r="C614" s="856" t="e">
        <f>building!#REF!</f>
        <v>#REF!</v>
      </c>
      <c r="D614" s="852" t="e">
        <f>building!#REF!</f>
        <v>#REF!</v>
      </c>
      <c r="E614" s="853" t="e">
        <f>building!#REF!</f>
        <v>#REF!</v>
      </c>
      <c r="F614" s="852" t="e">
        <f t="shared" si="9"/>
        <v>#REF!</v>
      </c>
    </row>
    <row r="615" spans="1:6" s="726" customFormat="1" ht="33.75" hidden="1" customHeight="1">
      <c r="A615" s="849" t="e">
        <f>building!#REF!</f>
        <v>#REF!</v>
      </c>
      <c r="B615" s="855" t="e">
        <f>building!#REF!</f>
        <v>#REF!</v>
      </c>
      <c r="C615" s="856" t="e">
        <f>building!#REF!</f>
        <v>#REF!</v>
      </c>
      <c r="D615" s="852" t="e">
        <f>building!#REF!</f>
        <v>#REF!</v>
      </c>
      <c r="E615" s="853" t="e">
        <f>building!#REF!</f>
        <v>#REF!</v>
      </c>
      <c r="F615" s="852" t="e">
        <f t="shared" si="9"/>
        <v>#REF!</v>
      </c>
    </row>
    <row r="616" spans="1:6" s="726" customFormat="1" ht="44.45" hidden="1" customHeight="1">
      <c r="A616" s="849" t="e">
        <f>building!#REF!</f>
        <v>#REF!</v>
      </c>
      <c r="B616" s="855" t="e">
        <f>building!#REF!</f>
        <v>#REF!</v>
      </c>
      <c r="C616" s="856" t="e">
        <f>building!#REF!</f>
        <v>#REF!</v>
      </c>
      <c r="D616" s="852" t="e">
        <f>building!#REF!</f>
        <v>#REF!</v>
      </c>
      <c r="E616" s="853" t="e">
        <f>building!#REF!</f>
        <v>#REF!</v>
      </c>
      <c r="F616" s="852" t="e">
        <f t="shared" si="9"/>
        <v>#REF!</v>
      </c>
    </row>
    <row r="617" spans="1:6" s="726" customFormat="1" ht="35.25" hidden="1" customHeight="1">
      <c r="A617" s="849">
        <f>building!A166</f>
        <v>0</v>
      </c>
      <c r="B617" s="855">
        <f>building!Y166</f>
        <v>0</v>
      </c>
      <c r="C617" s="856" t="str">
        <f>building!B166</f>
        <v>TW double leaves shutter  with Brass Fittings</v>
      </c>
      <c r="D617" s="852">
        <f>building!C166</f>
        <v>0</v>
      </c>
      <c r="E617" s="853">
        <f>building!D166</f>
        <v>0</v>
      </c>
      <c r="F617" s="852">
        <f t="shared" si="9"/>
        <v>0</v>
      </c>
    </row>
    <row r="618" spans="1:6" s="726" customFormat="1" ht="31.15" hidden="1" customHeight="1">
      <c r="A618" s="849" t="e">
        <f>building!#REF!</f>
        <v>#REF!</v>
      </c>
      <c r="B618" s="855" t="e">
        <f>building!#REF!</f>
        <v>#REF!</v>
      </c>
      <c r="C618" s="856" t="e">
        <f>building!#REF!</f>
        <v>#REF!</v>
      </c>
      <c r="D618" s="852" t="e">
        <f>building!#REF!</f>
        <v>#REF!</v>
      </c>
      <c r="E618" s="853" t="e">
        <f>building!#REF!</f>
        <v>#REF!</v>
      </c>
      <c r="F618" s="852" t="e">
        <f t="shared" si="9"/>
        <v>#REF!</v>
      </c>
    </row>
    <row r="619" spans="1:6" s="726" customFormat="1" ht="56.25" hidden="1" customHeight="1">
      <c r="A619" s="849" t="e">
        <f>building!#REF!</f>
        <v>#REF!</v>
      </c>
      <c r="B619" s="855" t="e">
        <f>building!#REF!</f>
        <v>#REF!</v>
      </c>
      <c r="C619" s="856" t="e">
        <f>building!#REF!</f>
        <v>#REF!</v>
      </c>
      <c r="D619" s="852" t="e">
        <f>building!#REF!</f>
        <v>#REF!</v>
      </c>
      <c r="E619" s="853" t="e">
        <f>building!#REF!</f>
        <v>#REF!</v>
      </c>
      <c r="F619" s="852" t="e">
        <f t="shared" si="9"/>
        <v>#REF!</v>
      </c>
    </row>
    <row r="620" spans="1:6" s="726" customFormat="1" ht="31.15" hidden="1" customHeight="1">
      <c r="A620" s="849" t="e">
        <f>building!#REF!</f>
        <v>#REF!</v>
      </c>
      <c r="B620" s="855" t="e">
        <f>building!#REF!</f>
        <v>#REF!</v>
      </c>
      <c r="C620" s="856" t="e">
        <f>building!#REF!</f>
        <v>#REF!</v>
      </c>
      <c r="D620" s="852" t="e">
        <f>building!#REF!</f>
        <v>#REF!</v>
      </c>
      <c r="E620" s="853" t="e">
        <f>building!#REF!</f>
        <v>#REF!</v>
      </c>
      <c r="F620" s="852" t="e">
        <f t="shared" si="9"/>
        <v>#REF!</v>
      </c>
    </row>
    <row r="621" spans="1:6" s="726" customFormat="1" ht="23.25" hidden="1" customHeight="1">
      <c r="A621" s="849" t="e">
        <f>building!#REF!</f>
        <v>#REF!</v>
      </c>
      <c r="B621" s="855" t="e">
        <f>building!#REF!</f>
        <v>#REF!</v>
      </c>
      <c r="C621" s="856" t="e">
        <f>building!#REF!</f>
        <v>#REF!</v>
      </c>
      <c r="D621" s="852" t="e">
        <f>building!#REF!</f>
        <v>#REF!</v>
      </c>
      <c r="E621" s="853" t="e">
        <f>building!#REF!</f>
        <v>#REF!</v>
      </c>
      <c r="F621" s="852" t="e">
        <f t="shared" si="9"/>
        <v>#REF!</v>
      </c>
    </row>
    <row r="622" spans="1:6" s="726" customFormat="1" ht="29.25" hidden="1" customHeight="1">
      <c r="A622" s="849">
        <f>building!A167</f>
        <v>0</v>
      </c>
      <c r="B622" s="855">
        <f>building!Y167</f>
        <v>15.8</v>
      </c>
      <c r="C622" s="856" t="str">
        <f>building!B167</f>
        <v>a. 1500X2100mm.(Double leaves) with Brass fittings</v>
      </c>
      <c r="D622" s="852">
        <f>building!C167</f>
        <v>5846.33</v>
      </c>
      <c r="E622" s="853" t="str">
        <f>building!D167</f>
        <v>Sqm</v>
      </c>
      <c r="F622" s="852">
        <f t="shared" si="9"/>
        <v>92372.01</v>
      </c>
    </row>
    <row r="623" spans="1:6" s="726" customFormat="1" ht="51" hidden="1" customHeight="1">
      <c r="A623" s="849" t="e">
        <f>building!#REF!</f>
        <v>#REF!</v>
      </c>
      <c r="B623" s="855" t="e">
        <f>building!#REF!</f>
        <v>#REF!</v>
      </c>
      <c r="C623" s="856" t="e">
        <f>building!#REF!</f>
        <v>#REF!</v>
      </c>
      <c r="D623" s="852" t="e">
        <f>building!#REF!</f>
        <v>#REF!</v>
      </c>
      <c r="E623" s="853" t="e">
        <f>building!#REF!</f>
        <v>#REF!</v>
      </c>
      <c r="F623" s="852" t="e">
        <f t="shared" si="9"/>
        <v>#REF!</v>
      </c>
    </row>
    <row r="624" spans="1:6" s="726" customFormat="1" ht="56.25" hidden="1" customHeight="1">
      <c r="A624" s="849" t="e">
        <f>building!#REF!</f>
        <v>#REF!</v>
      </c>
      <c r="B624" s="855" t="e">
        <f>building!#REF!</f>
        <v>#REF!</v>
      </c>
      <c r="C624" s="856" t="e">
        <f>building!#REF!</f>
        <v>#REF!</v>
      </c>
      <c r="D624" s="852" t="e">
        <f>building!#REF!</f>
        <v>#REF!</v>
      </c>
      <c r="E624" s="853" t="e">
        <f>building!#REF!</f>
        <v>#REF!</v>
      </c>
      <c r="F624" s="852" t="e">
        <f t="shared" si="9"/>
        <v>#REF!</v>
      </c>
    </row>
    <row r="625" spans="1:6" ht="23.25" hidden="1" customHeight="1">
      <c r="A625" s="849" t="e">
        <f>building!#REF!</f>
        <v>#REF!</v>
      </c>
      <c r="B625" s="855" t="e">
        <f>building!#REF!</f>
        <v>#REF!</v>
      </c>
      <c r="C625" s="856" t="e">
        <f>building!#REF!</f>
        <v>#REF!</v>
      </c>
      <c r="D625" s="852" t="e">
        <f>building!#REF!</f>
        <v>#REF!</v>
      </c>
      <c r="E625" s="853" t="e">
        <f>building!#REF!</f>
        <v>#REF!</v>
      </c>
      <c r="F625" s="852" t="e">
        <f t="shared" si="9"/>
        <v>#REF!</v>
      </c>
    </row>
    <row r="626" spans="1:6" s="726" customFormat="1" ht="32.25" hidden="1" customHeight="1">
      <c r="A626" s="849" t="e">
        <f>building!#REF!</f>
        <v>#REF!</v>
      </c>
      <c r="B626" s="855" t="e">
        <f>building!#REF!</f>
        <v>#REF!</v>
      </c>
      <c r="C626" s="856" t="e">
        <f>building!#REF!</f>
        <v>#REF!</v>
      </c>
      <c r="D626" s="852" t="e">
        <f>building!#REF!</f>
        <v>#REF!</v>
      </c>
      <c r="E626" s="853" t="e">
        <f>building!#REF!</f>
        <v>#REF!</v>
      </c>
      <c r="F626" s="852" t="e">
        <f t="shared" si="9"/>
        <v>#REF!</v>
      </c>
    </row>
    <row r="627" spans="1:6" ht="39.75" hidden="1" customHeight="1">
      <c r="A627" s="849" t="e">
        <f>building!#REF!</f>
        <v>#REF!</v>
      </c>
      <c r="B627" s="855" t="e">
        <f>building!#REF!</f>
        <v>#REF!</v>
      </c>
      <c r="C627" s="856" t="e">
        <f>building!#REF!</f>
        <v>#REF!</v>
      </c>
      <c r="D627" s="852" t="e">
        <f>building!#REF!</f>
        <v>#REF!</v>
      </c>
      <c r="E627" s="853" t="e">
        <f>building!#REF!</f>
        <v>#REF!</v>
      </c>
      <c r="F627" s="852" t="e">
        <f t="shared" si="9"/>
        <v>#REF!</v>
      </c>
    </row>
    <row r="628" spans="1:6" s="726" customFormat="1" ht="51.75" customHeight="1">
      <c r="A628" s="849" t="e">
        <f>building!#REF!</f>
        <v>#REF!</v>
      </c>
      <c r="B628" s="855" t="e">
        <f>building!#REF!</f>
        <v>#REF!</v>
      </c>
      <c r="C628" s="856" t="e">
        <f>building!#REF!</f>
        <v>#REF!</v>
      </c>
      <c r="D628" s="852" t="e">
        <f>building!#REF!</f>
        <v>#REF!</v>
      </c>
      <c r="E628" s="853" t="e">
        <f>building!#REF!</f>
        <v>#REF!</v>
      </c>
      <c r="F628" s="852" t="e">
        <f t="shared" si="9"/>
        <v>#REF!</v>
      </c>
    </row>
    <row r="629" spans="1:6" s="726" customFormat="1" ht="60.6" hidden="1" customHeight="1">
      <c r="A629" s="849" t="e">
        <f>building!#REF!</f>
        <v>#REF!</v>
      </c>
      <c r="B629" s="855" t="e">
        <f>building!#REF!</f>
        <v>#REF!</v>
      </c>
      <c r="C629" s="856" t="e">
        <f>building!#REF!</f>
        <v>#REF!</v>
      </c>
      <c r="D629" s="852" t="e">
        <f>building!#REF!</f>
        <v>#REF!</v>
      </c>
      <c r="E629" s="853" t="e">
        <f>building!#REF!</f>
        <v>#REF!</v>
      </c>
      <c r="F629" s="852" t="e">
        <f t="shared" si="9"/>
        <v>#REF!</v>
      </c>
    </row>
    <row r="630" spans="1:6" ht="66.75" hidden="1" customHeight="1">
      <c r="A630" s="849" t="e">
        <f>building!#REF!</f>
        <v>#REF!</v>
      </c>
      <c r="B630" s="855" t="e">
        <f>building!#REF!</f>
        <v>#REF!</v>
      </c>
      <c r="C630" s="856" t="e">
        <f>building!#REF!</f>
        <v>#REF!</v>
      </c>
      <c r="D630" s="852" t="e">
        <f>building!#REF!</f>
        <v>#REF!</v>
      </c>
      <c r="E630" s="853" t="e">
        <f>building!#REF!</f>
        <v>#REF!</v>
      </c>
      <c r="F630" s="852" t="e">
        <f t="shared" si="9"/>
        <v>#REF!</v>
      </c>
    </row>
    <row r="631" spans="1:6" s="726" customFormat="1" ht="39.75" customHeight="1">
      <c r="A631" s="849" t="str">
        <f>building!A168</f>
        <v>21.5.2</v>
      </c>
      <c r="B631" s="855">
        <f>building!Y168</f>
        <v>17.399999999999999</v>
      </c>
      <c r="C631" s="856" t="str">
        <f>building!B168</f>
        <v>Supply and Fixing Soild UPVC door Shutter with frame</v>
      </c>
      <c r="D631" s="852">
        <f>building!C168</f>
        <v>3167</v>
      </c>
      <c r="E631" s="853" t="str">
        <f>building!D168</f>
        <v>Sqm</v>
      </c>
      <c r="F631" s="852">
        <f t="shared" si="9"/>
        <v>55105.8</v>
      </c>
    </row>
    <row r="632" spans="1:6" ht="21" hidden="1" customHeight="1">
      <c r="A632" s="849" t="str">
        <f>building!A169</f>
        <v>23.2.1</v>
      </c>
      <c r="B632" s="855">
        <f>building!Y169</f>
        <v>0</v>
      </c>
      <c r="C632" s="856" t="str">
        <f>building!B169</f>
        <v>4mm thick pin headed Glass panels with Aluminium beedings</v>
      </c>
      <c r="D632" s="852">
        <f>building!C169</f>
        <v>708.1</v>
      </c>
      <c r="E632" s="853" t="str">
        <f>building!D169</f>
        <v>Sqm</v>
      </c>
      <c r="F632" s="852">
        <f t="shared" si="9"/>
        <v>0</v>
      </c>
    </row>
    <row r="633" spans="1:6" s="726" customFormat="1" ht="21" hidden="1" customHeight="1">
      <c r="A633" s="849" t="e">
        <f>building!#REF!</f>
        <v>#REF!</v>
      </c>
      <c r="B633" s="855" t="e">
        <f>building!#REF!</f>
        <v>#REF!</v>
      </c>
      <c r="C633" s="856" t="e">
        <f>building!#REF!</f>
        <v>#REF!</v>
      </c>
      <c r="D633" s="852" t="e">
        <f>building!#REF!</f>
        <v>#REF!</v>
      </c>
      <c r="E633" s="853" t="e">
        <f>building!#REF!</f>
        <v>#REF!</v>
      </c>
      <c r="F633" s="852" t="e">
        <f t="shared" si="9"/>
        <v>#REF!</v>
      </c>
    </row>
    <row r="634" spans="1:6" ht="21" hidden="1" customHeight="1">
      <c r="A634" s="849" t="e">
        <f>building!#REF!</f>
        <v>#REF!</v>
      </c>
      <c r="B634" s="855" t="e">
        <f>building!#REF!</f>
        <v>#REF!</v>
      </c>
      <c r="C634" s="856" t="e">
        <f>building!#REF!</f>
        <v>#REF!</v>
      </c>
      <c r="D634" s="852" t="e">
        <f>building!#REF!</f>
        <v>#REF!</v>
      </c>
      <c r="E634" s="853" t="e">
        <f>building!#REF!</f>
        <v>#REF!</v>
      </c>
      <c r="F634" s="852" t="e">
        <f t="shared" si="9"/>
        <v>#REF!</v>
      </c>
    </row>
    <row r="635" spans="1:6" ht="36" hidden="1" customHeight="1">
      <c r="A635" s="849" t="e">
        <f>building!#REF!</f>
        <v>#REF!</v>
      </c>
      <c r="B635" s="855" t="e">
        <f>building!#REF!</f>
        <v>#REF!</v>
      </c>
      <c r="C635" s="856" t="e">
        <f>building!#REF!</f>
        <v>#REF!</v>
      </c>
      <c r="D635" s="852" t="e">
        <f>building!#REF!</f>
        <v>#REF!</v>
      </c>
      <c r="E635" s="853" t="e">
        <f>building!#REF!</f>
        <v>#REF!</v>
      </c>
      <c r="F635" s="852" t="e">
        <f t="shared" si="9"/>
        <v>#REF!</v>
      </c>
    </row>
    <row r="636" spans="1:6" ht="33.75" hidden="1" customHeight="1">
      <c r="A636" s="849" t="e">
        <f>building!#REF!</f>
        <v>#REF!</v>
      </c>
      <c r="B636" s="855" t="e">
        <f>building!#REF!</f>
        <v>#REF!</v>
      </c>
      <c r="C636" s="856" t="e">
        <f>building!#REF!</f>
        <v>#REF!</v>
      </c>
      <c r="D636" s="852" t="e">
        <f>building!#REF!</f>
        <v>#REF!</v>
      </c>
      <c r="E636" s="853" t="e">
        <f>building!#REF!</f>
        <v>#REF!</v>
      </c>
      <c r="F636" s="852" t="e">
        <f t="shared" si="9"/>
        <v>#REF!</v>
      </c>
    </row>
    <row r="637" spans="1:6" s="726" customFormat="1" ht="33" hidden="1" customHeight="1">
      <c r="A637" s="849" t="e">
        <f>building!#REF!</f>
        <v>#REF!</v>
      </c>
      <c r="B637" s="855" t="e">
        <f>building!#REF!</f>
        <v>#REF!</v>
      </c>
      <c r="C637" s="856" t="e">
        <f>building!#REF!</f>
        <v>#REF!</v>
      </c>
      <c r="D637" s="852" t="e">
        <f>building!#REF!</f>
        <v>#REF!</v>
      </c>
      <c r="E637" s="853" t="e">
        <f>building!#REF!</f>
        <v>#REF!</v>
      </c>
      <c r="F637" s="852" t="e">
        <f t="shared" si="9"/>
        <v>#REF!</v>
      </c>
    </row>
    <row r="638" spans="1:6" s="726" customFormat="1" ht="71.25" hidden="1" customHeight="1">
      <c r="A638" s="849" t="e">
        <f>building!#REF!</f>
        <v>#REF!</v>
      </c>
      <c r="B638" s="855" t="e">
        <f>building!#REF!</f>
        <v>#REF!</v>
      </c>
      <c r="C638" s="856" t="e">
        <f>building!#REF!</f>
        <v>#REF!</v>
      </c>
      <c r="D638" s="852" t="e">
        <f>building!#REF!</f>
        <v>#REF!</v>
      </c>
      <c r="E638" s="853" t="e">
        <f>building!#REF!</f>
        <v>#REF!</v>
      </c>
      <c r="F638" s="852" t="e">
        <f t="shared" si="9"/>
        <v>#REF!</v>
      </c>
    </row>
    <row r="639" spans="1:6" s="726" customFormat="1" ht="39" customHeight="1">
      <c r="A639" s="849" t="e">
        <f>building!#REF!</f>
        <v>#REF!</v>
      </c>
      <c r="B639" s="850" t="e">
        <f>building!#REF!</f>
        <v>#REF!</v>
      </c>
      <c r="C639" s="851" t="e">
        <f>building!#REF!</f>
        <v>#REF!</v>
      </c>
      <c r="D639" s="852" t="e">
        <f>building!#REF!</f>
        <v>#REF!</v>
      </c>
      <c r="E639" s="853" t="e">
        <f>building!#REF!</f>
        <v>#REF!</v>
      </c>
      <c r="F639" s="852"/>
    </row>
    <row r="640" spans="1:6" s="726" customFormat="1" ht="29.25" customHeight="1">
      <c r="A640" s="849" t="e">
        <f>building!#REF!</f>
        <v>#REF!</v>
      </c>
      <c r="B640" s="855" t="e">
        <f>building!#REF!</f>
        <v>#REF!</v>
      </c>
      <c r="C640" s="856" t="e">
        <f>building!#REF!</f>
        <v>#REF!</v>
      </c>
      <c r="D640" s="852" t="e">
        <f>building!#REF!</f>
        <v>#REF!</v>
      </c>
      <c r="E640" s="853" t="e">
        <f>building!#REF!</f>
        <v>#REF!</v>
      </c>
      <c r="F640" s="852" t="e">
        <f t="shared" si="9"/>
        <v>#REF!</v>
      </c>
    </row>
    <row r="641" spans="1:6" ht="36" customHeight="1">
      <c r="A641" s="849" t="e">
        <f>building!#REF!</f>
        <v>#REF!</v>
      </c>
      <c r="B641" s="855" t="e">
        <f>building!#REF!</f>
        <v>#REF!</v>
      </c>
      <c r="C641" s="856" t="e">
        <f>building!#REF!</f>
        <v>#REF!</v>
      </c>
      <c r="D641" s="852" t="e">
        <f>building!#REF!</f>
        <v>#REF!</v>
      </c>
      <c r="E641" s="853" t="e">
        <f>building!#REF!</f>
        <v>#REF!</v>
      </c>
      <c r="F641" s="852" t="e">
        <f t="shared" si="9"/>
        <v>#REF!</v>
      </c>
    </row>
    <row r="642" spans="1:6" ht="29.25" customHeight="1">
      <c r="A642" s="849" t="e">
        <f>building!#REF!</f>
        <v>#REF!</v>
      </c>
      <c r="B642" s="855" t="e">
        <f>building!#REF!</f>
        <v>#REF!</v>
      </c>
      <c r="C642" s="856" t="e">
        <f>building!#REF!</f>
        <v>#REF!</v>
      </c>
      <c r="D642" s="852" t="e">
        <f>building!#REF!</f>
        <v>#REF!</v>
      </c>
      <c r="E642" s="853" t="e">
        <f>building!#REF!</f>
        <v>#REF!</v>
      </c>
      <c r="F642" s="852" t="e">
        <f t="shared" si="9"/>
        <v>#REF!</v>
      </c>
    </row>
    <row r="643" spans="1:6" ht="24.75" hidden="1" customHeight="1">
      <c r="A643" s="849" t="e">
        <f>building!#REF!</f>
        <v>#REF!</v>
      </c>
      <c r="B643" s="855" t="e">
        <f>building!#REF!</f>
        <v>#REF!</v>
      </c>
      <c r="C643" s="856" t="e">
        <f>building!#REF!</f>
        <v>#REF!</v>
      </c>
      <c r="D643" s="852" t="e">
        <f>building!#REF!</f>
        <v>#REF!</v>
      </c>
      <c r="E643" s="853" t="e">
        <f>building!#REF!</f>
        <v>#REF!</v>
      </c>
      <c r="F643" s="852" t="e">
        <f t="shared" si="9"/>
        <v>#REF!</v>
      </c>
    </row>
    <row r="644" spans="1:6" ht="41.25" hidden="1" customHeight="1">
      <c r="A644" s="849" t="e">
        <f>building!#REF!</f>
        <v>#REF!</v>
      </c>
      <c r="B644" s="855" t="e">
        <f>building!#REF!</f>
        <v>#REF!</v>
      </c>
      <c r="C644" s="856" t="e">
        <f>building!#REF!</f>
        <v>#REF!</v>
      </c>
      <c r="D644" s="852" t="e">
        <f>building!#REF!</f>
        <v>#REF!</v>
      </c>
      <c r="E644" s="853" t="e">
        <f>building!#REF!</f>
        <v>#REF!</v>
      </c>
      <c r="F644" s="852" t="e">
        <f t="shared" si="9"/>
        <v>#REF!</v>
      </c>
    </row>
    <row r="645" spans="1:6" s="726" customFormat="1" ht="38.25" customHeight="1">
      <c r="A645" s="849" t="e">
        <f>building!#REF!</f>
        <v>#REF!</v>
      </c>
      <c r="B645" s="850" t="e">
        <f>building!#REF!</f>
        <v>#REF!</v>
      </c>
      <c r="C645" s="851" t="e">
        <f>building!#REF!</f>
        <v>#REF!</v>
      </c>
      <c r="D645" s="852" t="e">
        <f>building!#REF!</f>
        <v>#REF!</v>
      </c>
      <c r="E645" s="853" t="e">
        <f>building!#REF!</f>
        <v>#REF!</v>
      </c>
      <c r="F645" s="852"/>
    </row>
    <row r="646" spans="1:6" ht="29.25" customHeight="1">
      <c r="A646" s="849" t="e">
        <f>building!#REF!</f>
        <v>#REF!</v>
      </c>
      <c r="B646" s="855" t="e">
        <f>building!#REF!</f>
        <v>#REF!</v>
      </c>
      <c r="C646" s="856" t="e">
        <f>building!#REF!</f>
        <v>#REF!</v>
      </c>
      <c r="D646" s="852" t="e">
        <f>building!#REF!</f>
        <v>#REF!</v>
      </c>
      <c r="E646" s="853" t="e">
        <f>building!#REF!</f>
        <v>#REF!</v>
      </c>
      <c r="F646" s="852" t="e">
        <f t="shared" si="9"/>
        <v>#REF!</v>
      </c>
    </row>
    <row r="647" spans="1:6" ht="28.5" customHeight="1">
      <c r="A647" s="849" t="e">
        <f>building!#REF!</f>
        <v>#REF!</v>
      </c>
      <c r="B647" s="855" t="e">
        <f>building!#REF!</f>
        <v>#REF!</v>
      </c>
      <c r="C647" s="856" t="e">
        <f>building!#REF!</f>
        <v>#REF!</v>
      </c>
      <c r="D647" s="852" t="e">
        <f>building!#REF!</f>
        <v>#REF!</v>
      </c>
      <c r="E647" s="853" t="e">
        <f>building!#REF!</f>
        <v>#REF!</v>
      </c>
      <c r="F647" s="852" t="e">
        <f t="shared" si="9"/>
        <v>#REF!</v>
      </c>
    </row>
    <row r="648" spans="1:6" ht="36" customHeight="1">
      <c r="A648" s="849" t="e">
        <f>building!#REF!</f>
        <v>#REF!</v>
      </c>
      <c r="B648" s="855" t="e">
        <f>building!#REF!</f>
        <v>#REF!</v>
      </c>
      <c r="C648" s="856" t="e">
        <f>building!#REF!</f>
        <v>#REF!</v>
      </c>
      <c r="D648" s="852" t="e">
        <f>building!#REF!</f>
        <v>#REF!</v>
      </c>
      <c r="E648" s="853" t="e">
        <f>building!#REF!</f>
        <v>#REF!</v>
      </c>
      <c r="F648" s="852" t="e">
        <f t="shared" ref="F648:F711" si="10">D648*B648</f>
        <v>#REF!</v>
      </c>
    </row>
    <row r="649" spans="1:6" ht="42" hidden="1" customHeight="1">
      <c r="A649" s="849" t="e">
        <f>building!#REF!</f>
        <v>#REF!</v>
      </c>
      <c r="B649" s="855" t="e">
        <f>building!#REF!</f>
        <v>#REF!</v>
      </c>
      <c r="C649" s="856" t="e">
        <f>building!#REF!</f>
        <v>#REF!</v>
      </c>
      <c r="D649" s="852" t="e">
        <f>building!#REF!</f>
        <v>#REF!</v>
      </c>
      <c r="E649" s="853" t="e">
        <f>building!#REF!</f>
        <v>#REF!</v>
      </c>
      <c r="F649" s="852" t="e">
        <f t="shared" si="10"/>
        <v>#REF!</v>
      </c>
    </row>
    <row r="650" spans="1:6" ht="42" hidden="1" customHeight="1">
      <c r="A650" s="849" t="e">
        <f>building!#REF!</f>
        <v>#REF!</v>
      </c>
      <c r="B650" s="855" t="e">
        <f>building!#REF!</f>
        <v>#REF!</v>
      </c>
      <c r="C650" s="856" t="e">
        <f>building!#REF!</f>
        <v>#REF!</v>
      </c>
      <c r="D650" s="852" t="e">
        <f>building!#REF!</f>
        <v>#REF!</v>
      </c>
      <c r="E650" s="853" t="e">
        <f>building!#REF!</f>
        <v>#REF!</v>
      </c>
      <c r="F650" s="852" t="e">
        <f t="shared" si="10"/>
        <v>#REF!</v>
      </c>
    </row>
    <row r="651" spans="1:6" ht="52.9" hidden="1" customHeight="1">
      <c r="A651" s="849" t="e">
        <f>building!#REF!</f>
        <v>#REF!</v>
      </c>
      <c r="B651" s="855" t="e">
        <f>building!#REF!</f>
        <v>#REF!</v>
      </c>
      <c r="C651" s="856" t="e">
        <f>building!#REF!</f>
        <v>#REF!</v>
      </c>
      <c r="D651" s="852" t="e">
        <f>building!#REF!</f>
        <v>#REF!</v>
      </c>
      <c r="E651" s="853" t="e">
        <f>building!#REF!</f>
        <v>#REF!</v>
      </c>
      <c r="F651" s="852" t="e">
        <f t="shared" si="10"/>
        <v>#REF!</v>
      </c>
    </row>
    <row r="652" spans="1:6" ht="52.9" hidden="1" customHeight="1">
      <c r="A652" s="849" t="e">
        <f>building!#REF!</f>
        <v>#REF!</v>
      </c>
      <c r="B652" s="855" t="e">
        <f>building!#REF!</f>
        <v>#REF!</v>
      </c>
      <c r="C652" s="856" t="e">
        <f>building!#REF!</f>
        <v>#REF!</v>
      </c>
      <c r="D652" s="852" t="e">
        <f>building!#REF!</f>
        <v>#REF!</v>
      </c>
      <c r="E652" s="853" t="e">
        <f>building!#REF!</f>
        <v>#REF!</v>
      </c>
      <c r="F652" s="852" t="e">
        <f t="shared" si="10"/>
        <v>#REF!</v>
      </c>
    </row>
    <row r="653" spans="1:6" ht="34.5" hidden="1" customHeight="1">
      <c r="A653" s="849" t="e">
        <f>building!#REF!</f>
        <v>#REF!</v>
      </c>
      <c r="B653" s="855" t="e">
        <f>building!#REF!</f>
        <v>#REF!</v>
      </c>
      <c r="C653" s="856" t="e">
        <f>building!#REF!</f>
        <v>#REF!</v>
      </c>
      <c r="D653" s="852" t="e">
        <f>building!#REF!</f>
        <v>#REF!</v>
      </c>
      <c r="E653" s="853" t="e">
        <f>building!#REF!</f>
        <v>#REF!</v>
      </c>
      <c r="F653" s="852" t="e">
        <f t="shared" si="10"/>
        <v>#REF!</v>
      </c>
    </row>
    <row r="654" spans="1:6" s="726" customFormat="1" ht="53.45" hidden="1" customHeight="1">
      <c r="A654" s="849" t="e">
        <f>building!#REF!</f>
        <v>#REF!</v>
      </c>
      <c r="B654" s="855" t="e">
        <f>building!#REF!</f>
        <v>#REF!</v>
      </c>
      <c r="C654" s="856" t="e">
        <f>building!#REF!</f>
        <v>#REF!</v>
      </c>
      <c r="D654" s="852" t="e">
        <f>building!#REF!</f>
        <v>#REF!</v>
      </c>
      <c r="E654" s="853" t="e">
        <f>building!#REF!</f>
        <v>#REF!</v>
      </c>
      <c r="F654" s="852" t="e">
        <f t="shared" si="10"/>
        <v>#REF!</v>
      </c>
    </row>
    <row r="655" spans="1:6" ht="50.45" hidden="1" customHeight="1">
      <c r="A655" s="849" t="e">
        <f>building!#REF!</f>
        <v>#REF!</v>
      </c>
      <c r="B655" s="855" t="e">
        <f>building!#REF!</f>
        <v>#REF!</v>
      </c>
      <c r="C655" s="856" t="e">
        <f>building!#REF!</f>
        <v>#REF!</v>
      </c>
      <c r="D655" s="852" t="e">
        <f>building!#REF!</f>
        <v>#REF!</v>
      </c>
      <c r="E655" s="853" t="e">
        <f>building!#REF!</f>
        <v>#REF!</v>
      </c>
      <c r="F655" s="852" t="e">
        <f t="shared" si="10"/>
        <v>#REF!</v>
      </c>
    </row>
    <row r="656" spans="1:6" ht="39" hidden="1" customHeight="1">
      <c r="A656" s="849" t="e">
        <f>building!#REF!</f>
        <v>#REF!</v>
      </c>
      <c r="B656" s="855" t="e">
        <f>building!#REF!</f>
        <v>#REF!</v>
      </c>
      <c r="C656" s="856" t="e">
        <f>building!#REF!</f>
        <v>#REF!</v>
      </c>
      <c r="D656" s="852" t="e">
        <f>building!#REF!</f>
        <v>#REF!</v>
      </c>
      <c r="E656" s="853" t="e">
        <f>building!#REF!</f>
        <v>#REF!</v>
      </c>
      <c r="F656" s="852" t="e">
        <f t="shared" si="10"/>
        <v>#REF!</v>
      </c>
    </row>
    <row r="657" spans="1:6" s="726" customFormat="1" ht="39" customHeight="1">
      <c r="A657" s="849">
        <f>building!A170</f>
        <v>29.8</v>
      </c>
      <c r="B657" s="855">
        <f>building!Y170</f>
        <v>146.4</v>
      </c>
      <c r="C657" s="856" t="str">
        <f>building!B170</f>
        <v>Glazed tiles using Grout (Tile Joint Filler)</v>
      </c>
      <c r="D657" s="852">
        <f>building!C170</f>
        <v>1235.0999999999999</v>
      </c>
      <c r="E657" s="853" t="str">
        <f>building!D170</f>
        <v>Sqm</v>
      </c>
      <c r="F657" s="852">
        <f t="shared" si="10"/>
        <v>180818.64</v>
      </c>
    </row>
    <row r="658" spans="1:6" ht="40.15" hidden="1" customHeight="1">
      <c r="A658" s="849">
        <f>building!A171</f>
        <v>0</v>
      </c>
      <c r="B658" s="855">
        <f>building!Y171</f>
        <v>0</v>
      </c>
      <c r="C658" s="856" t="str">
        <f>building!B171</f>
        <v>Floor ceramic tiles  using Grout (Tile Joint Filler).</v>
      </c>
      <c r="D658" s="852">
        <f>building!C171</f>
        <v>1089.73</v>
      </c>
      <c r="E658" s="853" t="str">
        <f>building!D171</f>
        <v>Sqm</v>
      </c>
      <c r="F658" s="852">
        <f t="shared" si="10"/>
        <v>0</v>
      </c>
    </row>
    <row r="659" spans="1:6" s="726" customFormat="1" ht="42" customHeight="1">
      <c r="A659" s="849">
        <f>building!A172</f>
        <v>29.9</v>
      </c>
      <c r="B659" s="855">
        <f>building!Y172</f>
        <v>178.6</v>
      </c>
      <c r="C659" s="856" t="str">
        <f>building!B172</f>
        <v>Floor ceramic tiles (Anti-skid) using Grout (Tile Joint Filler).</v>
      </c>
      <c r="D659" s="852">
        <f>building!C172</f>
        <v>1089.73</v>
      </c>
      <c r="E659" s="853" t="str">
        <f>building!D172</f>
        <v>Sqm</v>
      </c>
      <c r="F659" s="852">
        <f t="shared" si="10"/>
        <v>194625.78</v>
      </c>
    </row>
    <row r="660" spans="1:6" s="726" customFormat="1" ht="40.15" customHeight="1">
      <c r="A660" s="849">
        <f>building!A173</f>
        <v>38.4</v>
      </c>
      <c r="B660" s="855">
        <f>building!Y173</f>
        <v>0</v>
      </c>
      <c r="C660" s="856" t="str">
        <f>building!B173</f>
        <v>Two coat of cement paint over one coat white cement</v>
      </c>
      <c r="D660" s="852">
        <f>building!C173</f>
        <v>114.39</v>
      </c>
      <c r="E660" s="853" t="str">
        <f>building!D173</f>
        <v>Sqm</v>
      </c>
      <c r="F660" s="852">
        <f t="shared" si="10"/>
        <v>0</v>
      </c>
    </row>
    <row r="661" spans="1:6" ht="40.15" hidden="1" customHeight="1">
      <c r="A661" s="849" t="e">
        <f>building!#REF!</f>
        <v>#REF!</v>
      </c>
      <c r="B661" s="855" t="e">
        <f>building!#REF!</f>
        <v>#REF!</v>
      </c>
      <c r="C661" s="856" t="e">
        <f>building!#REF!</f>
        <v>#REF!</v>
      </c>
      <c r="D661" s="852" t="e">
        <f>building!#REF!</f>
        <v>#REF!</v>
      </c>
      <c r="E661" s="853" t="e">
        <f>building!#REF!</f>
        <v>#REF!</v>
      </c>
      <c r="F661" s="852" t="e">
        <f t="shared" si="10"/>
        <v>#REF!</v>
      </c>
    </row>
    <row r="662" spans="1:6" s="726" customFormat="1" ht="45.75" customHeight="1">
      <c r="A662" s="849">
        <f>building!A174</f>
        <v>38.6</v>
      </c>
      <c r="B662" s="855">
        <f>building!Y174</f>
        <v>0</v>
      </c>
      <c r="C662" s="856" t="str">
        <f>building!B174</f>
        <v>One coat white cement for new walls and other similar works.</v>
      </c>
      <c r="D662" s="852">
        <f>building!C174</f>
        <v>53.72</v>
      </c>
      <c r="E662" s="853" t="str">
        <f>building!D174</f>
        <v>Sqm</v>
      </c>
      <c r="F662" s="852">
        <f t="shared" si="10"/>
        <v>0</v>
      </c>
    </row>
    <row r="663" spans="1:6" s="726" customFormat="1" ht="40.9" hidden="1" customHeight="1">
      <c r="A663" s="849">
        <f>building!A175</f>
        <v>42</v>
      </c>
      <c r="B663" s="855">
        <f>building!Y175</f>
        <v>0</v>
      </c>
      <c r="C663" s="856" t="str">
        <f>building!B175</f>
        <v>Fabrication of Mild steel / RTS grills
(with cement slurry wash) for all sizes of rods.</v>
      </c>
      <c r="D663" s="852">
        <f>building!C175</f>
        <v>79335.5</v>
      </c>
      <c r="E663" s="853" t="str">
        <f>building!D175</f>
        <v>MT</v>
      </c>
      <c r="F663" s="852">
        <f t="shared" si="10"/>
        <v>0</v>
      </c>
    </row>
    <row r="664" spans="1:6" ht="39.75" hidden="1" customHeight="1">
      <c r="A664" s="849">
        <f>building!A176</f>
        <v>43</v>
      </c>
      <c r="B664" s="855">
        <f>building!Y176</f>
        <v>67.778999999999996</v>
      </c>
      <c r="C664" s="856" t="str">
        <f>building!B176</f>
        <v xml:space="preserve">Fabrication of Mild steel / RTS grills (without cement slurry) for all sizes of rods.
</v>
      </c>
      <c r="D664" s="852">
        <f>building!C176</f>
        <v>77593</v>
      </c>
      <c r="E664" s="853" t="str">
        <f>building!D176</f>
        <v>MT</v>
      </c>
      <c r="F664" s="852">
        <f t="shared" si="10"/>
        <v>5259175.95</v>
      </c>
    </row>
    <row r="665" spans="1:6" s="726" customFormat="1" ht="47.25" hidden="1" customHeight="1">
      <c r="A665" s="849">
        <f>building!A177</f>
        <v>44.6</v>
      </c>
      <c r="B665" s="855">
        <f>building!Y177</f>
        <v>85.7</v>
      </c>
      <c r="C665" s="856" t="str">
        <f>building!B177</f>
        <v>PVC SWR 110 mm dia with ISI mark type- A for Rain water down fall pipe</v>
      </c>
      <c r="D665" s="852">
        <f>building!C177</f>
        <v>321.74</v>
      </c>
      <c r="E665" s="853" t="str">
        <f>building!D177</f>
        <v>Rmt</v>
      </c>
      <c r="F665" s="852">
        <f t="shared" si="10"/>
        <v>27573.119999999999</v>
      </c>
    </row>
    <row r="666" spans="1:6" s="726" customFormat="1" ht="17.25" hidden="1">
      <c r="A666" s="849">
        <f>building!A178</f>
        <v>50.6</v>
      </c>
      <c r="B666" s="855">
        <f>building!Y178</f>
        <v>60.2</v>
      </c>
      <c r="C666" s="856" t="str">
        <f>building!B178</f>
        <v>Precast slab 50 mm tk.in C.C. 1:3:6 with fibre</v>
      </c>
      <c r="D666" s="852">
        <f>building!C178</f>
        <v>366.52</v>
      </c>
      <c r="E666" s="853" t="str">
        <f>building!D178</f>
        <v>Sqm</v>
      </c>
      <c r="F666" s="852">
        <f t="shared" si="10"/>
        <v>22064.5</v>
      </c>
    </row>
    <row r="667" spans="1:6" s="726" customFormat="1" ht="30" hidden="1">
      <c r="A667" s="849">
        <f>building!A179</f>
        <v>52.4</v>
      </c>
      <c r="B667" s="855">
        <f>building!Y179</f>
        <v>68</v>
      </c>
      <c r="C667" s="856" t="str">
        <f>building!B179</f>
        <v>20mm dia PVC water supply ASTM pipe (fully consealed in walls)</v>
      </c>
      <c r="D667" s="852">
        <f>building!C179</f>
        <v>205.94</v>
      </c>
      <c r="E667" s="853" t="str">
        <f>building!D179</f>
        <v>Rmt</v>
      </c>
      <c r="F667" s="852">
        <f t="shared" si="10"/>
        <v>14003.92</v>
      </c>
    </row>
    <row r="668" spans="1:6" s="726" customFormat="1" ht="30">
      <c r="A668" s="849">
        <f>building!A180</f>
        <v>53.4</v>
      </c>
      <c r="B668" s="855">
        <f>building!Y180</f>
        <v>2</v>
      </c>
      <c r="C668" s="856" t="str">
        <f>building!B180</f>
        <v xml:space="preserve">S&amp;F of C.I Manhole cover 60 x 60 cm (50kg weight ) </v>
      </c>
      <c r="D668" s="852">
        <f>building!C180</f>
        <v>1846</v>
      </c>
      <c r="E668" s="853" t="str">
        <f>building!D180</f>
        <v>Each</v>
      </c>
      <c r="F668" s="852">
        <f t="shared" si="10"/>
        <v>3692</v>
      </c>
    </row>
    <row r="669" spans="1:6" ht="43.5" customHeight="1">
      <c r="A669" s="849">
        <f>building!A181</f>
        <v>0</v>
      </c>
      <c r="B669" s="855">
        <f>building!Y181</f>
        <v>8</v>
      </c>
      <c r="C669" s="856" t="str">
        <f>building!B181</f>
        <v>Wash Hand  Basin of size 550 x 400 mm
(White with Pedestal)</v>
      </c>
      <c r="D669" s="852">
        <f>building!C181</f>
        <v>3105.82</v>
      </c>
      <c r="E669" s="853" t="str">
        <f>building!D181</f>
        <v>Each</v>
      </c>
      <c r="F669" s="852">
        <f t="shared" si="10"/>
        <v>24846.560000000001</v>
      </c>
    </row>
    <row r="670" spans="1:6" ht="37.5" hidden="1" customHeight="1">
      <c r="A670" s="849" t="e">
        <f>building!#REF!</f>
        <v>#REF!</v>
      </c>
      <c r="B670" s="855" t="e">
        <f>building!#REF!</f>
        <v>#REF!</v>
      </c>
      <c r="C670" s="856" t="e">
        <f>building!#REF!</f>
        <v>#REF!</v>
      </c>
      <c r="D670" s="852" t="e">
        <f>building!#REF!</f>
        <v>#REF!</v>
      </c>
      <c r="E670" s="853" t="e">
        <f>building!#REF!</f>
        <v>#REF!</v>
      </c>
      <c r="F670" s="852" t="e">
        <f t="shared" si="10"/>
        <v>#REF!</v>
      </c>
    </row>
    <row r="671" spans="1:6" ht="39" hidden="1" customHeight="1">
      <c r="A671" s="849" t="e">
        <f>building!#REF!</f>
        <v>#REF!</v>
      </c>
      <c r="B671" s="855" t="e">
        <f>building!#REF!</f>
        <v>#REF!</v>
      </c>
      <c r="C671" s="856" t="e">
        <f>building!#REF!</f>
        <v>#REF!</v>
      </c>
      <c r="D671" s="852" t="e">
        <f>building!#REF!</f>
        <v>#REF!</v>
      </c>
      <c r="E671" s="853" t="e">
        <f>building!#REF!</f>
        <v>#REF!</v>
      </c>
      <c r="F671" s="852" t="e">
        <f t="shared" si="10"/>
        <v>#REF!</v>
      </c>
    </row>
    <row r="672" spans="1:6" s="726" customFormat="1" ht="67.5" hidden="1" customHeight="1">
      <c r="A672" s="849" t="e">
        <f>building!#REF!</f>
        <v>#REF!</v>
      </c>
      <c r="B672" s="855" t="e">
        <f>building!#REF!</f>
        <v>#REF!</v>
      </c>
      <c r="C672" s="856" t="e">
        <f>building!#REF!</f>
        <v>#REF!</v>
      </c>
      <c r="D672" s="852" t="e">
        <f>building!#REF!</f>
        <v>#REF!</v>
      </c>
      <c r="E672" s="853" t="e">
        <f>building!#REF!</f>
        <v>#REF!</v>
      </c>
      <c r="F672" s="852" t="e">
        <f t="shared" si="10"/>
        <v>#REF!</v>
      </c>
    </row>
    <row r="673" spans="1:6" ht="37.9" customHeight="1">
      <c r="A673" s="849">
        <f>building!A182</f>
        <v>58.3</v>
      </c>
      <c r="B673" s="850">
        <f>building!Y182</f>
        <v>0</v>
      </c>
      <c r="C673" s="851" t="str">
        <f>building!B182</f>
        <v>PVC SWR pipe (Soil line) with ISI mark - type 'B'.</v>
      </c>
      <c r="D673" s="852">
        <f>building!C182</f>
        <v>0</v>
      </c>
      <c r="E673" s="853">
        <f>building!D182</f>
        <v>0</v>
      </c>
      <c r="F673" s="852"/>
    </row>
    <row r="674" spans="1:6" ht="33.75" customHeight="1">
      <c r="A674" s="849">
        <f>building!A183</f>
        <v>0</v>
      </c>
      <c r="B674" s="855">
        <f>building!Y183</f>
        <v>69</v>
      </c>
      <c r="C674" s="856" t="str">
        <f>building!B183</f>
        <v>a. 110 mm dia.</v>
      </c>
      <c r="D674" s="852">
        <f>building!C183</f>
        <v>657.29</v>
      </c>
      <c r="E674" s="853" t="str">
        <f>building!D183</f>
        <v>Rmt</v>
      </c>
      <c r="F674" s="852">
        <f t="shared" si="10"/>
        <v>45353.01</v>
      </c>
    </row>
    <row r="675" spans="1:6" ht="27.6" customHeight="1">
      <c r="A675" s="849">
        <f>building!A184</f>
        <v>0</v>
      </c>
      <c r="B675" s="855">
        <f>building!Y184</f>
        <v>97.8</v>
      </c>
      <c r="C675" s="856" t="str">
        <f>building!B184</f>
        <v>b. 75 mm dia.</v>
      </c>
      <c r="D675" s="852">
        <f>building!C184</f>
        <v>541.41999999999996</v>
      </c>
      <c r="E675" s="853" t="str">
        <f>building!D184</f>
        <v>Rmt</v>
      </c>
      <c r="F675" s="852">
        <f t="shared" si="10"/>
        <v>52950.879999999997</v>
      </c>
    </row>
    <row r="676" spans="1:6" s="726" customFormat="1" ht="52.5" customHeight="1">
      <c r="A676" s="849">
        <f>building!A185</f>
        <v>58.4</v>
      </c>
      <c r="B676" s="855">
        <f>building!Y185</f>
        <v>32</v>
      </c>
      <c r="C676" s="856" t="str">
        <f>building!B185</f>
        <v>Supplying, Laying &amp; Concealing the 50mm dia PVC ( SWR) pipe with ISI mark type - 'B' with relevant specials.</v>
      </c>
      <c r="D676" s="852">
        <f>building!C185</f>
        <v>114.45</v>
      </c>
      <c r="E676" s="853" t="str">
        <f>building!D185</f>
        <v>Rmt</v>
      </c>
      <c r="F676" s="852">
        <f t="shared" si="10"/>
        <v>3662.4</v>
      </c>
    </row>
    <row r="677" spans="1:6" s="726" customFormat="1" ht="27.6" hidden="1" customHeight="1">
      <c r="A677" s="849">
        <f>building!A186</f>
        <v>58.5</v>
      </c>
      <c r="B677" s="855">
        <f>building!Y186</f>
        <v>0</v>
      </c>
      <c r="C677" s="856" t="str">
        <f>building!B186</f>
        <v>PVC(SWR) pipe with ISI mark - type 'A' for Ventilating shaft with cowl</v>
      </c>
      <c r="D677" s="852">
        <f>building!C186</f>
        <v>450.1</v>
      </c>
      <c r="E677" s="853" t="str">
        <f>building!D186</f>
        <v>Each</v>
      </c>
      <c r="F677" s="852">
        <f t="shared" si="10"/>
        <v>0</v>
      </c>
    </row>
    <row r="678" spans="1:6" s="726" customFormat="1" ht="71.25" hidden="1" customHeight="1">
      <c r="A678" s="849">
        <f>building!A187</f>
        <v>0</v>
      </c>
      <c r="B678" s="855">
        <f>building!Y187</f>
        <v>0</v>
      </c>
      <c r="C678" s="856" t="str">
        <f>building!B187</f>
        <v>Wiring with 1.5 sqmm PVC insulated single core multi strand fire retardant flexible copper cable with ISI mark confirming IS: 694:1990.( Ordinary)</v>
      </c>
      <c r="D678" s="852">
        <f>building!C187</f>
        <v>0</v>
      </c>
      <c r="E678" s="853">
        <f>building!D187</f>
        <v>0</v>
      </c>
      <c r="F678" s="852">
        <f t="shared" si="10"/>
        <v>0</v>
      </c>
    </row>
    <row r="679" spans="1:6" s="726" customFormat="1" ht="73.5" hidden="1" customHeight="1">
      <c r="A679" s="849">
        <f>building!A188</f>
        <v>0</v>
      </c>
      <c r="B679" s="855">
        <f>building!Y188</f>
        <v>92</v>
      </c>
      <c r="C679" s="856" t="str">
        <f>building!B188</f>
        <v>a. Light point with ceiling rose</v>
      </c>
      <c r="D679" s="852">
        <f>building!C188</f>
        <v>1499.19</v>
      </c>
      <c r="E679" s="853" t="str">
        <f>building!D188</f>
        <v>Each</v>
      </c>
      <c r="F679" s="852">
        <f t="shared" si="10"/>
        <v>137925.48000000001</v>
      </c>
    </row>
    <row r="680" spans="1:6" ht="70.900000000000006" hidden="1" customHeight="1">
      <c r="A680" s="849">
        <f>building!A189</f>
        <v>0</v>
      </c>
      <c r="B680" s="855">
        <f>building!Y189</f>
        <v>132</v>
      </c>
      <c r="C680" s="856" t="str">
        <f>building!B189</f>
        <v>b. Light point without ceiling rose</v>
      </c>
      <c r="D680" s="852">
        <f>building!C189</f>
        <v>1503.34</v>
      </c>
      <c r="E680" s="853" t="str">
        <f>building!D189</f>
        <v>Each</v>
      </c>
      <c r="F680" s="852">
        <f t="shared" si="10"/>
        <v>198440.88</v>
      </c>
    </row>
    <row r="681" spans="1:6" ht="66" hidden="1" customHeight="1">
      <c r="A681" s="849">
        <f>building!A190</f>
        <v>0</v>
      </c>
      <c r="B681" s="855">
        <f>building!Y190</f>
        <v>2</v>
      </c>
      <c r="C681" s="856" t="str">
        <f>building!B190</f>
        <v>c. Calling bell point with Buzzer/Calling bell</v>
      </c>
      <c r="D681" s="852">
        <f>building!C190</f>
        <v>1538.57</v>
      </c>
      <c r="E681" s="853" t="str">
        <f>building!D190</f>
        <v>Each</v>
      </c>
      <c r="F681" s="852">
        <f t="shared" si="10"/>
        <v>3077.14</v>
      </c>
    </row>
    <row r="682" spans="1:6" s="726" customFormat="1" ht="24.75" hidden="1" customHeight="1">
      <c r="A682" s="849">
        <f>building!A191</f>
        <v>65.099999999999994</v>
      </c>
      <c r="B682" s="855">
        <f>building!Y191</f>
        <v>88</v>
      </c>
      <c r="C682" s="856" t="str">
        <f>building!B191</f>
        <v>Wiring with 1.5 sqmm PVC insulated single core multi strand fire retardant flexible copper cable with ISI mark confirming IS: 694:1990 for Fan point.</v>
      </c>
      <c r="D682" s="852">
        <f>building!C191</f>
        <v>1565.4</v>
      </c>
      <c r="E682" s="853" t="str">
        <f>building!D191</f>
        <v>Each</v>
      </c>
      <c r="F682" s="852">
        <f t="shared" si="10"/>
        <v>137755.20000000001</v>
      </c>
    </row>
    <row r="683" spans="1:6" s="726" customFormat="1" ht="46.15" hidden="1" customHeight="1">
      <c r="A683" s="849">
        <f>building!A192</f>
        <v>66.099999999999994</v>
      </c>
      <c r="B683" s="855">
        <f>building!Y192</f>
        <v>4</v>
      </c>
      <c r="C683" s="856" t="str">
        <f>building!B192</f>
        <v>Wiring with 1.5 sqmm PVC insulated single core multi strand fire retardant flexible copper cable with ISI mark confirming IS: 694:1990 for Staircase Light Point.</v>
      </c>
      <c r="D683" s="852">
        <f>building!C192</f>
        <v>2802.09</v>
      </c>
      <c r="E683" s="853" t="str">
        <f>building!D192</f>
        <v>Each</v>
      </c>
      <c r="F683" s="852">
        <f t="shared" si="10"/>
        <v>11208.36</v>
      </c>
    </row>
    <row r="684" spans="1:6" s="726" customFormat="1" ht="65.25" hidden="1" customHeight="1">
      <c r="A684" s="849">
        <f>building!A193</f>
        <v>0</v>
      </c>
      <c r="B684" s="855">
        <f>building!Y193</f>
        <v>37</v>
      </c>
      <c r="C684" s="856" t="str">
        <f>building!B193</f>
        <v>Wiring with 1.5 sqmm PVC insulated single core multi strand fire retardant flexible copper cable with ISI mark confirming IS: 694:1990 for 5 amps 5 pin plug socket point @ Switch Board Itself.</v>
      </c>
      <c r="D684" s="852">
        <f>building!C193</f>
        <v>764.91</v>
      </c>
      <c r="E684" s="853" t="str">
        <f>building!D193</f>
        <v>Each</v>
      </c>
      <c r="F684" s="852">
        <f t="shared" si="10"/>
        <v>28301.67</v>
      </c>
    </row>
    <row r="685" spans="1:6" s="726" customFormat="1" ht="66" hidden="1" customHeight="1">
      <c r="A685" s="849">
        <f>building!A194</f>
        <v>68.2</v>
      </c>
      <c r="B685" s="855">
        <f>building!Y194</f>
        <v>50</v>
      </c>
      <c r="C685" s="856" t="str">
        <f>building!B194</f>
        <v>Wiring with 1.5 sqmm PVC insulated single core multi strand fire retardant flexible copper cable with ISI mark confirming IS: 694:1990 for 5 amps 5 pin plug socket point @ Convenient Places.</v>
      </c>
      <c r="D685" s="852">
        <f>building!C194</f>
        <v>1041.2</v>
      </c>
      <c r="E685" s="853" t="str">
        <f>building!D194</f>
        <v>Each</v>
      </c>
      <c r="F685" s="852">
        <f t="shared" si="10"/>
        <v>52060</v>
      </c>
    </row>
    <row r="686" spans="1:6" ht="70.5" hidden="1" customHeight="1">
      <c r="A686" s="849">
        <f>building!A195</f>
        <v>70.5</v>
      </c>
      <c r="B686" s="855">
        <f>building!Y195</f>
        <v>0</v>
      </c>
      <c r="C686" s="856" t="str">
        <f>building!B195</f>
        <v>S &amp; F of Tube light fitting  (patty  type ) with Electronic ballast and 36 W slim tube light</v>
      </c>
      <c r="D686" s="852">
        <f>building!C195</f>
        <v>535.49</v>
      </c>
      <c r="E686" s="853" t="str">
        <f>building!D195</f>
        <v>Each</v>
      </c>
      <c r="F686" s="852">
        <f t="shared" si="10"/>
        <v>0</v>
      </c>
    </row>
    <row r="687" spans="1:6" ht="40.5" customHeight="1">
      <c r="A687" s="849">
        <f>building!A196</f>
        <v>0</v>
      </c>
      <c r="B687" s="855">
        <f>building!Y196</f>
        <v>88</v>
      </c>
      <c r="C687" s="856" t="str">
        <f>building!B196</f>
        <v>Supply and delivery of  48" (1200 mm) Fan with ISI mark with Eletronic Dimmer</v>
      </c>
      <c r="D687" s="852">
        <f>building!C196</f>
        <v>1437.4</v>
      </c>
      <c r="E687" s="853" t="str">
        <f>building!D196</f>
        <v>Each</v>
      </c>
      <c r="F687" s="852">
        <f t="shared" si="10"/>
        <v>126491.2</v>
      </c>
    </row>
    <row r="688" spans="1:6" s="726" customFormat="1" ht="54.75" customHeight="1">
      <c r="A688" s="849">
        <f>building!A197</f>
        <v>0</v>
      </c>
      <c r="B688" s="855">
        <f>building!Y197</f>
        <v>270</v>
      </c>
      <c r="C688" s="856" t="str">
        <f>building!B197</f>
        <v>Run of 2 Wires of 4 sqmm PVC insulated single core multi strand fire retardant flexible copper cable with ISI mark confirming IS: 694:1990.</v>
      </c>
      <c r="D688" s="852">
        <f>building!C197</f>
        <v>246.68</v>
      </c>
      <c r="E688" s="853" t="str">
        <f>building!D197</f>
        <v>Rmt</v>
      </c>
      <c r="F688" s="852">
        <f t="shared" si="10"/>
        <v>66603.600000000006</v>
      </c>
    </row>
    <row r="689" spans="1:6" s="726" customFormat="1" ht="57.75" customHeight="1">
      <c r="A689" s="849">
        <f>building!A198</f>
        <v>77.5</v>
      </c>
      <c r="B689" s="855">
        <f>building!Y198</f>
        <v>0</v>
      </c>
      <c r="C689" s="856" t="str">
        <f>building!B198</f>
        <v>Run of 2 Wires of 1.5 sqmm PVC insulated single core multi strand fire retardant flexible copper cable with ISI mark confirming IS: 694:1990.</v>
      </c>
      <c r="D689" s="852">
        <f>building!C198</f>
        <v>192.58</v>
      </c>
      <c r="E689" s="853" t="str">
        <f>building!D198</f>
        <v>Rmt</v>
      </c>
      <c r="F689" s="852">
        <f t="shared" si="10"/>
        <v>0</v>
      </c>
    </row>
    <row r="690" spans="1:6" s="726" customFormat="1" ht="62.25" customHeight="1">
      <c r="A690" s="849">
        <f>building!A199</f>
        <v>0</v>
      </c>
      <c r="B690" s="855">
        <f>building!Y199</f>
        <v>333.5</v>
      </c>
      <c r="C690" s="856" t="str">
        <f>building!B199</f>
        <v>Run of 2 Wires of 2.5 sqmm PVC insulated single core multi strand fire retardant flexible copper cable with ISI mark confirming IS: 694:1990.</v>
      </c>
      <c r="D690" s="852">
        <f>building!C199</f>
        <v>209.78</v>
      </c>
      <c r="E690" s="853" t="str">
        <f>building!D199</f>
        <v>Rmt</v>
      </c>
      <c r="F690" s="852">
        <f t="shared" si="10"/>
        <v>69961.63</v>
      </c>
    </row>
    <row r="691" spans="1:6" s="726" customFormat="1" ht="66" customHeight="1">
      <c r="A691" s="849">
        <f>building!A200</f>
        <v>0</v>
      </c>
      <c r="B691" s="855">
        <f>building!Y200</f>
        <v>0</v>
      </c>
      <c r="C691" s="856" t="str">
        <f>building!B200</f>
        <v>4 x 4  Sq mm copper PVC insulated unsheathed single core cable for 3 phase EB service connection</v>
      </c>
      <c r="D691" s="852">
        <f>building!C200</f>
        <v>250.43</v>
      </c>
      <c r="E691" s="853" t="str">
        <f>building!D200</f>
        <v>Rmt</v>
      </c>
      <c r="F691" s="852">
        <f t="shared" si="10"/>
        <v>0</v>
      </c>
    </row>
    <row r="692" spans="1:6" ht="36.75" customHeight="1">
      <c r="A692" s="849">
        <f>building!A201</f>
        <v>0</v>
      </c>
      <c r="B692" s="855">
        <f>building!Y201</f>
        <v>0</v>
      </c>
      <c r="C692" s="856" t="str">
        <f>building!B201</f>
        <v xml:space="preserve">Run of 4 Wires of 6 sqmm PVC insulated single core multi strand </v>
      </c>
      <c r="D692" s="852">
        <f>building!C201</f>
        <v>458</v>
      </c>
      <c r="E692" s="853" t="str">
        <f>building!D201</f>
        <v>Rmt</v>
      </c>
      <c r="F692" s="852">
        <f t="shared" si="10"/>
        <v>0</v>
      </c>
    </row>
    <row r="693" spans="1:6" s="726" customFormat="1" ht="25.5" hidden="1" customHeight="1">
      <c r="A693" s="849" t="e">
        <f>building!#REF!</f>
        <v>#REF!</v>
      </c>
      <c r="B693" s="855" t="e">
        <f>building!#REF!</f>
        <v>#REF!</v>
      </c>
      <c r="C693" s="856" t="e">
        <f>building!#REF!</f>
        <v>#REF!</v>
      </c>
      <c r="D693" s="852" t="e">
        <f>building!#REF!</f>
        <v>#REF!</v>
      </c>
      <c r="E693" s="853" t="e">
        <f>building!#REF!</f>
        <v>#REF!</v>
      </c>
      <c r="F693" s="852" t="e">
        <f t="shared" si="10"/>
        <v>#REF!</v>
      </c>
    </row>
    <row r="694" spans="1:6" ht="30" customHeight="1">
      <c r="A694" s="849">
        <f>building!A202</f>
        <v>112.1</v>
      </c>
      <c r="B694" s="855">
        <f>building!Y202</f>
        <v>6</v>
      </c>
      <c r="C694" s="856" t="str">
        <f>building!B202</f>
        <v>S &amp; F of Exsaust Fan 225mm dia</v>
      </c>
      <c r="D694" s="852">
        <f>building!C202</f>
        <v>1941.5</v>
      </c>
      <c r="E694" s="853" t="str">
        <f>building!D202</f>
        <v>Each</v>
      </c>
      <c r="F694" s="852">
        <f t="shared" si="10"/>
        <v>11649</v>
      </c>
    </row>
    <row r="695" spans="1:6" s="726" customFormat="1" ht="54.6" hidden="1" customHeight="1">
      <c r="A695" s="849" t="e">
        <f>building!#REF!</f>
        <v>#REF!</v>
      </c>
      <c r="B695" s="855" t="e">
        <f>building!#REF!</f>
        <v>#REF!</v>
      </c>
      <c r="C695" s="856" t="e">
        <f>building!#REF!</f>
        <v>#REF!</v>
      </c>
      <c r="D695" s="852" t="e">
        <f>building!#REF!</f>
        <v>#REF!</v>
      </c>
      <c r="E695" s="853" t="e">
        <f>building!#REF!</f>
        <v>#REF!</v>
      </c>
      <c r="F695" s="852" t="e">
        <f t="shared" si="10"/>
        <v>#REF!</v>
      </c>
    </row>
    <row r="696" spans="1:6" ht="36" hidden="1" customHeight="1">
      <c r="A696" s="849" t="e">
        <f>building!#REF!</f>
        <v>#REF!</v>
      </c>
      <c r="B696" s="855" t="e">
        <f>building!#REF!</f>
        <v>#REF!</v>
      </c>
      <c r="C696" s="856" t="e">
        <f>building!#REF!</f>
        <v>#REF!</v>
      </c>
      <c r="D696" s="852" t="e">
        <f>building!#REF!</f>
        <v>#REF!</v>
      </c>
      <c r="E696" s="853" t="e">
        <f>building!#REF!</f>
        <v>#REF!</v>
      </c>
      <c r="F696" s="852" t="e">
        <f t="shared" si="10"/>
        <v>#REF!</v>
      </c>
    </row>
    <row r="697" spans="1:6" s="726" customFormat="1" ht="38.25" hidden="1" customHeight="1">
      <c r="A697" s="849" t="e">
        <f>building!#REF!</f>
        <v>#REF!</v>
      </c>
      <c r="B697" s="855" t="e">
        <f>building!#REF!</f>
        <v>#REF!</v>
      </c>
      <c r="C697" s="856" t="e">
        <f>building!#REF!</f>
        <v>#REF!</v>
      </c>
      <c r="D697" s="852" t="e">
        <f>building!#REF!</f>
        <v>#REF!</v>
      </c>
      <c r="E697" s="853" t="e">
        <f>building!#REF!</f>
        <v>#REF!</v>
      </c>
      <c r="F697" s="852" t="e">
        <f t="shared" si="10"/>
        <v>#REF!</v>
      </c>
    </row>
    <row r="698" spans="1:6" s="726" customFormat="1" ht="42" hidden="1" customHeight="1">
      <c r="A698" s="849" t="e">
        <f>building!#REF!</f>
        <v>#REF!</v>
      </c>
      <c r="B698" s="855" t="e">
        <f>building!#REF!</f>
        <v>#REF!</v>
      </c>
      <c r="C698" s="856" t="e">
        <f>building!#REF!</f>
        <v>#REF!</v>
      </c>
      <c r="D698" s="852" t="e">
        <f>building!#REF!</f>
        <v>#REF!</v>
      </c>
      <c r="E698" s="853" t="e">
        <f>building!#REF!</f>
        <v>#REF!</v>
      </c>
      <c r="F698" s="852" t="e">
        <f t="shared" si="10"/>
        <v>#REF!</v>
      </c>
    </row>
    <row r="699" spans="1:6" ht="46.5" customHeight="1">
      <c r="A699" s="849">
        <f>building!A203</f>
        <v>44.2</v>
      </c>
      <c r="B699" s="850">
        <f>building!Y203</f>
        <v>0</v>
      </c>
      <c r="C699" s="851" t="str">
        <f>building!B203</f>
        <v>Rain water harvesting using defunct borewell and providing perforated cover slab</v>
      </c>
      <c r="D699" s="852">
        <f>building!C203</f>
        <v>0</v>
      </c>
      <c r="E699" s="853">
        <f>building!D203</f>
        <v>0</v>
      </c>
      <c r="F699" s="852"/>
    </row>
    <row r="700" spans="1:6" s="726" customFormat="1" ht="24.75" customHeight="1">
      <c r="A700" s="849">
        <f>building!A204</f>
        <v>0</v>
      </c>
      <c r="B700" s="855">
        <f>building!Y204</f>
        <v>7</v>
      </c>
      <c r="C700" s="856" t="str">
        <f>building!B204</f>
        <v>a). Providing pit (M30)</v>
      </c>
      <c r="D700" s="852">
        <f>building!C204</f>
        <v>1842.28</v>
      </c>
      <c r="E700" s="853" t="str">
        <f>building!D204</f>
        <v>Each</v>
      </c>
      <c r="F700" s="852">
        <f t="shared" si="10"/>
        <v>12895.96</v>
      </c>
    </row>
    <row r="701" spans="1:6" s="726" customFormat="1" ht="35.25" customHeight="1">
      <c r="A701" s="849">
        <f>building!A205</f>
        <v>0</v>
      </c>
      <c r="B701" s="855">
        <f>building!Y205</f>
        <v>28</v>
      </c>
      <c r="C701" s="856" t="str">
        <f>building!B205</f>
        <v>b) Augering 30cm dia</v>
      </c>
      <c r="D701" s="852">
        <f>building!C205</f>
        <v>427.64</v>
      </c>
      <c r="E701" s="853" t="str">
        <f>building!D205</f>
        <v>Rmt</v>
      </c>
      <c r="F701" s="852">
        <f t="shared" si="10"/>
        <v>11973.92</v>
      </c>
    </row>
    <row r="702" spans="1:6" s="726" customFormat="1" ht="52.5" customHeight="1">
      <c r="A702" s="849">
        <f>building!A206</f>
        <v>0</v>
      </c>
      <c r="B702" s="855">
        <f>building!Y206</f>
        <v>0</v>
      </c>
      <c r="C702" s="856" t="str">
        <f>building!B206</f>
        <v>Providing Rain water Harvesting well ring of Circular shape of 90mm dia, 60cm depth using Standardised Mix design M20</v>
      </c>
      <c r="D702" s="852">
        <f>building!C206</f>
        <v>1304.21</v>
      </c>
      <c r="E702" s="853" t="str">
        <f>building!D206</f>
        <v>Each</v>
      </c>
      <c r="F702" s="852">
        <f t="shared" si="10"/>
        <v>0</v>
      </c>
    </row>
    <row r="703" spans="1:6" s="726" customFormat="1" ht="60" hidden="1" customHeight="1">
      <c r="A703" s="849">
        <f>building!A207</f>
        <v>257.10000000000002</v>
      </c>
      <c r="B703" s="855">
        <f>building!Y207</f>
        <v>14</v>
      </c>
      <c r="C703" s="856" t="str">
        <f>building!B207</f>
        <v xml:space="preserve">Supply and fixng of AC Metal clad </v>
      </c>
      <c r="D703" s="852">
        <f>building!C207</f>
        <v>500</v>
      </c>
      <c r="E703" s="853" t="str">
        <f>building!D207</f>
        <v>Each</v>
      </c>
      <c r="F703" s="852">
        <f t="shared" si="10"/>
        <v>7000</v>
      </c>
    </row>
    <row r="704" spans="1:6" s="726" customFormat="1" ht="42" customHeight="1">
      <c r="A704" s="849">
        <f>building!A208</f>
        <v>344.2</v>
      </c>
      <c r="B704" s="855">
        <f>building!Y208</f>
        <v>9</v>
      </c>
      <c r="C704" s="856" t="str">
        <f>building!B208</f>
        <v>S&amp;F of Bevelled edge mirror 500 x 400 x 5.5mm</v>
      </c>
      <c r="D704" s="852">
        <f>building!C208</f>
        <v>379.4</v>
      </c>
      <c r="E704" s="853" t="str">
        <f>building!D208</f>
        <v>Each</v>
      </c>
      <c r="F704" s="852">
        <f t="shared" si="10"/>
        <v>3414.6</v>
      </c>
    </row>
    <row r="705" spans="1:6" s="726" customFormat="1" ht="37.5" customHeight="1">
      <c r="A705" s="849">
        <f>building!A209</f>
        <v>383</v>
      </c>
      <c r="B705" s="855">
        <f>building!Y209</f>
        <v>0</v>
      </c>
      <c r="C705" s="856" t="str">
        <f>building!B209</f>
        <v>S&amp;F of Cuddapah sink 600 x 600 x 200mm</v>
      </c>
      <c r="D705" s="852">
        <f>building!C209</f>
        <v>1000</v>
      </c>
      <c r="E705" s="853" t="str">
        <f>building!D209</f>
        <v>Each</v>
      </c>
      <c r="F705" s="852">
        <f t="shared" si="10"/>
        <v>0</v>
      </c>
    </row>
    <row r="706" spans="1:6" s="726" customFormat="1" ht="33" customHeight="1">
      <c r="A706" s="849">
        <f>building!A210</f>
        <v>383.1</v>
      </c>
      <c r="B706" s="855">
        <f>building!Y210</f>
        <v>126</v>
      </c>
      <c r="C706" s="856" t="str">
        <f>building!B210</f>
        <v>Providing nosing to the edges of Granite slab
Double Nosing PWD SRP-36</v>
      </c>
      <c r="D706" s="852">
        <f>building!C210</f>
        <v>366.6</v>
      </c>
      <c r="E706" s="853" t="str">
        <f>building!D210</f>
        <v>Rmt</v>
      </c>
      <c r="F706" s="852">
        <f t="shared" si="10"/>
        <v>46191.6</v>
      </c>
    </row>
    <row r="707" spans="1:6" s="726" customFormat="1" ht="37.5" hidden="1" customHeight="1">
      <c r="A707" s="849">
        <f>building!A211</f>
        <v>0</v>
      </c>
      <c r="B707" s="855">
        <f>building!Y211</f>
        <v>0</v>
      </c>
      <c r="C707" s="856" t="str">
        <f>building!B211</f>
        <v>Supply and fixing of PVC water supply (ASTM)
a.50mm dia</v>
      </c>
      <c r="D707" s="852">
        <f>building!C211</f>
        <v>290.77999999999997</v>
      </c>
      <c r="E707" s="853">
        <f>building!D211</f>
        <v>0</v>
      </c>
      <c r="F707" s="852">
        <f t="shared" si="10"/>
        <v>0</v>
      </c>
    </row>
    <row r="708" spans="1:6" s="726" customFormat="1" ht="38.25" customHeight="1">
      <c r="A708" s="849">
        <f>building!A212</f>
        <v>384</v>
      </c>
      <c r="B708" s="855">
        <f>building!Y212</f>
        <v>4</v>
      </c>
      <c r="C708" s="856" t="str">
        <f>building!B212</f>
        <v>S&amp;F of PVC flushing cistern</v>
      </c>
      <c r="D708" s="852">
        <f>building!C212</f>
        <v>1602.5</v>
      </c>
      <c r="E708" s="853" t="str">
        <f>building!D212</f>
        <v>Each</v>
      </c>
      <c r="F708" s="852">
        <f t="shared" si="10"/>
        <v>6410</v>
      </c>
    </row>
    <row r="709" spans="1:6" s="726" customFormat="1" ht="72.75" hidden="1" customHeight="1">
      <c r="A709" s="849" t="e">
        <f>building!#REF!</f>
        <v>#REF!</v>
      </c>
      <c r="B709" s="855" t="e">
        <f>building!#REF!</f>
        <v>#REF!</v>
      </c>
      <c r="C709" s="856" t="e">
        <f>building!#REF!</f>
        <v>#REF!</v>
      </c>
      <c r="D709" s="852" t="e">
        <f>building!#REF!</f>
        <v>#REF!</v>
      </c>
      <c r="E709" s="853" t="e">
        <f>building!#REF!</f>
        <v>#REF!</v>
      </c>
      <c r="F709" s="852" t="e">
        <f t="shared" si="10"/>
        <v>#REF!</v>
      </c>
    </row>
    <row r="710" spans="1:6" s="726" customFormat="1" ht="45.75" customHeight="1">
      <c r="A710" s="849" t="e">
        <f>building!#REF!</f>
        <v>#REF!</v>
      </c>
      <c r="B710" s="855" t="e">
        <f>building!#REF!</f>
        <v>#REF!</v>
      </c>
      <c r="C710" s="856" t="e">
        <f>building!#REF!</f>
        <v>#REF!</v>
      </c>
      <c r="D710" s="852" t="e">
        <f>building!#REF!</f>
        <v>#REF!</v>
      </c>
      <c r="E710" s="853" t="e">
        <f>building!#REF!</f>
        <v>#REF!</v>
      </c>
      <c r="F710" s="852" t="e">
        <f t="shared" si="10"/>
        <v>#REF!</v>
      </c>
    </row>
    <row r="711" spans="1:6" s="726" customFormat="1" ht="37.5" customHeight="1">
      <c r="A711" s="849">
        <f>building!A213</f>
        <v>71.2</v>
      </c>
      <c r="B711" s="855">
        <f>building!Y213</f>
        <v>0</v>
      </c>
      <c r="C711" s="856" t="str">
        <f>building!B213</f>
        <v>Supplying and fixing of 32 AMPS Triple pole main switch</v>
      </c>
      <c r="D711" s="852">
        <f>building!C213</f>
        <v>2084</v>
      </c>
      <c r="E711" s="853" t="str">
        <f>building!D213</f>
        <v>Each</v>
      </c>
      <c r="F711" s="852">
        <f t="shared" si="10"/>
        <v>0</v>
      </c>
    </row>
    <row r="712" spans="1:6" s="726" customFormat="1" ht="31.5" customHeight="1">
      <c r="A712" s="849">
        <f>building!A214</f>
        <v>80.099999999999994</v>
      </c>
      <c r="B712" s="855">
        <f>building!Y214</f>
        <v>3</v>
      </c>
      <c r="C712" s="856" t="str">
        <f>building!B214</f>
        <v>450 x 375 x 20 mm   thick TW plank</v>
      </c>
      <c r="D712" s="852">
        <f>building!C214</f>
        <v>1242.21</v>
      </c>
      <c r="E712" s="853" t="str">
        <f>building!D214</f>
        <v>Each</v>
      </c>
      <c r="F712" s="852">
        <f t="shared" ref="F712:F775" si="11">D712*B712</f>
        <v>3726.63</v>
      </c>
    </row>
    <row r="713" spans="1:6" s="726" customFormat="1" ht="30" customHeight="1">
      <c r="A713" s="849">
        <f>building!A215</f>
        <v>0</v>
      </c>
      <c r="B713" s="855">
        <f>building!Y215</f>
        <v>0</v>
      </c>
      <c r="C713" s="856" t="str">
        <f>building!B215</f>
        <v>3 Nos.of 32Amps - Fuse Unit</v>
      </c>
      <c r="D713" s="852">
        <f>building!C215</f>
        <v>778</v>
      </c>
      <c r="E713" s="853" t="str">
        <f>building!D215</f>
        <v>Each</v>
      </c>
      <c r="F713" s="852">
        <f t="shared" si="11"/>
        <v>0</v>
      </c>
    </row>
    <row r="714" spans="1:6" s="726" customFormat="1" ht="49.5" hidden="1" customHeight="1">
      <c r="A714" s="849">
        <f>building!A216</f>
        <v>0</v>
      </c>
      <c r="B714" s="855">
        <f>building!Y216</f>
        <v>0</v>
      </c>
      <c r="C714" s="856" t="str">
        <f>building!B216</f>
        <v>1 Nos.of 32Amps - Fuse Unit</v>
      </c>
      <c r="D714" s="852">
        <f>building!C216</f>
        <v>508.26</v>
      </c>
      <c r="E714" s="853" t="str">
        <f>building!D216</f>
        <v>Each</v>
      </c>
      <c r="F714" s="852">
        <f t="shared" si="11"/>
        <v>0</v>
      </c>
    </row>
    <row r="715" spans="1:6" s="726" customFormat="1" ht="39.75" customHeight="1">
      <c r="A715" s="849">
        <f>building!A217</f>
        <v>87.1</v>
      </c>
      <c r="B715" s="855">
        <f>building!Y217</f>
        <v>0</v>
      </c>
      <c r="C715" s="856" t="str">
        <f>building!B217</f>
        <v>Supplying and delivery of Three phase ELCB/RCCB</v>
      </c>
      <c r="D715" s="852">
        <f>building!C217</f>
        <v>2971.6</v>
      </c>
      <c r="E715" s="853" t="str">
        <f>building!D217</f>
        <v>Each</v>
      </c>
      <c r="F715" s="852">
        <f t="shared" si="11"/>
        <v>0</v>
      </c>
    </row>
    <row r="716" spans="1:6" s="726" customFormat="1" ht="17.25" hidden="1">
      <c r="A716" s="849">
        <f>building!A218</f>
        <v>0</v>
      </c>
      <c r="B716" s="855">
        <f>building!Y218</f>
        <v>0</v>
      </c>
      <c r="C716" s="856" t="str">
        <f>building!B218</f>
        <v>Supply of G.I pipe 40mm dia 'B' Class</v>
      </c>
      <c r="D716" s="852">
        <f>building!C218</f>
        <v>165</v>
      </c>
      <c r="E716" s="853" t="str">
        <f>building!D218</f>
        <v>Rmt</v>
      </c>
      <c r="F716" s="852">
        <f t="shared" si="11"/>
        <v>0</v>
      </c>
    </row>
    <row r="717" spans="1:6" s="726" customFormat="1" ht="36.6" hidden="1" customHeight="1">
      <c r="A717" s="849">
        <f>building!A219</f>
        <v>0</v>
      </c>
      <c r="B717" s="855">
        <f>building!Y219</f>
        <v>2531.6999999999998</v>
      </c>
      <c r="C717" s="856" t="str">
        <f>building!B219</f>
        <v>Plastic Emulsion PAINT including primer for outer walls</v>
      </c>
      <c r="D717" s="852">
        <f>building!C219</f>
        <v>206.91</v>
      </c>
      <c r="E717" s="853" t="str">
        <f>building!D219</f>
        <v>Sqm</v>
      </c>
      <c r="F717" s="852">
        <f t="shared" si="11"/>
        <v>523834.05</v>
      </c>
    </row>
    <row r="718" spans="1:6" s="726" customFormat="1" ht="36" customHeight="1">
      <c r="A718" s="849" t="str">
        <f>building!A220</f>
        <v>38.4.1</v>
      </c>
      <c r="B718" s="855">
        <f>building!Y220</f>
        <v>2472.9</v>
      </c>
      <c r="C718" s="856" t="str">
        <f>building!B220</f>
        <v xml:space="preserve">Two coat of OBD over one coat white cement for inner walls </v>
      </c>
      <c r="D718" s="852">
        <f>building!C220</f>
        <v>109.44</v>
      </c>
      <c r="E718" s="853" t="str">
        <f>building!D220</f>
        <v>Sqm</v>
      </c>
      <c r="F718" s="852">
        <f t="shared" si="11"/>
        <v>270634.18</v>
      </c>
    </row>
    <row r="719" spans="1:6" s="726" customFormat="1" ht="46.5" hidden="1" customHeight="1">
      <c r="A719" s="849">
        <f>building!A221</f>
        <v>0</v>
      </c>
      <c r="B719" s="855">
        <f>building!Y221</f>
        <v>0</v>
      </c>
      <c r="C719" s="856" t="str">
        <f>building!B221</f>
        <v>2 x 4 Sqmm Copper PVC insulated unsheathed single core 1 KV grade cable for EB service single phase.</v>
      </c>
      <c r="D719" s="852">
        <f>building!C221</f>
        <v>142.29</v>
      </c>
      <c r="E719" s="853" t="str">
        <f>building!D221</f>
        <v>Rmt</v>
      </c>
      <c r="F719" s="852">
        <f t="shared" si="11"/>
        <v>0</v>
      </c>
    </row>
    <row r="720" spans="1:6" s="726" customFormat="1" ht="17.25" hidden="1">
      <c r="A720" s="849">
        <f>building!A222</f>
        <v>0</v>
      </c>
      <c r="B720" s="855">
        <f>building!Y222</f>
        <v>0</v>
      </c>
      <c r="C720" s="856" t="str">
        <f>building!B222</f>
        <v>40 mm dia GI pipe "B"class</v>
      </c>
      <c r="D720" s="852">
        <f>building!C222</f>
        <v>165</v>
      </c>
      <c r="E720" s="853" t="str">
        <f>building!D222</f>
        <v>Rmt</v>
      </c>
      <c r="F720" s="852">
        <f t="shared" si="11"/>
        <v>0</v>
      </c>
    </row>
    <row r="721" spans="1:6" s="726" customFormat="1" ht="36" hidden="1" customHeight="1">
      <c r="A721" s="849" t="e">
        <f>building!#REF!</f>
        <v>#REF!</v>
      </c>
      <c r="B721" s="855" t="e">
        <f>building!#REF!</f>
        <v>#REF!</v>
      </c>
      <c r="C721" s="856" t="e">
        <f>building!#REF!</f>
        <v>#REF!</v>
      </c>
      <c r="D721" s="852" t="e">
        <f>building!#REF!</f>
        <v>#REF!</v>
      </c>
      <c r="E721" s="853" t="e">
        <f>building!#REF!</f>
        <v>#REF!</v>
      </c>
      <c r="F721" s="852" t="e">
        <f t="shared" si="11"/>
        <v>#REF!</v>
      </c>
    </row>
    <row r="722" spans="1:6" s="726" customFormat="1" ht="30" customHeight="1">
      <c r="A722" s="849">
        <f>building!A223</f>
        <v>448.2</v>
      </c>
      <c r="B722" s="855">
        <f>building!Y223</f>
        <v>8</v>
      </c>
      <c r="C722" s="856" t="str">
        <f>building!B223</f>
        <v xml:space="preserve">Providing PVC Tee with end cap </v>
      </c>
      <c r="D722" s="852">
        <f>building!C223</f>
        <v>122.25</v>
      </c>
      <c r="E722" s="853" t="str">
        <f>building!D223</f>
        <v>Each</v>
      </c>
      <c r="F722" s="852">
        <f t="shared" si="11"/>
        <v>978</v>
      </c>
    </row>
    <row r="723" spans="1:6" s="726" customFormat="1" ht="27.6" hidden="1" customHeight="1">
      <c r="A723" s="849">
        <f>building!A224</f>
        <v>0</v>
      </c>
      <c r="B723" s="855">
        <f>building!Y224</f>
        <v>304.89999999999998</v>
      </c>
      <c r="C723" s="856" t="str">
        <f>building!B224</f>
        <v>Granite Tiles flooring (Ruby red) using 2'x1', 10mm tk</v>
      </c>
      <c r="D723" s="852">
        <f>building!C224</f>
        <v>1489.39</v>
      </c>
      <c r="E723" s="853" t="str">
        <f>building!D224</f>
        <v>Sqm</v>
      </c>
      <c r="F723" s="852">
        <f t="shared" si="11"/>
        <v>454115.01</v>
      </c>
    </row>
    <row r="724" spans="1:6" s="726" customFormat="1" ht="44.45" customHeight="1">
      <c r="A724" s="849">
        <f>building!A225</f>
        <v>0</v>
      </c>
      <c r="B724" s="855">
        <f>building!Y225</f>
        <v>134.69999999999999</v>
      </c>
      <c r="C724" s="856" t="str">
        <f>building!B225</f>
        <v>Providing wooden Melamine polish for new wood work</v>
      </c>
      <c r="D724" s="852">
        <f>building!C225</f>
        <v>1298.51</v>
      </c>
      <c r="E724" s="853" t="str">
        <f>building!D225</f>
        <v>Sqm</v>
      </c>
      <c r="F724" s="852">
        <f t="shared" si="11"/>
        <v>174909.3</v>
      </c>
    </row>
    <row r="725" spans="1:6" s="726" customFormat="1" ht="31.5" hidden="1" customHeight="1">
      <c r="A725" s="849" t="e">
        <f>building!#REF!</f>
        <v>#REF!</v>
      </c>
      <c r="B725" s="855" t="e">
        <f>building!#REF!</f>
        <v>#REF!</v>
      </c>
      <c r="C725" s="856" t="e">
        <f>building!#REF!</f>
        <v>#REF!</v>
      </c>
      <c r="D725" s="852" t="e">
        <f>building!#REF!</f>
        <v>#REF!</v>
      </c>
      <c r="E725" s="853" t="e">
        <f>building!#REF!</f>
        <v>#REF!</v>
      </c>
      <c r="F725" s="852" t="e">
        <f t="shared" si="11"/>
        <v>#REF!</v>
      </c>
    </row>
    <row r="726" spans="1:6" s="726" customFormat="1" ht="55.5" hidden="1" customHeight="1">
      <c r="A726" s="849">
        <f>building!A226</f>
        <v>0</v>
      </c>
      <c r="B726" s="855">
        <f>building!Y226</f>
        <v>0</v>
      </c>
      <c r="C726" s="856" t="str">
        <f>building!B226</f>
        <v>Providing Shahabad stone flooring</v>
      </c>
      <c r="D726" s="852">
        <f>building!C226</f>
        <v>1331.17</v>
      </c>
      <c r="E726" s="853" t="str">
        <f>building!D226</f>
        <v>sqm</v>
      </c>
      <c r="F726" s="852">
        <f t="shared" si="11"/>
        <v>0</v>
      </c>
    </row>
    <row r="727" spans="1:6" s="726" customFormat="1" ht="34.5" customHeight="1">
      <c r="A727" s="849">
        <f>building!A227</f>
        <v>0</v>
      </c>
      <c r="B727" s="855">
        <f>building!Y227</f>
        <v>895.5</v>
      </c>
      <c r="C727" s="856" t="str">
        <f>building!B227</f>
        <v>Vitrified Tiles flooring (Ivory)</v>
      </c>
      <c r="D727" s="852">
        <f>building!C227</f>
        <v>1147.69</v>
      </c>
      <c r="E727" s="853" t="str">
        <f>building!D227</f>
        <v>Sqm</v>
      </c>
      <c r="F727" s="852">
        <f t="shared" si="11"/>
        <v>1027756.4</v>
      </c>
    </row>
    <row r="728" spans="1:6" s="726" customFormat="1" ht="34.5" hidden="1" customHeight="1">
      <c r="A728" s="849" t="e">
        <f>building!#REF!</f>
        <v>#REF!</v>
      </c>
      <c r="B728" s="855" t="e">
        <f>building!#REF!</f>
        <v>#REF!</v>
      </c>
      <c r="C728" s="856" t="e">
        <f>building!#REF!</f>
        <v>#REF!</v>
      </c>
      <c r="D728" s="852" t="e">
        <f>building!#REF!</f>
        <v>#REF!</v>
      </c>
      <c r="E728" s="853" t="e">
        <f>building!#REF!</f>
        <v>#REF!</v>
      </c>
      <c r="F728" s="852" t="e">
        <f t="shared" si="11"/>
        <v>#REF!</v>
      </c>
    </row>
    <row r="729" spans="1:6" s="726" customFormat="1" ht="33.75" customHeight="1">
      <c r="A729" s="849" t="str">
        <f>building!A228</f>
        <v>s</v>
      </c>
      <c r="B729" s="855">
        <f>building!Y228</f>
        <v>166.7</v>
      </c>
      <c r="C729" s="856" t="str">
        <f>building!B228</f>
        <v>Concrete designer tiles flooring</v>
      </c>
      <c r="D729" s="852">
        <f>building!C228</f>
        <v>1352.57</v>
      </c>
      <c r="E729" s="853" t="str">
        <f>building!D228</f>
        <v>Sqm</v>
      </c>
      <c r="F729" s="852">
        <f t="shared" si="11"/>
        <v>225473.42</v>
      </c>
    </row>
    <row r="730" spans="1:6" s="726" customFormat="1" ht="32.25" hidden="1" customHeight="1">
      <c r="A730" s="849">
        <f>building!A229</f>
        <v>0</v>
      </c>
      <c r="B730" s="855">
        <f>building!Y229</f>
        <v>0</v>
      </c>
      <c r="C730" s="856" t="str">
        <f>building!B229</f>
        <v xml:space="preserve">Concrete Designer Tiles flooring </v>
      </c>
      <c r="D730" s="852">
        <f>building!C229</f>
        <v>1352.57</v>
      </c>
      <c r="E730" s="853" t="str">
        <f>building!D229</f>
        <v>Sqm</v>
      </c>
      <c r="F730" s="852">
        <f t="shared" si="11"/>
        <v>0</v>
      </c>
    </row>
    <row r="731" spans="1:6" s="726" customFormat="1" ht="17.25" hidden="1">
      <c r="A731" s="849" t="e">
        <f>building!#REF!</f>
        <v>#REF!</v>
      </c>
      <c r="B731" s="855" t="e">
        <f>building!#REF!</f>
        <v>#REF!</v>
      </c>
      <c r="C731" s="856" t="e">
        <f>building!#REF!</f>
        <v>#REF!</v>
      </c>
      <c r="D731" s="852" t="e">
        <f>building!#REF!</f>
        <v>#REF!</v>
      </c>
      <c r="E731" s="853" t="e">
        <f>building!#REF!</f>
        <v>#REF!</v>
      </c>
      <c r="F731" s="852" t="e">
        <f t="shared" si="11"/>
        <v>#REF!</v>
      </c>
    </row>
    <row r="732" spans="1:6" s="726" customFormat="1" ht="17.25" hidden="1">
      <c r="A732" s="849" t="e">
        <f>building!#REF!</f>
        <v>#REF!</v>
      </c>
      <c r="B732" s="855" t="e">
        <f>building!#REF!</f>
        <v>#REF!</v>
      </c>
      <c r="C732" s="856" t="e">
        <f>building!#REF!</f>
        <v>#REF!</v>
      </c>
      <c r="D732" s="852" t="e">
        <f>building!#REF!</f>
        <v>#REF!</v>
      </c>
      <c r="E732" s="853" t="e">
        <f>building!#REF!</f>
        <v>#REF!</v>
      </c>
      <c r="F732" s="852" t="e">
        <f t="shared" si="11"/>
        <v>#REF!</v>
      </c>
    </row>
    <row r="733" spans="1:6" s="726" customFormat="1" ht="17.25" hidden="1">
      <c r="A733" s="849" t="e">
        <f>building!#REF!</f>
        <v>#REF!</v>
      </c>
      <c r="B733" s="855" t="e">
        <f>building!#REF!</f>
        <v>#REF!</v>
      </c>
      <c r="C733" s="856" t="e">
        <f>building!#REF!</f>
        <v>#REF!</v>
      </c>
      <c r="D733" s="852" t="e">
        <f>building!#REF!</f>
        <v>#REF!</v>
      </c>
      <c r="E733" s="853" t="e">
        <f>building!#REF!</f>
        <v>#REF!</v>
      </c>
      <c r="F733" s="852" t="e">
        <f t="shared" si="11"/>
        <v>#REF!</v>
      </c>
    </row>
    <row r="734" spans="1:6" s="726" customFormat="1" ht="25.15" hidden="1" customHeight="1">
      <c r="A734" s="849" t="e">
        <f>building!#REF!</f>
        <v>#REF!</v>
      </c>
      <c r="B734" s="855" t="e">
        <f>building!#REF!</f>
        <v>#REF!</v>
      </c>
      <c r="C734" s="856" t="e">
        <f>building!#REF!</f>
        <v>#REF!</v>
      </c>
      <c r="D734" s="852" t="e">
        <f>building!#REF!</f>
        <v>#REF!</v>
      </c>
      <c r="E734" s="853" t="e">
        <f>building!#REF!</f>
        <v>#REF!</v>
      </c>
      <c r="F734" s="852" t="e">
        <f t="shared" si="11"/>
        <v>#REF!</v>
      </c>
    </row>
    <row r="735" spans="1:6" s="726" customFormat="1" ht="17.25" hidden="1">
      <c r="A735" s="849" t="e">
        <f>building!#REF!</f>
        <v>#REF!</v>
      </c>
      <c r="B735" s="855" t="e">
        <f>building!#REF!</f>
        <v>#REF!</v>
      </c>
      <c r="C735" s="856" t="e">
        <f>building!#REF!</f>
        <v>#REF!</v>
      </c>
      <c r="D735" s="852" t="e">
        <f>building!#REF!</f>
        <v>#REF!</v>
      </c>
      <c r="E735" s="853" t="e">
        <f>building!#REF!</f>
        <v>#REF!</v>
      </c>
      <c r="F735" s="852" t="e">
        <f t="shared" si="11"/>
        <v>#REF!</v>
      </c>
    </row>
    <row r="736" spans="1:6" s="726" customFormat="1" ht="33.75" hidden="1" customHeight="1">
      <c r="A736" s="849" t="e">
        <f>building!#REF!</f>
        <v>#REF!</v>
      </c>
      <c r="B736" s="855" t="e">
        <f>building!#REF!</f>
        <v>#REF!</v>
      </c>
      <c r="C736" s="856" t="e">
        <f>building!#REF!</f>
        <v>#REF!</v>
      </c>
      <c r="D736" s="852" t="e">
        <f>building!#REF!</f>
        <v>#REF!</v>
      </c>
      <c r="E736" s="853" t="e">
        <f>building!#REF!</f>
        <v>#REF!</v>
      </c>
      <c r="F736" s="852" t="e">
        <f t="shared" si="11"/>
        <v>#REF!</v>
      </c>
    </row>
    <row r="737" spans="1:6" s="726" customFormat="1" ht="17.25" hidden="1">
      <c r="A737" s="849" t="e">
        <f>building!#REF!</f>
        <v>#REF!</v>
      </c>
      <c r="B737" s="855" t="e">
        <f>building!#REF!</f>
        <v>#REF!</v>
      </c>
      <c r="C737" s="856" t="e">
        <f>building!#REF!</f>
        <v>#REF!</v>
      </c>
      <c r="D737" s="852" t="e">
        <f>building!#REF!</f>
        <v>#REF!</v>
      </c>
      <c r="E737" s="853" t="e">
        <f>building!#REF!</f>
        <v>#REF!</v>
      </c>
      <c r="F737" s="852" t="e">
        <f t="shared" si="11"/>
        <v>#REF!</v>
      </c>
    </row>
    <row r="738" spans="1:6" s="726" customFormat="1" ht="33" hidden="1" customHeight="1">
      <c r="A738" s="849" t="e">
        <f>building!#REF!</f>
        <v>#REF!</v>
      </c>
      <c r="B738" s="855" t="e">
        <f>building!#REF!</f>
        <v>#REF!</v>
      </c>
      <c r="C738" s="856" t="e">
        <f>building!#REF!</f>
        <v>#REF!</v>
      </c>
      <c r="D738" s="852" t="e">
        <f>building!#REF!</f>
        <v>#REF!</v>
      </c>
      <c r="E738" s="853" t="e">
        <f>building!#REF!</f>
        <v>#REF!</v>
      </c>
      <c r="F738" s="852" t="e">
        <f t="shared" si="11"/>
        <v>#REF!</v>
      </c>
    </row>
    <row r="739" spans="1:6" s="726" customFormat="1" ht="17.25" hidden="1">
      <c r="A739" s="849" t="e">
        <f>building!#REF!</f>
        <v>#REF!</v>
      </c>
      <c r="B739" s="855" t="e">
        <f>building!#REF!</f>
        <v>#REF!</v>
      </c>
      <c r="C739" s="856" t="e">
        <f>building!#REF!</f>
        <v>#REF!</v>
      </c>
      <c r="D739" s="852" t="e">
        <f>building!#REF!</f>
        <v>#REF!</v>
      </c>
      <c r="E739" s="853" t="e">
        <f>building!#REF!</f>
        <v>#REF!</v>
      </c>
      <c r="F739" s="852" t="e">
        <f t="shared" si="11"/>
        <v>#REF!</v>
      </c>
    </row>
    <row r="740" spans="1:6" s="726" customFormat="1" ht="25.15" hidden="1" customHeight="1">
      <c r="A740" s="849" t="e">
        <f>building!#REF!</f>
        <v>#REF!</v>
      </c>
      <c r="B740" s="855" t="e">
        <f>building!#REF!</f>
        <v>#REF!</v>
      </c>
      <c r="C740" s="856" t="e">
        <f>building!#REF!</f>
        <v>#REF!</v>
      </c>
      <c r="D740" s="852" t="e">
        <f>building!#REF!</f>
        <v>#REF!</v>
      </c>
      <c r="E740" s="853" t="e">
        <f>building!#REF!</f>
        <v>#REF!</v>
      </c>
      <c r="F740" s="852" t="e">
        <f t="shared" si="11"/>
        <v>#REF!</v>
      </c>
    </row>
    <row r="741" spans="1:6" s="726" customFormat="1" ht="37.9" hidden="1" customHeight="1">
      <c r="A741" s="849">
        <f>building!A230</f>
        <v>0</v>
      </c>
      <c r="B741" s="855">
        <f>building!Y230</f>
        <v>0</v>
      </c>
      <c r="C741" s="856" t="str">
        <f>building!B230</f>
        <v>Supplying and fixing of 100mm dia GI pipe</v>
      </c>
      <c r="D741" s="852">
        <f>building!C230</f>
        <v>905</v>
      </c>
      <c r="E741" s="853" t="str">
        <f>building!D230</f>
        <v>Rmt</v>
      </c>
      <c r="F741" s="852">
        <f t="shared" si="11"/>
        <v>0</v>
      </c>
    </row>
    <row r="742" spans="1:6" s="726" customFormat="1" ht="37.9" hidden="1" customHeight="1">
      <c r="A742" s="849">
        <f>building!A231</f>
        <v>0</v>
      </c>
      <c r="B742" s="855">
        <f>building!Y231</f>
        <v>0</v>
      </c>
      <c r="C742" s="856" t="str">
        <f>building!B231</f>
        <v>Supplying and fixing of Geyser (Data -SD 103)</v>
      </c>
      <c r="D742" s="852">
        <f>building!C231</f>
        <v>8467.2999999999993</v>
      </c>
      <c r="E742" s="853" t="str">
        <f>building!D231</f>
        <v>Each</v>
      </c>
      <c r="F742" s="852">
        <f t="shared" si="11"/>
        <v>0</v>
      </c>
    </row>
    <row r="743" spans="1:6" s="726" customFormat="1" ht="39.75" hidden="1" customHeight="1">
      <c r="A743" s="849" t="e">
        <f>building!#REF!</f>
        <v>#REF!</v>
      </c>
      <c r="B743" s="855" t="e">
        <f>building!#REF!</f>
        <v>#REF!</v>
      </c>
      <c r="C743" s="856" t="e">
        <f>building!#REF!</f>
        <v>#REF!</v>
      </c>
      <c r="D743" s="852" t="e">
        <f>building!#REF!</f>
        <v>#REF!</v>
      </c>
      <c r="E743" s="853" t="e">
        <f>building!#REF!</f>
        <v>#REF!</v>
      </c>
      <c r="F743" s="852" t="e">
        <f t="shared" si="11"/>
        <v>#REF!</v>
      </c>
    </row>
    <row r="744" spans="1:6" s="726" customFormat="1" ht="38.25" hidden="1" customHeight="1">
      <c r="A744" s="849" t="e">
        <f>building!#REF!</f>
        <v>#REF!</v>
      </c>
      <c r="B744" s="855" t="e">
        <f>building!#REF!</f>
        <v>#REF!</v>
      </c>
      <c r="C744" s="856" t="e">
        <f>building!#REF!</f>
        <v>#REF!</v>
      </c>
      <c r="D744" s="852" t="e">
        <f>building!#REF!</f>
        <v>#REF!</v>
      </c>
      <c r="E744" s="853" t="e">
        <f>building!#REF!</f>
        <v>#REF!</v>
      </c>
      <c r="F744" s="852" t="e">
        <f t="shared" si="11"/>
        <v>#REF!</v>
      </c>
    </row>
    <row r="745" spans="1:6" s="726" customFormat="1" ht="17.25" hidden="1">
      <c r="A745" s="849" t="e">
        <f>building!#REF!</f>
        <v>#REF!</v>
      </c>
      <c r="B745" s="855" t="e">
        <f>building!#REF!</f>
        <v>#REF!</v>
      </c>
      <c r="C745" s="856" t="e">
        <f>building!#REF!</f>
        <v>#REF!</v>
      </c>
      <c r="D745" s="852" t="e">
        <f>building!#REF!</f>
        <v>#REF!</v>
      </c>
      <c r="E745" s="853" t="e">
        <f>building!#REF!</f>
        <v>#REF!</v>
      </c>
      <c r="F745" s="852" t="e">
        <f t="shared" si="11"/>
        <v>#REF!</v>
      </c>
    </row>
    <row r="746" spans="1:6" s="726" customFormat="1" ht="27.6" hidden="1" customHeight="1">
      <c r="A746" s="849" t="e">
        <f>building!#REF!</f>
        <v>#REF!</v>
      </c>
      <c r="B746" s="855" t="e">
        <f>building!#REF!</f>
        <v>#REF!</v>
      </c>
      <c r="C746" s="856" t="e">
        <f>building!#REF!</f>
        <v>#REF!</v>
      </c>
      <c r="D746" s="852" t="e">
        <f>building!#REF!</f>
        <v>#REF!</v>
      </c>
      <c r="E746" s="853" t="e">
        <f>building!#REF!</f>
        <v>#REF!</v>
      </c>
      <c r="F746" s="852" t="e">
        <f t="shared" si="11"/>
        <v>#REF!</v>
      </c>
    </row>
    <row r="747" spans="1:6" s="726" customFormat="1" ht="27.6" hidden="1" customHeight="1">
      <c r="A747" s="849" t="e">
        <f>building!#REF!</f>
        <v>#REF!</v>
      </c>
      <c r="B747" s="855" t="e">
        <f>building!#REF!</f>
        <v>#REF!</v>
      </c>
      <c r="C747" s="856" t="e">
        <f>building!#REF!</f>
        <v>#REF!</v>
      </c>
      <c r="D747" s="852" t="e">
        <f>building!#REF!</f>
        <v>#REF!</v>
      </c>
      <c r="E747" s="853" t="e">
        <f>building!#REF!</f>
        <v>#REF!</v>
      </c>
      <c r="F747" s="852" t="e">
        <f t="shared" si="11"/>
        <v>#REF!</v>
      </c>
    </row>
    <row r="748" spans="1:6" s="726" customFormat="1" ht="29.25" hidden="1" customHeight="1">
      <c r="A748" s="849" t="e">
        <f>building!#REF!</f>
        <v>#REF!</v>
      </c>
      <c r="B748" s="855" t="e">
        <f>building!#REF!</f>
        <v>#REF!</v>
      </c>
      <c r="C748" s="856" t="e">
        <f>building!#REF!</f>
        <v>#REF!</v>
      </c>
      <c r="D748" s="852" t="e">
        <f>building!#REF!</f>
        <v>#REF!</v>
      </c>
      <c r="E748" s="853" t="e">
        <f>building!#REF!</f>
        <v>#REF!</v>
      </c>
      <c r="F748" s="852" t="e">
        <f t="shared" si="11"/>
        <v>#REF!</v>
      </c>
    </row>
    <row r="749" spans="1:6" s="726" customFormat="1" ht="42.75" hidden="1" customHeight="1">
      <c r="A749" s="849" t="e">
        <f>building!#REF!</f>
        <v>#REF!</v>
      </c>
      <c r="B749" s="855" t="e">
        <f>building!#REF!</f>
        <v>#REF!</v>
      </c>
      <c r="C749" s="856" t="e">
        <f>building!#REF!</f>
        <v>#REF!</v>
      </c>
      <c r="D749" s="852" t="e">
        <f>building!#REF!</f>
        <v>#REF!</v>
      </c>
      <c r="E749" s="853" t="e">
        <f>building!#REF!</f>
        <v>#REF!</v>
      </c>
      <c r="F749" s="852" t="e">
        <f t="shared" si="11"/>
        <v>#REF!</v>
      </c>
    </row>
    <row r="750" spans="1:6" s="726" customFormat="1" ht="27.6" hidden="1" customHeight="1">
      <c r="A750" s="849" t="e">
        <f>building!#REF!</f>
        <v>#REF!</v>
      </c>
      <c r="B750" s="855" t="e">
        <f>building!#REF!</f>
        <v>#REF!</v>
      </c>
      <c r="C750" s="856" t="e">
        <f>building!#REF!</f>
        <v>#REF!</v>
      </c>
      <c r="D750" s="852" t="e">
        <f>building!#REF!</f>
        <v>#REF!</v>
      </c>
      <c r="E750" s="853" t="e">
        <f>building!#REF!</f>
        <v>#REF!</v>
      </c>
      <c r="F750" s="852" t="e">
        <f t="shared" si="11"/>
        <v>#REF!</v>
      </c>
    </row>
    <row r="751" spans="1:6" s="726" customFormat="1" ht="17.25" hidden="1">
      <c r="A751" s="849" t="e">
        <f>building!#REF!</f>
        <v>#REF!</v>
      </c>
      <c r="B751" s="855" t="e">
        <f>building!#REF!</f>
        <v>#REF!</v>
      </c>
      <c r="C751" s="856" t="e">
        <f>building!#REF!</f>
        <v>#REF!</v>
      </c>
      <c r="D751" s="852" t="e">
        <f>building!#REF!</f>
        <v>#REF!</v>
      </c>
      <c r="E751" s="853" t="e">
        <f>building!#REF!</f>
        <v>#REF!</v>
      </c>
      <c r="F751" s="852" t="e">
        <f t="shared" si="11"/>
        <v>#REF!</v>
      </c>
    </row>
    <row r="752" spans="1:6" s="726" customFormat="1" ht="27.6" hidden="1" customHeight="1">
      <c r="A752" s="849" t="e">
        <f>building!#REF!</f>
        <v>#REF!</v>
      </c>
      <c r="B752" s="855" t="e">
        <f>building!#REF!</f>
        <v>#REF!</v>
      </c>
      <c r="C752" s="856" t="e">
        <f>building!#REF!</f>
        <v>#REF!</v>
      </c>
      <c r="D752" s="852" t="e">
        <f>building!#REF!</f>
        <v>#REF!</v>
      </c>
      <c r="E752" s="853" t="e">
        <f>building!#REF!</f>
        <v>#REF!</v>
      </c>
      <c r="F752" s="852" t="e">
        <f t="shared" si="11"/>
        <v>#REF!</v>
      </c>
    </row>
    <row r="753" spans="1:6" s="726" customFormat="1" ht="17.25" hidden="1">
      <c r="A753" s="849" t="e">
        <f>building!#REF!</f>
        <v>#REF!</v>
      </c>
      <c r="B753" s="855" t="e">
        <f>building!#REF!</f>
        <v>#REF!</v>
      </c>
      <c r="C753" s="856" t="e">
        <f>building!#REF!</f>
        <v>#REF!</v>
      </c>
      <c r="D753" s="852" t="e">
        <f>building!#REF!</f>
        <v>#REF!</v>
      </c>
      <c r="E753" s="853" t="e">
        <f>building!#REF!</f>
        <v>#REF!</v>
      </c>
      <c r="F753" s="852" t="e">
        <f t="shared" si="11"/>
        <v>#REF!</v>
      </c>
    </row>
    <row r="754" spans="1:6" s="726" customFormat="1" ht="44.25" customHeight="1">
      <c r="A754" s="849" t="e">
        <f>building!#REF!</f>
        <v>#REF!</v>
      </c>
      <c r="B754" s="855" t="e">
        <f>building!#REF!</f>
        <v>#REF!</v>
      </c>
      <c r="C754" s="856" t="e">
        <f>building!#REF!</f>
        <v>#REF!</v>
      </c>
      <c r="D754" s="852" t="e">
        <f>building!#REF!</f>
        <v>#REF!</v>
      </c>
      <c r="E754" s="853" t="e">
        <f>building!#REF!</f>
        <v>#REF!</v>
      </c>
      <c r="F754" s="852" t="e">
        <f t="shared" si="11"/>
        <v>#REF!</v>
      </c>
    </row>
    <row r="755" spans="1:6" s="726" customFormat="1" ht="48" customHeight="1">
      <c r="A755" s="849" t="e">
        <f>building!#REF!</f>
        <v>#REF!</v>
      </c>
      <c r="B755" s="855" t="e">
        <f>building!#REF!</f>
        <v>#REF!</v>
      </c>
      <c r="C755" s="856" t="e">
        <f>building!#REF!</f>
        <v>#REF!</v>
      </c>
      <c r="D755" s="852" t="e">
        <f>building!#REF!</f>
        <v>#REF!</v>
      </c>
      <c r="E755" s="853" t="e">
        <f>building!#REF!</f>
        <v>#REF!</v>
      </c>
      <c r="F755" s="852" t="e">
        <f t="shared" si="11"/>
        <v>#REF!</v>
      </c>
    </row>
    <row r="756" spans="1:6" s="726" customFormat="1" ht="17.25" hidden="1">
      <c r="A756" s="849" t="e">
        <f>building!#REF!</f>
        <v>#REF!</v>
      </c>
      <c r="B756" s="855" t="e">
        <f>building!#REF!</f>
        <v>#REF!</v>
      </c>
      <c r="C756" s="856" t="e">
        <f>building!#REF!</f>
        <v>#REF!</v>
      </c>
      <c r="D756" s="852" t="e">
        <f>building!#REF!</f>
        <v>#REF!</v>
      </c>
      <c r="E756" s="853" t="e">
        <f>building!#REF!</f>
        <v>#REF!</v>
      </c>
      <c r="F756" s="852" t="e">
        <f t="shared" si="11"/>
        <v>#REF!</v>
      </c>
    </row>
    <row r="757" spans="1:6" s="726" customFormat="1" ht="17.25" hidden="1">
      <c r="A757" s="849" t="e">
        <f>building!#REF!</f>
        <v>#REF!</v>
      </c>
      <c r="B757" s="855" t="e">
        <f>building!#REF!</f>
        <v>#REF!</v>
      </c>
      <c r="C757" s="856" t="e">
        <f>building!#REF!</f>
        <v>#REF!</v>
      </c>
      <c r="D757" s="852" t="e">
        <f>building!#REF!</f>
        <v>#REF!</v>
      </c>
      <c r="E757" s="853" t="e">
        <f>building!#REF!</f>
        <v>#REF!</v>
      </c>
      <c r="F757" s="852" t="e">
        <f t="shared" si="11"/>
        <v>#REF!</v>
      </c>
    </row>
    <row r="758" spans="1:6" s="726" customFormat="1" ht="17.25" hidden="1">
      <c r="A758" s="849" t="e">
        <f>building!#REF!</f>
        <v>#REF!</v>
      </c>
      <c r="B758" s="855" t="e">
        <f>building!#REF!</f>
        <v>#REF!</v>
      </c>
      <c r="C758" s="856" t="e">
        <f>building!#REF!</f>
        <v>#REF!</v>
      </c>
      <c r="D758" s="852" t="e">
        <f>building!#REF!</f>
        <v>#REF!</v>
      </c>
      <c r="E758" s="853" t="e">
        <f>building!#REF!</f>
        <v>#REF!</v>
      </c>
      <c r="F758" s="852" t="e">
        <f t="shared" si="11"/>
        <v>#REF!</v>
      </c>
    </row>
    <row r="759" spans="1:6" s="726" customFormat="1" ht="58.5" customHeight="1">
      <c r="A759" s="849" t="e">
        <f>building!#REF!</f>
        <v>#REF!</v>
      </c>
      <c r="B759" s="855" t="e">
        <f>building!#REF!</f>
        <v>#REF!</v>
      </c>
      <c r="C759" s="856" t="e">
        <f>building!#REF!</f>
        <v>#REF!</v>
      </c>
      <c r="D759" s="852" t="e">
        <f>building!#REF!</f>
        <v>#REF!</v>
      </c>
      <c r="E759" s="853" t="e">
        <f>building!#REF!</f>
        <v>#REF!</v>
      </c>
      <c r="F759" s="852" t="e">
        <f t="shared" si="11"/>
        <v>#REF!</v>
      </c>
    </row>
    <row r="760" spans="1:6" s="726" customFormat="1" ht="17.25" hidden="1">
      <c r="A760" s="849" t="e">
        <f>building!#REF!</f>
        <v>#REF!</v>
      </c>
      <c r="B760" s="855" t="e">
        <f>building!#REF!</f>
        <v>#REF!</v>
      </c>
      <c r="C760" s="856" t="e">
        <f>building!#REF!</f>
        <v>#REF!</v>
      </c>
      <c r="D760" s="852" t="e">
        <f>building!#REF!</f>
        <v>#REF!</v>
      </c>
      <c r="E760" s="853" t="e">
        <f>building!#REF!</f>
        <v>#REF!</v>
      </c>
      <c r="F760" s="852" t="e">
        <f t="shared" si="11"/>
        <v>#REF!</v>
      </c>
    </row>
    <row r="761" spans="1:6" s="726" customFormat="1" ht="17.25" hidden="1">
      <c r="A761" s="849" t="e">
        <f>building!#REF!</f>
        <v>#REF!</v>
      </c>
      <c r="B761" s="855" t="e">
        <f>building!#REF!</f>
        <v>#REF!</v>
      </c>
      <c r="C761" s="856" t="e">
        <f>building!#REF!</f>
        <v>#REF!</v>
      </c>
      <c r="D761" s="852" t="e">
        <f>building!#REF!</f>
        <v>#REF!</v>
      </c>
      <c r="E761" s="853" t="e">
        <f>building!#REF!</f>
        <v>#REF!</v>
      </c>
      <c r="F761" s="852" t="e">
        <f t="shared" si="11"/>
        <v>#REF!</v>
      </c>
    </row>
    <row r="762" spans="1:6" s="726" customFormat="1" ht="17.25" hidden="1">
      <c r="A762" s="849" t="e">
        <f>building!#REF!</f>
        <v>#REF!</v>
      </c>
      <c r="B762" s="855" t="e">
        <f>building!#REF!</f>
        <v>#REF!</v>
      </c>
      <c r="C762" s="856" t="e">
        <f>building!#REF!</f>
        <v>#REF!</v>
      </c>
      <c r="D762" s="852" t="e">
        <f>building!#REF!</f>
        <v>#REF!</v>
      </c>
      <c r="E762" s="853" t="e">
        <f>building!#REF!</f>
        <v>#REF!</v>
      </c>
      <c r="F762" s="852" t="e">
        <f t="shared" si="11"/>
        <v>#REF!</v>
      </c>
    </row>
    <row r="763" spans="1:6" s="726" customFormat="1" ht="17.25" hidden="1">
      <c r="A763" s="849" t="e">
        <f>building!#REF!</f>
        <v>#REF!</v>
      </c>
      <c r="B763" s="855" t="e">
        <f>building!#REF!</f>
        <v>#REF!</v>
      </c>
      <c r="C763" s="856" t="e">
        <f>building!#REF!</f>
        <v>#REF!</v>
      </c>
      <c r="D763" s="852" t="e">
        <f>building!#REF!</f>
        <v>#REF!</v>
      </c>
      <c r="E763" s="853" t="e">
        <f>building!#REF!</f>
        <v>#REF!</v>
      </c>
      <c r="F763" s="852" t="e">
        <f t="shared" si="11"/>
        <v>#REF!</v>
      </c>
    </row>
    <row r="764" spans="1:6" s="726" customFormat="1" ht="17.25" hidden="1">
      <c r="A764" s="849" t="e">
        <f>building!#REF!</f>
        <v>#REF!</v>
      </c>
      <c r="B764" s="855" t="e">
        <f>building!#REF!</f>
        <v>#REF!</v>
      </c>
      <c r="C764" s="856" t="e">
        <f>building!#REF!</f>
        <v>#REF!</v>
      </c>
      <c r="D764" s="852" t="e">
        <f>building!#REF!</f>
        <v>#REF!</v>
      </c>
      <c r="E764" s="853" t="e">
        <f>building!#REF!</f>
        <v>#REF!</v>
      </c>
      <c r="F764" s="852" t="e">
        <f t="shared" si="11"/>
        <v>#REF!</v>
      </c>
    </row>
    <row r="765" spans="1:6" s="726" customFormat="1" ht="17.25" hidden="1">
      <c r="A765" s="849" t="e">
        <f>building!#REF!</f>
        <v>#REF!</v>
      </c>
      <c r="B765" s="855" t="e">
        <f>building!#REF!</f>
        <v>#REF!</v>
      </c>
      <c r="C765" s="856" t="e">
        <f>building!#REF!</f>
        <v>#REF!</v>
      </c>
      <c r="D765" s="852" t="e">
        <f>building!#REF!</f>
        <v>#REF!</v>
      </c>
      <c r="E765" s="853" t="e">
        <f>building!#REF!</f>
        <v>#REF!</v>
      </c>
      <c r="F765" s="852" t="e">
        <f t="shared" si="11"/>
        <v>#REF!</v>
      </c>
    </row>
    <row r="766" spans="1:6" s="726" customFormat="1" ht="17.25" hidden="1">
      <c r="A766" s="849" t="e">
        <f>building!#REF!</f>
        <v>#REF!</v>
      </c>
      <c r="B766" s="855" t="e">
        <f>building!#REF!</f>
        <v>#REF!</v>
      </c>
      <c r="C766" s="856" t="e">
        <f>building!#REF!</f>
        <v>#REF!</v>
      </c>
      <c r="D766" s="852" t="e">
        <f>building!#REF!</f>
        <v>#REF!</v>
      </c>
      <c r="E766" s="853" t="e">
        <f>building!#REF!</f>
        <v>#REF!</v>
      </c>
      <c r="F766" s="852" t="e">
        <f t="shared" si="11"/>
        <v>#REF!</v>
      </c>
    </row>
    <row r="767" spans="1:6" s="726" customFormat="1" ht="17.25" hidden="1">
      <c r="A767" s="849" t="e">
        <f>building!#REF!</f>
        <v>#REF!</v>
      </c>
      <c r="B767" s="855" t="e">
        <f>building!#REF!</f>
        <v>#REF!</v>
      </c>
      <c r="C767" s="856" t="e">
        <f>building!#REF!</f>
        <v>#REF!</v>
      </c>
      <c r="D767" s="852" t="e">
        <f>building!#REF!</f>
        <v>#REF!</v>
      </c>
      <c r="E767" s="853" t="e">
        <f>building!#REF!</f>
        <v>#REF!</v>
      </c>
      <c r="F767" s="852" t="e">
        <f t="shared" si="11"/>
        <v>#REF!</v>
      </c>
    </row>
    <row r="768" spans="1:6" s="726" customFormat="1" ht="17.25" hidden="1">
      <c r="A768" s="849" t="e">
        <f>building!#REF!</f>
        <v>#REF!</v>
      </c>
      <c r="B768" s="855" t="e">
        <f>building!#REF!</f>
        <v>#REF!</v>
      </c>
      <c r="C768" s="856" t="e">
        <f>building!#REF!</f>
        <v>#REF!</v>
      </c>
      <c r="D768" s="852" t="e">
        <f>building!#REF!</f>
        <v>#REF!</v>
      </c>
      <c r="E768" s="853" t="e">
        <f>building!#REF!</f>
        <v>#REF!</v>
      </c>
      <c r="F768" s="852" t="e">
        <f t="shared" si="11"/>
        <v>#REF!</v>
      </c>
    </row>
    <row r="769" spans="1:6" s="726" customFormat="1" ht="17.25" hidden="1">
      <c r="A769" s="849" t="e">
        <f>building!#REF!</f>
        <v>#REF!</v>
      </c>
      <c r="B769" s="855" t="e">
        <f>building!#REF!</f>
        <v>#REF!</v>
      </c>
      <c r="C769" s="856" t="e">
        <f>building!#REF!</f>
        <v>#REF!</v>
      </c>
      <c r="D769" s="852" t="e">
        <f>building!#REF!</f>
        <v>#REF!</v>
      </c>
      <c r="E769" s="853" t="e">
        <f>building!#REF!</f>
        <v>#REF!</v>
      </c>
      <c r="F769" s="852" t="e">
        <f t="shared" si="11"/>
        <v>#REF!</v>
      </c>
    </row>
    <row r="770" spans="1:6" s="726" customFormat="1" ht="17.25" hidden="1">
      <c r="A770" s="849" t="e">
        <f>building!#REF!</f>
        <v>#REF!</v>
      </c>
      <c r="B770" s="855" t="e">
        <f>building!#REF!</f>
        <v>#REF!</v>
      </c>
      <c r="C770" s="856" t="e">
        <f>building!#REF!</f>
        <v>#REF!</v>
      </c>
      <c r="D770" s="852" t="e">
        <f>building!#REF!</f>
        <v>#REF!</v>
      </c>
      <c r="E770" s="853" t="e">
        <f>building!#REF!</f>
        <v>#REF!</v>
      </c>
      <c r="F770" s="852" t="e">
        <f t="shared" si="11"/>
        <v>#REF!</v>
      </c>
    </row>
    <row r="771" spans="1:6" s="726" customFormat="1" ht="36.75" hidden="1" customHeight="1">
      <c r="A771" s="849" t="e">
        <f>building!#REF!</f>
        <v>#REF!</v>
      </c>
      <c r="B771" s="855" t="e">
        <f>building!#REF!</f>
        <v>#REF!</v>
      </c>
      <c r="C771" s="856" t="e">
        <f>building!#REF!</f>
        <v>#REF!</v>
      </c>
      <c r="D771" s="852" t="e">
        <f>building!#REF!</f>
        <v>#REF!</v>
      </c>
      <c r="E771" s="853" t="e">
        <f>building!#REF!</f>
        <v>#REF!</v>
      </c>
      <c r="F771" s="852" t="e">
        <f t="shared" si="11"/>
        <v>#REF!</v>
      </c>
    </row>
    <row r="772" spans="1:6" s="726" customFormat="1" ht="21" hidden="1" customHeight="1">
      <c r="A772" s="849" t="e">
        <f>building!#REF!</f>
        <v>#REF!</v>
      </c>
      <c r="B772" s="855" t="e">
        <f>building!#REF!</f>
        <v>#REF!</v>
      </c>
      <c r="C772" s="856" t="e">
        <f>building!#REF!</f>
        <v>#REF!</v>
      </c>
      <c r="D772" s="852" t="e">
        <f>building!#REF!</f>
        <v>#REF!</v>
      </c>
      <c r="E772" s="853" t="e">
        <f>building!#REF!</f>
        <v>#REF!</v>
      </c>
      <c r="F772" s="852" t="e">
        <f t="shared" si="11"/>
        <v>#REF!</v>
      </c>
    </row>
    <row r="773" spans="1:6" s="726" customFormat="1" ht="21" hidden="1" customHeight="1">
      <c r="A773" s="849" t="e">
        <f>building!#REF!</f>
        <v>#REF!</v>
      </c>
      <c r="B773" s="855" t="e">
        <f>building!#REF!</f>
        <v>#REF!</v>
      </c>
      <c r="C773" s="856" t="e">
        <f>building!#REF!</f>
        <v>#REF!</v>
      </c>
      <c r="D773" s="852" t="e">
        <f>building!#REF!</f>
        <v>#REF!</v>
      </c>
      <c r="E773" s="853" t="e">
        <f>building!#REF!</f>
        <v>#REF!</v>
      </c>
      <c r="F773" s="852" t="e">
        <f t="shared" si="11"/>
        <v>#REF!</v>
      </c>
    </row>
    <row r="774" spans="1:6" s="726" customFormat="1" ht="21" hidden="1" customHeight="1">
      <c r="A774" s="849" t="e">
        <f>building!#REF!</f>
        <v>#REF!</v>
      </c>
      <c r="B774" s="855" t="e">
        <f>building!#REF!</f>
        <v>#REF!</v>
      </c>
      <c r="C774" s="856" t="e">
        <f>building!#REF!</f>
        <v>#REF!</v>
      </c>
      <c r="D774" s="852" t="e">
        <f>building!#REF!</f>
        <v>#REF!</v>
      </c>
      <c r="E774" s="853" t="e">
        <f>building!#REF!</f>
        <v>#REF!</v>
      </c>
      <c r="F774" s="852" t="e">
        <f t="shared" si="11"/>
        <v>#REF!</v>
      </c>
    </row>
    <row r="775" spans="1:6" s="726" customFormat="1" ht="53.25" customHeight="1">
      <c r="A775" s="849" t="e">
        <f>building!#REF!</f>
        <v>#REF!</v>
      </c>
      <c r="B775" s="855" t="e">
        <f>building!#REF!</f>
        <v>#REF!</v>
      </c>
      <c r="C775" s="856" t="e">
        <f>building!#REF!</f>
        <v>#REF!</v>
      </c>
      <c r="D775" s="852" t="e">
        <f>building!#REF!</f>
        <v>#REF!</v>
      </c>
      <c r="E775" s="853" t="e">
        <f>building!#REF!</f>
        <v>#REF!</v>
      </c>
      <c r="F775" s="852" t="e">
        <f t="shared" si="11"/>
        <v>#REF!</v>
      </c>
    </row>
    <row r="776" spans="1:6" s="726" customFormat="1" ht="17.25" hidden="1">
      <c r="A776" s="849" t="e">
        <f>building!#REF!</f>
        <v>#REF!</v>
      </c>
      <c r="B776" s="855" t="e">
        <f>building!#REF!</f>
        <v>#REF!</v>
      </c>
      <c r="C776" s="856" t="e">
        <f>building!#REF!</f>
        <v>#REF!</v>
      </c>
      <c r="D776" s="852" t="e">
        <f>building!#REF!</f>
        <v>#REF!</v>
      </c>
      <c r="E776" s="853" t="e">
        <f>building!#REF!</f>
        <v>#REF!</v>
      </c>
      <c r="F776" s="852" t="e">
        <f t="shared" ref="F776:F839" si="12">D776*B776</f>
        <v>#REF!</v>
      </c>
    </row>
    <row r="777" spans="1:6" s="726" customFormat="1" ht="17.25" hidden="1">
      <c r="A777" s="849" t="e">
        <f>building!#REF!</f>
        <v>#REF!</v>
      </c>
      <c r="B777" s="855" t="e">
        <f>building!#REF!</f>
        <v>#REF!</v>
      </c>
      <c r="C777" s="856" t="e">
        <f>building!#REF!</f>
        <v>#REF!</v>
      </c>
      <c r="D777" s="852" t="e">
        <f>building!#REF!</f>
        <v>#REF!</v>
      </c>
      <c r="E777" s="853" t="e">
        <f>building!#REF!</f>
        <v>#REF!</v>
      </c>
      <c r="F777" s="852" t="e">
        <f t="shared" si="12"/>
        <v>#REF!</v>
      </c>
    </row>
    <row r="778" spans="1:6" s="726" customFormat="1" ht="17.25" hidden="1">
      <c r="A778" s="849" t="e">
        <f>building!#REF!</f>
        <v>#REF!</v>
      </c>
      <c r="B778" s="855" t="e">
        <f>building!#REF!</f>
        <v>#REF!</v>
      </c>
      <c r="C778" s="856" t="e">
        <f>building!#REF!</f>
        <v>#REF!</v>
      </c>
      <c r="D778" s="852" t="e">
        <f>building!#REF!</f>
        <v>#REF!</v>
      </c>
      <c r="E778" s="853" t="e">
        <f>building!#REF!</f>
        <v>#REF!</v>
      </c>
      <c r="F778" s="852" t="e">
        <f t="shared" si="12"/>
        <v>#REF!</v>
      </c>
    </row>
    <row r="779" spans="1:6" s="726" customFormat="1" ht="36.6" hidden="1" customHeight="1">
      <c r="A779" s="849" t="e">
        <f>building!#REF!</f>
        <v>#REF!</v>
      </c>
      <c r="B779" s="855" t="e">
        <f>building!#REF!</f>
        <v>#REF!</v>
      </c>
      <c r="C779" s="856" t="e">
        <f>building!#REF!</f>
        <v>#REF!</v>
      </c>
      <c r="D779" s="852" t="e">
        <f>building!#REF!</f>
        <v>#REF!</v>
      </c>
      <c r="E779" s="853" t="e">
        <f>building!#REF!</f>
        <v>#REF!</v>
      </c>
      <c r="F779" s="852" t="e">
        <f t="shared" si="12"/>
        <v>#REF!</v>
      </c>
    </row>
    <row r="780" spans="1:6" s="726" customFormat="1" ht="17.25" hidden="1">
      <c r="A780" s="849" t="e">
        <f>building!#REF!</f>
        <v>#REF!</v>
      </c>
      <c r="B780" s="855" t="e">
        <f>building!#REF!</f>
        <v>#REF!</v>
      </c>
      <c r="C780" s="856" t="e">
        <f>building!#REF!</f>
        <v>#REF!</v>
      </c>
      <c r="D780" s="852" t="e">
        <f>building!#REF!</f>
        <v>#REF!</v>
      </c>
      <c r="E780" s="853" t="e">
        <f>building!#REF!</f>
        <v>#REF!</v>
      </c>
      <c r="F780" s="852" t="e">
        <f t="shared" si="12"/>
        <v>#REF!</v>
      </c>
    </row>
    <row r="781" spans="1:6" s="726" customFormat="1" ht="17.25" hidden="1">
      <c r="A781" s="849" t="e">
        <f>building!#REF!</f>
        <v>#REF!</v>
      </c>
      <c r="B781" s="855" t="e">
        <f>building!#REF!</f>
        <v>#REF!</v>
      </c>
      <c r="C781" s="856" t="e">
        <f>building!#REF!</f>
        <v>#REF!</v>
      </c>
      <c r="D781" s="852" t="e">
        <f>building!#REF!</f>
        <v>#REF!</v>
      </c>
      <c r="E781" s="853" t="e">
        <f>building!#REF!</f>
        <v>#REF!</v>
      </c>
      <c r="F781" s="852" t="e">
        <f t="shared" si="12"/>
        <v>#REF!</v>
      </c>
    </row>
    <row r="782" spans="1:6" s="726" customFormat="1" ht="17.25" hidden="1">
      <c r="A782" s="849" t="e">
        <f>building!#REF!</f>
        <v>#REF!</v>
      </c>
      <c r="B782" s="855" t="e">
        <f>building!#REF!</f>
        <v>#REF!</v>
      </c>
      <c r="C782" s="856" t="e">
        <f>building!#REF!</f>
        <v>#REF!</v>
      </c>
      <c r="D782" s="852" t="e">
        <f>building!#REF!</f>
        <v>#REF!</v>
      </c>
      <c r="E782" s="853" t="e">
        <f>building!#REF!</f>
        <v>#REF!</v>
      </c>
      <c r="F782" s="852" t="e">
        <f t="shared" si="12"/>
        <v>#REF!</v>
      </c>
    </row>
    <row r="783" spans="1:6" s="726" customFormat="1" ht="17.25" hidden="1">
      <c r="A783" s="849" t="e">
        <f>building!#REF!</f>
        <v>#REF!</v>
      </c>
      <c r="B783" s="855" t="e">
        <f>building!#REF!</f>
        <v>#REF!</v>
      </c>
      <c r="C783" s="856" t="e">
        <f>building!#REF!</f>
        <v>#REF!</v>
      </c>
      <c r="D783" s="852" t="e">
        <f>building!#REF!</f>
        <v>#REF!</v>
      </c>
      <c r="E783" s="853" t="e">
        <f>building!#REF!</f>
        <v>#REF!</v>
      </c>
      <c r="F783" s="852" t="e">
        <f t="shared" si="12"/>
        <v>#REF!</v>
      </c>
    </row>
    <row r="784" spans="1:6" s="726" customFormat="1" ht="17.25" hidden="1">
      <c r="A784" s="849" t="e">
        <f>building!#REF!</f>
        <v>#REF!</v>
      </c>
      <c r="B784" s="855" t="e">
        <f>building!#REF!</f>
        <v>#REF!</v>
      </c>
      <c r="C784" s="856" t="e">
        <f>building!#REF!</f>
        <v>#REF!</v>
      </c>
      <c r="D784" s="852" t="e">
        <f>building!#REF!</f>
        <v>#REF!</v>
      </c>
      <c r="E784" s="853" t="e">
        <f>building!#REF!</f>
        <v>#REF!</v>
      </c>
      <c r="F784" s="852" t="e">
        <f t="shared" si="12"/>
        <v>#REF!</v>
      </c>
    </row>
    <row r="785" spans="1:6" ht="15.75" hidden="1">
      <c r="A785" s="849" t="e">
        <f>building!#REF!</f>
        <v>#REF!</v>
      </c>
      <c r="B785" s="855" t="e">
        <f>building!#REF!</f>
        <v>#REF!</v>
      </c>
      <c r="C785" s="856" t="e">
        <f>building!#REF!</f>
        <v>#REF!</v>
      </c>
      <c r="D785" s="852" t="e">
        <f>building!#REF!</f>
        <v>#REF!</v>
      </c>
      <c r="E785" s="853" t="e">
        <f>building!#REF!</f>
        <v>#REF!</v>
      </c>
      <c r="F785" s="852" t="e">
        <f t="shared" si="12"/>
        <v>#REF!</v>
      </c>
    </row>
    <row r="786" spans="1:6" ht="15.75" hidden="1">
      <c r="A786" s="849" t="e">
        <f>building!#REF!</f>
        <v>#REF!</v>
      </c>
      <c r="B786" s="855" t="e">
        <f>building!#REF!</f>
        <v>#REF!</v>
      </c>
      <c r="C786" s="856" t="e">
        <f>building!#REF!</f>
        <v>#REF!</v>
      </c>
      <c r="D786" s="852" t="e">
        <f>building!#REF!</f>
        <v>#REF!</v>
      </c>
      <c r="E786" s="853" t="e">
        <f>building!#REF!</f>
        <v>#REF!</v>
      </c>
      <c r="F786" s="852" t="e">
        <f t="shared" si="12"/>
        <v>#REF!</v>
      </c>
    </row>
    <row r="787" spans="1:6" ht="15.75" hidden="1">
      <c r="A787" s="849" t="e">
        <f>building!#REF!</f>
        <v>#REF!</v>
      </c>
      <c r="B787" s="855" t="e">
        <f>building!#REF!</f>
        <v>#REF!</v>
      </c>
      <c r="C787" s="856" t="e">
        <f>building!#REF!</f>
        <v>#REF!</v>
      </c>
      <c r="D787" s="852" t="e">
        <f>building!#REF!</f>
        <v>#REF!</v>
      </c>
      <c r="E787" s="853" t="e">
        <f>building!#REF!</f>
        <v>#REF!</v>
      </c>
      <c r="F787" s="852" t="e">
        <f t="shared" si="12"/>
        <v>#REF!</v>
      </c>
    </row>
    <row r="788" spans="1:6" ht="64.5" hidden="1" customHeight="1">
      <c r="A788" s="849" t="e">
        <f>building!#REF!</f>
        <v>#REF!</v>
      </c>
      <c r="B788" s="855" t="e">
        <f>building!#REF!</f>
        <v>#REF!</v>
      </c>
      <c r="C788" s="856" t="e">
        <f>building!#REF!</f>
        <v>#REF!</v>
      </c>
      <c r="D788" s="852" t="e">
        <f>building!#REF!</f>
        <v>#REF!</v>
      </c>
      <c r="E788" s="853" t="e">
        <f>building!#REF!</f>
        <v>#REF!</v>
      </c>
      <c r="F788" s="852" t="e">
        <f t="shared" si="12"/>
        <v>#REF!</v>
      </c>
    </row>
    <row r="789" spans="1:6" ht="58.5" hidden="1" customHeight="1">
      <c r="A789" s="849" t="e">
        <f>building!#REF!</f>
        <v>#REF!</v>
      </c>
      <c r="B789" s="855" t="e">
        <f>building!#REF!</f>
        <v>#REF!</v>
      </c>
      <c r="C789" s="856" t="e">
        <f>building!#REF!</f>
        <v>#REF!</v>
      </c>
      <c r="D789" s="852" t="e">
        <f>building!#REF!</f>
        <v>#REF!</v>
      </c>
      <c r="E789" s="853" t="e">
        <f>building!#REF!</f>
        <v>#REF!</v>
      </c>
      <c r="F789" s="852" t="e">
        <f t="shared" si="12"/>
        <v>#REF!</v>
      </c>
    </row>
    <row r="790" spans="1:6" s="726" customFormat="1" ht="17.25" hidden="1">
      <c r="A790" s="849" t="e">
        <f>building!#REF!</f>
        <v>#REF!</v>
      </c>
      <c r="B790" s="855" t="e">
        <f>building!#REF!</f>
        <v>#REF!</v>
      </c>
      <c r="C790" s="856" t="e">
        <f>building!#REF!</f>
        <v>#REF!</v>
      </c>
      <c r="D790" s="852" t="e">
        <f>building!#REF!</f>
        <v>#REF!</v>
      </c>
      <c r="E790" s="853" t="e">
        <f>building!#REF!</f>
        <v>#REF!</v>
      </c>
      <c r="F790" s="852" t="e">
        <f t="shared" si="12"/>
        <v>#REF!</v>
      </c>
    </row>
    <row r="791" spans="1:6" s="726" customFormat="1" ht="46.9" hidden="1" customHeight="1">
      <c r="A791" s="849" t="e">
        <f>building!#REF!</f>
        <v>#REF!</v>
      </c>
      <c r="B791" s="855" t="e">
        <f>building!#REF!</f>
        <v>#REF!</v>
      </c>
      <c r="C791" s="856" t="e">
        <f>building!#REF!</f>
        <v>#REF!</v>
      </c>
      <c r="D791" s="852" t="e">
        <f>building!#REF!</f>
        <v>#REF!</v>
      </c>
      <c r="E791" s="853" t="e">
        <f>building!#REF!</f>
        <v>#REF!</v>
      </c>
      <c r="F791" s="852" t="e">
        <f t="shared" si="12"/>
        <v>#REF!</v>
      </c>
    </row>
    <row r="792" spans="1:6" s="726" customFormat="1" ht="41.25" hidden="1" customHeight="1">
      <c r="A792" s="849" t="e">
        <f>building!#REF!</f>
        <v>#REF!</v>
      </c>
      <c r="B792" s="855" t="e">
        <f>building!#REF!</f>
        <v>#REF!</v>
      </c>
      <c r="C792" s="856" t="e">
        <f>building!#REF!</f>
        <v>#REF!</v>
      </c>
      <c r="D792" s="852" t="e">
        <f>building!#REF!</f>
        <v>#REF!</v>
      </c>
      <c r="E792" s="853" t="e">
        <f>building!#REF!</f>
        <v>#REF!</v>
      </c>
      <c r="F792" s="852" t="e">
        <f t="shared" si="12"/>
        <v>#REF!</v>
      </c>
    </row>
    <row r="793" spans="1:6" s="726" customFormat="1" ht="60" customHeight="1">
      <c r="A793" s="849" t="e">
        <f>building!#REF!</f>
        <v>#REF!</v>
      </c>
      <c r="B793" s="855" t="e">
        <f>building!#REF!</f>
        <v>#REF!</v>
      </c>
      <c r="C793" s="856" t="e">
        <f>building!#REF!</f>
        <v>#REF!</v>
      </c>
      <c r="D793" s="852" t="e">
        <f>building!#REF!</f>
        <v>#REF!</v>
      </c>
      <c r="E793" s="853" t="e">
        <f>building!#REF!</f>
        <v>#REF!</v>
      </c>
      <c r="F793" s="852" t="e">
        <f t="shared" si="12"/>
        <v>#REF!</v>
      </c>
    </row>
    <row r="794" spans="1:6" s="726" customFormat="1" ht="74.25" customHeight="1">
      <c r="A794" s="849" t="e">
        <f>building!#REF!</f>
        <v>#REF!</v>
      </c>
      <c r="B794" s="855" t="e">
        <f>building!#REF!</f>
        <v>#REF!</v>
      </c>
      <c r="C794" s="856" t="e">
        <f>building!#REF!</f>
        <v>#REF!</v>
      </c>
      <c r="D794" s="852" t="e">
        <f>building!#REF!</f>
        <v>#REF!</v>
      </c>
      <c r="E794" s="853" t="e">
        <f>building!#REF!</f>
        <v>#REF!</v>
      </c>
      <c r="F794" s="852" t="e">
        <f t="shared" si="12"/>
        <v>#REF!</v>
      </c>
    </row>
    <row r="795" spans="1:6" s="726" customFormat="1" ht="17.25" hidden="1">
      <c r="A795" s="849" t="e">
        <f>building!#REF!</f>
        <v>#REF!</v>
      </c>
      <c r="B795" s="855" t="e">
        <f>building!#REF!</f>
        <v>#REF!</v>
      </c>
      <c r="C795" s="856" t="e">
        <f>building!#REF!</f>
        <v>#REF!</v>
      </c>
      <c r="D795" s="852" t="e">
        <f>building!#REF!</f>
        <v>#REF!</v>
      </c>
      <c r="E795" s="853" t="e">
        <f>building!#REF!</f>
        <v>#REF!</v>
      </c>
      <c r="F795" s="852" t="e">
        <f t="shared" si="12"/>
        <v>#REF!</v>
      </c>
    </row>
    <row r="796" spans="1:6" s="726" customFormat="1" ht="26.25" hidden="1" customHeight="1">
      <c r="A796" s="849" t="e">
        <f>building!#REF!</f>
        <v>#REF!</v>
      </c>
      <c r="B796" s="855" t="e">
        <f>building!#REF!</f>
        <v>#REF!</v>
      </c>
      <c r="C796" s="856" t="e">
        <f>building!#REF!</f>
        <v>#REF!</v>
      </c>
      <c r="D796" s="852" t="e">
        <f>building!#REF!</f>
        <v>#REF!</v>
      </c>
      <c r="E796" s="853" t="e">
        <f>building!#REF!</f>
        <v>#REF!</v>
      </c>
      <c r="F796" s="852" t="e">
        <f t="shared" si="12"/>
        <v>#REF!</v>
      </c>
    </row>
    <row r="797" spans="1:6" s="726" customFormat="1" ht="41.25" customHeight="1">
      <c r="A797" s="849" t="e">
        <f>building!#REF!</f>
        <v>#REF!</v>
      </c>
      <c r="B797" s="850" t="e">
        <f>building!#REF!</f>
        <v>#REF!</v>
      </c>
      <c r="C797" s="851" t="e">
        <f>building!#REF!</f>
        <v>#REF!</v>
      </c>
      <c r="D797" s="852" t="e">
        <f>building!#REF!</f>
        <v>#REF!</v>
      </c>
      <c r="E797" s="853" t="e">
        <f>building!#REF!</f>
        <v>#REF!</v>
      </c>
      <c r="F797" s="852"/>
    </row>
    <row r="798" spans="1:6" s="726" customFormat="1" ht="17.25" hidden="1">
      <c r="A798" s="849" t="e">
        <f>building!#REF!</f>
        <v>#REF!</v>
      </c>
      <c r="B798" s="855" t="e">
        <f>building!#REF!</f>
        <v>#REF!</v>
      </c>
      <c r="C798" s="856" t="e">
        <f>building!#REF!</f>
        <v>#REF!</v>
      </c>
      <c r="D798" s="852" t="e">
        <f>building!#REF!</f>
        <v>#REF!</v>
      </c>
      <c r="E798" s="853" t="e">
        <f>building!#REF!</f>
        <v>#REF!</v>
      </c>
      <c r="F798" s="852" t="e">
        <f t="shared" si="12"/>
        <v>#REF!</v>
      </c>
    </row>
    <row r="799" spans="1:6" s="726" customFormat="1" ht="17.25" hidden="1">
      <c r="A799" s="849" t="e">
        <f>building!#REF!</f>
        <v>#REF!</v>
      </c>
      <c r="B799" s="855" t="e">
        <f>building!#REF!</f>
        <v>#REF!</v>
      </c>
      <c r="C799" s="856" t="e">
        <f>building!#REF!</f>
        <v>#REF!</v>
      </c>
      <c r="D799" s="852" t="e">
        <f>building!#REF!</f>
        <v>#REF!</v>
      </c>
      <c r="E799" s="853" t="e">
        <f>building!#REF!</f>
        <v>#REF!</v>
      </c>
      <c r="F799" s="852" t="e">
        <f t="shared" si="12"/>
        <v>#REF!</v>
      </c>
    </row>
    <row r="800" spans="1:6" s="726" customFormat="1" ht="17.25" hidden="1">
      <c r="A800" s="849" t="e">
        <f>building!#REF!</f>
        <v>#REF!</v>
      </c>
      <c r="B800" s="855" t="e">
        <f>building!#REF!</f>
        <v>#REF!</v>
      </c>
      <c r="C800" s="856" t="e">
        <f>building!#REF!</f>
        <v>#REF!</v>
      </c>
      <c r="D800" s="852" t="e">
        <f>building!#REF!</f>
        <v>#REF!</v>
      </c>
      <c r="E800" s="853" t="e">
        <f>building!#REF!</f>
        <v>#REF!</v>
      </c>
      <c r="F800" s="852" t="e">
        <f t="shared" si="12"/>
        <v>#REF!</v>
      </c>
    </row>
    <row r="801" spans="1:6" s="726" customFormat="1" ht="17.25" hidden="1">
      <c r="A801" s="849" t="e">
        <f>building!#REF!</f>
        <v>#REF!</v>
      </c>
      <c r="B801" s="855" t="e">
        <f>building!#REF!</f>
        <v>#REF!</v>
      </c>
      <c r="C801" s="856" t="e">
        <f>building!#REF!</f>
        <v>#REF!</v>
      </c>
      <c r="D801" s="852" t="e">
        <f>building!#REF!</f>
        <v>#REF!</v>
      </c>
      <c r="E801" s="853" t="e">
        <f>building!#REF!</f>
        <v>#REF!</v>
      </c>
      <c r="F801" s="852" t="e">
        <f t="shared" si="12"/>
        <v>#REF!</v>
      </c>
    </row>
    <row r="802" spans="1:6" s="726" customFormat="1" ht="17.25" hidden="1">
      <c r="A802" s="849" t="e">
        <f>building!#REF!</f>
        <v>#REF!</v>
      </c>
      <c r="B802" s="855" t="e">
        <f>building!#REF!</f>
        <v>#REF!</v>
      </c>
      <c r="C802" s="856" t="e">
        <f>building!#REF!</f>
        <v>#REF!</v>
      </c>
      <c r="D802" s="852" t="e">
        <f>building!#REF!</f>
        <v>#REF!</v>
      </c>
      <c r="E802" s="853" t="e">
        <f>building!#REF!</f>
        <v>#REF!</v>
      </c>
      <c r="F802" s="852" t="e">
        <f t="shared" si="12"/>
        <v>#REF!</v>
      </c>
    </row>
    <row r="803" spans="1:6" s="726" customFormat="1" ht="17.25" hidden="1">
      <c r="A803" s="849" t="e">
        <f>building!#REF!</f>
        <v>#REF!</v>
      </c>
      <c r="B803" s="855" t="e">
        <f>building!#REF!</f>
        <v>#REF!</v>
      </c>
      <c r="C803" s="856" t="e">
        <f>building!#REF!</f>
        <v>#REF!</v>
      </c>
      <c r="D803" s="852" t="e">
        <f>building!#REF!</f>
        <v>#REF!</v>
      </c>
      <c r="E803" s="853" t="e">
        <f>building!#REF!</f>
        <v>#REF!</v>
      </c>
      <c r="F803" s="852" t="e">
        <f t="shared" si="12"/>
        <v>#REF!</v>
      </c>
    </row>
    <row r="804" spans="1:6" s="726" customFormat="1" ht="33" customHeight="1">
      <c r="A804" s="849" t="e">
        <f>building!#REF!</f>
        <v>#REF!</v>
      </c>
      <c r="B804" s="855" t="e">
        <f>building!#REF!</f>
        <v>#REF!</v>
      </c>
      <c r="C804" s="856" t="e">
        <f>building!#REF!</f>
        <v>#REF!</v>
      </c>
      <c r="D804" s="852" t="e">
        <f>building!#REF!</f>
        <v>#REF!</v>
      </c>
      <c r="E804" s="853" t="e">
        <f>building!#REF!</f>
        <v>#REF!</v>
      </c>
      <c r="F804" s="852" t="e">
        <f t="shared" si="12"/>
        <v>#REF!</v>
      </c>
    </row>
    <row r="805" spans="1:6" s="726" customFormat="1" ht="38.25" hidden="1" customHeight="1">
      <c r="A805" s="849" t="e">
        <f>building!#REF!</f>
        <v>#REF!</v>
      </c>
      <c r="B805" s="855" t="e">
        <f>building!#REF!</f>
        <v>#REF!</v>
      </c>
      <c r="C805" s="856" t="e">
        <f>building!#REF!</f>
        <v>#REF!</v>
      </c>
      <c r="D805" s="852" t="e">
        <f>building!#REF!</f>
        <v>#REF!</v>
      </c>
      <c r="E805" s="853" t="e">
        <f>building!#REF!</f>
        <v>#REF!</v>
      </c>
      <c r="F805" s="852" t="e">
        <f t="shared" si="12"/>
        <v>#REF!</v>
      </c>
    </row>
    <row r="806" spans="1:6" s="726" customFormat="1" ht="25.5" hidden="1" customHeight="1">
      <c r="A806" s="849" t="e">
        <f>building!#REF!</f>
        <v>#REF!</v>
      </c>
      <c r="B806" s="855" t="e">
        <f>building!#REF!</f>
        <v>#REF!</v>
      </c>
      <c r="C806" s="856" t="e">
        <f>building!#REF!</f>
        <v>#REF!</v>
      </c>
      <c r="D806" s="852" t="e">
        <f>building!#REF!</f>
        <v>#REF!</v>
      </c>
      <c r="E806" s="853" t="e">
        <f>building!#REF!</f>
        <v>#REF!</v>
      </c>
      <c r="F806" s="852" t="e">
        <f t="shared" si="12"/>
        <v>#REF!</v>
      </c>
    </row>
    <row r="807" spans="1:6" s="726" customFormat="1" ht="25.5" hidden="1" customHeight="1">
      <c r="A807" s="849" t="e">
        <f>building!#REF!</f>
        <v>#REF!</v>
      </c>
      <c r="B807" s="855" t="e">
        <f>building!#REF!</f>
        <v>#REF!</v>
      </c>
      <c r="C807" s="856" t="e">
        <f>building!#REF!</f>
        <v>#REF!</v>
      </c>
      <c r="D807" s="852" t="e">
        <f>building!#REF!</f>
        <v>#REF!</v>
      </c>
      <c r="E807" s="853" t="e">
        <f>building!#REF!</f>
        <v>#REF!</v>
      </c>
      <c r="F807" s="852" t="e">
        <f t="shared" si="12"/>
        <v>#REF!</v>
      </c>
    </row>
    <row r="808" spans="1:6" s="726" customFormat="1" ht="26.25" hidden="1" customHeight="1">
      <c r="A808" s="849">
        <f>building!A232</f>
        <v>0</v>
      </c>
      <c r="B808" s="855">
        <f>building!Y232</f>
        <v>0</v>
      </c>
      <c r="C808" s="856" t="str">
        <f>building!B232</f>
        <v>Providing additional strutting to centering of plain surface.</v>
      </c>
      <c r="D808" s="852">
        <f>building!C232</f>
        <v>30.62</v>
      </c>
      <c r="E808" s="853" t="str">
        <f>building!D232</f>
        <v>Sqm</v>
      </c>
      <c r="F808" s="852">
        <f t="shared" si="12"/>
        <v>0</v>
      </c>
    </row>
    <row r="809" spans="1:6" s="726" customFormat="1" ht="63" customHeight="1">
      <c r="A809" s="849">
        <f>building!A233</f>
        <v>0</v>
      </c>
      <c r="B809" s="850">
        <f>building!Y233</f>
        <v>0</v>
      </c>
      <c r="C809" s="851" t="str">
        <f>building!B233</f>
        <v>S &amp; F of Granite slab of size 4'x2', 18 to 20mm Thick For kitchen arrangements (jet black)</v>
      </c>
      <c r="D809" s="852">
        <f>building!C233</f>
        <v>0</v>
      </c>
      <c r="E809" s="853">
        <f>building!D233</f>
        <v>0</v>
      </c>
      <c r="F809" s="852"/>
    </row>
    <row r="810" spans="1:6" s="726" customFormat="1" ht="38.25" hidden="1" customHeight="1">
      <c r="A810" s="849">
        <f>building!A234</f>
        <v>0</v>
      </c>
      <c r="B810" s="855">
        <f>building!Y234</f>
        <v>6</v>
      </c>
      <c r="C810" s="856" t="str">
        <f>building!B234</f>
        <v>a. In Ground floor</v>
      </c>
      <c r="D810" s="852">
        <f>building!C234</f>
        <v>1916.74</v>
      </c>
      <c r="E810" s="853" t="str">
        <f>building!D234</f>
        <v>Sqm</v>
      </c>
      <c r="F810" s="852">
        <f t="shared" si="12"/>
        <v>11500.44</v>
      </c>
    </row>
    <row r="811" spans="1:6" s="726" customFormat="1" ht="27.95" customHeight="1">
      <c r="A811" s="849">
        <f>building!A235</f>
        <v>0</v>
      </c>
      <c r="B811" s="855">
        <f>building!Y235</f>
        <v>11.3</v>
      </c>
      <c r="C811" s="856" t="str">
        <f>building!B235</f>
        <v>b. In First floor</v>
      </c>
      <c r="D811" s="852">
        <f>building!C235</f>
        <v>1920.81</v>
      </c>
      <c r="E811" s="853" t="str">
        <f>building!D235</f>
        <v>Sqm</v>
      </c>
      <c r="F811" s="852">
        <f t="shared" si="12"/>
        <v>21705.15</v>
      </c>
    </row>
    <row r="812" spans="1:6" s="726" customFormat="1" ht="27.95" customHeight="1">
      <c r="A812" s="849">
        <f>building!A236</f>
        <v>0</v>
      </c>
      <c r="B812" s="855">
        <f>building!Y236</f>
        <v>31.5</v>
      </c>
      <c r="C812" s="856" t="str">
        <f>building!B236</f>
        <v>c. In Second floor</v>
      </c>
      <c r="D812" s="852">
        <f>building!C236</f>
        <v>1924.88</v>
      </c>
      <c r="E812" s="853" t="str">
        <f>building!D236</f>
        <v>Sqm</v>
      </c>
      <c r="F812" s="852">
        <f t="shared" si="12"/>
        <v>60633.72</v>
      </c>
    </row>
    <row r="813" spans="1:6" s="726" customFormat="1" ht="27.95" hidden="1" customHeight="1">
      <c r="A813" s="849">
        <f>building!A237</f>
        <v>0</v>
      </c>
      <c r="B813" s="855">
        <f>building!Y237</f>
        <v>0</v>
      </c>
      <c r="C813" s="856" t="str">
        <f>building!B237</f>
        <v>d. In Third floor</v>
      </c>
      <c r="D813" s="852">
        <f>building!C237</f>
        <v>1928.95</v>
      </c>
      <c r="E813" s="853" t="str">
        <f>building!D237</f>
        <v>Sqm</v>
      </c>
      <c r="F813" s="852">
        <f t="shared" si="12"/>
        <v>0</v>
      </c>
    </row>
    <row r="814" spans="1:6" s="726" customFormat="1" ht="26.25" hidden="1" customHeight="1">
      <c r="A814" s="849" t="e">
        <f>building!#REF!</f>
        <v>#REF!</v>
      </c>
      <c r="B814" s="855" t="e">
        <f>building!#REF!</f>
        <v>#REF!</v>
      </c>
      <c r="C814" s="856" t="e">
        <f>building!#REF!</f>
        <v>#REF!</v>
      </c>
      <c r="D814" s="852" t="e">
        <f>building!#REF!</f>
        <v>#REF!</v>
      </c>
      <c r="E814" s="853" t="e">
        <f>building!#REF!</f>
        <v>#REF!</v>
      </c>
      <c r="F814" s="852" t="e">
        <f t="shared" si="12"/>
        <v>#REF!</v>
      </c>
    </row>
    <row r="815" spans="1:6" s="726" customFormat="1" ht="26.25" hidden="1" customHeight="1">
      <c r="A815" s="849" t="e">
        <f>building!#REF!</f>
        <v>#REF!</v>
      </c>
      <c r="B815" s="855" t="e">
        <f>building!#REF!</f>
        <v>#REF!</v>
      </c>
      <c r="C815" s="856" t="e">
        <f>building!#REF!</f>
        <v>#REF!</v>
      </c>
      <c r="D815" s="852" t="e">
        <f>building!#REF!</f>
        <v>#REF!</v>
      </c>
      <c r="E815" s="853" t="e">
        <f>building!#REF!</f>
        <v>#REF!</v>
      </c>
      <c r="F815" s="852" t="e">
        <f t="shared" si="12"/>
        <v>#REF!</v>
      </c>
    </row>
    <row r="816" spans="1:6" s="726" customFormat="1" ht="26.25" hidden="1" customHeight="1">
      <c r="A816" s="849" t="e">
        <f>building!#REF!</f>
        <v>#REF!</v>
      </c>
      <c r="B816" s="855" t="e">
        <f>building!#REF!</f>
        <v>#REF!</v>
      </c>
      <c r="C816" s="856" t="e">
        <f>building!#REF!</f>
        <v>#REF!</v>
      </c>
      <c r="D816" s="852" t="e">
        <f>building!#REF!</f>
        <v>#REF!</v>
      </c>
      <c r="E816" s="853" t="e">
        <f>building!#REF!</f>
        <v>#REF!</v>
      </c>
      <c r="F816" s="852" t="e">
        <f t="shared" si="12"/>
        <v>#REF!</v>
      </c>
    </row>
    <row r="817" spans="1:6" ht="15.75" hidden="1">
      <c r="A817" s="849" t="e">
        <f>building!#REF!</f>
        <v>#REF!</v>
      </c>
      <c r="B817" s="855" t="e">
        <f>building!#REF!</f>
        <v>#REF!</v>
      </c>
      <c r="C817" s="856" t="e">
        <f>building!#REF!</f>
        <v>#REF!</v>
      </c>
      <c r="D817" s="852" t="e">
        <f>building!#REF!</f>
        <v>#REF!</v>
      </c>
      <c r="E817" s="853" t="e">
        <f>building!#REF!</f>
        <v>#REF!</v>
      </c>
      <c r="F817" s="852" t="e">
        <f t="shared" si="12"/>
        <v>#REF!</v>
      </c>
    </row>
    <row r="818" spans="1:6" s="726" customFormat="1" ht="33.75" hidden="1" customHeight="1">
      <c r="A818" s="849" t="e">
        <f>building!#REF!</f>
        <v>#REF!</v>
      </c>
      <c r="B818" s="855" t="e">
        <f>building!#REF!</f>
        <v>#REF!</v>
      </c>
      <c r="C818" s="856" t="e">
        <f>building!#REF!</f>
        <v>#REF!</v>
      </c>
      <c r="D818" s="852" t="e">
        <f>building!#REF!</f>
        <v>#REF!</v>
      </c>
      <c r="E818" s="853" t="e">
        <f>building!#REF!</f>
        <v>#REF!</v>
      </c>
      <c r="F818" s="852" t="e">
        <f t="shared" si="12"/>
        <v>#REF!</v>
      </c>
    </row>
    <row r="819" spans="1:6" ht="27.6" hidden="1" customHeight="1">
      <c r="A819" s="849" t="e">
        <f>building!#REF!</f>
        <v>#REF!</v>
      </c>
      <c r="B819" s="855" t="e">
        <f>building!#REF!</f>
        <v>#REF!</v>
      </c>
      <c r="C819" s="856" t="e">
        <f>building!#REF!</f>
        <v>#REF!</v>
      </c>
      <c r="D819" s="852" t="e">
        <f>building!#REF!</f>
        <v>#REF!</v>
      </c>
      <c r="E819" s="853" t="e">
        <f>building!#REF!</f>
        <v>#REF!</v>
      </c>
      <c r="F819" s="852" t="e">
        <f t="shared" si="12"/>
        <v>#REF!</v>
      </c>
    </row>
    <row r="820" spans="1:6" ht="31.9" hidden="1" customHeight="1">
      <c r="A820" s="849" t="e">
        <f>building!#REF!</f>
        <v>#REF!</v>
      </c>
      <c r="B820" s="855" t="e">
        <f>building!#REF!</f>
        <v>#REF!</v>
      </c>
      <c r="C820" s="856" t="e">
        <f>building!#REF!</f>
        <v>#REF!</v>
      </c>
      <c r="D820" s="852" t="e">
        <f>building!#REF!</f>
        <v>#REF!</v>
      </c>
      <c r="E820" s="853" t="e">
        <f>building!#REF!</f>
        <v>#REF!</v>
      </c>
      <c r="F820" s="852" t="e">
        <f t="shared" si="12"/>
        <v>#REF!</v>
      </c>
    </row>
    <row r="821" spans="1:6" ht="31.9" hidden="1" customHeight="1">
      <c r="A821" s="849" t="e">
        <f>building!#REF!</f>
        <v>#REF!</v>
      </c>
      <c r="B821" s="855" t="e">
        <f>building!#REF!</f>
        <v>#REF!</v>
      </c>
      <c r="C821" s="856" t="e">
        <f>building!#REF!</f>
        <v>#REF!</v>
      </c>
      <c r="D821" s="852" t="e">
        <f>building!#REF!</f>
        <v>#REF!</v>
      </c>
      <c r="E821" s="853" t="e">
        <f>building!#REF!</f>
        <v>#REF!</v>
      </c>
      <c r="F821" s="852" t="e">
        <f t="shared" si="12"/>
        <v>#REF!</v>
      </c>
    </row>
    <row r="822" spans="1:6" ht="24" hidden="1" customHeight="1">
      <c r="A822" s="849" t="e">
        <f>building!#REF!</f>
        <v>#REF!</v>
      </c>
      <c r="B822" s="855" t="e">
        <f>building!#REF!</f>
        <v>#REF!</v>
      </c>
      <c r="C822" s="856" t="e">
        <f>building!#REF!</f>
        <v>#REF!</v>
      </c>
      <c r="D822" s="852" t="e">
        <f>building!#REF!</f>
        <v>#REF!</v>
      </c>
      <c r="E822" s="853" t="e">
        <f>building!#REF!</f>
        <v>#REF!</v>
      </c>
      <c r="F822" s="852" t="e">
        <f t="shared" si="12"/>
        <v>#REF!</v>
      </c>
    </row>
    <row r="823" spans="1:6" ht="15.75" hidden="1">
      <c r="A823" s="849" t="e">
        <f>building!#REF!</f>
        <v>#REF!</v>
      </c>
      <c r="B823" s="855" t="e">
        <f>building!#REF!</f>
        <v>#REF!</v>
      </c>
      <c r="C823" s="856" t="e">
        <f>building!#REF!</f>
        <v>#REF!</v>
      </c>
      <c r="D823" s="852" t="e">
        <f>building!#REF!</f>
        <v>#REF!</v>
      </c>
      <c r="E823" s="853" t="e">
        <f>building!#REF!</f>
        <v>#REF!</v>
      </c>
      <c r="F823" s="852" t="e">
        <f t="shared" si="12"/>
        <v>#REF!</v>
      </c>
    </row>
    <row r="824" spans="1:6" ht="27.6" hidden="1" customHeight="1">
      <c r="A824" s="849" t="e">
        <f>building!#REF!</f>
        <v>#REF!</v>
      </c>
      <c r="B824" s="855" t="e">
        <f>building!#REF!</f>
        <v>#REF!</v>
      </c>
      <c r="C824" s="856" t="e">
        <f>building!#REF!</f>
        <v>#REF!</v>
      </c>
      <c r="D824" s="852" t="e">
        <f>building!#REF!</f>
        <v>#REF!</v>
      </c>
      <c r="E824" s="853" t="e">
        <f>building!#REF!</f>
        <v>#REF!</v>
      </c>
      <c r="F824" s="852" t="e">
        <f t="shared" si="12"/>
        <v>#REF!</v>
      </c>
    </row>
    <row r="825" spans="1:6" ht="15.75" hidden="1">
      <c r="A825" s="849" t="e">
        <f>building!#REF!</f>
        <v>#REF!</v>
      </c>
      <c r="B825" s="855" t="e">
        <f>building!#REF!</f>
        <v>#REF!</v>
      </c>
      <c r="C825" s="856" t="e">
        <f>building!#REF!</f>
        <v>#REF!</v>
      </c>
      <c r="D825" s="852" t="e">
        <f>building!#REF!</f>
        <v>#REF!</v>
      </c>
      <c r="E825" s="853" t="e">
        <f>building!#REF!</f>
        <v>#REF!</v>
      </c>
      <c r="F825" s="852" t="e">
        <f t="shared" si="12"/>
        <v>#REF!</v>
      </c>
    </row>
    <row r="826" spans="1:6" ht="27.6" hidden="1" customHeight="1">
      <c r="A826" s="849" t="e">
        <f>building!#REF!</f>
        <v>#REF!</v>
      </c>
      <c r="B826" s="855" t="e">
        <f>building!#REF!</f>
        <v>#REF!</v>
      </c>
      <c r="C826" s="856" t="e">
        <f>building!#REF!</f>
        <v>#REF!</v>
      </c>
      <c r="D826" s="852" t="e">
        <f>building!#REF!</f>
        <v>#REF!</v>
      </c>
      <c r="E826" s="853" t="e">
        <f>building!#REF!</f>
        <v>#REF!</v>
      </c>
      <c r="F826" s="852" t="e">
        <f t="shared" si="12"/>
        <v>#REF!</v>
      </c>
    </row>
    <row r="827" spans="1:6" ht="15.75" hidden="1">
      <c r="A827" s="849" t="e">
        <f>building!#REF!</f>
        <v>#REF!</v>
      </c>
      <c r="B827" s="855" t="e">
        <f>building!#REF!</f>
        <v>#REF!</v>
      </c>
      <c r="C827" s="856" t="e">
        <f>building!#REF!</f>
        <v>#REF!</v>
      </c>
      <c r="D827" s="852" t="e">
        <f>building!#REF!</f>
        <v>#REF!</v>
      </c>
      <c r="E827" s="853" t="e">
        <f>building!#REF!</f>
        <v>#REF!</v>
      </c>
      <c r="F827" s="852" t="e">
        <f t="shared" si="12"/>
        <v>#REF!</v>
      </c>
    </row>
    <row r="828" spans="1:6" ht="31.9" hidden="1" customHeight="1">
      <c r="A828" s="849" t="e">
        <f>building!#REF!</f>
        <v>#REF!</v>
      </c>
      <c r="B828" s="855" t="e">
        <f>building!#REF!</f>
        <v>#REF!</v>
      </c>
      <c r="C828" s="856" t="e">
        <f>building!#REF!</f>
        <v>#REF!</v>
      </c>
      <c r="D828" s="852" t="e">
        <f>building!#REF!</f>
        <v>#REF!</v>
      </c>
      <c r="E828" s="853" t="e">
        <f>building!#REF!</f>
        <v>#REF!</v>
      </c>
      <c r="F828" s="852" t="e">
        <f t="shared" si="12"/>
        <v>#REF!</v>
      </c>
    </row>
    <row r="829" spans="1:6" ht="15.75" hidden="1">
      <c r="A829" s="849" t="e">
        <f>building!#REF!</f>
        <v>#REF!</v>
      </c>
      <c r="B829" s="855" t="e">
        <f>building!#REF!</f>
        <v>#REF!</v>
      </c>
      <c r="C829" s="856" t="e">
        <f>building!#REF!</f>
        <v>#REF!</v>
      </c>
      <c r="D829" s="852" t="e">
        <f>building!#REF!</f>
        <v>#REF!</v>
      </c>
      <c r="E829" s="853" t="e">
        <f>building!#REF!</f>
        <v>#REF!</v>
      </c>
      <c r="F829" s="852" t="e">
        <f t="shared" si="12"/>
        <v>#REF!</v>
      </c>
    </row>
    <row r="830" spans="1:6" ht="15.75" hidden="1">
      <c r="A830" s="849" t="e">
        <f>building!#REF!</f>
        <v>#REF!</v>
      </c>
      <c r="B830" s="855" t="e">
        <f>building!#REF!</f>
        <v>#REF!</v>
      </c>
      <c r="C830" s="856" t="e">
        <f>building!#REF!</f>
        <v>#REF!</v>
      </c>
      <c r="D830" s="852" t="e">
        <f>building!#REF!</f>
        <v>#REF!</v>
      </c>
      <c r="E830" s="853" t="e">
        <f>building!#REF!</f>
        <v>#REF!</v>
      </c>
      <c r="F830" s="852" t="e">
        <f t="shared" si="12"/>
        <v>#REF!</v>
      </c>
    </row>
    <row r="831" spans="1:6" s="726" customFormat="1" ht="17.25" hidden="1">
      <c r="A831" s="849" t="e">
        <f>building!#REF!</f>
        <v>#REF!</v>
      </c>
      <c r="B831" s="855" t="e">
        <f>building!#REF!</f>
        <v>#REF!</v>
      </c>
      <c r="C831" s="856" t="e">
        <f>building!#REF!</f>
        <v>#REF!</v>
      </c>
      <c r="D831" s="852" t="e">
        <f>building!#REF!</f>
        <v>#REF!</v>
      </c>
      <c r="E831" s="853" t="e">
        <f>building!#REF!</f>
        <v>#REF!</v>
      </c>
      <c r="F831" s="852" t="e">
        <f t="shared" si="12"/>
        <v>#REF!</v>
      </c>
    </row>
    <row r="832" spans="1:6" s="726" customFormat="1" ht="17.25" hidden="1">
      <c r="A832" s="849" t="e">
        <f>building!#REF!</f>
        <v>#REF!</v>
      </c>
      <c r="B832" s="855" t="e">
        <f>building!#REF!</f>
        <v>#REF!</v>
      </c>
      <c r="C832" s="856" t="e">
        <f>building!#REF!</f>
        <v>#REF!</v>
      </c>
      <c r="D832" s="852" t="e">
        <f>building!#REF!</f>
        <v>#REF!</v>
      </c>
      <c r="E832" s="853" t="e">
        <f>building!#REF!</f>
        <v>#REF!</v>
      </c>
      <c r="F832" s="852" t="e">
        <f t="shared" si="12"/>
        <v>#REF!</v>
      </c>
    </row>
    <row r="833" spans="1:6" s="726" customFormat="1" ht="17.25" hidden="1">
      <c r="A833" s="849" t="e">
        <f>building!#REF!</f>
        <v>#REF!</v>
      </c>
      <c r="B833" s="855" t="e">
        <f>building!#REF!</f>
        <v>#REF!</v>
      </c>
      <c r="C833" s="856" t="e">
        <f>building!#REF!</f>
        <v>#REF!</v>
      </c>
      <c r="D833" s="852" t="e">
        <f>building!#REF!</f>
        <v>#REF!</v>
      </c>
      <c r="E833" s="853" t="e">
        <f>building!#REF!</f>
        <v>#REF!</v>
      </c>
      <c r="F833" s="852" t="e">
        <f t="shared" si="12"/>
        <v>#REF!</v>
      </c>
    </row>
    <row r="834" spans="1:6" s="726" customFormat="1" ht="17.25" hidden="1">
      <c r="A834" s="849" t="e">
        <f>building!#REF!</f>
        <v>#REF!</v>
      </c>
      <c r="B834" s="855" t="e">
        <f>building!#REF!</f>
        <v>#REF!</v>
      </c>
      <c r="C834" s="856" t="e">
        <f>building!#REF!</f>
        <v>#REF!</v>
      </c>
      <c r="D834" s="852" t="e">
        <f>building!#REF!</f>
        <v>#REF!</v>
      </c>
      <c r="E834" s="853" t="e">
        <f>building!#REF!</f>
        <v>#REF!</v>
      </c>
      <c r="F834" s="852" t="e">
        <f t="shared" si="12"/>
        <v>#REF!</v>
      </c>
    </row>
    <row r="835" spans="1:6" s="726" customFormat="1" ht="48" hidden="1" customHeight="1">
      <c r="A835" s="849" t="e">
        <f>building!#REF!</f>
        <v>#REF!</v>
      </c>
      <c r="B835" s="855" t="e">
        <f>building!#REF!</f>
        <v>#REF!</v>
      </c>
      <c r="C835" s="856" t="e">
        <f>building!#REF!</f>
        <v>#REF!</v>
      </c>
      <c r="D835" s="852" t="e">
        <f>building!#REF!</f>
        <v>#REF!</v>
      </c>
      <c r="E835" s="853" t="e">
        <f>building!#REF!</f>
        <v>#REF!</v>
      </c>
      <c r="F835" s="852" t="e">
        <f t="shared" si="12"/>
        <v>#REF!</v>
      </c>
    </row>
    <row r="836" spans="1:6" s="726" customFormat="1" ht="54" hidden="1" customHeight="1">
      <c r="A836" s="849" t="e">
        <f>building!#REF!</f>
        <v>#REF!</v>
      </c>
      <c r="B836" s="855" t="e">
        <f>building!#REF!</f>
        <v>#REF!</v>
      </c>
      <c r="C836" s="856" t="e">
        <f>building!#REF!</f>
        <v>#REF!</v>
      </c>
      <c r="D836" s="852" t="e">
        <f>building!#REF!</f>
        <v>#REF!</v>
      </c>
      <c r="E836" s="853" t="e">
        <f>building!#REF!</f>
        <v>#REF!</v>
      </c>
      <c r="F836" s="852" t="e">
        <f t="shared" si="12"/>
        <v>#REF!</v>
      </c>
    </row>
    <row r="837" spans="1:6" s="726" customFormat="1" ht="54" hidden="1" customHeight="1">
      <c r="A837" s="849" t="e">
        <f>building!#REF!</f>
        <v>#REF!</v>
      </c>
      <c r="B837" s="855" t="e">
        <f>building!#REF!</f>
        <v>#REF!</v>
      </c>
      <c r="C837" s="856" t="e">
        <f>building!#REF!</f>
        <v>#REF!</v>
      </c>
      <c r="D837" s="852" t="e">
        <f>building!#REF!</f>
        <v>#REF!</v>
      </c>
      <c r="E837" s="853" t="e">
        <f>building!#REF!</f>
        <v>#REF!</v>
      </c>
      <c r="F837" s="852" t="e">
        <f t="shared" si="12"/>
        <v>#REF!</v>
      </c>
    </row>
    <row r="838" spans="1:6" s="726" customFormat="1" ht="45" hidden="1" customHeight="1">
      <c r="A838" s="849" t="e">
        <f>building!#REF!</f>
        <v>#REF!</v>
      </c>
      <c r="B838" s="855" t="e">
        <f>building!#REF!</f>
        <v>#REF!</v>
      </c>
      <c r="C838" s="856" t="e">
        <f>building!#REF!</f>
        <v>#REF!</v>
      </c>
      <c r="D838" s="852" t="e">
        <f>building!#REF!</f>
        <v>#REF!</v>
      </c>
      <c r="E838" s="853" t="e">
        <f>building!#REF!</f>
        <v>#REF!</v>
      </c>
      <c r="F838" s="852" t="e">
        <f t="shared" si="12"/>
        <v>#REF!</v>
      </c>
    </row>
    <row r="839" spans="1:6" s="726" customFormat="1" ht="57" hidden="1" customHeight="1">
      <c r="A839" s="849" t="e">
        <f>building!#REF!</f>
        <v>#REF!</v>
      </c>
      <c r="B839" s="855" t="e">
        <f>building!#REF!</f>
        <v>#REF!</v>
      </c>
      <c r="C839" s="856" t="e">
        <f>building!#REF!</f>
        <v>#REF!</v>
      </c>
      <c r="D839" s="852" t="e">
        <f>building!#REF!</f>
        <v>#REF!</v>
      </c>
      <c r="E839" s="853" t="e">
        <f>building!#REF!</f>
        <v>#REF!</v>
      </c>
      <c r="F839" s="852" t="e">
        <f t="shared" si="12"/>
        <v>#REF!</v>
      </c>
    </row>
    <row r="840" spans="1:6" s="726" customFormat="1" ht="47.25" customHeight="1">
      <c r="A840" s="849">
        <f>building!A238</f>
        <v>0</v>
      </c>
      <c r="B840" s="855">
        <f>building!Y238</f>
        <v>17</v>
      </c>
      <c r="C840" s="856" t="str">
        <f>building!B238</f>
        <v>S &amp; F of 15mm dia  Tap (long body ) for only</v>
      </c>
      <c r="D840" s="852">
        <f>building!C238</f>
        <v>467</v>
      </c>
      <c r="E840" s="853" t="str">
        <f>building!D238</f>
        <v>Each</v>
      </c>
      <c r="F840" s="852">
        <f t="shared" ref="F840:F903" si="13">D840*B840</f>
        <v>7939</v>
      </c>
    </row>
    <row r="841" spans="1:6" s="726" customFormat="1" ht="52.5" customHeight="1">
      <c r="A841" s="849">
        <f>building!A239</f>
        <v>0</v>
      </c>
      <c r="B841" s="855">
        <f>building!Y239</f>
        <v>11</v>
      </c>
      <c r="C841" s="856" t="str">
        <f>building!B239</f>
        <v>S &amp; F of 15mm dia   short body tap for  only</v>
      </c>
      <c r="D841" s="852">
        <f>building!C239</f>
        <v>419</v>
      </c>
      <c r="E841" s="853" t="str">
        <f>building!D239</f>
        <v>Each</v>
      </c>
      <c r="F841" s="852">
        <f t="shared" si="13"/>
        <v>4609</v>
      </c>
    </row>
    <row r="842" spans="1:6" s="726" customFormat="1" ht="31.9" hidden="1" customHeight="1">
      <c r="A842" s="849" t="e">
        <f>building!#REF!</f>
        <v>#REF!</v>
      </c>
      <c r="B842" s="855" t="e">
        <f>building!#REF!</f>
        <v>#REF!</v>
      </c>
      <c r="C842" s="856" t="e">
        <f>building!#REF!</f>
        <v>#REF!</v>
      </c>
      <c r="D842" s="852" t="e">
        <f>building!#REF!</f>
        <v>#REF!</v>
      </c>
      <c r="E842" s="853" t="e">
        <f>building!#REF!</f>
        <v>#REF!</v>
      </c>
      <c r="F842" s="852" t="e">
        <f t="shared" si="13"/>
        <v>#REF!</v>
      </c>
    </row>
    <row r="843" spans="1:6" s="726" customFormat="1" ht="31.9" hidden="1" customHeight="1">
      <c r="A843" s="849" t="e">
        <f>building!#REF!</f>
        <v>#REF!</v>
      </c>
      <c r="B843" s="855" t="e">
        <f>building!#REF!</f>
        <v>#REF!</v>
      </c>
      <c r="C843" s="856" t="e">
        <f>building!#REF!</f>
        <v>#REF!</v>
      </c>
      <c r="D843" s="852" t="e">
        <f>building!#REF!</f>
        <v>#REF!</v>
      </c>
      <c r="E843" s="853" t="e">
        <f>building!#REF!</f>
        <v>#REF!</v>
      </c>
      <c r="F843" s="852" t="e">
        <f t="shared" si="13"/>
        <v>#REF!</v>
      </c>
    </row>
    <row r="844" spans="1:6" s="726" customFormat="1" ht="49.5" customHeight="1">
      <c r="A844" s="849">
        <f>building!A240</f>
        <v>0</v>
      </c>
      <c r="B844" s="855">
        <f>building!Y240</f>
        <v>0</v>
      </c>
      <c r="C844" s="856" t="str">
        <f>building!B240</f>
        <v>Finshing the top of Terrace floor with one course of solar reflective Ceramic tiles without base concrete</v>
      </c>
      <c r="D844" s="852">
        <f>building!C240</f>
        <v>1529.48</v>
      </c>
      <c r="E844" s="853" t="str">
        <f>building!D240</f>
        <v>Sqm.</v>
      </c>
      <c r="F844" s="852">
        <f t="shared" si="13"/>
        <v>0</v>
      </c>
    </row>
    <row r="845" spans="1:6" s="726" customFormat="1" ht="51" hidden="1" customHeight="1">
      <c r="A845" s="849" t="str">
        <f>building!A241</f>
        <v>51. 1</v>
      </c>
      <c r="B845" s="855">
        <f>building!Y241</f>
        <v>0</v>
      </c>
      <c r="C845" s="856" t="str">
        <f>building!B241</f>
        <v>HDPE water tank 200 lit capacity with ISI mark</v>
      </c>
      <c r="D845" s="852">
        <f>building!C241</f>
        <v>1920</v>
      </c>
      <c r="E845" s="853" t="str">
        <f>building!D241</f>
        <v>Each</v>
      </c>
      <c r="F845" s="852">
        <f t="shared" si="13"/>
        <v>0</v>
      </c>
    </row>
    <row r="846" spans="1:6" ht="42.75" customHeight="1">
      <c r="A846" s="849">
        <f>building!A242</f>
        <v>0</v>
      </c>
      <c r="B846" s="850">
        <f>building!Y242</f>
        <v>0</v>
      </c>
      <c r="C846" s="851" t="str">
        <f>building!B242</f>
        <v>UPVC Non Pressure  pipe of SN8 SDR 34
( S 16.5) as per IS 15328/2003</v>
      </c>
      <c r="D846" s="852">
        <f>building!C242</f>
        <v>0</v>
      </c>
      <c r="E846" s="853">
        <f>building!D242</f>
        <v>0</v>
      </c>
      <c r="F846" s="852"/>
    </row>
    <row r="847" spans="1:6" s="726" customFormat="1" ht="45" customHeight="1">
      <c r="A847" s="849">
        <f>building!A243</f>
        <v>0</v>
      </c>
      <c r="B847" s="855">
        <f>building!Y243</f>
        <v>72</v>
      </c>
      <c r="C847" s="856" t="str">
        <f>building!B243</f>
        <v>a. 110 mm UPVC Non Pressure  pipe</v>
      </c>
      <c r="D847" s="852">
        <f>building!C243</f>
        <v>366.07</v>
      </c>
      <c r="E847" s="853" t="str">
        <f>building!D243</f>
        <v>Rmt</v>
      </c>
      <c r="F847" s="852">
        <f t="shared" si="13"/>
        <v>26357.040000000001</v>
      </c>
    </row>
    <row r="848" spans="1:6" s="726" customFormat="1" ht="37.5" customHeight="1">
      <c r="A848" s="849">
        <f>building!A244</f>
        <v>0</v>
      </c>
      <c r="B848" s="855">
        <f>building!Y244</f>
        <v>24</v>
      </c>
      <c r="C848" s="856" t="str">
        <f>building!B244</f>
        <v>b. 160 mm UPVC Non Pressure  pipe</v>
      </c>
      <c r="D848" s="852">
        <f>building!C244</f>
        <v>593.33000000000004</v>
      </c>
      <c r="E848" s="853" t="str">
        <f>building!D244</f>
        <v>Rmt</v>
      </c>
      <c r="F848" s="852">
        <f t="shared" si="13"/>
        <v>14239.92</v>
      </c>
    </row>
    <row r="849" spans="1:6" s="726" customFormat="1" ht="33" customHeight="1">
      <c r="A849" s="849">
        <f>building!A245</f>
        <v>0</v>
      </c>
      <c r="B849" s="850">
        <f>building!Y245</f>
        <v>0</v>
      </c>
      <c r="C849" s="851" t="str">
        <f>building!B245</f>
        <v>PVC Specials  as per IS 10124/1982 Part II</v>
      </c>
      <c r="D849" s="852">
        <f>building!C245</f>
        <v>0</v>
      </c>
      <c r="E849" s="853">
        <f>building!D245</f>
        <v>0</v>
      </c>
      <c r="F849" s="852"/>
    </row>
    <row r="850" spans="1:6" s="726" customFormat="1" ht="47.25" customHeight="1">
      <c r="A850" s="849">
        <f>building!A246</f>
        <v>0</v>
      </c>
      <c r="B850" s="855">
        <f>building!Y246</f>
        <v>1</v>
      </c>
      <c r="C850" s="856" t="str">
        <f>building!B246</f>
        <v>a. 110 mm dia PVC bend (TWAD SR 19-20  P-19 S.No-4 )</v>
      </c>
      <c r="D850" s="852">
        <f>building!C246</f>
        <v>156</v>
      </c>
      <c r="E850" s="853" t="str">
        <f>building!D246</f>
        <v>Each</v>
      </c>
      <c r="F850" s="852">
        <f t="shared" si="13"/>
        <v>156</v>
      </c>
    </row>
    <row r="851" spans="1:6" ht="45.75" customHeight="1">
      <c r="A851" s="849">
        <f>building!A247</f>
        <v>0</v>
      </c>
      <c r="B851" s="855">
        <f>building!Y247</f>
        <v>1</v>
      </c>
      <c r="C851" s="856" t="str">
        <f>building!B247</f>
        <v>b. 160 mm dia PVC bend (TWAD SR 19-20 P-19 it-1.5, S.No-4 )</v>
      </c>
      <c r="D851" s="852">
        <f>building!C247</f>
        <v>497</v>
      </c>
      <c r="E851" s="853" t="str">
        <f>building!D247</f>
        <v>Each</v>
      </c>
      <c r="F851" s="852">
        <f t="shared" si="13"/>
        <v>497</v>
      </c>
    </row>
    <row r="852" spans="1:6" s="726" customFormat="1" ht="34.5" customHeight="1">
      <c r="A852" s="849">
        <f>building!A248</f>
        <v>0</v>
      </c>
      <c r="B852" s="850">
        <f>building!Y248</f>
        <v>0</v>
      </c>
      <c r="C852" s="851" t="str">
        <f>building!B248</f>
        <v xml:space="preserve">PVC Equal Tee  as per  BIS 7834/1975 </v>
      </c>
      <c r="D852" s="852">
        <f>building!C248</f>
        <v>0</v>
      </c>
      <c r="E852" s="853">
        <f>building!D248</f>
        <v>0</v>
      </c>
      <c r="F852" s="852"/>
    </row>
    <row r="853" spans="1:6" ht="48.75" customHeight="1">
      <c r="A853" s="849">
        <f>building!A249</f>
        <v>0</v>
      </c>
      <c r="B853" s="855">
        <f>building!Y249</f>
        <v>3</v>
      </c>
      <c r="C853" s="856" t="str">
        <f>building!B249</f>
        <v>a. 110 mm dia PVC Equal tee(TWAD SR 19-20 P-19 S.No-9 )</v>
      </c>
      <c r="D853" s="852">
        <f>building!C249</f>
        <v>186</v>
      </c>
      <c r="E853" s="853" t="str">
        <f>building!D249</f>
        <v>Each</v>
      </c>
      <c r="F853" s="852">
        <f t="shared" si="13"/>
        <v>558</v>
      </c>
    </row>
    <row r="854" spans="1:6" ht="52.5" customHeight="1">
      <c r="A854" s="849">
        <f>building!A250</f>
        <v>0</v>
      </c>
      <c r="B854" s="855">
        <f>building!Y250</f>
        <v>1</v>
      </c>
      <c r="C854" s="856" t="str">
        <f>building!B250</f>
        <v>b. 160 mm dia PVC Equal tee(TWAD SR 19-20 P-19 S.No-9 )</v>
      </c>
      <c r="D854" s="852">
        <f>building!C250</f>
        <v>328</v>
      </c>
      <c r="E854" s="853" t="str">
        <f>building!D250</f>
        <v>Each</v>
      </c>
      <c r="F854" s="852">
        <f t="shared" si="13"/>
        <v>328</v>
      </c>
    </row>
    <row r="855" spans="1:6" s="726" customFormat="1" ht="54.75" hidden="1" customHeight="1">
      <c r="A855" s="849">
        <f>building!A251</f>
        <v>0</v>
      </c>
      <c r="B855" s="855">
        <f>building!Y251</f>
        <v>2</v>
      </c>
      <c r="C855" s="856" t="str">
        <f>building!B251</f>
        <v xml:space="preserve">S &amp; F of Indian Water closet white glazed (Oriya type) of size 580 x 440mm with PVC SWR grade ' P' or "S' trap   - in G.F.  </v>
      </c>
      <c r="D855" s="852">
        <f>building!C251</f>
        <v>3025.8</v>
      </c>
      <c r="E855" s="853" t="str">
        <f>building!D251</f>
        <v>Each</v>
      </c>
      <c r="F855" s="852">
        <f t="shared" si="13"/>
        <v>6051.6</v>
      </c>
    </row>
    <row r="856" spans="1:6" s="726" customFormat="1" ht="54.75" customHeight="1">
      <c r="A856" s="849">
        <f>building!A252</f>
        <v>0</v>
      </c>
      <c r="B856" s="855">
        <f>building!Y252</f>
        <v>4</v>
      </c>
      <c r="C856" s="856" t="str">
        <f>building!B252</f>
        <v xml:space="preserve">S &amp; F of Indian Water closet white glazed (Oriya type) of size 580 x 440mm  with PVC SWR grade ' P' or "S' trap- Other than  G.F.  </v>
      </c>
      <c r="D856" s="852">
        <f>building!C252</f>
        <v>4676.12</v>
      </c>
      <c r="E856" s="853" t="str">
        <f>building!D252</f>
        <v>Each</v>
      </c>
      <c r="F856" s="852">
        <f t="shared" si="13"/>
        <v>18704.48</v>
      </c>
    </row>
    <row r="857" spans="1:6" s="726" customFormat="1" ht="62.25" customHeight="1">
      <c r="A857" s="849">
        <f>building!A253</f>
        <v>0</v>
      </c>
      <c r="B857" s="855">
        <f>building!Y253</f>
        <v>5</v>
      </c>
      <c r="C857" s="856" t="str">
        <f>building!B253</f>
        <v xml:space="preserve">S &amp; F of E.W.C.(White) 500 mm with PVC SWR grade "P" or "S" TRAP </v>
      </c>
      <c r="D857" s="852">
        <f>building!C253</f>
        <v>6501.3</v>
      </c>
      <c r="E857" s="853" t="str">
        <f>building!D253</f>
        <v>Each</v>
      </c>
      <c r="F857" s="852">
        <f t="shared" si="13"/>
        <v>32506.5</v>
      </c>
    </row>
    <row r="858" spans="1:6" s="726" customFormat="1" ht="17.25" hidden="1">
      <c r="A858" s="849" t="e">
        <f>building!#REF!</f>
        <v>#REF!</v>
      </c>
      <c r="B858" s="855" t="e">
        <f>building!#REF!</f>
        <v>#REF!</v>
      </c>
      <c r="C858" s="856" t="e">
        <f>building!#REF!</f>
        <v>#REF!</v>
      </c>
      <c r="D858" s="852" t="e">
        <f>building!#REF!</f>
        <v>#REF!</v>
      </c>
      <c r="E858" s="853" t="e">
        <f>building!#REF!</f>
        <v>#REF!</v>
      </c>
      <c r="F858" s="852" t="e">
        <f t="shared" si="13"/>
        <v>#REF!</v>
      </c>
    </row>
    <row r="859" spans="1:6" s="726" customFormat="1" ht="30.6" hidden="1" customHeight="1">
      <c r="A859" s="849" t="e">
        <f>building!#REF!</f>
        <v>#REF!</v>
      </c>
      <c r="B859" s="855" t="e">
        <f>building!#REF!</f>
        <v>#REF!</v>
      </c>
      <c r="C859" s="856" t="e">
        <f>building!#REF!</f>
        <v>#REF!</v>
      </c>
      <c r="D859" s="852" t="e">
        <f>building!#REF!</f>
        <v>#REF!</v>
      </c>
      <c r="E859" s="853" t="e">
        <f>building!#REF!</f>
        <v>#REF!</v>
      </c>
      <c r="F859" s="852" t="e">
        <f t="shared" si="13"/>
        <v>#REF!</v>
      </c>
    </row>
    <row r="860" spans="1:6" s="726" customFormat="1" ht="17.25" hidden="1">
      <c r="A860" s="849" t="e">
        <f>building!#REF!</f>
        <v>#REF!</v>
      </c>
      <c r="B860" s="855" t="e">
        <f>building!#REF!</f>
        <v>#REF!</v>
      </c>
      <c r="C860" s="856" t="e">
        <f>building!#REF!</f>
        <v>#REF!</v>
      </c>
      <c r="D860" s="852" t="e">
        <f>building!#REF!</f>
        <v>#REF!</v>
      </c>
      <c r="E860" s="853" t="e">
        <f>building!#REF!</f>
        <v>#REF!</v>
      </c>
      <c r="F860" s="852" t="e">
        <f t="shared" si="13"/>
        <v>#REF!</v>
      </c>
    </row>
    <row r="861" spans="1:6" s="726" customFormat="1" ht="98.25" hidden="1" customHeight="1">
      <c r="A861" s="849" t="e">
        <f>building!#REF!</f>
        <v>#REF!</v>
      </c>
      <c r="B861" s="855" t="e">
        <f>building!#REF!</f>
        <v>#REF!</v>
      </c>
      <c r="C861" s="856" t="e">
        <f>building!#REF!</f>
        <v>#REF!</v>
      </c>
      <c r="D861" s="852" t="e">
        <f>building!#REF!</f>
        <v>#REF!</v>
      </c>
      <c r="E861" s="853" t="e">
        <f>building!#REF!</f>
        <v>#REF!</v>
      </c>
      <c r="F861" s="852" t="e">
        <f t="shared" si="13"/>
        <v>#REF!</v>
      </c>
    </row>
    <row r="862" spans="1:6" s="726" customFormat="1" ht="34.5" hidden="1" customHeight="1">
      <c r="A862" s="849" t="e">
        <f>building!#REF!</f>
        <v>#REF!</v>
      </c>
      <c r="B862" s="855" t="e">
        <f>building!#REF!</f>
        <v>#REF!</v>
      </c>
      <c r="C862" s="856" t="e">
        <f>building!#REF!</f>
        <v>#REF!</v>
      </c>
      <c r="D862" s="852" t="e">
        <f>building!#REF!</f>
        <v>#REF!</v>
      </c>
      <c r="E862" s="853" t="e">
        <f>building!#REF!</f>
        <v>#REF!</v>
      </c>
      <c r="F862" s="852" t="e">
        <f t="shared" si="13"/>
        <v>#REF!</v>
      </c>
    </row>
    <row r="863" spans="1:6" s="726" customFormat="1" ht="33" hidden="1" customHeight="1">
      <c r="A863" s="849" t="e">
        <f>building!#REF!</f>
        <v>#REF!</v>
      </c>
      <c r="B863" s="855" t="e">
        <f>building!#REF!</f>
        <v>#REF!</v>
      </c>
      <c r="C863" s="856" t="e">
        <f>building!#REF!</f>
        <v>#REF!</v>
      </c>
      <c r="D863" s="852" t="e">
        <f>building!#REF!</f>
        <v>#REF!</v>
      </c>
      <c r="E863" s="853" t="e">
        <f>building!#REF!</f>
        <v>#REF!</v>
      </c>
      <c r="F863" s="852" t="e">
        <f t="shared" si="13"/>
        <v>#REF!</v>
      </c>
    </row>
    <row r="864" spans="1:6" s="726" customFormat="1" ht="27.75" hidden="1" customHeight="1">
      <c r="A864" s="849" t="e">
        <f>building!#REF!</f>
        <v>#REF!</v>
      </c>
      <c r="B864" s="855" t="e">
        <f>building!#REF!</f>
        <v>#REF!</v>
      </c>
      <c r="C864" s="856" t="e">
        <f>building!#REF!</f>
        <v>#REF!</v>
      </c>
      <c r="D864" s="852" t="e">
        <f>building!#REF!</f>
        <v>#REF!</v>
      </c>
      <c r="E864" s="853" t="e">
        <f>building!#REF!</f>
        <v>#REF!</v>
      </c>
      <c r="F864" s="852" t="e">
        <f t="shared" si="13"/>
        <v>#REF!</v>
      </c>
    </row>
    <row r="865" spans="1:6" s="726" customFormat="1" ht="72.75" hidden="1" customHeight="1">
      <c r="A865" s="849" t="e">
        <f>building!#REF!</f>
        <v>#REF!</v>
      </c>
      <c r="B865" s="855" t="e">
        <f>building!#REF!</f>
        <v>#REF!</v>
      </c>
      <c r="C865" s="856" t="e">
        <f>building!#REF!</f>
        <v>#REF!</v>
      </c>
      <c r="D865" s="852" t="e">
        <f>building!#REF!</f>
        <v>#REF!</v>
      </c>
      <c r="E865" s="853" t="e">
        <f>building!#REF!</f>
        <v>#REF!</v>
      </c>
      <c r="F865" s="852" t="e">
        <f t="shared" si="13"/>
        <v>#REF!</v>
      </c>
    </row>
    <row r="866" spans="1:6" s="726" customFormat="1" ht="102.75" customHeight="1">
      <c r="A866" s="849" t="e">
        <f>building!#REF!</f>
        <v>#REF!</v>
      </c>
      <c r="B866" s="850" t="e">
        <f>building!#REF!</f>
        <v>#REF!</v>
      </c>
      <c r="C866" s="851" t="e">
        <f>building!#REF!</f>
        <v>#REF!</v>
      </c>
      <c r="D866" s="852" t="e">
        <f>building!#REF!</f>
        <v>#REF!</v>
      </c>
      <c r="E866" s="853" t="e">
        <f>building!#REF!</f>
        <v>#REF!</v>
      </c>
      <c r="F866" s="852"/>
    </row>
    <row r="867" spans="1:6" s="726" customFormat="1" ht="46.5" customHeight="1">
      <c r="A867" s="849" t="e">
        <f>building!#REF!</f>
        <v>#REF!</v>
      </c>
      <c r="B867" s="855" t="e">
        <f>building!#REF!</f>
        <v>#REF!</v>
      </c>
      <c r="C867" s="856" t="e">
        <f>building!#REF!</f>
        <v>#REF!</v>
      </c>
      <c r="D867" s="852" t="e">
        <f>building!#REF!</f>
        <v>#REF!</v>
      </c>
      <c r="E867" s="853" t="e">
        <f>building!#REF!</f>
        <v>#REF!</v>
      </c>
      <c r="F867" s="852" t="e">
        <f t="shared" si="13"/>
        <v>#REF!</v>
      </c>
    </row>
    <row r="868" spans="1:6" ht="32.25" customHeight="1">
      <c r="A868" s="849" t="e">
        <f>building!#REF!</f>
        <v>#REF!</v>
      </c>
      <c r="B868" s="855" t="e">
        <f>building!#REF!</f>
        <v>#REF!</v>
      </c>
      <c r="C868" s="856" t="e">
        <f>building!#REF!</f>
        <v>#REF!</v>
      </c>
      <c r="D868" s="852" t="e">
        <f>building!#REF!</f>
        <v>#REF!</v>
      </c>
      <c r="E868" s="853" t="e">
        <f>building!#REF!</f>
        <v>#REF!</v>
      </c>
      <c r="F868" s="852" t="e">
        <f t="shared" si="13"/>
        <v>#REF!</v>
      </c>
    </row>
    <row r="869" spans="1:6" s="726" customFormat="1" ht="45" customHeight="1">
      <c r="A869" s="849" t="e">
        <f>building!#REF!</f>
        <v>#REF!</v>
      </c>
      <c r="B869" s="855" t="e">
        <f>building!#REF!</f>
        <v>#REF!</v>
      </c>
      <c r="C869" s="856" t="e">
        <f>building!#REF!</f>
        <v>#REF!</v>
      </c>
      <c r="D869" s="852" t="e">
        <f>building!#REF!</f>
        <v>#REF!</v>
      </c>
      <c r="E869" s="853" t="e">
        <f>building!#REF!</f>
        <v>#REF!</v>
      </c>
      <c r="F869" s="852" t="e">
        <f t="shared" si="13"/>
        <v>#REF!</v>
      </c>
    </row>
    <row r="870" spans="1:6" s="726" customFormat="1" ht="78" customHeight="1">
      <c r="A870" s="849" t="e">
        <f>building!#REF!</f>
        <v>#REF!</v>
      </c>
      <c r="B870" s="855" t="e">
        <f>building!#REF!</f>
        <v>#REF!</v>
      </c>
      <c r="C870" s="856" t="e">
        <f>building!#REF!</f>
        <v>#REF!</v>
      </c>
      <c r="D870" s="852" t="e">
        <f>building!#REF!</f>
        <v>#REF!</v>
      </c>
      <c r="E870" s="853" t="e">
        <f>building!#REF!</f>
        <v>#REF!</v>
      </c>
      <c r="F870" s="852" t="e">
        <f t="shared" si="13"/>
        <v>#REF!</v>
      </c>
    </row>
    <row r="871" spans="1:6" s="726" customFormat="1" ht="71.25" customHeight="1">
      <c r="A871" s="849" t="e">
        <f>building!#REF!</f>
        <v>#REF!</v>
      </c>
      <c r="B871" s="855" t="e">
        <f>building!#REF!</f>
        <v>#REF!</v>
      </c>
      <c r="C871" s="856" t="e">
        <f>building!#REF!</f>
        <v>#REF!</v>
      </c>
      <c r="D871" s="852" t="e">
        <f>building!#REF!</f>
        <v>#REF!</v>
      </c>
      <c r="E871" s="853" t="e">
        <f>building!#REF!</f>
        <v>#REF!</v>
      </c>
      <c r="F871" s="852" t="e">
        <f t="shared" si="13"/>
        <v>#REF!</v>
      </c>
    </row>
    <row r="872" spans="1:6" s="726" customFormat="1" ht="87.75" customHeight="1">
      <c r="A872" s="849" t="e">
        <f>building!#REF!</f>
        <v>#REF!</v>
      </c>
      <c r="B872" s="855" t="e">
        <f>building!#REF!</f>
        <v>#REF!</v>
      </c>
      <c r="C872" s="856" t="e">
        <f>building!#REF!</f>
        <v>#REF!</v>
      </c>
      <c r="D872" s="852" t="e">
        <f>building!#REF!</f>
        <v>#REF!</v>
      </c>
      <c r="E872" s="853" t="e">
        <f>building!#REF!</f>
        <v>#REF!</v>
      </c>
      <c r="F872" s="852" t="e">
        <f t="shared" si="13"/>
        <v>#REF!</v>
      </c>
    </row>
    <row r="873" spans="1:6" s="726" customFormat="1" ht="81.75" customHeight="1">
      <c r="A873" s="849" t="e">
        <f>building!#REF!</f>
        <v>#REF!</v>
      </c>
      <c r="B873" s="855" t="e">
        <f>building!#REF!</f>
        <v>#REF!</v>
      </c>
      <c r="C873" s="856" t="e">
        <f>building!#REF!</f>
        <v>#REF!</v>
      </c>
      <c r="D873" s="852" t="e">
        <f>building!#REF!</f>
        <v>#REF!</v>
      </c>
      <c r="E873" s="853" t="e">
        <f>building!#REF!</f>
        <v>#REF!</v>
      </c>
      <c r="F873" s="852" t="e">
        <f t="shared" si="13"/>
        <v>#REF!</v>
      </c>
    </row>
    <row r="874" spans="1:6" s="726" customFormat="1" ht="43.5" customHeight="1">
      <c r="A874" s="849" t="e">
        <f>building!#REF!</f>
        <v>#REF!</v>
      </c>
      <c r="B874" s="855" t="e">
        <f>building!#REF!</f>
        <v>#REF!</v>
      </c>
      <c r="C874" s="856" t="e">
        <f>building!#REF!</f>
        <v>#REF!</v>
      </c>
      <c r="D874" s="852" t="e">
        <f>building!#REF!</f>
        <v>#REF!</v>
      </c>
      <c r="E874" s="853" t="e">
        <f>building!#REF!</f>
        <v>#REF!</v>
      </c>
      <c r="F874" s="852" t="e">
        <f t="shared" si="13"/>
        <v>#REF!</v>
      </c>
    </row>
    <row r="875" spans="1:6" s="726" customFormat="1" ht="51" customHeight="1">
      <c r="A875" s="849" t="e">
        <f>building!#REF!</f>
        <v>#REF!</v>
      </c>
      <c r="B875" s="855" t="e">
        <f>building!#REF!</f>
        <v>#REF!</v>
      </c>
      <c r="C875" s="856" t="e">
        <f>building!#REF!</f>
        <v>#REF!</v>
      </c>
      <c r="D875" s="852" t="e">
        <f>building!#REF!</f>
        <v>#REF!</v>
      </c>
      <c r="E875" s="853" t="e">
        <f>building!#REF!</f>
        <v>#REF!</v>
      </c>
      <c r="F875" s="852" t="e">
        <f t="shared" si="13"/>
        <v>#REF!</v>
      </c>
    </row>
    <row r="876" spans="1:6" s="726" customFormat="1" ht="56.25" customHeight="1">
      <c r="A876" s="849" t="e">
        <f>building!#REF!</f>
        <v>#REF!</v>
      </c>
      <c r="B876" s="855" t="e">
        <f>building!#REF!</f>
        <v>#REF!</v>
      </c>
      <c r="C876" s="856" t="e">
        <f>building!#REF!</f>
        <v>#REF!</v>
      </c>
      <c r="D876" s="852" t="e">
        <f>building!#REF!</f>
        <v>#REF!</v>
      </c>
      <c r="E876" s="853" t="e">
        <f>building!#REF!</f>
        <v>#REF!</v>
      </c>
      <c r="F876" s="852" t="e">
        <f t="shared" si="13"/>
        <v>#REF!</v>
      </c>
    </row>
    <row r="877" spans="1:6" s="726" customFormat="1" ht="33" hidden="1" customHeight="1">
      <c r="A877" s="849" t="e">
        <f>building!#REF!</f>
        <v>#REF!</v>
      </c>
      <c r="B877" s="855" t="e">
        <f>building!#REF!</f>
        <v>#REF!</v>
      </c>
      <c r="C877" s="856" t="e">
        <f>building!#REF!</f>
        <v>#REF!</v>
      </c>
      <c r="D877" s="852" t="e">
        <f>building!#REF!</f>
        <v>#REF!</v>
      </c>
      <c r="E877" s="853" t="e">
        <f>building!#REF!</f>
        <v>#REF!</v>
      </c>
      <c r="F877" s="852" t="e">
        <f t="shared" si="13"/>
        <v>#REF!</v>
      </c>
    </row>
    <row r="878" spans="1:6" s="726" customFormat="1" ht="66.75" customHeight="1">
      <c r="A878" s="849" t="e">
        <f>building!#REF!</f>
        <v>#REF!</v>
      </c>
      <c r="B878" s="850" t="e">
        <f>building!#REF!</f>
        <v>#REF!</v>
      </c>
      <c r="C878" s="851" t="e">
        <f>building!#REF!</f>
        <v>#REF!</v>
      </c>
      <c r="D878" s="852" t="e">
        <f>building!#REF!</f>
        <v>#REF!</v>
      </c>
      <c r="E878" s="853" t="e">
        <f>building!#REF!</f>
        <v>#REF!</v>
      </c>
      <c r="F878" s="852"/>
    </row>
    <row r="879" spans="1:6" s="726" customFormat="1" ht="31.9" customHeight="1">
      <c r="A879" s="849" t="e">
        <f>building!#REF!</f>
        <v>#REF!</v>
      </c>
      <c r="B879" s="855" t="e">
        <f>building!#REF!</f>
        <v>#REF!</v>
      </c>
      <c r="C879" s="856" t="e">
        <f>building!#REF!</f>
        <v>#REF!</v>
      </c>
      <c r="D879" s="852" t="e">
        <f>building!#REF!</f>
        <v>#REF!</v>
      </c>
      <c r="E879" s="853" t="e">
        <f>building!#REF!</f>
        <v>#REF!</v>
      </c>
      <c r="F879" s="852" t="e">
        <f t="shared" si="13"/>
        <v>#REF!</v>
      </c>
    </row>
    <row r="880" spans="1:6" s="726" customFormat="1" ht="27" customHeight="1">
      <c r="A880" s="849" t="e">
        <f>building!#REF!</f>
        <v>#REF!</v>
      </c>
      <c r="B880" s="855" t="e">
        <f>building!#REF!</f>
        <v>#REF!</v>
      </c>
      <c r="C880" s="856" t="e">
        <f>building!#REF!</f>
        <v>#REF!</v>
      </c>
      <c r="D880" s="852" t="e">
        <f>building!#REF!</f>
        <v>#REF!</v>
      </c>
      <c r="E880" s="853" t="e">
        <f>building!#REF!</f>
        <v>#REF!</v>
      </c>
      <c r="F880" s="852" t="e">
        <f t="shared" si="13"/>
        <v>#REF!</v>
      </c>
    </row>
    <row r="881" spans="1:6" s="726" customFormat="1" ht="58.9" customHeight="1">
      <c r="A881" s="849" t="e">
        <f>building!#REF!</f>
        <v>#REF!</v>
      </c>
      <c r="B881" s="855" t="e">
        <f>building!#REF!</f>
        <v>#REF!</v>
      </c>
      <c r="C881" s="856" t="e">
        <f>building!#REF!</f>
        <v>#REF!</v>
      </c>
      <c r="D881" s="852" t="e">
        <f>building!#REF!</f>
        <v>#REF!</v>
      </c>
      <c r="E881" s="853" t="e">
        <f>building!#REF!</f>
        <v>#REF!</v>
      </c>
      <c r="F881" s="852" t="e">
        <f t="shared" si="13"/>
        <v>#REF!</v>
      </c>
    </row>
    <row r="882" spans="1:6" s="726" customFormat="1" ht="69" customHeight="1">
      <c r="A882" s="849" t="e">
        <f>building!#REF!</f>
        <v>#REF!</v>
      </c>
      <c r="B882" s="855" t="e">
        <f>building!#REF!</f>
        <v>#REF!</v>
      </c>
      <c r="C882" s="856" t="e">
        <f>building!#REF!</f>
        <v>#REF!</v>
      </c>
      <c r="D882" s="852" t="e">
        <f>building!#REF!</f>
        <v>#REF!</v>
      </c>
      <c r="E882" s="853" t="e">
        <f>building!#REF!</f>
        <v>#REF!</v>
      </c>
      <c r="F882" s="852" t="e">
        <f t="shared" si="13"/>
        <v>#REF!</v>
      </c>
    </row>
    <row r="883" spans="1:6" s="726" customFormat="1" ht="54" hidden="1" customHeight="1">
      <c r="A883" s="849" t="e">
        <f>building!#REF!</f>
        <v>#REF!</v>
      </c>
      <c r="B883" s="855" t="e">
        <f>building!#REF!</f>
        <v>#REF!</v>
      </c>
      <c r="C883" s="856" t="e">
        <f>building!#REF!</f>
        <v>#REF!</v>
      </c>
      <c r="D883" s="852" t="e">
        <f>building!#REF!</f>
        <v>#REF!</v>
      </c>
      <c r="E883" s="853" t="e">
        <f>building!#REF!</f>
        <v>#REF!</v>
      </c>
      <c r="F883" s="852" t="e">
        <f t="shared" si="13"/>
        <v>#REF!</v>
      </c>
    </row>
    <row r="884" spans="1:6" s="726" customFormat="1" ht="60" hidden="1" customHeight="1">
      <c r="A884" s="849" t="e">
        <f>building!#REF!</f>
        <v>#REF!</v>
      </c>
      <c r="B884" s="855" t="e">
        <f>building!#REF!</f>
        <v>#REF!</v>
      </c>
      <c r="C884" s="856" t="e">
        <f>building!#REF!</f>
        <v>#REF!</v>
      </c>
      <c r="D884" s="852" t="e">
        <f>building!#REF!</f>
        <v>#REF!</v>
      </c>
      <c r="E884" s="853" t="e">
        <f>building!#REF!</f>
        <v>#REF!</v>
      </c>
      <c r="F884" s="852" t="e">
        <f t="shared" si="13"/>
        <v>#REF!</v>
      </c>
    </row>
    <row r="885" spans="1:6" ht="45" hidden="1" customHeight="1">
      <c r="A885" s="849" t="e">
        <f>building!#REF!</f>
        <v>#REF!</v>
      </c>
      <c r="B885" s="855" t="e">
        <f>building!#REF!</f>
        <v>#REF!</v>
      </c>
      <c r="C885" s="856" t="e">
        <f>building!#REF!</f>
        <v>#REF!</v>
      </c>
      <c r="D885" s="852" t="e">
        <f>building!#REF!</f>
        <v>#REF!</v>
      </c>
      <c r="E885" s="853" t="e">
        <f>building!#REF!</f>
        <v>#REF!</v>
      </c>
      <c r="F885" s="852" t="e">
        <f t="shared" si="13"/>
        <v>#REF!</v>
      </c>
    </row>
    <row r="886" spans="1:6" ht="45" hidden="1" customHeight="1">
      <c r="A886" s="849" t="e">
        <f>building!#REF!</f>
        <v>#REF!</v>
      </c>
      <c r="B886" s="855" t="e">
        <f>building!#REF!</f>
        <v>#REF!</v>
      </c>
      <c r="C886" s="856" t="e">
        <f>building!#REF!</f>
        <v>#REF!</v>
      </c>
      <c r="D886" s="852" t="e">
        <f>building!#REF!</f>
        <v>#REF!</v>
      </c>
      <c r="E886" s="853" t="e">
        <f>building!#REF!</f>
        <v>#REF!</v>
      </c>
      <c r="F886" s="852" t="e">
        <f t="shared" si="13"/>
        <v>#REF!</v>
      </c>
    </row>
    <row r="887" spans="1:6" ht="45" hidden="1" customHeight="1">
      <c r="A887" s="849" t="e">
        <f>building!#REF!</f>
        <v>#REF!</v>
      </c>
      <c r="B887" s="855" t="e">
        <f>building!#REF!</f>
        <v>#REF!</v>
      </c>
      <c r="C887" s="856" t="e">
        <f>building!#REF!</f>
        <v>#REF!</v>
      </c>
      <c r="D887" s="852" t="e">
        <f>building!#REF!</f>
        <v>#REF!</v>
      </c>
      <c r="E887" s="853" t="e">
        <f>building!#REF!</f>
        <v>#REF!</v>
      </c>
      <c r="F887" s="852" t="e">
        <f t="shared" si="13"/>
        <v>#REF!</v>
      </c>
    </row>
    <row r="888" spans="1:6" ht="45" hidden="1" customHeight="1">
      <c r="A888" s="849" t="e">
        <f>building!#REF!</f>
        <v>#REF!</v>
      </c>
      <c r="B888" s="855" t="e">
        <f>building!#REF!</f>
        <v>#REF!</v>
      </c>
      <c r="C888" s="856" t="e">
        <f>building!#REF!</f>
        <v>#REF!</v>
      </c>
      <c r="D888" s="852" t="e">
        <f>building!#REF!</f>
        <v>#REF!</v>
      </c>
      <c r="E888" s="853" t="e">
        <f>building!#REF!</f>
        <v>#REF!</v>
      </c>
      <c r="F888" s="852" t="e">
        <f t="shared" si="13"/>
        <v>#REF!</v>
      </c>
    </row>
    <row r="889" spans="1:6" ht="45" hidden="1" customHeight="1">
      <c r="A889" s="849" t="e">
        <f>building!#REF!</f>
        <v>#REF!</v>
      </c>
      <c r="B889" s="855" t="e">
        <f>building!#REF!</f>
        <v>#REF!</v>
      </c>
      <c r="C889" s="856" t="e">
        <f>building!#REF!</f>
        <v>#REF!</v>
      </c>
      <c r="D889" s="852" t="e">
        <f>building!#REF!</f>
        <v>#REF!</v>
      </c>
      <c r="E889" s="853" t="e">
        <f>building!#REF!</f>
        <v>#REF!</v>
      </c>
      <c r="F889" s="852" t="e">
        <f t="shared" si="13"/>
        <v>#REF!</v>
      </c>
    </row>
    <row r="890" spans="1:6" ht="45" hidden="1" customHeight="1">
      <c r="A890" s="849" t="e">
        <f>building!#REF!</f>
        <v>#REF!</v>
      </c>
      <c r="B890" s="855" t="e">
        <f>building!#REF!</f>
        <v>#REF!</v>
      </c>
      <c r="C890" s="856" t="e">
        <f>building!#REF!</f>
        <v>#REF!</v>
      </c>
      <c r="D890" s="852" t="e">
        <f>building!#REF!</f>
        <v>#REF!</v>
      </c>
      <c r="E890" s="853" t="e">
        <f>building!#REF!</f>
        <v>#REF!</v>
      </c>
      <c r="F890" s="852" t="e">
        <f t="shared" si="13"/>
        <v>#REF!</v>
      </c>
    </row>
    <row r="891" spans="1:6" ht="45" hidden="1" customHeight="1">
      <c r="A891" s="849" t="e">
        <f>building!#REF!</f>
        <v>#REF!</v>
      </c>
      <c r="B891" s="855" t="e">
        <f>building!#REF!</f>
        <v>#REF!</v>
      </c>
      <c r="C891" s="856" t="e">
        <f>building!#REF!</f>
        <v>#REF!</v>
      </c>
      <c r="D891" s="852" t="e">
        <f>building!#REF!</f>
        <v>#REF!</v>
      </c>
      <c r="E891" s="853" t="e">
        <f>building!#REF!</f>
        <v>#REF!</v>
      </c>
      <c r="F891" s="852" t="e">
        <f t="shared" si="13"/>
        <v>#REF!</v>
      </c>
    </row>
    <row r="892" spans="1:6" ht="45" hidden="1" customHeight="1">
      <c r="A892" s="849" t="e">
        <f>building!#REF!</f>
        <v>#REF!</v>
      </c>
      <c r="B892" s="855" t="e">
        <f>building!#REF!</f>
        <v>#REF!</v>
      </c>
      <c r="C892" s="856" t="e">
        <f>building!#REF!</f>
        <v>#REF!</v>
      </c>
      <c r="D892" s="852" t="e">
        <f>building!#REF!</f>
        <v>#REF!</v>
      </c>
      <c r="E892" s="853" t="e">
        <f>building!#REF!</f>
        <v>#REF!</v>
      </c>
      <c r="F892" s="852" t="e">
        <f t="shared" si="13"/>
        <v>#REF!</v>
      </c>
    </row>
    <row r="893" spans="1:6" ht="45" hidden="1" customHeight="1">
      <c r="A893" s="849" t="e">
        <f>building!#REF!</f>
        <v>#REF!</v>
      </c>
      <c r="B893" s="855" t="e">
        <f>building!#REF!</f>
        <v>#REF!</v>
      </c>
      <c r="C893" s="856" t="e">
        <f>building!#REF!</f>
        <v>#REF!</v>
      </c>
      <c r="D893" s="852" t="e">
        <f>building!#REF!</f>
        <v>#REF!</v>
      </c>
      <c r="E893" s="853" t="e">
        <f>building!#REF!</f>
        <v>#REF!</v>
      </c>
      <c r="F893" s="852" t="e">
        <f t="shared" si="13"/>
        <v>#REF!</v>
      </c>
    </row>
    <row r="894" spans="1:6" ht="45" hidden="1" customHeight="1">
      <c r="A894" s="849" t="e">
        <f>building!#REF!</f>
        <v>#REF!</v>
      </c>
      <c r="B894" s="855" t="e">
        <f>building!#REF!</f>
        <v>#REF!</v>
      </c>
      <c r="C894" s="856" t="e">
        <f>building!#REF!</f>
        <v>#REF!</v>
      </c>
      <c r="D894" s="852" t="e">
        <f>building!#REF!</f>
        <v>#REF!</v>
      </c>
      <c r="E894" s="853" t="e">
        <f>building!#REF!</f>
        <v>#REF!</v>
      </c>
      <c r="F894" s="852" t="e">
        <f t="shared" si="13"/>
        <v>#REF!</v>
      </c>
    </row>
    <row r="895" spans="1:6" ht="45" hidden="1" customHeight="1">
      <c r="A895" s="849" t="e">
        <f>building!#REF!</f>
        <v>#REF!</v>
      </c>
      <c r="B895" s="855" t="e">
        <f>building!#REF!</f>
        <v>#REF!</v>
      </c>
      <c r="C895" s="856" t="e">
        <f>building!#REF!</f>
        <v>#REF!</v>
      </c>
      <c r="D895" s="852" t="e">
        <f>building!#REF!</f>
        <v>#REF!</v>
      </c>
      <c r="E895" s="853" t="e">
        <f>building!#REF!</f>
        <v>#REF!</v>
      </c>
      <c r="F895" s="852" t="e">
        <f t="shared" si="13"/>
        <v>#REF!</v>
      </c>
    </row>
    <row r="896" spans="1:6" ht="45" hidden="1" customHeight="1">
      <c r="A896" s="849" t="e">
        <f>building!#REF!</f>
        <v>#REF!</v>
      </c>
      <c r="B896" s="855" t="e">
        <f>building!#REF!</f>
        <v>#REF!</v>
      </c>
      <c r="C896" s="856" t="e">
        <f>building!#REF!</f>
        <v>#REF!</v>
      </c>
      <c r="D896" s="852" t="e">
        <f>building!#REF!</f>
        <v>#REF!</v>
      </c>
      <c r="E896" s="853" t="e">
        <f>building!#REF!</f>
        <v>#REF!</v>
      </c>
      <c r="F896" s="852" t="e">
        <f t="shared" si="13"/>
        <v>#REF!</v>
      </c>
    </row>
    <row r="897" spans="1:6" ht="45" hidden="1" customHeight="1">
      <c r="A897" s="849" t="e">
        <f>building!#REF!</f>
        <v>#REF!</v>
      </c>
      <c r="B897" s="855" t="e">
        <f>building!#REF!</f>
        <v>#REF!</v>
      </c>
      <c r="C897" s="856" t="e">
        <f>building!#REF!</f>
        <v>#REF!</v>
      </c>
      <c r="D897" s="852" t="e">
        <f>building!#REF!</f>
        <v>#REF!</v>
      </c>
      <c r="E897" s="853" t="e">
        <f>building!#REF!</f>
        <v>#REF!</v>
      </c>
      <c r="F897" s="852" t="e">
        <f t="shared" si="13"/>
        <v>#REF!</v>
      </c>
    </row>
    <row r="898" spans="1:6" ht="45" hidden="1" customHeight="1">
      <c r="A898" s="849" t="e">
        <f>building!#REF!</f>
        <v>#REF!</v>
      </c>
      <c r="B898" s="855" t="e">
        <f>building!#REF!</f>
        <v>#REF!</v>
      </c>
      <c r="C898" s="856" t="e">
        <f>building!#REF!</f>
        <v>#REF!</v>
      </c>
      <c r="D898" s="852" t="e">
        <f>building!#REF!</f>
        <v>#REF!</v>
      </c>
      <c r="E898" s="853" t="e">
        <f>building!#REF!</f>
        <v>#REF!</v>
      </c>
      <c r="F898" s="852" t="e">
        <f t="shared" si="13"/>
        <v>#REF!</v>
      </c>
    </row>
    <row r="899" spans="1:6" ht="45" hidden="1" customHeight="1">
      <c r="A899" s="849" t="e">
        <f>building!#REF!</f>
        <v>#REF!</v>
      </c>
      <c r="B899" s="855" t="e">
        <f>building!#REF!</f>
        <v>#REF!</v>
      </c>
      <c r="C899" s="856" t="e">
        <f>building!#REF!</f>
        <v>#REF!</v>
      </c>
      <c r="D899" s="852" t="e">
        <f>building!#REF!</f>
        <v>#REF!</v>
      </c>
      <c r="E899" s="853" t="e">
        <f>building!#REF!</f>
        <v>#REF!</v>
      </c>
      <c r="F899" s="852" t="e">
        <f t="shared" si="13"/>
        <v>#REF!</v>
      </c>
    </row>
    <row r="900" spans="1:6" ht="45" hidden="1" customHeight="1">
      <c r="A900" s="849" t="e">
        <f>building!#REF!</f>
        <v>#REF!</v>
      </c>
      <c r="B900" s="855" t="e">
        <f>building!#REF!</f>
        <v>#REF!</v>
      </c>
      <c r="C900" s="856" t="e">
        <f>building!#REF!</f>
        <v>#REF!</v>
      </c>
      <c r="D900" s="852" t="e">
        <f>building!#REF!</f>
        <v>#REF!</v>
      </c>
      <c r="E900" s="853" t="e">
        <f>building!#REF!</f>
        <v>#REF!</v>
      </c>
      <c r="F900" s="852" t="e">
        <f t="shared" si="13"/>
        <v>#REF!</v>
      </c>
    </row>
    <row r="901" spans="1:6" ht="45" hidden="1" customHeight="1">
      <c r="A901" s="849" t="e">
        <f>building!#REF!</f>
        <v>#REF!</v>
      </c>
      <c r="B901" s="855" t="e">
        <f>building!#REF!</f>
        <v>#REF!</v>
      </c>
      <c r="C901" s="856" t="e">
        <f>building!#REF!</f>
        <v>#REF!</v>
      </c>
      <c r="D901" s="852" t="e">
        <f>building!#REF!</f>
        <v>#REF!</v>
      </c>
      <c r="E901" s="853" t="e">
        <f>building!#REF!</f>
        <v>#REF!</v>
      </c>
      <c r="F901" s="852" t="e">
        <f t="shared" si="13"/>
        <v>#REF!</v>
      </c>
    </row>
    <row r="902" spans="1:6" ht="45" hidden="1" customHeight="1">
      <c r="A902" s="849" t="e">
        <f>building!#REF!</f>
        <v>#REF!</v>
      </c>
      <c r="B902" s="855" t="e">
        <f>building!#REF!</f>
        <v>#REF!</v>
      </c>
      <c r="C902" s="856" t="e">
        <f>building!#REF!</f>
        <v>#REF!</v>
      </c>
      <c r="D902" s="852" t="e">
        <f>building!#REF!</f>
        <v>#REF!</v>
      </c>
      <c r="E902" s="853" t="e">
        <f>building!#REF!</f>
        <v>#REF!</v>
      </c>
      <c r="F902" s="852" t="e">
        <f t="shared" si="13"/>
        <v>#REF!</v>
      </c>
    </row>
    <row r="903" spans="1:6" ht="99" hidden="1" customHeight="1">
      <c r="A903" s="849" t="e">
        <f>building!#REF!</f>
        <v>#REF!</v>
      </c>
      <c r="B903" s="855" t="e">
        <f>building!#REF!</f>
        <v>#REF!</v>
      </c>
      <c r="C903" s="856" t="e">
        <f>building!#REF!</f>
        <v>#REF!</v>
      </c>
      <c r="D903" s="852" t="e">
        <f>building!#REF!</f>
        <v>#REF!</v>
      </c>
      <c r="E903" s="853" t="e">
        <f>building!#REF!</f>
        <v>#REF!</v>
      </c>
      <c r="F903" s="852" t="e">
        <f t="shared" si="13"/>
        <v>#REF!</v>
      </c>
    </row>
    <row r="904" spans="1:6" ht="45" hidden="1" customHeight="1">
      <c r="A904" s="849" t="e">
        <f>building!#REF!</f>
        <v>#REF!</v>
      </c>
      <c r="B904" s="855" t="e">
        <f>building!#REF!</f>
        <v>#REF!</v>
      </c>
      <c r="C904" s="856" t="e">
        <f>building!#REF!</f>
        <v>#REF!</v>
      </c>
      <c r="D904" s="852" t="e">
        <f>building!#REF!</f>
        <v>#REF!</v>
      </c>
      <c r="E904" s="853" t="e">
        <f>building!#REF!</f>
        <v>#REF!</v>
      </c>
      <c r="F904" s="852" t="e">
        <f t="shared" ref="F904:F967" si="14">D904*B904</f>
        <v>#REF!</v>
      </c>
    </row>
    <row r="905" spans="1:6" ht="45" hidden="1" customHeight="1">
      <c r="A905" s="849" t="e">
        <f>building!#REF!</f>
        <v>#REF!</v>
      </c>
      <c r="B905" s="855" t="e">
        <f>building!#REF!</f>
        <v>#REF!</v>
      </c>
      <c r="C905" s="856" t="e">
        <f>building!#REF!</f>
        <v>#REF!</v>
      </c>
      <c r="D905" s="852" t="e">
        <f>building!#REF!</f>
        <v>#REF!</v>
      </c>
      <c r="E905" s="853" t="e">
        <f>building!#REF!</f>
        <v>#REF!</v>
      </c>
      <c r="F905" s="852" t="e">
        <f t="shared" si="14"/>
        <v>#REF!</v>
      </c>
    </row>
    <row r="906" spans="1:6" ht="102.6" hidden="1" customHeight="1">
      <c r="A906" s="849" t="e">
        <f>building!#REF!</f>
        <v>#REF!</v>
      </c>
      <c r="B906" s="855" t="e">
        <f>building!#REF!</f>
        <v>#REF!</v>
      </c>
      <c r="C906" s="856" t="e">
        <f>building!#REF!</f>
        <v>#REF!</v>
      </c>
      <c r="D906" s="852" t="e">
        <f>building!#REF!</f>
        <v>#REF!</v>
      </c>
      <c r="E906" s="853" t="e">
        <f>building!#REF!</f>
        <v>#REF!</v>
      </c>
      <c r="F906" s="852" t="e">
        <f t="shared" si="14"/>
        <v>#REF!</v>
      </c>
    </row>
    <row r="907" spans="1:6" ht="84.75" hidden="1" customHeight="1">
      <c r="A907" s="849" t="e">
        <f>building!#REF!</f>
        <v>#REF!</v>
      </c>
      <c r="B907" s="855" t="e">
        <f>building!#REF!</f>
        <v>#REF!</v>
      </c>
      <c r="C907" s="856" t="e">
        <f>building!#REF!</f>
        <v>#REF!</v>
      </c>
      <c r="D907" s="852" t="e">
        <f>building!#REF!</f>
        <v>#REF!</v>
      </c>
      <c r="E907" s="853" t="e">
        <f>building!#REF!</f>
        <v>#REF!</v>
      </c>
      <c r="F907" s="852" t="e">
        <f t="shared" si="14"/>
        <v>#REF!</v>
      </c>
    </row>
    <row r="908" spans="1:6" ht="45" hidden="1" customHeight="1">
      <c r="A908" s="849" t="e">
        <f>building!#REF!</f>
        <v>#REF!</v>
      </c>
      <c r="B908" s="855" t="e">
        <f>building!#REF!</f>
        <v>#REF!</v>
      </c>
      <c r="C908" s="856" t="e">
        <f>building!#REF!</f>
        <v>#REF!</v>
      </c>
      <c r="D908" s="852" t="e">
        <f>building!#REF!</f>
        <v>#REF!</v>
      </c>
      <c r="E908" s="853" t="e">
        <f>building!#REF!</f>
        <v>#REF!</v>
      </c>
      <c r="F908" s="852" t="e">
        <f t="shared" si="14"/>
        <v>#REF!</v>
      </c>
    </row>
    <row r="909" spans="1:6" ht="36.6" hidden="1" customHeight="1">
      <c r="A909" s="849" t="e">
        <f>building!#REF!</f>
        <v>#REF!</v>
      </c>
      <c r="B909" s="855" t="e">
        <f>building!#REF!</f>
        <v>#REF!</v>
      </c>
      <c r="C909" s="856" t="e">
        <f>building!#REF!</f>
        <v>#REF!</v>
      </c>
      <c r="D909" s="852" t="e">
        <f>building!#REF!</f>
        <v>#REF!</v>
      </c>
      <c r="E909" s="853" t="e">
        <f>building!#REF!</f>
        <v>#REF!</v>
      </c>
      <c r="F909" s="852" t="e">
        <f t="shared" si="14"/>
        <v>#REF!</v>
      </c>
    </row>
    <row r="910" spans="1:6" ht="36.6" hidden="1" customHeight="1">
      <c r="A910" s="849" t="e">
        <f>building!#REF!</f>
        <v>#REF!</v>
      </c>
      <c r="B910" s="855" t="e">
        <f>building!#REF!</f>
        <v>#REF!</v>
      </c>
      <c r="C910" s="856" t="e">
        <f>building!#REF!</f>
        <v>#REF!</v>
      </c>
      <c r="D910" s="852" t="e">
        <f>building!#REF!</f>
        <v>#REF!</v>
      </c>
      <c r="E910" s="853" t="e">
        <f>building!#REF!</f>
        <v>#REF!</v>
      </c>
      <c r="F910" s="852" t="e">
        <f t="shared" si="14"/>
        <v>#REF!</v>
      </c>
    </row>
    <row r="911" spans="1:6" ht="93.75" customHeight="1">
      <c r="A911" s="849" t="e">
        <f>building!#REF!</f>
        <v>#REF!</v>
      </c>
      <c r="B911" s="855" t="e">
        <f>building!#REF!</f>
        <v>#REF!</v>
      </c>
      <c r="C911" s="856" t="e">
        <f>building!#REF!</f>
        <v>#REF!</v>
      </c>
      <c r="D911" s="852" t="e">
        <f>building!#REF!</f>
        <v>#REF!</v>
      </c>
      <c r="E911" s="853" t="e">
        <f>building!#REF!</f>
        <v>#REF!</v>
      </c>
      <c r="F911" s="852" t="e">
        <f t="shared" si="14"/>
        <v>#REF!</v>
      </c>
    </row>
    <row r="912" spans="1:6" ht="34.5" hidden="1" customHeight="1">
      <c r="A912" s="849" t="e">
        <f>building!#REF!</f>
        <v>#REF!</v>
      </c>
      <c r="B912" s="855" t="e">
        <f>building!#REF!</f>
        <v>#REF!</v>
      </c>
      <c r="C912" s="856" t="e">
        <f>building!#REF!</f>
        <v>#REF!</v>
      </c>
      <c r="D912" s="852" t="e">
        <f>building!#REF!</f>
        <v>#REF!</v>
      </c>
      <c r="E912" s="853" t="e">
        <f>building!#REF!</f>
        <v>#REF!</v>
      </c>
      <c r="F912" s="852" t="e">
        <f t="shared" si="14"/>
        <v>#REF!</v>
      </c>
    </row>
    <row r="913" spans="1:6" ht="33" hidden="1" customHeight="1">
      <c r="A913" s="849" t="e">
        <f>building!#REF!</f>
        <v>#REF!</v>
      </c>
      <c r="B913" s="855" t="e">
        <f>building!#REF!</f>
        <v>#REF!</v>
      </c>
      <c r="C913" s="856" t="e">
        <f>building!#REF!</f>
        <v>#REF!</v>
      </c>
      <c r="D913" s="852" t="e">
        <f>building!#REF!</f>
        <v>#REF!</v>
      </c>
      <c r="E913" s="853" t="e">
        <f>building!#REF!</f>
        <v>#REF!</v>
      </c>
      <c r="F913" s="852" t="e">
        <f t="shared" si="14"/>
        <v>#REF!</v>
      </c>
    </row>
    <row r="914" spans="1:6" ht="33" hidden="1" customHeight="1">
      <c r="A914" s="849" t="e">
        <f>building!#REF!</f>
        <v>#REF!</v>
      </c>
      <c r="B914" s="855" t="e">
        <f>building!#REF!</f>
        <v>#REF!</v>
      </c>
      <c r="C914" s="856" t="e">
        <f>building!#REF!</f>
        <v>#REF!</v>
      </c>
      <c r="D914" s="852" t="e">
        <f>building!#REF!</f>
        <v>#REF!</v>
      </c>
      <c r="E914" s="853" t="e">
        <f>building!#REF!</f>
        <v>#REF!</v>
      </c>
      <c r="F914" s="852" t="e">
        <f t="shared" si="14"/>
        <v>#REF!</v>
      </c>
    </row>
    <row r="915" spans="1:6" ht="48" customHeight="1">
      <c r="A915" s="849" t="e">
        <f>building!#REF!</f>
        <v>#REF!</v>
      </c>
      <c r="B915" s="855" t="e">
        <f>building!#REF!</f>
        <v>#REF!</v>
      </c>
      <c r="C915" s="856" t="e">
        <f>building!#REF!</f>
        <v>#REF!</v>
      </c>
      <c r="D915" s="852" t="e">
        <f>building!#REF!</f>
        <v>#REF!</v>
      </c>
      <c r="E915" s="853" t="e">
        <f>building!#REF!</f>
        <v>#REF!</v>
      </c>
      <c r="F915" s="852" t="e">
        <f t="shared" si="14"/>
        <v>#REF!</v>
      </c>
    </row>
    <row r="916" spans="1:6" ht="31.5" hidden="1" customHeight="1">
      <c r="A916" s="849" t="e">
        <f>building!#REF!</f>
        <v>#REF!</v>
      </c>
      <c r="B916" s="855" t="e">
        <f>building!#REF!</f>
        <v>#REF!</v>
      </c>
      <c r="C916" s="856" t="e">
        <f>building!#REF!</f>
        <v>#REF!</v>
      </c>
      <c r="D916" s="852" t="e">
        <f>building!#REF!</f>
        <v>#REF!</v>
      </c>
      <c r="E916" s="853" t="e">
        <f>building!#REF!</f>
        <v>#REF!</v>
      </c>
      <c r="F916" s="852" t="e">
        <f t="shared" si="14"/>
        <v>#REF!</v>
      </c>
    </row>
    <row r="917" spans="1:6" ht="41.25" hidden="1" customHeight="1">
      <c r="A917" s="849" t="e">
        <f>building!#REF!</f>
        <v>#REF!</v>
      </c>
      <c r="B917" s="855" t="e">
        <f>building!#REF!</f>
        <v>#REF!</v>
      </c>
      <c r="C917" s="856" t="e">
        <f>building!#REF!</f>
        <v>#REF!</v>
      </c>
      <c r="D917" s="852" t="e">
        <f>building!#REF!</f>
        <v>#REF!</v>
      </c>
      <c r="E917" s="853" t="e">
        <f>building!#REF!</f>
        <v>#REF!</v>
      </c>
      <c r="F917" s="852" t="e">
        <f t="shared" si="14"/>
        <v>#REF!</v>
      </c>
    </row>
    <row r="918" spans="1:6" ht="37.15" hidden="1" customHeight="1">
      <c r="A918" s="849" t="e">
        <f>building!#REF!</f>
        <v>#REF!</v>
      </c>
      <c r="B918" s="855" t="e">
        <f>building!#REF!</f>
        <v>#REF!</v>
      </c>
      <c r="C918" s="856" t="e">
        <f>building!#REF!</f>
        <v>#REF!</v>
      </c>
      <c r="D918" s="852" t="e">
        <f>building!#REF!</f>
        <v>#REF!</v>
      </c>
      <c r="E918" s="853" t="e">
        <f>building!#REF!</f>
        <v>#REF!</v>
      </c>
      <c r="F918" s="852" t="e">
        <f t="shared" si="14"/>
        <v>#REF!</v>
      </c>
    </row>
    <row r="919" spans="1:6" ht="32.25" hidden="1" customHeight="1">
      <c r="A919" s="849" t="e">
        <f>building!#REF!</f>
        <v>#REF!</v>
      </c>
      <c r="B919" s="855" t="e">
        <f>building!#REF!</f>
        <v>#REF!</v>
      </c>
      <c r="C919" s="856" t="e">
        <f>building!#REF!</f>
        <v>#REF!</v>
      </c>
      <c r="D919" s="852" t="e">
        <f>building!#REF!</f>
        <v>#REF!</v>
      </c>
      <c r="E919" s="853" t="e">
        <f>building!#REF!</f>
        <v>#REF!</v>
      </c>
      <c r="F919" s="852" t="e">
        <f t="shared" si="14"/>
        <v>#REF!</v>
      </c>
    </row>
    <row r="920" spans="1:6" ht="38.25" hidden="1" customHeight="1">
      <c r="A920" s="849" t="e">
        <f>building!#REF!</f>
        <v>#REF!</v>
      </c>
      <c r="B920" s="855" t="e">
        <f>building!#REF!</f>
        <v>#REF!</v>
      </c>
      <c r="C920" s="856" t="e">
        <f>building!#REF!</f>
        <v>#REF!</v>
      </c>
      <c r="D920" s="852" t="e">
        <f>building!#REF!</f>
        <v>#REF!</v>
      </c>
      <c r="E920" s="853" t="e">
        <f>building!#REF!</f>
        <v>#REF!</v>
      </c>
      <c r="F920" s="852" t="e">
        <f t="shared" si="14"/>
        <v>#REF!</v>
      </c>
    </row>
    <row r="921" spans="1:6" ht="28.15" customHeight="1">
      <c r="A921" s="849">
        <f>building!A254</f>
        <v>0</v>
      </c>
      <c r="B921" s="855">
        <f>building!Y254</f>
        <v>24</v>
      </c>
      <c r="C921" s="856" t="str">
        <f>building!B254</f>
        <v>Supply and fixing of 9 watts  LED bulb  
PWD SR P-115</v>
      </c>
      <c r="D921" s="852">
        <f>building!C254</f>
        <v>134</v>
      </c>
      <c r="E921" s="853" t="str">
        <f>building!D254</f>
        <v>Each</v>
      </c>
      <c r="F921" s="852">
        <f t="shared" si="14"/>
        <v>3216</v>
      </c>
    </row>
    <row r="922" spans="1:6" ht="26.25" customHeight="1">
      <c r="A922" s="849">
        <f>building!A255</f>
        <v>0</v>
      </c>
      <c r="B922" s="855">
        <f>building!Y255</f>
        <v>132</v>
      </c>
      <c r="C922" s="856" t="str">
        <f>building!B255</f>
        <v>Supply and fixing of 4' 18 watts  LED  Tube Light
PWD SR P-114</v>
      </c>
      <c r="D922" s="852">
        <f>building!C255</f>
        <v>642</v>
      </c>
      <c r="E922" s="853" t="str">
        <f>building!D255</f>
        <v>Each</v>
      </c>
      <c r="F922" s="852">
        <f t="shared" si="14"/>
        <v>84744</v>
      </c>
    </row>
    <row r="923" spans="1:6" ht="49.5" customHeight="1">
      <c r="A923" s="849">
        <f>building!A256</f>
        <v>0</v>
      </c>
      <c r="B923" s="855">
        <f>building!Y256</f>
        <v>6</v>
      </c>
      <c r="C923" s="856" t="str">
        <f>building!B256</f>
        <v>Supply and fixing of  Bulk Head fitting suitable for  12W LED Bulb</v>
      </c>
      <c r="D923" s="852">
        <f>building!C256</f>
        <v>462</v>
      </c>
      <c r="E923" s="853" t="str">
        <f>building!D256</f>
        <v>Each</v>
      </c>
      <c r="F923" s="852">
        <f t="shared" si="14"/>
        <v>2772</v>
      </c>
    </row>
    <row r="924" spans="1:6" ht="35.25" customHeight="1">
      <c r="A924" s="849">
        <f>building!A257</f>
        <v>0</v>
      </c>
      <c r="B924" s="855">
        <f>building!Y257</f>
        <v>10</v>
      </c>
      <c r="C924" s="856" t="str">
        <f>building!B257</f>
        <v>Supply, fiing of 25W LED street light etc.,</v>
      </c>
      <c r="D924" s="852">
        <f>building!C257</f>
        <v>2991</v>
      </c>
      <c r="E924" s="853" t="str">
        <f>building!D257</f>
        <v>Each</v>
      </c>
      <c r="F924" s="852">
        <f t="shared" si="14"/>
        <v>29910</v>
      </c>
    </row>
    <row r="925" spans="1:6" s="728" customFormat="1" ht="46.9" customHeight="1">
      <c r="A925" s="849">
        <f>building!A258</f>
        <v>0</v>
      </c>
      <c r="B925" s="855">
        <f>building!Y258</f>
        <v>24</v>
      </c>
      <c r="C925" s="856" t="str">
        <f>building!B258</f>
        <v>Supply and fixing of 12 watts  LED bulb  (qtn)</v>
      </c>
      <c r="D925" s="852">
        <f>building!C258</f>
        <v>170</v>
      </c>
      <c r="E925" s="853" t="str">
        <f>building!D258</f>
        <v>Each</v>
      </c>
      <c r="F925" s="852">
        <f t="shared" si="14"/>
        <v>4080</v>
      </c>
    </row>
    <row r="926" spans="1:6" s="728" customFormat="1" ht="58.9" hidden="1" customHeight="1">
      <c r="A926" s="849">
        <f>building!A259</f>
        <v>0</v>
      </c>
      <c r="B926" s="855">
        <f>building!Y259</f>
        <v>0</v>
      </c>
      <c r="C926" s="856" t="str">
        <f>building!B259</f>
        <v>Supply and fixing of Prepainting G.I. Window/ Ventilator  with Grill( PWDSR-18-19)P-56 it-190</v>
      </c>
      <c r="D926" s="852">
        <f>building!C259</f>
        <v>5350</v>
      </c>
      <c r="E926" s="853" t="str">
        <f>building!D259</f>
        <v>Sqm</v>
      </c>
      <c r="F926" s="852">
        <f t="shared" si="14"/>
        <v>0</v>
      </c>
    </row>
    <row r="927" spans="1:6" s="728" customFormat="1" ht="54.6" hidden="1" customHeight="1">
      <c r="A927" s="849">
        <f>building!A260</f>
        <v>0</v>
      </c>
      <c r="B927" s="855">
        <f>building!Y260</f>
        <v>2472.9</v>
      </c>
      <c r="C927" s="856" t="str">
        <f>building!B260</f>
        <v>Wallputty ( one coat)</v>
      </c>
      <c r="D927" s="852">
        <f>building!C260</f>
        <v>84.17</v>
      </c>
      <c r="E927" s="853" t="str">
        <f>building!D260</f>
        <v>Sqm</v>
      </c>
      <c r="F927" s="852">
        <f t="shared" si="14"/>
        <v>208143.99</v>
      </c>
    </row>
    <row r="928" spans="1:6" ht="69" hidden="1" customHeight="1">
      <c r="A928" s="849">
        <f>building!A271</f>
        <v>0</v>
      </c>
      <c r="B928" s="855">
        <f>building!Y271</f>
        <v>0</v>
      </c>
      <c r="C928" s="856" t="str">
        <f>building!B271</f>
        <v>Dev Work</v>
      </c>
      <c r="D928" s="852">
        <f>building!C271</f>
        <v>0</v>
      </c>
      <c r="E928" s="853">
        <f>building!D271</f>
        <v>0</v>
      </c>
      <c r="F928" s="852">
        <f t="shared" si="14"/>
        <v>0</v>
      </c>
    </row>
    <row r="929" spans="1:6" ht="38.25" customHeight="1">
      <c r="A929" s="849">
        <f>building!A272</f>
        <v>0</v>
      </c>
      <c r="B929" s="855">
        <f>building!Y272</f>
        <v>375</v>
      </c>
      <c r="C929" s="856" t="str">
        <f>building!B272</f>
        <v>Drilling of bore well to a size of 150 mm dia to the required depth as directed including cost Rig,fuel etc.complete.</v>
      </c>
      <c r="D929" s="852">
        <f>building!C272</f>
        <v>275</v>
      </c>
      <c r="E929" s="853" t="str">
        <f>building!D272</f>
        <v>Rmt</v>
      </c>
      <c r="F929" s="852">
        <f t="shared" si="14"/>
        <v>103125</v>
      </c>
    </row>
    <row r="930" spans="1:6" ht="53.45" customHeight="1">
      <c r="A930" s="849">
        <f>building!A273</f>
        <v>0</v>
      </c>
      <c r="B930" s="855">
        <f>building!Y273</f>
        <v>0</v>
      </c>
      <c r="C930" s="856">
        <f>building!B273</f>
        <v>0</v>
      </c>
      <c r="D930" s="852">
        <f>building!C273</f>
        <v>0</v>
      </c>
      <c r="E930" s="853">
        <f>building!D273</f>
        <v>0</v>
      </c>
      <c r="F930" s="852">
        <f t="shared" si="14"/>
        <v>0</v>
      </c>
    </row>
    <row r="931" spans="1:6" ht="56.25" customHeight="1">
      <c r="A931" s="849">
        <f>building!A274</f>
        <v>0</v>
      </c>
      <c r="B931" s="855">
        <f>building!Y274</f>
        <v>30</v>
      </c>
      <c r="C931" s="856" t="str">
        <f>building!B274</f>
        <v>Supplyng and  laying   of 150 mm dia casing  pvc pipe of 6kg/cm2 as approved including labour charges for errection etc.,</v>
      </c>
      <c r="D931" s="852">
        <f>building!C274</f>
        <v>618</v>
      </c>
      <c r="E931" s="853" t="str">
        <f>building!D274</f>
        <v>Rmt</v>
      </c>
      <c r="F931" s="852">
        <f t="shared" si="14"/>
        <v>18540</v>
      </c>
    </row>
    <row r="932" spans="1:6" ht="169.15" hidden="1" customHeight="1">
      <c r="A932" s="849">
        <f>building!A275</f>
        <v>0</v>
      </c>
      <c r="B932" s="855">
        <f>building!Y275</f>
        <v>0</v>
      </c>
      <c r="C932" s="856">
        <f>building!B275</f>
        <v>0</v>
      </c>
      <c r="D932" s="852">
        <f>building!C275</f>
        <v>0</v>
      </c>
      <c r="E932" s="853">
        <f>building!D275</f>
        <v>0</v>
      </c>
      <c r="F932" s="852">
        <f t="shared" si="14"/>
        <v>0</v>
      </c>
    </row>
    <row r="933" spans="1:6" ht="160.15" hidden="1" customHeight="1">
      <c r="A933" s="849">
        <f>building!A276</f>
        <v>0</v>
      </c>
      <c r="B933" s="855">
        <f>building!Y276</f>
        <v>1</v>
      </c>
      <c r="C933" s="856" t="str">
        <f>building!B276</f>
        <v>Supplying and fixing of 150 mm dia Bore End cap</v>
      </c>
      <c r="D933" s="852">
        <f>building!C276</f>
        <v>137.5</v>
      </c>
      <c r="E933" s="853" t="str">
        <f>building!D276</f>
        <v>Each</v>
      </c>
      <c r="F933" s="852">
        <f t="shared" si="14"/>
        <v>137.5</v>
      </c>
    </row>
    <row r="934" spans="1:6" ht="124.9" hidden="1" customHeight="1">
      <c r="A934" s="849">
        <f>building!A277</f>
        <v>0</v>
      </c>
      <c r="B934" s="855">
        <f>building!Y277</f>
        <v>0</v>
      </c>
      <c r="C934" s="856">
        <f>building!B277</f>
        <v>0</v>
      </c>
      <c r="D934" s="852">
        <f>building!C277</f>
        <v>0</v>
      </c>
      <c r="E934" s="853">
        <f>building!D277</f>
        <v>0</v>
      </c>
      <c r="F934" s="852">
        <f t="shared" si="14"/>
        <v>0</v>
      </c>
    </row>
    <row r="935" spans="1:6" ht="302.45" hidden="1" customHeight="1">
      <c r="A935" s="849">
        <f>building!A278</f>
        <v>0</v>
      </c>
      <c r="B935" s="855">
        <f>building!Y278</f>
        <v>0</v>
      </c>
      <c r="C935" s="856">
        <f>building!B278</f>
        <v>0</v>
      </c>
      <c r="D935" s="852">
        <f>building!C278</f>
        <v>0</v>
      </c>
      <c r="E935" s="853">
        <f>building!D278</f>
        <v>0</v>
      </c>
      <c r="F935" s="852">
        <f t="shared" si="14"/>
        <v>0</v>
      </c>
    </row>
    <row r="936" spans="1:6" ht="154.15" hidden="1" customHeight="1">
      <c r="A936" s="849">
        <f>building!A279</f>
        <v>0</v>
      </c>
      <c r="B936" s="855">
        <f>building!Y279</f>
        <v>2</v>
      </c>
      <c r="C936" s="856" t="str">
        <f>building!B279</f>
        <v>Supply and delivery of 2HP monoblock pumpset three phase circuit unit of approved brand including accessoring.(Duty 450X20)</v>
      </c>
      <c r="D936" s="852">
        <f>building!C279</f>
        <v>19309</v>
      </c>
      <c r="E936" s="853" t="str">
        <f>building!D279</f>
        <v>Nos</v>
      </c>
      <c r="F936" s="852">
        <f t="shared" si="14"/>
        <v>38618</v>
      </c>
    </row>
    <row r="937" spans="1:6" ht="248.45" hidden="1" customHeight="1">
      <c r="A937" s="849">
        <f>building!A280</f>
        <v>0</v>
      </c>
      <c r="B937" s="855">
        <f>building!Y280</f>
        <v>0</v>
      </c>
      <c r="C937" s="856">
        <f>building!B280</f>
        <v>0</v>
      </c>
      <c r="D937" s="852">
        <f>building!C280</f>
        <v>0</v>
      </c>
      <c r="E937" s="853">
        <f>building!D280</f>
        <v>0</v>
      </c>
      <c r="F937" s="852">
        <f t="shared" si="14"/>
        <v>0</v>
      </c>
    </row>
    <row r="938" spans="1:6" ht="269.45" hidden="1" customHeight="1">
      <c r="A938" s="849">
        <f>building!A281</f>
        <v>0</v>
      </c>
      <c r="B938" s="855">
        <f>building!Y281</f>
        <v>2</v>
      </c>
      <c r="C938" s="856" t="str">
        <f>building!B281</f>
        <v>Supplying and fixing of Dol starter confirming to I.S specification.</v>
      </c>
      <c r="D938" s="852">
        <f>building!C281</f>
        <v>5249</v>
      </c>
      <c r="E938" s="853" t="str">
        <f>building!D281</f>
        <v>Nos</v>
      </c>
      <c r="F938" s="852">
        <f t="shared" si="14"/>
        <v>10498</v>
      </c>
    </row>
    <row r="939" spans="1:6" ht="74.45" hidden="1" customHeight="1">
      <c r="A939" s="849">
        <f>building!A282</f>
        <v>0</v>
      </c>
      <c r="B939" s="855">
        <f>building!Y282</f>
        <v>0</v>
      </c>
      <c r="C939" s="856">
        <f>building!B282</f>
        <v>0</v>
      </c>
      <c r="D939" s="852">
        <f>building!C282</f>
        <v>0</v>
      </c>
      <c r="E939" s="853">
        <f>building!D282</f>
        <v>0</v>
      </c>
      <c r="F939" s="852">
        <f t="shared" si="14"/>
        <v>0</v>
      </c>
    </row>
    <row r="940" spans="1:6" ht="94.15" hidden="1" customHeight="1">
      <c r="A940" s="849">
        <f>building!A283</f>
        <v>0</v>
      </c>
      <c r="B940" s="855">
        <f>building!Y283</f>
        <v>2</v>
      </c>
      <c r="C940" s="856" t="str">
        <f>building!B283</f>
        <v xml:space="preserve">Lobour charges for errection of 2HP monoblock pumpsets including bed block fixing in position etc,.complete.  </v>
      </c>
      <c r="D940" s="852">
        <f>building!C283</f>
        <v>7391.8</v>
      </c>
      <c r="E940" s="853" t="str">
        <f>building!D283</f>
        <v>Nos</v>
      </c>
      <c r="F940" s="852">
        <f t="shared" si="14"/>
        <v>14783.6</v>
      </c>
    </row>
    <row r="941" spans="1:6" ht="129.75" customHeight="1">
      <c r="A941" s="849">
        <f>building!A284</f>
        <v>0</v>
      </c>
      <c r="B941" s="855">
        <f>building!Y284</f>
        <v>0</v>
      </c>
      <c r="C941" s="856">
        <f>building!B284</f>
        <v>0</v>
      </c>
      <c r="D941" s="852">
        <f>building!C284</f>
        <v>0</v>
      </c>
      <c r="E941" s="853">
        <f>building!D284</f>
        <v>0</v>
      </c>
      <c r="F941" s="852">
        <f t="shared" si="14"/>
        <v>0</v>
      </c>
    </row>
    <row r="942" spans="1:6" ht="132.6" hidden="1" customHeight="1">
      <c r="A942" s="849">
        <f>building!A285</f>
        <v>0</v>
      </c>
      <c r="B942" s="855">
        <f>building!Y285</f>
        <v>1</v>
      </c>
      <c r="C942" s="856" t="str">
        <f>building!B285</f>
        <v>Supply and delivery of 5HP submersible  pumpset 50 stages at bore well (three phase).(Duty 50X175)</v>
      </c>
      <c r="D942" s="852">
        <f>building!C285</f>
        <v>57424</v>
      </c>
      <c r="E942" s="853" t="str">
        <f>building!D285</f>
        <v>Nos/sor 21-22</v>
      </c>
      <c r="F942" s="852">
        <f t="shared" si="14"/>
        <v>57424</v>
      </c>
    </row>
    <row r="943" spans="1:6" ht="91.15" hidden="1" customHeight="1">
      <c r="A943" s="849">
        <f>building!A286</f>
        <v>0</v>
      </c>
      <c r="B943" s="855">
        <f>building!Y286</f>
        <v>0</v>
      </c>
      <c r="C943" s="856">
        <f>building!B286</f>
        <v>0</v>
      </c>
      <c r="D943" s="852">
        <f>building!C286</f>
        <v>0</v>
      </c>
      <c r="E943" s="853">
        <f>building!D286</f>
        <v>0</v>
      </c>
      <c r="F943" s="852">
        <f t="shared" si="14"/>
        <v>0</v>
      </c>
    </row>
    <row r="944" spans="1:6" ht="48" hidden="1" customHeight="1">
      <c r="A944" s="849">
        <f>building!A287</f>
        <v>0</v>
      </c>
      <c r="B944" s="855">
        <f>building!Y287</f>
        <v>1</v>
      </c>
      <c r="C944" s="856" t="str">
        <f>building!B287</f>
        <v xml:space="preserve">Lobour charges for errection of 5HP submersible pumpsets at bore well etc,.complete.  </v>
      </c>
      <c r="D944" s="852">
        <f>building!C287</f>
        <v>10051.1</v>
      </c>
      <c r="E944" s="853" t="str">
        <f>building!D287</f>
        <v>Nos</v>
      </c>
      <c r="F944" s="852">
        <f t="shared" si="14"/>
        <v>10051.1</v>
      </c>
    </row>
    <row r="945" spans="1:6" ht="66" customHeight="1">
      <c r="A945" s="849">
        <f>building!A288</f>
        <v>0</v>
      </c>
      <c r="B945" s="855">
        <f>building!Y288</f>
        <v>0</v>
      </c>
      <c r="C945" s="856">
        <f>building!B288</f>
        <v>0</v>
      </c>
      <c r="D945" s="852">
        <f>building!C288</f>
        <v>0</v>
      </c>
      <c r="E945" s="853">
        <f>building!D288</f>
        <v>0</v>
      </c>
      <c r="F945" s="852">
        <f t="shared" si="14"/>
        <v>0</v>
      </c>
    </row>
    <row r="946" spans="1:6" ht="35.450000000000003" hidden="1" customHeight="1">
      <c r="A946" s="849">
        <f>building!A289</f>
        <v>0</v>
      </c>
      <c r="B946" s="855">
        <f>building!Y289</f>
        <v>1</v>
      </c>
      <c r="C946" s="856" t="str">
        <f>building!B289</f>
        <v>Supplying and fixing of 5HP panel board for submersible pumpsets.</v>
      </c>
      <c r="D946" s="852">
        <f>building!C289</f>
        <v>14492</v>
      </c>
      <c r="E946" s="853" t="str">
        <f>building!D289</f>
        <v>Nos/sor 21-22</v>
      </c>
      <c r="F946" s="852">
        <f t="shared" si="14"/>
        <v>14492</v>
      </c>
    </row>
    <row r="947" spans="1:6" ht="35.450000000000003" hidden="1" customHeight="1">
      <c r="A947" s="849">
        <f>building!A290</f>
        <v>0</v>
      </c>
      <c r="B947" s="855">
        <f>building!Y290</f>
        <v>0</v>
      </c>
      <c r="C947" s="856">
        <f>building!B290</f>
        <v>0</v>
      </c>
      <c r="D947" s="852">
        <f>building!C290</f>
        <v>0</v>
      </c>
      <c r="E947" s="853">
        <f>building!D290</f>
        <v>0</v>
      </c>
      <c r="F947" s="852">
        <f t="shared" si="14"/>
        <v>0</v>
      </c>
    </row>
    <row r="948" spans="1:6" ht="87" hidden="1" customHeight="1">
      <c r="A948" s="849">
        <f>building!A291</f>
        <v>0</v>
      </c>
      <c r="B948" s="855">
        <f>building!Y291</f>
        <v>415</v>
      </c>
      <c r="C948" s="856" t="str">
        <f>building!B291</f>
        <v>Supply and delivery of 4 sqmm. 3core flat cable for submersible pumpset.</v>
      </c>
      <c r="D948" s="852">
        <f>building!C291</f>
        <v>186</v>
      </c>
      <c r="E948" s="853" t="str">
        <f>building!D291</f>
        <v>Rmt</v>
      </c>
      <c r="F948" s="852">
        <f t="shared" si="14"/>
        <v>77190</v>
      </c>
    </row>
    <row r="949" spans="1:6" ht="43.15" hidden="1" customHeight="1">
      <c r="A949" s="849">
        <f>building!A292</f>
        <v>0</v>
      </c>
      <c r="B949" s="855">
        <f>building!Y292</f>
        <v>0</v>
      </c>
      <c r="C949" s="856">
        <f>building!B292</f>
        <v>0</v>
      </c>
      <c r="D949" s="852">
        <f>building!C292</f>
        <v>0</v>
      </c>
      <c r="E949" s="853">
        <f>building!D292</f>
        <v>0</v>
      </c>
      <c r="F949" s="852">
        <f t="shared" si="14"/>
        <v>0</v>
      </c>
    </row>
    <row r="950" spans="1:6" ht="43.15" hidden="1" customHeight="1">
      <c r="A950" s="849">
        <f>building!A293</f>
        <v>0</v>
      </c>
      <c r="B950" s="855">
        <f>building!Y293</f>
        <v>375</v>
      </c>
      <c r="C950" s="856" t="str">
        <f>building!B293</f>
        <v>Supplying and delivery of UPVC pipe 32 mm dia of approved brand.</v>
      </c>
      <c r="D950" s="852">
        <f>building!C293</f>
        <v>141.1</v>
      </c>
      <c r="E950" s="853" t="str">
        <f>building!D293</f>
        <v>m</v>
      </c>
      <c r="F950" s="852">
        <f t="shared" si="14"/>
        <v>52912.5</v>
      </c>
    </row>
    <row r="951" spans="1:6" ht="43.15" hidden="1" customHeight="1">
      <c r="A951" s="849">
        <f>building!A294</f>
        <v>0</v>
      </c>
      <c r="B951" s="855">
        <f>building!Y294</f>
        <v>0</v>
      </c>
      <c r="C951" s="856">
        <f>building!B294</f>
        <v>0</v>
      </c>
      <c r="D951" s="852">
        <f>building!C294</f>
        <v>0</v>
      </c>
      <c r="E951" s="853">
        <f>building!D294</f>
        <v>0</v>
      </c>
      <c r="F951" s="852">
        <f t="shared" si="14"/>
        <v>0</v>
      </c>
    </row>
    <row r="952" spans="1:6" ht="43.15" hidden="1" customHeight="1">
      <c r="A952" s="849">
        <f>building!A295</f>
        <v>0</v>
      </c>
      <c r="B952" s="855">
        <f>building!Y295</f>
        <v>0</v>
      </c>
      <c r="C952" s="856" t="str">
        <f>building!B295</f>
        <v>Supply and delivery of the following dia G.I pipe.' B' class of approved brand.</v>
      </c>
      <c r="D952" s="852">
        <f>building!C295</f>
        <v>0</v>
      </c>
      <c r="E952" s="853">
        <f>building!D295</f>
        <v>0</v>
      </c>
      <c r="F952" s="852">
        <f t="shared" si="14"/>
        <v>0</v>
      </c>
    </row>
    <row r="953" spans="1:6" ht="93.75" customHeight="1">
      <c r="A953" s="849">
        <f>building!A296</f>
        <v>0</v>
      </c>
      <c r="B953" s="850">
        <f>building!Y296</f>
        <v>15</v>
      </c>
      <c r="C953" s="851" t="str">
        <f>building!B296</f>
        <v>a) 25 mm dia G.I pipe.</v>
      </c>
      <c r="D953" s="852">
        <f>building!C296</f>
        <v>128</v>
      </c>
      <c r="E953" s="853" t="str">
        <f>building!D296</f>
        <v>m</v>
      </c>
      <c r="F953" s="852"/>
    </row>
    <row r="954" spans="1:6" ht="43.15" hidden="1" customHeight="1">
      <c r="A954" s="849">
        <f>building!A297</f>
        <v>0</v>
      </c>
      <c r="B954" s="855">
        <f>building!Y297</f>
        <v>5</v>
      </c>
      <c r="C954" s="856" t="str">
        <f>building!B297</f>
        <v>b) 40 mm dia G.I pipe.</v>
      </c>
      <c r="D954" s="852">
        <f>building!C297</f>
        <v>163</v>
      </c>
      <c r="E954" s="853" t="str">
        <f>building!D297</f>
        <v>m</v>
      </c>
      <c r="F954" s="852">
        <f t="shared" si="14"/>
        <v>815</v>
      </c>
    </row>
    <row r="955" spans="1:6" ht="43.15" customHeight="1">
      <c r="A955" s="849">
        <f>building!A298</f>
        <v>0</v>
      </c>
      <c r="B955" s="855">
        <f>building!Y298</f>
        <v>16</v>
      </c>
      <c r="C955" s="856" t="str">
        <f>building!B298</f>
        <v>d) 50 mm dia G.I pipe.</v>
      </c>
      <c r="D955" s="852">
        <f>building!C298</f>
        <v>209</v>
      </c>
      <c r="E955" s="853" t="str">
        <f>building!D298</f>
        <v>m</v>
      </c>
      <c r="F955" s="852">
        <f t="shared" si="14"/>
        <v>3344</v>
      </c>
    </row>
    <row r="956" spans="1:6" ht="48.6" hidden="1" customHeight="1">
      <c r="A956" s="849">
        <f>building!A299</f>
        <v>0</v>
      </c>
      <c r="B956" s="855">
        <f>building!Y299</f>
        <v>0</v>
      </c>
      <c r="C956" s="856">
        <f>building!B299</f>
        <v>0</v>
      </c>
      <c r="D956" s="852">
        <f>building!C299</f>
        <v>0</v>
      </c>
      <c r="E956" s="853">
        <f>building!D299</f>
        <v>0</v>
      </c>
      <c r="F956" s="852">
        <f t="shared" si="14"/>
        <v>0</v>
      </c>
    </row>
    <row r="957" spans="1:6" ht="48.6" hidden="1" customHeight="1">
      <c r="A957" s="849">
        <f>building!A300</f>
        <v>0</v>
      </c>
      <c r="B957" s="855">
        <f>building!Y300</f>
        <v>0</v>
      </c>
      <c r="C957" s="856" t="str">
        <f>building!B300</f>
        <v>Supplying and delivery of PVC pipe 10 kg /cm2</v>
      </c>
      <c r="D957" s="852">
        <f>building!C300</f>
        <v>0</v>
      </c>
      <c r="E957" s="853">
        <f>building!D300</f>
        <v>0</v>
      </c>
      <c r="F957" s="852">
        <f t="shared" si="14"/>
        <v>0</v>
      </c>
    </row>
    <row r="958" spans="1:6" ht="33.75" customHeight="1">
      <c r="A958" s="849">
        <f>building!A301</f>
        <v>0</v>
      </c>
      <c r="B958" s="855">
        <f>building!Y301</f>
        <v>95</v>
      </c>
      <c r="C958" s="856" t="str">
        <f>building!B301</f>
        <v>a) 50 mm dia (inner) PVC pipe.</v>
      </c>
      <c r="D958" s="852">
        <f>building!C301</f>
        <v>144.69999999999999</v>
      </c>
      <c r="E958" s="853" t="str">
        <f>building!D301</f>
        <v>m</v>
      </c>
      <c r="F958" s="852">
        <f t="shared" si="14"/>
        <v>13746.5</v>
      </c>
    </row>
    <row r="959" spans="1:6" ht="30" hidden="1" customHeight="1">
      <c r="A959" s="849">
        <f>building!A302</f>
        <v>0</v>
      </c>
      <c r="B959" s="855">
        <f>building!Y302</f>
        <v>0</v>
      </c>
      <c r="C959" s="856">
        <f>building!B302</f>
        <v>0</v>
      </c>
      <c r="D959" s="852">
        <f>building!C302</f>
        <v>0</v>
      </c>
      <c r="E959" s="853">
        <f>building!D302</f>
        <v>0</v>
      </c>
      <c r="F959" s="852">
        <f t="shared" si="14"/>
        <v>0</v>
      </c>
    </row>
    <row r="960" spans="1:6" ht="48.6" customHeight="1">
      <c r="A960" s="849">
        <f>building!A303</f>
        <v>0</v>
      </c>
      <c r="B960" s="855">
        <f>building!Y303</f>
        <v>15</v>
      </c>
      <c r="C960" s="856" t="str">
        <f>building!B303</f>
        <v>b)32 mm dia PVC Pipe</v>
      </c>
      <c r="D960" s="852">
        <f>building!C303</f>
        <v>61.7</v>
      </c>
      <c r="E960" s="853" t="str">
        <f>building!D303</f>
        <v>m</v>
      </c>
      <c r="F960" s="852">
        <f t="shared" si="14"/>
        <v>925.5</v>
      </c>
    </row>
    <row r="961" spans="1:6" ht="108" hidden="1" customHeight="1">
      <c r="A961" s="849">
        <f>building!A304</f>
        <v>0</v>
      </c>
      <c r="B961" s="855">
        <f>building!Y304</f>
        <v>0</v>
      </c>
      <c r="C961" s="856">
        <f>building!B304</f>
        <v>0</v>
      </c>
      <c r="D961" s="852">
        <f>building!C304</f>
        <v>0</v>
      </c>
      <c r="E961" s="853">
        <f>building!D304</f>
        <v>0</v>
      </c>
      <c r="F961" s="852">
        <f t="shared" si="14"/>
        <v>0</v>
      </c>
    </row>
    <row r="962" spans="1:6" ht="45" hidden="1" customHeight="1">
      <c r="A962" s="849">
        <f>building!A305</f>
        <v>0</v>
      </c>
      <c r="B962" s="855">
        <f>building!Y305</f>
        <v>0</v>
      </c>
      <c r="C962" s="856" t="str">
        <f>building!B305</f>
        <v>Supply and delivery of following dia G.I specials.</v>
      </c>
      <c r="D962" s="852">
        <f>building!C305</f>
        <v>0</v>
      </c>
      <c r="E962" s="853">
        <f>building!D305</f>
        <v>0</v>
      </c>
      <c r="F962" s="852">
        <f t="shared" si="14"/>
        <v>0</v>
      </c>
    </row>
    <row r="963" spans="1:6" ht="45" hidden="1" customHeight="1">
      <c r="A963" s="849">
        <f>building!A306</f>
        <v>0</v>
      </c>
      <c r="B963" s="855">
        <f>building!Y306</f>
        <v>5</v>
      </c>
      <c r="C963" s="856" t="str">
        <f>building!B306</f>
        <v>a) 50mmX40 mm G.I, Tee</v>
      </c>
      <c r="D963" s="852">
        <f>building!C306</f>
        <v>139.80000000000001</v>
      </c>
      <c r="E963" s="853" t="str">
        <f>building!D306</f>
        <v>Nos</v>
      </c>
      <c r="F963" s="852">
        <f t="shared" si="14"/>
        <v>699</v>
      </c>
    </row>
    <row r="964" spans="1:6" ht="45" hidden="1" customHeight="1">
      <c r="A964" s="849">
        <f>building!A307</f>
        <v>0</v>
      </c>
      <c r="B964" s="855">
        <f>building!Y307</f>
        <v>6</v>
      </c>
      <c r="C964" s="856" t="str">
        <f>building!B307</f>
        <v>b) 50 mm dia coupling.</v>
      </c>
      <c r="D964" s="852">
        <f>building!C307</f>
        <v>69.8</v>
      </c>
      <c r="E964" s="853" t="str">
        <f>building!D307</f>
        <v>Nos</v>
      </c>
      <c r="F964" s="852">
        <f t="shared" si="14"/>
        <v>418.8</v>
      </c>
    </row>
    <row r="965" spans="1:6" ht="45" hidden="1" customHeight="1">
      <c r="A965" s="849">
        <f>building!A308</f>
        <v>0</v>
      </c>
      <c r="B965" s="855">
        <f>building!Y308</f>
        <v>3</v>
      </c>
      <c r="C965" s="856" t="str">
        <f>building!B308</f>
        <v>c) 50 mm dia G.I gate valve.</v>
      </c>
      <c r="D965" s="852">
        <f>building!C308</f>
        <v>1229</v>
      </c>
      <c r="E965" s="853" t="str">
        <f>building!D308</f>
        <v>Nos</v>
      </c>
      <c r="F965" s="852">
        <f t="shared" si="14"/>
        <v>3687</v>
      </c>
    </row>
    <row r="966" spans="1:6" ht="45" hidden="1" customHeight="1">
      <c r="A966" s="849">
        <f>building!A309</f>
        <v>0</v>
      </c>
      <c r="B966" s="855">
        <f>building!Y309</f>
        <v>1</v>
      </c>
      <c r="C966" s="856" t="str">
        <f>building!B309</f>
        <v>d) 50 mm dia non return valve.</v>
      </c>
      <c r="D966" s="852">
        <f>building!C309</f>
        <v>2082</v>
      </c>
      <c r="E966" s="853" t="str">
        <f>building!D309</f>
        <v>Nos</v>
      </c>
      <c r="F966" s="852">
        <f t="shared" si="14"/>
        <v>2082</v>
      </c>
    </row>
    <row r="967" spans="1:6" ht="45" hidden="1" customHeight="1">
      <c r="A967" s="849">
        <f>building!A310</f>
        <v>0</v>
      </c>
      <c r="B967" s="855">
        <f>building!Y310</f>
        <v>3</v>
      </c>
      <c r="C967" s="856" t="str">
        <f>building!B310</f>
        <v>e) 50 mm dia G.I union.</v>
      </c>
      <c r="D967" s="852">
        <f>building!C310</f>
        <v>266.3</v>
      </c>
      <c r="E967" s="853" t="str">
        <f>building!D310</f>
        <v>Nos</v>
      </c>
      <c r="F967" s="852">
        <f t="shared" si="14"/>
        <v>798.9</v>
      </c>
    </row>
    <row r="968" spans="1:6" ht="60" hidden="1" customHeight="1">
      <c r="A968" s="849">
        <f>building!A311</f>
        <v>0</v>
      </c>
      <c r="B968" s="855">
        <f>building!Y311</f>
        <v>5</v>
      </c>
      <c r="C968" s="856" t="str">
        <f>building!B311</f>
        <v>f) 50 mm dia G.I hex nipple.</v>
      </c>
      <c r="D968" s="852">
        <f>building!C311</f>
        <v>87</v>
      </c>
      <c r="E968" s="853" t="str">
        <f>building!D311</f>
        <v>Nos</v>
      </c>
      <c r="F968" s="852">
        <f t="shared" ref="F968:F1031" si="15">D968*B968</f>
        <v>435</v>
      </c>
    </row>
    <row r="969" spans="1:6" ht="47.45" hidden="1" customHeight="1">
      <c r="A969" s="849">
        <f>building!A312</f>
        <v>0</v>
      </c>
      <c r="B969" s="855">
        <f>building!Y312</f>
        <v>1</v>
      </c>
      <c r="C969" s="856" t="str">
        <f>building!B312</f>
        <v>g) 50 mm dia G.I foot valve with stainer.</v>
      </c>
      <c r="D969" s="852">
        <f>building!C312</f>
        <v>434</v>
      </c>
      <c r="E969" s="853" t="str">
        <f>building!D312</f>
        <v>Nos</v>
      </c>
      <c r="F969" s="852">
        <f t="shared" si="15"/>
        <v>434</v>
      </c>
    </row>
    <row r="970" spans="1:6" ht="43.9" hidden="1" customHeight="1">
      <c r="A970" s="849">
        <f>building!A313</f>
        <v>0</v>
      </c>
      <c r="B970" s="855">
        <f>building!Y313</f>
        <v>3</v>
      </c>
      <c r="C970" s="856" t="str">
        <f>building!B313</f>
        <v xml:space="preserve">h) 50 mm dia G.I Tee </v>
      </c>
      <c r="D970" s="852">
        <f>building!C313</f>
        <v>139.80000000000001</v>
      </c>
      <c r="E970" s="853" t="str">
        <f>building!D313</f>
        <v>Nos</v>
      </c>
      <c r="F970" s="852">
        <f t="shared" si="15"/>
        <v>419.4</v>
      </c>
    </row>
    <row r="971" spans="1:6" ht="35.450000000000003" hidden="1" customHeight="1">
      <c r="A971" s="849">
        <f>building!A314</f>
        <v>0</v>
      </c>
      <c r="B971" s="855">
        <f>building!Y314</f>
        <v>2</v>
      </c>
      <c r="C971" s="856" t="str">
        <f>building!B314</f>
        <v xml:space="preserve">i) 32 mm G.I Union </v>
      </c>
      <c r="D971" s="852">
        <f>building!C314</f>
        <v>127.5</v>
      </c>
      <c r="E971" s="853" t="str">
        <f>building!D314</f>
        <v>Nos</v>
      </c>
      <c r="F971" s="852">
        <f t="shared" si="15"/>
        <v>255</v>
      </c>
    </row>
    <row r="972" spans="1:6" ht="32.450000000000003" hidden="1" customHeight="1">
      <c r="A972" s="849">
        <f>building!A315</f>
        <v>0</v>
      </c>
      <c r="B972" s="855">
        <f>building!Y315</f>
        <v>2</v>
      </c>
      <c r="C972" s="856" t="str">
        <f>building!B315</f>
        <v>j) 32 mm dia G.I elbow</v>
      </c>
      <c r="D972" s="852">
        <f>building!C315</f>
        <v>87</v>
      </c>
      <c r="E972" s="853" t="str">
        <f>building!D315</f>
        <v>Nos</v>
      </c>
      <c r="F972" s="852">
        <f t="shared" si="15"/>
        <v>174</v>
      </c>
    </row>
    <row r="973" spans="1:6" ht="32.450000000000003" hidden="1" customHeight="1">
      <c r="A973" s="849">
        <f>building!A316</f>
        <v>0</v>
      </c>
      <c r="B973" s="855">
        <f>building!Y316</f>
        <v>2</v>
      </c>
      <c r="C973" s="856" t="str">
        <f>building!B316</f>
        <v>k) 32 mm dia G.I hex nipple.</v>
      </c>
      <c r="D973" s="852">
        <f>building!C316</f>
        <v>58.1</v>
      </c>
      <c r="E973" s="853" t="str">
        <f>building!D316</f>
        <v>Nos</v>
      </c>
      <c r="F973" s="852">
        <f t="shared" si="15"/>
        <v>116.2</v>
      </c>
    </row>
    <row r="974" spans="1:6" ht="51" customHeight="1">
      <c r="A974" s="849">
        <f>building!A317</f>
        <v>0</v>
      </c>
      <c r="B974" s="850">
        <f>building!Y317</f>
        <v>2</v>
      </c>
      <c r="C974" s="851" t="str">
        <f>building!B317</f>
        <v>25 mm dia G.I coupling</v>
      </c>
      <c r="D974" s="852">
        <f>building!C317</f>
        <v>28.6</v>
      </c>
      <c r="E974" s="853" t="str">
        <f>building!D317</f>
        <v>Nos</v>
      </c>
      <c r="F974" s="852"/>
    </row>
    <row r="975" spans="1:6" ht="45.75" customHeight="1">
      <c r="A975" s="849">
        <f>building!A318</f>
        <v>0</v>
      </c>
      <c r="B975" s="855">
        <f>building!Y318</f>
        <v>0</v>
      </c>
      <c r="C975" s="856">
        <f>building!B318</f>
        <v>0</v>
      </c>
      <c r="D975" s="852">
        <f>building!C318</f>
        <v>0</v>
      </c>
      <c r="E975" s="853">
        <f>building!D318</f>
        <v>0</v>
      </c>
      <c r="F975" s="852">
        <f t="shared" si="15"/>
        <v>0</v>
      </c>
    </row>
    <row r="976" spans="1:6" ht="37.5" customHeight="1">
      <c r="A976" s="849">
        <f>building!A319</f>
        <v>0</v>
      </c>
      <c r="B976" s="855">
        <f>building!Y319</f>
        <v>220</v>
      </c>
      <c r="C976" s="856" t="str">
        <f>building!B319</f>
        <v>Labour charge for laying of G.I pipe and PVC pipe below ground level</v>
      </c>
      <c r="D976" s="852">
        <f>building!C319</f>
        <v>81.89</v>
      </c>
      <c r="E976" s="853" t="str">
        <f>building!D319</f>
        <v>Rmt</v>
      </c>
      <c r="F976" s="852">
        <f t="shared" si="15"/>
        <v>18015.8</v>
      </c>
    </row>
    <row r="977" spans="1:6" ht="37.5" customHeight="1">
      <c r="A977" s="849">
        <f>building!A320</f>
        <v>0</v>
      </c>
      <c r="B977" s="855">
        <f>building!Y320</f>
        <v>0</v>
      </c>
      <c r="C977" s="856">
        <f>building!B320</f>
        <v>0</v>
      </c>
      <c r="D977" s="852">
        <f>building!C320</f>
        <v>0</v>
      </c>
      <c r="E977" s="853">
        <f>building!D320</f>
        <v>0</v>
      </c>
      <c r="F977" s="852">
        <f t="shared" si="15"/>
        <v>0</v>
      </c>
    </row>
    <row r="978" spans="1:6" ht="55.5" customHeight="1">
      <c r="A978" s="849">
        <f>building!A321</f>
        <v>0</v>
      </c>
      <c r="B978" s="855">
        <f>building!Y321</f>
        <v>0</v>
      </c>
      <c r="C978" s="856" t="str">
        <f>building!B321</f>
        <v>Numbering And Lettering</v>
      </c>
      <c r="D978" s="852">
        <f>building!C321</f>
        <v>0</v>
      </c>
      <c r="E978" s="853">
        <f>building!D321</f>
        <v>0</v>
      </c>
      <c r="F978" s="852">
        <f t="shared" si="15"/>
        <v>0</v>
      </c>
    </row>
    <row r="979" spans="1:6" ht="58.15" customHeight="1">
      <c r="A979" s="849">
        <f>building!A322</f>
        <v>0</v>
      </c>
      <c r="B979" s="855">
        <f>building!Y322</f>
        <v>1</v>
      </c>
      <c r="C979" s="856" t="str">
        <f>building!B322</f>
        <v>Moulding and fixing of aluminium Diecast TNPHC Logo Emblem as directed</v>
      </c>
      <c r="D979" s="852">
        <f>building!C322</f>
        <v>3000</v>
      </c>
      <c r="E979" s="853" t="str">
        <f>building!D322</f>
        <v>Each</v>
      </c>
      <c r="F979" s="852">
        <f t="shared" si="15"/>
        <v>3000</v>
      </c>
    </row>
    <row r="980" spans="1:6" ht="57" customHeight="1">
      <c r="A980" s="849">
        <f>building!A323</f>
        <v>0</v>
      </c>
      <c r="B980" s="855">
        <f>building!Y323</f>
        <v>0</v>
      </c>
      <c r="C980" s="856" t="str">
        <f>building!B323</f>
        <v>Supplying and fixing of aluminium diecast letters of size etc.,</v>
      </c>
      <c r="D980" s="852">
        <f>building!C323</f>
        <v>0</v>
      </c>
      <c r="E980" s="853">
        <f>building!D323</f>
        <v>0</v>
      </c>
      <c r="F980" s="852">
        <f t="shared" si="15"/>
        <v>0</v>
      </c>
    </row>
    <row r="981" spans="1:6" ht="43.5" customHeight="1">
      <c r="A981" s="849">
        <f>building!A324</f>
        <v>0</v>
      </c>
      <c r="B981" s="850">
        <f>building!Y324</f>
        <v>74</v>
      </c>
      <c r="C981" s="851" t="str">
        <f>building!B324</f>
        <v>a) 9" feet letters.</v>
      </c>
      <c r="D981" s="852">
        <f>building!C324</f>
        <v>1092</v>
      </c>
      <c r="E981" s="853" t="str">
        <f>building!D324</f>
        <v>Each</v>
      </c>
      <c r="F981" s="852"/>
    </row>
    <row r="982" spans="1:6" ht="34.5" customHeight="1">
      <c r="A982" s="849">
        <f>building!A325</f>
        <v>0</v>
      </c>
      <c r="B982" s="855">
        <f>building!Y325</f>
        <v>40</v>
      </c>
      <c r="C982" s="856" t="str">
        <f>building!B325</f>
        <v>b) 6" letters.</v>
      </c>
      <c r="D982" s="852">
        <f>building!C325</f>
        <v>693</v>
      </c>
      <c r="E982" s="853" t="str">
        <f>building!D325</f>
        <v>Each</v>
      </c>
      <c r="F982" s="852">
        <f t="shared" si="15"/>
        <v>27720</v>
      </c>
    </row>
    <row r="983" spans="1:6" ht="51" hidden="1" customHeight="1">
      <c r="A983" s="849">
        <f>building!A326</f>
        <v>0</v>
      </c>
      <c r="B983" s="855">
        <f>building!Y326</f>
        <v>0</v>
      </c>
      <c r="C983" s="856">
        <f>building!B326</f>
        <v>0</v>
      </c>
      <c r="D983" s="852">
        <f>building!C326</f>
        <v>0</v>
      </c>
      <c r="E983" s="853">
        <f>building!D326</f>
        <v>0</v>
      </c>
      <c r="F983" s="852">
        <f t="shared" si="15"/>
        <v>0</v>
      </c>
    </row>
    <row r="984" spans="1:6" ht="36" customHeight="1">
      <c r="A984" s="849" t="e">
        <f>building!#REF!</f>
        <v>#REF!</v>
      </c>
      <c r="B984" s="855" t="e">
        <f>building!#REF!</f>
        <v>#REF!</v>
      </c>
      <c r="C984" s="856" t="e">
        <f>building!#REF!</f>
        <v>#REF!</v>
      </c>
      <c r="D984" s="852" t="e">
        <f>building!#REF!</f>
        <v>#REF!</v>
      </c>
      <c r="E984" s="853" t="e">
        <f>building!#REF!</f>
        <v>#REF!</v>
      </c>
      <c r="F984" s="852" t="e">
        <f t="shared" si="15"/>
        <v>#REF!</v>
      </c>
    </row>
    <row r="985" spans="1:6" ht="38.25" customHeight="1">
      <c r="A985" s="849" t="e">
        <f>building!#REF!</f>
        <v>#REF!</v>
      </c>
      <c r="B985" s="855" t="e">
        <f>building!#REF!</f>
        <v>#REF!</v>
      </c>
      <c r="C985" s="856" t="e">
        <f>building!#REF!</f>
        <v>#REF!</v>
      </c>
      <c r="D985" s="852" t="e">
        <f>building!#REF!</f>
        <v>#REF!</v>
      </c>
      <c r="E985" s="853" t="e">
        <f>building!#REF!</f>
        <v>#REF!</v>
      </c>
      <c r="F985" s="852" t="e">
        <f t="shared" si="15"/>
        <v>#REF!</v>
      </c>
    </row>
    <row r="986" spans="1:6" ht="45" customHeight="1">
      <c r="A986" s="849">
        <f>building!A327</f>
        <v>0</v>
      </c>
      <c r="B986" s="855">
        <f>building!Y327</f>
        <v>1</v>
      </c>
      <c r="C986" s="856" t="str">
        <f>building!B327</f>
        <v>A Panel for 1 services Pollution control Length = 3.3ft.       Height =3.3 ft.   Depth = 1.ft. Requirement of 16 SWG MS sheet : Front and back   1x2x3.3x3.3           = 21.78sq.ft.Top and bottom 1x2x3.3x 1.0           = 6.6 sq.ft. Between bus 1 x 2 x 3.3x 1.0                = 6.6 sq.ft. Two sides      1x2x3.3x 1.0               = 6.6 sq.ft. Total =  41.58   sqft</v>
      </c>
      <c r="D986" s="852">
        <f>building!C327</f>
        <v>43630.559999999998</v>
      </c>
      <c r="E986" s="853" t="str">
        <f>building!D327</f>
        <v>Each</v>
      </c>
      <c r="F986" s="852">
        <f t="shared" si="15"/>
        <v>43630.559999999998</v>
      </c>
    </row>
    <row r="987" spans="1:6" ht="66.75" hidden="1" customHeight="1">
      <c r="A987" s="849">
        <f>building!A328</f>
        <v>0</v>
      </c>
      <c r="B987" s="855">
        <f>building!Y328</f>
        <v>0</v>
      </c>
      <c r="C987" s="856">
        <f>building!B328</f>
        <v>0</v>
      </c>
      <c r="D987" s="852">
        <f>building!C328</f>
        <v>0</v>
      </c>
      <c r="E987" s="853">
        <f>building!D328</f>
        <v>0</v>
      </c>
      <c r="F987" s="852">
        <f t="shared" si="15"/>
        <v>0</v>
      </c>
    </row>
    <row r="988" spans="1:6" ht="54" hidden="1" customHeight="1">
      <c r="A988" s="849">
        <f>building!A329</f>
        <v>0</v>
      </c>
      <c r="B988" s="855">
        <f>building!Y329</f>
        <v>0</v>
      </c>
      <c r="C988" s="856" t="str">
        <f>building!B329</f>
        <v>Supplying and Laying of specified aluminium LT UG Cable on Below Ground Level and above level to be at a depth of 0.75 m put in 0.15 m layer of sand and covering the cable completely with bricks and sand refilling the earth to good including cost of all materials and labour charges etc.,</v>
      </c>
      <c r="D988" s="852">
        <f>building!C329</f>
        <v>0</v>
      </c>
      <c r="E988" s="853">
        <f>building!D329</f>
        <v>0</v>
      </c>
      <c r="F988" s="852">
        <f t="shared" si="15"/>
        <v>0</v>
      </c>
    </row>
    <row r="989" spans="1:6" ht="70.5" hidden="1" customHeight="1">
      <c r="A989" s="849">
        <f>building!A330</f>
        <v>0</v>
      </c>
      <c r="B989" s="855">
        <f>building!Y330</f>
        <v>78.5</v>
      </c>
      <c r="C989" s="856" t="str">
        <f>building!B330</f>
        <v>B) 3.5 core 35mm sqmm LT UG cable</v>
      </c>
      <c r="D989" s="852">
        <f>building!C330</f>
        <v>314.7</v>
      </c>
      <c r="E989" s="853" t="str">
        <f>building!D330</f>
        <v>Rmt</v>
      </c>
      <c r="F989" s="852">
        <f t="shared" si="15"/>
        <v>24703.95</v>
      </c>
    </row>
    <row r="990" spans="1:6" ht="78.75" customHeight="1">
      <c r="A990" s="849">
        <f>building!A331</f>
        <v>0</v>
      </c>
      <c r="B990" s="850">
        <f>building!Y331</f>
        <v>0</v>
      </c>
      <c r="C990" s="851">
        <f>building!B331</f>
        <v>0</v>
      </c>
      <c r="D990" s="852">
        <f>building!C331</f>
        <v>0</v>
      </c>
      <c r="E990" s="853" t="str">
        <f>building!D331</f>
        <v>PWD SR 2021-22 P.No:124</v>
      </c>
      <c r="F990" s="852"/>
    </row>
    <row r="991" spans="1:6" ht="38.25" customHeight="1">
      <c r="A991" s="849">
        <f>building!A332</f>
        <v>0</v>
      </c>
      <c r="B991" s="855">
        <f>building!Y332</f>
        <v>0</v>
      </c>
      <c r="C991" s="856">
        <f>building!B332</f>
        <v>0</v>
      </c>
      <c r="D991" s="852">
        <f>building!C332</f>
        <v>0</v>
      </c>
      <c r="E991" s="853">
        <f>building!D332</f>
        <v>0</v>
      </c>
      <c r="F991" s="852">
        <f t="shared" si="15"/>
        <v>0</v>
      </c>
    </row>
    <row r="992" spans="1:6" ht="66" customHeight="1">
      <c r="A992" s="849">
        <f>building!A333</f>
        <v>0</v>
      </c>
      <c r="B992" s="850">
        <f>building!Y333</f>
        <v>2</v>
      </c>
      <c r="C992" s="851" t="str">
        <f>building!B333</f>
        <v>Supply and fixing of brass cable gland suitable for 3.5 core 35 Sq.mm with earth strips around the cable termination with crimping of terminals with lugs etc (for Incoming Cable)</v>
      </c>
      <c r="D992" s="852">
        <f>building!C333</f>
        <v>61.1</v>
      </c>
      <c r="E992" s="853" t="str">
        <f>building!D333</f>
        <v>Each</v>
      </c>
      <c r="F992" s="852"/>
    </row>
    <row r="993" spans="1:6" ht="56.25" customHeight="1">
      <c r="A993" s="849">
        <f>building!A334</f>
        <v>0</v>
      </c>
      <c r="B993" s="855">
        <f>building!Y334</f>
        <v>0</v>
      </c>
      <c r="C993" s="856">
        <f>building!B334</f>
        <v>0</v>
      </c>
      <c r="D993" s="852">
        <f>building!C334</f>
        <v>0</v>
      </c>
      <c r="E993" s="853" t="str">
        <f>building!D334</f>
        <v>PWD SR 2021-22 P.No:125</v>
      </c>
      <c r="F993" s="852">
        <f t="shared" si="15"/>
        <v>0</v>
      </c>
    </row>
    <row r="994" spans="1:6" ht="36.75" customHeight="1">
      <c r="A994" s="849">
        <f>building!A335</f>
        <v>0</v>
      </c>
      <c r="B994" s="850">
        <f>building!Y335</f>
        <v>0</v>
      </c>
      <c r="C994" s="851">
        <f>building!B335</f>
        <v>0</v>
      </c>
      <c r="D994" s="852">
        <f>building!C335</f>
        <v>0</v>
      </c>
      <c r="E994" s="853">
        <f>building!D335</f>
        <v>0</v>
      </c>
      <c r="F994" s="852"/>
    </row>
    <row r="995" spans="1:6" ht="45" customHeight="1">
      <c r="A995" s="849">
        <f>building!A336</f>
        <v>0</v>
      </c>
      <c r="B995" s="855">
        <f>building!Y336</f>
        <v>25</v>
      </c>
      <c r="C995" s="856" t="str">
        <f>building!B336</f>
        <v>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v>
      </c>
      <c r="D995" s="852">
        <f>building!C336</f>
        <v>457.07</v>
      </c>
      <c r="E995" s="853" t="str">
        <f>building!D336</f>
        <v>Rmt</v>
      </c>
      <c r="F995" s="852">
        <f t="shared" si="15"/>
        <v>11426.75</v>
      </c>
    </row>
    <row r="996" spans="1:6" ht="38.450000000000003" customHeight="1">
      <c r="A996" s="849">
        <f>building!A337</f>
        <v>0</v>
      </c>
      <c r="B996" s="855">
        <f>building!Y337</f>
        <v>0</v>
      </c>
      <c r="C996" s="856">
        <f>building!B337</f>
        <v>0</v>
      </c>
      <c r="D996" s="852">
        <f>building!C337</f>
        <v>0</v>
      </c>
      <c r="E996" s="853">
        <f>building!D337</f>
        <v>0</v>
      </c>
      <c r="F996" s="852">
        <f t="shared" si="15"/>
        <v>0</v>
      </c>
    </row>
    <row r="997" spans="1:6" ht="64.5" customHeight="1">
      <c r="A997" s="849">
        <f>building!A338</f>
        <v>0</v>
      </c>
      <c r="B997" s="855">
        <f>building!Y338</f>
        <v>70</v>
      </c>
      <c r="C997" s="856" t="str">
        <f>building!B338</f>
        <v>Labour charge for laying of  3.5 core 35 sq.mm approved quality excluding civil works such as providing trench below G.L</v>
      </c>
      <c r="D997" s="852">
        <f>building!C338</f>
        <v>232.06</v>
      </c>
      <c r="E997" s="853" t="str">
        <f>building!D338</f>
        <v>Rmt</v>
      </c>
      <c r="F997" s="852">
        <f t="shared" si="15"/>
        <v>16244.2</v>
      </c>
    </row>
    <row r="998" spans="1:6" ht="85.5" customHeight="1">
      <c r="A998" s="849">
        <f>building!A339</f>
        <v>0</v>
      </c>
      <c r="B998" s="855">
        <f>building!Y339</f>
        <v>0</v>
      </c>
      <c r="C998" s="856">
        <f>building!B339</f>
        <v>0</v>
      </c>
      <c r="D998" s="852">
        <f>building!C339</f>
        <v>0</v>
      </c>
      <c r="E998" s="853">
        <f>building!D339</f>
        <v>0</v>
      </c>
      <c r="F998" s="852">
        <f t="shared" si="15"/>
        <v>0</v>
      </c>
    </row>
    <row r="999" spans="1:6" ht="54.75" customHeight="1">
      <c r="A999" s="849">
        <f>building!A340</f>
        <v>0</v>
      </c>
      <c r="B999" s="855">
        <f>building!Y340</f>
        <v>0</v>
      </c>
      <c r="C999" s="856">
        <f>building!B340</f>
        <v>0</v>
      </c>
      <c r="D999" s="852">
        <f>building!C340</f>
        <v>0</v>
      </c>
      <c r="E999" s="853">
        <f>building!D340</f>
        <v>0</v>
      </c>
      <c r="F999" s="852">
        <f t="shared" si="15"/>
        <v>0</v>
      </c>
    </row>
    <row r="1000" spans="1:6" ht="66.75" customHeight="1">
      <c r="A1000" s="849">
        <f>building!A341</f>
        <v>0</v>
      </c>
      <c r="B1000" s="855">
        <f>building!Y341</f>
        <v>17</v>
      </c>
      <c r="C1000" s="856" t="str">
        <f>building!B341</f>
        <v>Labour charge for laying of  3.5 core 35 sq.mm approved quality excluding fixing vertical wall above ground level</v>
      </c>
      <c r="D1000" s="852">
        <f>building!C341</f>
        <v>2084</v>
      </c>
      <c r="E1000" s="853" t="str">
        <f>building!D341</f>
        <v>Rmt</v>
      </c>
      <c r="F1000" s="852">
        <f t="shared" si="15"/>
        <v>35428</v>
      </c>
    </row>
    <row r="1001" spans="1:6" ht="60" customHeight="1">
      <c r="A1001" s="849">
        <f>building!A342</f>
        <v>0</v>
      </c>
      <c r="B1001" s="855">
        <f>building!Y342</f>
        <v>0</v>
      </c>
      <c r="C1001" s="856">
        <f>building!B342</f>
        <v>0</v>
      </c>
      <c r="D1001" s="852">
        <f>building!C342</f>
        <v>0</v>
      </c>
      <c r="E1001" s="853">
        <f>building!D342</f>
        <v>0</v>
      </c>
      <c r="F1001" s="852">
        <f t="shared" si="15"/>
        <v>0</v>
      </c>
    </row>
    <row r="1002" spans="1:6" ht="45" customHeight="1">
      <c r="A1002" s="849">
        <f>building!A343</f>
        <v>0</v>
      </c>
      <c r="B1002" s="850">
        <f>building!Y343</f>
        <v>0</v>
      </c>
      <c r="C1002" s="851">
        <f>building!B343</f>
        <v>0</v>
      </c>
      <c r="D1002" s="852">
        <f>building!C343</f>
        <v>0</v>
      </c>
      <c r="E1002" s="853">
        <f>building!D343</f>
        <v>0</v>
      </c>
      <c r="F1002" s="852"/>
    </row>
    <row r="1003" spans="1:6" ht="45" hidden="1" customHeight="1">
      <c r="A1003" s="849">
        <f>building!A344</f>
        <v>0</v>
      </c>
      <c r="B1003" s="855">
        <f>building!Y344</f>
        <v>76</v>
      </c>
      <c r="C1003" s="856" t="str">
        <f>building!B344</f>
        <v>Supplying and fixing of 50mm dia G.I pipe of approved brand with ISI mark</v>
      </c>
      <c r="D1003" s="852">
        <f>building!C344</f>
        <v>209</v>
      </c>
      <c r="E1003" s="853" t="str">
        <f>building!D344</f>
        <v>Rmt</v>
      </c>
      <c r="F1003" s="852">
        <f t="shared" si="15"/>
        <v>15884</v>
      </c>
    </row>
    <row r="1004" spans="1:6" ht="45" customHeight="1">
      <c r="A1004" s="849">
        <f>building!A345</f>
        <v>0</v>
      </c>
      <c r="B1004" s="855">
        <f>building!Y345</f>
        <v>0</v>
      </c>
      <c r="C1004" s="856">
        <f>building!B345</f>
        <v>0</v>
      </c>
      <c r="D1004" s="852">
        <f>building!C345</f>
        <v>0</v>
      </c>
      <c r="E1004" s="853" t="str">
        <f>building!D345</f>
        <v>PWD SR 2020-21 P.No: 51</v>
      </c>
      <c r="F1004" s="852">
        <f t="shared" si="15"/>
        <v>0</v>
      </c>
    </row>
    <row r="1005" spans="1:6" ht="45" customHeight="1">
      <c r="A1005" s="849">
        <f>building!A346</f>
        <v>0</v>
      </c>
      <c r="B1005" s="855">
        <f>building!Y346</f>
        <v>0</v>
      </c>
      <c r="C1005" s="856">
        <f>building!B346</f>
        <v>0</v>
      </c>
      <c r="D1005" s="852">
        <f>building!C346</f>
        <v>0</v>
      </c>
      <c r="E1005" s="853">
        <f>building!D346</f>
        <v>0</v>
      </c>
      <c r="F1005" s="852">
        <f t="shared" si="15"/>
        <v>0</v>
      </c>
    </row>
    <row r="1006" spans="1:6" ht="45" hidden="1" customHeight="1">
      <c r="A1006" s="849">
        <f>building!A347</f>
        <v>0</v>
      </c>
      <c r="B1006" s="855">
        <f>building!Y347</f>
        <v>0</v>
      </c>
      <c r="C1006" s="856" t="str">
        <f>building!B347</f>
        <v>Supplying and delivery of GI specials of approved brand confirming to IS specification</v>
      </c>
      <c r="D1006" s="852">
        <f>building!C347</f>
        <v>0</v>
      </c>
      <c r="E1006" s="853" t="str">
        <f>building!D347</f>
        <v>TWAD 20-21</v>
      </c>
      <c r="F1006" s="852">
        <f t="shared" si="15"/>
        <v>0</v>
      </c>
    </row>
    <row r="1007" spans="1:6" ht="45" hidden="1" customHeight="1">
      <c r="A1007" s="849">
        <f>building!A348</f>
        <v>0</v>
      </c>
      <c r="B1007" s="855">
        <f>building!Y348</f>
        <v>10</v>
      </c>
      <c r="C1007" s="856" t="str">
        <f>building!B348</f>
        <v xml:space="preserve">e. 50mm dia Bend </v>
      </c>
      <c r="D1007" s="852">
        <f>building!C348</f>
        <v>116.3</v>
      </c>
      <c r="E1007" s="853" t="str">
        <f>building!D348</f>
        <v>Each</v>
      </c>
      <c r="F1007" s="852">
        <f t="shared" si="15"/>
        <v>1163</v>
      </c>
    </row>
    <row r="1008" spans="1:6" ht="45" customHeight="1">
      <c r="A1008" s="849">
        <f>building!A349</f>
        <v>0</v>
      </c>
      <c r="B1008" s="855">
        <f>building!Y349</f>
        <v>20</v>
      </c>
      <c r="C1008" s="856" t="str">
        <f>building!B349</f>
        <v>f. 50mm dia Coupling</v>
      </c>
      <c r="D1008" s="852">
        <f>building!C349</f>
        <v>69.8</v>
      </c>
      <c r="E1008" s="853" t="str">
        <f>building!D349</f>
        <v>Each</v>
      </c>
      <c r="F1008" s="852">
        <f t="shared" si="15"/>
        <v>1396</v>
      </c>
    </row>
    <row r="1009" spans="1:6" ht="45" customHeight="1">
      <c r="A1009" s="849">
        <f>building!A350</f>
        <v>0</v>
      </c>
      <c r="B1009" s="855">
        <f>building!Y350</f>
        <v>0</v>
      </c>
      <c r="C1009" s="856">
        <f>building!B350</f>
        <v>0</v>
      </c>
      <c r="D1009" s="852">
        <f>building!C350</f>
        <v>0</v>
      </c>
      <c r="E1009" s="853">
        <f>building!D350</f>
        <v>0</v>
      </c>
      <c r="F1009" s="852">
        <f t="shared" si="15"/>
        <v>0</v>
      </c>
    </row>
    <row r="1010" spans="1:6" ht="45" customHeight="1">
      <c r="A1010" s="849">
        <f>building!A351</f>
        <v>0</v>
      </c>
      <c r="B1010" s="855">
        <f>building!Y351</f>
        <v>3</v>
      </c>
      <c r="C1010" s="856" t="str">
        <f>building!B351</f>
        <v>Supplying and fixing of three phase DB box hylin sheet steel encloser with detabased gland plates for flush/surface mounting with bus bar neutral lines and earth bus bar ( without Mcb's ) etc.,</v>
      </c>
      <c r="D1010" s="852">
        <f>building!C351</f>
        <v>3590</v>
      </c>
      <c r="E1010" s="853" t="str">
        <f>building!D351</f>
        <v>Each/ SOR 21-22 P.119</v>
      </c>
      <c r="F1010" s="852">
        <f t="shared" si="15"/>
        <v>10770</v>
      </c>
    </row>
    <row r="1011" spans="1:6" ht="45" customHeight="1">
      <c r="A1011" s="849">
        <f>building!A352</f>
        <v>0</v>
      </c>
      <c r="B1011" s="855">
        <f>building!Y352</f>
        <v>0</v>
      </c>
      <c r="C1011" s="856">
        <f>building!B352</f>
        <v>0</v>
      </c>
      <c r="D1011" s="852">
        <f>building!C352</f>
        <v>0</v>
      </c>
      <c r="E1011" s="853">
        <f>building!D352</f>
        <v>0</v>
      </c>
      <c r="F1011" s="852">
        <f t="shared" si="15"/>
        <v>0</v>
      </c>
    </row>
    <row r="1012" spans="1:6" ht="75.75" customHeight="1">
      <c r="A1012" s="849">
        <f>building!A353</f>
        <v>0</v>
      </c>
      <c r="B1012" s="855">
        <f>building!Y353</f>
        <v>0</v>
      </c>
      <c r="C1012" s="856" t="str">
        <f>building!B353</f>
        <v>Supplying and Fixing of Power shell double door TPN sheet enclosers</v>
      </c>
      <c r="D1012" s="852">
        <f>building!C353</f>
        <v>3590</v>
      </c>
      <c r="E1012" s="853" t="str">
        <f>building!D353</f>
        <v>Each</v>
      </c>
      <c r="F1012" s="852">
        <f t="shared" si="15"/>
        <v>0</v>
      </c>
    </row>
    <row r="1013" spans="1:6" ht="66" customHeight="1">
      <c r="A1013" s="849">
        <f>building!A354</f>
        <v>0</v>
      </c>
      <c r="B1013" s="855">
        <f>building!Y354</f>
        <v>0</v>
      </c>
      <c r="C1013" s="856">
        <f>building!B354</f>
        <v>0</v>
      </c>
      <c r="D1013" s="852">
        <f>building!C354</f>
        <v>0</v>
      </c>
      <c r="E1013" s="853">
        <f>building!D354</f>
        <v>0</v>
      </c>
      <c r="F1013" s="852">
        <f t="shared" si="15"/>
        <v>0</v>
      </c>
    </row>
    <row r="1014" spans="1:6" ht="45" hidden="1" customHeight="1">
      <c r="A1014" s="849">
        <f>building!A355</f>
        <v>0</v>
      </c>
      <c r="B1014" s="855">
        <f>building!Y355</f>
        <v>3</v>
      </c>
      <c r="C1014" s="856" t="str">
        <f>building!B355</f>
        <v>Supplying and fixing of  4 pole 40 amps 30ml ELCB etc.,</v>
      </c>
      <c r="D1014" s="852">
        <f>building!C355</f>
        <v>2745</v>
      </c>
      <c r="E1014" s="853" t="str">
        <f>building!D355</f>
        <v>Each</v>
      </c>
      <c r="F1014" s="852">
        <f t="shared" si="15"/>
        <v>8235</v>
      </c>
    </row>
    <row r="1015" spans="1:6" ht="45" hidden="1" customHeight="1">
      <c r="A1015" s="849">
        <f>building!A356</f>
        <v>0</v>
      </c>
      <c r="B1015" s="855">
        <f>building!Y356</f>
        <v>0</v>
      </c>
      <c r="C1015" s="856">
        <f>building!B356</f>
        <v>0</v>
      </c>
      <c r="D1015" s="852">
        <f>building!C356</f>
        <v>0</v>
      </c>
      <c r="E1015" s="853">
        <f>building!D356</f>
        <v>0</v>
      </c>
      <c r="F1015" s="852">
        <f t="shared" si="15"/>
        <v>0</v>
      </c>
    </row>
    <row r="1016" spans="1:6" ht="45" customHeight="1">
      <c r="A1016" s="849">
        <f>building!A357</f>
        <v>0</v>
      </c>
      <c r="B1016" s="850">
        <f>building!Y357</f>
        <v>18</v>
      </c>
      <c r="C1016" s="851" t="str">
        <f>building!B357</f>
        <v>Supplying and fixing of single pole to 32 A 10 KA MCB's etc.,</v>
      </c>
      <c r="D1016" s="852">
        <f>building!C357</f>
        <v>374</v>
      </c>
      <c r="E1016" s="853" t="str">
        <f>building!D357</f>
        <v>Each</v>
      </c>
      <c r="F1016" s="852"/>
    </row>
    <row r="1017" spans="1:6" ht="45" customHeight="1">
      <c r="A1017" s="849">
        <f>building!A358</f>
        <v>0</v>
      </c>
      <c r="B1017" s="855">
        <f>building!Y358</f>
        <v>0</v>
      </c>
      <c r="C1017" s="856">
        <f>building!B358</f>
        <v>0</v>
      </c>
      <c r="D1017" s="852">
        <f>building!C358</f>
        <v>0</v>
      </c>
      <c r="E1017" s="853">
        <f>building!D358</f>
        <v>0</v>
      </c>
      <c r="F1017" s="852">
        <f t="shared" si="15"/>
        <v>0</v>
      </c>
    </row>
    <row r="1018" spans="1:6" ht="45" customHeight="1">
      <c r="A1018" s="849">
        <f>building!A359</f>
        <v>0</v>
      </c>
      <c r="B1018" s="855">
        <f>building!Y359</f>
        <v>1</v>
      </c>
      <c r="C1018" s="856" t="str">
        <f>building!B359</f>
        <v>Supplying and fixing of 32 AMPS Triple pole main switch</v>
      </c>
      <c r="D1018" s="852">
        <f>building!C359</f>
        <v>2083.67</v>
      </c>
      <c r="E1018" s="853" t="str">
        <f>building!D359</f>
        <v>Each</v>
      </c>
      <c r="F1018" s="852">
        <f t="shared" si="15"/>
        <v>2083.67</v>
      </c>
    </row>
    <row r="1019" spans="1:6" ht="45" customHeight="1">
      <c r="A1019" s="849">
        <f>building!A360</f>
        <v>0</v>
      </c>
      <c r="B1019" s="855">
        <f>building!Y360</f>
        <v>0</v>
      </c>
      <c r="C1019" s="856">
        <f>building!B360</f>
        <v>0</v>
      </c>
      <c r="D1019" s="852">
        <f>building!C360</f>
        <v>0</v>
      </c>
      <c r="E1019" s="853">
        <f>building!D360</f>
        <v>0</v>
      </c>
      <c r="F1019" s="852">
        <f t="shared" si="15"/>
        <v>0</v>
      </c>
    </row>
    <row r="1020" spans="1:6" ht="45" customHeight="1">
      <c r="A1020" s="849">
        <f>building!A361</f>
        <v>0</v>
      </c>
      <c r="B1020" s="855">
        <f>building!Y361</f>
        <v>3</v>
      </c>
      <c r="C1020" s="856" t="str">
        <f>building!B361</f>
        <v>Supplying and fixing of rotary switch  etc.,</v>
      </c>
      <c r="D1020" s="852">
        <f>building!C361</f>
        <v>885</v>
      </c>
      <c r="E1020" s="853" t="str">
        <f>building!D361</f>
        <v>Each/ SOR 21-22 P.134</v>
      </c>
      <c r="F1020" s="852">
        <f t="shared" si="15"/>
        <v>2655</v>
      </c>
    </row>
    <row r="1021" spans="1:6" ht="45" customHeight="1">
      <c r="A1021" s="849" t="e">
        <f>building!#REF!</f>
        <v>#REF!</v>
      </c>
      <c r="B1021" s="855" t="e">
        <f>building!#REF!</f>
        <v>#REF!</v>
      </c>
      <c r="C1021" s="856" t="e">
        <f>building!#REF!</f>
        <v>#REF!</v>
      </c>
      <c r="D1021" s="852" t="e">
        <f>building!#REF!</f>
        <v>#REF!</v>
      </c>
      <c r="E1021" s="853" t="e">
        <f>building!#REF!</f>
        <v>#REF!</v>
      </c>
      <c r="F1021" s="852" t="e">
        <f t="shared" si="15"/>
        <v>#REF!</v>
      </c>
    </row>
    <row r="1022" spans="1:6" ht="45" customHeight="1">
      <c r="A1022" s="849" t="e">
        <f>building!#REF!</f>
        <v>#REF!</v>
      </c>
      <c r="B1022" s="855" t="e">
        <f>building!#REF!</f>
        <v>#REF!</v>
      </c>
      <c r="C1022" s="856" t="e">
        <f>building!#REF!</f>
        <v>#REF!</v>
      </c>
      <c r="D1022" s="852" t="e">
        <f>building!#REF!</f>
        <v>#REF!</v>
      </c>
      <c r="E1022" s="853" t="e">
        <f>building!#REF!</f>
        <v>#REF!</v>
      </c>
      <c r="F1022" s="852" t="e">
        <f t="shared" si="15"/>
        <v>#REF!</v>
      </c>
    </row>
    <row r="1023" spans="1:6" ht="45" hidden="1" customHeight="1">
      <c r="A1023" s="849" t="e">
        <f>building!#REF!</f>
        <v>#REF!</v>
      </c>
      <c r="B1023" s="855" t="e">
        <f>building!#REF!</f>
        <v>#REF!</v>
      </c>
      <c r="C1023" s="856" t="e">
        <f>building!#REF!</f>
        <v>#REF!</v>
      </c>
      <c r="D1023" s="852" t="e">
        <f>building!#REF!</f>
        <v>#REF!</v>
      </c>
      <c r="E1023" s="853" t="e">
        <f>building!#REF!</f>
        <v>#REF!</v>
      </c>
      <c r="F1023" s="852" t="e">
        <f t="shared" si="15"/>
        <v>#REF!</v>
      </c>
    </row>
    <row r="1024" spans="1:6" ht="45" hidden="1" customHeight="1">
      <c r="A1024" s="849" t="e">
        <f>building!#REF!</f>
        <v>#REF!</v>
      </c>
      <c r="B1024" s="855" t="e">
        <f>building!#REF!</f>
        <v>#REF!</v>
      </c>
      <c r="C1024" s="856" t="e">
        <f>building!#REF!</f>
        <v>#REF!</v>
      </c>
      <c r="D1024" s="852" t="e">
        <f>building!#REF!</f>
        <v>#REF!</v>
      </c>
      <c r="E1024" s="853" t="e">
        <f>building!#REF!</f>
        <v>#REF!</v>
      </c>
      <c r="F1024" s="852" t="e">
        <f t="shared" si="15"/>
        <v>#REF!</v>
      </c>
    </row>
    <row r="1025" spans="1:6" ht="45" hidden="1" customHeight="1">
      <c r="A1025" s="849" t="e">
        <f>building!#REF!</f>
        <v>#REF!</v>
      </c>
      <c r="B1025" s="855" t="e">
        <f>building!#REF!</f>
        <v>#REF!</v>
      </c>
      <c r="C1025" s="856" t="e">
        <f>building!#REF!</f>
        <v>#REF!</v>
      </c>
      <c r="D1025" s="852" t="e">
        <f>building!#REF!</f>
        <v>#REF!</v>
      </c>
      <c r="E1025" s="853" t="e">
        <f>building!#REF!</f>
        <v>#REF!</v>
      </c>
      <c r="F1025" s="852" t="e">
        <f t="shared" si="15"/>
        <v>#REF!</v>
      </c>
    </row>
    <row r="1026" spans="1:6" ht="45" customHeight="1">
      <c r="A1026" s="849">
        <f>building!A362</f>
        <v>0</v>
      </c>
      <c r="B1026" s="850" t="str">
        <f>building!Y362</f>
        <v>*</v>
      </c>
      <c r="C1026" s="851" t="str">
        <f>building!B362</f>
        <v>Total</v>
      </c>
      <c r="D1026" s="852">
        <f>building!C362</f>
        <v>0</v>
      </c>
      <c r="E1026" s="853">
        <f>building!D362</f>
        <v>0</v>
      </c>
      <c r="F1026" s="857" t="e">
        <f>SUM(F7:F1023)</f>
        <v>#REF!</v>
      </c>
    </row>
    <row r="1027" spans="1:6" ht="45" hidden="1" customHeight="1">
      <c r="A1027" s="849">
        <f>building!A363</f>
        <v>0</v>
      </c>
      <c r="B1027" s="855" t="e">
        <f>building!Y363</f>
        <v>#REF!</v>
      </c>
      <c r="C1027" s="856">
        <f>building!B363</f>
        <v>0</v>
      </c>
      <c r="D1027" s="852">
        <f>building!C363</f>
        <v>0</v>
      </c>
      <c r="E1027" s="853">
        <f>building!D363</f>
        <v>0</v>
      </c>
      <c r="F1027" s="852" t="e">
        <f t="shared" si="15"/>
        <v>#REF!</v>
      </c>
    </row>
    <row r="1028" spans="1:6" ht="45" hidden="1" customHeight="1">
      <c r="A1028" s="849">
        <f>building!A364</f>
        <v>0</v>
      </c>
      <c r="B1028" s="855" t="e">
        <f>building!Y364</f>
        <v>#REF!</v>
      </c>
      <c r="C1028" s="856" t="str">
        <f>building!B364</f>
        <v>MS door of Size 1000 x 2100mm</v>
      </c>
      <c r="D1028" s="852">
        <f>building!C364</f>
        <v>0</v>
      </c>
      <c r="E1028" s="853" t="str">
        <f>building!D364</f>
        <v>Each</v>
      </c>
      <c r="F1028" s="852" t="e">
        <f t="shared" si="15"/>
        <v>#REF!</v>
      </c>
    </row>
    <row r="1029" spans="1:6" ht="45" hidden="1" customHeight="1">
      <c r="A1029" s="849">
        <f>building!A365</f>
        <v>0</v>
      </c>
      <c r="B1029" s="855" t="e">
        <f>building!Y365</f>
        <v>#REF!</v>
      </c>
      <c r="C1029" s="856" t="str">
        <f>building!B365</f>
        <v>MS door of Size 750 x 1350mm</v>
      </c>
      <c r="D1029" s="852">
        <f>building!C365</f>
        <v>0</v>
      </c>
      <c r="E1029" s="853" t="str">
        <f>building!D365</f>
        <v>Each</v>
      </c>
      <c r="F1029" s="852" t="e">
        <f t="shared" si="15"/>
        <v>#REF!</v>
      </c>
    </row>
    <row r="1030" spans="1:6" ht="45" hidden="1" customHeight="1">
      <c r="A1030" s="849">
        <f>building!A366</f>
        <v>0</v>
      </c>
      <c r="B1030" s="855" t="e">
        <f>building!Y366</f>
        <v>#REF!</v>
      </c>
      <c r="C1030" s="856" t="str">
        <f>building!B366</f>
        <v>MS Ventilator of Size 900 x 600mm</v>
      </c>
      <c r="D1030" s="852">
        <f>building!C366</f>
        <v>4366.33</v>
      </c>
      <c r="E1030" s="853" t="str">
        <f>building!D366</f>
        <v>Sqm</v>
      </c>
      <c r="F1030" s="852" t="e">
        <f t="shared" si="15"/>
        <v>#REF!</v>
      </c>
    </row>
    <row r="1031" spans="1:6" ht="45" hidden="1" customHeight="1">
      <c r="A1031" s="849">
        <f>building!A367</f>
        <v>0</v>
      </c>
      <c r="B1031" s="855" t="e">
        <f>building!Y367</f>
        <v>#REF!</v>
      </c>
      <c r="C1031" s="856" t="str">
        <f>building!B367</f>
        <v>MS Ventilator of Size 600 x 600mm</v>
      </c>
      <c r="D1031" s="852">
        <f>building!C367</f>
        <v>4626.8100000000004</v>
      </c>
      <c r="E1031" s="853" t="str">
        <f>building!D367</f>
        <v>Sqm</v>
      </c>
      <c r="F1031" s="852" t="e">
        <f t="shared" si="15"/>
        <v>#REF!</v>
      </c>
    </row>
    <row r="1032" spans="1:6" ht="45" hidden="1" customHeight="1">
      <c r="A1032" s="849">
        <f>building!A368</f>
        <v>0</v>
      </c>
      <c r="B1032" s="855" t="e">
        <f>building!Y368</f>
        <v>#REF!</v>
      </c>
      <c r="C1032" s="856" t="str">
        <f>building!B368</f>
        <v>MS Ventilator of Size 1285 x 600mm</v>
      </c>
      <c r="D1032" s="852">
        <f>building!C368</f>
        <v>3984.57</v>
      </c>
      <c r="E1032" s="853" t="str">
        <f>building!D368</f>
        <v>Sqm</v>
      </c>
      <c r="F1032" s="852" t="e">
        <f t="shared" ref="F1032:F1066" si="16">D1032*B1032</f>
        <v>#REF!</v>
      </c>
    </row>
    <row r="1033" spans="1:6" ht="45" hidden="1" customHeight="1">
      <c r="A1033" s="849">
        <f>building!A369</f>
        <v>0</v>
      </c>
      <c r="B1033" s="855" t="e">
        <f>building!Y369</f>
        <v>#REF!</v>
      </c>
      <c r="C1033" s="856" t="str">
        <f>building!B369</f>
        <v>MS Ventilator of Size 1350 x 600mm</v>
      </c>
      <c r="D1033" s="852">
        <f>building!C369</f>
        <v>0</v>
      </c>
      <c r="E1033" s="853" t="str">
        <f>building!D369</f>
        <v>Sqm</v>
      </c>
      <c r="F1033" s="852" t="e">
        <f t="shared" si="16"/>
        <v>#REF!</v>
      </c>
    </row>
    <row r="1034" spans="1:6" ht="45" hidden="1" customHeight="1">
      <c r="A1034" s="849">
        <f>building!A370</f>
        <v>0</v>
      </c>
      <c r="B1034" s="855" t="e">
        <f>building!Y370</f>
        <v>#REF!</v>
      </c>
      <c r="C1034" s="856" t="str">
        <f>building!B370</f>
        <v>TW double leaves shutter of size 1800 x 2100mm</v>
      </c>
      <c r="D1034" s="852">
        <f>building!C370</f>
        <v>0</v>
      </c>
      <c r="E1034" s="853" t="str">
        <f>building!D370</f>
        <v>Sqm</v>
      </c>
      <c r="F1034" s="852" t="e">
        <f t="shared" si="16"/>
        <v>#REF!</v>
      </c>
    </row>
    <row r="1035" spans="1:6" ht="45" hidden="1" customHeight="1">
      <c r="A1035" s="849">
        <f>building!A371</f>
        <v>0</v>
      </c>
      <c r="B1035" s="855" t="e">
        <f>building!Y371</f>
        <v>#REF!</v>
      </c>
      <c r="C1035" s="856" t="str">
        <f>building!B371</f>
        <v>Ornamental TW double leaves panelled shutter of size 1800 x 2100mm</v>
      </c>
      <c r="D1035" s="852">
        <f>building!C371</f>
        <v>0</v>
      </c>
      <c r="E1035" s="853" t="str">
        <f>building!D371</f>
        <v>Sqm</v>
      </c>
      <c r="F1035" s="852" t="e">
        <f t="shared" si="16"/>
        <v>#REF!</v>
      </c>
    </row>
    <row r="1036" spans="1:6" ht="45" hidden="1" customHeight="1">
      <c r="A1036" s="849">
        <f>building!A372</f>
        <v>0</v>
      </c>
      <c r="B1036" s="855" t="e">
        <f>building!Y372</f>
        <v>#REF!</v>
      </c>
      <c r="C1036" s="856" t="str">
        <f>building!B372</f>
        <v>Ornamental TW double leaves panelled shutter of size 1800 x 2400mm</v>
      </c>
      <c r="D1036" s="852">
        <f>building!C372</f>
        <v>0</v>
      </c>
      <c r="E1036" s="853" t="str">
        <f>building!D372</f>
        <v>Sqm</v>
      </c>
      <c r="F1036" s="852" t="e">
        <f t="shared" si="16"/>
        <v>#REF!</v>
      </c>
    </row>
    <row r="1037" spans="1:6" ht="45" hidden="1" customHeight="1">
      <c r="A1037" s="849">
        <f>building!A373</f>
        <v>0</v>
      </c>
      <c r="B1037" s="855" t="e">
        <f>building!Y373</f>
        <v>#REF!</v>
      </c>
      <c r="C1037" s="856" t="str">
        <f>building!B373</f>
        <v>1500 liters capacity of HDPE Water Tank</v>
      </c>
      <c r="D1037" s="852">
        <f>building!C373</f>
        <v>12300</v>
      </c>
      <c r="E1037" s="853" t="str">
        <f>building!D373</f>
        <v>Each</v>
      </c>
      <c r="F1037" s="852" t="e">
        <f t="shared" si="16"/>
        <v>#REF!</v>
      </c>
    </row>
    <row r="1038" spans="1:6" ht="45" hidden="1" customHeight="1">
      <c r="A1038" s="849">
        <f>building!A374</f>
        <v>0</v>
      </c>
      <c r="B1038" s="855" t="e">
        <f>building!Y374</f>
        <v>#REF!</v>
      </c>
      <c r="C1038" s="856" t="str">
        <f>building!B374</f>
        <v>Providing shahabad stone flooring</v>
      </c>
      <c r="D1038" s="852">
        <f>building!C374</f>
        <v>1331.17</v>
      </c>
      <c r="E1038" s="853" t="str">
        <f>building!D374</f>
        <v>Sqm</v>
      </c>
      <c r="F1038" s="852" t="e">
        <f t="shared" si="16"/>
        <v>#REF!</v>
      </c>
    </row>
    <row r="1039" spans="1:6" ht="45" hidden="1" customHeight="1">
      <c r="A1039" s="849">
        <f>building!A375</f>
        <v>0</v>
      </c>
      <c r="B1039" s="855" t="e">
        <f>building!Y375</f>
        <v>#REF!</v>
      </c>
      <c r="C1039" s="856" t="str">
        <f>building!B375</f>
        <v xml:space="preserve">Eurocon Tiles flooring </v>
      </c>
      <c r="D1039" s="852">
        <f>building!C375</f>
        <v>1352.57</v>
      </c>
      <c r="E1039" s="853" t="str">
        <f>building!D375</f>
        <v>Sqm</v>
      </c>
      <c r="F1039" s="852" t="e">
        <f t="shared" si="16"/>
        <v>#REF!</v>
      </c>
    </row>
    <row r="1040" spans="1:6" ht="45" hidden="1" customHeight="1">
      <c r="A1040" s="849">
        <f>building!A376</f>
        <v>0</v>
      </c>
      <c r="B1040" s="855" t="e">
        <f>building!Y376</f>
        <v>#REF!</v>
      </c>
      <c r="C1040" s="856" t="str">
        <f>building!B376</f>
        <v xml:space="preserve">Vetrified Tiles flooring </v>
      </c>
      <c r="D1040" s="852">
        <f>building!C376</f>
        <v>1147.69</v>
      </c>
      <c r="E1040" s="853" t="str">
        <f>building!D376</f>
        <v>Sqm</v>
      </c>
      <c r="F1040" s="852" t="e">
        <f t="shared" si="16"/>
        <v>#REF!</v>
      </c>
    </row>
    <row r="1041" spans="1:6" ht="45" hidden="1" customHeight="1">
      <c r="A1041" s="849">
        <f>building!A377</f>
        <v>0</v>
      </c>
      <c r="B1041" s="855" t="e">
        <f>building!Y377</f>
        <v>#REF!</v>
      </c>
      <c r="C1041" s="856" t="str">
        <f>building!B377</f>
        <v xml:space="preserve">kota stone  flooring </v>
      </c>
      <c r="D1041" s="852">
        <f>building!C377</f>
        <v>1504.42</v>
      </c>
      <c r="E1041" s="853" t="str">
        <f>building!D377</f>
        <v>Sqm</v>
      </c>
      <c r="F1041" s="852" t="e">
        <f t="shared" si="16"/>
        <v>#REF!</v>
      </c>
    </row>
    <row r="1042" spans="1:6" ht="45" hidden="1" customHeight="1">
      <c r="A1042" s="849">
        <f>building!A378</f>
        <v>0</v>
      </c>
      <c r="B1042" s="855" t="e">
        <f>building!Y378</f>
        <v>#REF!</v>
      </c>
      <c r="C1042" s="856" t="str">
        <f>building!B378</f>
        <v xml:space="preserve">Granite Tiles flooring </v>
      </c>
      <c r="D1042" s="852">
        <f>building!C378</f>
        <v>1489.39</v>
      </c>
      <c r="E1042" s="853" t="str">
        <f>building!D378</f>
        <v>Sqm</v>
      </c>
      <c r="F1042" s="852" t="e">
        <f t="shared" si="16"/>
        <v>#REF!</v>
      </c>
    </row>
    <row r="1043" spans="1:6" ht="45" hidden="1" customHeight="1">
      <c r="A1043" s="849">
        <f>building!A379</f>
        <v>0</v>
      </c>
      <c r="B1043" s="855" t="e">
        <f>building!Y379</f>
        <v>#REF!</v>
      </c>
      <c r="C1043" s="856" t="str">
        <f>building!B379</f>
        <v>Plastering with ccccm 1:3, 12mm mixed with WPC</v>
      </c>
      <c r="D1043" s="852">
        <f>building!C379</f>
        <v>243.04</v>
      </c>
      <c r="E1043" s="853" t="str">
        <f>building!D379</f>
        <v>Sqm</v>
      </c>
      <c r="F1043" s="852" t="e">
        <f t="shared" si="16"/>
        <v>#REF!</v>
      </c>
    </row>
    <row r="1044" spans="1:6" ht="45" hidden="1" customHeight="1">
      <c r="A1044" s="849">
        <f>building!A380</f>
        <v>0</v>
      </c>
      <c r="B1044" s="855" t="e">
        <f>building!Y380</f>
        <v>#REF!</v>
      </c>
      <c r="C1044" s="856" t="str">
        <f>building!B380</f>
        <v>HDPE water tank 5000 lit capacity</v>
      </c>
      <c r="D1044" s="852">
        <f>building!C380</f>
        <v>41000</v>
      </c>
      <c r="E1044" s="853" t="str">
        <f>building!D380</f>
        <v>Each</v>
      </c>
      <c r="F1044" s="852" t="e">
        <f t="shared" si="16"/>
        <v>#REF!</v>
      </c>
    </row>
    <row r="1045" spans="1:6" ht="45" hidden="1" customHeight="1">
      <c r="A1045" s="849">
        <f>building!A381</f>
        <v>0</v>
      </c>
      <c r="B1045" s="855" t="e">
        <f>building!Y381</f>
        <v>#REF!</v>
      </c>
      <c r="C1045" s="856" t="str">
        <f>building!B381</f>
        <v>T.W DOOR SHUTTER TWO LEAVES(1200 X 2100 mm ) with Brass Fittings</v>
      </c>
      <c r="D1045" s="852">
        <f>building!C381</f>
        <v>6199.77</v>
      </c>
      <c r="E1045" s="853" t="str">
        <f>building!D381</f>
        <v>Sqm</v>
      </c>
      <c r="F1045" s="852" t="e">
        <f t="shared" si="16"/>
        <v>#REF!</v>
      </c>
    </row>
    <row r="1046" spans="1:6" ht="45" hidden="1" customHeight="1">
      <c r="A1046" s="849">
        <f>building!A382</f>
        <v>0</v>
      </c>
      <c r="B1046" s="855" t="e">
        <f>building!Y382</f>
        <v>#REF!</v>
      </c>
      <c r="C1046" s="856" t="str">
        <f>building!B382</f>
        <v>TW Panelled Door 1500 X 2100MM (Double leaves)</v>
      </c>
      <c r="D1046" s="852">
        <f>building!C382</f>
        <v>5040.1899999999996</v>
      </c>
      <c r="E1046" s="853" t="str">
        <f>building!D382</f>
        <v>Sqm</v>
      </c>
      <c r="F1046" s="852" t="e">
        <f t="shared" si="16"/>
        <v>#REF!</v>
      </c>
    </row>
    <row r="1047" spans="1:6" ht="45" hidden="1" customHeight="1">
      <c r="A1047" s="849">
        <f>building!A383</f>
        <v>0</v>
      </c>
      <c r="B1047" s="855" t="e">
        <f>building!Y383</f>
        <v>#REF!</v>
      </c>
      <c r="C1047" s="856" t="str">
        <f>building!B383</f>
        <v>TW Panelled Door 1500 X 2400MM (Double leaves)</v>
      </c>
      <c r="D1047" s="852">
        <f>building!C383</f>
        <v>6182.41</v>
      </c>
      <c r="E1047" s="853" t="str">
        <f>building!D383</f>
        <v>Sqm</v>
      </c>
      <c r="F1047" s="852" t="e">
        <f t="shared" si="16"/>
        <v>#REF!</v>
      </c>
    </row>
    <row r="1048" spans="1:6" ht="45" hidden="1" customHeight="1">
      <c r="A1048" s="849">
        <f>building!A384</f>
        <v>0</v>
      </c>
      <c r="B1048" s="855" t="e">
        <f>building!Y384</f>
        <v>#REF!</v>
      </c>
      <c r="C1048" s="856" t="str">
        <f>building!B384</f>
        <v>TW Panelled Door 1200 X 2400MM (Double leaves)</v>
      </c>
      <c r="D1048" s="852">
        <f>building!C384</f>
        <v>6164.11</v>
      </c>
      <c r="E1048" s="853" t="str">
        <f>building!D384</f>
        <v>Sqm</v>
      </c>
      <c r="F1048" s="852" t="e">
        <f t="shared" si="16"/>
        <v>#REF!</v>
      </c>
    </row>
    <row r="1049" spans="1:6" ht="45" hidden="1" customHeight="1">
      <c r="A1049" s="849">
        <f>building!A385</f>
        <v>0</v>
      </c>
      <c r="B1049" s="855" t="e">
        <f>building!Y385</f>
        <v>#REF!</v>
      </c>
      <c r="C1049" s="856" t="str">
        <f>building!B385</f>
        <v>TW Panelled Door 1800 X 2400MM (Double leaves)</v>
      </c>
      <c r="D1049" s="852">
        <f>building!C385</f>
        <v>4845.1099999999997</v>
      </c>
      <c r="E1049" s="853" t="str">
        <f>building!D385</f>
        <v>Sqm</v>
      </c>
      <c r="F1049" s="852" t="e">
        <f t="shared" si="16"/>
        <v>#REF!</v>
      </c>
    </row>
    <row r="1050" spans="1:6" ht="45" hidden="1" customHeight="1">
      <c r="A1050" s="849">
        <f>building!A386</f>
        <v>0</v>
      </c>
      <c r="B1050" s="855" t="e">
        <f>building!Y386</f>
        <v>#REF!</v>
      </c>
      <c r="C1050" s="856" t="str">
        <f>building!B386</f>
        <v>Partly glazed and partly BWR panelled door shutter (Double leaves) with brass screws.
a. 1500x2400mm</v>
      </c>
      <c r="D1050" s="852">
        <f>building!C386</f>
        <v>4942.12</v>
      </c>
      <c r="E1050" s="853" t="str">
        <f>building!D386</f>
        <v>Sqm</v>
      </c>
      <c r="F1050" s="852" t="e">
        <f t="shared" si="16"/>
        <v>#REF!</v>
      </c>
    </row>
    <row r="1051" spans="1:6" ht="45" hidden="1" customHeight="1">
      <c r="A1051" s="849">
        <f>building!A387</f>
        <v>0</v>
      </c>
      <c r="B1051" s="855" t="e">
        <f>building!Y387</f>
        <v>#REF!</v>
      </c>
      <c r="C1051" s="856" t="str">
        <f>building!B387</f>
        <v>Partly glazed and partly TW panelled door shutter (Double leaves) with brass screws.
a. 1200x2400mm</v>
      </c>
      <c r="D1051" s="852">
        <f>building!C387</f>
        <v>5792.32</v>
      </c>
      <c r="E1051" s="853" t="str">
        <f>building!D387</f>
        <v>Sqm</v>
      </c>
      <c r="F1051" s="852" t="e">
        <f t="shared" si="16"/>
        <v>#REF!</v>
      </c>
    </row>
    <row r="1052" spans="1:6" ht="45" hidden="1" customHeight="1">
      <c r="A1052" s="849">
        <f>building!A388</f>
        <v>0</v>
      </c>
      <c r="B1052" s="855" t="e">
        <f>building!Y388</f>
        <v>#REF!</v>
      </c>
      <c r="C1052" s="856" t="str">
        <f>building!B388</f>
        <v>T.W DOOR SHUTTER TWO LEAVES(2000 X 2400 mm) WITH BRASS FITINGS</v>
      </c>
      <c r="D1052" s="852">
        <f>building!C388</f>
        <v>5051.6899999999996</v>
      </c>
      <c r="E1052" s="853" t="str">
        <f>building!D388</f>
        <v>Sqm</v>
      </c>
      <c r="F1052" s="852" t="e">
        <f t="shared" si="16"/>
        <v>#REF!</v>
      </c>
    </row>
    <row r="1053" spans="1:6" ht="45" hidden="1" customHeight="1">
      <c r="A1053" s="849">
        <f>building!A389</f>
        <v>0</v>
      </c>
      <c r="B1053" s="855" t="e">
        <f>building!Y389</f>
        <v>#REF!</v>
      </c>
      <c r="C1053" s="856" t="str">
        <f>building!B389</f>
        <v>BWR door 900 x 2400   single leaf</v>
      </c>
      <c r="D1053" s="852">
        <f>building!C389</f>
        <v>5522.66</v>
      </c>
      <c r="E1053" s="853" t="str">
        <f>building!D389</f>
        <v>Sqm</v>
      </c>
      <c r="F1053" s="852" t="e">
        <f t="shared" si="16"/>
        <v>#REF!</v>
      </c>
    </row>
    <row r="1054" spans="1:6" ht="45" hidden="1" customHeight="1">
      <c r="A1054" s="849">
        <f>building!A390</f>
        <v>0</v>
      </c>
      <c r="B1054" s="855" t="e">
        <f>building!Y390</f>
        <v>#REF!</v>
      </c>
      <c r="C1054" s="856" t="str">
        <f>building!B390</f>
        <v>BWR door 1050 x 2400   single leaf</v>
      </c>
      <c r="D1054" s="852">
        <f>building!C390</f>
        <v>4897.2299999999996</v>
      </c>
      <c r="E1054" s="853" t="str">
        <f>building!D390</f>
        <v>Sqm</v>
      </c>
      <c r="F1054" s="852" t="e">
        <f t="shared" si="16"/>
        <v>#REF!</v>
      </c>
    </row>
    <row r="1055" spans="1:6" ht="45" hidden="1" customHeight="1">
      <c r="A1055" s="849">
        <f>building!A391</f>
        <v>0</v>
      </c>
      <c r="B1055" s="855" t="e">
        <f>building!Y391</f>
        <v>#REF!</v>
      </c>
      <c r="C1055" s="856" t="str">
        <f>building!B391</f>
        <v>BWR door 1200 x 2400   double leaves</v>
      </c>
      <c r="D1055" s="852">
        <f>building!C391</f>
        <v>5445.16</v>
      </c>
      <c r="E1055" s="853" t="str">
        <f>building!D391</f>
        <v>Sqm</v>
      </c>
      <c r="F1055" s="852" t="e">
        <f t="shared" si="16"/>
        <v>#REF!</v>
      </c>
    </row>
    <row r="1056" spans="1:6" ht="45" hidden="1" customHeight="1">
      <c r="A1056" s="849">
        <f>building!A392</f>
        <v>0</v>
      </c>
      <c r="B1056" s="855" t="e">
        <f>building!Y392</f>
        <v>#REF!</v>
      </c>
      <c r="C1056" s="856" t="str">
        <f>building!B392</f>
        <v>BWR door 1500 x 2400   double leaves</v>
      </c>
      <c r="D1056" s="852">
        <f>building!C392</f>
        <v>4942.12</v>
      </c>
      <c r="E1056" s="853" t="str">
        <f>building!D392</f>
        <v>Sqm</v>
      </c>
      <c r="F1056" s="852" t="e">
        <f t="shared" si="16"/>
        <v>#REF!</v>
      </c>
    </row>
    <row r="1057" spans="1:6" ht="45" hidden="1" customHeight="1">
      <c r="A1057" s="849">
        <f>building!A393</f>
        <v>0</v>
      </c>
      <c r="B1057" s="855" t="e">
        <f>building!Y393</f>
        <v>#REF!</v>
      </c>
      <c r="C1057" s="856" t="str">
        <f>building!B393</f>
        <v>450 x 375 x 20 m   thick TW plank</v>
      </c>
      <c r="D1057" s="852">
        <f>building!C393</f>
        <v>1242.21</v>
      </c>
      <c r="E1057" s="853" t="str">
        <f>building!D393</f>
        <v>Each</v>
      </c>
      <c r="F1057" s="852" t="e">
        <f t="shared" si="16"/>
        <v>#REF!</v>
      </c>
    </row>
    <row r="1058" spans="1:6" ht="45" hidden="1" customHeight="1">
      <c r="A1058" s="849">
        <f>building!A394</f>
        <v>0</v>
      </c>
      <c r="B1058" s="855" t="e">
        <f>building!Y394</f>
        <v>#REF!</v>
      </c>
      <c r="C1058" s="856" t="str">
        <f>building!B394</f>
        <v>40 mm dia GI pipe "B"class</v>
      </c>
      <c r="D1058" s="852">
        <f>building!C394</f>
        <v>165</v>
      </c>
      <c r="E1058" s="853" t="str">
        <f>building!D394</f>
        <v>Rmt</v>
      </c>
      <c r="F1058" s="852" t="e">
        <f t="shared" si="16"/>
        <v>#REF!</v>
      </c>
    </row>
    <row r="1059" spans="1:6" ht="45" hidden="1" customHeight="1">
      <c r="A1059" s="849">
        <f>building!A395</f>
        <v>0</v>
      </c>
      <c r="B1059" s="855" t="e">
        <f>building!Y395</f>
        <v>#REF!</v>
      </c>
      <c r="C1059" s="856" t="str">
        <f>building!B395</f>
        <v>Supplying and fixing of Three phase ELCB</v>
      </c>
      <c r="D1059" s="852">
        <f>building!C395</f>
        <v>2971.6</v>
      </c>
      <c r="E1059" s="853" t="str">
        <f>building!D395</f>
        <v>Each</v>
      </c>
      <c r="F1059" s="852" t="e">
        <f t="shared" si="16"/>
        <v>#REF!</v>
      </c>
    </row>
    <row r="1060" spans="1:6" ht="45" hidden="1" customHeight="1">
      <c r="A1060" s="849">
        <f>building!A396</f>
        <v>0</v>
      </c>
      <c r="B1060" s="855" t="e">
        <f>building!Y396</f>
        <v>#REF!</v>
      </c>
      <c r="C1060" s="856" t="str">
        <f>building!B396</f>
        <v>MDF 900 x 2100 single</v>
      </c>
      <c r="D1060" s="852">
        <f>building!C396</f>
        <v>2770.14</v>
      </c>
      <c r="E1060" s="853" t="str">
        <f>building!D396</f>
        <v>Sqm</v>
      </c>
      <c r="F1060" s="852" t="e">
        <f t="shared" si="16"/>
        <v>#REF!</v>
      </c>
    </row>
    <row r="1061" spans="1:6" ht="45" hidden="1" customHeight="1">
      <c r="A1061" s="849">
        <f>building!A397</f>
        <v>0</v>
      </c>
      <c r="B1061" s="855" t="e">
        <f>building!Y397</f>
        <v>#REF!</v>
      </c>
      <c r="C1061" s="856" t="str">
        <f>building!B397</f>
        <v>MDF 1000 x 2100</v>
      </c>
      <c r="D1061" s="852">
        <f>building!C397</f>
        <v>2727.59</v>
      </c>
      <c r="E1061" s="853" t="str">
        <f>building!D397</f>
        <v>Sqm</v>
      </c>
      <c r="F1061" s="852" t="e">
        <f t="shared" si="16"/>
        <v>#REF!</v>
      </c>
    </row>
    <row r="1062" spans="1:6" ht="45" hidden="1" customHeight="1">
      <c r="A1062" s="849">
        <f>building!A398</f>
        <v>0</v>
      </c>
      <c r="B1062" s="855" t="e">
        <f>building!Y398</f>
        <v>#REF!</v>
      </c>
      <c r="C1062" s="856" t="str">
        <f>building!B398</f>
        <v>MDF 1200 x 2100</v>
      </c>
      <c r="D1062" s="852">
        <f>building!C398</f>
        <v>2653.99</v>
      </c>
      <c r="E1062" s="853" t="str">
        <f>building!D398</f>
        <v>Sqm</v>
      </c>
      <c r="F1062" s="852" t="e">
        <f t="shared" si="16"/>
        <v>#REF!</v>
      </c>
    </row>
    <row r="1063" spans="1:6" ht="45" hidden="1" customHeight="1">
      <c r="A1063" s="849">
        <f>building!A399</f>
        <v>0</v>
      </c>
      <c r="B1063" s="855" t="e">
        <f>building!Y399</f>
        <v>#REF!</v>
      </c>
      <c r="C1063" s="856" t="str">
        <f>building!B399</f>
        <v>MDF 1500 X 2100MM (Double Leaf)</v>
      </c>
      <c r="D1063" s="852">
        <f>building!C399</f>
        <v>2872.51</v>
      </c>
      <c r="E1063" s="853" t="str">
        <f>building!D399</f>
        <v>Sqm</v>
      </c>
      <c r="F1063" s="852" t="e">
        <f t="shared" si="16"/>
        <v>#REF!</v>
      </c>
    </row>
    <row r="1064" spans="1:6" ht="45" hidden="1" customHeight="1">
      <c r="A1064" s="849">
        <f>building!A400</f>
        <v>0</v>
      </c>
      <c r="B1064" s="855" t="e">
        <f>building!Y400</f>
        <v>#REF!</v>
      </c>
      <c r="C1064" s="856" t="str">
        <f>building!B400</f>
        <v>MDF 1200 X 2100MM (Double Leaf)</v>
      </c>
      <c r="D1064" s="852">
        <f>building!C400</f>
        <v>2995.3</v>
      </c>
      <c r="E1064" s="853" t="str">
        <f>building!D400</f>
        <v>Sqm</v>
      </c>
      <c r="F1064" s="852" t="e">
        <f t="shared" si="16"/>
        <v>#REF!</v>
      </c>
    </row>
    <row r="1065" spans="1:6" ht="45" hidden="1" customHeight="1">
      <c r="A1065" s="849">
        <f>building!A401</f>
        <v>0</v>
      </c>
      <c r="B1065" s="855" t="e">
        <f>building!Y401</f>
        <v>#REF!</v>
      </c>
      <c r="C1065" s="856" t="str">
        <f>building!B401</f>
        <v>MDF 1500 X 2400MM (Double Leaf)</v>
      </c>
      <c r="D1065" s="852">
        <f>building!C401</f>
        <v>2817.67</v>
      </c>
      <c r="E1065" s="853" t="str">
        <f>building!D401</f>
        <v>Sqm</v>
      </c>
      <c r="F1065" s="852" t="e">
        <f t="shared" si="16"/>
        <v>#REF!</v>
      </c>
    </row>
    <row r="1066" spans="1:6" ht="45" hidden="1" customHeight="1">
      <c r="A1066" s="849">
        <f>building!A402</f>
        <v>0</v>
      </c>
      <c r="B1066" s="855" t="e">
        <f>building!Y402</f>
        <v>#REF!</v>
      </c>
      <c r="C1066" s="856" t="str">
        <f>building!B402</f>
        <v>MDF  double leaf shutter with TW alround frame for ward robe / cup board</v>
      </c>
      <c r="D1066" s="852">
        <f>building!C402</f>
        <v>2112.4699999999998</v>
      </c>
      <c r="E1066" s="853" t="str">
        <f>building!D402</f>
        <v>Sqm</v>
      </c>
      <c r="F1066" s="852" t="e">
        <f t="shared" si="16"/>
        <v>#REF!</v>
      </c>
    </row>
    <row r="1067" spans="1:6" ht="45" hidden="1" customHeight="1">
      <c r="A1067" s="849">
        <f>building!A455</f>
        <v>0</v>
      </c>
      <c r="B1067" s="855" t="e">
        <f>building!Y455</f>
        <v>#REF!</v>
      </c>
      <c r="C1067" s="856" t="str">
        <f>building!B455</f>
        <v>Cement paint two coat for old wall</v>
      </c>
      <c r="D1067" s="852">
        <f>building!C455</f>
        <v>119.16</v>
      </c>
      <c r="E1067" s="853">
        <f>building!D455</f>
        <v>0</v>
      </c>
      <c r="F1067" s="852" t="e">
        <f t="shared" ref="F1067:F1086" si="17">D1067*B1067</f>
        <v>#REF!</v>
      </c>
    </row>
    <row r="1068" spans="1:6" ht="45" hidden="1" customHeight="1">
      <c r="A1068" s="849">
        <f>building!A456</f>
        <v>0</v>
      </c>
      <c r="B1068" s="855" t="e">
        <f>building!Y456</f>
        <v>#REF!</v>
      </c>
      <c r="C1068" s="856" t="str">
        <f>building!B456</f>
        <v>painting one coat for old iron work</v>
      </c>
      <c r="D1068" s="852">
        <f>building!C456</f>
        <v>81.36</v>
      </c>
      <c r="E1068" s="853">
        <f>building!D456</f>
        <v>0</v>
      </c>
      <c r="F1068" s="852" t="e">
        <f t="shared" si="17"/>
        <v>#REF!</v>
      </c>
    </row>
    <row r="1069" spans="1:6" ht="45" hidden="1" customHeight="1">
      <c r="A1069" s="849">
        <f>building!A457</f>
        <v>0</v>
      </c>
      <c r="B1069" s="855" t="e">
        <f>building!Y457</f>
        <v>#REF!</v>
      </c>
      <c r="C1069" s="856" t="str">
        <f>building!B457</f>
        <v>painting two coat for old iron work</v>
      </c>
      <c r="D1069" s="852">
        <f>building!C457</f>
        <v>126.37</v>
      </c>
      <c r="E1069" s="853">
        <f>building!D457</f>
        <v>0</v>
      </c>
      <c r="F1069" s="852" t="e">
        <f t="shared" si="17"/>
        <v>#REF!</v>
      </c>
    </row>
    <row r="1070" spans="1:6" ht="45" hidden="1" customHeight="1">
      <c r="A1070" s="849">
        <f>building!A458</f>
        <v>0</v>
      </c>
      <c r="B1070" s="855" t="e">
        <f>building!Y458</f>
        <v>#REF!</v>
      </c>
      <c r="C1070" s="856" t="str">
        <f>building!B458</f>
        <v>painting one coat for old wood work</v>
      </c>
      <c r="D1070" s="852">
        <f>building!C458</f>
        <v>88.47</v>
      </c>
      <c r="E1070" s="853">
        <f>building!D458</f>
        <v>0</v>
      </c>
      <c r="F1070" s="852" t="e">
        <f t="shared" si="17"/>
        <v>#REF!</v>
      </c>
    </row>
    <row r="1071" spans="1:6" ht="45" hidden="1" customHeight="1">
      <c r="A1071" s="849">
        <f>building!A459</f>
        <v>0</v>
      </c>
      <c r="B1071" s="855" t="e">
        <f>building!Y459</f>
        <v>#REF!</v>
      </c>
      <c r="C1071" s="856" t="str">
        <f>building!B459</f>
        <v>painting two coat for old wood work</v>
      </c>
      <c r="D1071" s="852">
        <f>building!C459</f>
        <v>144.25</v>
      </c>
      <c r="E1071" s="853">
        <f>building!D459</f>
        <v>0</v>
      </c>
      <c r="F1071" s="852" t="e">
        <f t="shared" si="17"/>
        <v>#REF!</v>
      </c>
    </row>
    <row r="1072" spans="1:6" ht="45" hidden="1" customHeight="1">
      <c r="A1072" s="849">
        <f>building!A460</f>
        <v>0</v>
      </c>
      <c r="B1072" s="855" t="e">
        <f>building!Y460</f>
        <v>#REF!</v>
      </c>
      <c r="C1072" s="856" t="str">
        <f>building!B460</f>
        <v>Matt paint one coat for old wall</v>
      </c>
      <c r="D1072" s="852">
        <f>building!C460</f>
        <v>81.41</v>
      </c>
      <c r="E1072" s="853">
        <f>building!D460</f>
        <v>0</v>
      </c>
      <c r="F1072" s="852" t="e">
        <f t="shared" si="17"/>
        <v>#REF!</v>
      </c>
    </row>
    <row r="1073" spans="1:6" ht="45" hidden="1" customHeight="1">
      <c r="A1073" s="849">
        <f>building!A461</f>
        <v>0</v>
      </c>
      <c r="B1073" s="855" t="e">
        <f>building!Y461</f>
        <v>#REF!</v>
      </c>
      <c r="C1073" s="856" t="str">
        <f>building!B461</f>
        <v>Plastic Emulsion PAINT one coat for old wall</v>
      </c>
      <c r="D1073" s="852">
        <f>building!C461</f>
        <v>75.39</v>
      </c>
      <c r="E1073" s="853">
        <f>building!D461</f>
        <v>0</v>
      </c>
      <c r="F1073" s="852" t="e">
        <f t="shared" si="17"/>
        <v>#REF!</v>
      </c>
    </row>
    <row r="1074" spans="1:6" ht="45" hidden="1" customHeight="1">
      <c r="A1074" s="849">
        <f>building!A462</f>
        <v>0</v>
      </c>
      <c r="B1074" s="855" t="e">
        <f>building!Y462</f>
        <v>#REF!</v>
      </c>
      <c r="C1074" s="856" t="str">
        <f>building!B462</f>
        <v>Plastic Emulsion PAINT two coat for old wall</v>
      </c>
      <c r="D1074" s="852">
        <f>building!C462</f>
        <v>148.26</v>
      </c>
      <c r="E1074" s="853">
        <f>building!D462</f>
        <v>0</v>
      </c>
      <c r="F1074" s="852" t="e">
        <f t="shared" si="17"/>
        <v>#REF!</v>
      </c>
    </row>
    <row r="1075" spans="1:6" ht="45" hidden="1" customHeight="1">
      <c r="A1075" s="849">
        <f>building!A463</f>
        <v>0</v>
      </c>
      <c r="B1075" s="855" t="e">
        <f>building!Y463</f>
        <v>#REF!</v>
      </c>
      <c r="C1075" s="856">
        <f>building!B463</f>
        <v>0</v>
      </c>
      <c r="D1075" s="852">
        <f>building!C463</f>
        <v>0</v>
      </c>
      <c r="E1075" s="853">
        <f>building!D463</f>
        <v>0</v>
      </c>
      <c r="F1075" s="852" t="e">
        <f t="shared" si="17"/>
        <v>#REF!</v>
      </c>
    </row>
    <row r="1076" spans="1:6" ht="45" hidden="1" customHeight="1">
      <c r="A1076" s="849">
        <f>building!A464</f>
        <v>0</v>
      </c>
      <c r="B1076" s="855" t="e">
        <f>building!Y464</f>
        <v>#REF!</v>
      </c>
      <c r="C1076" s="856">
        <f>building!B464</f>
        <v>0</v>
      </c>
      <c r="D1076" s="852">
        <f>building!C464</f>
        <v>0</v>
      </c>
      <c r="E1076" s="853">
        <f>building!D464</f>
        <v>0</v>
      </c>
      <c r="F1076" s="852" t="e">
        <f t="shared" si="17"/>
        <v>#REF!</v>
      </c>
    </row>
    <row r="1077" spans="1:6" ht="45" hidden="1" customHeight="1">
      <c r="A1077" s="849">
        <f>building!A465</f>
        <v>0</v>
      </c>
      <c r="B1077" s="855" t="e">
        <f>building!Y465</f>
        <v>#REF!</v>
      </c>
      <c r="C1077" s="856">
        <f>building!B465</f>
        <v>0</v>
      </c>
      <c r="D1077" s="852">
        <f>building!C465</f>
        <v>0</v>
      </c>
      <c r="E1077" s="853">
        <f>building!D465</f>
        <v>0</v>
      </c>
      <c r="F1077" s="852" t="e">
        <f t="shared" si="17"/>
        <v>#REF!</v>
      </c>
    </row>
    <row r="1078" spans="1:6" ht="45" hidden="1" customHeight="1">
      <c r="A1078" s="849">
        <f>building!A466</f>
        <v>0</v>
      </c>
      <c r="B1078" s="855" t="e">
        <f>building!Y466</f>
        <v>#REF!</v>
      </c>
      <c r="C1078" s="856">
        <f>building!B466</f>
        <v>0</v>
      </c>
      <c r="D1078" s="852">
        <f>building!C466</f>
        <v>0</v>
      </c>
      <c r="E1078" s="853">
        <f>building!D466</f>
        <v>0</v>
      </c>
      <c r="F1078" s="852" t="e">
        <f t="shared" si="17"/>
        <v>#REF!</v>
      </c>
    </row>
    <row r="1079" spans="1:6" ht="45" hidden="1" customHeight="1">
      <c r="A1079" s="849">
        <f>building!A467</f>
        <v>0</v>
      </c>
      <c r="B1079" s="855" t="e">
        <f>building!Y467</f>
        <v>#REF!</v>
      </c>
      <c r="C1079" s="856">
        <f>building!B467</f>
        <v>0</v>
      </c>
      <c r="D1079" s="852">
        <f>building!C467</f>
        <v>0</v>
      </c>
      <c r="E1079" s="853">
        <f>building!D467</f>
        <v>0</v>
      </c>
      <c r="F1079" s="852" t="e">
        <f t="shared" si="17"/>
        <v>#REF!</v>
      </c>
    </row>
    <row r="1080" spans="1:6" ht="45" hidden="1" customHeight="1">
      <c r="A1080" s="849">
        <f>building!A468</f>
        <v>0</v>
      </c>
      <c r="B1080" s="855" t="e">
        <f>building!Y468</f>
        <v>#REF!</v>
      </c>
      <c r="C1080" s="856">
        <f>building!B468</f>
        <v>0</v>
      </c>
      <c r="D1080" s="852">
        <f>building!C468</f>
        <v>0</v>
      </c>
      <c r="E1080" s="853">
        <f>building!D468</f>
        <v>0</v>
      </c>
      <c r="F1080" s="852" t="e">
        <f t="shared" si="17"/>
        <v>#REF!</v>
      </c>
    </row>
    <row r="1081" spans="1:6" ht="45" hidden="1" customHeight="1">
      <c r="A1081" s="849">
        <f>building!A469</f>
        <v>0</v>
      </c>
      <c r="B1081" s="855" t="e">
        <f>building!Y469</f>
        <v>#REF!</v>
      </c>
      <c r="C1081" s="856">
        <f>building!B469</f>
        <v>0</v>
      </c>
      <c r="D1081" s="852">
        <f>building!C469</f>
        <v>0</v>
      </c>
      <c r="E1081" s="853">
        <f>building!D469</f>
        <v>0</v>
      </c>
      <c r="F1081" s="852" t="e">
        <f t="shared" si="17"/>
        <v>#REF!</v>
      </c>
    </row>
    <row r="1082" spans="1:6" ht="45" hidden="1" customHeight="1">
      <c r="A1082" s="849">
        <f>building!A470</f>
        <v>0</v>
      </c>
      <c r="B1082" s="855" t="e">
        <f>building!Y470</f>
        <v>#REF!</v>
      </c>
      <c r="C1082" s="856">
        <f>building!B470</f>
        <v>0</v>
      </c>
      <c r="D1082" s="852">
        <f>building!C470</f>
        <v>0</v>
      </c>
      <c r="E1082" s="853">
        <f>building!D470</f>
        <v>0</v>
      </c>
      <c r="F1082" s="852" t="e">
        <f t="shared" si="17"/>
        <v>#REF!</v>
      </c>
    </row>
    <row r="1083" spans="1:6" ht="45" hidden="1" customHeight="1">
      <c r="A1083" s="849">
        <f>building!A471</f>
        <v>0</v>
      </c>
      <c r="B1083" s="855" t="e">
        <f>building!Y471</f>
        <v>#REF!</v>
      </c>
      <c r="C1083" s="856">
        <f>building!B471</f>
        <v>0</v>
      </c>
      <c r="D1083" s="852">
        <f>building!C471</f>
        <v>0</v>
      </c>
      <c r="E1083" s="853">
        <f>building!D471</f>
        <v>0</v>
      </c>
      <c r="F1083" s="852" t="e">
        <f t="shared" si="17"/>
        <v>#REF!</v>
      </c>
    </row>
    <row r="1084" spans="1:6" ht="45" hidden="1" customHeight="1">
      <c r="A1084" s="849">
        <f>building!A472</f>
        <v>0</v>
      </c>
      <c r="B1084" s="855" t="e">
        <f>building!Y472</f>
        <v>#REF!</v>
      </c>
      <c r="C1084" s="856">
        <f>building!B472</f>
        <v>0</v>
      </c>
      <c r="D1084" s="852">
        <f>building!C472</f>
        <v>0</v>
      </c>
      <c r="E1084" s="853">
        <f>building!D472</f>
        <v>0</v>
      </c>
      <c r="F1084" s="852" t="e">
        <f t="shared" si="17"/>
        <v>#REF!</v>
      </c>
    </row>
    <row r="1085" spans="1:6" ht="45" hidden="1" customHeight="1">
      <c r="A1085" s="849">
        <f>building!A473</f>
        <v>0</v>
      </c>
      <c r="B1085" s="855" t="e">
        <f>building!Y473</f>
        <v>#REF!</v>
      </c>
      <c r="C1085" s="856">
        <f>building!B473</f>
        <v>0</v>
      </c>
      <c r="D1085" s="852">
        <f>building!C473</f>
        <v>0</v>
      </c>
      <c r="E1085" s="853">
        <f>building!D473</f>
        <v>0</v>
      </c>
      <c r="F1085" s="852" t="e">
        <f t="shared" si="17"/>
        <v>#REF!</v>
      </c>
    </row>
    <row r="1086" spans="1:6" ht="45" hidden="1" customHeight="1">
      <c r="A1086" s="849">
        <f>building!A474</f>
        <v>0</v>
      </c>
      <c r="B1086" s="855" t="e">
        <f>building!Y474</f>
        <v>#REF!</v>
      </c>
      <c r="C1086" s="856">
        <f>building!B474</f>
        <v>0</v>
      </c>
      <c r="D1086" s="852">
        <f>building!C474</f>
        <v>0</v>
      </c>
      <c r="E1086" s="853">
        <f>building!D474</f>
        <v>0</v>
      </c>
      <c r="F1086" s="852" t="e">
        <f t="shared" si="17"/>
        <v>#REF!</v>
      </c>
    </row>
    <row r="1087" spans="1:6" ht="45" hidden="1" customHeight="1">
      <c r="A1087" s="849">
        <f>building!A475</f>
        <v>0</v>
      </c>
      <c r="B1087" s="855" t="e">
        <f>building!Y475</f>
        <v>#REF!</v>
      </c>
      <c r="C1087" s="856">
        <f>building!B475</f>
        <v>0</v>
      </c>
      <c r="D1087" s="852">
        <f>building!C475</f>
        <v>0</v>
      </c>
      <c r="E1087" s="853">
        <f>building!D475</f>
        <v>0</v>
      </c>
      <c r="F1087" s="852" t="e">
        <f t="shared" ref="F1087:F1097" si="18">D1087*B1087</f>
        <v>#REF!</v>
      </c>
    </row>
    <row r="1088" spans="1:6" ht="45" hidden="1" customHeight="1">
      <c r="A1088" s="849">
        <f>building!A476</f>
        <v>0</v>
      </c>
      <c r="B1088" s="855" t="e">
        <f>building!Y476</f>
        <v>#REF!</v>
      </c>
      <c r="C1088" s="856">
        <f>building!B476</f>
        <v>0</v>
      </c>
      <c r="D1088" s="852">
        <f>building!C476</f>
        <v>0</v>
      </c>
      <c r="E1088" s="853">
        <f>building!D476</f>
        <v>0</v>
      </c>
      <c r="F1088" s="852" t="e">
        <f t="shared" si="18"/>
        <v>#REF!</v>
      </c>
    </row>
    <row r="1089" spans="1:6" ht="45" hidden="1" customHeight="1">
      <c r="A1089" s="849">
        <f>building!A477</f>
        <v>0</v>
      </c>
      <c r="B1089" s="855" t="e">
        <f>building!Y477</f>
        <v>#REF!</v>
      </c>
      <c r="C1089" s="856">
        <f>building!B477</f>
        <v>0</v>
      </c>
      <c r="D1089" s="852">
        <f>building!C477</f>
        <v>0</v>
      </c>
      <c r="E1089" s="853">
        <f>building!D477</f>
        <v>0</v>
      </c>
      <c r="F1089" s="852" t="e">
        <f t="shared" si="18"/>
        <v>#REF!</v>
      </c>
    </row>
    <row r="1090" spans="1:6" ht="45" hidden="1" customHeight="1">
      <c r="A1090" s="849">
        <f>building!A478</f>
        <v>0</v>
      </c>
      <c r="B1090" s="855" t="e">
        <f>building!Y478</f>
        <v>#REF!</v>
      </c>
      <c r="C1090" s="856">
        <f>building!B478</f>
        <v>0</v>
      </c>
      <c r="D1090" s="852">
        <f>building!C478</f>
        <v>0</v>
      </c>
      <c r="E1090" s="853">
        <f>building!D478</f>
        <v>0</v>
      </c>
      <c r="F1090" s="852" t="e">
        <f t="shared" si="18"/>
        <v>#REF!</v>
      </c>
    </row>
    <row r="1091" spans="1:6" ht="45" hidden="1" customHeight="1">
      <c r="A1091" s="849">
        <f>building!A479</f>
        <v>0</v>
      </c>
      <c r="B1091" s="855" t="e">
        <f>building!Y479</f>
        <v>#REF!</v>
      </c>
      <c r="C1091" s="856">
        <f>building!B479</f>
        <v>0</v>
      </c>
      <c r="D1091" s="852">
        <f>building!C479</f>
        <v>0</v>
      </c>
      <c r="E1091" s="853">
        <f>building!D479</f>
        <v>0</v>
      </c>
      <c r="F1091" s="852" t="e">
        <f t="shared" si="18"/>
        <v>#REF!</v>
      </c>
    </row>
    <row r="1092" spans="1:6" ht="45" hidden="1" customHeight="1">
      <c r="A1092" s="849">
        <f>building!A480</f>
        <v>0</v>
      </c>
      <c r="B1092" s="855" t="e">
        <f>building!Y480</f>
        <v>#REF!</v>
      </c>
      <c r="C1092" s="856">
        <f>building!B480</f>
        <v>0</v>
      </c>
      <c r="D1092" s="852">
        <f>building!C480</f>
        <v>0</v>
      </c>
      <c r="E1092" s="853">
        <f>building!D480</f>
        <v>0</v>
      </c>
      <c r="F1092" s="852" t="e">
        <f t="shared" si="18"/>
        <v>#REF!</v>
      </c>
    </row>
    <row r="1093" spans="1:6" ht="45" hidden="1" customHeight="1">
      <c r="A1093" s="849">
        <f>building!A481</f>
        <v>0</v>
      </c>
      <c r="B1093" s="855" t="e">
        <f>building!Y481</f>
        <v>#REF!</v>
      </c>
      <c r="C1093" s="856">
        <f>building!B481</f>
        <v>0</v>
      </c>
      <c r="D1093" s="852">
        <f>building!C481</f>
        <v>0</v>
      </c>
      <c r="E1093" s="853">
        <f>building!D481</f>
        <v>0</v>
      </c>
      <c r="F1093" s="852" t="e">
        <f t="shared" si="18"/>
        <v>#REF!</v>
      </c>
    </row>
    <row r="1094" spans="1:6" ht="45" hidden="1" customHeight="1">
      <c r="A1094" s="849">
        <f>building!A482</f>
        <v>0</v>
      </c>
      <c r="B1094" s="855" t="e">
        <f>building!Y482</f>
        <v>#REF!</v>
      </c>
      <c r="C1094" s="856">
        <f>building!B482</f>
        <v>0</v>
      </c>
      <c r="D1094" s="852">
        <f>building!C482</f>
        <v>0</v>
      </c>
      <c r="E1094" s="853">
        <f>building!D482</f>
        <v>0</v>
      </c>
      <c r="F1094" s="852" t="e">
        <f t="shared" si="18"/>
        <v>#REF!</v>
      </c>
    </row>
    <row r="1095" spans="1:6" ht="45" hidden="1" customHeight="1">
      <c r="A1095" s="849">
        <f>building!A483</f>
        <v>0</v>
      </c>
      <c r="B1095" s="855" t="e">
        <f>building!Y483</f>
        <v>#REF!</v>
      </c>
      <c r="C1095" s="856">
        <f>building!B483</f>
        <v>0</v>
      </c>
      <c r="D1095" s="852">
        <f>building!C483</f>
        <v>0</v>
      </c>
      <c r="E1095" s="853">
        <f>building!D483</f>
        <v>0</v>
      </c>
      <c r="F1095" s="852" t="e">
        <f t="shared" si="18"/>
        <v>#REF!</v>
      </c>
    </row>
    <row r="1096" spans="1:6" ht="45" hidden="1" customHeight="1">
      <c r="A1096" s="849">
        <f>building!A484</f>
        <v>0</v>
      </c>
      <c r="B1096" s="855" t="e">
        <f>building!Y484</f>
        <v>#REF!</v>
      </c>
      <c r="C1096" s="856">
        <f>building!B484</f>
        <v>0</v>
      </c>
      <c r="D1096" s="852">
        <f>building!C484</f>
        <v>0</v>
      </c>
      <c r="E1096" s="853">
        <f>building!D484</f>
        <v>0</v>
      </c>
      <c r="F1096" s="852" t="e">
        <f t="shared" si="18"/>
        <v>#REF!</v>
      </c>
    </row>
    <row r="1097" spans="1:6" ht="45" hidden="1" customHeight="1">
      <c r="A1097" s="849">
        <f>building!A485</f>
        <v>0</v>
      </c>
      <c r="B1097" s="855" t="e">
        <f>building!Y485</f>
        <v>#REF!</v>
      </c>
      <c r="C1097" s="856">
        <f>building!B485</f>
        <v>0</v>
      </c>
      <c r="D1097" s="852">
        <f>building!C485</f>
        <v>0</v>
      </c>
      <c r="E1097" s="853">
        <f>building!D485</f>
        <v>0</v>
      </c>
      <c r="F1097" s="852" t="e">
        <f t="shared" si="18"/>
        <v>#REF!</v>
      </c>
    </row>
    <row r="1098" spans="1:6" ht="45" hidden="1" customHeight="1">
      <c r="A1098" s="849">
        <f>building!A486</f>
        <v>0</v>
      </c>
      <c r="B1098" s="855">
        <f>building!Y486</f>
        <v>0</v>
      </c>
      <c r="C1098" s="856">
        <f>building!B486</f>
        <v>0</v>
      </c>
      <c r="D1098" s="852">
        <f>building!C486</f>
        <v>0</v>
      </c>
      <c r="E1098" s="853">
        <f>building!D486</f>
        <v>0</v>
      </c>
      <c r="F1098" s="852">
        <f t="shared" ref="F1098:F1161" si="19">D1098*B1098</f>
        <v>0</v>
      </c>
    </row>
    <row r="1099" spans="1:6" ht="45" hidden="1" customHeight="1">
      <c r="A1099" s="849">
        <f>building!A487</f>
        <v>0</v>
      </c>
      <c r="B1099" s="855">
        <f>building!Y487</f>
        <v>0</v>
      </c>
      <c r="C1099" s="856">
        <f>building!B487</f>
        <v>0</v>
      </c>
      <c r="D1099" s="852">
        <f>building!C487</f>
        <v>0</v>
      </c>
      <c r="E1099" s="853">
        <f>building!D487</f>
        <v>0</v>
      </c>
      <c r="F1099" s="852">
        <f t="shared" si="19"/>
        <v>0</v>
      </c>
    </row>
    <row r="1100" spans="1:6" ht="45" hidden="1" customHeight="1">
      <c r="A1100" s="849">
        <f>building!A488</f>
        <v>0</v>
      </c>
      <c r="B1100" s="855">
        <f>building!Y488</f>
        <v>0</v>
      </c>
      <c r="C1100" s="856">
        <f>building!B488</f>
        <v>0</v>
      </c>
      <c r="D1100" s="852">
        <f>building!C488</f>
        <v>0</v>
      </c>
      <c r="E1100" s="853">
        <f>building!D488</f>
        <v>0</v>
      </c>
      <c r="F1100" s="852">
        <f t="shared" si="19"/>
        <v>0</v>
      </c>
    </row>
    <row r="1101" spans="1:6" ht="45" hidden="1" customHeight="1">
      <c r="A1101" s="849">
        <f>building!A489</f>
        <v>0</v>
      </c>
      <c r="B1101" s="855">
        <f>building!Y489</f>
        <v>0</v>
      </c>
      <c r="C1101" s="856">
        <f>building!B489</f>
        <v>0</v>
      </c>
      <c r="D1101" s="852">
        <f>building!C489</f>
        <v>0</v>
      </c>
      <c r="E1101" s="853">
        <f>building!D489</f>
        <v>0</v>
      </c>
      <c r="F1101" s="852">
        <f t="shared" si="19"/>
        <v>0</v>
      </c>
    </row>
    <row r="1102" spans="1:6" ht="45" hidden="1" customHeight="1">
      <c r="A1102" s="849">
        <f>building!A490</f>
        <v>0</v>
      </c>
      <c r="B1102" s="855">
        <f>building!Y490</f>
        <v>0</v>
      </c>
      <c r="C1102" s="856">
        <f>building!B490</f>
        <v>0</v>
      </c>
      <c r="D1102" s="852">
        <f>building!C490</f>
        <v>0</v>
      </c>
      <c r="E1102" s="853">
        <f>building!D490</f>
        <v>0</v>
      </c>
      <c r="F1102" s="852">
        <f t="shared" si="19"/>
        <v>0</v>
      </c>
    </row>
    <row r="1103" spans="1:6" ht="45" hidden="1" customHeight="1">
      <c r="A1103" s="849">
        <f>building!A491</f>
        <v>0</v>
      </c>
      <c r="B1103" s="855">
        <f>building!Y491</f>
        <v>0</v>
      </c>
      <c r="C1103" s="856">
        <f>building!B491</f>
        <v>0</v>
      </c>
      <c r="D1103" s="852">
        <f>building!C491</f>
        <v>0</v>
      </c>
      <c r="E1103" s="853">
        <f>building!D491</f>
        <v>0</v>
      </c>
      <c r="F1103" s="852">
        <f t="shared" si="19"/>
        <v>0</v>
      </c>
    </row>
    <row r="1104" spans="1:6" ht="45" hidden="1" customHeight="1">
      <c r="A1104" s="849">
        <f>building!A492</f>
        <v>0</v>
      </c>
      <c r="B1104" s="855">
        <f>building!Y492</f>
        <v>0</v>
      </c>
      <c r="C1104" s="856">
        <f>building!B492</f>
        <v>0</v>
      </c>
      <c r="D1104" s="852">
        <f>building!C492</f>
        <v>0</v>
      </c>
      <c r="E1104" s="853">
        <f>building!D492</f>
        <v>0</v>
      </c>
      <c r="F1104" s="852">
        <f t="shared" si="19"/>
        <v>0</v>
      </c>
    </row>
    <row r="1105" spans="1:6" ht="45" hidden="1" customHeight="1">
      <c r="A1105" s="849">
        <f>building!A493</f>
        <v>0</v>
      </c>
      <c r="B1105" s="855">
        <f>building!Y493</f>
        <v>0</v>
      </c>
      <c r="C1105" s="856">
        <f>building!B493</f>
        <v>0</v>
      </c>
      <c r="D1105" s="852">
        <f>building!C493</f>
        <v>0</v>
      </c>
      <c r="E1105" s="853">
        <f>building!D493</f>
        <v>0</v>
      </c>
      <c r="F1105" s="852">
        <f t="shared" si="19"/>
        <v>0</v>
      </c>
    </row>
    <row r="1106" spans="1:6" ht="45" hidden="1" customHeight="1">
      <c r="A1106" s="849">
        <f>building!A494</f>
        <v>0</v>
      </c>
      <c r="B1106" s="855">
        <f>building!Y494</f>
        <v>0</v>
      </c>
      <c r="C1106" s="856">
        <f>building!B494</f>
        <v>0</v>
      </c>
      <c r="D1106" s="852">
        <f>building!C494</f>
        <v>0</v>
      </c>
      <c r="E1106" s="853">
        <f>building!D494</f>
        <v>0</v>
      </c>
      <c r="F1106" s="852">
        <f t="shared" si="19"/>
        <v>0</v>
      </c>
    </row>
    <row r="1107" spans="1:6" ht="45" hidden="1" customHeight="1">
      <c r="A1107" s="849">
        <f>building!A495</f>
        <v>0</v>
      </c>
      <c r="B1107" s="855">
        <f>building!Y495</f>
        <v>0</v>
      </c>
      <c r="C1107" s="856">
        <f>building!B495</f>
        <v>0</v>
      </c>
      <c r="D1107" s="852">
        <f>building!C495</f>
        <v>0</v>
      </c>
      <c r="E1107" s="853">
        <f>building!D495</f>
        <v>0</v>
      </c>
      <c r="F1107" s="852">
        <f t="shared" si="19"/>
        <v>0</v>
      </c>
    </row>
    <row r="1108" spans="1:6" ht="45" hidden="1" customHeight="1">
      <c r="A1108" s="849">
        <f>'[2]Building (2)'!A1107</f>
        <v>0</v>
      </c>
      <c r="B1108" s="855">
        <f>'[2]Building (2)'!U1107</f>
        <v>0</v>
      </c>
      <c r="C1108" s="856" t="str">
        <f>'[2]Building (2)'!B1107</f>
        <v>painting two coat for old wood work</v>
      </c>
      <c r="D1108" s="852">
        <f>'[2]Building (2)'!C1107</f>
        <v>127.06</v>
      </c>
      <c r="E1108" s="853">
        <f>'[2]Building (2)'!D1107</f>
        <v>0</v>
      </c>
      <c r="F1108" s="852">
        <f t="shared" si="19"/>
        <v>0</v>
      </c>
    </row>
    <row r="1109" spans="1:6" ht="45" hidden="1" customHeight="1">
      <c r="A1109" s="849">
        <f>'[2]Building (2)'!A1108</f>
        <v>0</v>
      </c>
      <c r="B1109" s="855">
        <f>'[2]Building (2)'!U1108</f>
        <v>0</v>
      </c>
      <c r="C1109" s="856" t="str">
        <f>'[2]Building (2)'!B1108</f>
        <v>Matt paint one coat for old wall</v>
      </c>
      <c r="D1109" s="852">
        <f>'[2]Building (2)'!C1108</f>
        <v>72.95</v>
      </c>
      <c r="E1109" s="853">
        <f>'[2]Building (2)'!D1108</f>
        <v>0</v>
      </c>
      <c r="F1109" s="852">
        <f t="shared" si="19"/>
        <v>0</v>
      </c>
    </row>
    <row r="1110" spans="1:6" ht="45" hidden="1" customHeight="1">
      <c r="A1110" s="849">
        <f>'[2]Building (2)'!A1109</f>
        <v>0</v>
      </c>
      <c r="B1110" s="855">
        <f>'[2]Building (2)'!U1109</f>
        <v>0</v>
      </c>
      <c r="C1110" s="856" t="str">
        <f>'[2]Building (2)'!B1109</f>
        <v>Plastic Emulsion PAINT one coat for old wall</v>
      </c>
      <c r="D1110" s="852">
        <f>'[2]Building (2)'!C1109</f>
        <v>66.11</v>
      </c>
      <c r="E1110" s="853">
        <f>'[2]Building (2)'!D1109</f>
        <v>0</v>
      </c>
      <c r="F1110" s="852">
        <f t="shared" si="19"/>
        <v>0</v>
      </c>
    </row>
    <row r="1111" spans="1:6" ht="45" hidden="1" customHeight="1">
      <c r="A1111" s="849">
        <f>'[2]Building (2)'!A1110</f>
        <v>0</v>
      </c>
      <c r="B1111" s="855">
        <f>'[2]Building (2)'!U1110</f>
        <v>0</v>
      </c>
      <c r="C1111" s="856" t="str">
        <f>'[2]Building (2)'!B1110</f>
        <v>Plastic Emulsion PAINT two coat for old wall</v>
      </c>
      <c r="D1111" s="852">
        <f>'[2]Building (2)'!C1110</f>
        <v>129.27000000000001</v>
      </c>
      <c r="E1111" s="853">
        <f>'[2]Building (2)'!D1110</f>
        <v>0</v>
      </c>
      <c r="F1111" s="852">
        <f t="shared" si="19"/>
        <v>0</v>
      </c>
    </row>
    <row r="1112" spans="1:6" ht="45" hidden="1" customHeight="1">
      <c r="A1112" s="849">
        <f>'[2]Building (2)'!A1111</f>
        <v>0</v>
      </c>
      <c r="B1112" s="855">
        <f>'[2]Building (2)'!U1111</f>
        <v>0</v>
      </c>
      <c r="C1112" s="856">
        <f>'[2]Building (2)'!B1111</f>
        <v>0</v>
      </c>
      <c r="D1112" s="852">
        <f>'[2]Building (2)'!C1111</f>
        <v>0</v>
      </c>
      <c r="E1112" s="853">
        <f>'[2]Building (2)'!D1111</f>
        <v>0</v>
      </c>
      <c r="F1112" s="852">
        <f t="shared" si="19"/>
        <v>0</v>
      </c>
    </row>
    <row r="1113" spans="1:6" ht="45" hidden="1" customHeight="1">
      <c r="A1113" s="849">
        <f>'[2]Building (2)'!A1112</f>
        <v>0</v>
      </c>
      <c r="B1113" s="855">
        <f>'[2]Building (2)'!U1112</f>
        <v>0</v>
      </c>
      <c r="C1113" s="856">
        <f>'[2]Building (2)'!B1112</f>
        <v>0</v>
      </c>
      <c r="D1113" s="852">
        <f>'[2]Building (2)'!C1112</f>
        <v>0</v>
      </c>
      <c r="E1113" s="853">
        <f>'[2]Building (2)'!D1112</f>
        <v>0</v>
      </c>
      <c r="F1113" s="852">
        <f t="shared" si="19"/>
        <v>0</v>
      </c>
    </row>
    <row r="1114" spans="1:6" ht="45" hidden="1" customHeight="1">
      <c r="A1114" s="849">
        <f>'[2]Building (2)'!A1113</f>
        <v>0</v>
      </c>
      <c r="B1114" s="855">
        <f>'[2]Building (2)'!U1113</f>
        <v>0</v>
      </c>
      <c r="C1114" s="856">
        <f>'[2]Building (2)'!B1113</f>
        <v>0</v>
      </c>
      <c r="D1114" s="852">
        <f>'[2]Building (2)'!C1113</f>
        <v>0</v>
      </c>
      <c r="E1114" s="853">
        <f>'[2]Building (2)'!D1113</f>
        <v>0</v>
      </c>
      <c r="F1114" s="852">
        <f t="shared" si="19"/>
        <v>0</v>
      </c>
    </row>
    <row r="1115" spans="1:6" ht="45" hidden="1" customHeight="1">
      <c r="A1115" s="849">
        <f>'[2]Building (2)'!A1114</f>
        <v>0</v>
      </c>
      <c r="B1115" s="855">
        <f>'[2]Building (2)'!U1114</f>
        <v>0</v>
      </c>
      <c r="C1115" s="856">
        <f>'[2]Building (2)'!B1114</f>
        <v>0</v>
      </c>
      <c r="D1115" s="852">
        <f>'[2]Building (2)'!C1114</f>
        <v>0</v>
      </c>
      <c r="E1115" s="853">
        <f>'[2]Building (2)'!D1114</f>
        <v>0</v>
      </c>
      <c r="F1115" s="852">
        <f t="shared" si="19"/>
        <v>0</v>
      </c>
    </row>
    <row r="1116" spans="1:6" ht="45" hidden="1" customHeight="1">
      <c r="A1116" s="849">
        <f>'[2]Building (2)'!A1115</f>
        <v>0</v>
      </c>
      <c r="B1116" s="855">
        <f>'[2]Building (2)'!U1115</f>
        <v>0</v>
      </c>
      <c r="C1116" s="856">
        <f>'[2]Building (2)'!B1115</f>
        <v>0</v>
      </c>
      <c r="D1116" s="852">
        <f>'[2]Building (2)'!C1115</f>
        <v>0</v>
      </c>
      <c r="E1116" s="853">
        <f>'[2]Building (2)'!D1115</f>
        <v>0</v>
      </c>
      <c r="F1116" s="852">
        <f t="shared" si="19"/>
        <v>0</v>
      </c>
    </row>
    <row r="1117" spans="1:6" ht="45" hidden="1" customHeight="1">
      <c r="A1117" s="849">
        <f>'[2]Building (2)'!A1116</f>
        <v>0</v>
      </c>
      <c r="B1117" s="855">
        <f>'[2]Building (2)'!U1116</f>
        <v>0</v>
      </c>
      <c r="C1117" s="856">
        <f>'[2]Building (2)'!B1116</f>
        <v>0</v>
      </c>
      <c r="D1117" s="852">
        <f>'[2]Building (2)'!C1116</f>
        <v>0</v>
      </c>
      <c r="E1117" s="853">
        <f>'[2]Building (2)'!D1116</f>
        <v>0</v>
      </c>
      <c r="F1117" s="852">
        <f t="shared" si="19"/>
        <v>0</v>
      </c>
    </row>
    <row r="1118" spans="1:6" ht="45" hidden="1" customHeight="1">
      <c r="A1118" s="849">
        <f>'[2]Building (2)'!A1117</f>
        <v>0</v>
      </c>
      <c r="B1118" s="855">
        <f>'[2]Building (2)'!U1117</f>
        <v>0</v>
      </c>
      <c r="C1118" s="856">
        <f>'[2]Building (2)'!B1117</f>
        <v>0</v>
      </c>
      <c r="D1118" s="852">
        <f>'[2]Building (2)'!C1117</f>
        <v>0</v>
      </c>
      <c r="E1118" s="853">
        <f>'[2]Building (2)'!D1117</f>
        <v>0</v>
      </c>
      <c r="F1118" s="852">
        <f t="shared" si="19"/>
        <v>0</v>
      </c>
    </row>
    <row r="1119" spans="1:6" ht="45" hidden="1" customHeight="1">
      <c r="A1119" s="849">
        <f>'[2]Building (2)'!A1118</f>
        <v>0</v>
      </c>
      <c r="B1119" s="855">
        <f>'[2]Building (2)'!U1118</f>
        <v>0</v>
      </c>
      <c r="C1119" s="856">
        <f>'[2]Building (2)'!B1118</f>
        <v>0</v>
      </c>
      <c r="D1119" s="852">
        <f>'[2]Building (2)'!C1118</f>
        <v>0</v>
      </c>
      <c r="E1119" s="853">
        <f>'[2]Building (2)'!D1118</f>
        <v>0</v>
      </c>
      <c r="F1119" s="852">
        <f t="shared" si="19"/>
        <v>0</v>
      </c>
    </row>
    <row r="1120" spans="1:6" ht="45" hidden="1" customHeight="1">
      <c r="A1120" s="849">
        <f>'[2]Building (2)'!A1119</f>
        <v>0</v>
      </c>
      <c r="B1120" s="855">
        <f>'[2]Building (2)'!U1119</f>
        <v>0</v>
      </c>
      <c r="C1120" s="856">
        <f>'[2]Building (2)'!B1119</f>
        <v>0</v>
      </c>
      <c r="D1120" s="852">
        <f>'[2]Building (2)'!C1119</f>
        <v>0</v>
      </c>
      <c r="E1120" s="853">
        <f>'[2]Building (2)'!D1119</f>
        <v>0</v>
      </c>
      <c r="F1120" s="852">
        <f t="shared" si="19"/>
        <v>0</v>
      </c>
    </row>
    <row r="1121" spans="1:6" ht="45" hidden="1" customHeight="1">
      <c r="A1121" s="849">
        <f>'[2]Building (2)'!A1120</f>
        <v>0</v>
      </c>
      <c r="B1121" s="855">
        <f>'[2]Building (2)'!U1120</f>
        <v>0</v>
      </c>
      <c r="C1121" s="856">
        <f>'[2]Building (2)'!B1120</f>
        <v>0</v>
      </c>
      <c r="D1121" s="852">
        <f>'[2]Building (2)'!C1120</f>
        <v>0</v>
      </c>
      <c r="E1121" s="853">
        <f>'[2]Building (2)'!D1120</f>
        <v>0</v>
      </c>
      <c r="F1121" s="852">
        <f t="shared" si="19"/>
        <v>0</v>
      </c>
    </row>
    <row r="1122" spans="1:6" ht="45" hidden="1" customHeight="1">
      <c r="A1122" s="849">
        <f>'[2]Building (2)'!A1121</f>
        <v>0</v>
      </c>
      <c r="B1122" s="855">
        <f>'[2]Building (2)'!U1121</f>
        <v>0</v>
      </c>
      <c r="C1122" s="856">
        <f>'[2]Building (2)'!B1121</f>
        <v>0</v>
      </c>
      <c r="D1122" s="852">
        <f>'[2]Building (2)'!C1121</f>
        <v>0</v>
      </c>
      <c r="E1122" s="853">
        <f>'[2]Building (2)'!D1121</f>
        <v>0</v>
      </c>
      <c r="F1122" s="852">
        <f t="shared" si="19"/>
        <v>0</v>
      </c>
    </row>
    <row r="1123" spans="1:6" ht="45" hidden="1" customHeight="1">
      <c r="A1123" s="849">
        <f>'[2]Building (2)'!A1122</f>
        <v>0</v>
      </c>
      <c r="B1123" s="855">
        <f>'[2]Building (2)'!U1122</f>
        <v>0</v>
      </c>
      <c r="C1123" s="856">
        <f>'[2]Building (2)'!B1122</f>
        <v>0</v>
      </c>
      <c r="D1123" s="852">
        <f>'[2]Building (2)'!C1122</f>
        <v>0</v>
      </c>
      <c r="E1123" s="853">
        <f>'[2]Building (2)'!D1122</f>
        <v>0</v>
      </c>
      <c r="F1123" s="852">
        <f t="shared" si="19"/>
        <v>0</v>
      </c>
    </row>
    <row r="1124" spans="1:6" ht="45" hidden="1" customHeight="1">
      <c r="A1124" s="849">
        <f>'[2]Building (2)'!A1123</f>
        <v>0</v>
      </c>
      <c r="B1124" s="855">
        <f>'[2]Building (2)'!U1123</f>
        <v>0</v>
      </c>
      <c r="C1124" s="856">
        <f>'[2]Building (2)'!B1123</f>
        <v>0</v>
      </c>
      <c r="D1124" s="852">
        <f>'[2]Building (2)'!C1123</f>
        <v>0</v>
      </c>
      <c r="E1124" s="853">
        <f>'[2]Building (2)'!D1123</f>
        <v>0</v>
      </c>
      <c r="F1124" s="852">
        <f t="shared" si="19"/>
        <v>0</v>
      </c>
    </row>
    <row r="1125" spans="1:6" ht="45" hidden="1" customHeight="1">
      <c r="A1125" s="849">
        <f>'[2]Building (2)'!A1124</f>
        <v>0</v>
      </c>
      <c r="B1125" s="855">
        <f>'[2]Building (2)'!U1124</f>
        <v>0</v>
      </c>
      <c r="C1125" s="856">
        <f>'[2]Building (2)'!B1124</f>
        <v>0</v>
      </c>
      <c r="D1125" s="852">
        <f>'[2]Building (2)'!C1124</f>
        <v>0</v>
      </c>
      <c r="E1125" s="853">
        <f>'[2]Building (2)'!D1124</f>
        <v>0</v>
      </c>
      <c r="F1125" s="852">
        <f t="shared" si="19"/>
        <v>0</v>
      </c>
    </row>
    <row r="1126" spans="1:6" ht="45" hidden="1" customHeight="1">
      <c r="A1126" s="849">
        <f>'[2]Building (2)'!A1125</f>
        <v>0</v>
      </c>
      <c r="B1126" s="855">
        <f>'[2]Building (2)'!U1125</f>
        <v>0</v>
      </c>
      <c r="C1126" s="856">
        <f>'[2]Building (2)'!B1125</f>
        <v>0</v>
      </c>
      <c r="D1126" s="852">
        <f>'[2]Building (2)'!C1125</f>
        <v>0</v>
      </c>
      <c r="E1126" s="853">
        <f>'[2]Building (2)'!D1125</f>
        <v>0</v>
      </c>
      <c r="F1126" s="852">
        <f t="shared" si="19"/>
        <v>0</v>
      </c>
    </row>
    <row r="1127" spans="1:6" ht="45" hidden="1" customHeight="1">
      <c r="A1127" s="849">
        <f>'[2]Building (2)'!A1126</f>
        <v>0</v>
      </c>
      <c r="B1127" s="855">
        <f>'[2]Building (2)'!U1126</f>
        <v>0</v>
      </c>
      <c r="C1127" s="856">
        <f>'[2]Building (2)'!B1126</f>
        <v>0</v>
      </c>
      <c r="D1127" s="852">
        <f>'[2]Building (2)'!C1126</f>
        <v>0</v>
      </c>
      <c r="E1127" s="853">
        <f>'[2]Building (2)'!D1126</f>
        <v>0</v>
      </c>
      <c r="F1127" s="852">
        <f t="shared" si="19"/>
        <v>0</v>
      </c>
    </row>
    <row r="1128" spans="1:6" ht="45" hidden="1" customHeight="1">
      <c r="A1128" s="849">
        <f>'[2]Building (2)'!A1127</f>
        <v>0</v>
      </c>
      <c r="B1128" s="855">
        <f>'[2]Building (2)'!U1127</f>
        <v>0</v>
      </c>
      <c r="C1128" s="856">
        <f>'[2]Building (2)'!B1127</f>
        <v>0</v>
      </c>
      <c r="D1128" s="852">
        <f>'[2]Building (2)'!C1127</f>
        <v>0</v>
      </c>
      <c r="E1128" s="853">
        <f>'[2]Building (2)'!D1127</f>
        <v>0</v>
      </c>
      <c r="F1128" s="852">
        <f t="shared" si="19"/>
        <v>0</v>
      </c>
    </row>
    <row r="1129" spans="1:6" ht="45" hidden="1" customHeight="1">
      <c r="A1129" s="849">
        <f>'[2]Building (2)'!A1128</f>
        <v>0</v>
      </c>
      <c r="B1129" s="855">
        <f>'[2]Building (2)'!U1128</f>
        <v>0</v>
      </c>
      <c r="C1129" s="856">
        <f>'[2]Building (2)'!B1128</f>
        <v>0</v>
      </c>
      <c r="D1129" s="852">
        <f>'[2]Building (2)'!C1128</f>
        <v>0</v>
      </c>
      <c r="E1129" s="853">
        <f>'[2]Building (2)'!D1128</f>
        <v>0</v>
      </c>
      <c r="F1129" s="852">
        <f t="shared" si="19"/>
        <v>0</v>
      </c>
    </row>
    <row r="1130" spans="1:6" ht="45" hidden="1" customHeight="1">
      <c r="A1130" s="849">
        <f>'[2]Building (2)'!A1129</f>
        <v>0</v>
      </c>
      <c r="B1130" s="855">
        <f>'[2]Building (2)'!U1129</f>
        <v>0</v>
      </c>
      <c r="C1130" s="856">
        <f>'[2]Building (2)'!B1129</f>
        <v>0</v>
      </c>
      <c r="D1130" s="852">
        <f>'[2]Building (2)'!C1129</f>
        <v>0</v>
      </c>
      <c r="E1130" s="853">
        <f>'[2]Building (2)'!D1129</f>
        <v>0</v>
      </c>
      <c r="F1130" s="852">
        <f t="shared" si="19"/>
        <v>0</v>
      </c>
    </row>
    <row r="1131" spans="1:6" ht="45" hidden="1" customHeight="1">
      <c r="A1131" s="849">
        <f>'[2]Building (2)'!A1130</f>
        <v>0</v>
      </c>
      <c r="B1131" s="855">
        <f>'[2]Building (2)'!U1130</f>
        <v>0</v>
      </c>
      <c r="C1131" s="856">
        <f>'[2]Building (2)'!B1130</f>
        <v>0</v>
      </c>
      <c r="D1131" s="852">
        <f>'[2]Building (2)'!C1130</f>
        <v>0</v>
      </c>
      <c r="E1131" s="853">
        <f>'[2]Building (2)'!D1130</f>
        <v>0</v>
      </c>
      <c r="F1131" s="852">
        <f t="shared" si="19"/>
        <v>0</v>
      </c>
    </row>
    <row r="1132" spans="1:6" ht="45" hidden="1" customHeight="1">
      <c r="A1132" s="849">
        <f>'[2]Building (2)'!A1131</f>
        <v>0</v>
      </c>
      <c r="B1132" s="855">
        <f>'[2]Building (2)'!U1131</f>
        <v>0</v>
      </c>
      <c r="C1132" s="856">
        <f>'[2]Building (2)'!B1131</f>
        <v>0</v>
      </c>
      <c r="D1132" s="852">
        <f>'[2]Building (2)'!C1131</f>
        <v>0</v>
      </c>
      <c r="E1132" s="853">
        <f>'[2]Building (2)'!D1131</f>
        <v>0</v>
      </c>
      <c r="F1132" s="852">
        <f t="shared" si="19"/>
        <v>0</v>
      </c>
    </row>
    <row r="1133" spans="1:6" ht="45" hidden="1" customHeight="1">
      <c r="A1133" s="849">
        <f>'[2]Building (2)'!A1132</f>
        <v>0</v>
      </c>
      <c r="B1133" s="855">
        <f>'[2]Building (2)'!U1132</f>
        <v>0</v>
      </c>
      <c r="C1133" s="856">
        <f>'[2]Building (2)'!B1132</f>
        <v>0</v>
      </c>
      <c r="D1133" s="852">
        <f>'[2]Building (2)'!C1132</f>
        <v>0</v>
      </c>
      <c r="E1133" s="853">
        <f>'[2]Building (2)'!D1132</f>
        <v>0</v>
      </c>
      <c r="F1133" s="852">
        <f t="shared" si="19"/>
        <v>0</v>
      </c>
    </row>
    <row r="1134" spans="1:6" ht="45" hidden="1" customHeight="1">
      <c r="A1134" s="849">
        <f>'[2]Building (2)'!A1133</f>
        <v>0</v>
      </c>
      <c r="B1134" s="855">
        <f>'[2]Building (2)'!U1133</f>
        <v>0</v>
      </c>
      <c r="C1134" s="856">
        <f>'[2]Building (2)'!B1133</f>
        <v>0</v>
      </c>
      <c r="D1134" s="852">
        <f>'[2]Building (2)'!C1133</f>
        <v>0</v>
      </c>
      <c r="E1134" s="853">
        <f>'[2]Building (2)'!D1133</f>
        <v>0</v>
      </c>
      <c r="F1134" s="852">
        <f t="shared" si="19"/>
        <v>0</v>
      </c>
    </row>
    <row r="1135" spans="1:6" ht="45" hidden="1" customHeight="1">
      <c r="A1135" s="849">
        <f>'[2]Building (2)'!A1134</f>
        <v>0</v>
      </c>
      <c r="B1135" s="855">
        <f>'[2]Building (2)'!U1134</f>
        <v>0</v>
      </c>
      <c r="C1135" s="856">
        <f>'[2]Building (2)'!B1134</f>
        <v>0</v>
      </c>
      <c r="D1135" s="852">
        <f>'[2]Building (2)'!C1134</f>
        <v>0</v>
      </c>
      <c r="E1135" s="853">
        <f>'[2]Building (2)'!D1134</f>
        <v>0</v>
      </c>
      <c r="F1135" s="852">
        <f t="shared" si="19"/>
        <v>0</v>
      </c>
    </row>
    <row r="1136" spans="1:6" ht="45" hidden="1" customHeight="1">
      <c r="A1136" s="849">
        <f>'[2]Building (2)'!A1135</f>
        <v>0</v>
      </c>
      <c r="B1136" s="855">
        <f>'[2]Building (2)'!U1135</f>
        <v>0</v>
      </c>
      <c r="C1136" s="856">
        <f>'[2]Building (2)'!B1135</f>
        <v>0</v>
      </c>
      <c r="D1136" s="852">
        <f>'[2]Building (2)'!C1135</f>
        <v>0</v>
      </c>
      <c r="E1136" s="853">
        <f>'[2]Building (2)'!D1135</f>
        <v>0</v>
      </c>
      <c r="F1136" s="852">
        <f t="shared" si="19"/>
        <v>0</v>
      </c>
    </row>
    <row r="1137" spans="1:6" ht="45" hidden="1" customHeight="1">
      <c r="A1137" s="849">
        <f>'[2]Building (2)'!A1136</f>
        <v>0</v>
      </c>
      <c r="B1137" s="855">
        <f>'[2]Building (2)'!U1136</f>
        <v>0</v>
      </c>
      <c r="C1137" s="856">
        <f>'[2]Building (2)'!B1136</f>
        <v>0</v>
      </c>
      <c r="D1137" s="852">
        <f>'[2]Building (2)'!C1136</f>
        <v>0</v>
      </c>
      <c r="E1137" s="853">
        <f>'[2]Building (2)'!D1136</f>
        <v>0</v>
      </c>
      <c r="F1137" s="852">
        <f t="shared" si="19"/>
        <v>0</v>
      </c>
    </row>
    <row r="1138" spans="1:6" ht="45" hidden="1" customHeight="1">
      <c r="A1138" s="849">
        <f>'[2]Building (2)'!A1137</f>
        <v>0</v>
      </c>
      <c r="B1138" s="855">
        <f>'[2]Building (2)'!U1137</f>
        <v>0</v>
      </c>
      <c r="C1138" s="856">
        <f>'[2]Building (2)'!B1137</f>
        <v>0</v>
      </c>
      <c r="D1138" s="852">
        <f>'[2]Building (2)'!C1137</f>
        <v>0</v>
      </c>
      <c r="E1138" s="853">
        <f>'[2]Building (2)'!D1137</f>
        <v>0</v>
      </c>
      <c r="F1138" s="852">
        <f t="shared" si="19"/>
        <v>0</v>
      </c>
    </row>
    <row r="1139" spans="1:6" ht="45" hidden="1" customHeight="1">
      <c r="A1139" s="849">
        <f>'[2]Building (2)'!A1138</f>
        <v>0</v>
      </c>
      <c r="B1139" s="855">
        <f>'[2]Building (2)'!U1138</f>
        <v>0</v>
      </c>
      <c r="C1139" s="856">
        <f>'[2]Building (2)'!B1138</f>
        <v>0</v>
      </c>
      <c r="D1139" s="852">
        <f>'[2]Building (2)'!C1138</f>
        <v>0</v>
      </c>
      <c r="E1139" s="853">
        <f>'[2]Building (2)'!D1138</f>
        <v>0</v>
      </c>
      <c r="F1139" s="852">
        <f t="shared" si="19"/>
        <v>0</v>
      </c>
    </row>
    <row r="1140" spans="1:6" ht="45" hidden="1" customHeight="1">
      <c r="A1140" s="849">
        <f>'[2]Building (2)'!A1139</f>
        <v>0</v>
      </c>
      <c r="B1140" s="855">
        <f>'[2]Building (2)'!U1139</f>
        <v>0</v>
      </c>
      <c r="C1140" s="856">
        <f>'[2]Building (2)'!B1139</f>
        <v>0</v>
      </c>
      <c r="D1140" s="852">
        <f>'[2]Building (2)'!C1139</f>
        <v>0</v>
      </c>
      <c r="E1140" s="853">
        <f>'[2]Building (2)'!D1139</f>
        <v>0</v>
      </c>
      <c r="F1140" s="852">
        <f t="shared" si="19"/>
        <v>0</v>
      </c>
    </row>
    <row r="1141" spans="1:6" ht="45" hidden="1" customHeight="1">
      <c r="A1141" s="849">
        <f>'[2]Building (2)'!A1140</f>
        <v>0</v>
      </c>
      <c r="B1141" s="855">
        <f>'[2]Building (2)'!U1140</f>
        <v>0</v>
      </c>
      <c r="C1141" s="856">
        <f>'[2]Building (2)'!B1140</f>
        <v>0</v>
      </c>
      <c r="D1141" s="852">
        <f>'[2]Building (2)'!C1140</f>
        <v>0</v>
      </c>
      <c r="E1141" s="853">
        <f>'[2]Building (2)'!D1140</f>
        <v>0</v>
      </c>
      <c r="F1141" s="852">
        <f t="shared" si="19"/>
        <v>0</v>
      </c>
    </row>
    <row r="1142" spans="1:6" ht="45" hidden="1" customHeight="1">
      <c r="A1142" s="849">
        <f>'[2]Building (2)'!A1141</f>
        <v>0</v>
      </c>
      <c r="B1142" s="855">
        <f>'[2]Building (2)'!U1141</f>
        <v>0</v>
      </c>
      <c r="C1142" s="856">
        <f>'[2]Building (2)'!B1141</f>
        <v>0</v>
      </c>
      <c r="D1142" s="852">
        <f>'[2]Building (2)'!C1141</f>
        <v>0</v>
      </c>
      <c r="E1142" s="853">
        <f>'[2]Building (2)'!D1141</f>
        <v>0</v>
      </c>
      <c r="F1142" s="852">
        <f t="shared" si="19"/>
        <v>0</v>
      </c>
    </row>
    <row r="1143" spans="1:6" ht="45" hidden="1" customHeight="1">
      <c r="A1143" s="849">
        <f>'[2]Building (2)'!A1142</f>
        <v>0</v>
      </c>
      <c r="B1143" s="855">
        <f>'[2]Building (2)'!U1142</f>
        <v>0</v>
      </c>
      <c r="C1143" s="856">
        <f>'[2]Building (2)'!B1142</f>
        <v>0</v>
      </c>
      <c r="D1143" s="852">
        <f>'[2]Building (2)'!C1142</f>
        <v>0</v>
      </c>
      <c r="E1143" s="853">
        <f>'[2]Building (2)'!D1142</f>
        <v>0</v>
      </c>
      <c r="F1143" s="852">
        <f t="shared" si="19"/>
        <v>0</v>
      </c>
    </row>
    <row r="1144" spans="1:6" ht="45" hidden="1" customHeight="1">
      <c r="A1144" s="849">
        <f>'[2]Building (2)'!A1143</f>
        <v>0</v>
      </c>
      <c r="B1144" s="855">
        <f>'[2]Building (2)'!U1143</f>
        <v>0</v>
      </c>
      <c r="C1144" s="856">
        <f>'[2]Building (2)'!B1143</f>
        <v>0</v>
      </c>
      <c r="D1144" s="852">
        <f>'[2]Building (2)'!C1143</f>
        <v>0</v>
      </c>
      <c r="E1144" s="853">
        <f>'[2]Building (2)'!D1143</f>
        <v>0</v>
      </c>
      <c r="F1144" s="852">
        <f t="shared" si="19"/>
        <v>0</v>
      </c>
    </row>
    <row r="1145" spans="1:6" ht="45" hidden="1" customHeight="1">
      <c r="A1145" s="849">
        <f>'[2]Building (2)'!A1144</f>
        <v>0</v>
      </c>
      <c r="B1145" s="855">
        <f>'[2]Building (2)'!U1144</f>
        <v>0</v>
      </c>
      <c r="C1145" s="856">
        <f>'[2]Building (2)'!B1144</f>
        <v>0</v>
      </c>
      <c r="D1145" s="852">
        <f>'[2]Building (2)'!C1144</f>
        <v>0</v>
      </c>
      <c r="E1145" s="853">
        <f>'[2]Building (2)'!D1144</f>
        <v>0</v>
      </c>
      <c r="F1145" s="852">
        <f t="shared" si="19"/>
        <v>0</v>
      </c>
    </row>
    <row r="1146" spans="1:6" ht="45" hidden="1" customHeight="1">
      <c r="A1146" s="849">
        <f>'[2]Building (2)'!A1145</f>
        <v>0</v>
      </c>
      <c r="B1146" s="855">
        <f>'[2]Building (2)'!U1145</f>
        <v>0</v>
      </c>
      <c r="C1146" s="856">
        <f>'[2]Building (2)'!B1145</f>
        <v>0</v>
      </c>
      <c r="D1146" s="852">
        <f>'[2]Building (2)'!C1145</f>
        <v>0</v>
      </c>
      <c r="E1146" s="853">
        <f>'[2]Building (2)'!D1145</f>
        <v>0</v>
      </c>
      <c r="F1146" s="852">
        <f t="shared" si="19"/>
        <v>0</v>
      </c>
    </row>
    <row r="1147" spans="1:6" ht="45" hidden="1" customHeight="1">
      <c r="A1147" s="849">
        <f>'[2]Building (2)'!A1146</f>
        <v>0</v>
      </c>
      <c r="B1147" s="855">
        <f>'[2]Building (2)'!U1146</f>
        <v>0</v>
      </c>
      <c r="C1147" s="856">
        <f>'[2]Building (2)'!B1146</f>
        <v>0</v>
      </c>
      <c r="D1147" s="852">
        <f>'[2]Building (2)'!C1146</f>
        <v>0</v>
      </c>
      <c r="E1147" s="853">
        <f>'[2]Building (2)'!D1146</f>
        <v>0</v>
      </c>
      <c r="F1147" s="852">
        <f t="shared" si="19"/>
        <v>0</v>
      </c>
    </row>
    <row r="1148" spans="1:6" ht="45" hidden="1" customHeight="1">
      <c r="A1148" s="849">
        <f>'[2]Building (2)'!A1147</f>
        <v>0</v>
      </c>
      <c r="B1148" s="855">
        <f>'[2]Building (2)'!U1147</f>
        <v>0</v>
      </c>
      <c r="C1148" s="856">
        <f>'[2]Building (2)'!B1147</f>
        <v>0</v>
      </c>
      <c r="D1148" s="852">
        <f>'[2]Building (2)'!C1147</f>
        <v>0</v>
      </c>
      <c r="E1148" s="853">
        <f>'[2]Building (2)'!D1147</f>
        <v>0</v>
      </c>
      <c r="F1148" s="852">
        <f t="shared" si="19"/>
        <v>0</v>
      </c>
    </row>
    <row r="1149" spans="1:6" ht="45" hidden="1" customHeight="1">
      <c r="A1149" s="849">
        <f>'[2]Building (2)'!A1148</f>
        <v>0</v>
      </c>
      <c r="B1149" s="855">
        <f>'[2]Building (2)'!U1148</f>
        <v>0</v>
      </c>
      <c r="C1149" s="856">
        <f>'[2]Building (2)'!B1148</f>
        <v>0</v>
      </c>
      <c r="D1149" s="852">
        <f>'[2]Building (2)'!C1148</f>
        <v>0</v>
      </c>
      <c r="E1149" s="853">
        <f>'[2]Building (2)'!D1148</f>
        <v>0</v>
      </c>
      <c r="F1149" s="852">
        <f t="shared" si="19"/>
        <v>0</v>
      </c>
    </row>
    <row r="1150" spans="1:6" ht="45" hidden="1" customHeight="1">
      <c r="A1150" s="849">
        <f>'[2]Building (2)'!A1149</f>
        <v>0</v>
      </c>
      <c r="B1150" s="855">
        <f>'[2]Building (2)'!U1149</f>
        <v>0</v>
      </c>
      <c r="C1150" s="856">
        <f>'[2]Building (2)'!B1149</f>
        <v>0</v>
      </c>
      <c r="D1150" s="852">
        <f>'[2]Building (2)'!C1149</f>
        <v>0</v>
      </c>
      <c r="E1150" s="853">
        <f>'[2]Building (2)'!D1149</f>
        <v>0</v>
      </c>
      <c r="F1150" s="852">
        <f t="shared" si="19"/>
        <v>0</v>
      </c>
    </row>
    <row r="1151" spans="1:6" ht="45" hidden="1" customHeight="1">
      <c r="A1151" s="849">
        <f>'[2]Building (2)'!A1150</f>
        <v>0</v>
      </c>
      <c r="B1151" s="855">
        <f>'[2]Building (2)'!U1150</f>
        <v>0</v>
      </c>
      <c r="C1151" s="856">
        <f>'[2]Building (2)'!B1150</f>
        <v>0</v>
      </c>
      <c r="D1151" s="852">
        <f>'[2]Building (2)'!C1150</f>
        <v>0</v>
      </c>
      <c r="E1151" s="853">
        <f>'[2]Building (2)'!D1150</f>
        <v>0</v>
      </c>
      <c r="F1151" s="852">
        <f t="shared" si="19"/>
        <v>0</v>
      </c>
    </row>
    <row r="1152" spans="1:6" ht="45" hidden="1" customHeight="1">
      <c r="A1152" s="849">
        <f>'[2]Building (2)'!A1151</f>
        <v>0</v>
      </c>
      <c r="B1152" s="855">
        <f>'[2]Building (2)'!U1151</f>
        <v>0</v>
      </c>
      <c r="C1152" s="856">
        <f>'[2]Building (2)'!B1151</f>
        <v>0</v>
      </c>
      <c r="D1152" s="852">
        <f>'[2]Building (2)'!C1151</f>
        <v>0</v>
      </c>
      <c r="E1152" s="853">
        <f>'[2]Building (2)'!D1151</f>
        <v>0</v>
      </c>
      <c r="F1152" s="852">
        <f t="shared" si="19"/>
        <v>0</v>
      </c>
    </row>
    <row r="1153" spans="1:6" ht="45" hidden="1" customHeight="1">
      <c r="A1153" s="849">
        <f>'[2]Building (2)'!A1152</f>
        <v>0</v>
      </c>
      <c r="B1153" s="855">
        <f>'[2]Building (2)'!U1152</f>
        <v>0</v>
      </c>
      <c r="C1153" s="856">
        <f>'[2]Building (2)'!B1152</f>
        <v>0</v>
      </c>
      <c r="D1153" s="852">
        <f>'[2]Building (2)'!C1152</f>
        <v>0</v>
      </c>
      <c r="E1153" s="853">
        <f>'[2]Building (2)'!D1152</f>
        <v>0</v>
      </c>
      <c r="F1153" s="852">
        <f t="shared" si="19"/>
        <v>0</v>
      </c>
    </row>
    <row r="1154" spans="1:6" ht="45" hidden="1" customHeight="1">
      <c r="A1154" s="849">
        <f>'[2]Building (2)'!A1153</f>
        <v>0</v>
      </c>
      <c r="B1154" s="855">
        <f>'[2]Building (2)'!U1153</f>
        <v>0</v>
      </c>
      <c r="C1154" s="856">
        <f>'[2]Building (2)'!B1153</f>
        <v>0</v>
      </c>
      <c r="D1154" s="852">
        <f>'[2]Building (2)'!C1153</f>
        <v>0</v>
      </c>
      <c r="E1154" s="853">
        <f>'[2]Building (2)'!D1153</f>
        <v>0</v>
      </c>
      <c r="F1154" s="852">
        <f t="shared" si="19"/>
        <v>0</v>
      </c>
    </row>
    <row r="1155" spans="1:6" ht="45" hidden="1" customHeight="1">
      <c r="A1155" s="849">
        <f>'[2]Building (2)'!A1154</f>
        <v>0</v>
      </c>
      <c r="B1155" s="855">
        <f>'[2]Building (2)'!U1154</f>
        <v>0</v>
      </c>
      <c r="C1155" s="856">
        <f>'[2]Building (2)'!B1154</f>
        <v>0</v>
      </c>
      <c r="D1155" s="852">
        <f>'[2]Building (2)'!C1154</f>
        <v>0</v>
      </c>
      <c r="E1155" s="853">
        <f>'[2]Building (2)'!D1154</f>
        <v>0</v>
      </c>
      <c r="F1155" s="852">
        <f t="shared" si="19"/>
        <v>0</v>
      </c>
    </row>
    <row r="1156" spans="1:6" ht="45" hidden="1" customHeight="1">
      <c r="A1156" s="849">
        <f>'[2]Building (2)'!A1155</f>
        <v>0</v>
      </c>
      <c r="B1156" s="855">
        <f>'[2]Building (2)'!U1155</f>
        <v>0</v>
      </c>
      <c r="C1156" s="856">
        <f>'[2]Building (2)'!B1155</f>
        <v>0</v>
      </c>
      <c r="D1156" s="852">
        <f>'[2]Building (2)'!C1155</f>
        <v>0</v>
      </c>
      <c r="E1156" s="853">
        <f>'[2]Building (2)'!D1155</f>
        <v>0</v>
      </c>
      <c r="F1156" s="852">
        <f t="shared" si="19"/>
        <v>0</v>
      </c>
    </row>
    <row r="1157" spans="1:6" ht="45" hidden="1" customHeight="1">
      <c r="A1157" s="849">
        <f>'[2]Building (2)'!A1156</f>
        <v>0</v>
      </c>
      <c r="B1157" s="855">
        <f>'[2]Building (2)'!U1156</f>
        <v>0</v>
      </c>
      <c r="C1157" s="856">
        <f>'[2]Building (2)'!B1156</f>
        <v>0</v>
      </c>
      <c r="D1157" s="852">
        <f>'[2]Building (2)'!C1156</f>
        <v>0</v>
      </c>
      <c r="E1157" s="853">
        <f>'[2]Building (2)'!D1156</f>
        <v>0</v>
      </c>
      <c r="F1157" s="852">
        <f t="shared" si="19"/>
        <v>0</v>
      </c>
    </row>
    <row r="1158" spans="1:6" ht="45" hidden="1" customHeight="1">
      <c r="A1158" s="849">
        <f>'[2]Building (2)'!A1157</f>
        <v>0</v>
      </c>
      <c r="B1158" s="855">
        <f>'[2]Building (2)'!U1157</f>
        <v>0</v>
      </c>
      <c r="C1158" s="856">
        <f>'[2]Building (2)'!B1157</f>
        <v>0</v>
      </c>
      <c r="D1158" s="852">
        <f>'[2]Building (2)'!C1157</f>
        <v>0</v>
      </c>
      <c r="E1158" s="853">
        <f>'[2]Building (2)'!D1157</f>
        <v>0</v>
      </c>
      <c r="F1158" s="852">
        <f t="shared" si="19"/>
        <v>0</v>
      </c>
    </row>
    <row r="1159" spans="1:6" ht="45" hidden="1" customHeight="1">
      <c r="A1159" s="849">
        <f>'[2]Building (2)'!A1158</f>
        <v>0</v>
      </c>
      <c r="B1159" s="855">
        <f>'[2]Building (2)'!U1158</f>
        <v>0</v>
      </c>
      <c r="C1159" s="856">
        <f>'[2]Building (2)'!B1158</f>
        <v>0</v>
      </c>
      <c r="D1159" s="852">
        <f>'[2]Building (2)'!C1158</f>
        <v>0</v>
      </c>
      <c r="E1159" s="853">
        <f>'[2]Building (2)'!D1158</f>
        <v>0</v>
      </c>
      <c r="F1159" s="852">
        <f t="shared" si="19"/>
        <v>0</v>
      </c>
    </row>
    <row r="1160" spans="1:6" ht="45" hidden="1" customHeight="1">
      <c r="A1160" s="849">
        <f>'[2]Building (2)'!A1159</f>
        <v>0</v>
      </c>
      <c r="B1160" s="855">
        <f>'[2]Building (2)'!U1159</f>
        <v>0</v>
      </c>
      <c r="C1160" s="856">
        <f>'[2]Building (2)'!B1159</f>
        <v>0</v>
      </c>
      <c r="D1160" s="852">
        <f>'[2]Building (2)'!C1159</f>
        <v>0</v>
      </c>
      <c r="E1160" s="853">
        <f>'[2]Building (2)'!D1159</f>
        <v>0</v>
      </c>
      <c r="F1160" s="852">
        <f t="shared" si="19"/>
        <v>0</v>
      </c>
    </row>
    <row r="1161" spans="1:6" ht="45" hidden="1" customHeight="1">
      <c r="A1161" s="849">
        <f>'[2]Building (2)'!A1160</f>
        <v>0</v>
      </c>
      <c r="B1161" s="855">
        <f>'[2]Building (2)'!U1160</f>
        <v>0</v>
      </c>
      <c r="C1161" s="856">
        <f>'[2]Building (2)'!B1160</f>
        <v>0</v>
      </c>
      <c r="D1161" s="852">
        <f>'[2]Building (2)'!C1160</f>
        <v>0</v>
      </c>
      <c r="E1161" s="853">
        <f>'[2]Building (2)'!D1160</f>
        <v>0</v>
      </c>
      <c r="F1161" s="852">
        <f t="shared" si="19"/>
        <v>0</v>
      </c>
    </row>
    <row r="1162" spans="1:6" ht="45" hidden="1" customHeight="1">
      <c r="A1162" s="849">
        <f>'[2]Building (2)'!A1161</f>
        <v>0</v>
      </c>
      <c r="B1162" s="855">
        <f>'[2]Building (2)'!U1161</f>
        <v>0</v>
      </c>
      <c r="C1162" s="856">
        <f>'[2]Building (2)'!B1161</f>
        <v>0</v>
      </c>
      <c r="D1162" s="852">
        <f>'[2]Building (2)'!C1161</f>
        <v>0</v>
      </c>
      <c r="E1162" s="853">
        <f>'[2]Building (2)'!D1161</f>
        <v>0</v>
      </c>
      <c r="F1162" s="852">
        <f t="shared" ref="F1162:F1214" si="20">D1162*B1162</f>
        <v>0</v>
      </c>
    </row>
    <row r="1163" spans="1:6" ht="45" hidden="1" customHeight="1">
      <c r="A1163" s="849">
        <f>'[2]Building (2)'!A1162</f>
        <v>0</v>
      </c>
      <c r="B1163" s="855">
        <f>'[2]Building (2)'!U1162</f>
        <v>0</v>
      </c>
      <c r="C1163" s="856">
        <f>'[2]Building (2)'!B1162</f>
        <v>0</v>
      </c>
      <c r="D1163" s="852">
        <f>'[2]Building (2)'!C1162</f>
        <v>0</v>
      </c>
      <c r="E1163" s="853">
        <f>'[2]Building (2)'!D1162</f>
        <v>0</v>
      </c>
      <c r="F1163" s="852">
        <f t="shared" si="20"/>
        <v>0</v>
      </c>
    </row>
    <row r="1164" spans="1:6" ht="45" hidden="1" customHeight="1">
      <c r="A1164" s="849">
        <f>'[2]Building (2)'!A1163</f>
        <v>0</v>
      </c>
      <c r="B1164" s="855">
        <f>'[2]Building (2)'!U1163</f>
        <v>0</v>
      </c>
      <c r="C1164" s="856">
        <f>'[2]Building (2)'!B1163</f>
        <v>0</v>
      </c>
      <c r="D1164" s="852">
        <f>'[2]Building (2)'!C1163</f>
        <v>0</v>
      </c>
      <c r="E1164" s="853">
        <f>'[2]Building (2)'!D1163</f>
        <v>0</v>
      </c>
      <c r="F1164" s="852">
        <f t="shared" si="20"/>
        <v>0</v>
      </c>
    </row>
    <row r="1165" spans="1:6" ht="45" hidden="1" customHeight="1">
      <c r="A1165" s="849">
        <f>'[2]Building (2)'!A1164</f>
        <v>0</v>
      </c>
      <c r="B1165" s="855">
        <f>'[2]Building (2)'!U1164</f>
        <v>0</v>
      </c>
      <c r="C1165" s="856">
        <f>'[2]Building (2)'!B1164</f>
        <v>0</v>
      </c>
      <c r="D1165" s="852">
        <f>'[2]Building (2)'!C1164</f>
        <v>0</v>
      </c>
      <c r="E1165" s="853">
        <f>'[2]Building (2)'!D1164</f>
        <v>0</v>
      </c>
      <c r="F1165" s="852">
        <f t="shared" si="20"/>
        <v>0</v>
      </c>
    </row>
    <row r="1166" spans="1:6" ht="45" hidden="1" customHeight="1">
      <c r="A1166" s="849">
        <f>'[2]Building (2)'!A1165</f>
        <v>0</v>
      </c>
      <c r="B1166" s="855">
        <f>'[2]Building (2)'!U1165</f>
        <v>0</v>
      </c>
      <c r="C1166" s="856">
        <f>'[2]Building (2)'!B1165</f>
        <v>0</v>
      </c>
      <c r="D1166" s="852">
        <f>'[2]Building (2)'!C1165</f>
        <v>0</v>
      </c>
      <c r="E1166" s="853">
        <f>'[2]Building (2)'!D1165</f>
        <v>0</v>
      </c>
      <c r="F1166" s="852">
        <f t="shared" si="20"/>
        <v>0</v>
      </c>
    </row>
    <row r="1167" spans="1:6" ht="45" hidden="1" customHeight="1">
      <c r="A1167" s="849">
        <f>'[2]Building (2)'!A1166</f>
        <v>0</v>
      </c>
      <c r="B1167" s="855">
        <f>'[2]Building (2)'!U1166</f>
        <v>0</v>
      </c>
      <c r="C1167" s="856">
        <f>'[2]Building (2)'!B1166</f>
        <v>0</v>
      </c>
      <c r="D1167" s="852">
        <f>'[2]Building (2)'!C1166</f>
        <v>0</v>
      </c>
      <c r="E1167" s="853">
        <f>'[2]Building (2)'!D1166</f>
        <v>0</v>
      </c>
      <c r="F1167" s="852">
        <f t="shared" si="20"/>
        <v>0</v>
      </c>
    </row>
    <row r="1168" spans="1:6" ht="45" hidden="1" customHeight="1">
      <c r="A1168" s="849">
        <f>'[2]Building (2)'!A1167</f>
        <v>0</v>
      </c>
      <c r="B1168" s="855">
        <f>'[2]Building (2)'!U1167</f>
        <v>0</v>
      </c>
      <c r="C1168" s="856">
        <f>'[2]Building (2)'!B1167</f>
        <v>0</v>
      </c>
      <c r="D1168" s="852">
        <f>'[2]Building (2)'!C1167</f>
        <v>0</v>
      </c>
      <c r="E1168" s="853">
        <f>'[2]Building (2)'!D1167</f>
        <v>0</v>
      </c>
      <c r="F1168" s="852">
        <f t="shared" si="20"/>
        <v>0</v>
      </c>
    </row>
    <row r="1169" spans="1:6" ht="45" hidden="1" customHeight="1">
      <c r="A1169" s="849">
        <f>'[2]Building (2)'!A1168</f>
        <v>0</v>
      </c>
      <c r="B1169" s="855">
        <f>'[2]Building (2)'!U1168</f>
        <v>0</v>
      </c>
      <c r="C1169" s="856">
        <f>'[2]Building (2)'!B1168</f>
        <v>0</v>
      </c>
      <c r="D1169" s="852">
        <f>'[2]Building (2)'!C1168</f>
        <v>0</v>
      </c>
      <c r="E1169" s="853">
        <f>'[2]Building (2)'!D1168</f>
        <v>0</v>
      </c>
      <c r="F1169" s="852">
        <f t="shared" si="20"/>
        <v>0</v>
      </c>
    </row>
    <row r="1170" spans="1:6" ht="45" hidden="1" customHeight="1">
      <c r="A1170" s="849">
        <f>'[2]Building (2)'!A1169</f>
        <v>0</v>
      </c>
      <c r="B1170" s="855">
        <f>'[2]Building (2)'!U1169</f>
        <v>0</v>
      </c>
      <c r="C1170" s="856">
        <f>'[2]Building (2)'!B1169</f>
        <v>0</v>
      </c>
      <c r="D1170" s="852">
        <f>'[2]Building (2)'!C1169</f>
        <v>0</v>
      </c>
      <c r="E1170" s="853">
        <f>'[2]Building (2)'!D1169</f>
        <v>0</v>
      </c>
      <c r="F1170" s="852">
        <f t="shared" si="20"/>
        <v>0</v>
      </c>
    </row>
    <row r="1171" spans="1:6" ht="45" hidden="1" customHeight="1">
      <c r="A1171" s="849">
        <f>'[2]Building (2)'!A1170</f>
        <v>0</v>
      </c>
      <c r="B1171" s="855">
        <f>'[2]Building (2)'!U1170</f>
        <v>0</v>
      </c>
      <c r="C1171" s="856">
        <f>'[2]Building (2)'!B1170</f>
        <v>0</v>
      </c>
      <c r="D1171" s="852">
        <f>'[2]Building (2)'!C1170</f>
        <v>0</v>
      </c>
      <c r="E1171" s="853">
        <f>'[2]Building (2)'!D1170</f>
        <v>0</v>
      </c>
      <c r="F1171" s="852">
        <f t="shared" si="20"/>
        <v>0</v>
      </c>
    </row>
    <row r="1172" spans="1:6" ht="45" hidden="1" customHeight="1">
      <c r="A1172" s="849">
        <f>'[2]Building (2)'!A1171</f>
        <v>0</v>
      </c>
      <c r="B1172" s="855">
        <f>'[2]Building (2)'!U1171</f>
        <v>0</v>
      </c>
      <c r="C1172" s="856">
        <f>'[2]Building (2)'!B1171</f>
        <v>0</v>
      </c>
      <c r="D1172" s="852">
        <f>'[2]Building (2)'!C1171</f>
        <v>0</v>
      </c>
      <c r="E1172" s="853">
        <f>'[2]Building (2)'!D1171</f>
        <v>0</v>
      </c>
      <c r="F1172" s="852">
        <f t="shared" si="20"/>
        <v>0</v>
      </c>
    </row>
    <row r="1173" spans="1:6" ht="45" hidden="1" customHeight="1">
      <c r="A1173" s="849">
        <f>'[2]Building (2)'!A1172</f>
        <v>0</v>
      </c>
      <c r="B1173" s="855">
        <f>'[2]Building (2)'!U1172</f>
        <v>0</v>
      </c>
      <c r="C1173" s="856">
        <f>'[2]Building (2)'!B1172</f>
        <v>0</v>
      </c>
      <c r="D1173" s="852">
        <f>'[2]Building (2)'!C1172</f>
        <v>0</v>
      </c>
      <c r="E1173" s="853">
        <f>'[2]Building (2)'!D1172</f>
        <v>0</v>
      </c>
      <c r="F1173" s="852">
        <f t="shared" si="20"/>
        <v>0</v>
      </c>
    </row>
    <row r="1174" spans="1:6" ht="45" hidden="1" customHeight="1">
      <c r="A1174" s="849">
        <f>'[2]Building (2)'!A1173</f>
        <v>0</v>
      </c>
      <c r="B1174" s="855">
        <f>'[2]Building (2)'!U1173</f>
        <v>0</v>
      </c>
      <c r="C1174" s="856">
        <f>'[2]Building (2)'!B1173</f>
        <v>0</v>
      </c>
      <c r="D1174" s="852">
        <f>'[2]Building (2)'!C1173</f>
        <v>0</v>
      </c>
      <c r="E1174" s="853">
        <f>'[2]Building (2)'!D1173</f>
        <v>0</v>
      </c>
      <c r="F1174" s="852">
        <f t="shared" si="20"/>
        <v>0</v>
      </c>
    </row>
    <row r="1175" spans="1:6" ht="45" hidden="1" customHeight="1">
      <c r="A1175" s="849">
        <f>'[2]Building (2)'!A1174</f>
        <v>0</v>
      </c>
      <c r="B1175" s="855">
        <f>'[2]Building (2)'!U1174</f>
        <v>0</v>
      </c>
      <c r="C1175" s="856">
        <f>'[2]Building (2)'!B1174</f>
        <v>0</v>
      </c>
      <c r="D1175" s="852">
        <f>'[2]Building (2)'!C1174</f>
        <v>0</v>
      </c>
      <c r="E1175" s="853">
        <f>'[2]Building (2)'!D1174</f>
        <v>0</v>
      </c>
      <c r="F1175" s="852">
        <f t="shared" si="20"/>
        <v>0</v>
      </c>
    </row>
    <row r="1176" spans="1:6" ht="45" hidden="1" customHeight="1">
      <c r="A1176" s="849">
        <f>'[2]Building (2)'!A1175</f>
        <v>0</v>
      </c>
      <c r="B1176" s="855">
        <f>'[2]Building (2)'!U1175</f>
        <v>0</v>
      </c>
      <c r="C1176" s="856">
        <f>'[2]Building (2)'!B1175</f>
        <v>0</v>
      </c>
      <c r="D1176" s="852">
        <f>'[2]Building (2)'!C1175</f>
        <v>0</v>
      </c>
      <c r="E1176" s="853">
        <f>'[2]Building (2)'!D1175</f>
        <v>0</v>
      </c>
      <c r="F1176" s="852">
        <f t="shared" si="20"/>
        <v>0</v>
      </c>
    </row>
    <row r="1177" spans="1:6" ht="45" hidden="1" customHeight="1">
      <c r="A1177" s="849">
        <f>'[2]Building (2)'!A1176</f>
        <v>0</v>
      </c>
      <c r="B1177" s="855">
        <f>'[2]Building (2)'!U1176</f>
        <v>0</v>
      </c>
      <c r="C1177" s="856">
        <f>'[2]Building (2)'!B1176</f>
        <v>0</v>
      </c>
      <c r="D1177" s="852">
        <f>'[2]Building (2)'!C1176</f>
        <v>0</v>
      </c>
      <c r="E1177" s="853">
        <f>'[2]Building (2)'!D1176</f>
        <v>0</v>
      </c>
      <c r="F1177" s="852">
        <f t="shared" si="20"/>
        <v>0</v>
      </c>
    </row>
    <row r="1178" spans="1:6" ht="45" hidden="1" customHeight="1">
      <c r="A1178" s="849">
        <f>'[2]Building (2)'!A1177</f>
        <v>0</v>
      </c>
      <c r="B1178" s="855">
        <f>'[2]Building (2)'!U1177</f>
        <v>0</v>
      </c>
      <c r="C1178" s="856">
        <f>'[2]Building (2)'!B1177</f>
        <v>0</v>
      </c>
      <c r="D1178" s="852">
        <f>'[2]Building (2)'!C1177</f>
        <v>0</v>
      </c>
      <c r="E1178" s="853">
        <f>'[2]Building (2)'!D1177</f>
        <v>0</v>
      </c>
      <c r="F1178" s="852">
        <f t="shared" si="20"/>
        <v>0</v>
      </c>
    </row>
    <row r="1179" spans="1:6" ht="45" hidden="1" customHeight="1">
      <c r="A1179" s="849">
        <f>'[2]Building (2)'!A1178</f>
        <v>0</v>
      </c>
      <c r="B1179" s="855">
        <f>'[2]Building (2)'!U1178</f>
        <v>0</v>
      </c>
      <c r="C1179" s="856">
        <f>'[2]Building (2)'!B1178</f>
        <v>0</v>
      </c>
      <c r="D1179" s="852">
        <f>'[2]Building (2)'!C1178</f>
        <v>0</v>
      </c>
      <c r="E1179" s="853">
        <f>'[2]Building (2)'!D1178</f>
        <v>0</v>
      </c>
      <c r="F1179" s="852">
        <f t="shared" si="20"/>
        <v>0</v>
      </c>
    </row>
    <row r="1180" spans="1:6" ht="45" hidden="1" customHeight="1">
      <c r="A1180" s="849">
        <f>'[2]Building (2)'!A1179</f>
        <v>0</v>
      </c>
      <c r="B1180" s="855">
        <f>'[2]Building (2)'!U1179</f>
        <v>0</v>
      </c>
      <c r="C1180" s="856">
        <f>'[2]Building (2)'!B1179</f>
        <v>0</v>
      </c>
      <c r="D1180" s="852">
        <f>'[2]Building (2)'!C1179</f>
        <v>0</v>
      </c>
      <c r="E1180" s="853">
        <f>'[2]Building (2)'!D1179</f>
        <v>0</v>
      </c>
      <c r="F1180" s="852">
        <f t="shared" si="20"/>
        <v>0</v>
      </c>
    </row>
    <row r="1181" spans="1:6" ht="45" hidden="1" customHeight="1">
      <c r="A1181" s="849">
        <f>'[2]Building (2)'!A1180</f>
        <v>0</v>
      </c>
      <c r="B1181" s="855">
        <f>'[2]Building (2)'!U1180</f>
        <v>0</v>
      </c>
      <c r="C1181" s="856">
        <f>'[2]Building (2)'!B1180</f>
        <v>0</v>
      </c>
      <c r="D1181" s="852">
        <f>'[2]Building (2)'!C1180</f>
        <v>0</v>
      </c>
      <c r="E1181" s="853">
        <f>'[2]Building (2)'!D1180</f>
        <v>0</v>
      </c>
      <c r="F1181" s="852">
        <f t="shared" si="20"/>
        <v>0</v>
      </c>
    </row>
    <row r="1182" spans="1:6" ht="45" hidden="1" customHeight="1">
      <c r="A1182" s="849">
        <f>'[2]Building (2)'!A1181</f>
        <v>0</v>
      </c>
      <c r="B1182" s="855">
        <f>'[2]Building (2)'!U1181</f>
        <v>0</v>
      </c>
      <c r="C1182" s="856">
        <f>'[2]Building (2)'!B1181</f>
        <v>0</v>
      </c>
      <c r="D1182" s="852">
        <f>'[2]Building (2)'!C1181</f>
        <v>0</v>
      </c>
      <c r="E1182" s="853">
        <f>'[2]Building (2)'!D1181</f>
        <v>0</v>
      </c>
      <c r="F1182" s="852">
        <f t="shared" si="20"/>
        <v>0</v>
      </c>
    </row>
    <row r="1183" spans="1:6" ht="45" hidden="1" customHeight="1">
      <c r="A1183" s="849">
        <f>'[2]Building (2)'!A1182</f>
        <v>0</v>
      </c>
      <c r="B1183" s="855">
        <f>'[2]Building (2)'!U1182</f>
        <v>0</v>
      </c>
      <c r="C1183" s="856">
        <f>'[2]Building (2)'!B1182</f>
        <v>0</v>
      </c>
      <c r="D1183" s="852">
        <f>'[2]Building (2)'!C1182</f>
        <v>0</v>
      </c>
      <c r="E1183" s="853">
        <f>'[2]Building (2)'!D1182</f>
        <v>0</v>
      </c>
      <c r="F1183" s="852">
        <f t="shared" si="20"/>
        <v>0</v>
      </c>
    </row>
    <row r="1184" spans="1:6" ht="45" hidden="1" customHeight="1">
      <c r="A1184" s="849">
        <f>'[2]Building (2)'!A1183</f>
        <v>0</v>
      </c>
      <c r="B1184" s="855">
        <f>'[2]Building (2)'!U1183</f>
        <v>0</v>
      </c>
      <c r="C1184" s="856">
        <f>'[2]Building (2)'!B1183</f>
        <v>0</v>
      </c>
      <c r="D1184" s="852">
        <f>'[2]Building (2)'!C1183</f>
        <v>0</v>
      </c>
      <c r="E1184" s="853">
        <f>'[2]Building (2)'!D1183</f>
        <v>0</v>
      </c>
      <c r="F1184" s="852">
        <f t="shared" si="20"/>
        <v>0</v>
      </c>
    </row>
    <row r="1185" spans="1:6" ht="45" hidden="1" customHeight="1">
      <c r="A1185" s="849">
        <f>'[2]Building (2)'!A1184</f>
        <v>0</v>
      </c>
      <c r="B1185" s="855">
        <f>'[2]Building (2)'!U1184</f>
        <v>0</v>
      </c>
      <c r="C1185" s="856">
        <f>'[2]Building (2)'!B1184</f>
        <v>0</v>
      </c>
      <c r="D1185" s="852">
        <f>'[2]Building (2)'!C1184</f>
        <v>0</v>
      </c>
      <c r="E1185" s="853">
        <f>'[2]Building (2)'!D1184</f>
        <v>0</v>
      </c>
      <c r="F1185" s="852">
        <f t="shared" si="20"/>
        <v>0</v>
      </c>
    </row>
    <row r="1186" spans="1:6" ht="45" hidden="1" customHeight="1">
      <c r="A1186" s="849">
        <f>'[2]Building (2)'!A1185</f>
        <v>0</v>
      </c>
      <c r="B1186" s="855">
        <f>'[2]Building (2)'!U1185</f>
        <v>0</v>
      </c>
      <c r="C1186" s="856">
        <f>'[2]Building (2)'!B1185</f>
        <v>0</v>
      </c>
      <c r="D1186" s="852">
        <f>'[2]Building (2)'!C1185</f>
        <v>0</v>
      </c>
      <c r="E1186" s="853">
        <f>'[2]Building (2)'!D1185</f>
        <v>0</v>
      </c>
      <c r="F1186" s="852">
        <f t="shared" si="20"/>
        <v>0</v>
      </c>
    </row>
    <row r="1187" spans="1:6" ht="45" hidden="1" customHeight="1">
      <c r="A1187" s="849">
        <f>'[2]Building (2)'!A1186</f>
        <v>0</v>
      </c>
      <c r="B1187" s="855">
        <f>'[2]Building (2)'!U1186</f>
        <v>0</v>
      </c>
      <c r="C1187" s="856">
        <f>'[2]Building (2)'!B1186</f>
        <v>0</v>
      </c>
      <c r="D1187" s="852">
        <f>'[2]Building (2)'!C1186</f>
        <v>0</v>
      </c>
      <c r="E1187" s="853">
        <f>'[2]Building (2)'!D1186</f>
        <v>0</v>
      </c>
      <c r="F1187" s="852">
        <f t="shared" si="20"/>
        <v>0</v>
      </c>
    </row>
    <row r="1188" spans="1:6" ht="45" hidden="1" customHeight="1">
      <c r="A1188" s="849">
        <f>'[2]Building (2)'!A1187</f>
        <v>0</v>
      </c>
      <c r="B1188" s="855">
        <f>'[2]Building (2)'!U1187</f>
        <v>0</v>
      </c>
      <c r="C1188" s="856">
        <f>'[2]Building (2)'!B1187</f>
        <v>0</v>
      </c>
      <c r="D1188" s="852">
        <f>'[2]Building (2)'!C1187</f>
        <v>0</v>
      </c>
      <c r="E1188" s="853">
        <f>'[2]Building (2)'!D1187</f>
        <v>0</v>
      </c>
      <c r="F1188" s="852">
        <f t="shared" si="20"/>
        <v>0</v>
      </c>
    </row>
    <row r="1189" spans="1:6" ht="45" hidden="1" customHeight="1">
      <c r="A1189" s="849">
        <f>'[2]Building (2)'!A1188</f>
        <v>0</v>
      </c>
      <c r="B1189" s="855">
        <f>'[2]Building (2)'!U1188</f>
        <v>0</v>
      </c>
      <c r="C1189" s="856">
        <f>'[2]Building (2)'!B1188</f>
        <v>0</v>
      </c>
      <c r="D1189" s="852">
        <f>'[2]Building (2)'!C1188</f>
        <v>0</v>
      </c>
      <c r="E1189" s="853">
        <f>'[2]Building (2)'!D1188</f>
        <v>0</v>
      </c>
      <c r="F1189" s="852">
        <f t="shared" si="20"/>
        <v>0</v>
      </c>
    </row>
    <row r="1190" spans="1:6" ht="45" hidden="1" customHeight="1">
      <c r="A1190" s="849">
        <f>'[2]Building (2)'!A1189</f>
        <v>0</v>
      </c>
      <c r="B1190" s="855">
        <f>'[2]Building (2)'!U1189</f>
        <v>0</v>
      </c>
      <c r="C1190" s="856">
        <f>'[2]Building (2)'!B1189</f>
        <v>0</v>
      </c>
      <c r="D1190" s="852">
        <f>'[2]Building (2)'!C1189</f>
        <v>0</v>
      </c>
      <c r="E1190" s="853">
        <f>'[2]Building (2)'!D1189</f>
        <v>0</v>
      </c>
      <c r="F1190" s="852">
        <f t="shared" si="20"/>
        <v>0</v>
      </c>
    </row>
    <row r="1191" spans="1:6" ht="45" hidden="1" customHeight="1">
      <c r="A1191" s="849">
        <f>'[2]Building (2)'!A1190</f>
        <v>0</v>
      </c>
      <c r="B1191" s="855">
        <f>'[2]Building (2)'!U1190</f>
        <v>0</v>
      </c>
      <c r="C1191" s="856">
        <f>'[2]Building (2)'!B1190</f>
        <v>0</v>
      </c>
      <c r="D1191" s="852">
        <f>'[2]Building (2)'!C1190</f>
        <v>0</v>
      </c>
      <c r="E1191" s="853">
        <f>'[2]Building (2)'!D1190</f>
        <v>0</v>
      </c>
      <c r="F1191" s="852">
        <f t="shared" si="20"/>
        <v>0</v>
      </c>
    </row>
    <row r="1192" spans="1:6" ht="45" hidden="1" customHeight="1">
      <c r="A1192" s="849">
        <f>'[2]Building (2)'!A1191</f>
        <v>0</v>
      </c>
      <c r="B1192" s="855">
        <f>'[2]Building (2)'!U1191</f>
        <v>0</v>
      </c>
      <c r="C1192" s="856">
        <f>'[2]Building (2)'!B1191</f>
        <v>0</v>
      </c>
      <c r="D1192" s="852">
        <f>'[2]Building (2)'!C1191</f>
        <v>0</v>
      </c>
      <c r="E1192" s="853">
        <f>'[2]Building (2)'!D1191</f>
        <v>0</v>
      </c>
      <c r="F1192" s="852">
        <f t="shared" si="20"/>
        <v>0</v>
      </c>
    </row>
    <row r="1193" spans="1:6" ht="45" hidden="1" customHeight="1">
      <c r="A1193" s="849">
        <f>'[2]Building (2)'!A1192</f>
        <v>0</v>
      </c>
      <c r="B1193" s="855">
        <f>'[2]Building (2)'!U1192</f>
        <v>0</v>
      </c>
      <c r="C1193" s="856">
        <f>'[2]Building (2)'!B1192</f>
        <v>0</v>
      </c>
      <c r="D1193" s="852">
        <f>'[2]Building (2)'!C1192</f>
        <v>0</v>
      </c>
      <c r="E1193" s="853">
        <f>'[2]Building (2)'!D1192</f>
        <v>0</v>
      </c>
      <c r="F1193" s="852">
        <f t="shared" si="20"/>
        <v>0</v>
      </c>
    </row>
    <row r="1194" spans="1:6" ht="45" hidden="1" customHeight="1">
      <c r="A1194" s="849">
        <f>'[2]Building (2)'!A1193</f>
        <v>0</v>
      </c>
      <c r="B1194" s="855">
        <f>'[2]Building (2)'!U1193</f>
        <v>0</v>
      </c>
      <c r="C1194" s="856">
        <f>'[2]Building (2)'!B1193</f>
        <v>0</v>
      </c>
      <c r="D1194" s="852">
        <f>'[2]Building (2)'!C1193</f>
        <v>0</v>
      </c>
      <c r="E1194" s="853">
        <f>'[2]Building (2)'!D1193</f>
        <v>0</v>
      </c>
      <c r="F1194" s="852">
        <f t="shared" si="20"/>
        <v>0</v>
      </c>
    </row>
    <row r="1195" spans="1:6" ht="45" hidden="1" customHeight="1">
      <c r="A1195" s="849">
        <f>'[2]Building (2)'!A1194</f>
        <v>0</v>
      </c>
      <c r="B1195" s="855">
        <f>'[2]Building (2)'!U1194</f>
        <v>0</v>
      </c>
      <c r="C1195" s="856">
        <f>'[2]Building (2)'!B1194</f>
        <v>0</v>
      </c>
      <c r="D1195" s="852">
        <f>'[2]Building (2)'!C1194</f>
        <v>0</v>
      </c>
      <c r="E1195" s="853">
        <f>'[2]Building (2)'!D1194</f>
        <v>0</v>
      </c>
      <c r="F1195" s="852">
        <f t="shared" si="20"/>
        <v>0</v>
      </c>
    </row>
    <row r="1196" spans="1:6" ht="45" hidden="1" customHeight="1">
      <c r="A1196" s="849">
        <f>'[2]Building (2)'!A1195</f>
        <v>0</v>
      </c>
      <c r="B1196" s="855">
        <f>'[2]Building (2)'!U1195</f>
        <v>0</v>
      </c>
      <c r="C1196" s="856">
        <f>'[2]Building (2)'!B1195</f>
        <v>0</v>
      </c>
      <c r="D1196" s="852">
        <f>'[2]Building (2)'!C1195</f>
        <v>0</v>
      </c>
      <c r="E1196" s="853">
        <f>'[2]Building (2)'!D1195</f>
        <v>0</v>
      </c>
      <c r="F1196" s="852">
        <f t="shared" si="20"/>
        <v>0</v>
      </c>
    </row>
    <row r="1197" spans="1:6" ht="45" hidden="1" customHeight="1">
      <c r="A1197" s="849">
        <f>'[2]Building (2)'!A1196</f>
        <v>0</v>
      </c>
      <c r="B1197" s="855">
        <f>'[2]Building (2)'!U1196</f>
        <v>0</v>
      </c>
      <c r="C1197" s="856">
        <f>'[2]Building (2)'!B1196</f>
        <v>0</v>
      </c>
      <c r="D1197" s="852">
        <f>'[2]Building (2)'!C1196</f>
        <v>0</v>
      </c>
      <c r="E1197" s="853">
        <f>'[2]Building (2)'!D1196</f>
        <v>0</v>
      </c>
      <c r="F1197" s="852">
        <f t="shared" si="20"/>
        <v>0</v>
      </c>
    </row>
    <row r="1198" spans="1:6" ht="45" hidden="1" customHeight="1">
      <c r="A1198" s="849">
        <f>'[2]Building (2)'!A1197</f>
        <v>0</v>
      </c>
      <c r="B1198" s="855">
        <f>'[2]Building (2)'!U1197</f>
        <v>0</v>
      </c>
      <c r="C1198" s="856">
        <f>'[2]Building (2)'!B1197</f>
        <v>0</v>
      </c>
      <c r="D1198" s="852">
        <f>'[2]Building (2)'!C1197</f>
        <v>0</v>
      </c>
      <c r="E1198" s="853">
        <f>'[2]Building (2)'!D1197</f>
        <v>0</v>
      </c>
      <c r="F1198" s="852">
        <f t="shared" si="20"/>
        <v>0</v>
      </c>
    </row>
    <row r="1199" spans="1:6" ht="45" hidden="1" customHeight="1">
      <c r="A1199" s="849">
        <f>'[2]Building (2)'!A1198</f>
        <v>0</v>
      </c>
      <c r="B1199" s="855">
        <f>'[2]Building (2)'!U1198</f>
        <v>0</v>
      </c>
      <c r="C1199" s="856">
        <f>'[2]Building (2)'!B1198</f>
        <v>0</v>
      </c>
      <c r="D1199" s="852">
        <f>'[2]Building (2)'!C1198</f>
        <v>0</v>
      </c>
      <c r="E1199" s="853">
        <f>'[2]Building (2)'!D1198</f>
        <v>0</v>
      </c>
      <c r="F1199" s="852">
        <f t="shared" si="20"/>
        <v>0</v>
      </c>
    </row>
    <row r="1200" spans="1:6" ht="45" hidden="1" customHeight="1">
      <c r="A1200" s="849">
        <f>'[2]Building (2)'!A1199</f>
        <v>0</v>
      </c>
      <c r="B1200" s="855">
        <f>'[2]Building (2)'!U1199</f>
        <v>0</v>
      </c>
      <c r="C1200" s="856">
        <f>'[2]Building (2)'!B1199</f>
        <v>0</v>
      </c>
      <c r="D1200" s="852">
        <f>'[2]Building (2)'!C1199</f>
        <v>0</v>
      </c>
      <c r="E1200" s="853">
        <f>'[2]Building (2)'!D1199</f>
        <v>0</v>
      </c>
      <c r="F1200" s="852">
        <f t="shared" si="20"/>
        <v>0</v>
      </c>
    </row>
    <row r="1201" spans="1:6" ht="45" hidden="1" customHeight="1">
      <c r="A1201" s="849">
        <f>'[2]Building (2)'!A1200</f>
        <v>0</v>
      </c>
      <c r="B1201" s="855">
        <f>'[2]Building (2)'!U1200</f>
        <v>0</v>
      </c>
      <c r="C1201" s="856">
        <f>'[2]Building (2)'!B1200</f>
        <v>0</v>
      </c>
      <c r="D1201" s="852">
        <f>'[2]Building (2)'!C1200</f>
        <v>0</v>
      </c>
      <c r="E1201" s="853">
        <f>'[2]Building (2)'!D1200</f>
        <v>0</v>
      </c>
      <c r="F1201" s="852">
        <f t="shared" si="20"/>
        <v>0</v>
      </c>
    </row>
    <row r="1202" spans="1:6" ht="45" hidden="1" customHeight="1">
      <c r="A1202" s="849">
        <f>'[2]Building (2)'!A1201</f>
        <v>0</v>
      </c>
      <c r="B1202" s="855">
        <f>'[2]Building (2)'!U1201</f>
        <v>0</v>
      </c>
      <c r="C1202" s="856">
        <f>'[2]Building (2)'!B1201</f>
        <v>0</v>
      </c>
      <c r="D1202" s="852">
        <f>'[2]Building (2)'!C1201</f>
        <v>0</v>
      </c>
      <c r="E1202" s="853">
        <f>'[2]Building (2)'!D1201</f>
        <v>0</v>
      </c>
      <c r="F1202" s="852">
        <f t="shared" si="20"/>
        <v>0</v>
      </c>
    </row>
    <row r="1203" spans="1:6" ht="45" hidden="1" customHeight="1">
      <c r="A1203" s="849">
        <f>'[2]Building (2)'!A1202</f>
        <v>0</v>
      </c>
      <c r="B1203" s="855">
        <f>'[2]Building (2)'!U1202</f>
        <v>0</v>
      </c>
      <c r="C1203" s="856">
        <f>'[2]Building (2)'!B1202</f>
        <v>0</v>
      </c>
      <c r="D1203" s="852">
        <f>'[2]Building (2)'!C1202</f>
        <v>0</v>
      </c>
      <c r="E1203" s="853">
        <f>'[2]Building (2)'!D1202</f>
        <v>0</v>
      </c>
      <c r="F1203" s="852">
        <f t="shared" si="20"/>
        <v>0</v>
      </c>
    </row>
    <row r="1204" spans="1:6" ht="45" hidden="1" customHeight="1">
      <c r="A1204" s="849">
        <f>'[2]Building (2)'!A1203</f>
        <v>0</v>
      </c>
      <c r="B1204" s="855">
        <f>'[2]Building (2)'!U1203</f>
        <v>0</v>
      </c>
      <c r="C1204" s="856">
        <f>'[2]Building (2)'!B1203</f>
        <v>0</v>
      </c>
      <c r="D1204" s="852">
        <f>'[2]Building (2)'!C1203</f>
        <v>0</v>
      </c>
      <c r="E1204" s="853">
        <f>'[2]Building (2)'!D1203</f>
        <v>0</v>
      </c>
      <c r="F1204" s="852">
        <f t="shared" si="20"/>
        <v>0</v>
      </c>
    </row>
    <row r="1205" spans="1:6" ht="45" hidden="1" customHeight="1">
      <c r="A1205" s="849">
        <f>'[2]Building (2)'!A1204</f>
        <v>0</v>
      </c>
      <c r="B1205" s="855">
        <f>'[2]Building (2)'!U1204</f>
        <v>0</v>
      </c>
      <c r="C1205" s="856">
        <f>'[2]Building (2)'!B1204</f>
        <v>0</v>
      </c>
      <c r="D1205" s="852">
        <f>'[2]Building (2)'!C1204</f>
        <v>0</v>
      </c>
      <c r="E1205" s="853">
        <f>'[2]Building (2)'!D1204</f>
        <v>0</v>
      </c>
      <c r="F1205" s="852">
        <f t="shared" si="20"/>
        <v>0</v>
      </c>
    </row>
    <row r="1206" spans="1:6" ht="45" hidden="1" customHeight="1">
      <c r="A1206" s="849">
        <f>'[2]Building (2)'!A1205</f>
        <v>0</v>
      </c>
      <c r="B1206" s="855">
        <f>'[2]Building (2)'!U1205</f>
        <v>0</v>
      </c>
      <c r="C1206" s="856">
        <f>'[2]Building (2)'!B1205</f>
        <v>0</v>
      </c>
      <c r="D1206" s="852">
        <f>'[2]Building (2)'!C1205</f>
        <v>0</v>
      </c>
      <c r="E1206" s="853">
        <f>'[2]Building (2)'!D1205</f>
        <v>0</v>
      </c>
      <c r="F1206" s="852">
        <f t="shared" si="20"/>
        <v>0</v>
      </c>
    </row>
    <row r="1207" spans="1:6" ht="45" hidden="1" customHeight="1">
      <c r="A1207" s="849">
        <f>'[2]Building (2)'!A1206</f>
        <v>0</v>
      </c>
      <c r="B1207" s="855">
        <f>'[2]Building (2)'!U1206</f>
        <v>0</v>
      </c>
      <c r="C1207" s="856">
        <f>'[2]Building (2)'!B1206</f>
        <v>0</v>
      </c>
      <c r="D1207" s="852">
        <f>'[2]Building (2)'!C1206</f>
        <v>0</v>
      </c>
      <c r="E1207" s="853">
        <f>'[2]Building (2)'!D1206</f>
        <v>0</v>
      </c>
      <c r="F1207" s="852">
        <f t="shared" si="20"/>
        <v>0</v>
      </c>
    </row>
    <row r="1208" spans="1:6" ht="45" hidden="1" customHeight="1">
      <c r="A1208" s="849">
        <f>'[2]Building (2)'!A1249</f>
        <v>0</v>
      </c>
      <c r="B1208" s="855">
        <f>'[2]Building (2)'!U1249</f>
        <v>0</v>
      </c>
      <c r="C1208" s="856">
        <f>'[2]Building (2)'!B1249</f>
        <v>0</v>
      </c>
      <c r="D1208" s="852">
        <f>'[2]Building (2)'!C1249</f>
        <v>0</v>
      </c>
      <c r="E1208" s="853">
        <f>'[2]Building (2)'!D1249</f>
        <v>0</v>
      </c>
      <c r="F1208" s="852">
        <f t="shared" si="20"/>
        <v>0</v>
      </c>
    </row>
    <row r="1209" spans="1:6" ht="45" hidden="1" customHeight="1">
      <c r="A1209" s="849">
        <f>'[2]Building (2)'!A1250</f>
        <v>0</v>
      </c>
      <c r="B1209" s="855">
        <f>'[2]Building (2)'!U1250</f>
        <v>0</v>
      </c>
      <c r="C1209" s="856">
        <f>'[2]Building (2)'!B1250</f>
        <v>0</v>
      </c>
      <c r="D1209" s="852">
        <f>'[2]Building (2)'!C1250</f>
        <v>0</v>
      </c>
      <c r="E1209" s="853">
        <f>'[2]Building (2)'!D1250</f>
        <v>0</v>
      </c>
      <c r="F1209" s="852">
        <f t="shared" si="20"/>
        <v>0</v>
      </c>
    </row>
    <row r="1210" spans="1:6" ht="45" hidden="1" customHeight="1">
      <c r="A1210" s="849">
        <f>'[2]Building (2)'!A1251</f>
        <v>0</v>
      </c>
      <c r="B1210" s="855">
        <f>'[2]Building (2)'!U1251</f>
        <v>0</v>
      </c>
      <c r="C1210" s="856">
        <f>'[2]Building (2)'!B1251</f>
        <v>0</v>
      </c>
      <c r="D1210" s="852">
        <f>'[2]Building (2)'!C1251</f>
        <v>0</v>
      </c>
      <c r="E1210" s="853">
        <f>'[2]Building (2)'!D1251</f>
        <v>0</v>
      </c>
      <c r="F1210" s="852">
        <f t="shared" si="20"/>
        <v>0</v>
      </c>
    </row>
    <row r="1211" spans="1:6" ht="45" hidden="1" customHeight="1">
      <c r="A1211" s="849">
        <f>'[2]Building (2)'!A1252</f>
        <v>0</v>
      </c>
      <c r="B1211" s="855">
        <f>'[2]Building (2)'!U1252</f>
        <v>0</v>
      </c>
      <c r="C1211" s="856">
        <f>'[2]Building (2)'!B1252</f>
        <v>0</v>
      </c>
      <c r="D1211" s="852">
        <f>'[2]Building (2)'!C1252</f>
        <v>0</v>
      </c>
      <c r="E1211" s="853">
        <f>'[2]Building (2)'!D1252</f>
        <v>0</v>
      </c>
      <c r="F1211" s="852">
        <f t="shared" si="20"/>
        <v>0</v>
      </c>
    </row>
    <row r="1212" spans="1:6" ht="45" hidden="1" customHeight="1">
      <c r="A1212" s="849">
        <f>'[2]Building (2)'!A1253</f>
        <v>0</v>
      </c>
      <c r="B1212" s="855">
        <f>'[2]Building (2)'!U1253</f>
        <v>0</v>
      </c>
      <c r="C1212" s="856">
        <f>'[2]Building (2)'!B1253</f>
        <v>0</v>
      </c>
      <c r="D1212" s="852">
        <f>'[2]Building (2)'!C1253</f>
        <v>0</v>
      </c>
      <c r="E1212" s="853">
        <f>'[2]Building (2)'!D1253</f>
        <v>0</v>
      </c>
      <c r="F1212" s="852">
        <f t="shared" si="20"/>
        <v>0</v>
      </c>
    </row>
    <row r="1213" spans="1:6" ht="45" hidden="1" customHeight="1">
      <c r="A1213" s="849">
        <f>'[2]Building (2)'!A1254</f>
        <v>0</v>
      </c>
      <c r="B1213" s="855">
        <f>'[2]Building (2)'!U1254</f>
        <v>0</v>
      </c>
      <c r="C1213" s="856">
        <f>'[2]Building (2)'!B1254</f>
        <v>0</v>
      </c>
      <c r="D1213" s="852">
        <f>'[2]Building (2)'!C1254</f>
        <v>0</v>
      </c>
      <c r="E1213" s="853">
        <f>'[2]Building (2)'!D1254</f>
        <v>0</v>
      </c>
      <c r="F1213" s="852">
        <f t="shared" si="20"/>
        <v>0</v>
      </c>
    </row>
    <row r="1214" spans="1:6" ht="45" hidden="1" customHeight="1">
      <c r="A1214" s="849">
        <f>'[2]Building (2)'!A1255</f>
        <v>0</v>
      </c>
      <c r="B1214" s="855">
        <f>'[2]Building (2)'!U1255</f>
        <v>0</v>
      </c>
      <c r="C1214" s="856">
        <f>'[2]Building (2)'!B1255</f>
        <v>0</v>
      </c>
      <c r="D1214" s="852">
        <f>'[2]Building (2)'!C1255</f>
        <v>0</v>
      </c>
      <c r="E1214" s="853">
        <f>'[2]Building (2)'!D1255</f>
        <v>0</v>
      </c>
      <c r="F1214" s="852">
        <f t="shared" si="20"/>
        <v>0</v>
      </c>
    </row>
    <row r="1215" spans="1:6" ht="45" hidden="1" customHeight="1"/>
    <row r="1216" spans="1:6" ht="45" hidden="1" customHeight="1"/>
  </sheetData>
  <autoFilter ref="A5:F1216">
    <filterColumn colId="1">
      <customFilters and="1">
        <customFilter operator="notEqual" val=" "/>
      </customFilters>
    </filterColumn>
  </autoFilter>
  <mergeCells count="8">
    <mergeCell ref="K4:L4"/>
    <mergeCell ref="M4:N4"/>
    <mergeCell ref="O4:P4"/>
    <mergeCell ref="A1:F1"/>
    <mergeCell ref="A2:F2"/>
    <mergeCell ref="A3:F3"/>
    <mergeCell ref="G4:H4"/>
    <mergeCell ref="I4:J4"/>
  </mergeCells>
  <printOptions horizontalCentered="1"/>
  <pageMargins left="0.67" right="0.37" top="0.84" bottom="0.48" header="0.31496062992125984" footer="0.31496062992125984"/>
  <pageSetup paperSize="9" scale="77" orientation="portrait" r:id="rId1"/>
  <headerFooter>
    <oddHeader>&amp;C&amp;"-,Regular"&amp;8 &amp;R&amp;P</oddHeader>
  </headerFooter>
</worksheet>
</file>

<file path=xl/worksheets/sheet3.xml><?xml version="1.0" encoding="utf-8"?>
<worksheet xmlns="http://schemas.openxmlformats.org/spreadsheetml/2006/main" xmlns:r="http://schemas.openxmlformats.org/officeDocument/2006/relationships">
  <dimension ref="A1:M226"/>
  <sheetViews>
    <sheetView view="pageBreakPreview" topLeftCell="A79" zoomScale="80" zoomScaleSheetLayoutView="80" workbookViewId="0">
      <selection activeCell="E90" sqref="E90"/>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459" t="s">
        <v>3877</v>
      </c>
      <c r="B1" s="1459"/>
      <c r="C1" s="1459"/>
      <c r="D1" s="1459"/>
      <c r="E1" s="1459"/>
      <c r="F1" s="1459"/>
    </row>
    <row r="2" spans="1:7" ht="17.25">
      <c r="A2" s="1459" t="s">
        <v>3876</v>
      </c>
      <c r="B2" s="1459"/>
      <c r="C2" s="1459"/>
      <c r="D2" s="1459"/>
      <c r="E2" s="1459"/>
      <c r="F2" s="1459"/>
    </row>
    <row r="3" spans="1:7" ht="31.5" customHeight="1">
      <c r="A3" s="1460" t="s">
        <v>4033</v>
      </c>
      <c r="B3" s="1460"/>
      <c r="C3" s="1460"/>
      <c r="D3" s="1460"/>
      <c r="E3" s="1460"/>
      <c r="F3" s="1460"/>
    </row>
    <row r="4" spans="1:7" ht="17.25">
      <c r="A4" s="1461" t="s">
        <v>4551</v>
      </c>
      <c r="B4" s="1461"/>
      <c r="C4" s="1461"/>
      <c r="D4" s="1461"/>
      <c r="E4" s="1461"/>
      <c r="F4" s="597"/>
    </row>
    <row r="5" spans="1:7" ht="6" customHeight="1">
      <c r="A5" s="597"/>
      <c r="B5" s="597"/>
      <c r="C5" s="597"/>
      <c r="D5" s="597"/>
      <c r="E5" s="597"/>
      <c r="F5" s="597"/>
    </row>
    <row r="6" spans="1:7" ht="45.75" customHeight="1">
      <c r="B6" s="615"/>
      <c r="C6" s="1462" t="s">
        <v>4553</v>
      </c>
      <c r="D6" s="1462"/>
      <c r="E6" s="1462"/>
      <c r="F6" s="615"/>
      <c r="G6" s="4" t="s">
        <v>2070</v>
      </c>
    </row>
    <row r="7" spans="1:7" ht="24" customHeight="1">
      <c r="A7" s="614"/>
      <c r="B7" s="1458" t="s">
        <v>4552</v>
      </c>
      <c r="C7" s="1458"/>
      <c r="D7" s="1458"/>
      <c r="E7" s="1458"/>
      <c r="F7" s="1458"/>
      <c r="G7" s="51">
        <v>3.53</v>
      </c>
    </row>
    <row r="8" spans="1:7" ht="28.5" customHeight="1">
      <c r="A8" s="606"/>
      <c r="B8" s="606"/>
      <c r="C8" s="613" t="s">
        <v>3872</v>
      </c>
      <c r="D8" s="606"/>
      <c r="E8" s="606"/>
      <c r="F8" s="606"/>
    </row>
    <row r="9" spans="1:7" ht="30.75" customHeight="1">
      <c r="A9" s="608">
        <f>G7</f>
        <v>3.53</v>
      </c>
      <c r="B9" s="606" t="s">
        <v>2070</v>
      </c>
      <c r="C9" s="606" t="s">
        <v>4236</v>
      </c>
      <c r="D9" s="597"/>
      <c r="E9" s="607">
        <f>Data!Y691</f>
        <v>7584.57</v>
      </c>
      <c r="F9" s="607">
        <f>A9*E9</f>
        <v>26773.53</v>
      </c>
    </row>
    <row r="10" spans="1:7" ht="30.75" customHeight="1">
      <c r="A10" s="612">
        <f>A9*10/100</f>
        <v>0.35299999999999998</v>
      </c>
      <c r="B10" s="606" t="s">
        <v>494</v>
      </c>
      <c r="C10" s="606" t="s">
        <v>3870</v>
      </c>
      <c r="D10" s="597"/>
      <c r="E10" s="607">
        <v>4000</v>
      </c>
      <c r="F10" s="607">
        <f>A10*E10</f>
        <v>1412</v>
      </c>
    </row>
    <row r="11" spans="1:7" ht="30.75" customHeight="1">
      <c r="A11" s="607">
        <v>8</v>
      </c>
      <c r="B11" s="606" t="s">
        <v>794</v>
      </c>
      <c r="C11" s="606" t="s">
        <v>2568</v>
      </c>
      <c r="D11" s="597"/>
      <c r="E11" s="607">
        <v>960</v>
      </c>
      <c r="F11" s="607">
        <f>A11*E11</f>
        <v>7680</v>
      </c>
    </row>
    <row r="12" spans="1:7" ht="21" customHeight="1">
      <c r="A12" s="606"/>
      <c r="B12" s="606"/>
      <c r="C12" s="606"/>
      <c r="D12" s="597"/>
      <c r="E12" s="606"/>
      <c r="F12" s="606"/>
    </row>
    <row r="13" spans="1:7" ht="21" customHeight="1">
      <c r="A13" s="606"/>
      <c r="B13" s="606"/>
      <c r="C13" s="606" t="s">
        <v>3869</v>
      </c>
      <c r="D13" s="597"/>
      <c r="E13" s="606"/>
      <c r="F13" s="607">
        <f>SUM(F9:F12)</f>
        <v>35865.53</v>
      </c>
    </row>
    <row r="14" spans="1:7" ht="21" customHeight="1">
      <c r="A14" s="606"/>
      <c r="B14" s="606"/>
      <c r="C14" s="606" t="s">
        <v>1585</v>
      </c>
      <c r="D14" s="597"/>
      <c r="E14" s="606"/>
      <c r="F14" s="607">
        <f>F13/7</f>
        <v>5123.6499999999996</v>
      </c>
    </row>
    <row r="15" spans="1:7" ht="21" customHeight="1">
      <c r="A15" s="606"/>
      <c r="B15" s="606"/>
      <c r="C15" s="606" t="s">
        <v>3868</v>
      </c>
      <c r="D15" s="597"/>
      <c r="E15" s="606"/>
      <c r="F15" s="606">
        <f>1000/8</f>
        <v>125</v>
      </c>
    </row>
    <row r="16" spans="1:7" ht="21" customHeight="1">
      <c r="A16" s="606"/>
      <c r="B16" s="606"/>
      <c r="C16" s="606"/>
      <c r="D16" s="597"/>
      <c r="E16" s="606"/>
      <c r="F16" s="606"/>
    </row>
    <row r="17" spans="1:13" ht="21" customHeight="1">
      <c r="A17" s="606"/>
      <c r="B17" s="606"/>
      <c r="C17" s="606" t="s">
        <v>1585</v>
      </c>
      <c r="D17" s="597"/>
      <c r="E17" s="606"/>
      <c r="F17" s="605">
        <f>SUM(F14:F16)</f>
        <v>5248.65</v>
      </c>
    </row>
    <row r="18" spans="1:13" ht="21" customHeight="1">
      <c r="A18" s="606"/>
      <c r="B18" s="606"/>
      <c r="C18" s="606" t="s">
        <v>3867</v>
      </c>
      <c r="D18" s="606"/>
      <c r="E18" s="606"/>
      <c r="F18" s="606"/>
    </row>
    <row r="19" spans="1:13" ht="21" customHeight="1">
      <c r="A19" s="606"/>
      <c r="B19" s="606"/>
      <c r="C19" s="606"/>
      <c r="D19" s="606"/>
      <c r="E19" s="606"/>
      <c r="F19" s="606"/>
    </row>
    <row r="20" spans="1:13" ht="12.75" customHeight="1">
      <c r="A20" s="606"/>
      <c r="B20" s="606"/>
      <c r="C20" s="606"/>
      <c r="D20" s="606"/>
      <c r="E20" s="606"/>
      <c r="F20" s="606"/>
    </row>
    <row r="21" spans="1:13" s="37" customFormat="1" ht="42" customHeight="1">
      <c r="A21" s="611"/>
      <c r="B21" s="611"/>
      <c r="C21" s="1463" t="s">
        <v>3866</v>
      </c>
      <c r="D21" s="1463"/>
      <c r="E21" s="1463"/>
      <c r="F21" s="611"/>
    </row>
    <row r="22" spans="1:13" ht="30.75" customHeight="1">
      <c r="A22" s="610"/>
      <c r="B22" s="1458" t="s">
        <v>4554</v>
      </c>
      <c r="C22" s="1458"/>
      <c r="D22" s="1458"/>
      <c r="E22" s="1458"/>
      <c r="F22" s="1458"/>
      <c r="G22" s="51">
        <v>0.442</v>
      </c>
    </row>
    <row r="23" spans="1:13" ht="30.75" customHeight="1">
      <c r="A23" s="606"/>
      <c r="B23" s="606"/>
      <c r="C23" s="609" t="s">
        <v>3864</v>
      </c>
      <c r="D23" s="606"/>
      <c r="E23" s="606"/>
      <c r="F23" s="606"/>
    </row>
    <row r="24" spans="1:13" ht="30.75" customHeight="1">
      <c r="A24" s="607">
        <f>G22</f>
        <v>0.44</v>
      </c>
      <c r="B24" s="606" t="s">
        <v>2070</v>
      </c>
      <c r="C24" s="606" t="s">
        <v>4219</v>
      </c>
      <c r="D24" s="597"/>
      <c r="E24" s="607">
        <f>5045*1.1</f>
        <v>5549.5</v>
      </c>
      <c r="F24" s="607">
        <f>A24*E24</f>
        <v>2441.7800000000002</v>
      </c>
    </row>
    <row r="25" spans="1:13" ht="42.75" customHeight="1">
      <c r="A25" s="607">
        <f>+A24</f>
        <v>0.44</v>
      </c>
      <c r="B25" s="606" t="s">
        <v>2070</v>
      </c>
      <c r="C25" s="1464" t="s">
        <v>4220</v>
      </c>
      <c r="D25" s="1464"/>
      <c r="E25" s="607">
        <f>10.4*5</f>
        <v>52</v>
      </c>
      <c r="F25" s="607">
        <f>E25*A25</f>
        <v>22.88</v>
      </c>
      <c r="I25">
        <f>8.69*0.125</f>
        <v>1.0900000000000001</v>
      </c>
    </row>
    <row r="26" spans="1:13" ht="36" customHeight="1">
      <c r="A26" s="607">
        <f>+A25</f>
        <v>0.44</v>
      </c>
      <c r="B26" s="606" t="s">
        <v>2070</v>
      </c>
      <c r="C26" s="606" t="s">
        <v>4221</v>
      </c>
      <c r="D26" s="597"/>
      <c r="E26" s="607">
        <v>38</v>
      </c>
      <c r="F26" s="607">
        <f>A26*E26</f>
        <v>16.72</v>
      </c>
      <c r="I26" s="37">
        <f>0.125*26.3</f>
        <v>3.29</v>
      </c>
    </row>
    <row r="27" spans="1:13" ht="17.25">
      <c r="A27" s="607"/>
      <c r="B27" s="606"/>
      <c r="C27" s="606"/>
      <c r="D27" s="597"/>
      <c r="E27" s="607"/>
      <c r="F27" s="607"/>
      <c r="I27">
        <f>26.58/3</f>
        <v>8.86</v>
      </c>
    </row>
    <row r="28" spans="1:13" ht="17.25">
      <c r="A28" s="606"/>
      <c r="B28" s="606"/>
      <c r="C28" s="606" t="s">
        <v>1585</v>
      </c>
      <c r="D28" s="597"/>
      <c r="E28" s="606"/>
      <c r="F28" s="605">
        <f>SUM(F24:F27)</f>
        <v>2481.38</v>
      </c>
    </row>
    <row r="29" spans="1:13" ht="17.25">
      <c r="A29" s="597"/>
      <c r="B29" s="597"/>
      <c r="C29" s="597"/>
      <c r="D29" s="597"/>
      <c r="E29" s="597"/>
      <c r="F29" s="597"/>
    </row>
    <row r="30" spans="1:13" ht="51" customHeight="1">
      <c r="B30" s="604"/>
      <c r="C30" s="1465" t="s">
        <v>3861</v>
      </c>
      <c r="D30" s="1465"/>
      <c r="E30" s="1465"/>
      <c r="F30" s="604"/>
    </row>
    <row r="31" spans="1:13" ht="17.25">
      <c r="A31" s="597"/>
      <c r="B31" s="597"/>
      <c r="C31" s="597"/>
      <c r="D31" s="597"/>
      <c r="E31" s="597"/>
      <c r="F31" s="597"/>
      <c r="M31">
        <f>8.69*3</f>
        <v>26.07</v>
      </c>
    </row>
    <row r="32" spans="1:13" ht="60" customHeight="1">
      <c r="A32" s="600" t="s">
        <v>3859</v>
      </c>
      <c r="B32" s="600">
        <v>3</v>
      </c>
      <c r="C32" s="603" t="s">
        <v>3860</v>
      </c>
      <c r="E32" s="607">
        <v>10.199999999999999</v>
      </c>
      <c r="F32" s="607"/>
      <c r="G32" s="600">
        <f>E32*B32</f>
        <v>30.6</v>
      </c>
    </row>
    <row r="33" spans="1:10" ht="21.75" customHeight="1">
      <c r="A33" s="600" t="s">
        <v>3859</v>
      </c>
      <c r="B33" s="600">
        <v>3</v>
      </c>
      <c r="C33" s="602" t="s">
        <v>3858</v>
      </c>
      <c r="E33" s="607">
        <f>E26</f>
        <v>38</v>
      </c>
      <c r="F33" s="607"/>
      <c r="G33" s="600">
        <f>E33*B33</f>
        <v>114</v>
      </c>
      <c r="J33" t="s">
        <v>4222</v>
      </c>
    </row>
    <row r="34" spans="1:10" ht="17.25">
      <c r="A34" s="600"/>
      <c r="B34" s="600"/>
      <c r="C34" s="601"/>
      <c r="E34" s="607"/>
      <c r="F34" s="607"/>
      <c r="G34" s="600"/>
    </row>
    <row r="35" spans="1:10" ht="17.25">
      <c r="A35" s="600"/>
      <c r="B35" s="600"/>
      <c r="C35" s="601" t="s">
        <v>3857</v>
      </c>
      <c r="E35" s="600"/>
      <c r="F35" s="600"/>
      <c r="G35" s="599">
        <f>SUM(G32:G34)</f>
        <v>144.6</v>
      </c>
    </row>
    <row r="36" spans="1:10" ht="17.25">
      <c r="A36" s="597"/>
      <c r="B36" s="597"/>
      <c r="C36" s="597"/>
      <c r="E36" s="597"/>
      <c r="F36" s="597"/>
      <c r="G36" s="597"/>
    </row>
    <row r="37" spans="1:10" ht="17.25" hidden="1">
      <c r="A37" s="597"/>
      <c r="B37" s="597"/>
      <c r="C37" s="597"/>
      <c r="E37" s="597"/>
      <c r="F37" s="597"/>
      <c r="G37" s="597"/>
    </row>
    <row r="38" spans="1:10" ht="17.25" hidden="1">
      <c r="A38" s="597"/>
      <c r="B38" s="597"/>
      <c r="C38" s="597"/>
      <c r="E38" s="597"/>
      <c r="F38" s="597"/>
      <c r="G38" s="597"/>
    </row>
    <row r="39" spans="1:10" ht="3" customHeight="1">
      <c r="A39" s="598"/>
      <c r="B39" s="597"/>
      <c r="C39" s="598"/>
      <c r="E39" s="597"/>
      <c r="F39" s="597"/>
      <c r="G39" s="597"/>
    </row>
    <row r="40" spans="1:10" ht="24" customHeight="1">
      <c r="A40" s="51"/>
      <c r="C40" s="37" t="s">
        <v>3887</v>
      </c>
    </row>
    <row r="41" spans="1:10" ht="24" customHeight="1">
      <c r="A41" s="51">
        <v>5</v>
      </c>
      <c r="B41" t="s">
        <v>1289</v>
      </c>
      <c r="C41" t="s">
        <v>3895</v>
      </c>
      <c r="D41">
        <f>Data!V708</f>
        <v>1581.38</v>
      </c>
      <c r="F41">
        <f>D41*A41</f>
        <v>7906.9</v>
      </c>
      <c r="H41">
        <f>F41</f>
        <v>7906.9</v>
      </c>
    </row>
    <row r="42" spans="1:10" ht="24" customHeight="1">
      <c r="A42" s="51">
        <v>3.3</v>
      </c>
      <c r="B42" t="s">
        <v>1289</v>
      </c>
      <c r="C42" t="s">
        <v>3896</v>
      </c>
      <c r="D42">
        <f>Data!V709</f>
        <v>1302.3800000000001</v>
      </c>
      <c r="F42">
        <f t="shared" ref="F42:F48" si="0">D42*A42</f>
        <v>4297.8500000000004</v>
      </c>
      <c r="H42">
        <f t="shared" ref="H42:H50" si="1">F42</f>
        <v>4297.8500000000004</v>
      </c>
    </row>
    <row r="43" spans="1:10" ht="24" customHeight="1">
      <c r="A43" s="51">
        <v>4.79</v>
      </c>
      <c r="B43" t="s">
        <v>1289</v>
      </c>
      <c r="C43" t="s">
        <v>3897</v>
      </c>
      <c r="D43">
        <f>Data!V710</f>
        <v>1400.82</v>
      </c>
      <c r="F43">
        <f t="shared" si="0"/>
        <v>6709.93</v>
      </c>
      <c r="H43">
        <f t="shared" si="1"/>
        <v>6709.93</v>
      </c>
    </row>
    <row r="44" spans="1:10" ht="24" customHeight="1">
      <c r="A44" s="51">
        <v>3.25</v>
      </c>
      <c r="B44" t="s">
        <v>494</v>
      </c>
      <c r="C44" t="s">
        <v>364</v>
      </c>
      <c r="D44">
        <f>Data!V711</f>
        <v>5960</v>
      </c>
      <c r="F44">
        <f t="shared" si="0"/>
        <v>19370</v>
      </c>
      <c r="H44">
        <f t="shared" si="1"/>
        <v>19370</v>
      </c>
    </row>
    <row r="45" spans="1:10" ht="35.25" customHeight="1">
      <c r="A45" s="51">
        <f>3250*0.6%</f>
        <v>19.5</v>
      </c>
      <c r="B45" t="s">
        <v>1591</v>
      </c>
      <c r="C45" s="330" t="s">
        <v>3898</v>
      </c>
      <c r="D45">
        <f>Data!V712</f>
        <v>42.8</v>
      </c>
      <c r="F45">
        <f t="shared" si="0"/>
        <v>834.6</v>
      </c>
      <c r="H45">
        <f t="shared" si="1"/>
        <v>834.6</v>
      </c>
    </row>
    <row r="46" spans="1:10" ht="24" customHeight="1">
      <c r="A46" s="51">
        <v>3.5</v>
      </c>
      <c r="B46" t="s">
        <v>1375</v>
      </c>
      <c r="C46" t="s">
        <v>435</v>
      </c>
      <c r="D46">
        <f>Data!V713</f>
        <v>804</v>
      </c>
      <c r="F46">
        <f t="shared" si="0"/>
        <v>2814</v>
      </c>
      <c r="H46">
        <f t="shared" si="1"/>
        <v>2814</v>
      </c>
    </row>
    <row r="47" spans="1:10" ht="24" customHeight="1">
      <c r="A47" s="51">
        <v>21.2</v>
      </c>
      <c r="B47" t="s">
        <v>1375</v>
      </c>
      <c r="C47" t="s">
        <v>3414</v>
      </c>
      <c r="D47">
        <f>Data!V714</f>
        <v>562</v>
      </c>
      <c r="F47">
        <f t="shared" si="0"/>
        <v>11914.4</v>
      </c>
      <c r="H47">
        <f t="shared" si="1"/>
        <v>11914.4</v>
      </c>
    </row>
    <row r="48" spans="1:10" ht="24" customHeight="1">
      <c r="A48" s="51">
        <v>35.299999999999997</v>
      </c>
      <c r="B48" t="s">
        <v>1375</v>
      </c>
      <c r="C48" t="s">
        <v>3415</v>
      </c>
      <c r="D48">
        <f>Data!V715</f>
        <v>461</v>
      </c>
      <c r="F48">
        <f t="shared" si="0"/>
        <v>16273.3</v>
      </c>
      <c r="H48">
        <f t="shared" si="1"/>
        <v>16273.3</v>
      </c>
    </row>
    <row r="49" spans="1:8" ht="24" customHeight="1">
      <c r="A49" s="51"/>
      <c r="C49" t="s">
        <v>3899</v>
      </c>
      <c r="D49">
        <f>Data!V716</f>
        <v>0</v>
      </c>
      <c r="F49" s="37">
        <f>SUM(F41:F48)</f>
        <v>70120.98</v>
      </c>
      <c r="H49">
        <f t="shared" si="1"/>
        <v>70120.98</v>
      </c>
    </row>
    <row r="50" spans="1:8" ht="24" customHeight="1">
      <c r="A50" s="51"/>
      <c r="C50" t="s">
        <v>3900</v>
      </c>
      <c r="D50">
        <f>Data!V717</f>
        <v>0</v>
      </c>
      <c r="F50" s="37">
        <f>F49/10</f>
        <v>7012.1</v>
      </c>
      <c r="H50">
        <f t="shared" si="1"/>
        <v>7012.1</v>
      </c>
    </row>
    <row r="51" spans="1:8" ht="24" customHeight="1">
      <c r="A51" s="51">
        <v>1</v>
      </c>
      <c r="B51" t="s">
        <v>1289</v>
      </c>
      <c r="C51" t="s">
        <v>3929</v>
      </c>
      <c r="D51">
        <f>Data!V718</f>
        <v>81.3</v>
      </c>
      <c r="F51">
        <f>D51*A51</f>
        <v>81.3</v>
      </c>
    </row>
    <row r="52" spans="1:8" ht="24" customHeight="1">
      <c r="A52" s="51"/>
      <c r="C52" t="s">
        <v>3901</v>
      </c>
      <c r="D52">
        <f>Data!V719</f>
        <v>0</v>
      </c>
      <c r="F52" s="37">
        <f>SUM(F50:F51)</f>
        <v>7093.4</v>
      </c>
      <c r="H52">
        <f>H50</f>
        <v>7012.1</v>
      </c>
    </row>
    <row r="53" spans="1:8">
      <c r="A53" s="420" t="s">
        <v>625</v>
      </c>
      <c r="C53" t="s">
        <v>3902</v>
      </c>
      <c r="D53" t="str">
        <f>Data!V720</f>
        <v>LS</v>
      </c>
      <c r="F53">
        <f>F52*0.5%</f>
        <v>35.47</v>
      </c>
      <c r="H53">
        <f>H52*0.5/100</f>
        <v>35.06</v>
      </c>
    </row>
    <row r="54" spans="1:8">
      <c r="A54" s="51"/>
      <c r="B54" s="3"/>
      <c r="C54" s="37" t="s">
        <v>3523</v>
      </c>
      <c r="E54" s="11"/>
      <c r="F54" s="39">
        <f>SUM(F52:F53)</f>
        <v>7128.87</v>
      </c>
      <c r="H54" s="37">
        <f>SUM(H52:H53)</f>
        <v>7047.16</v>
      </c>
    </row>
    <row r="55" spans="1:8">
      <c r="A55" s="51"/>
      <c r="B55" s="3"/>
      <c r="E55" s="11"/>
      <c r="F55" s="5" t="s">
        <v>1530</v>
      </c>
    </row>
    <row r="56" spans="1:8">
      <c r="A56" s="51"/>
      <c r="B56" s="3"/>
      <c r="C56" s="1" t="s">
        <v>361</v>
      </c>
      <c r="E56" s="11"/>
      <c r="F56" s="39">
        <f>F54+Data!C23</f>
        <v>7332.37</v>
      </c>
    </row>
    <row r="57" spans="1:8">
      <c r="A57" s="51"/>
      <c r="B57" s="3"/>
      <c r="C57" s="1" t="s">
        <v>363</v>
      </c>
      <c r="E57" s="11"/>
      <c r="F57" s="670"/>
    </row>
    <row r="58" spans="1:8">
      <c r="A58" s="51"/>
      <c r="B58" s="3"/>
      <c r="C58" s="1" t="s">
        <v>2149</v>
      </c>
      <c r="E58" s="11"/>
      <c r="F58" s="39">
        <f>F56+Data!C25</f>
        <v>7413.67</v>
      </c>
    </row>
    <row r="59" spans="1:8">
      <c r="A59" s="51"/>
      <c r="B59" s="3"/>
      <c r="C59" s="1" t="s">
        <v>355</v>
      </c>
      <c r="E59" s="11"/>
      <c r="F59" s="39"/>
    </row>
    <row r="60" spans="1:8">
      <c r="A60" s="51"/>
      <c r="B60" s="3"/>
      <c r="C60" s="1" t="s">
        <v>1477</v>
      </c>
      <c r="E60" s="11"/>
      <c r="F60" s="39">
        <f>F58+Data!C27</f>
        <v>7443.17</v>
      </c>
    </row>
    <row r="61" spans="1:8" ht="17.25">
      <c r="A61" s="597"/>
      <c r="B61" s="597"/>
      <c r="C61" s="597"/>
      <c r="E61" s="597"/>
      <c r="F61" s="597"/>
      <c r="G61" s="597"/>
    </row>
    <row r="62" spans="1:8" ht="7.5" customHeight="1">
      <c r="A62" s="597"/>
      <c r="B62" s="597"/>
      <c r="C62" s="597"/>
      <c r="E62" s="597"/>
      <c r="F62" s="597"/>
      <c r="G62" s="597"/>
    </row>
    <row r="63" spans="1:8" ht="17.25" hidden="1">
      <c r="A63" s="597"/>
      <c r="B63" s="597"/>
      <c r="C63" s="597"/>
      <c r="E63" s="597"/>
      <c r="F63" s="597"/>
      <c r="G63" s="597"/>
    </row>
    <row r="64" spans="1:8" ht="17.25" hidden="1">
      <c r="A64" s="597"/>
      <c r="B64" s="597"/>
      <c r="C64" s="597"/>
      <c r="E64" s="597"/>
      <c r="F64" s="597"/>
      <c r="G64" s="597"/>
    </row>
    <row r="65" spans="1:7" ht="17.25">
      <c r="A65" s="1459" t="s">
        <v>3877</v>
      </c>
      <c r="B65" s="1459"/>
      <c r="C65" s="1459"/>
      <c r="D65" s="1459"/>
      <c r="E65" s="1459"/>
      <c r="F65" s="1459"/>
    </row>
    <row r="66" spans="1:7" ht="17.25">
      <c r="A66" s="1459" t="s">
        <v>3876</v>
      </c>
      <c r="B66" s="1459"/>
      <c r="C66" s="1459"/>
      <c r="D66" s="1459"/>
      <c r="E66" s="1459"/>
      <c r="F66" s="1459"/>
    </row>
    <row r="67" spans="1:7" ht="17.25">
      <c r="A67" s="1460" t="s">
        <v>4033</v>
      </c>
      <c r="B67" s="1460"/>
      <c r="C67" s="1460"/>
      <c r="D67" s="1460"/>
      <c r="E67" s="1460"/>
      <c r="F67" s="1460"/>
    </row>
    <row r="68" spans="1:7" ht="17.25">
      <c r="A68" s="1461" t="s">
        <v>3875</v>
      </c>
      <c r="B68" s="1461"/>
      <c r="C68" s="1461"/>
      <c r="D68" s="1461"/>
      <c r="E68" s="1461"/>
      <c r="F68" s="597"/>
    </row>
    <row r="69" spans="1:7" ht="17.25">
      <c r="A69" s="597"/>
      <c r="B69" s="597"/>
      <c r="C69" s="597"/>
      <c r="D69" s="597"/>
      <c r="E69" s="597"/>
      <c r="F69" s="597"/>
    </row>
    <row r="70" spans="1:7" ht="19.5">
      <c r="B70" s="615"/>
      <c r="C70" s="1462" t="s">
        <v>4034</v>
      </c>
      <c r="D70" s="1462"/>
      <c r="E70" s="1462"/>
      <c r="F70" s="615"/>
      <c r="G70" s="4" t="s">
        <v>2070</v>
      </c>
    </row>
    <row r="71" spans="1:7" ht="20.25">
      <c r="A71" s="614"/>
      <c r="B71" s="1458" t="s">
        <v>4555</v>
      </c>
      <c r="C71" s="1458"/>
      <c r="D71" s="1458"/>
      <c r="E71" s="1458"/>
      <c r="F71" s="1458"/>
      <c r="G71" s="51">
        <v>2.2599999999999998</v>
      </c>
    </row>
    <row r="72" spans="1:7" ht="31.5" customHeight="1">
      <c r="A72" s="606"/>
      <c r="B72" s="606"/>
      <c r="C72" s="810" t="s">
        <v>4556</v>
      </c>
      <c r="D72" s="606"/>
      <c r="E72" s="606"/>
      <c r="F72" s="606"/>
    </row>
    <row r="73" spans="1:7" ht="36.75" customHeight="1">
      <c r="A73" s="608">
        <f>G71</f>
        <v>2.2599999999999998</v>
      </c>
      <c r="B73" s="606" t="s">
        <v>2070</v>
      </c>
      <c r="C73" s="606" t="s">
        <v>4236</v>
      </c>
      <c r="D73" s="597"/>
      <c r="E73" s="607">
        <f>E9</f>
        <v>7584.57</v>
      </c>
      <c r="F73" s="607">
        <f>A73*E73</f>
        <v>17141.13</v>
      </c>
    </row>
    <row r="74" spans="1:7" ht="17.25">
      <c r="A74" s="612">
        <f>A73*10/100</f>
        <v>0.22600000000000001</v>
      </c>
      <c r="B74" s="606" t="s">
        <v>494</v>
      </c>
      <c r="C74" s="606" t="s">
        <v>3870</v>
      </c>
      <c r="D74" s="597"/>
      <c r="E74" s="607">
        <v>4000</v>
      </c>
      <c r="F74" s="607">
        <f>A74*E74</f>
        <v>904</v>
      </c>
    </row>
    <row r="75" spans="1:7" ht="17.25">
      <c r="A75" s="607">
        <v>8</v>
      </c>
      <c r="B75" s="606" t="s">
        <v>794</v>
      </c>
      <c r="C75" s="606" t="s">
        <v>2568</v>
      </c>
      <c r="D75" s="597"/>
      <c r="E75" s="607">
        <v>960</v>
      </c>
      <c r="F75" s="607">
        <f>A75*E75</f>
        <v>7680</v>
      </c>
    </row>
    <row r="76" spans="1:7" ht="17.25">
      <c r="A76" s="606"/>
      <c r="B76" s="606"/>
      <c r="C76" s="606"/>
      <c r="D76" s="597"/>
      <c r="E76" s="606"/>
      <c r="F76" s="606"/>
    </row>
    <row r="77" spans="1:7" ht="17.25">
      <c r="A77" s="606"/>
      <c r="B77" s="606"/>
      <c r="C77" s="606" t="s">
        <v>3869</v>
      </c>
      <c r="D77" s="597"/>
      <c r="E77" s="606"/>
      <c r="F77" s="607">
        <f>SUM(F73:F76)</f>
        <v>25725.13</v>
      </c>
    </row>
    <row r="78" spans="1:7" ht="17.25">
      <c r="A78" s="606"/>
      <c r="B78" s="606"/>
      <c r="C78" s="606" t="s">
        <v>1585</v>
      </c>
      <c r="D78" s="597"/>
      <c r="E78" s="606"/>
      <c r="F78" s="607">
        <f>F77/7</f>
        <v>3675.02</v>
      </c>
    </row>
    <row r="79" spans="1:7" ht="17.25">
      <c r="A79" s="606"/>
      <c r="B79" s="606"/>
      <c r="C79" s="606" t="s">
        <v>3868</v>
      </c>
      <c r="D79" s="597"/>
      <c r="E79" s="606"/>
      <c r="F79" s="606">
        <f>1000/8</f>
        <v>125</v>
      </c>
    </row>
    <row r="80" spans="1:7" ht="17.25">
      <c r="A80" s="606"/>
      <c r="B80" s="606"/>
      <c r="C80" s="606"/>
      <c r="D80" s="597"/>
      <c r="E80" s="606"/>
      <c r="F80" s="606"/>
    </row>
    <row r="81" spans="1:7" ht="17.25">
      <c r="A81" s="606"/>
      <c r="B81" s="606"/>
      <c r="C81" s="606" t="s">
        <v>1585</v>
      </c>
      <c r="D81" s="597"/>
      <c r="E81" s="606"/>
      <c r="F81" s="605">
        <f>SUM(F78:F80)</f>
        <v>3800.02</v>
      </c>
    </row>
    <row r="82" spans="1:7" ht="17.25">
      <c r="A82" s="606"/>
      <c r="B82" s="606"/>
      <c r="C82" s="606" t="s">
        <v>3867</v>
      </c>
      <c r="D82" s="606"/>
      <c r="E82" s="606"/>
      <c r="F82" s="606"/>
    </row>
    <row r="83" spans="1:7" ht="17.25">
      <c r="A83" s="606"/>
      <c r="B83" s="606"/>
      <c r="C83" s="606"/>
      <c r="D83" s="606"/>
      <c r="E83" s="606"/>
      <c r="F83" s="606"/>
    </row>
    <row r="84" spans="1:7" ht="17.25">
      <c r="A84" s="606"/>
      <c r="B84" s="606"/>
      <c r="C84" s="606"/>
      <c r="D84" s="606"/>
      <c r="E84" s="606"/>
      <c r="F84" s="606"/>
    </row>
    <row r="85" spans="1:7" ht="17.25">
      <c r="A85" s="611"/>
      <c r="B85" s="611"/>
      <c r="C85" s="1463" t="s">
        <v>3866</v>
      </c>
      <c r="D85" s="1463"/>
      <c r="E85" s="1463"/>
      <c r="F85" s="611"/>
      <c r="G85" s="37"/>
    </row>
    <row r="86" spans="1:7" ht="20.25">
      <c r="A86" s="610"/>
      <c r="B86" s="1458" t="s">
        <v>4557</v>
      </c>
      <c r="C86" s="1458"/>
      <c r="D86" s="1458"/>
      <c r="E86" s="1458"/>
      <c r="F86" s="1458"/>
      <c r="G86" s="595">
        <f>3.14*0.6*0.6/4</f>
        <v>0.28000000000000003</v>
      </c>
    </row>
    <row r="87" spans="1:7" ht="39.75" customHeight="1">
      <c r="A87" s="606"/>
      <c r="B87" s="606"/>
      <c r="C87" s="609" t="s">
        <v>3864</v>
      </c>
      <c r="D87" s="606"/>
      <c r="E87" s="606"/>
      <c r="F87" s="606"/>
    </row>
    <row r="88" spans="1:7" ht="17.25">
      <c r="A88" s="608">
        <f>G86</f>
        <v>0.28000000000000003</v>
      </c>
      <c r="B88" s="606" t="s">
        <v>2070</v>
      </c>
      <c r="C88" s="606" t="s">
        <v>4237</v>
      </c>
      <c r="D88" s="597"/>
      <c r="E88" s="607">
        <f>E24</f>
        <v>5549.5</v>
      </c>
      <c r="F88" s="607">
        <f>A88*E88</f>
        <v>1553.86</v>
      </c>
    </row>
    <row r="89" spans="1:7" ht="17.25">
      <c r="A89" s="608">
        <f>+A88</f>
        <v>0.28000000000000003</v>
      </c>
      <c r="B89" s="606" t="s">
        <v>2070</v>
      </c>
      <c r="C89" s="1464" t="s">
        <v>4220</v>
      </c>
      <c r="D89" s="1464"/>
      <c r="E89" s="607">
        <f>E25</f>
        <v>52</v>
      </c>
      <c r="F89" s="607">
        <f>E89*A89</f>
        <v>14.56</v>
      </c>
    </row>
    <row r="90" spans="1:7" ht="17.25">
      <c r="A90" s="608">
        <f>+A89</f>
        <v>0.28000000000000003</v>
      </c>
      <c r="B90" s="606" t="s">
        <v>2070</v>
      </c>
      <c r="C90" s="606" t="s">
        <v>4221</v>
      </c>
      <c r="D90" s="597"/>
      <c r="E90" s="607">
        <f>E26</f>
        <v>38</v>
      </c>
      <c r="F90" s="607">
        <f>A90*E90</f>
        <v>10.64</v>
      </c>
    </row>
    <row r="91" spans="1:7" ht="17.25">
      <c r="A91" s="607"/>
      <c r="B91" s="606"/>
      <c r="C91" s="606"/>
      <c r="D91" s="597"/>
      <c r="E91" s="607"/>
      <c r="F91" s="607"/>
    </row>
    <row r="92" spans="1:7" ht="17.25">
      <c r="A92" s="606"/>
      <c r="B92" s="606"/>
      <c r="C92" s="606" t="s">
        <v>1585</v>
      </c>
      <c r="D92" s="597"/>
      <c r="E92" s="606"/>
      <c r="F92" s="605">
        <f>SUM(F88:F91)</f>
        <v>1579.06</v>
      </c>
    </row>
    <row r="93" spans="1:7" ht="17.25">
      <c r="A93" s="597"/>
      <c r="B93" s="597"/>
      <c r="C93" s="597"/>
      <c r="D93" s="597"/>
      <c r="E93" s="597"/>
      <c r="F93" s="597"/>
    </row>
    <row r="94" spans="1:7" ht="17.25">
      <c r="B94" s="604"/>
      <c r="C94" s="1465" t="s">
        <v>3861</v>
      </c>
      <c r="D94" s="1465"/>
      <c r="E94" s="1465"/>
      <c r="F94" s="604"/>
    </row>
    <row r="95" spans="1:7" ht="17.25">
      <c r="A95" s="597"/>
      <c r="B95" s="597"/>
      <c r="C95" s="597"/>
      <c r="D95" s="597"/>
      <c r="E95" s="597"/>
      <c r="F95" s="597"/>
    </row>
    <row r="96" spans="1:7" ht="34.5">
      <c r="A96" s="600" t="s">
        <v>3859</v>
      </c>
      <c r="B96" s="600">
        <v>3</v>
      </c>
      <c r="C96" s="603" t="s">
        <v>3860</v>
      </c>
      <c r="E96" s="600">
        <f>E32</f>
        <v>10.199999999999999</v>
      </c>
      <c r="F96" s="600" t="s">
        <v>1289</v>
      </c>
      <c r="G96" s="600">
        <f>E96*B96</f>
        <v>30.6</v>
      </c>
    </row>
    <row r="97" spans="1:7" ht="17.25">
      <c r="A97" s="600" t="s">
        <v>3859</v>
      </c>
      <c r="B97" s="600">
        <v>3</v>
      </c>
      <c r="C97" s="602" t="s">
        <v>3858</v>
      </c>
      <c r="E97" s="600">
        <f>E90</f>
        <v>38</v>
      </c>
      <c r="F97" s="600" t="s">
        <v>1289</v>
      </c>
      <c r="G97" s="600">
        <f>E97*B97</f>
        <v>114</v>
      </c>
    </row>
    <row r="98" spans="1:7" ht="17.25">
      <c r="A98" s="600"/>
      <c r="B98" s="600"/>
      <c r="C98" s="601"/>
      <c r="E98" s="600"/>
      <c r="F98" s="600"/>
      <c r="G98" s="600"/>
    </row>
    <row r="99" spans="1:7" ht="17.25">
      <c r="A99" s="600"/>
      <c r="B99" s="600"/>
      <c r="C99" s="601" t="s">
        <v>3857</v>
      </c>
      <c r="E99" s="600"/>
      <c r="F99" s="600"/>
      <c r="G99" s="599">
        <f>SUM(G96:G98)</f>
        <v>144.6</v>
      </c>
    </row>
    <row r="100" spans="1:7" ht="17.25">
      <c r="A100" s="597"/>
      <c r="B100" s="597"/>
      <c r="C100" s="597"/>
      <c r="E100" s="597"/>
      <c r="F100" s="597"/>
      <c r="G100" s="597"/>
    </row>
    <row r="101" spans="1:7" ht="23.25" hidden="1" customHeight="1">
      <c r="A101" s="597"/>
      <c r="B101" s="597"/>
      <c r="C101" s="597"/>
      <c r="E101" s="597"/>
      <c r="F101" s="597"/>
      <c r="G101" s="597"/>
    </row>
    <row r="102" spans="1:7" ht="23.25" hidden="1" customHeight="1">
      <c r="A102" s="597"/>
      <c r="B102" s="597"/>
      <c r="C102" s="597"/>
      <c r="E102" s="597"/>
      <c r="F102" s="597"/>
      <c r="G102" s="597"/>
    </row>
    <row r="103" spans="1:7" ht="29.25" hidden="1" customHeight="1">
      <c r="A103" s="51"/>
      <c r="B103" s="37">
        <v>4.2</v>
      </c>
      <c r="C103" s="37" t="s">
        <v>3886</v>
      </c>
    </row>
    <row r="104" spans="1:7" ht="30" hidden="1" customHeight="1">
      <c r="A104" s="51">
        <v>5</v>
      </c>
      <c r="B104" t="s">
        <v>1289</v>
      </c>
      <c r="C104" t="s">
        <v>3895</v>
      </c>
      <c r="D104">
        <f>D41</f>
        <v>1581.38</v>
      </c>
      <c r="F104">
        <f>D104*A104</f>
        <v>7906.9</v>
      </c>
    </row>
    <row r="105" spans="1:7" ht="30" hidden="1" customHeight="1">
      <c r="A105" s="51">
        <v>3.3</v>
      </c>
      <c r="B105" t="s">
        <v>1289</v>
      </c>
      <c r="C105" t="s">
        <v>3896</v>
      </c>
      <c r="D105">
        <f t="shared" ref="D105:D116" si="2">D42</f>
        <v>1302.3800000000001</v>
      </c>
      <c r="F105">
        <f t="shared" ref="F105:F111" si="3">D105*A105</f>
        <v>4297.8500000000004</v>
      </c>
    </row>
    <row r="106" spans="1:7" ht="30" hidden="1" customHeight="1">
      <c r="A106" s="51">
        <v>4.79</v>
      </c>
      <c r="B106" t="s">
        <v>1289</v>
      </c>
      <c r="C106" t="s">
        <v>3897</v>
      </c>
      <c r="D106">
        <f t="shared" si="2"/>
        <v>1400.82</v>
      </c>
      <c r="F106">
        <f t="shared" si="3"/>
        <v>6709.93</v>
      </c>
    </row>
    <row r="107" spans="1:7" ht="30" hidden="1" customHeight="1">
      <c r="A107" s="51">
        <v>4</v>
      </c>
      <c r="B107" t="s">
        <v>494</v>
      </c>
      <c r="C107" t="s">
        <v>364</v>
      </c>
      <c r="D107">
        <f t="shared" si="2"/>
        <v>5960</v>
      </c>
      <c r="F107">
        <f t="shared" si="3"/>
        <v>23840</v>
      </c>
    </row>
    <row r="108" spans="1:7" ht="30" hidden="1" customHeight="1">
      <c r="A108" s="51">
        <v>40</v>
      </c>
      <c r="B108" t="s">
        <v>1591</v>
      </c>
      <c r="C108" t="s">
        <v>3904</v>
      </c>
      <c r="D108">
        <f t="shared" si="2"/>
        <v>42.8</v>
      </c>
      <c r="F108">
        <f t="shared" si="3"/>
        <v>1712</v>
      </c>
    </row>
    <row r="109" spans="1:7" ht="30" hidden="1" customHeight="1">
      <c r="A109" s="51">
        <v>3.5</v>
      </c>
      <c r="B109" t="s">
        <v>1375</v>
      </c>
      <c r="C109" t="s">
        <v>435</v>
      </c>
      <c r="D109">
        <f t="shared" si="2"/>
        <v>804</v>
      </c>
      <c r="F109">
        <f>D109*A109</f>
        <v>2814</v>
      </c>
    </row>
    <row r="110" spans="1:7" ht="30" hidden="1" customHeight="1">
      <c r="A110" s="51">
        <v>21.2</v>
      </c>
      <c r="B110" t="s">
        <v>1375</v>
      </c>
      <c r="C110" t="s">
        <v>3414</v>
      </c>
      <c r="D110">
        <f t="shared" si="2"/>
        <v>562</v>
      </c>
      <c r="F110">
        <f t="shared" si="3"/>
        <v>11914.4</v>
      </c>
    </row>
    <row r="111" spans="1:7" ht="30" hidden="1" customHeight="1">
      <c r="A111" s="51">
        <v>35.299999999999997</v>
      </c>
      <c r="B111" t="s">
        <v>1375</v>
      </c>
      <c r="C111" t="s">
        <v>3415</v>
      </c>
      <c r="D111">
        <f t="shared" si="2"/>
        <v>461</v>
      </c>
      <c r="F111">
        <f t="shared" si="3"/>
        <v>16273.3</v>
      </c>
    </row>
    <row r="112" spans="1:7" ht="30" hidden="1" customHeight="1">
      <c r="A112" s="51"/>
      <c r="C112" s="37" t="s">
        <v>3899</v>
      </c>
      <c r="D112">
        <f t="shared" si="2"/>
        <v>0</v>
      </c>
      <c r="F112" s="37">
        <f>SUM(F104:F111)</f>
        <v>75468.38</v>
      </c>
    </row>
    <row r="113" spans="1:7" ht="30" hidden="1" customHeight="1">
      <c r="A113" s="51"/>
      <c r="C113" s="37" t="s">
        <v>3900</v>
      </c>
      <c r="D113">
        <f t="shared" si="2"/>
        <v>0</v>
      </c>
      <c r="F113" s="37">
        <f>F112/10</f>
        <v>7546.84</v>
      </c>
      <c r="G113">
        <f>F113</f>
        <v>7546.84</v>
      </c>
    </row>
    <row r="114" spans="1:7" ht="30" hidden="1" customHeight="1">
      <c r="A114" s="51">
        <v>1</v>
      </c>
      <c r="B114" t="s">
        <v>1289</v>
      </c>
      <c r="C114" t="s">
        <v>3416</v>
      </c>
      <c r="D114">
        <f t="shared" si="2"/>
        <v>81.3</v>
      </c>
      <c r="F114">
        <f>D114</f>
        <v>81.3</v>
      </c>
    </row>
    <row r="115" spans="1:7" ht="30" hidden="1" customHeight="1">
      <c r="A115" s="51"/>
      <c r="C115" t="s">
        <v>3901</v>
      </c>
      <c r="D115">
        <f t="shared" si="2"/>
        <v>0</v>
      </c>
      <c r="F115" s="37">
        <f>SUM(F113:F114)</f>
        <v>7628.14</v>
      </c>
      <c r="G115">
        <f>SUM(G113:G114)</f>
        <v>7546.84</v>
      </c>
    </row>
    <row r="116" spans="1:7" ht="30" hidden="1" customHeight="1">
      <c r="A116" s="420" t="s">
        <v>625</v>
      </c>
      <c r="C116" t="s">
        <v>3902</v>
      </c>
      <c r="D116" t="str">
        <f t="shared" si="2"/>
        <v>LS</v>
      </c>
      <c r="F116">
        <f>F115*0.5%</f>
        <v>38.14</v>
      </c>
      <c r="G116">
        <f>G115*0.5/100</f>
        <v>37.729999999999997</v>
      </c>
    </row>
    <row r="117" spans="1:7" ht="30" hidden="1" customHeight="1">
      <c r="A117" s="51"/>
      <c r="B117" s="3"/>
      <c r="C117" s="37" t="s">
        <v>3523</v>
      </c>
      <c r="E117" s="11"/>
      <c r="F117" s="39">
        <f>SUM(F115:F116)</f>
        <v>7666.28</v>
      </c>
      <c r="G117" s="37">
        <f>SUM(G115:G116)</f>
        <v>7584.57</v>
      </c>
    </row>
    <row r="118" spans="1:7" ht="17.25" hidden="1">
      <c r="A118" s="597"/>
      <c r="B118" s="597"/>
      <c r="C118" s="597"/>
      <c r="E118" s="597"/>
      <c r="F118" s="597"/>
      <c r="G118" s="597"/>
    </row>
    <row r="119" spans="1:7" ht="17.25" hidden="1">
      <c r="A119" s="597"/>
      <c r="B119" s="597"/>
      <c r="C119" s="597"/>
      <c r="E119" s="597"/>
      <c r="F119" s="597"/>
      <c r="G119" s="597"/>
    </row>
    <row r="120" spans="1:7" ht="17.25" hidden="1">
      <c r="A120" s="597"/>
      <c r="B120" s="597"/>
      <c r="C120" s="597"/>
      <c r="E120" s="597"/>
      <c r="F120" s="597"/>
      <c r="G120" s="597"/>
    </row>
    <row r="121" spans="1:7" ht="17.25" hidden="1">
      <c r="A121" s="597"/>
      <c r="B121" s="597"/>
      <c r="C121" s="597"/>
      <c r="E121" s="597"/>
      <c r="F121" s="597"/>
      <c r="G121" s="598"/>
    </row>
    <row r="122" spans="1:7" ht="17.25" hidden="1">
      <c r="A122" s="597"/>
      <c r="B122" s="597"/>
      <c r="C122" s="597"/>
      <c r="E122" s="597"/>
      <c r="F122" s="597"/>
      <c r="G122" s="597"/>
    </row>
    <row r="123" spans="1:7" ht="17.25" hidden="1">
      <c r="A123" s="597"/>
      <c r="B123" s="597"/>
      <c r="C123" s="597"/>
      <c r="E123" s="597"/>
      <c r="F123" s="597"/>
      <c r="G123" s="597"/>
    </row>
    <row r="124" spans="1:7" ht="17.25" hidden="1">
      <c r="A124" s="597"/>
      <c r="B124" s="597"/>
      <c r="C124" s="597"/>
      <c r="E124" s="597"/>
      <c r="F124" s="597"/>
      <c r="G124" s="597"/>
    </row>
    <row r="125" spans="1:7" ht="17.25">
      <c r="A125" s="1459" t="s">
        <v>3877</v>
      </c>
      <c r="B125" s="1459"/>
      <c r="C125" s="1459"/>
      <c r="D125" s="1459"/>
      <c r="E125" s="1459"/>
      <c r="F125" s="1459"/>
    </row>
    <row r="126" spans="1:7" ht="17.25">
      <c r="A126" s="1459" t="s">
        <v>3876</v>
      </c>
      <c r="B126" s="1459"/>
      <c r="C126" s="1459"/>
      <c r="D126" s="1459"/>
      <c r="E126" s="1459"/>
      <c r="F126" s="1459"/>
    </row>
    <row r="127" spans="1:7" ht="17.25">
      <c r="A127" s="1460" t="s">
        <v>4033</v>
      </c>
      <c r="B127" s="1460"/>
      <c r="C127" s="1460"/>
      <c r="D127" s="1460"/>
      <c r="E127" s="1460"/>
      <c r="F127" s="1460"/>
    </row>
    <row r="128" spans="1:7" ht="17.25">
      <c r="A128" s="1461" t="s">
        <v>3875</v>
      </c>
      <c r="B128" s="1461"/>
      <c r="C128" s="1461"/>
      <c r="D128" s="1461"/>
      <c r="E128" s="1461"/>
      <c r="F128" s="597"/>
    </row>
    <row r="129" spans="1:7" ht="17.25">
      <c r="A129" s="597"/>
      <c r="B129" s="597"/>
      <c r="C129" s="597"/>
      <c r="D129" s="597"/>
      <c r="E129" s="597"/>
      <c r="F129" s="597"/>
    </row>
    <row r="130" spans="1:7" ht="19.5">
      <c r="B130" s="615"/>
      <c r="C130" s="1462" t="s">
        <v>4037</v>
      </c>
      <c r="D130" s="1462"/>
      <c r="E130" s="1462"/>
      <c r="F130" s="615"/>
      <c r="G130" s="4" t="s">
        <v>2070</v>
      </c>
    </row>
    <row r="131" spans="1:7" ht="20.25">
      <c r="A131" s="614"/>
      <c r="B131" s="1458" t="s">
        <v>4038</v>
      </c>
      <c r="C131" s="1458"/>
      <c r="D131" s="1458"/>
      <c r="E131" s="1458"/>
      <c r="F131" s="1458"/>
      <c r="G131" s="51">
        <f>3.14*0.4*0.4*8/4</f>
        <v>1.0049999999999999</v>
      </c>
    </row>
    <row r="132" spans="1:7" ht="34.5" customHeight="1">
      <c r="A132" s="606"/>
      <c r="B132" s="606"/>
      <c r="C132" s="809" t="s">
        <v>4041</v>
      </c>
      <c r="D132" s="606"/>
      <c r="E132" s="606"/>
      <c r="F132" s="606"/>
    </row>
    <row r="133" spans="1:7" ht="17.25">
      <c r="A133" s="608">
        <f>G131</f>
        <v>1.0049999999999999</v>
      </c>
      <c r="B133" s="606" t="s">
        <v>2070</v>
      </c>
      <c r="C133" s="606" t="s">
        <v>3871</v>
      </c>
      <c r="D133" s="597"/>
      <c r="E133" s="607">
        <f>E73</f>
        <v>7584.57</v>
      </c>
      <c r="F133" s="607">
        <f>A133*E133</f>
        <v>7622.49</v>
      </c>
    </row>
    <row r="134" spans="1:7" ht="17.25">
      <c r="A134" s="612">
        <f>A133*10/100</f>
        <v>0.10050000000000001</v>
      </c>
      <c r="B134" s="606" t="s">
        <v>494</v>
      </c>
      <c r="C134" s="606" t="s">
        <v>3870</v>
      </c>
      <c r="D134" s="597"/>
      <c r="E134" s="607">
        <v>4000</v>
      </c>
      <c r="F134" s="607">
        <f>A134*E134</f>
        <v>402</v>
      </c>
    </row>
    <row r="135" spans="1:7" ht="17.25">
      <c r="A135" s="607">
        <v>8</v>
      </c>
      <c r="B135" s="606" t="s">
        <v>794</v>
      </c>
      <c r="C135" s="606" t="s">
        <v>2568</v>
      </c>
      <c r="D135" s="597"/>
      <c r="E135" s="607">
        <v>960</v>
      </c>
      <c r="F135" s="607">
        <f>A135*E135</f>
        <v>7680</v>
      </c>
    </row>
    <row r="136" spans="1:7" ht="17.25">
      <c r="A136" s="606"/>
      <c r="B136" s="606"/>
      <c r="C136" s="606"/>
      <c r="D136" s="597"/>
      <c r="E136" s="606"/>
      <c r="F136" s="606"/>
    </row>
    <row r="137" spans="1:7" ht="17.25">
      <c r="A137" s="606"/>
      <c r="B137" s="606"/>
      <c r="C137" s="606" t="s">
        <v>3869</v>
      </c>
      <c r="D137" s="597"/>
      <c r="E137" s="606"/>
      <c r="F137" s="607">
        <f>SUM(F133:F136)</f>
        <v>15704.49</v>
      </c>
    </row>
    <row r="138" spans="1:7" ht="17.25">
      <c r="A138" s="606"/>
      <c r="B138" s="606"/>
      <c r="C138" s="606" t="s">
        <v>1585</v>
      </c>
      <c r="D138" s="597"/>
      <c r="E138" s="606"/>
      <c r="F138" s="607">
        <f>F137/7</f>
        <v>2243.5</v>
      </c>
    </row>
    <row r="139" spans="1:7" ht="17.25">
      <c r="A139" s="606"/>
      <c r="B139" s="606"/>
      <c r="C139" s="606" t="s">
        <v>3868</v>
      </c>
      <c r="D139" s="597"/>
      <c r="E139" s="606"/>
      <c r="F139" s="606">
        <f>1000/8</f>
        <v>125</v>
      </c>
    </row>
    <row r="140" spans="1:7" ht="17.25">
      <c r="A140" s="606"/>
      <c r="B140" s="606"/>
      <c r="C140" s="606"/>
      <c r="D140" s="597"/>
      <c r="E140" s="606"/>
      <c r="F140" s="606"/>
    </row>
    <row r="141" spans="1:7" ht="17.25">
      <c r="A141" s="606"/>
      <c r="B141" s="606"/>
      <c r="C141" s="606" t="s">
        <v>1585</v>
      </c>
      <c r="D141" s="597"/>
      <c r="E141" s="606"/>
      <c r="F141" s="605">
        <f>SUM(F138:F140)</f>
        <v>2368.5</v>
      </c>
    </row>
    <row r="142" spans="1:7" ht="17.25">
      <c r="A142" s="606"/>
      <c r="B142" s="606"/>
      <c r="C142" s="606" t="s">
        <v>3867</v>
      </c>
      <c r="D142" s="606"/>
      <c r="E142" s="606"/>
      <c r="F142" s="606"/>
    </row>
    <row r="143" spans="1:7" ht="17.25">
      <c r="A143" s="606"/>
      <c r="B143" s="606"/>
      <c r="C143" s="606"/>
      <c r="D143" s="606"/>
      <c r="E143" s="606"/>
      <c r="F143" s="606"/>
    </row>
    <row r="144" spans="1:7" ht="17.25">
      <c r="A144" s="606"/>
      <c r="B144" s="606"/>
      <c r="C144" s="606"/>
      <c r="D144" s="606"/>
      <c r="E144" s="606"/>
      <c r="F144" s="606"/>
    </row>
    <row r="145" spans="1:7" ht="17.25">
      <c r="A145" s="611"/>
      <c r="B145" s="611"/>
      <c r="C145" s="1463" t="s">
        <v>3866</v>
      </c>
      <c r="D145" s="1463"/>
      <c r="E145" s="1463"/>
      <c r="F145" s="611"/>
      <c r="G145" s="37"/>
    </row>
    <row r="146" spans="1:7" ht="20.25">
      <c r="A146" s="610"/>
      <c r="B146" s="1458" t="s">
        <v>4039</v>
      </c>
      <c r="C146" s="1458"/>
      <c r="D146" s="1458"/>
      <c r="E146" s="1458"/>
      <c r="F146" s="1458"/>
      <c r="G146" s="51">
        <f>3.14*0.4*0.4/4</f>
        <v>0.126</v>
      </c>
    </row>
    <row r="147" spans="1:7" ht="17.25">
      <c r="A147" s="606"/>
      <c r="B147" s="606"/>
      <c r="C147" s="609" t="s">
        <v>4042</v>
      </c>
      <c r="D147" s="606"/>
      <c r="E147" s="606"/>
      <c r="F147" s="606"/>
    </row>
    <row r="148" spans="1:7" ht="17.25">
      <c r="A148" s="608">
        <f>G146</f>
        <v>0.126</v>
      </c>
      <c r="B148" s="606" t="s">
        <v>2070</v>
      </c>
      <c r="C148" s="606" t="s">
        <v>3863</v>
      </c>
      <c r="D148" s="597"/>
      <c r="E148" s="607">
        <f>E88</f>
        <v>5549.5</v>
      </c>
      <c r="F148" s="607">
        <f>A148*E148</f>
        <v>699.24</v>
      </c>
    </row>
    <row r="149" spans="1:7" ht="17.25">
      <c r="A149" s="608">
        <f>+A148</f>
        <v>0.126</v>
      </c>
      <c r="B149" s="606" t="s">
        <v>2070</v>
      </c>
      <c r="C149" s="1464" t="s">
        <v>3862</v>
      </c>
      <c r="D149" s="1464"/>
      <c r="E149" s="607">
        <f>E89</f>
        <v>52</v>
      </c>
      <c r="F149" s="607">
        <f>E149*A149</f>
        <v>6.55</v>
      </c>
    </row>
    <row r="150" spans="1:7" ht="17.25">
      <c r="A150" s="608">
        <f>+A149</f>
        <v>0.126</v>
      </c>
      <c r="B150" s="606" t="s">
        <v>2070</v>
      </c>
      <c r="C150" s="606" t="s">
        <v>3858</v>
      </c>
      <c r="D150" s="597"/>
      <c r="E150" s="607">
        <f>E90</f>
        <v>38</v>
      </c>
      <c r="F150" s="607">
        <f>A150*E150</f>
        <v>4.79</v>
      </c>
    </row>
    <row r="151" spans="1:7" ht="17.25">
      <c r="A151" s="607"/>
      <c r="B151" s="606"/>
      <c r="C151" s="606"/>
      <c r="D151" s="597"/>
      <c r="E151" s="607"/>
      <c r="F151" s="607"/>
    </row>
    <row r="152" spans="1:7" ht="17.25">
      <c r="A152" s="606"/>
      <c r="B152" s="606"/>
      <c r="C152" s="606" t="s">
        <v>1585</v>
      </c>
      <c r="D152" s="597"/>
      <c r="E152" s="606"/>
      <c r="F152" s="605">
        <f>SUM(F148:F151)</f>
        <v>710.58</v>
      </c>
    </row>
    <row r="153" spans="1:7" ht="17.25">
      <c r="A153" s="597"/>
      <c r="B153" s="597"/>
      <c r="C153" s="597"/>
      <c r="D153" s="597"/>
      <c r="E153" s="597"/>
      <c r="F153" s="597"/>
    </row>
    <row r="154" spans="1:7" ht="17.25">
      <c r="B154" s="604"/>
      <c r="C154" s="1465" t="s">
        <v>3861</v>
      </c>
      <c r="D154" s="1465"/>
      <c r="E154" s="1465"/>
      <c r="F154" s="604"/>
    </row>
    <row r="155" spans="1:7" ht="17.25">
      <c r="A155" s="597"/>
      <c r="B155" s="597"/>
      <c r="C155" s="597"/>
      <c r="D155" s="597"/>
      <c r="E155" s="597"/>
      <c r="F155" s="597"/>
    </row>
    <row r="156" spans="1:7" ht="34.5">
      <c r="A156" s="600" t="s">
        <v>3859</v>
      </c>
      <c r="B156" s="600">
        <v>3</v>
      </c>
      <c r="C156" s="603" t="s">
        <v>3860</v>
      </c>
      <c r="E156" s="600">
        <f>E96</f>
        <v>10.199999999999999</v>
      </c>
      <c r="F156" s="600" t="s">
        <v>1289</v>
      </c>
      <c r="G156" s="600">
        <f>E156*B156</f>
        <v>30.6</v>
      </c>
    </row>
    <row r="157" spans="1:7" ht="17.25">
      <c r="A157" s="600" t="s">
        <v>3859</v>
      </c>
      <c r="B157" s="600">
        <v>3</v>
      </c>
      <c r="C157" s="602" t="s">
        <v>3858</v>
      </c>
      <c r="E157" s="600">
        <f>E97</f>
        <v>38</v>
      </c>
      <c r="F157" s="600" t="s">
        <v>1289</v>
      </c>
      <c r="G157" s="600">
        <f>E157*B157</f>
        <v>114</v>
      </c>
    </row>
    <row r="158" spans="1:7" ht="17.25">
      <c r="A158" s="600"/>
      <c r="B158" s="600"/>
      <c r="C158" s="601"/>
      <c r="E158" s="600"/>
      <c r="F158" s="600"/>
      <c r="G158" s="600"/>
    </row>
    <row r="159" spans="1:7" ht="17.25">
      <c r="A159" s="600"/>
      <c r="B159" s="600"/>
      <c r="C159" s="601" t="s">
        <v>3857</v>
      </c>
      <c r="E159" s="600"/>
      <c r="F159" s="600"/>
      <c r="G159" s="599">
        <f>SUM(G156:G158)</f>
        <v>144.6</v>
      </c>
    </row>
    <row r="160" spans="1:7" ht="17.25">
      <c r="A160" s="597"/>
      <c r="B160" s="597"/>
      <c r="C160" s="597"/>
      <c r="E160" s="597"/>
      <c r="F160" s="597"/>
      <c r="G160" s="597"/>
    </row>
    <row r="161" spans="1:7" ht="17.25">
      <c r="A161" s="597"/>
      <c r="B161" s="597"/>
      <c r="C161" s="597"/>
      <c r="E161" s="597"/>
      <c r="F161" s="597"/>
      <c r="G161" s="597"/>
    </row>
    <row r="162" spans="1:7">
      <c r="A162" s="25"/>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9"/>
      <c r="B169" s="408"/>
      <c r="C169" s="34"/>
    </row>
    <row r="170" spans="1:7">
      <c r="A170" s="8"/>
      <c r="B170" s="7"/>
      <c r="C170" s="1"/>
    </row>
    <row r="171" spans="1:7">
      <c r="A171" s="8"/>
      <c r="B171" s="7"/>
      <c r="C171" s="1"/>
    </row>
    <row r="172" spans="1:7">
      <c r="B172" s="7"/>
      <c r="C172" s="1"/>
    </row>
    <row r="173" spans="1:7">
      <c r="C173" s="1"/>
    </row>
    <row r="175" spans="1:7">
      <c r="C175" s="1"/>
      <c r="F175" s="37"/>
    </row>
    <row r="177" spans="1:6">
      <c r="B177" s="3"/>
      <c r="E177" s="11"/>
      <c r="F177" s="5"/>
    </row>
    <row r="178" spans="1:6">
      <c r="B178" s="3"/>
      <c r="C178" s="59"/>
      <c r="D178" s="37"/>
      <c r="E178" s="99"/>
      <c r="F178" s="39"/>
    </row>
    <row r="179" spans="1:6">
      <c r="B179" s="3"/>
      <c r="C179" s="1"/>
      <c r="E179" s="11"/>
      <c r="F179" s="5"/>
    </row>
    <row r="184" spans="1:6">
      <c r="A184" s="21"/>
      <c r="B184" s="7"/>
      <c r="C184" s="34"/>
      <c r="E184" s="11"/>
    </row>
    <row r="185" spans="1:6">
      <c r="A185" s="51"/>
      <c r="B185" s="3"/>
      <c r="C185" s="1"/>
      <c r="E185" s="11"/>
    </row>
    <row r="186" spans="1:6">
      <c r="A186" s="51"/>
      <c r="B186" s="3"/>
      <c r="C186" s="1"/>
      <c r="E186" s="11"/>
    </row>
    <row r="187" spans="1:6">
      <c r="A187" s="51"/>
      <c r="B187" s="3"/>
      <c r="C187" s="1"/>
      <c r="E187" s="11"/>
    </row>
    <row r="188" spans="1:6">
      <c r="A188" s="51"/>
      <c r="B188" s="3"/>
      <c r="C188" s="1"/>
      <c r="E188" s="11"/>
    </row>
    <row r="189" spans="1:6">
      <c r="A189" s="51"/>
      <c r="B189" s="3"/>
      <c r="C189" s="1"/>
      <c r="E189" s="11"/>
    </row>
    <row r="190" spans="1:6">
      <c r="A190" s="51"/>
      <c r="B190" s="3"/>
      <c r="C190" s="1"/>
      <c r="E190" s="11"/>
    </row>
    <row r="191" spans="1:6">
      <c r="A191" s="51"/>
      <c r="B191" s="3"/>
      <c r="C191" s="5"/>
      <c r="D191" s="5"/>
      <c r="E191" s="11"/>
    </row>
    <row r="192" spans="1:6">
      <c r="A192" s="51"/>
      <c r="B192" s="7"/>
      <c r="C192" s="1"/>
      <c r="E192" s="11"/>
    </row>
    <row r="193" spans="1:6">
      <c r="A193" s="51"/>
      <c r="B193" s="3"/>
      <c r="C193" s="1"/>
      <c r="E193" s="11"/>
    </row>
    <row r="194" spans="1:6">
      <c r="A194" s="13"/>
      <c r="B194" s="7"/>
      <c r="C194" s="1"/>
      <c r="D194" s="64"/>
      <c r="E194" s="1"/>
      <c r="F194" s="8"/>
    </row>
    <row r="195" spans="1:6">
      <c r="A195" s="13"/>
      <c r="B195" s="7"/>
      <c r="C195" s="1"/>
      <c r="D195" s="64"/>
      <c r="E195" s="1"/>
      <c r="F195" s="8"/>
    </row>
    <row r="196" spans="1:6">
      <c r="A196" s="13"/>
      <c r="B196" s="7"/>
      <c r="C196" s="1"/>
      <c r="D196" s="64"/>
      <c r="E196" s="1"/>
      <c r="F196" s="8"/>
    </row>
    <row r="197" spans="1:6">
      <c r="A197" s="51"/>
      <c r="B197" s="7"/>
      <c r="C197" s="1"/>
      <c r="D197" s="64"/>
      <c r="E197" s="1"/>
      <c r="F197" s="8"/>
    </row>
    <row r="198" spans="1:6">
      <c r="A198" s="51"/>
      <c r="B198" s="3"/>
      <c r="C198" s="1"/>
      <c r="E198" s="11"/>
      <c r="F198" s="5"/>
    </row>
    <row r="199" spans="1:6">
      <c r="A199" s="51"/>
      <c r="B199" s="3"/>
      <c r="C199" s="2"/>
      <c r="E199" s="11"/>
      <c r="F199" s="8"/>
    </row>
    <row r="200" spans="1:6">
      <c r="A200" s="51"/>
      <c r="B200" s="3"/>
      <c r="E200" s="11"/>
      <c r="F200" s="5"/>
    </row>
    <row r="201" spans="1:6">
      <c r="A201" s="51"/>
      <c r="B201" s="3"/>
      <c r="C201" s="2"/>
      <c r="E201" s="11"/>
      <c r="F201" s="8"/>
    </row>
    <row r="202" spans="1:6">
      <c r="A202" s="51"/>
      <c r="B202" s="3"/>
      <c r="C202" s="1"/>
      <c r="D202" s="8"/>
      <c r="E202" s="1"/>
      <c r="F202" s="39"/>
    </row>
    <row r="203" spans="1:6">
      <c r="A203" s="51"/>
      <c r="B203" s="3"/>
      <c r="C203" s="1"/>
      <c r="D203" s="8"/>
      <c r="E203" s="1"/>
      <c r="F203" s="39"/>
    </row>
    <row r="204" spans="1:6">
      <c r="A204" s="51"/>
      <c r="B204" s="3"/>
      <c r="C204" s="1"/>
      <c r="D204" s="8"/>
      <c r="E204" s="1"/>
      <c r="F204" s="39"/>
    </row>
    <row r="205" spans="1:6">
      <c r="A205" s="51"/>
      <c r="B205" s="3"/>
      <c r="C205" s="1"/>
      <c r="D205" s="8"/>
      <c r="E205" s="1"/>
      <c r="F205" s="39"/>
    </row>
    <row r="206" spans="1:6">
      <c r="A206" s="51"/>
      <c r="B206" s="3"/>
      <c r="C206" s="1"/>
      <c r="D206" s="8"/>
      <c r="E206" s="1"/>
      <c r="F206" s="39"/>
    </row>
    <row r="207" spans="1:6">
      <c r="A207" s="21"/>
      <c r="B207" s="7"/>
      <c r="C207" s="1"/>
      <c r="E207" s="11"/>
      <c r="F207" s="39"/>
    </row>
    <row r="208" spans="1:6">
      <c r="A208" s="51"/>
    </row>
    <row r="209" spans="1:13">
      <c r="A209" s="51"/>
    </row>
    <row r="210" spans="1:13">
      <c r="A210" s="51"/>
    </row>
    <row r="212" spans="1:13">
      <c r="J212" s="37"/>
    </row>
    <row r="213" spans="1:13">
      <c r="J213" s="37"/>
    </row>
    <row r="217" spans="1:13">
      <c r="D217" s="435"/>
    </row>
    <row r="218" spans="1:13">
      <c r="D218" s="435"/>
    </row>
    <row r="219" spans="1:13">
      <c r="M219" s="37"/>
    </row>
    <row r="221" spans="1:13">
      <c r="C221" s="459"/>
      <c r="E221" s="459"/>
      <c r="F221" s="459"/>
      <c r="J221" s="459"/>
      <c r="L221" s="564"/>
      <c r="M221" s="564"/>
    </row>
    <row r="222" spans="1:13">
      <c r="C222" s="459"/>
      <c r="D222" s="37"/>
      <c r="E222" s="563"/>
      <c r="F222" s="563"/>
      <c r="J222" s="563"/>
      <c r="K222" s="37"/>
      <c r="L222" s="37"/>
      <c r="M222" s="37"/>
    </row>
    <row r="223" spans="1:13">
      <c r="C223" s="563"/>
      <c r="E223" s="459"/>
      <c r="F223" s="459"/>
      <c r="J223" s="459"/>
      <c r="L223" s="459"/>
      <c r="M223" s="459"/>
    </row>
    <row r="224" spans="1:13">
      <c r="C224" s="459"/>
      <c r="E224" s="459"/>
      <c r="F224" s="459"/>
      <c r="L224" s="459"/>
      <c r="M224" s="459"/>
    </row>
    <row r="225" spans="3:13">
      <c r="C225" s="459"/>
      <c r="J225" s="459"/>
      <c r="L225" s="37"/>
      <c r="M225" s="37"/>
    </row>
    <row r="226" spans="3:13">
      <c r="C226" s="459"/>
      <c r="D226" s="459"/>
      <c r="E226" s="459"/>
      <c r="F226" s="459"/>
    </row>
  </sheetData>
  <mergeCells count="30">
    <mergeCell ref="C21:E21"/>
    <mergeCell ref="B22:F22"/>
    <mergeCell ref="C25:D25"/>
    <mergeCell ref="C30:E30"/>
    <mergeCell ref="A1:F1"/>
    <mergeCell ref="A2:F2"/>
    <mergeCell ref="A3:F3"/>
    <mergeCell ref="A4:E4"/>
    <mergeCell ref="C6:E6"/>
    <mergeCell ref="B7:F7"/>
    <mergeCell ref="A65:F65"/>
    <mergeCell ref="A66:F66"/>
    <mergeCell ref="A67:F67"/>
    <mergeCell ref="A68:E68"/>
    <mergeCell ref="C70:E70"/>
    <mergeCell ref="B71:F71"/>
    <mergeCell ref="C85:E85"/>
    <mergeCell ref="B86:F86"/>
    <mergeCell ref="C89:D89"/>
    <mergeCell ref="C94:E94"/>
    <mergeCell ref="A125:F125"/>
    <mergeCell ref="A126:F126"/>
    <mergeCell ref="C149:D149"/>
    <mergeCell ref="C154:E154"/>
    <mergeCell ref="A127:F127"/>
    <mergeCell ref="A128:E128"/>
    <mergeCell ref="C130:E130"/>
    <mergeCell ref="B131:F131"/>
    <mergeCell ref="C145:E145"/>
    <mergeCell ref="B146:F146"/>
  </mergeCells>
  <pageMargins left="1.0900000000000001" right="0.43" top="0.75" bottom="0.52" header="0.3" footer="0.3"/>
  <pageSetup paperSize="9" scale="57"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161" transitionEvaluation="1"/>
  <dimension ref="A1:AK8296"/>
  <sheetViews>
    <sheetView view="pageBreakPreview" topLeftCell="F3161" zoomScale="87" zoomScaleNormal="60" zoomScaleSheetLayoutView="87" workbookViewId="0">
      <selection activeCell="I3174" sqref="I3174"/>
    </sheetView>
  </sheetViews>
  <sheetFormatPr defaultColWidth="7.44140625" defaultRowHeight="15.75"/>
  <cols>
    <col min="1" max="1" width="7.77734375" style="182" hidden="1" customWidth="1"/>
    <col min="2" max="2" width="45.77734375" style="182" hidden="1" customWidth="1"/>
    <col min="3" max="3" width="11.77734375" style="182" hidden="1" customWidth="1"/>
    <col min="4" max="4" width="9.77734375" style="182" hidden="1" customWidth="1"/>
    <col min="5" max="5" width="9.21875" style="182" hidden="1" customWidth="1"/>
    <col min="6" max="6" width="8.88671875" style="182" customWidth="1"/>
    <col min="7" max="7" width="6.5546875" style="180" customWidth="1"/>
    <col min="8" max="8" width="48.6640625" style="182" customWidth="1"/>
    <col min="9" max="9" width="10" style="182" customWidth="1"/>
    <col min="10" max="10" width="11.44140625" style="156" customWidth="1"/>
    <col min="11" max="11" width="11.33203125" style="182" customWidth="1"/>
    <col min="12" max="12" width="9.77734375" style="182" customWidth="1"/>
    <col min="13" max="13" width="9.44140625" style="182" customWidth="1"/>
    <col min="14" max="14" width="10" style="182" bestFit="1" customWidth="1"/>
    <col min="15" max="15" width="32.77734375" style="182" customWidth="1"/>
    <col min="16" max="16" width="12.109375" style="182" customWidth="1"/>
    <col min="17" max="17" width="7.77734375" style="182" customWidth="1"/>
    <col min="18" max="18" width="10.77734375" style="182" customWidth="1"/>
    <col min="19" max="19" width="8.5546875" style="182" bestFit="1" customWidth="1"/>
    <col min="20" max="20" width="7.77734375" style="182" customWidth="1"/>
    <col min="21" max="21" width="49.77734375" style="182" customWidth="1"/>
    <col min="22" max="22" width="7.77734375" style="182" hidden="1" customWidth="1"/>
    <col min="23" max="23" width="16.77734375" style="182" hidden="1" customWidth="1"/>
    <col min="24" max="24" width="9.109375" style="182" customWidth="1"/>
    <col min="25" max="25" width="11.21875" style="182" bestFit="1" customWidth="1"/>
    <col min="26" max="26" width="9.6640625" style="182" customWidth="1"/>
    <col min="27" max="27" width="8.6640625" style="182" customWidth="1"/>
    <col min="28" max="28" width="9.6640625" style="182" customWidth="1"/>
    <col min="29" max="29" width="10.6640625" style="182" customWidth="1"/>
    <col min="30" max="30" width="23.21875" style="182" customWidth="1"/>
    <col min="31" max="31" width="8.77734375" style="182" customWidth="1"/>
    <col min="32" max="32" width="8.109375" style="182" bestFit="1" customWidth="1"/>
    <col min="33" max="33" width="9" style="182" customWidth="1"/>
    <col min="34" max="34" width="8.77734375" style="182" customWidth="1"/>
    <col min="35" max="16384" width="7.44140625" style="182"/>
  </cols>
  <sheetData>
    <row r="1" spans="1:37" ht="19.5" hidden="1">
      <c r="A1" s="181" t="s">
        <v>940</v>
      </c>
      <c r="B1" s="236" t="s">
        <v>1979</v>
      </c>
      <c r="E1" s="181" t="s">
        <v>940</v>
      </c>
      <c r="H1" s="181" t="s">
        <v>233</v>
      </c>
      <c r="O1" s="181" t="s">
        <v>233</v>
      </c>
      <c r="U1" s="237" t="s">
        <v>1979</v>
      </c>
      <c r="V1" s="181" t="s">
        <v>234</v>
      </c>
      <c r="W1" s="181" t="s">
        <v>940</v>
      </c>
    </row>
    <row r="2" spans="1:37" hidden="1">
      <c r="B2" s="185" t="s">
        <v>1980</v>
      </c>
      <c r="E2" s="181" t="s">
        <v>940</v>
      </c>
      <c r="H2" s="236" t="s">
        <v>620</v>
      </c>
      <c r="O2" s="236" t="s">
        <v>620</v>
      </c>
      <c r="U2" s="185" t="s">
        <v>1980</v>
      </c>
    </row>
    <row r="3" spans="1:37" hidden="1">
      <c r="A3" s="181" t="s">
        <v>1529</v>
      </c>
      <c r="B3" s="238" t="s">
        <v>2399</v>
      </c>
      <c r="C3" s="181" t="s">
        <v>2400</v>
      </c>
      <c r="E3" s="181" t="s">
        <v>940</v>
      </c>
      <c r="F3" s="189" t="s">
        <v>1529</v>
      </c>
      <c r="G3" s="187" t="s">
        <v>940</v>
      </c>
      <c r="H3" s="188" t="str">
        <f>B3</f>
        <v>Madurai TSp VIth Bn under 4000 quarters Scheme.</v>
      </c>
      <c r="J3" s="236" t="str">
        <f>C3</f>
        <v>2006-2007</v>
      </c>
      <c r="M3" s="181" t="s">
        <v>1529</v>
      </c>
      <c r="N3" s="181" t="s">
        <v>940</v>
      </c>
      <c r="O3" s="188" t="str">
        <f>B3</f>
        <v>Madurai TSp VIth Bn under 4000 quarters Scheme.</v>
      </c>
      <c r="Q3" s="188" t="str">
        <f>C3</f>
        <v>2006-2007</v>
      </c>
      <c r="T3" s="181" t="s">
        <v>1529</v>
      </c>
      <c r="U3" s="188" t="str">
        <f>B3</f>
        <v>Madurai TSp VIth Bn under 4000 quarters Scheme.</v>
      </c>
      <c r="W3" s="239" t="str">
        <f>C3</f>
        <v>2006-2007</v>
      </c>
      <c r="AA3" s="181" t="s">
        <v>940</v>
      </c>
    </row>
    <row r="4" spans="1:37" hidden="1">
      <c r="F4" s="185" t="s">
        <v>1530</v>
      </c>
      <c r="G4" s="185" t="s">
        <v>1530</v>
      </c>
      <c r="H4" s="185" t="s">
        <v>1530</v>
      </c>
      <c r="I4" s="185" t="s">
        <v>1530</v>
      </c>
      <c r="J4" s="185" t="s">
        <v>1530</v>
      </c>
      <c r="K4" s="185" t="s">
        <v>1530</v>
      </c>
      <c r="M4" s="185" t="s">
        <v>1530</v>
      </c>
      <c r="N4" s="185" t="s">
        <v>1530</v>
      </c>
      <c r="O4" s="185" t="s">
        <v>1530</v>
      </c>
      <c r="P4" s="185" t="s">
        <v>1530</v>
      </c>
      <c r="Q4" s="185" t="s">
        <v>1530</v>
      </c>
      <c r="R4" s="185" t="s">
        <v>1530</v>
      </c>
      <c r="U4" s="181" t="s">
        <v>940</v>
      </c>
      <c r="W4" s="181" t="s">
        <v>940</v>
      </c>
      <c r="X4" s="181" t="s">
        <v>234</v>
      </c>
      <c r="Y4" s="181" t="s">
        <v>940</v>
      </c>
      <c r="AC4" s="181" t="s">
        <v>940</v>
      </c>
      <c r="AG4" s="181" t="s">
        <v>1531</v>
      </c>
    </row>
    <row r="5" spans="1:37" hidden="1">
      <c r="A5" s="185" t="s">
        <v>1530</v>
      </c>
      <c r="B5" s="185" t="s">
        <v>1530</v>
      </c>
      <c r="C5" s="185" t="s">
        <v>1530</v>
      </c>
      <c r="D5" s="185" t="s">
        <v>1530</v>
      </c>
      <c r="E5" s="181" t="s">
        <v>940</v>
      </c>
      <c r="F5" s="189" t="s">
        <v>1532</v>
      </c>
      <c r="G5" s="187" t="s">
        <v>940</v>
      </c>
      <c r="H5" s="236" t="s">
        <v>1533</v>
      </c>
      <c r="I5" s="236" t="s">
        <v>1534</v>
      </c>
      <c r="J5" s="236" t="s">
        <v>1535</v>
      </c>
      <c r="K5" s="236" t="s">
        <v>1536</v>
      </c>
      <c r="M5" s="236" t="s">
        <v>1532</v>
      </c>
      <c r="N5" s="181" t="s">
        <v>940</v>
      </c>
      <c r="O5" s="236" t="s">
        <v>1533</v>
      </c>
      <c r="P5" s="236" t="s">
        <v>1534</v>
      </c>
      <c r="Q5" s="236" t="s">
        <v>1535</v>
      </c>
      <c r="R5" s="236" t="s">
        <v>1536</v>
      </c>
      <c r="T5" s="185" t="s">
        <v>1530</v>
      </c>
      <c r="U5" s="185" t="s">
        <v>1530</v>
      </c>
      <c r="V5" s="185" t="s">
        <v>1530</v>
      </c>
      <c r="W5" s="185" t="s">
        <v>1530</v>
      </c>
      <c r="X5" s="185" t="s">
        <v>1530</v>
      </c>
      <c r="Y5" s="185" t="s">
        <v>1530</v>
      </c>
      <c r="Z5" s="185" t="s">
        <v>1530</v>
      </c>
      <c r="AA5" s="185" t="s">
        <v>1530</v>
      </c>
      <c r="AB5" s="185" t="s">
        <v>1530</v>
      </c>
      <c r="AC5" s="185" t="s">
        <v>1530</v>
      </c>
      <c r="AD5" s="185" t="s">
        <v>1530</v>
      </c>
      <c r="AE5" s="185" t="s">
        <v>1530</v>
      </c>
    </row>
    <row r="6" spans="1:37" hidden="1">
      <c r="A6" s="181" t="s">
        <v>662</v>
      </c>
      <c r="B6" s="181" t="s">
        <v>1533</v>
      </c>
      <c r="C6" s="181" t="s">
        <v>1534</v>
      </c>
      <c r="D6" s="181" t="s">
        <v>1535</v>
      </c>
      <c r="F6" s="185" t="s">
        <v>1530</v>
      </c>
      <c r="G6" s="185" t="s">
        <v>1530</v>
      </c>
      <c r="H6" s="185" t="s">
        <v>1530</v>
      </c>
      <c r="I6" s="185" t="s">
        <v>1530</v>
      </c>
      <c r="J6" s="185" t="s">
        <v>1530</v>
      </c>
      <c r="K6" s="185" t="s">
        <v>1530</v>
      </c>
      <c r="M6" s="185" t="s">
        <v>1530</v>
      </c>
      <c r="N6" s="185" t="s">
        <v>1530</v>
      </c>
      <c r="O6" s="185" t="s">
        <v>1530</v>
      </c>
      <c r="P6" s="185" t="s">
        <v>1530</v>
      </c>
      <c r="Q6" s="185" t="s">
        <v>1530</v>
      </c>
      <c r="R6" s="185" t="s">
        <v>1530</v>
      </c>
      <c r="T6" s="236" t="s">
        <v>662</v>
      </c>
      <c r="U6" s="236" t="s">
        <v>54</v>
      </c>
      <c r="V6" s="236" t="s">
        <v>2159</v>
      </c>
      <c r="W6" s="236" t="s">
        <v>2160</v>
      </c>
      <c r="X6" s="236" t="s">
        <v>2161</v>
      </c>
      <c r="Y6" s="236" t="s">
        <v>2162</v>
      </c>
      <c r="Z6" s="236" t="s">
        <v>2163</v>
      </c>
      <c r="AA6" s="181" t="s">
        <v>2401</v>
      </c>
      <c r="AB6" s="181" t="s">
        <v>2164</v>
      </c>
      <c r="AC6" s="181" t="s">
        <v>2165</v>
      </c>
      <c r="AD6" s="236" t="s">
        <v>2166</v>
      </c>
      <c r="AG6" s="182">
        <f>135*1.1</f>
        <v>148.5</v>
      </c>
    </row>
    <row r="7" spans="1:37" hidden="1">
      <c r="A7" s="185" t="s">
        <v>1530</v>
      </c>
      <c r="B7" s="185" t="s">
        <v>1530</v>
      </c>
      <c r="C7" s="185" t="s">
        <v>1530</v>
      </c>
      <c r="D7" s="185" t="s">
        <v>1530</v>
      </c>
      <c r="G7" s="187" t="s">
        <v>2167</v>
      </c>
      <c r="H7" s="181" t="s">
        <v>2168</v>
      </c>
      <c r="O7" s="181" t="s">
        <v>2169</v>
      </c>
      <c r="X7" s="236" t="s">
        <v>2170</v>
      </c>
      <c r="Y7" s="236" t="s">
        <v>2165</v>
      </c>
      <c r="Z7" s="236" t="s">
        <v>2171</v>
      </c>
      <c r="AA7" s="181" t="s">
        <v>2402</v>
      </c>
      <c r="AB7" s="181" t="s">
        <v>2172</v>
      </c>
      <c r="AC7" s="181" t="s">
        <v>2173</v>
      </c>
    </row>
    <row r="8" spans="1:37" hidden="1">
      <c r="B8" s="181" t="s">
        <v>2174</v>
      </c>
      <c r="C8"/>
      <c r="D8"/>
      <c r="E8"/>
      <c r="H8" s="185" t="s">
        <v>1530</v>
      </c>
      <c r="O8" s="185" t="s">
        <v>1530</v>
      </c>
      <c r="T8" s="185" t="s">
        <v>1530</v>
      </c>
      <c r="U8" s="185" t="s">
        <v>1530</v>
      </c>
      <c r="V8" s="185" t="s">
        <v>1530</v>
      </c>
      <c r="W8" s="185" t="s">
        <v>1530</v>
      </c>
      <c r="X8" s="185" t="s">
        <v>1530</v>
      </c>
      <c r="Y8" s="185" t="s">
        <v>1530</v>
      </c>
      <c r="Z8" s="185" t="s">
        <v>1530</v>
      </c>
      <c r="AA8" s="185" t="s">
        <v>1530</v>
      </c>
      <c r="AB8" s="185" t="s">
        <v>1530</v>
      </c>
      <c r="AC8" s="185" t="s">
        <v>1530</v>
      </c>
      <c r="AD8" s="185" t="s">
        <v>1530</v>
      </c>
      <c r="AE8" s="185" t="s">
        <v>1530</v>
      </c>
      <c r="AG8" s="181" t="s">
        <v>2175</v>
      </c>
      <c r="AI8">
        <v>148.5</v>
      </c>
      <c r="AJ8" s="182">
        <v>1.1000000000000001</v>
      </c>
      <c r="AK8" s="182">
        <f t="shared" ref="AK8:AK36" si="0">AI8*AJ8</f>
        <v>163.35</v>
      </c>
    </row>
    <row r="9" spans="1:37" hidden="1">
      <c r="B9" s="181" t="s">
        <v>827</v>
      </c>
      <c r="C9"/>
      <c r="D9"/>
      <c r="E9"/>
      <c r="F9" s="188">
        <v>0.96</v>
      </c>
      <c r="G9" s="187" t="s">
        <v>828</v>
      </c>
      <c r="H9" s="181" t="s">
        <v>829</v>
      </c>
      <c r="I9" s="8">
        <f>(C67)</f>
        <v>3800</v>
      </c>
      <c r="J9" s="2" t="s">
        <v>828</v>
      </c>
      <c r="K9" s="8">
        <f>(F9*I9)</f>
        <v>3648</v>
      </c>
      <c r="M9" s="188">
        <v>0.5</v>
      </c>
      <c r="N9" s="181" t="s">
        <v>828</v>
      </c>
      <c r="O9" s="181" t="s">
        <v>830</v>
      </c>
      <c r="P9" s="188" t="e">
        <f>(C85)</f>
        <v>#REF!</v>
      </c>
      <c r="Q9" s="181" t="s">
        <v>828</v>
      </c>
      <c r="R9" s="188" t="e">
        <f>(M9*P9)</f>
        <v>#REF!</v>
      </c>
      <c r="T9" s="236" t="s">
        <v>831</v>
      </c>
      <c r="U9" s="181" t="s">
        <v>832</v>
      </c>
      <c r="V9" s="181" t="s">
        <v>833</v>
      </c>
      <c r="W9" s="181" t="s">
        <v>2403</v>
      </c>
      <c r="X9" s="188" t="e">
        <f>#REF!</f>
        <v>#REF!</v>
      </c>
      <c r="Y9" s="8">
        <v>200</v>
      </c>
      <c r="Z9" s="188" t="e">
        <f>#REF!</f>
        <v>#REF!</v>
      </c>
      <c r="AA9" s="236">
        <v>0</v>
      </c>
      <c r="AB9" s="181">
        <v>0</v>
      </c>
      <c r="AC9" s="181" t="e">
        <f t="shared" ref="AC9:AC30" si="1">SUM(Y9+Z9+AA9+AB9)</f>
        <v>#REF!</v>
      </c>
      <c r="AD9" s="181" t="s">
        <v>2430</v>
      </c>
      <c r="AE9" s="8">
        <v>150</v>
      </c>
      <c r="AF9" s="188"/>
      <c r="AG9" s="188"/>
      <c r="AI9">
        <v>126.5</v>
      </c>
      <c r="AJ9" s="182">
        <v>1.1000000000000001</v>
      </c>
      <c r="AK9" s="182">
        <f t="shared" si="0"/>
        <v>139.15</v>
      </c>
    </row>
    <row r="10" spans="1:37" ht="15" hidden="1" customHeight="1">
      <c r="A10" s="240">
        <v>1</v>
      </c>
      <c r="B10" s="181" t="s">
        <v>834</v>
      </c>
      <c r="C10" s="8">
        <f>AE9</f>
        <v>150</v>
      </c>
      <c r="D10" s="1" t="s">
        <v>835</v>
      </c>
      <c r="E10"/>
      <c r="F10" s="188">
        <v>1</v>
      </c>
      <c r="G10" s="187" t="s">
        <v>836</v>
      </c>
      <c r="H10" s="181" t="s">
        <v>837</v>
      </c>
      <c r="I10" s="8" t="e">
        <f>(C78)</f>
        <v>#REF!</v>
      </c>
      <c r="J10" s="2" t="s">
        <v>836</v>
      </c>
      <c r="K10" s="8" t="e">
        <f>(F10*I10)</f>
        <v>#REF!</v>
      </c>
      <c r="M10" s="188">
        <v>1</v>
      </c>
      <c r="N10" s="181" t="s">
        <v>836</v>
      </c>
      <c r="O10" s="181" t="s">
        <v>837</v>
      </c>
      <c r="P10" s="188" t="e">
        <f>(C78)</f>
        <v>#REF!</v>
      </c>
      <c r="Q10" s="181" t="s">
        <v>836</v>
      </c>
      <c r="R10" s="188" t="e">
        <f>(M10*P10)</f>
        <v>#REF!</v>
      </c>
      <c r="T10" s="236" t="s">
        <v>838</v>
      </c>
      <c r="U10" s="181" t="s">
        <v>839</v>
      </c>
      <c r="V10" s="181" t="s">
        <v>833</v>
      </c>
      <c r="W10" s="188" t="str">
        <f>W9</f>
        <v>Nallambakkam</v>
      </c>
      <c r="X10" s="188" t="e">
        <f>+X9</f>
        <v>#REF!</v>
      </c>
      <c r="Y10" s="8">
        <v>300</v>
      </c>
      <c r="Z10" s="188" t="e">
        <f t="shared" ref="Z10:Z15" si="2">+Z9</f>
        <v>#REF!</v>
      </c>
      <c r="AA10" s="156">
        <v>0</v>
      </c>
      <c r="AB10" s="183">
        <v>0</v>
      </c>
      <c r="AC10" s="181" t="e">
        <f t="shared" si="1"/>
        <v>#REF!</v>
      </c>
      <c r="AD10" s="181" t="s">
        <v>2431</v>
      </c>
      <c r="AE10" s="8">
        <v>135</v>
      </c>
      <c r="AF10" s="188"/>
      <c r="AG10" s="188"/>
      <c r="AI10">
        <v>85.5</v>
      </c>
      <c r="AJ10" s="182">
        <v>1.1000000000000001</v>
      </c>
      <c r="AK10" s="182">
        <f t="shared" si="0"/>
        <v>94.05</v>
      </c>
    </row>
    <row r="11" spans="1:37" hidden="1">
      <c r="A11" s="240">
        <f t="shared" ref="A11:A35" si="3">(A10+1)</f>
        <v>2</v>
      </c>
      <c r="B11" s="181" t="s">
        <v>840</v>
      </c>
      <c r="C11" s="8">
        <f>AE10</f>
        <v>135</v>
      </c>
      <c r="D11" s="1" t="s">
        <v>835</v>
      </c>
      <c r="E11"/>
      <c r="F11" s="188">
        <v>1</v>
      </c>
      <c r="G11" s="187" t="s">
        <v>836</v>
      </c>
      <c r="H11" s="181" t="s">
        <v>841</v>
      </c>
      <c r="I11" s="8">
        <f>(C18)</f>
        <v>26</v>
      </c>
      <c r="J11" s="2" t="s">
        <v>836</v>
      </c>
      <c r="K11" s="8">
        <f>(F11*I11)</f>
        <v>26</v>
      </c>
      <c r="M11" s="188">
        <v>1</v>
      </c>
      <c r="N11" s="181" t="s">
        <v>836</v>
      </c>
      <c r="O11" s="181" t="s">
        <v>842</v>
      </c>
      <c r="P11" s="188">
        <f>(C64)</f>
        <v>62.5</v>
      </c>
      <c r="Q11" s="181" t="s">
        <v>836</v>
      </c>
      <c r="R11" s="188">
        <f>(M11*P11)</f>
        <v>62.5</v>
      </c>
      <c r="T11" s="236" t="s">
        <v>843</v>
      </c>
      <c r="U11" s="181" t="s">
        <v>844</v>
      </c>
      <c r="V11" s="181" t="s">
        <v>833</v>
      </c>
      <c r="W11" s="181" t="s">
        <v>2432</v>
      </c>
      <c r="X11" s="188" t="e">
        <f>#REF!</f>
        <v>#REF!</v>
      </c>
      <c r="Y11" s="8">
        <v>333.33</v>
      </c>
      <c r="Z11" s="188" t="e">
        <f t="shared" si="2"/>
        <v>#REF!</v>
      </c>
      <c r="AA11" s="236">
        <v>0</v>
      </c>
      <c r="AB11" s="183">
        <v>0</v>
      </c>
      <c r="AC11" s="181" t="e">
        <f t="shared" si="1"/>
        <v>#REF!</v>
      </c>
      <c r="AD11" s="181" t="s">
        <v>845</v>
      </c>
      <c r="AE11" s="8">
        <v>95</v>
      </c>
      <c r="AF11" s="188"/>
      <c r="AG11" s="188"/>
      <c r="AI11">
        <v>80.5</v>
      </c>
      <c r="AJ11" s="182">
        <v>1.1000000000000001</v>
      </c>
      <c r="AK11" s="182">
        <f t="shared" si="0"/>
        <v>88.55</v>
      </c>
    </row>
    <row r="12" spans="1:37" hidden="1">
      <c r="A12" s="240">
        <f t="shared" si="3"/>
        <v>3</v>
      </c>
      <c r="B12" s="181" t="s">
        <v>418</v>
      </c>
      <c r="C12" s="8">
        <f>AE11</f>
        <v>95</v>
      </c>
      <c r="D12" s="1" t="s">
        <v>835</v>
      </c>
      <c r="E12"/>
      <c r="G12" s="187" t="s">
        <v>419</v>
      </c>
      <c r="H12" s="181" t="s">
        <v>420</v>
      </c>
      <c r="I12" s="1" t="s">
        <v>940</v>
      </c>
      <c r="J12" s="2" t="s">
        <v>419</v>
      </c>
      <c r="K12" s="8">
        <v>0</v>
      </c>
      <c r="N12" s="181" t="s">
        <v>419</v>
      </c>
      <c r="O12" s="181" t="s">
        <v>420</v>
      </c>
      <c r="P12" s="181" t="s">
        <v>940</v>
      </c>
      <c r="Q12" s="181" t="s">
        <v>419</v>
      </c>
      <c r="R12" s="188">
        <v>0</v>
      </c>
      <c r="T12" s="236" t="s">
        <v>421</v>
      </c>
      <c r="U12" s="181" t="s">
        <v>1452</v>
      </c>
      <c r="V12" s="181" t="s">
        <v>833</v>
      </c>
      <c r="W12" s="188" t="str">
        <f>W11</f>
        <v>Pallavaram</v>
      </c>
      <c r="X12" s="188" t="e">
        <f>+X11</f>
        <v>#REF!</v>
      </c>
      <c r="Y12" s="8">
        <v>425</v>
      </c>
      <c r="Z12" s="188" t="e">
        <f t="shared" si="2"/>
        <v>#REF!</v>
      </c>
      <c r="AA12" s="236">
        <v>0</v>
      </c>
      <c r="AB12" s="183">
        <v>0</v>
      </c>
      <c r="AC12" s="181" t="e">
        <f t="shared" si="1"/>
        <v>#REF!</v>
      </c>
      <c r="AD12" s="181" t="s">
        <v>1453</v>
      </c>
      <c r="AE12" s="8">
        <v>85</v>
      </c>
      <c r="AF12" s="188"/>
      <c r="AG12" s="188"/>
      <c r="AI12">
        <v>114.5</v>
      </c>
      <c r="AJ12" s="182">
        <v>1.1000000000000001</v>
      </c>
      <c r="AK12" s="182">
        <f t="shared" si="0"/>
        <v>125.95</v>
      </c>
    </row>
    <row r="13" spans="1:37" hidden="1">
      <c r="A13" s="240">
        <f t="shared" si="3"/>
        <v>4</v>
      </c>
      <c r="B13" s="181" t="s">
        <v>1454</v>
      </c>
      <c r="C13" s="8">
        <f>AE12</f>
        <v>85</v>
      </c>
      <c r="D13" s="1" t="s">
        <v>835</v>
      </c>
      <c r="E13"/>
      <c r="I13"/>
      <c r="J13" s="4"/>
      <c r="K13" s="5" t="s">
        <v>1530</v>
      </c>
      <c r="R13" s="185" t="s">
        <v>1530</v>
      </c>
      <c r="T13" s="236" t="s">
        <v>1455</v>
      </c>
      <c r="U13" s="181" t="s">
        <v>1456</v>
      </c>
      <c r="V13" s="181" t="s">
        <v>833</v>
      </c>
      <c r="W13" s="188" t="str">
        <f>W11</f>
        <v>Pallavaram</v>
      </c>
      <c r="X13" s="188" t="e">
        <f>+X12</f>
        <v>#REF!</v>
      </c>
      <c r="Y13" s="8">
        <v>630</v>
      </c>
      <c r="Z13" s="188" t="e">
        <f t="shared" si="2"/>
        <v>#REF!</v>
      </c>
      <c r="AA13" s="236">
        <v>0</v>
      </c>
      <c r="AB13" s="183">
        <v>0</v>
      </c>
      <c r="AC13" s="181" t="e">
        <f t="shared" si="1"/>
        <v>#REF!</v>
      </c>
      <c r="AD13" s="181" t="s">
        <v>1457</v>
      </c>
      <c r="AE13" s="8">
        <v>120</v>
      </c>
      <c r="AF13" s="188"/>
      <c r="AG13" s="188"/>
      <c r="AI13">
        <v>106.5</v>
      </c>
      <c r="AJ13" s="182">
        <v>1.1000000000000001</v>
      </c>
      <c r="AK13" s="182">
        <f t="shared" si="0"/>
        <v>117.15</v>
      </c>
    </row>
    <row r="14" spans="1:37" hidden="1">
      <c r="A14" s="240">
        <f t="shared" si="3"/>
        <v>5</v>
      </c>
      <c r="B14" s="181" t="s">
        <v>1458</v>
      </c>
      <c r="C14" s="8">
        <f>AE13</f>
        <v>120</v>
      </c>
      <c r="D14" s="8">
        <f>AE14</f>
        <v>110</v>
      </c>
      <c r="E14"/>
      <c r="H14" s="181" t="s">
        <v>1459</v>
      </c>
      <c r="I14"/>
      <c r="J14" s="4"/>
      <c r="K14" s="8" t="e">
        <f>SUM(K9:K12)</f>
        <v>#REF!</v>
      </c>
      <c r="N14" s="188" t="e">
        <f>SUM(K9:K12)</f>
        <v>#REF!</v>
      </c>
      <c r="O14" s="181" t="s">
        <v>1459</v>
      </c>
      <c r="R14" s="188" t="e">
        <f>SUM(R9:R12)</f>
        <v>#REF!</v>
      </c>
      <c r="T14" s="236" t="s">
        <v>1937</v>
      </c>
      <c r="U14" s="181" t="s">
        <v>110</v>
      </c>
      <c r="V14" s="181" t="s">
        <v>833</v>
      </c>
      <c r="W14" s="188" t="str">
        <f>W11</f>
        <v>Pallavaram</v>
      </c>
      <c r="X14" s="188" t="e">
        <f>+X13</f>
        <v>#REF!</v>
      </c>
      <c r="Y14" s="8">
        <v>685</v>
      </c>
      <c r="Z14" s="188" t="e">
        <f t="shared" si="2"/>
        <v>#REF!</v>
      </c>
      <c r="AA14" s="236">
        <v>0</v>
      </c>
      <c r="AB14" s="183">
        <v>0</v>
      </c>
      <c r="AC14" s="181" t="e">
        <f t="shared" si="1"/>
        <v>#REF!</v>
      </c>
      <c r="AD14" s="181" t="s">
        <v>111</v>
      </c>
      <c r="AE14" s="8">
        <v>110</v>
      </c>
      <c r="AF14" s="188"/>
      <c r="AG14" s="188"/>
      <c r="AI14">
        <v>116.5</v>
      </c>
      <c r="AJ14" s="182">
        <v>1.1000000000000001</v>
      </c>
      <c r="AK14" s="182">
        <f t="shared" si="0"/>
        <v>128.15</v>
      </c>
    </row>
    <row r="15" spans="1:37" hidden="1">
      <c r="A15" s="240">
        <f t="shared" si="3"/>
        <v>6</v>
      </c>
      <c r="B15" s="181" t="s">
        <v>112</v>
      </c>
      <c r="C15" s="8">
        <f>AE15</f>
        <v>130</v>
      </c>
      <c r="D15" s="1" t="s">
        <v>835</v>
      </c>
      <c r="E15"/>
      <c r="I15"/>
      <c r="J15" s="4"/>
      <c r="K15" s="5" t="s">
        <v>1530</v>
      </c>
      <c r="R15" s="185" t="s">
        <v>1530</v>
      </c>
      <c r="T15" s="236" t="s">
        <v>113</v>
      </c>
      <c r="U15" s="181" t="s">
        <v>114</v>
      </c>
      <c r="V15" s="181" t="s">
        <v>833</v>
      </c>
      <c r="W15" s="188" t="str">
        <f>W11</f>
        <v>Pallavaram</v>
      </c>
      <c r="X15" s="188" t="e">
        <f>+X14</f>
        <v>#REF!</v>
      </c>
      <c r="Y15" s="8">
        <v>490</v>
      </c>
      <c r="Z15" s="188" t="e">
        <f t="shared" si="2"/>
        <v>#REF!</v>
      </c>
      <c r="AA15" s="236">
        <v>0</v>
      </c>
      <c r="AB15" s="183">
        <v>0</v>
      </c>
      <c r="AC15" s="181" t="e">
        <f t="shared" si="1"/>
        <v>#REF!</v>
      </c>
      <c r="AD15" s="181" t="s">
        <v>115</v>
      </c>
      <c r="AE15" s="8">
        <v>130</v>
      </c>
      <c r="AF15" s="188"/>
      <c r="AG15" s="188"/>
      <c r="AI15">
        <v>106.5</v>
      </c>
      <c r="AJ15" s="182">
        <v>1.1000000000000001</v>
      </c>
      <c r="AK15" s="182">
        <f t="shared" si="0"/>
        <v>117.15</v>
      </c>
    </row>
    <row r="16" spans="1:37" hidden="1">
      <c r="A16" s="240">
        <f t="shared" si="3"/>
        <v>7</v>
      </c>
      <c r="B16" s="181" t="s">
        <v>116</v>
      </c>
      <c r="C16" s="8">
        <f>AE19</f>
        <v>150</v>
      </c>
      <c r="D16" s="8">
        <f>AE20</f>
        <v>135</v>
      </c>
      <c r="E16"/>
      <c r="G16" s="187" t="s">
        <v>2167</v>
      </c>
      <c r="H16" s="181" t="s">
        <v>117</v>
      </c>
      <c r="I16"/>
      <c r="J16" s="4"/>
      <c r="K16"/>
      <c r="N16" s="181" t="s">
        <v>2167</v>
      </c>
      <c r="O16" s="181" t="s">
        <v>118</v>
      </c>
      <c r="T16" s="236" t="s">
        <v>119</v>
      </c>
      <c r="U16" s="181" t="s">
        <v>120</v>
      </c>
      <c r="V16" s="181" t="s">
        <v>833</v>
      </c>
      <c r="W16" s="181" t="s">
        <v>2433</v>
      </c>
      <c r="X16" s="188" t="e">
        <f>#REF!</f>
        <v>#REF!</v>
      </c>
      <c r="Y16" s="8">
        <v>110</v>
      </c>
      <c r="Z16" s="188" t="e">
        <f>#REF!</f>
        <v>#REF!</v>
      </c>
      <c r="AA16" s="236">
        <v>0</v>
      </c>
      <c r="AB16" s="183">
        <v>0</v>
      </c>
      <c r="AC16" s="181" t="e">
        <f t="shared" si="1"/>
        <v>#REF!</v>
      </c>
      <c r="AD16" s="181" t="s">
        <v>2157</v>
      </c>
      <c r="AE16" s="8">
        <v>120</v>
      </c>
      <c r="AF16" s="188"/>
      <c r="AG16" s="188"/>
      <c r="AI16">
        <v>106.5</v>
      </c>
      <c r="AJ16" s="182">
        <v>1.1000000000000001</v>
      </c>
      <c r="AK16" s="182">
        <f t="shared" si="0"/>
        <v>117.15</v>
      </c>
    </row>
    <row r="17" spans="1:37" hidden="1">
      <c r="A17" s="240">
        <f t="shared" si="3"/>
        <v>8</v>
      </c>
      <c r="B17" s="181" t="s">
        <v>2158</v>
      </c>
      <c r="C17" s="8">
        <f>AE17</f>
        <v>130</v>
      </c>
      <c r="D17" s="8">
        <f>AE18</f>
        <v>120</v>
      </c>
      <c r="E17"/>
      <c r="H17" s="185" t="s">
        <v>1530</v>
      </c>
      <c r="I17"/>
      <c r="J17" s="4"/>
      <c r="K17"/>
      <c r="O17" s="181" t="s">
        <v>1000</v>
      </c>
      <c r="T17" s="236" t="s">
        <v>1001</v>
      </c>
      <c r="U17" s="181" t="s">
        <v>1002</v>
      </c>
      <c r="V17" s="181" t="s">
        <v>833</v>
      </c>
      <c r="W17" s="181" t="s">
        <v>2434</v>
      </c>
      <c r="X17" s="188" t="e">
        <f>X16</f>
        <v>#REF!</v>
      </c>
      <c r="Y17" s="8">
        <v>110</v>
      </c>
      <c r="Z17" s="188" t="e">
        <f>Z16</f>
        <v>#REF!</v>
      </c>
      <c r="AA17" s="236">
        <v>0</v>
      </c>
      <c r="AB17" s="183">
        <v>0</v>
      </c>
      <c r="AC17" s="181" t="e">
        <f t="shared" si="1"/>
        <v>#REF!</v>
      </c>
      <c r="AD17" s="181" t="s">
        <v>1003</v>
      </c>
      <c r="AE17" s="8">
        <v>130</v>
      </c>
      <c r="AF17" s="188"/>
      <c r="AG17" s="188"/>
      <c r="AI17">
        <v>98.5</v>
      </c>
      <c r="AJ17" s="182">
        <v>1.1000000000000001</v>
      </c>
      <c r="AK17" s="182">
        <f t="shared" si="0"/>
        <v>108.35</v>
      </c>
    </row>
    <row r="18" spans="1:37" hidden="1">
      <c r="A18" s="240">
        <f t="shared" si="3"/>
        <v>9</v>
      </c>
      <c r="B18" s="181" t="s">
        <v>1004</v>
      </c>
      <c r="C18" s="8">
        <f>AE24</f>
        <v>26</v>
      </c>
      <c r="D18" s="1" t="s">
        <v>1005</v>
      </c>
      <c r="E18"/>
      <c r="F18" s="188">
        <v>0.72</v>
      </c>
      <c r="G18" s="187" t="s">
        <v>828</v>
      </c>
      <c r="H18" s="181" t="s">
        <v>829</v>
      </c>
      <c r="I18" s="8">
        <f>(C67)</f>
        <v>3800</v>
      </c>
      <c r="J18" s="2" t="s">
        <v>828</v>
      </c>
      <c r="K18" s="8">
        <f>(F18*I18)</f>
        <v>2736</v>
      </c>
      <c r="O18" s="181" t="s">
        <v>1386</v>
      </c>
      <c r="T18" s="236" t="s">
        <v>1387</v>
      </c>
      <c r="U18" s="181" t="s">
        <v>2435</v>
      </c>
      <c r="V18" s="181" t="s">
        <v>1388</v>
      </c>
      <c r="W18" s="181" t="s">
        <v>2436</v>
      </c>
      <c r="X18" s="188" t="e">
        <f>#REF!</f>
        <v>#REF!</v>
      </c>
      <c r="Y18" s="8">
        <v>1950</v>
      </c>
      <c r="Z18" s="188" t="e">
        <f>#REF!</f>
        <v>#REF!</v>
      </c>
      <c r="AA18" s="236">
        <v>0</v>
      </c>
      <c r="AB18" s="183">
        <v>0</v>
      </c>
      <c r="AC18" s="181" t="e">
        <f t="shared" si="1"/>
        <v>#REF!</v>
      </c>
      <c r="AD18" s="181" t="s">
        <v>1389</v>
      </c>
      <c r="AE18" s="8">
        <v>120</v>
      </c>
      <c r="AF18" s="188"/>
      <c r="AG18" s="188"/>
      <c r="AI18">
        <v>148.5</v>
      </c>
      <c r="AJ18" s="182">
        <v>1.1000000000000001</v>
      </c>
      <c r="AK18" s="182">
        <f t="shared" si="0"/>
        <v>163.35</v>
      </c>
    </row>
    <row r="19" spans="1:37" hidden="1">
      <c r="A19" s="240">
        <f t="shared" si="3"/>
        <v>10</v>
      </c>
      <c r="B19" s="181" t="s">
        <v>1390</v>
      </c>
      <c r="C19" s="8">
        <v>17.600000000000001</v>
      </c>
      <c r="D19" s="1" t="s">
        <v>836</v>
      </c>
      <c r="E19"/>
      <c r="F19" s="188">
        <v>1</v>
      </c>
      <c r="G19" s="187" t="s">
        <v>836</v>
      </c>
      <c r="H19" s="181" t="s">
        <v>837</v>
      </c>
      <c r="I19" s="8" t="e">
        <f>(C78)</f>
        <v>#REF!</v>
      </c>
      <c r="J19" s="2" t="s">
        <v>836</v>
      </c>
      <c r="K19" s="8" t="e">
        <f>(F19*I19)</f>
        <v>#REF!</v>
      </c>
      <c r="O19" s="181" t="s">
        <v>70</v>
      </c>
      <c r="T19" s="236" t="s">
        <v>71</v>
      </c>
      <c r="U19" s="181" t="s">
        <v>72</v>
      </c>
      <c r="V19" s="181" t="s">
        <v>836</v>
      </c>
      <c r="W19" s="188" t="str">
        <f>W18</f>
        <v>Nerkundram</v>
      </c>
      <c r="X19" s="188" t="e">
        <f>#REF!</f>
        <v>#REF!</v>
      </c>
      <c r="Y19" s="8">
        <v>260</v>
      </c>
      <c r="Z19" s="188" t="e">
        <f>#REF!</f>
        <v>#REF!</v>
      </c>
      <c r="AA19" s="236">
        <v>0</v>
      </c>
      <c r="AB19" s="183">
        <v>0</v>
      </c>
      <c r="AC19" s="181" t="e">
        <f t="shared" si="1"/>
        <v>#REF!</v>
      </c>
      <c r="AD19" s="181" t="s">
        <v>73</v>
      </c>
      <c r="AE19" s="8">
        <v>150</v>
      </c>
      <c r="AF19" s="188"/>
      <c r="AG19" s="188"/>
      <c r="AI19">
        <v>126.5</v>
      </c>
      <c r="AJ19" s="182">
        <v>1.1000000000000001</v>
      </c>
      <c r="AK19" s="182">
        <f t="shared" si="0"/>
        <v>139.15</v>
      </c>
    </row>
    <row r="20" spans="1:37" hidden="1">
      <c r="A20" s="240">
        <f t="shared" si="3"/>
        <v>11</v>
      </c>
      <c r="B20" s="181" t="s">
        <v>349</v>
      </c>
      <c r="C20" s="8">
        <v>35.200000000000003</v>
      </c>
      <c r="D20" s="1" t="s">
        <v>836</v>
      </c>
      <c r="E20"/>
      <c r="F20" s="188">
        <v>1</v>
      </c>
      <c r="G20" s="187" t="s">
        <v>836</v>
      </c>
      <c r="H20" s="181" t="s">
        <v>841</v>
      </c>
      <c r="I20" s="8">
        <f>(C18)</f>
        <v>26</v>
      </c>
      <c r="J20" s="2" t="s">
        <v>836</v>
      </c>
      <c r="K20" s="8">
        <f>(F20*I20)</f>
        <v>26</v>
      </c>
      <c r="O20" s="181" t="s">
        <v>1013</v>
      </c>
      <c r="T20" s="236" t="s">
        <v>1903</v>
      </c>
      <c r="U20" s="181" t="s">
        <v>1904</v>
      </c>
      <c r="V20" s="181" t="s">
        <v>836</v>
      </c>
      <c r="W20" s="188" t="str">
        <f>W18</f>
        <v>Nerkundram</v>
      </c>
      <c r="X20" s="188" t="e">
        <f>X19</f>
        <v>#REF!</v>
      </c>
      <c r="Y20" s="8">
        <v>280</v>
      </c>
      <c r="Z20" s="188" t="e">
        <f>+Z19</f>
        <v>#REF!</v>
      </c>
      <c r="AA20" s="236">
        <v>0</v>
      </c>
      <c r="AB20" s="183">
        <v>0</v>
      </c>
      <c r="AC20" s="181" t="e">
        <f t="shared" si="1"/>
        <v>#REF!</v>
      </c>
      <c r="AD20" s="181" t="s">
        <v>1905</v>
      </c>
      <c r="AE20" s="8">
        <v>135</v>
      </c>
      <c r="AF20" s="188"/>
      <c r="AG20" s="188"/>
      <c r="AI20">
        <v>116.5</v>
      </c>
      <c r="AJ20" s="182">
        <v>1.1000000000000001</v>
      </c>
      <c r="AK20" s="182">
        <f t="shared" si="0"/>
        <v>128.15</v>
      </c>
    </row>
    <row r="21" spans="1:37" hidden="1">
      <c r="A21" s="240">
        <f t="shared" si="3"/>
        <v>12</v>
      </c>
      <c r="B21" s="181" t="s">
        <v>2178</v>
      </c>
      <c r="C21" s="8">
        <v>35.200000000000003</v>
      </c>
      <c r="D21" s="1" t="s">
        <v>836</v>
      </c>
      <c r="E21"/>
      <c r="G21" s="187" t="s">
        <v>419</v>
      </c>
      <c r="H21" s="181" t="s">
        <v>420</v>
      </c>
      <c r="I21" s="1" t="s">
        <v>940</v>
      </c>
      <c r="J21" s="2" t="s">
        <v>419</v>
      </c>
      <c r="K21" s="8">
        <v>0</v>
      </c>
      <c r="O21" s="185" t="s">
        <v>1530</v>
      </c>
      <c r="T21" s="236" t="s">
        <v>2179</v>
      </c>
      <c r="U21" s="181" t="s">
        <v>2180</v>
      </c>
      <c r="V21" s="181" t="s">
        <v>1388</v>
      </c>
      <c r="W21" s="181" t="s">
        <v>2181</v>
      </c>
      <c r="X21" s="188" t="e">
        <f>#REF!</f>
        <v>#REF!</v>
      </c>
      <c r="Y21" s="8">
        <v>4500</v>
      </c>
      <c r="Z21" s="188">
        <v>0</v>
      </c>
      <c r="AA21" s="236">
        <v>0</v>
      </c>
      <c r="AB21" s="183">
        <v>0</v>
      </c>
      <c r="AC21" s="181">
        <f t="shared" si="1"/>
        <v>4500</v>
      </c>
      <c r="AD21" s="181" t="s">
        <v>2182</v>
      </c>
      <c r="AE21" s="8">
        <v>120</v>
      </c>
      <c r="AF21" s="188"/>
      <c r="AG21" s="188"/>
      <c r="AI21">
        <v>106.5</v>
      </c>
      <c r="AJ21" s="182">
        <v>1.1000000000000001</v>
      </c>
      <c r="AK21" s="182">
        <f t="shared" si="0"/>
        <v>117.15</v>
      </c>
    </row>
    <row r="22" spans="1:37" hidden="1">
      <c r="A22" s="240">
        <f t="shared" si="3"/>
        <v>13</v>
      </c>
      <c r="B22" s="181" t="s">
        <v>1628</v>
      </c>
      <c r="C22" s="8">
        <v>26.45</v>
      </c>
      <c r="D22" s="1" t="s">
        <v>836</v>
      </c>
      <c r="E22"/>
      <c r="I22"/>
      <c r="J22" s="4"/>
      <c r="K22" s="5" t="s">
        <v>1530</v>
      </c>
      <c r="M22" s="188">
        <v>1</v>
      </c>
      <c r="N22" s="181" t="s">
        <v>836</v>
      </c>
      <c r="O22" s="181" t="s">
        <v>1931</v>
      </c>
      <c r="P22" s="188" t="e">
        <f>C78</f>
        <v>#REF!</v>
      </c>
      <c r="Q22" s="181" t="s">
        <v>836</v>
      </c>
      <c r="R22" s="188" t="e">
        <f>(M22*P22)</f>
        <v>#REF!</v>
      </c>
      <c r="T22" s="236" t="s">
        <v>1932</v>
      </c>
      <c r="U22" s="181" t="s">
        <v>1933</v>
      </c>
      <c r="V22" s="181" t="s">
        <v>833</v>
      </c>
      <c r="W22" s="241" t="s">
        <v>2437</v>
      </c>
      <c r="X22" s="188">
        <v>0</v>
      </c>
      <c r="Y22" s="8">
        <v>773</v>
      </c>
      <c r="Z22" s="188">
        <v>0</v>
      </c>
      <c r="AA22" s="236">
        <v>0</v>
      </c>
      <c r="AB22" s="183">
        <v>0</v>
      </c>
      <c r="AC22" s="181">
        <f t="shared" si="1"/>
        <v>773</v>
      </c>
      <c r="AD22" s="181" t="s">
        <v>1934</v>
      </c>
      <c r="AE22" s="8">
        <v>110</v>
      </c>
      <c r="AF22" s="188"/>
      <c r="AG22" s="188"/>
      <c r="AI22">
        <v>106.5</v>
      </c>
      <c r="AJ22" s="182">
        <v>1.1000000000000001</v>
      </c>
      <c r="AK22" s="182">
        <f t="shared" si="0"/>
        <v>117.15</v>
      </c>
    </row>
    <row r="23" spans="1:37" hidden="1">
      <c r="A23" s="240">
        <f t="shared" si="3"/>
        <v>14</v>
      </c>
      <c r="B23" s="181" t="s">
        <v>268</v>
      </c>
      <c r="C23" s="8">
        <v>52.85</v>
      </c>
      <c r="D23" s="1" t="s">
        <v>836</v>
      </c>
      <c r="E23"/>
      <c r="H23" s="181" t="s">
        <v>1459</v>
      </c>
      <c r="I23"/>
      <c r="J23" s="4"/>
      <c r="K23" s="8" t="e">
        <f>SUM(K18:K21)</f>
        <v>#REF!</v>
      </c>
      <c r="M23" s="188">
        <v>1</v>
      </c>
      <c r="N23" s="181" t="s">
        <v>836</v>
      </c>
      <c r="O23" s="181" t="s">
        <v>269</v>
      </c>
      <c r="P23" s="188" t="e">
        <f>C85</f>
        <v>#REF!</v>
      </c>
      <c r="Q23" s="181" t="s">
        <v>836</v>
      </c>
      <c r="R23" s="188" t="e">
        <f>(M23*P23)</f>
        <v>#REF!</v>
      </c>
      <c r="T23" s="236" t="s">
        <v>796</v>
      </c>
      <c r="U23" s="181" t="s">
        <v>797</v>
      </c>
      <c r="V23" s="181" t="s">
        <v>833</v>
      </c>
      <c r="W23" s="241" t="s">
        <v>2437</v>
      </c>
      <c r="X23" s="188" t="e">
        <f>#REF!</f>
        <v>#REF!</v>
      </c>
      <c r="Y23" s="8">
        <v>565</v>
      </c>
      <c r="Z23" s="188" t="e">
        <f>#REF!</f>
        <v>#REF!</v>
      </c>
      <c r="AA23" s="236">
        <v>0</v>
      </c>
      <c r="AB23" s="183">
        <v>0</v>
      </c>
      <c r="AC23" s="181" t="e">
        <f t="shared" si="1"/>
        <v>#REF!</v>
      </c>
      <c r="AD23" s="181" t="s">
        <v>798</v>
      </c>
      <c r="AE23" s="8">
        <v>120</v>
      </c>
      <c r="AF23" s="188"/>
      <c r="AG23" s="188"/>
      <c r="AI23">
        <v>26</v>
      </c>
      <c r="AJ23" s="182">
        <v>1.1000000000000001</v>
      </c>
      <c r="AK23" s="182">
        <f t="shared" si="0"/>
        <v>28.6</v>
      </c>
    </row>
    <row r="24" spans="1:37" hidden="1">
      <c r="A24" s="240">
        <f t="shared" si="3"/>
        <v>15</v>
      </c>
      <c r="B24" s="181" t="s">
        <v>799</v>
      </c>
      <c r="C24" s="8">
        <v>52.85</v>
      </c>
      <c r="D24" s="1" t="s">
        <v>836</v>
      </c>
      <c r="E24"/>
      <c r="I24"/>
      <c r="J24" s="4"/>
      <c r="K24" s="5" t="s">
        <v>1530</v>
      </c>
      <c r="M24" s="188">
        <v>1.5</v>
      </c>
      <c r="N24" s="181" t="s">
        <v>836</v>
      </c>
      <c r="O24" s="181" t="s">
        <v>1730</v>
      </c>
      <c r="P24" s="188">
        <f>C18</f>
        <v>26</v>
      </c>
      <c r="Q24" s="181" t="s">
        <v>836</v>
      </c>
      <c r="R24" s="188">
        <f>(M24*P24)</f>
        <v>39</v>
      </c>
      <c r="T24" s="236" t="s">
        <v>1731</v>
      </c>
      <c r="U24" s="181" t="s">
        <v>2</v>
      </c>
      <c r="V24" s="181" t="s">
        <v>833</v>
      </c>
      <c r="W24" s="181" t="s">
        <v>1732</v>
      </c>
      <c r="X24" s="182">
        <v>0</v>
      </c>
      <c r="Y24" s="8">
        <v>20605</v>
      </c>
      <c r="Z24" s="182">
        <v>0</v>
      </c>
      <c r="AA24" s="156">
        <v>0</v>
      </c>
      <c r="AB24" s="183">
        <v>0</v>
      </c>
      <c r="AC24" s="181">
        <f t="shared" si="1"/>
        <v>20605</v>
      </c>
      <c r="AD24" s="181" t="s">
        <v>1733</v>
      </c>
      <c r="AE24" s="8">
        <v>26</v>
      </c>
      <c r="AF24" s="188"/>
      <c r="AG24" s="188"/>
      <c r="AI24">
        <v>20.7</v>
      </c>
      <c r="AJ24" s="182">
        <v>1.1000000000000001</v>
      </c>
      <c r="AK24" s="182">
        <f t="shared" si="0"/>
        <v>22.77</v>
      </c>
    </row>
    <row r="25" spans="1:37" hidden="1">
      <c r="A25" s="240">
        <f t="shared" si="3"/>
        <v>16</v>
      </c>
      <c r="B25" s="181" t="s">
        <v>1734</v>
      </c>
      <c r="C25" s="8">
        <f>AE25</f>
        <v>20.7</v>
      </c>
      <c r="D25" s="1" t="s">
        <v>836</v>
      </c>
      <c r="E25"/>
      <c r="G25" s="187" t="s">
        <v>2167</v>
      </c>
      <c r="H25" s="181" t="s">
        <v>1301</v>
      </c>
      <c r="I25"/>
      <c r="J25" s="4"/>
      <c r="K25"/>
      <c r="M25" s="188">
        <v>1.5</v>
      </c>
      <c r="N25" s="181" t="s">
        <v>836</v>
      </c>
      <c r="O25" s="181" t="s">
        <v>1302</v>
      </c>
      <c r="P25" s="188">
        <f>C27</f>
        <v>7.8</v>
      </c>
      <c r="Q25" s="181" t="s">
        <v>836</v>
      </c>
      <c r="R25" s="188">
        <f>(M25*P25)</f>
        <v>11.7</v>
      </c>
      <c r="T25" s="236" t="s">
        <v>1303</v>
      </c>
      <c r="U25" s="181" t="s">
        <v>1304</v>
      </c>
      <c r="V25" s="181" t="s">
        <v>833</v>
      </c>
      <c r="W25" s="241" t="s">
        <v>1732</v>
      </c>
      <c r="X25" s="182">
        <v>0</v>
      </c>
      <c r="Y25" s="8">
        <v>23685</v>
      </c>
      <c r="Z25" s="182">
        <v>0</v>
      </c>
      <c r="AA25" s="156">
        <v>0</v>
      </c>
      <c r="AB25" s="183">
        <v>0</v>
      </c>
      <c r="AC25" s="181">
        <f t="shared" si="1"/>
        <v>23685</v>
      </c>
      <c r="AD25" s="181" t="s">
        <v>274</v>
      </c>
      <c r="AE25" s="8">
        <v>20.7</v>
      </c>
      <c r="AF25" s="188"/>
      <c r="AG25" s="188"/>
      <c r="AI25">
        <v>15.6</v>
      </c>
      <c r="AJ25" s="182">
        <v>1.1000000000000001</v>
      </c>
      <c r="AK25" s="182">
        <f t="shared" si="0"/>
        <v>17.16</v>
      </c>
    </row>
    <row r="26" spans="1:37" hidden="1">
      <c r="A26" s="240">
        <f t="shared" si="3"/>
        <v>17</v>
      </c>
      <c r="B26" s="181" t="s">
        <v>1031</v>
      </c>
      <c r="C26" s="8">
        <f>+AE28</f>
        <v>8.8000000000000007</v>
      </c>
      <c r="D26" s="1" t="s">
        <v>1970</v>
      </c>
      <c r="E26"/>
      <c r="H26" s="185" t="s">
        <v>1530</v>
      </c>
      <c r="I26"/>
      <c r="J26" s="4"/>
      <c r="K26"/>
      <c r="N26" s="181" t="s">
        <v>419</v>
      </c>
      <c r="O26" s="181" t="s">
        <v>420</v>
      </c>
      <c r="P26" s="181" t="s">
        <v>940</v>
      </c>
      <c r="Q26" s="181" t="s">
        <v>419</v>
      </c>
      <c r="R26" s="188">
        <v>0</v>
      </c>
      <c r="T26" s="236" t="s">
        <v>1971</v>
      </c>
      <c r="U26" s="181" t="s">
        <v>2438</v>
      </c>
      <c r="V26" s="181" t="s">
        <v>833</v>
      </c>
      <c r="W26" s="241" t="s">
        <v>1732</v>
      </c>
      <c r="X26" s="182">
        <v>0</v>
      </c>
      <c r="Y26" s="8">
        <v>65420</v>
      </c>
      <c r="Z26" s="182">
        <v>0</v>
      </c>
      <c r="AA26" s="156">
        <v>0</v>
      </c>
      <c r="AB26" s="183">
        <v>0</v>
      </c>
      <c r="AC26" s="181">
        <f t="shared" si="1"/>
        <v>65420</v>
      </c>
      <c r="AD26" s="181" t="s">
        <v>1431</v>
      </c>
      <c r="AE26" s="8">
        <v>15.6</v>
      </c>
      <c r="AF26" s="188"/>
      <c r="AG26" s="188"/>
      <c r="AI26">
        <v>7.8</v>
      </c>
      <c r="AJ26" s="182">
        <v>1.1000000000000001</v>
      </c>
      <c r="AK26" s="182">
        <f t="shared" si="0"/>
        <v>8.58</v>
      </c>
    </row>
    <row r="27" spans="1:37" hidden="1">
      <c r="A27" s="240">
        <f t="shared" si="3"/>
        <v>18</v>
      </c>
      <c r="B27" s="181" t="s">
        <v>1432</v>
      </c>
      <c r="C27" s="8">
        <f>+AE27</f>
        <v>7.8</v>
      </c>
      <c r="D27" s="1" t="s">
        <v>1970</v>
      </c>
      <c r="E27"/>
      <c r="F27" s="188">
        <v>0.48</v>
      </c>
      <c r="G27" s="187" t="s">
        <v>828</v>
      </c>
      <c r="H27" s="181" t="s">
        <v>829</v>
      </c>
      <c r="I27" s="8">
        <f>(C67)</f>
        <v>3800</v>
      </c>
      <c r="J27" s="2" t="s">
        <v>828</v>
      </c>
      <c r="K27" s="8">
        <f>(F27*I27)</f>
        <v>1824</v>
      </c>
      <c r="R27" s="185" t="s">
        <v>1530</v>
      </c>
      <c r="T27" s="236" t="s">
        <v>1433</v>
      </c>
      <c r="U27" s="181" t="s">
        <v>2439</v>
      </c>
      <c r="V27" s="181" t="s">
        <v>833</v>
      </c>
      <c r="W27" s="241" t="s">
        <v>1732</v>
      </c>
      <c r="X27" s="182">
        <v>0</v>
      </c>
      <c r="Y27" s="8">
        <v>57165</v>
      </c>
      <c r="Z27" s="182">
        <v>0</v>
      </c>
      <c r="AA27" s="156">
        <v>0</v>
      </c>
      <c r="AB27" s="183">
        <v>0</v>
      </c>
      <c r="AC27" s="181">
        <f t="shared" si="1"/>
        <v>57165</v>
      </c>
      <c r="AD27" s="181" t="s">
        <v>1434</v>
      </c>
      <c r="AE27" s="8">
        <v>7.8</v>
      </c>
      <c r="AF27" s="188"/>
      <c r="AG27" s="188"/>
      <c r="AI27">
        <v>8.8000000000000007</v>
      </c>
      <c r="AJ27" s="182">
        <v>1.1000000000000001</v>
      </c>
      <c r="AK27" s="182">
        <f t="shared" si="0"/>
        <v>9.68</v>
      </c>
    </row>
    <row r="28" spans="1:37" hidden="1">
      <c r="A28" s="240">
        <f t="shared" si="3"/>
        <v>19</v>
      </c>
      <c r="B28" s="181" t="s">
        <v>2440</v>
      </c>
      <c r="C28" s="8">
        <v>58.33</v>
      </c>
      <c r="D28" s="1" t="s">
        <v>419</v>
      </c>
      <c r="E28"/>
      <c r="F28" s="188">
        <v>1</v>
      </c>
      <c r="G28" s="187" t="s">
        <v>836</v>
      </c>
      <c r="H28" s="181" t="s">
        <v>837</v>
      </c>
      <c r="I28" s="8" t="e">
        <f>(C78)</f>
        <v>#REF!</v>
      </c>
      <c r="J28" s="2" t="s">
        <v>836</v>
      </c>
      <c r="K28" s="8" t="e">
        <f>(F28*I28)</f>
        <v>#REF!</v>
      </c>
      <c r="O28" s="181" t="s">
        <v>164</v>
      </c>
      <c r="R28" s="188" t="e">
        <f>SUM(R22:R26)</f>
        <v>#REF!</v>
      </c>
      <c r="T28" s="236" t="s">
        <v>852</v>
      </c>
      <c r="U28" s="181" t="s">
        <v>2441</v>
      </c>
      <c r="V28" s="181" t="s">
        <v>833</v>
      </c>
      <c r="W28" s="241" t="s">
        <v>1732</v>
      </c>
      <c r="X28" s="182">
        <v>0</v>
      </c>
      <c r="Y28" s="8">
        <v>63870</v>
      </c>
      <c r="Z28" s="182">
        <v>0</v>
      </c>
      <c r="AA28" s="156">
        <v>0</v>
      </c>
      <c r="AB28" s="183">
        <v>0</v>
      </c>
      <c r="AC28" s="181">
        <f t="shared" si="1"/>
        <v>63870</v>
      </c>
      <c r="AD28" s="181" t="s">
        <v>2186</v>
      </c>
      <c r="AE28" s="8">
        <v>8.8000000000000007</v>
      </c>
      <c r="AF28" s="188"/>
      <c r="AG28" s="188"/>
      <c r="AI28">
        <v>25</v>
      </c>
      <c r="AJ28" s="182">
        <v>1.1000000000000001</v>
      </c>
      <c r="AK28" s="182">
        <f t="shared" si="0"/>
        <v>27.5</v>
      </c>
    </row>
    <row r="29" spans="1:37" hidden="1">
      <c r="A29" s="240">
        <f t="shared" si="3"/>
        <v>20</v>
      </c>
      <c r="B29" s="181" t="s">
        <v>738</v>
      </c>
      <c r="C29" s="8">
        <f>AE23</f>
        <v>120</v>
      </c>
      <c r="D29" s="1" t="s">
        <v>739</v>
      </c>
      <c r="E29"/>
      <c r="F29" s="188">
        <v>1</v>
      </c>
      <c r="G29" s="187" t="s">
        <v>836</v>
      </c>
      <c r="H29" s="181" t="s">
        <v>841</v>
      </c>
      <c r="I29" s="8">
        <f>(C18)</f>
        <v>26</v>
      </c>
      <c r="J29" s="2" t="s">
        <v>836</v>
      </c>
      <c r="K29" s="8">
        <f>(F29*I29)</f>
        <v>26</v>
      </c>
      <c r="R29" s="185" t="s">
        <v>1530</v>
      </c>
      <c r="T29" s="236" t="s">
        <v>740</v>
      </c>
      <c r="U29" s="181" t="s">
        <v>741</v>
      </c>
      <c r="V29" s="181" t="s">
        <v>1388</v>
      </c>
      <c r="W29" s="188" t="str">
        <f>W18</f>
        <v>Nerkundram</v>
      </c>
      <c r="X29" s="188" t="e">
        <f>X18</f>
        <v>#REF!</v>
      </c>
      <c r="Y29" s="8">
        <v>1470</v>
      </c>
      <c r="Z29" s="188" t="e">
        <f>Z18</f>
        <v>#REF!</v>
      </c>
      <c r="AA29" s="156">
        <v>0</v>
      </c>
      <c r="AB29" s="183">
        <v>0</v>
      </c>
      <c r="AC29" s="181" t="e">
        <f t="shared" si="1"/>
        <v>#REF!</v>
      </c>
      <c r="AD29" s="181" t="s">
        <v>2442</v>
      </c>
      <c r="AE29" s="8">
        <v>25</v>
      </c>
      <c r="AF29" s="188"/>
      <c r="AG29" s="188"/>
      <c r="AI29">
        <v>342</v>
      </c>
      <c r="AJ29" s="182">
        <v>1.1000000000000001</v>
      </c>
      <c r="AK29" s="182">
        <f t="shared" si="0"/>
        <v>376.2</v>
      </c>
    </row>
    <row r="30" spans="1:37" hidden="1">
      <c r="A30" s="240">
        <f t="shared" si="3"/>
        <v>21</v>
      </c>
      <c r="B30" s="181" t="s">
        <v>742</v>
      </c>
      <c r="C30" s="8">
        <f>AE33</f>
        <v>3035</v>
      </c>
      <c r="D30" s="8">
        <f>AE31</f>
        <v>287</v>
      </c>
      <c r="E30"/>
      <c r="G30" s="187" t="s">
        <v>419</v>
      </c>
      <c r="H30" s="181" t="s">
        <v>420</v>
      </c>
      <c r="I30" s="1" t="s">
        <v>940</v>
      </c>
      <c r="J30" s="2" t="s">
        <v>419</v>
      </c>
      <c r="K30" s="8">
        <v>0</v>
      </c>
      <c r="O30" s="181" t="s">
        <v>743</v>
      </c>
      <c r="R30" s="188" t="e">
        <f>(R28/1.5)</f>
        <v>#REF!</v>
      </c>
      <c r="T30" s="236" t="s">
        <v>2086</v>
      </c>
      <c r="U30" s="181" t="s">
        <v>17</v>
      </c>
      <c r="V30" s="181" t="s">
        <v>1388</v>
      </c>
      <c r="W30" s="241" t="s">
        <v>1732</v>
      </c>
      <c r="X30" s="188">
        <v>0</v>
      </c>
      <c r="Y30" s="8">
        <v>8240</v>
      </c>
      <c r="Z30" s="188">
        <v>0</v>
      </c>
      <c r="AA30" s="236">
        <v>0</v>
      </c>
      <c r="AB30" s="183">
        <v>0</v>
      </c>
      <c r="AC30" s="181">
        <f t="shared" si="1"/>
        <v>8240</v>
      </c>
      <c r="AD30" s="181" t="s">
        <v>2443</v>
      </c>
      <c r="AE30" s="8">
        <v>342</v>
      </c>
      <c r="AF30" s="188"/>
      <c r="AG30" s="188"/>
      <c r="AI30">
        <v>287</v>
      </c>
      <c r="AJ30" s="182">
        <v>1.1000000000000001</v>
      </c>
      <c r="AK30" s="182">
        <f t="shared" si="0"/>
        <v>315.7</v>
      </c>
    </row>
    <row r="31" spans="1:37" hidden="1">
      <c r="A31" s="240">
        <f t="shared" si="3"/>
        <v>22</v>
      </c>
      <c r="B31" s="181" t="s">
        <v>18</v>
      </c>
      <c r="C31" s="8">
        <f>AE30</f>
        <v>342</v>
      </c>
      <c r="D31" s="8">
        <f>AE32</f>
        <v>320</v>
      </c>
      <c r="E31"/>
      <c r="I31"/>
      <c r="J31" s="4"/>
      <c r="K31" s="5" t="s">
        <v>1530</v>
      </c>
      <c r="O31" s="181" t="s">
        <v>234</v>
      </c>
      <c r="R31" s="185" t="s">
        <v>1980</v>
      </c>
      <c r="T31" s="236" t="s">
        <v>19</v>
      </c>
      <c r="U31" s="181" t="s">
        <v>20</v>
      </c>
      <c r="V31" s="181" t="s">
        <v>828</v>
      </c>
      <c r="W31" s="181" t="s">
        <v>1732</v>
      </c>
      <c r="X31" s="188">
        <v>0</v>
      </c>
      <c r="Y31" s="8">
        <v>3800</v>
      </c>
      <c r="Z31" s="188">
        <v>0</v>
      </c>
      <c r="AA31" s="236">
        <v>0</v>
      </c>
      <c r="AB31" s="183">
        <v>0</v>
      </c>
      <c r="AC31" s="181">
        <v>3800</v>
      </c>
      <c r="AD31" s="181" t="s">
        <v>2444</v>
      </c>
      <c r="AE31" s="8">
        <v>287</v>
      </c>
      <c r="AF31" s="188"/>
      <c r="AG31" s="188"/>
      <c r="AI31">
        <v>320</v>
      </c>
      <c r="AJ31" s="182">
        <v>1.1000000000000001</v>
      </c>
      <c r="AK31" s="182">
        <f t="shared" si="0"/>
        <v>352</v>
      </c>
    </row>
    <row r="32" spans="1:37" hidden="1">
      <c r="A32" s="240">
        <f t="shared" si="3"/>
        <v>23</v>
      </c>
      <c r="B32" s="181" t="s">
        <v>1735</v>
      </c>
      <c r="C32" s="8">
        <v>2.5</v>
      </c>
      <c r="D32" s="8">
        <f>AE34</f>
        <v>267</v>
      </c>
      <c r="E32"/>
      <c r="H32" s="181" t="s">
        <v>1459</v>
      </c>
      <c r="I32"/>
      <c r="J32" s="4"/>
      <c r="K32" s="8" t="e">
        <f>SUM(K27:K30)</f>
        <v>#REF!</v>
      </c>
      <c r="T32" s="236" t="s">
        <v>1736</v>
      </c>
      <c r="U32" s="181" t="s">
        <v>1737</v>
      </c>
      <c r="V32" s="181" t="s">
        <v>828</v>
      </c>
      <c r="W32" s="181" t="s">
        <v>2181</v>
      </c>
      <c r="X32" s="188">
        <v>0</v>
      </c>
      <c r="Y32" s="8">
        <v>28000</v>
      </c>
      <c r="Z32" s="188">
        <v>0</v>
      </c>
      <c r="AA32" s="236">
        <v>0</v>
      </c>
      <c r="AB32" s="183">
        <v>0</v>
      </c>
      <c r="AC32" s="181">
        <f t="shared" ref="AC32:AC38" si="4">SUM(Y32+Z32+AA32+AB32)</f>
        <v>28000</v>
      </c>
      <c r="AD32" s="181" t="s">
        <v>2445</v>
      </c>
      <c r="AE32" s="8">
        <v>320</v>
      </c>
      <c r="AF32" s="188"/>
      <c r="AG32" s="188"/>
      <c r="AI32">
        <v>3035</v>
      </c>
      <c r="AJ32" s="182">
        <v>1.1000000000000001</v>
      </c>
      <c r="AK32" s="182">
        <f t="shared" si="0"/>
        <v>3338.5</v>
      </c>
    </row>
    <row r="33" spans="1:37" hidden="1">
      <c r="A33" s="240">
        <f t="shared" si="3"/>
        <v>24</v>
      </c>
      <c r="B33" s="181" t="s">
        <v>414</v>
      </c>
      <c r="C33" s="8">
        <v>3.64</v>
      </c>
      <c r="D33" s="8">
        <f>AE35</f>
        <v>240</v>
      </c>
      <c r="E33"/>
      <c r="I33"/>
      <c r="J33" s="4"/>
      <c r="K33" s="5" t="s">
        <v>1530</v>
      </c>
      <c r="T33" s="242" t="s">
        <v>415</v>
      </c>
      <c r="U33" s="181" t="s">
        <v>1361</v>
      </c>
      <c r="V33" s="181" t="s">
        <v>828</v>
      </c>
      <c r="W33" s="181" t="s">
        <v>2181</v>
      </c>
      <c r="X33" s="188">
        <v>0</v>
      </c>
      <c r="Y33" s="8">
        <v>26500</v>
      </c>
      <c r="Z33" s="188">
        <v>0</v>
      </c>
      <c r="AA33" s="236">
        <v>0</v>
      </c>
      <c r="AB33" s="183">
        <v>0</v>
      </c>
      <c r="AC33" s="181">
        <f t="shared" si="4"/>
        <v>26500</v>
      </c>
      <c r="AD33" s="181" t="s">
        <v>2446</v>
      </c>
      <c r="AE33" s="8">
        <v>3035</v>
      </c>
      <c r="AF33" s="188"/>
      <c r="AG33" s="188"/>
      <c r="AI33">
        <v>267</v>
      </c>
      <c r="AJ33" s="182">
        <v>1.1000000000000001</v>
      </c>
      <c r="AK33" s="182">
        <f t="shared" si="0"/>
        <v>293.7</v>
      </c>
    </row>
    <row r="34" spans="1:37" hidden="1">
      <c r="A34" s="240">
        <f t="shared" si="3"/>
        <v>25</v>
      </c>
      <c r="B34" s="181" t="s">
        <v>1362</v>
      </c>
      <c r="C34" s="8">
        <v>30000</v>
      </c>
      <c r="D34" s="8">
        <v>30000</v>
      </c>
      <c r="E34"/>
      <c r="G34" s="187" t="s">
        <v>2167</v>
      </c>
      <c r="H34" s="181" t="s">
        <v>1258</v>
      </c>
      <c r="I34"/>
      <c r="J34" s="4"/>
      <c r="K34"/>
      <c r="T34" s="242" t="s">
        <v>1363</v>
      </c>
      <c r="U34" s="181" t="s">
        <v>1364</v>
      </c>
      <c r="V34" s="181" t="s">
        <v>1388</v>
      </c>
      <c r="W34" s="188" t="str">
        <f>W18</f>
        <v>Nerkundram</v>
      </c>
      <c r="X34" s="188" t="e">
        <f>X18</f>
        <v>#REF!</v>
      </c>
      <c r="Y34" s="8">
        <f>Y29</f>
        <v>1470</v>
      </c>
      <c r="Z34" s="188" t="e">
        <f>Z29</f>
        <v>#REF!</v>
      </c>
      <c r="AA34" s="236">
        <v>0</v>
      </c>
      <c r="AB34" s="183">
        <v>0</v>
      </c>
      <c r="AC34" s="181" t="e">
        <f t="shared" si="4"/>
        <v>#REF!</v>
      </c>
      <c r="AD34" s="181" t="s">
        <v>2447</v>
      </c>
      <c r="AE34" s="8">
        <v>267</v>
      </c>
      <c r="AF34" s="188"/>
      <c r="AG34" s="188"/>
      <c r="AI34">
        <v>240</v>
      </c>
      <c r="AJ34" s="182">
        <v>1.1000000000000001</v>
      </c>
      <c r="AK34" s="182">
        <f t="shared" si="0"/>
        <v>264</v>
      </c>
    </row>
    <row r="35" spans="1:37" hidden="1">
      <c r="A35" s="240">
        <f t="shared" si="3"/>
        <v>26</v>
      </c>
      <c r="B35" s="181" t="s">
        <v>2448</v>
      </c>
      <c r="C35" s="8">
        <f>AC38</f>
        <v>169</v>
      </c>
      <c r="D35"/>
      <c r="E35"/>
      <c r="F35" s="188">
        <v>0.36</v>
      </c>
      <c r="G35" s="187" t="s">
        <v>828</v>
      </c>
      <c r="H35" s="181" t="s">
        <v>829</v>
      </c>
      <c r="I35" s="8">
        <f>C67</f>
        <v>3800</v>
      </c>
      <c r="J35" s="2" t="s">
        <v>828</v>
      </c>
      <c r="K35" s="8">
        <f>(F35*I35)</f>
        <v>1368</v>
      </c>
      <c r="T35" s="236" t="s">
        <v>1365</v>
      </c>
      <c r="U35" s="181" t="s">
        <v>370</v>
      </c>
      <c r="V35" s="181" t="s">
        <v>833</v>
      </c>
      <c r="W35" s="181" t="str">
        <f>W11</f>
        <v>Pallavaram</v>
      </c>
      <c r="X35" s="188">
        <v>18</v>
      </c>
      <c r="Y35" s="243">
        <v>278</v>
      </c>
      <c r="Z35" s="188" t="e">
        <f>Z11</f>
        <v>#REF!</v>
      </c>
      <c r="AA35" s="236">
        <v>0</v>
      </c>
      <c r="AB35" s="183">
        <v>0</v>
      </c>
      <c r="AC35" s="181" t="e">
        <f t="shared" si="4"/>
        <v>#REF!</v>
      </c>
      <c r="AD35" s="181" t="s">
        <v>2449</v>
      </c>
      <c r="AE35" s="8">
        <v>240</v>
      </c>
      <c r="AF35" s="188"/>
      <c r="AG35" s="188"/>
      <c r="AI35">
        <v>37.299999999999997</v>
      </c>
      <c r="AJ35" s="182">
        <v>1.1000000000000001</v>
      </c>
      <c r="AK35" s="182">
        <f t="shared" si="0"/>
        <v>41.03</v>
      </c>
    </row>
    <row r="36" spans="1:37" hidden="1">
      <c r="B36" s="181" t="s">
        <v>717</v>
      </c>
      <c r="C36" s="8">
        <v>2.6</v>
      </c>
      <c r="D36"/>
      <c r="E36"/>
      <c r="F36" s="188">
        <v>1</v>
      </c>
      <c r="G36" s="187" t="s">
        <v>836</v>
      </c>
      <c r="H36" s="181" t="s">
        <v>837</v>
      </c>
      <c r="I36" s="8" t="e">
        <f>C78</f>
        <v>#REF!</v>
      </c>
      <c r="J36" s="2" t="s">
        <v>836</v>
      </c>
      <c r="K36" s="8" t="e">
        <f>(F36*I36)</f>
        <v>#REF!</v>
      </c>
      <c r="T36" s="236" t="s">
        <v>219</v>
      </c>
      <c r="U36" s="181" t="s">
        <v>369</v>
      </c>
      <c r="V36" s="181" t="s">
        <v>833</v>
      </c>
      <c r="W36" s="181" t="str">
        <f>W12</f>
        <v>Pallavaram</v>
      </c>
      <c r="X36" s="188">
        <v>18</v>
      </c>
      <c r="Y36" s="243">
        <v>334.5</v>
      </c>
      <c r="Z36" s="188" t="e">
        <f>Z12</f>
        <v>#REF!</v>
      </c>
      <c r="AA36" s="236">
        <v>0</v>
      </c>
      <c r="AB36" s="183">
        <v>0</v>
      </c>
      <c r="AC36" s="181" t="e">
        <f t="shared" si="4"/>
        <v>#REF!</v>
      </c>
      <c r="AD36" s="181" t="s">
        <v>2450</v>
      </c>
      <c r="AE36" s="6">
        <v>37.299999999999997</v>
      </c>
      <c r="AF36" s="189"/>
      <c r="AG36" s="189"/>
      <c r="AI36">
        <v>95.5</v>
      </c>
      <c r="AJ36" s="182">
        <v>1.1000000000000001</v>
      </c>
      <c r="AK36" s="182">
        <f t="shared" si="0"/>
        <v>105.05</v>
      </c>
    </row>
    <row r="37" spans="1:37" hidden="1">
      <c r="C37"/>
      <c r="D37"/>
      <c r="E37"/>
      <c r="F37" s="188">
        <v>1</v>
      </c>
      <c r="G37" s="187" t="s">
        <v>836</v>
      </c>
      <c r="H37" s="181" t="s">
        <v>841</v>
      </c>
      <c r="I37" s="8">
        <f>C18</f>
        <v>26</v>
      </c>
      <c r="J37" s="2" t="s">
        <v>836</v>
      </c>
      <c r="K37" s="8">
        <f>(F37*I37)</f>
        <v>26</v>
      </c>
      <c r="T37" s="236" t="s">
        <v>1619</v>
      </c>
      <c r="U37" s="181" t="s">
        <v>387</v>
      </c>
      <c r="V37" s="181" t="s">
        <v>833</v>
      </c>
      <c r="W37" s="181" t="str">
        <f>W13</f>
        <v>Pallavaram</v>
      </c>
      <c r="X37" s="188">
        <v>18</v>
      </c>
      <c r="Y37" s="243">
        <v>278.5</v>
      </c>
      <c r="Z37" s="188" t="e">
        <f>Z13</f>
        <v>#REF!</v>
      </c>
      <c r="AA37" s="236">
        <v>0</v>
      </c>
      <c r="AB37" s="183">
        <v>0</v>
      </c>
      <c r="AC37" s="181" t="e">
        <f t="shared" si="4"/>
        <v>#REF!</v>
      </c>
      <c r="AD37" s="181" t="s">
        <v>2451</v>
      </c>
      <c r="AE37" s="8">
        <v>120</v>
      </c>
      <c r="AF37" s="188"/>
      <c r="AG37" s="188"/>
    </row>
    <row r="38" spans="1:37" hidden="1">
      <c r="A38" s="240">
        <f>(A35+1)</f>
        <v>27</v>
      </c>
      <c r="B38" s="181" t="s">
        <v>1620</v>
      </c>
      <c r="C38" s="8">
        <v>40</v>
      </c>
      <c r="D38" s="1" t="s">
        <v>835</v>
      </c>
      <c r="E38"/>
      <c r="G38" s="187" t="s">
        <v>419</v>
      </c>
      <c r="H38" s="181" t="s">
        <v>420</v>
      </c>
      <c r="I38" s="1" t="s">
        <v>940</v>
      </c>
      <c r="J38" s="2" t="s">
        <v>419</v>
      </c>
      <c r="K38" s="8">
        <v>0</v>
      </c>
      <c r="T38" s="236" t="s">
        <v>200</v>
      </c>
      <c r="U38" s="181" t="s">
        <v>201</v>
      </c>
      <c r="V38" s="181" t="s">
        <v>833</v>
      </c>
      <c r="W38" s="181" t="s">
        <v>2452</v>
      </c>
      <c r="X38" s="188">
        <v>20</v>
      </c>
      <c r="Y38" s="6">
        <v>83</v>
      </c>
      <c r="Z38" s="188">
        <v>86</v>
      </c>
      <c r="AA38" s="236">
        <v>0</v>
      </c>
      <c r="AB38" s="183">
        <v>0</v>
      </c>
      <c r="AC38" s="181">
        <f t="shared" si="4"/>
        <v>169</v>
      </c>
      <c r="AD38" s="181" t="s">
        <v>940</v>
      </c>
      <c r="AE38" s="6"/>
      <c r="AG38" s="181" t="s">
        <v>2175</v>
      </c>
    </row>
    <row r="39" spans="1:37" hidden="1">
      <c r="A39" s="240">
        <f t="shared" ref="A39:A58" si="5">(A38+1)</f>
        <v>28</v>
      </c>
      <c r="B39" s="181" t="s">
        <v>202</v>
      </c>
      <c r="C39" s="8">
        <v>41</v>
      </c>
      <c r="D39" s="8">
        <v>500</v>
      </c>
      <c r="E39"/>
      <c r="I39"/>
      <c r="J39" s="4"/>
      <c r="K39" s="5" t="s">
        <v>1530</v>
      </c>
      <c r="T39" s="156"/>
      <c r="AA39" s="156"/>
      <c r="AG39" s="181" t="s">
        <v>2175</v>
      </c>
    </row>
    <row r="40" spans="1:37" hidden="1">
      <c r="A40" s="240">
        <f t="shared" si="5"/>
        <v>29</v>
      </c>
      <c r="B40" s="181" t="s">
        <v>979</v>
      </c>
      <c r="C40" s="8">
        <v>28</v>
      </c>
      <c r="D40" s="8">
        <f>95+95*0.11</f>
        <v>105.45</v>
      </c>
      <c r="E40"/>
      <c r="H40" s="181" t="s">
        <v>1459</v>
      </c>
      <c r="I40"/>
      <c r="J40" s="4"/>
      <c r="K40" s="8" t="e">
        <f>SUM(K35:K38)</f>
        <v>#REF!</v>
      </c>
      <c r="T40" s="185" t="s">
        <v>1530</v>
      </c>
      <c r="U40" s="185" t="s">
        <v>1530</v>
      </c>
      <c r="V40" s="185" t="s">
        <v>1530</v>
      </c>
      <c r="W40" s="185" t="s">
        <v>1530</v>
      </c>
      <c r="X40" s="185" t="s">
        <v>1530</v>
      </c>
      <c r="Y40" s="185" t="s">
        <v>1530</v>
      </c>
      <c r="Z40" s="185" t="s">
        <v>1530</v>
      </c>
      <c r="AA40" s="185" t="s">
        <v>1530</v>
      </c>
      <c r="AB40" s="185" t="s">
        <v>1530</v>
      </c>
      <c r="AC40" s="185" t="s">
        <v>1530</v>
      </c>
      <c r="AD40" s="185" t="s">
        <v>1530</v>
      </c>
      <c r="AE40" s="185" t="s">
        <v>1530</v>
      </c>
      <c r="AF40" s="185"/>
      <c r="AG40" s="181" t="s">
        <v>2175</v>
      </c>
    </row>
    <row r="41" spans="1:37" ht="47.25" hidden="1" customHeight="1">
      <c r="A41" s="240">
        <f t="shared" si="5"/>
        <v>30</v>
      </c>
      <c r="B41" s="181" t="s">
        <v>1712</v>
      </c>
      <c r="C41" s="8">
        <f>AE22</f>
        <v>110</v>
      </c>
      <c r="D41" s="1" t="s">
        <v>739</v>
      </c>
      <c r="E41"/>
      <c r="I41"/>
      <c r="J41" s="4"/>
      <c r="K41" s="5" t="s">
        <v>1530</v>
      </c>
      <c r="U41" s="244"/>
      <c r="Y41" s="181" t="s">
        <v>940</v>
      </c>
      <c r="AG41" s="181" t="s">
        <v>2175</v>
      </c>
    </row>
    <row r="42" spans="1:37" hidden="1">
      <c r="A42" s="240">
        <f t="shared" si="5"/>
        <v>31</v>
      </c>
      <c r="B42" s="181" t="s">
        <v>1713</v>
      </c>
      <c r="C42" s="8">
        <v>1.75</v>
      </c>
      <c r="D42" s="1" t="s">
        <v>1714</v>
      </c>
      <c r="E42"/>
      <c r="G42" s="187" t="s">
        <v>2167</v>
      </c>
      <c r="H42" s="181" t="s">
        <v>1571</v>
      </c>
      <c r="I42"/>
      <c r="J42" s="4"/>
      <c r="K42"/>
      <c r="U42" s="182" t="s">
        <v>1451</v>
      </c>
      <c r="AG42" s="181" t="s">
        <v>2175</v>
      </c>
    </row>
    <row r="43" spans="1:37" hidden="1">
      <c r="A43" s="240">
        <f t="shared" si="5"/>
        <v>32</v>
      </c>
      <c r="B43" s="181" t="s">
        <v>1572</v>
      </c>
      <c r="C43" s="8">
        <v>2.2000000000000002</v>
      </c>
      <c r="D43" s="1" t="s">
        <v>739</v>
      </c>
      <c r="E43"/>
      <c r="H43" s="185" t="s">
        <v>1530</v>
      </c>
      <c r="I43"/>
      <c r="J43" s="4"/>
      <c r="K43"/>
      <c r="AG43" s="181" t="s">
        <v>2175</v>
      </c>
    </row>
    <row r="44" spans="1:37" hidden="1">
      <c r="A44" s="240">
        <f t="shared" si="5"/>
        <v>33</v>
      </c>
      <c r="B44" s="181" t="s">
        <v>246</v>
      </c>
      <c r="C44" s="8">
        <v>2.2000000000000002</v>
      </c>
      <c r="D44" s="1" t="s">
        <v>739</v>
      </c>
      <c r="E44"/>
      <c r="F44" s="245">
        <v>0.28799999999999998</v>
      </c>
      <c r="G44" s="187" t="s">
        <v>828</v>
      </c>
      <c r="H44" s="181" t="s">
        <v>829</v>
      </c>
      <c r="I44" s="8">
        <f>(C67)</f>
        <v>3800</v>
      </c>
      <c r="J44" s="2" t="s">
        <v>828</v>
      </c>
      <c r="K44" s="8">
        <f>(F44*I44)</f>
        <v>1094.4000000000001</v>
      </c>
      <c r="AG44" s="181" t="s">
        <v>2175</v>
      </c>
    </row>
    <row r="45" spans="1:37" hidden="1">
      <c r="A45" s="240">
        <f t="shared" si="5"/>
        <v>34</v>
      </c>
      <c r="B45" s="181" t="s">
        <v>1845</v>
      </c>
      <c r="C45" s="8">
        <v>2.7</v>
      </c>
      <c r="D45" s="1" t="s">
        <v>739</v>
      </c>
      <c r="E45"/>
      <c r="F45" s="188">
        <v>1</v>
      </c>
      <c r="G45" s="187" t="s">
        <v>836</v>
      </c>
      <c r="H45" s="181" t="s">
        <v>837</v>
      </c>
      <c r="I45" s="8" t="e">
        <f>(C78)</f>
        <v>#REF!</v>
      </c>
      <c r="J45" s="2" t="s">
        <v>836</v>
      </c>
      <c r="K45" s="8" t="e">
        <f>(F45*I45)</f>
        <v>#REF!</v>
      </c>
      <c r="AG45" s="181" t="s">
        <v>2175</v>
      </c>
    </row>
    <row r="46" spans="1:37" hidden="1">
      <c r="A46" s="240">
        <f t="shared" si="5"/>
        <v>35</v>
      </c>
      <c r="B46" s="181" t="s">
        <v>75</v>
      </c>
      <c r="C46" s="8">
        <v>3.2</v>
      </c>
      <c r="D46" s="1" t="s">
        <v>739</v>
      </c>
      <c r="E46"/>
      <c r="F46" s="188">
        <v>1</v>
      </c>
      <c r="G46" s="187" t="s">
        <v>836</v>
      </c>
      <c r="H46" s="181" t="s">
        <v>841</v>
      </c>
      <c r="I46" s="8">
        <f>(C18)</f>
        <v>26</v>
      </c>
      <c r="J46" s="2" t="s">
        <v>836</v>
      </c>
      <c r="K46" s="8">
        <f>(F46*I46)</f>
        <v>26</v>
      </c>
      <c r="W46" s="181" t="s">
        <v>1608</v>
      </c>
      <c r="AA46" s="181" t="s">
        <v>76</v>
      </c>
      <c r="AE46" s="182" t="s">
        <v>2227</v>
      </c>
      <c r="AG46" s="181" t="s">
        <v>2175</v>
      </c>
    </row>
    <row r="47" spans="1:37" hidden="1">
      <c r="A47" s="240">
        <f t="shared" si="5"/>
        <v>36</v>
      </c>
      <c r="B47" s="181" t="s">
        <v>77</v>
      </c>
      <c r="C47" s="8">
        <v>4.2</v>
      </c>
      <c r="D47" s="1" t="s">
        <v>739</v>
      </c>
      <c r="E47"/>
      <c r="G47" s="187" t="s">
        <v>419</v>
      </c>
      <c r="H47" s="181" t="s">
        <v>420</v>
      </c>
      <c r="I47" s="1" t="s">
        <v>940</v>
      </c>
      <c r="J47" s="2" t="s">
        <v>419</v>
      </c>
      <c r="K47" s="8">
        <v>0</v>
      </c>
      <c r="N47" s="181" t="s">
        <v>2167</v>
      </c>
      <c r="O47" s="181" t="s">
        <v>1208</v>
      </c>
      <c r="AG47" s="181" t="s">
        <v>2175</v>
      </c>
    </row>
    <row r="48" spans="1:37" hidden="1">
      <c r="A48" s="240">
        <f t="shared" si="5"/>
        <v>37</v>
      </c>
      <c r="B48" s="181" t="s">
        <v>1209</v>
      </c>
      <c r="C48" s="8">
        <v>5.35</v>
      </c>
      <c r="D48" s="8">
        <v>10.65</v>
      </c>
      <c r="E48"/>
      <c r="I48"/>
      <c r="J48" s="4"/>
      <c r="K48" s="5" t="s">
        <v>1530</v>
      </c>
      <c r="O48" s="181" t="s">
        <v>611</v>
      </c>
      <c r="AG48" s="181" t="s">
        <v>2175</v>
      </c>
    </row>
    <row r="49" spans="1:33" hidden="1">
      <c r="A49" s="240">
        <f t="shared" si="5"/>
        <v>38</v>
      </c>
      <c r="B49" s="181" t="s">
        <v>1648</v>
      </c>
      <c r="C49" s="8">
        <v>5.85</v>
      </c>
      <c r="D49" s="8">
        <v>7.45</v>
      </c>
      <c r="E49"/>
      <c r="H49" s="181" t="s">
        <v>1459</v>
      </c>
      <c r="I49"/>
      <c r="J49" s="4"/>
      <c r="K49" s="8" t="e">
        <f>SUM(K44:K47)</f>
        <v>#REF!</v>
      </c>
      <c r="O49" s="185" t="s">
        <v>1530</v>
      </c>
      <c r="AG49" s="181" t="s">
        <v>2175</v>
      </c>
    </row>
    <row r="50" spans="1:33" hidden="1">
      <c r="A50" s="240">
        <f t="shared" si="5"/>
        <v>39</v>
      </c>
      <c r="B50" s="181" t="s">
        <v>1575</v>
      </c>
      <c r="C50" s="8">
        <v>3.2</v>
      </c>
      <c r="D50" s="1" t="s">
        <v>739</v>
      </c>
      <c r="E50"/>
      <c r="I50"/>
      <c r="J50" s="4"/>
      <c r="K50" s="5" t="s">
        <v>1530</v>
      </c>
      <c r="M50" s="188">
        <v>9</v>
      </c>
      <c r="N50" s="181" t="s">
        <v>836</v>
      </c>
      <c r="O50" s="181" t="s">
        <v>611</v>
      </c>
      <c r="P50" s="188" t="e">
        <f>(C81)</f>
        <v>#REF!</v>
      </c>
      <c r="Q50" s="181" t="s">
        <v>836</v>
      </c>
      <c r="R50" s="188" t="e">
        <f>(M50*P50)</f>
        <v>#REF!</v>
      </c>
      <c r="AG50" s="181" t="s">
        <v>2175</v>
      </c>
    </row>
    <row r="51" spans="1:33" hidden="1">
      <c r="A51" s="240">
        <f t="shared" si="5"/>
        <v>40</v>
      </c>
      <c r="B51" s="181" t="s">
        <v>1576</v>
      </c>
      <c r="C51" s="8">
        <v>3.2</v>
      </c>
      <c r="D51" s="1" t="s">
        <v>739</v>
      </c>
      <c r="E51"/>
      <c r="G51" s="187" t="s">
        <v>2167</v>
      </c>
      <c r="H51" s="181" t="s">
        <v>1577</v>
      </c>
      <c r="I51"/>
      <c r="J51" s="4"/>
      <c r="K51"/>
      <c r="M51" s="188">
        <v>4.5</v>
      </c>
      <c r="N51" s="181" t="s">
        <v>836</v>
      </c>
      <c r="O51" s="181" t="s">
        <v>1578</v>
      </c>
      <c r="P51" s="188" t="e">
        <f>(K77)</f>
        <v>#REF!</v>
      </c>
      <c r="Q51" s="181" t="s">
        <v>836</v>
      </c>
      <c r="R51" s="188" t="e">
        <f>(M51*P51)</f>
        <v>#REF!</v>
      </c>
      <c r="AG51" s="181" t="s">
        <v>2175</v>
      </c>
    </row>
    <row r="52" spans="1:33" hidden="1">
      <c r="A52" s="240">
        <f t="shared" si="5"/>
        <v>41</v>
      </c>
      <c r="B52" s="181" t="s">
        <v>1653</v>
      </c>
      <c r="C52" s="8">
        <v>6.4</v>
      </c>
      <c r="D52" s="1" t="s">
        <v>739</v>
      </c>
      <c r="E52"/>
      <c r="H52" s="185" t="s">
        <v>1530</v>
      </c>
      <c r="I52"/>
      <c r="J52" s="4"/>
      <c r="K52"/>
      <c r="M52" s="188">
        <v>1.8</v>
      </c>
      <c r="N52" s="181" t="s">
        <v>835</v>
      </c>
      <c r="O52" s="181" t="s">
        <v>1654</v>
      </c>
      <c r="P52" s="188">
        <f>(C11)</f>
        <v>135</v>
      </c>
      <c r="Q52" s="181" t="s">
        <v>835</v>
      </c>
      <c r="R52" s="188">
        <f>(M52*P52)</f>
        <v>243</v>
      </c>
      <c r="AG52" s="181" t="s">
        <v>2175</v>
      </c>
    </row>
    <row r="53" spans="1:33" hidden="1">
      <c r="A53" s="240">
        <f t="shared" si="5"/>
        <v>42</v>
      </c>
      <c r="B53" s="181" t="s">
        <v>1835</v>
      </c>
      <c r="C53" s="8">
        <v>8.5500000000000007</v>
      </c>
      <c r="D53" s="8">
        <v>21.3</v>
      </c>
      <c r="E53"/>
      <c r="F53" s="188">
        <v>0.24</v>
      </c>
      <c r="G53" s="187" t="s">
        <v>828</v>
      </c>
      <c r="H53" s="181" t="s">
        <v>829</v>
      </c>
      <c r="I53" s="8">
        <f>(C67)</f>
        <v>3800</v>
      </c>
      <c r="J53" s="2" t="s">
        <v>828</v>
      </c>
      <c r="K53" s="8">
        <f>(F53*I53)</f>
        <v>912</v>
      </c>
      <c r="M53" s="188">
        <v>17.7</v>
      </c>
      <c r="N53" s="181" t="s">
        <v>835</v>
      </c>
      <c r="O53" s="181" t="s">
        <v>1836</v>
      </c>
      <c r="P53" s="188">
        <f>(C12)</f>
        <v>95</v>
      </c>
      <c r="Q53" s="181" t="s">
        <v>835</v>
      </c>
      <c r="R53" s="188">
        <f>(M53*P53)</f>
        <v>1681.5</v>
      </c>
      <c r="AG53" s="181" t="s">
        <v>2175</v>
      </c>
    </row>
    <row r="54" spans="1:33" hidden="1">
      <c r="A54" s="240">
        <f t="shared" si="5"/>
        <v>43</v>
      </c>
      <c r="B54" s="181" t="s">
        <v>298</v>
      </c>
      <c r="C54" s="8">
        <v>9.5500000000000007</v>
      </c>
      <c r="D54" s="8">
        <v>16</v>
      </c>
      <c r="E54"/>
      <c r="F54" s="188">
        <v>1</v>
      </c>
      <c r="G54" s="187" t="s">
        <v>836</v>
      </c>
      <c r="H54" s="181" t="s">
        <v>837</v>
      </c>
      <c r="I54" s="8" t="e">
        <f>(C78)</f>
        <v>#REF!</v>
      </c>
      <c r="J54" s="2" t="s">
        <v>836</v>
      </c>
      <c r="K54" s="8" t="e">
        <f>(F54*I54)</f>
        <v>#REF!</v>
      </c>
      <c r="M54" s="188">
        <v>14.1</v>
      </c>
      <c r="N54" s="181" t="s">
        <v>835</v>
      </c>
      <c r="O54" s="181" t="s">
        <v>299</v>
      </c>
      <c r="P54" s="188">
        <f>(C13)</f>
        <v>85</v>
      </c>
      <c r="Q54" s="181" t="s">
        <v>835</v>
      </c>
      <c r="R54" s="188">
        <f>(M54*P54)</f>
        <v>1198.5</v>
      </c>
      <c r="AG54" s="181" t="s">
        <v>300</v>
      </c>
    </row>
    <row r="55" spans="1:33" hidden="1">
      <c r="A55" s="240">
        <f t="shared" si="5"/>
        <v>44</v>
      </c>
      <c r="B55" s="181" t="s">
        <v>301</v>
      </c>
      <c r="C55" s="8">
        <v>10.65</v>
      </c>
      <c r="D55" s="8">
        <v>12.75</v>
      </c>
      <c r="E55"/>
      <c r="F55" s="188">
        <v>1</v>
      </c>
      <c r="G55" s="187" t="s">
        <v>836</v>
      </c>
      <c r="H55" s="181" t="s">
        <v>841</v>
      </c>
      <c r="I55" s="8">
        <f>(C18)</f>
        <v>26</v>
      </c>
      <c r="J55" s="2" t="s">
        <v>836</v>
      </c>
      <c r="K55" s="8">
        <f>(F55*I55)</f>
        <v>26</v>
      </c>
      <c r="N55" s="181" t="s">
        <v>419</v>
      </c>
      <c r="O55" s="181" t="s">
        <v>420</v>
      </c>
      <c r="Q55" s="181" t="s">
        <v>419</v>
      </c>
      <c r="R55" s="188">
        <v>0</v>
      </c>
    </row>
    <row r="56" spans="1:33" hidden="1">
      <c r="A56" s="240">
        <f t="shared" si="5"/>
        <v>45</v>
      </c>
      <c r="B56" s="181" t="s">
        <v>302</v>
      </c>
      <c r="C56" s="8">
        <v>12.1</v>
      </c>
      <c r="D56" s="1" t="s">
        <v>419</v>
      </c>
      <c r="E56"/>
      <c r="G56" s="187" t="s">
        <v>419</v>
      </c>
      <c r="H56" s="181" t="s">
        <v>420</v>
      </c>
      <c r="I56" s="1" t="s">
        <v>940</v>
      </c>
      <c r="J56" s="2" t="s">
        <v>419</v>
      </c>
      <c r="K56" s="8">
        <v>0</v>
      </c>
      <c r="R56" s="185" t="s">
        <v>1530</v>
      </c>
    </row>
    <row r="57" spans="1:33" hidden="1">
      <c r="A57" s="240">
        <f t="shared" si="5"/>
        <v>46</v>
      </c>
      <c r="B57" s="181" t="s">
        <v>582</v>
      </c>
      <c r="C57" s="8">
        <v>35</v>
      </c>
      <c r="D57" s="1" t="s">
        <v>419</v>
      </c>
      <c r="E57"/>
      <c r="I57"/>
      <c r="J57" s="4"/>
      <c r="K57" s="5" t="s">
        <v>1530</v>
      </c>
      <c r="O57" s="181" t="s">
        <v>583</v>
      </c>
      <c r="R57" s="188" t="e">
        <f>SUM(R50:R55)</f>
        <v>#REF!</v>
      </c>
      <c r="AG57" s="181" t="s">
        <v>2175</v>
      </c>
    </row>
    <row r="58" spans="1:33" hidden="1">
      <c r="A58" s="240">
        <f t="shared" si="5"/>
        <v>47</v>
      </c>
      <c r="B58" s="181" t="s">
        <v>584</v>
      </c>
      <c r="C58" s="8">
        <v>15</v>
      </c>
      <c r="D58" s="1" t="s">
        <v>419</v>
      </c>
      <c r="E58"/>
      <c r="H58" s="181" t="s">
        <v>1459</v>
      </c>
      <c r="I58"/>
      <c r="J58" s="4"/>
      <c r="K58" s="8" t="e">
        <f>SUM(K53:K56)</f>
        <v>#REF!</v>
      </c>
      <c r="R58" s="185" t="s">
        <v>1530</v>
      </c>
      <c r="AG58" s="181" t="s">
        <v>2175</v>
      </c>
    </row>
    <row r="59" spans="1:33" hidden="1">
      <c r="C59"/>
      <c r="D59"/>
      <c r="E59"/>
      <c r="F59" s="181" t="s">
        <v>940</v>
      </c>
      <c r="I59"/>
      <c r="J59" s="4"/>
      <c r="K59"/>
    </row>
    <row r="60" spans="1:33" hidden="1">
      <c r="A60" s="240">
        <f>(A58+1)</f>
        <v>48</v>
      </c>
      <c r="B60" s="181" t="s">
        <v>585</v>
      </c>
      <c r="C60" s="8">
        <v>6.55</v>
      </c>
      <c r="D60" s="1" t="s">
        <v>1997</v>
      </c>
      <c r="E60"/>
      <c r="I60"/>
      <c r="J60" s="4"/>
      <c r="K60" s="5" t="s">
        <v>1530</v>
      </c>
      <c r="O60" s="181" t="s">
        <v>743</v>
      </c>
      <c r="R60" s="188" t="e">
        <f>(R57/10)</f>
        <v>#REF!</v>
      </c>
      <c r="AG60" s="181" t="s">
        <v>2175</v>
      </c>
    </row>
    <row r="61" spans="1:33" hidden="1">
      <c r="A61" s="240">
        <f t="shared" ref="A61:A91" si="6">(A60+1)</f>
        <v>49</v>
      </c>
      <c r="B61" s="181" t="s">
        <v>1998</v>
      </c>
      <c r="C61" s="8">
        <f>AE29</f>
        <v>25</v>
      </c>
      <c r="D61" s="8">
        <f>AE36</f>
        <v>37.299999999999997</v>
      </c>
      <c r="E61"/>
      <c r="G61" s="187" t="s">
        <v>2167</v>
      </c>
      <c r="H61" s="181" t="s">
        <v>1999</v>
      </c>
      <c r="I61"/>
      <c r="J61" s="4"/>
      <c r="K61"/>
      <c r="R61" s="185" t="s">
        <v>1980</v>
      </c>
      <c r="AG61" s="181" t="s">
        <v>2175</v>
      </c>
    </row>
    <row r="62" spans="1:33" hidden="1">
      <c r="A62" s="240">
        <f t="shared" si="6"/>
        <v>50</v>
      </c>
      <c r="B62" s="181" t="s">
        <v>2000</v>
      </c>
      <c r="C62" s="8">
        <v>85.5</v>
      </c>
      <c r="D62" s="1" t="s">
        <v>835</v>
      </c>
      <c r="E62"/>
      <c r="H62" s="185" t="s">
        <v>1530</v>
      </c>
      <c r="I62"/>
      <c r="J62" s="4"/>
      <c r="K62"/>
      <c r="N62" s="181" t="s">
        <v>2167</v>
      </c>
      <c r="O62" s="181" t="s">
        <v>1305</v>
      </c>
      <c r="AG62" s="181" t="s">
        <v>2175</v>
      </c>
    </row>
    <row r="63" spans="1:33" hidden="1">
      <c r="A63" s="240">
        <f t="shared" si="6"/>
        <v>51</v>
      </c>
      <c r="B63" s="181" t="s">
        <v>1972</v>
      </c>
      <c r="C63" s="8">
        <v>42</v>
      </c>
      <c r="D63" s="1" t="s">
        <v>419</v>
      </c>
      <c r="E63"/>
      <c r="F63" s="245">
        <v>0.20599999999999999</v>
      </c>
      <c r="G63" s="187" t="s">
        <v>828</v>
      </c>
      <c r="H63" s="181" t="s">
        <v>829</v>
      </c>
      <c r="I63" s="8">
        <f>(C67)</f>
        <v>3800</v>
      </c>
      <c r="J63" s="2" t="s">
        <v>828</v>
      </c>
      <c r="K63" s="8">
        <f>(F63*I63)</f>
        <v>782.8</v>
      </c>
      <c r="O63" s="181" t="s">
        <v>1430</v>
      </c>
      <c r="AG63" s="181" t="s">
        <v>2175</v>
      </c>
    </row>
    <row r="64" spans="1:33" hidden="1">
      <c r="A64" s="240">
        <f t="shared" si="6"/>
        <v>52</v>
      </c>
      <c r="B64" s="181" t="s">
        <v>1492</v>
      </c>
      <c r="C64" s="8">
        <v>62.5</v>
      </c>
      <c r="D64" s="1" t="s">
        <v>836</v>
      </c>
      <c r="E64"/>
      <c r="F64" s="188">
        <v>1</v>
      </c>
      <c r="G64" s="187" t="s">
        <v>836</v>
      </c>
      <c r="H64" s="181" t="s">
        <v>837</v>
      </c>
      <c r="I64" s="8" t="e">
        <f>(C78)</f>
        <v>#REF!</v>
      </c>
      <c r="J64" s="2" t="s">
        <v>836</v>
      </c>
      <c r="K64" s="8" t="e">
        <f>(F64*I64)</f>
        <v>#REF!</v>
      </c>
      <c r="O64" s="185" t="s">
        <v>1530</v>
      </c>
      <c r="AG64" s="181" t="s">
        <v>2175</v>
      </c>
    </row>
    <row r="65" spans="1:33" hidden="1">
      <c r="A65" s="240">
        <f t="shared" si="6"/>
        <v>53</v>
      </c>
      <c r="B65" s="181" t="s">
        <v>1306</v>
      </c>
      <c r="C65" s="8">
        <v>303</v>
      </c>
      <c r="D65" s="1" t="s">
        <v>1307</v>
      </c>
      <c r="E65"/>
      <c r="F65" s="188">
        <v>1</v>
      </c>
      <c r="G65" s="187" t="s">
        <v>836</v>
      </c>
      <c r="H65" s="181" t="s">
        <v>841</v>
      </c>
      <c r="I65" s="8">
        <f>(C18)</f>
        <v>26</v>
      </c>
      <c r="J65" s="2" t="s">
        <v>836</v>
      </c>
      <c r="K65" s="8">
        <f>(F65*I65)</f>
        <v>26</v>
      </c>
      <c r="M65" s="188">
        <v>9</v>
      </c>
      <c r="N65" s="181" t="s">
        <v>836</v>
      </c>
      <c r="O65" s="181" t="s">
        <v>1430</v>
      </c>
      <c r="P65" s="188" t="e">
        <f>(C73)</f>
        <v>#REF!</v>
      </c>
      <c r="Q65" s="181" t="s">
        <v>836</v>
      </c>
      <c r="R65" s="188" t="e">
        <f>(M65*P65)</f>
        <v>#REF!</v>
      </c>
      <c r="AG65" s="181" t="s">
        <v>2175</v>
      </c>
    </row>
    <row r="66" spans="1:33" hidden="1">
      <c r="A66" s="240">
        <f t="shared" si="6"/>
        <v>54</v>
      </c>
      <c r="B66" s="181" t="s">
        <v>1437</v>
      </c>
      <c r="C66" s="8">
        <f>AE18</f>
        <v>120</v>
      </c>
      <c r="D66" s="1" t="s">
        <v>835</v>
      </c>
      <c r="E66"/>
      <c r="G66" s="187" t="s">
        <v>419</v>
      </c>
      <c r="H66" s="181" t="s">
        <v>420</v>
      </c>
      <c r="I66" s="1" t="s">
        <v>940</v>
      </c>
      <c r="J66" s="2" t="s">
        <v>419</v>
      </c>
      <c r="K66" s="8">
        <v>0</v>
      </c>
      <c r="M66" s="188">
        <v>4.5</v>
      </c>
      <c r="N66" s="181" t="s">
        <v>836</v>
      </c>
      <c r="O66" s="181" t="s">
        <v>117</v>
      </c>
      <c r="P66" s="188" t="e">
        <f>(K23)</f>
        <v>#REF!</v>
      </c>
      <c r="Q66" s="181" t="s">
        <v>836</v>
      </c>
      <c r="R66" s="188" t="e">
        <f>(M66*P66)</f>
        <v>#REF!</v>
      </c>
      <c r="AG66" s="181" t="s">
        <v>2175</v>
      </c>
    </row>
    <row r="67" spans="1:33" hidden="1">
      <c r="A67" s="240">
        <f t="shared" si="6"/>
        <v>55</v>
      </c>
      <c r="B67" s="181" t="s">
        <v>829</v>
      </c>
      <c r="C67" s="8">
        <f>AC31</f>
        <v>3800</v>
      </c>
      <c r="D67" s="1" t="s">
        <v>828</v>
      </c>
      <c r="E67"/>
      <c r="I67"/>
      <c r="J67" s="4"/>
      <c r="K67" s="5" t="s">
        <v>1530</v>
      </c>
      <c r="M67" s="188">
        <v>1.8</v>
      </c>
      <c r="N67" s="181" t="s">
        <v>835</v>
      </c>
      <c r="O67" s="181" t="s">
        <v>1654</v>
      </c>
      <c r="P67" s="188">
        <f>(C11)</f>
        <v>135</v>
      </c>
      <c r="Q67" s="181" t="s">
        <v>835</v>
      </c>
      <c r="R67" s="188">
        <f>(M67*P67)</f>
        <v>243</v>
      </c>
      <c r="AG67" s="181" t="s">
        <v>2175</v>
      </c>
    </row>
    <row r="68" spans="1:33" hidden="1">
      <c r="A68" s="240">
        <f t="shared" si="6"/>
        <v>56</v>
      </c>
      <c r="B68" s="181" t="s">
        <v>1438</v>
      </c>
      <c r="C68" s="8" t="e">
        <f t="shared" ref="C68:C74" si="7">AC9</f>
        <v>#REF!</v>
      </c>
      <c r="D68" s="1" t="s">
        <v>836</v>
      </c>
      <c r="E68"/>
      <c r="H68" s="181" t="s">
        <v>1459</v>
      </c>
      <c r="I68"/>
      <c r="J68" s="4"/>
      <c r="K68" s="8" t="e">
        <f>SUM(K63:K66)</f>
        <v>#REF!</v>
      </c>
      <c r="M68" s="188">
        <v>17.7</v>
      </c>
      <c r="N68" s="181" t="s">
        <v>835</v>
      </c>
      <c r="O68" s="181" t="s">
        <v>1836</v>
      </c>
      <c r="P68" s="188">
        <f>(C12)</f>
        <v>95</v>
      </c>
      <c r="Q68" s="181" t="s">
        <v>835</v>
      </c>
      <c r="R68" s="188">
        <f>(M68*P68)</f>
        <v>1681.5</v>
      </c>
      <c r="AG68" s="181" t="s">
        <v>2175</v>
      </c>
    </row>
    <row r="69" spans="1:33" hidden="1">
      <c r="A69" s="240">
        <f t="shared" si="6"/>
        <v>57</v>
      </c>
      <c r="B69" s="181" t="s">
        <v>839</v>
      </c>
      <c r="C69" s="8" t="e">
        <f t="shared" si="7"/>
        <v>#REF!</v>
      </c>
      <c r="D69" s="1" t="s">
        <v>836</v>
      </c>
      <c r="E69"/>
      <c r="I69"/>
      <c r="J69" s="4"/>
      <c r="K69" s="5" t="s">
        <v>1530</v>
      </c>
      <c r="M69" s="188">
        <v>14.1</v>
      </c>
      <c r="N69" s="181" t="s">
        <v>835</v>
      </c>
      <c r="O69" s="181" t="s">
        <v>299</v>
      </c>
      <c r="P69" s="188">
        <f>(C13)</f>
        <v>85</v>
      </c>
      <c r="Q69" s="181" t="s">
        <v>835</v>
      </c>
      <c r="R69" s="188">
        <f>(M69*P69)</f>
        <v>1198.5</v>
      </c>
      <c r="AG69" s="181" t="s">
        <v>2175</v>
      </c>
    </row>
    <row r="70" spans="1:33" hidden="1">
      <c r="A70" s="240">
        <f t="shared" si="6"/>
        <v>58</v>
      </c>
      <c r="B70" s="181" t="s">
        <v>1439</v>
      </c>
      <c r="C70" s="8" t="e">
        <f t="shared" si="7"/>
        <v>#REF!</v>
      </c>
      <c r="D70" s="1" t="s">
        <v>836</v>
      </c>
      <c r="E70"/>
      <c r="G70" s="187" t="s">
        <v>2167</v>
      </c>
      <c r="H70" s="181" t="s">
        <v>1578</v>
      </c>
      <c r="I70"/>
      <c r="J70" s="4"/>
      <c r="K70"/>
      <c r="N70" s="181" t="s">
        <v>419</v>
      </c>
      <c r="O70" s="181" t="s">
        <v>420</v>
      </c>
      <c r="Q70" s="181" t="s">
        <v>419</v>
      </c>
      <c r="R70" s="188">
        <v>0</v>
      </c>
      <c r="AG70" s="181" t="s">
        <v>2175</v>
      </c>
    </row>
    <row r="71" spans="1:33" hidden="1">
      <c r="A71" s="240">
        <f t="shared" si="6"/>
        <v>59</v>
      </c>
      <c r="B71" s="181" t="s">
        <v>1440</v>
      </c>
      <c r="C71" s="8" t="e">
        <f t="shared" si="7"/>
        <v>#REF!</v>
      </c>
      <c r="D71" s="1" t="s">
        <v>836</v>
      </c>
      <c r="E71"/>
      <c r="H71" s="185" t="s">
        <v>1530</v>
      </c>
      <c r="I71"/>
      <c r="J71" s="4"/>
      <c r="K71"/>
      <c r="R71" s="185" t="s">
        <v>1530</v>
      </c>
      <c r="AG71" s="181" t="s">
        <v>2175</v>
      </c>
    </row>
    <row r="72" spans="1:33" hidden="1">
      <c r="A72" s="240">
        <f t="shared" si="6"/>
        <v>60</v>
      </c>
      <c r="B72" s="181" t="s">
        <v>1441</v>
      </c>
      <c r="C72" s="8" t="e">
        <f t="shared" si="7"/>
        <v>#REF!</v>
      </c>
      <c r="D72" s="1" t="s">
        <v>836</v>
      </c>
      <c r="E72"/>
      <c r="F72" s="188">
        <v>0.18</v>
      </c>
      <c r="G72" s="187" t="s">
        <v>828</v>
      </c>
      <c r="H72" s="181" t="s">
        <v>829</v>
      </c>
      <c r="I72" s="8">
        <f>(C67)</f>
        <v>3800</v>
      </c>
      <c r="J72" s="2" t="s">
        <v>828</v>
      </c>
      <c r="K72" s="8">
        <f>(F72*I72)</f>
        <v>684</v>
      </c>
      <c r="O72" s="181" t="s">
        <v>583</v>
      </c>
      <c r="R72" s="188" t="e">
        <f>SUM(R65:R70)</f>
        <v>#REF!</v>
      </c>
      <c r="AG72" s="181" t="s">
        <v>2175</v>
      </c>
    </row>
    <row r="73" spans="1:33" hidden="1">
      <c r="A73" s="240">
        <f t="shared" si="6"/>
        <v>61</v>
      </c>
      <c r="B73" s="181" t="s">
        <v>623</v>
      </c>
      <c r="C73" s="8" t="e">
        <f t="shared" si="7"/>
        <v>#REF!</v>
      </c>
      <c r="D73" s="1" t="s">
        <v>836</v>
      </c>
      <c r="E73"/>
      <c r="F73" s="188">
        <v>1</v>
      </c>
      <c r="G73" s="187" t="s">
        <v>836</v>
      </c>
      <c r="H73" s="181" t="s">
        <v>837</v>
      </c>
      <c r="I73" s="8" t="e">
        <f>(C78)</f>
        <v>#REF!</v>
      </c>
      <c r="J73" s="2" t="s">
        <v>836</v>
      </c>
      <c r="K73" s="8" t="e">
        <f>(F73*I73)</f>
        <v>#REF!</v>
      </c>
      <c r="R73" s="185" t="s">
        <v>1530</v>
      </c>
      <c r="AG73" s="181" t="s">
        <v>2175</v>
      </c>
    </row>
    <row r="74" spans="1:33" hidden="1">
      <c r="A74" s="240">
        <f t="shared" si="6"/>
        <v>62</v>
      </c>
      <c r="B74" s="181" t="s">
        <v>919</v>
      </c>
      <c r="C74" s="8" t="e">
        <f t="shared" si="7"/>
        <v>#REF!</v>
      </c>
      <c r="D74" s="1" t="s">
        <v>836</v>
      </c>
      <c r="E74"/>
      <c r="F74" s="188">
        <v>1</v>
      </c>
      <c r="G74" s="187" t="s">
        <v>836</v>
      </c>
      <c r="H74" s="181" t="s">
        <v>841</v>
      </c>
      <c r="I74" s="8">
        <f>(C18)</f>
        <v>26</v>
      </c>
      <c r="J74" s="2" t="s">
        <v>836</v>
      </c>
      <c r="K74" s="8">
        <f>(F74*I74)</f>
        <v>26</v>
      </c>
      <c r="O74" s="181" t="s">
        <v>743</v>
      </c>
      <c r="R74" s="188" t="e">
        <f>(R72/10)</f>
        <v>#REF!</v>
      </c>
      <c r="AG74" s="181" t="s">
        <v>2175</v>
      </c>
    </row>
    <row r="75" spans="1:33" hidden="1">
      <c r="A75" s="240">
        <f t="shared" si="6"/>
        <v>63</v>
      </c>
      <c r="B75" s="181" t="s">
        <v>920</v>
      </c>
      <c r="C75" s="8">
        <v>20</v>
      </c>
      <c r="D75" s="1" t="s">
        <v>2167</v>
      </c>
      <c r="E75"/>
      <c r="G75" s="187" t="s">
        <v>419</v>
      </c>
      <c r="H75" s="181" t="s">
        <v>420</v>
      </c>
      <c r="I75" s="1" t="s">
        <v>940</v>
      </c>
      <c r="J75" s="2" t="s">
        <v>419</v>
      </c>
      <c r="K75" s="8">
        <v>0</v>
      </c>
      <c r="R75" s="185" t="s">
        <v>1980</v>
      </c>
      <c r="AG75" s="181" t="s">
        <v>2175</v>
      </c>
    </row>
    <row r="76" spans="1:33" hidden="1">
      <c r="A76" s="240">
        <f t="shared" si="6"/>
        <v>64</v>
      </c>
      <c r="B76" s="181" t="s">
        <v>921</v>
      </c>
      <c r="C76" s="8">
        <v>514.62</v>
      </c>
      <c r="D76" s="8">
        <v>240</v>
      </c>
      <c r="E76"/>
      <c r="I76"/>
      <c r="J76" s="4"/>
      <c r="K76" s="5" t="s">
        <v>1530</v>
      </c>
      <c r="N76" s="181" t="s">
        <v>2167</v>
      </c>
      <c r="O76" s="181" t="s">
        <v>922</v>
      </c>
      <c r="AG76" s="181" t="s">
        <v>2175</v>
      </c>
    </row>
    <row r="77" spans="1:33" hidden="1">
      <c r="A77" s="240">
        <f t="shared" si="6"/>
        <v>65</v>
      </c>
      <c r="B77" s="181" t="s">
        <v>2228</v>
      </c>
      <c r="C77" s="8" t="e">
        <f>AC34</f>
        <v>#REF!</v>
      </c>
      <c r="D77" s="1" t="s">
        <v>836</v>
      </c>
      <c r="E77"/>
      <c r="H77" s="181" t="s">
        <v>1459</v>
      </c>
      <c r="I77"/>
      <c r="J77" s="4"/>
      <c r="K77" s="8" t="e">
        <f>SUM(K72:K75)</f>
        <v>#REF!</v>
      </c>
      <c r="O77" s="181" t="s">
        <v>1072</v>
      </c>
      <c r="AG77" s="181" t="s">
        <v>2175</v>
      </c>
    </row>
    <row r="78" spans="1:33" hidden="1">
      <c r="A78" s="240">
        <f t="shared" si="6"/>
        <v>66</v>
      </c>
      <c r="B78" s="181" t="s">
        <v>1366</v>
      </c>
      <c r="C78" s="8" t="e">
        <f t="shared" ref="C78:C91" si="8">AC16</f>
        <v>#REF!</v>
      </c>
      <c r="D78" s="1" t="s">
        <v>836</v>
      </c>
      <c r="E78"/>
      <c r="I78"/>
      <c r="J78" s="4"/>
      <c r="K78" s="5" t="s">
        <v>1530</v>
      </c>
      <c r="O78" s="185" t="s">
        <v>1530</v>
      </c>
      <c r="AG78" s="181" t="s">
        <v>2175</v>
      </c>
    </row>
    <row r="79" spans="1:33" hidden="1">
      <c r="A79" s="240">
        <f t="shared" si="6"/>
        <v>67</v>
      </c>
      <c r="B79" s="181" t="s">
        <v>1002</v>
      </c>
      <c r="C79" s="8" t="e">
        <f t="shared" si="8"/>
        <v>#REF!</v>
      </c>
      <c r="D79" s="1" t="s">
        <v>836</v>
      </c>
      <c r="E79"/>
      <c r="F79" s="246">
        <v>1.1000000000000001</v>
      </c>
      <c r="G79" s="187" t="s">
        <v>940</v>
      </c>
      <c r="H79" s="181" t="s">
        <v>1367</v>
      </c>
      <c r="I79"/>
      <c r="J79" s="4"/>
      <c r="K79"/>
      <c r="M79" s="188">
        <v>4600</v>
      </c>
      <c r="N79" s="181" t="s">
        <v>1368</v>
      </c>
      <c r="O79" s="181" t="s">
        <v>1072</v>
      </c>
      <c r="P79" s="188" t="e">
        <f>(C91)</f>
        <v>#REF!</v>
      </c>
      <c r="Q79" s="181" t="s">
        <v>1538</v>
      </c>
      <c r="R79" s="188" t="e">
        <f>(M79*P79)/1000</f>
        <v>#REF!</v>
      </c>
      <c r="AG79" s="181" t="s">
        <v>2175</v>
      </c>
    </row>
    <row r="80" spans="1:33" hidden="1">
      <c r="A80" s="240">
        <f t="shared" si="6"/>
        <v>68</v>
      </c>
      <c r="B80" s="181" t="s">
        <v>1423</v>
      </c>
      <c r="C80" s="8" t="e">
        <f t="shared" si="8"/>
        <v>#REF!</v>
      </c>
      <c r="D80" s="1" t="s">
        <v>1424</v>
      </c>
      <c r="E80"/>
      <c r="F80" s="247" t="s">
        <v>940</v>
      </c>
      <c r="H80" s="181" t="s">
        <v>1425</v>
      </c>
      <c r="I80"/>
      <c r="J80" s="4"/>
      <c r="K80"/>
      <c r="M80" s="188">
        <v>2.5</v>
      </c>
      <c r="N80" s="181" t="s">
        <v>836</v>
      </c>
      <c r="O80" s="181" t="s">
        <v>1571</v>
      </c>
      <c r="P80" s="188" t="e">
        <f>(K49)</f>
        <v>#REF!</v>
      </c>
      <c r="Q80" s="181" t="s">
        <v>836</v>
      </c>
      <c r="R80" s="188" t="e">
        <f>(M80*P80)</f>
        <v>#REF!</v>
      </c>
      <c r="AG80" s="181" t="s">
        <v>2175</v>
      </c>
    </row>
    <row r="81" spans="1:33" hidden="1">
      <c r="A81" s="240">
        <f t="shared" si="6"/>
        <v>69</v>
      </c>
      <c r="B81" s="181" t="s">
        <v>64</v>
      </c>
      <c r="C81" s="8" t="e">
        <f t="shared" si="8"/>
        <v>#REF!</v>
      </c>
      <c r="D81" s="1" t="s">
        <v>836</v>
      </c>
      <c r="E81"/>
      <c r="F81" s="188">
        <v>10</v>
      </c>
      <c r="G81" s="187" t="s">
        <v>836</v>
      </c>
      <c r="H81" s="181" t="s">
        <v>1138</v>
      </c>
      <c r="I81" s="8">
        <f>(C61)</f>
        <v>25</v>
      </c>
      <c r="J81" s="2" t="s">
        <v>836</v>
      </c>
      <c r="K81" s="8">
        <f>(F81*I81)</f>
        <v>250</v>
      </c>
      <c r="M81" s="188">
        <v>3.5</v>
      </c>
      <c r="N81" s="181" t="s">
        <v>835</v>
      </c>
      <c r="O81" s="181" t="s">
        <v>1938</v>
      </c>
      <c r="P81" s="188">
        <f>(C10)</f>
        <v>150</v>
      </c>
      <c r="Q81" s="181" t="s">
        <v>835</v>
      </c>
      <c r="R81" s="188">
        <f>(M81*P81)</f>
        <v>525</v>
      </c>
      <c r="AG81" s="181" t="s">
        <v>2175</v>
      </c>
    </row>
    <row r="82" spans="1:33" hidden="1">
      <c r="A82" s="240">
        <f t="shared" si="6"/>
        <v>70</v>
      </c>
      <c r="B82" s="181" t="s">
        <v>1939</v>
      </c>
      <c r="C82" s="8" t="e">
        <f t="shared" si="8"/>
        <v>#REF!</v>
      </c>
      <c r="D82" s="1" t="s">
        <v>836</v>
      </c>
      <c r="E82"/>
      <c r="F82" s="188">
        <v>10</v>
      </c>
      <c r="G82" s="187" t="s">
        <v>836</v>
      </c>
      <c r="H82" s="181" t="s">
        <v>1940</v>
      </c>
      <c r="I82" s="8">
        <f>(C61)</f>
        <v>25</v>
      </c>
      <c r="J82" s="2" t="s">
        <v>836</v>
      </c>
      <c r="K82" s="8">
        <f>(F82*I82)</f>
        <v>250</v>
      </c>
      <c r="M82" s="188">
        <v>10.6</v>
      </c>
      <c r="N82" s="181" t="s">
        <v>835</v>
      </c>
      <c r="O82" s="181" t="s">
        <v>1654</v>
      </c>
      <c r="P82" s="188">
        <f>(C11)</f>
        <v>135</v>
      </c>
      <c r="Q82" s="181" t="s">
        <v>835</v>
      </c>
      <c r="R82" s="188">
        <f>(M82*P82)</f>
        <v>1431</v>
      </c>
      <c r="AG82" s="181" t="s">
        <v>2175</v>
      </c>
    </row>
    <row r="83" spans="1:33" hidden="1">
      <c r="A83" s="240">
        <f t="shared" si="6"/>
        <v>71</v>
      </c>
      <c r="B83" s="181" t="s">
        <v>1941</v>
      </c>
      <c r="C83" s="8">
        <f t="shared" si="8"/>
        <v>4500</v>
      </c>
      <c r="D83" s="1" t="s">
        <v>1424</v>
      </c>
      <c r="E83">
        <v>3550</v>
      </c>
      <c r="F83" s="188">
        <v>10</v>
      </c>
      <c r="G83" s="187" t="s">
        <v>836</v>
      </c>
      <c r="H83" s="181" t="s">
        <v>1942</v>
      </c>
      <c r="I83" s="8">
        <f>(C26)/3</f>
        <v>2.93</v>
      </c>
      <c r="J83" s="2" t="s">
        <v>836</v>
      </c>
      <c r="K83" s="8">
        <f>(F83*I83)</f>
        <v>29.3</v>
      </c>
      <c r="M83" s="188">
        <v>7.1</v>
      </c>
      <c r="N83" s="181" t="s">
        <v>835</v>
      </c>
      <c r="O83" s="181" t="s">
        <v>1836</v>
      </c>
      <c r="P83" s="188">
        <f>(C12)</f>
        <v>95</v>
      </c>
      <c r="Q83" s="181" t="s">
        <v>835</v>
      </c>
      <c r="R83" s="188">
        <f>(M83*P83)</f>
        <v>674.5</v>
      </c>
      <c r="AG83" s="181" t="s">
        <v>2175</v>
      </c>
    </row>
    <row r="84" spans="1:33" hidden="1">
      <c r="A84" s="240">
        <f t="shared" si="6"/>
        <v>72</v>
      </c>
      <c r="B84" s="181" t="s">
        <v>1943</v>
      </c>
      <c r="C84" s="8">
        <f t="shared" si="8"/>
        <v>773</v>
      </c>
      <c r="D84" s="1" t="s">
        <v>836</v>
      </c>
      <c r="E84"/>
      <c r="G84" s="187" t="s">
        <v>419</v>
      </c>
      <c r="H84" s="181" t="s">
        <v>420</v>
      </c>
      <c r="I84"/>
      <c r="J84" s="2" t="s">
        <v>419</v>
      </c>
      <c r="K84" s="8">
        <v>0</v>
      </c>
      <c r="M84" s="188">
        <v>21.2</v>
      </c>
      <c r="N84" s="181" t="s">
        <v>835</v>
      </c>
      <c r="O84" s="181" t="s">
        <v>299</v>
      </c>
      <c r="P84" s="188">
        <f>(C13)</f>
        <v>85</v>
      </c>
      <c r="Q84" s="181" t="s">
        <v>835</v>
      </c>
      <c r="R84" s="188">
        <f>(M84*P84)</f>
        <v>1802</v>
      </c>
      <c r="AG84" s="181" t="s">
        <v>2175</v>
      </c>
    </row>
    <row r="85" spans="1:33" hidden="1">
      <c r="A85" s="240">
        <f t="shared" si="6"/>
        <v>73</v>
      </c>
      <c r="B85" s="181" t="s">
        <v>1933</v>
      </c>
      <c r="C85" s="8" t="e">
        <f t="shared" si="8"/>
        <v>#REF!</v>
      </c>
      <c r="D85" s="1" t="s">
        <v>836</v>
      </c>
      <c r="E85"/>
      <c r="I85"/>
      <c r="J85" s="4"/>
      <c r="K85" s="5" t="s">
        <v>1530</v>
      </c>
      <c r="N85" s="181" t="s">
        <v>419</v>
      </c>
      <c r="O85" s="181" t="s">
        <v>420</v>
      </c>
      <c r="Q85" s="181" t="s">
        <v>419</v>
      </c>
      <c r="R85" s="188">
        <v>0</v>
      </c>
      <c r="AG85" s="181" t="s">
        <v>2175</v>
      </c>
    </row>
    <row r="86" spans="1:33" hidden="1">
      <c r="A86" s="240">
        <f t="shared" si="6"/>
        <v>74</v>
      </c>
      <c r="B86" s="181" t="s">
        <v>1944</v>
      </c>
      <c r="C86" s="8">
        <f t="shared" si="8"/>
        <v>20605</v>
      </c>
      <c r="D86" s="1" t="s">
        <v>836</v>
      </c>
      <c r="E86"/>
      <c r="H86" s="181" t="s">
        <v>583</v>
      </c>
      <c r="I86"/>
      <c r="J86" s="4"/>
      <c r="K86" s="8">
        <f>SUM(K81:K84)</f>
        <v>529.29999999999995</v>
      </c>
      <c r="R86" s="185" t="s">
        <v>1530</v>
      </c>
      <c r="AG86" s="181" t="s">
        <v>2175</v>
      </c>
    </row>
    <row r="87" spans="1:33" hidden="1">
      <c r="A87" s="240">
        <f t="shared" si="6"/>
        <v>75</v>
      </c>
      <c r="B87" s="181" t="s">
        <v>1945</v>
      </c>
      <c r="C87" s="8">
        <f t="shared" si="8"/>
        <v>23685</v>
      </c>
      <c r="D87" s="1" t="s">
        <v>836</v>
      </c>
      <c r="E87"/>
      <c r="I87"/>
      <c r="J87" s="4"/>
      <c r="K87" s="5" t="s">
        <v>1530</v>
      </c>
      <c r="O87" s="181" t="s">
        <v>583</v>
      </c>
      <c r="R87" s="188" t="e">
        <f>SUM(R79:R85)</f>
        <v>#REF!</v>
      </c>
      <c r="AG87" s="181" t="s">
        <v>2175</v>
      </c>
    </row>
    <row r="88" spans="1:33" hidden="1">
      <c r="A88" s="240">
        <f t="shared" si="6"/>
        <v>76</v>
      </c>
      <c r="B88" s="181" t="s">
        <v>1946</v>
      </c>
      <c r="C88" s="8">
        <f t="shared" si="8"/>
        <v>65420</v>
      </c>
      <c r="D88" s="1" t="s">
        <v>836</v>
      </c>
      <c r="E88"/>
      <c r="H88" s="248" t="s">
        <v>1976</v>
      </c>
      <c r="I88" s="37" t="s">
        <v>1342</v>
      </c>
      <c r="J88" s="40"/>
      <c r="K88" s="39">
        <f>(K86/10)</f>
        <v>52.93</v>
      </c>
      <c r="R88" s="185" t="s">
        <v>1530</v>
      </c>
      <c r="AG88" s="181" t="s">
        <v>2175</v>
      </c>
    </row>
    <row r="89" spans="1:33" hidden="1">
      <c r="A89" s="240">
        <f t="shared" si="6"/>
        <v>77</v>
      </c>
      <c r="B89" s="181" t="s">
        <v>277</v>
      </c>
      <c r="C89" s="8">
        <f t="shared" si="8"/>
        <v>57165</v>
      </c>
      <c r="D89" s="1" t="s">
        <v>836</v>
      </c>
      <c r="E89"/>
      <c r="I89" s="37" t="s">
        <v>1310</v>
      </c>
      <c r="J89" s="40"/>
      <c r="K89" s="42">
        <f>ROUND(K88+C36,2)</f>
        <v>55.53</v>
      </c>
      <c r="O89" s="181" t="s">
        <v>743</v>
      </c>
      <c r="R89" s="188" t="e">
        <f>(R87/10)</f>
        <v>#REF!</v>
      </c>
      <c r="AG89" s="181" t="s">
        <v>2175</v>
      </c>
    </row>
    <row r="90" spans="1:33" ht="31.5" hidden="1">
      <c r="A90" s="240">
        <f t="shared" si="6"/>
        <v>78</v>
      </c>
      <c r="B90" s="181" t="s">
        <v>2229</v>
      </c>
      <c r="C90" s="8">
        <f t="shared" si="8"/>
        <v>63870</v>
      </c>
      <c r="D90" s="1" t="s">
        <v>836</v>
      </c>
      <c r="E90"/>
      <c r="F90" s="242" t="s">
        <v>1471</v>
      </c>
      <c r="H90" s="249" t="s">
        <v>1874</v>
      </c>
      <c r="I90" s="37" t="s">
        <v>1342</v>
      </c>
      <c r="J90" s="40"/>
      <c r="K90" s="39">
        <f>K88-K83/10</f>
        <v>50</v>
      </c>
      <c r="R90" s="185" t="s">
        <v>1980</v>
      </c>
      <c r="AG90" s="181" t="s">
        <v>2175</v>
      </c>
    </row>
    <row r="91" spans="1:33" hidden="1">
      <c r="A91" s="240">
        <f t="shared" si="6"/>
        <v>79</v>
      </c>
      <c r="B91" s="181" t="s">
        <v>2230</v>
      </c>
      <c r="C91" s="8" t="e">
        <f t="shared" si="8"/>
        <v>#REF!</v>
      </c>
      <c r="D91" s="1" t="s">
        <v>1424</v>
      </c>
      <c r="E91"/>
      <c r="I91" s="37" t="s">
        <v>1310</v>
      </c>
      <c r="J91" s="40"/>
      <c r="K91" s="42">
        <f>ROUND(K90+C36,2)</f>
        <v>52.6</v>
      </c>
      <c r="AG91" s="181" t="s">
        <v>2175</v>
      </c>
    </row>
    <row r="92" spans="1:33" hidden="1">
      <c r="C92"/>
      <c r="D92"/>
      <c r="E92"/>
      <c r="F92" s="242" t="s">
        <v>2016</v>
      </c>
      <c r="G92" s="187" t="s">
        <v>940</v>
      </c>
      <c r="H92" s="181" t="s">
        <v>475</v>
      </c>
      <c r="I92"/>
      <c r="J92" s="4"/>
      <c r="K92"/>
    </row>
    <row r="93" spans="1:33" hidden="1">
      <c r="C93"/>
      <c r="D93"/>
      <c r="E93"/>
      <c r="F93" s="247" t="s">
        <v>940</v>
      </c>
      <c r="H93" s="185" t="s">
        <v>1530</v>
      </c>
      <c r="I93"/>
      <c r="J93" s="4"/>
      <c r="K93"/>
    </row>
    <row r="94" spans="1:33" hidden="1">
      <c r="C94"/>
      <c r="D94"/>
      <c r="E94"/>
      <c r="F94" s="188">
        <v>10</v>
      </c>
      <c r="G94" s="187" t="s">
        <v>836</v>
      </c>
      <c r="H94" s="181" t="s">
        <v>356</v>
      </c>
      <c r="I94" s="8">
        <f>D61</f>
        <v>37.299999999999997</v>
      </c>
      <c r="J94" s="2" t="s">
        <v>836</v>
      </c>
      <c r="K94" s="8">
        <f>(F94*I94)</f>
        <v>373</v>
      </c>
    </row>
    <row r="95" spans="1:33" hidden="1">
      <c r="C95"/>
      <c r="D95"/>
      <c r="E95"/>
      <c r="F95" s="188">
        <v>10</v>
      </c>
      <c r="G95" s="187" t="s">
        <v>836</v>
      </c>
      <c r="H95" s="181" t="s">
        <v>1940</v>
      </c>
      <c r="I95" s="8">
        <f>D61</f>
        <v>37.299999999999997</v>
      </c>
      <c r="J95" s="2" t="s">
        <v>836</v>
      </c>
      <c r="K95" s="8">
        <f>(F95*I95)</f>
        <v>373</v>
      </c>
    </row>
    <row r="96" spans="1:33" hidden="1">
      <c r="C96"/>
      <c r="D96"/>
      <c r="E96"/>
      <c r="F96" s="188">
        <v>10</v>
      </c>
      <c r="G96" s="187" t="s">
        <v>836</v>
      </c>
      <c r="H96" s="181" t="s">
        <v>1942</v>
      </c>
      <c r="I96" s="8">
        <f>I83</f>
        <v>2.93</v>
      </c>
      <c r="J96" s="2" t="s">
        <v>836</v>
      </c>
      <c r="K96" s="8">
        <f>(F96*I96)</f>
        <v>29.3</v>
      </c>
    </row>
    <row r="97" spans="3:11" hidden="1">
      <c r="C97"/>
      <c r="D97"/>
      <c r="E97"/>
      <c r="G97" s="187" t="s">
        <v>419</v>
      </c>
      <c r="H97" s="181" t="s">
        <v>420</v>
      </c>
      <c r="I97"/>
      <c r="J97" s="2" t="s">
        <v>419</v>
      </c>
      <c r="K97" s="8">
        <v>0</v>
      </c>
    </row>
    <row r="98" spans="3:11" hidden="1">
      <c r="C98"/>
      <c r="D98"/>
      <c r="E98"/>
      <c r="I98"/>
      <c r="J98" s="4"/>
      <c r="K98" s="5" t="s">
        <v>1530</v>
      </c>
    </row>
    <row r="99" spans="3:11" hidden="1">
      <c r="C99"/>
      <c r="D99"/>
      <c r="E99"/>
      <c r="H99" s="181" t="s">
        <v>583</v>
      </c>
      <c r="I99"/>
      <c r="J99" s="4"/>
      <c r="K99" s="8">
        <f>SUM(K94:K97)</f>
        <v>775.3</v>
      </c>
    </row>
    <row r="100" spans="3:11" hidden="1">
      <c r="C100"/>
      <c r="D100"/>
      <c r="E100"/>
      <c r="I100"/>
      <c r="J100" s="4"/>
      <c r="K100" s="5" t="s">
        <v>1530</v>
      </c>
    </row>
    <row r="101" spans="3:11" hidden="1">
      <c r="C101"/>
      <c r="D101"/>
      <c r="E101"/>
      <c r="H101" s="248" t="s">
        <v>1976</v>
      </c>
      <c r="I101" s="37" t="s">
        <v>1342</v>
      </c>
      <c r="J101" s="40"/>
      <c r="K101" s="39">
        <f>(K99/10)</f>
        <v>77.53</v>
      </c>
    </row>
    <row r="102" spans="3:11" hidden="1">
      <c r="C102"/>
      <c r="D102"/>
      <c r="E102"/>
      <c r="I102" s="37" t="s">
        <v>1310</v>
      </c>
      <c r="J102" s="40"/>
      <c r="K102" s="42">
        <f>ROUND(K101+C36,2)</f>
        <v>80.13</v>
      </c>
    </row>
    <row r="103" spans="3:11" hidden="1">
      <c r="C103"/>
      <c r="D103"/>
      <c r="E103"/>
      <c r="I103" s="37"/>
      <c r="J103" s="40"/>
      <c r="K103" s="41"/>
    </row>
    <row r="104" spans="3:11" hidden="1">
      <c r="C104"/>
      <c r="D104"/>
      <c r="E104"/>
      <c r="F104" s="246">
        <v>1.7</v>
      </c>
      <c r="H104" s="249" t="s">
        <v>624</v>
      </c>
      <c r="I104" s="37" t="s">
        <v>1342</v>
      </c>
      <c r="J104" s="40"/>
      <c r="K104" s="42">
        <f>ROUND(K101-K96/10,2)</f>
        <v>74.599999999999994</v>
      </c>
    </row>
    <row r="105" spans="3:11" hidden="1">
      <c r="C105"/>
      <c r="D105"/>
      <c r="E105"/>
      <c r="I105" s="37" t="s">
        <v>1310</v>
      </c>
      <c r="J105" s="40"/>
      <c r="K105" s="42">
        <f>ROUND(K104+C36,2)</f>
        <v>77.2</v>
      </c>
    </row>
    <row r="106" spans="3:11" hidden="1">
      <c r="C106"/>
      <c r="D106"/>
      <c r="E106"/>
      <c r="I106"/>
      <c r="J106" s="4"/>
      <c r="K106" s="5"/>
    </row>
    <row r="107" spans="3:11" hidden="1">
      <c r="C107"/>
      <c r="D107"/>
      <c r="E107"/>
      <c r="I107"/>
      <c r="J107" s="4"/>
      <c r="K107" s="5"/>
    </row>
    <row r="108" spans="3:11" ht="31.5" hidden="1">
      <c r="C108"/>
      <c r="D108"/>
      <c r="E108"/>
      <c r="F108" s="246">
        <v>1.5</v>
      </c>
      <c r="G108" s="187" t="s">
        <v>940</v>
      </c>
      <c r="H108" s="250" t="s">
        <v>407</v>
      </c>
      <c r="I108"/>
      <c r="J108" s="4"/>
      <c r="K108"/>
    </row>
    <row r="109" spans="3:11" hidden="1">
      <c r="C109"/>
      <c r="D109"/>
      <c r="E109"/>
      <c r="I109"/>
      <c r="J109" s="4"/>
      <c r="K109"/>
    </row>
    <row r="110" spans="3:11" hidden="1">
      <c r="C110"/>
      <c r="D110"/>
      <c r="E110"/>
      <c r="F110" s="188">
        <v>10</v>
      </c>
      <c r="G110" s="187" t="s">
        <v>836</v>
      </c>
      <c r="H110" s="181" t="s">
        <v>1138</v>
      </c>
      <c r="I110" s="8">
        <f>C61</f>
        <v>25</v>
      </c>
      <c r="J110" s="2" t="s">
        <v>836</v>
      </c>
      <c r="K110" s="8">
        <f>(F110*I110)</f>
        <v>250</v>
      </c>
    </row>
    <row r="111" spans="3:11" hidden="1">
      <c r="C111"/>
      <c r="D111"/>
      <c r="E111"/>
      <c r="F111" s="188">
        <v>10</v>
      </c>
      <c r="G111" s="187" t="s">
        <v>836</v>
      </c>
      <c r="H111" s="181" t="s">
        <v>1942</v>
      </c>
      <c r="I111" s="8">
        <f>I83</f>
        <v>2.93</v>
      </c>
      <c r="J111" s="2" t="s">
        <v>836</v>
      </c>
      <c r="K111" s="8">
        <f>(F111*I111)</f>
        <v>29.3</v>
      </c>
    </row>
    <row r="112" spans="3:11" hidden="1">
      <c r="C112"/>
      <c r="D112"/>
      <c r="E112"/>
      <c r="G112" s="187" t="s">
        <v>419</v>
      </c>
      <c r="H112" s="181" t="s">
        <v>420</v>
      </c>
      <c r="I112"/>
      <c r="J112" s="2" t="s">
        <v>419</v>
      </c>
      <c r="K112" s="8">
        <v>0</v>
      </c>
    </row>
    <row r="113" spans="3:11" hidden="1">
      <c r="C113"/>
      <c r="D113"/>
      <c r="E113"/>
      <c r="I113"/>
      <c r="J113" s="4"/>
      <c r="K113" s="5" t="s">
        <v>1530</v>
      </c>
    </row>
    <row r="114" spans="3:11" hidden="1">
      <c r="C114"/>
      <c r="D114"/>
      <c r="E114"/>
      <c r="H114" s="181" t="s">
        <v>583</v>
      </c>
      <c r="I114"/>
      <c r="J114" s="4"/>
      <c r="K114" s="8">
        <f>SUM(K110:K112)</f>
        <v>279.3</v>
      </c>
    </row>
    <row r="115" spans="3:11" hidden="1">
      <c r="C115"/>
      <c r="D115"/>
      <c r="E115"/>
      <c r="I115"/>
      <c r="J115" s="4"/>
      <c r="K115" s="5" t="s">
        <v>1530</v>
      </c>
    </row>
    <row r="116" spans="3:11" hidden="1">
      <c r="C116"/>
      <c r="D116"/>
      <c r="E116"/>
      <c r="H116" s="181"/>
      <c r="I116"/>
      <c r="J116" s="4"/>
      <c r="K116" s="8">
        <f>(K114/10)</f>
        <v>27.93</v>
      </c>
    </row>
    <row r="117" spans="3:11" hidden="1">
      <c r="C117"/>
      <c r="D117"/>
      <c r="E117"/>
      <c r="I117"/>
      <c r="J117" s="4"/>
      <c r="K117" s="5" t="s">
        <v>1980</v>
      </c>
    </row>
    <row r="118" spans="3:11" hidden="1">
      <c r="C118"/>
      <c r="D118"/>
      <c r="E118"/>
      <c r="F118" s="242"/>
      <c r="H118" s="181" t="s">
        <v>1962</v>
      </c>
      <c r="I118" s="37" t="s">
        <v>1342</v>
      </c>
      <c r="J118" s="4"/>
      <c r="K118" s="39">
        <f>K116-K111/10</f>
        <v>25</v>
      </c>
    </row>
    <row r="119" spans="3:11" hidden="1">
      <c r="C119"/>
      <c r="D119"/>
      <c r="E119"/>
      <c r="I119" s="37" t="s">
        <v>1310</v>
      </c>
      <c r="J119" s="4"/>
      <c r="K119" s="42">
        <f>ROUND(K118+C36,2)</f>
        <v>27.6</v>
      </c>
    </row>
    <row r="120" spans="3:11" hidden="1">
      <c r="C120"/>
      <c r="D120"/>
      <c r="E120"/>
      <c r="I120"/>
      <c r="J120" s="4"/>
      <c r="K120" s="5"/>
    </row>
    <row r="121" spans="3:11" ht="31.5" hidden="1">
      <c r="C121"/>
      <c r="D121"/>
      <c r="E121"/>
      <c r="F121" s="251">
        <v>1.8</v>
      </c>
      <c r="H121" s="250" t="s">
        <v>1988</v>
      </c>
      <c r="I121"/>
      <c r="J121" s="4"/>
      <c r="K121" s="5"/>
    </row>
    <row r="122" spans="3:11" hidden="1">
      <c r="C122"/>
      <c r="D122"/>
      <c r="E122"/>
      <c r="I122"/>
      <c r="J122" s="4"/>
      <c r="K122" s="5"/>
    </row>
    <row r="123" spans="3:11" hidden="1">
      <c r="C123"/>
      <c r="D123"/>
      <c r="E123"/>
      <c r="F123" s="188">
        <v>10</v>
      </c>
      <c r="G123" s="187" t="s">
        <v>836</v>
      </c>
      <c r="H123" s="181" t="s">
        <v>356</v>
      </c>
      <c r="I123">
        <f>D61</f>
        <v>37.299999999999997</v>
      </c>
      <c r="J123" s="2" t="s">
        <v>836</v>
      </c>
      <c r="K123" s="8">
        <f>(F123*I123)</f>
        <v>373</v>
      </c>
    </row>
    <row r="124" spans="3:11" hidden="1">
      <c r="C124"/>
      <c r="D124"/>
      <c r="E124"/>
      <c r="G124" s="180" t="s">
        <v>625</v>
      </c>
      <c r="I124"/>
      <c r="J124" s="4" t="s">
        <v>625</v>
      </c>
      <c r="K124" s="8">
        <v>0</v>
      </c>
    </row>
    <row r="125" spans="3:11" hidden="1">
      <c r="C125"/>
      <c r="D125"/>
      <c r="E125"/>
      <c r="I125"/>
      <c r="J125" s="4"/>
      <c r="K125" s="5" t="s">
        <v>1530</v>
      </c>
    </row>
    <row r="126" spans="3:11" hidden="1">
      <c r="C126"/>
      <c r="D126"/>
      <c r="E126"/>
      <c r="H126" s="181" t="s">
        <v>583</v>
      </c>
      <c r="I126"/>
      <c r="J126" s="4"/>
      <c r="K126" s="8">
        <f>SUM(K123:K124)</f>
        <v>373</v>
      </c>
    </row>
    <row r="127" spans="3:11" hidden="1">
      <c r="C127"/>
      <c r="D127"/>
      <c r="E127"/>
      <c r="I127"/>
      <c r="J127" s="4"/>
      <c r="K127" s="5" t="s">
        <v>1530</v>
      </c>
    </row>
    <row r="128" spans="3:11" ht="31.5" hidden="1">
      <c r="C128"/>
      <c r="D128"/>
      <c r="E128"/>
      <c r="F128" s="252"/>
      <c r="H128" s="253" t="s">
        <v>2066</v>
      </c>
      <c r="I128" s="37" t="s">
        <v>1342</v>
      </c>
      <c r="J128" s="4"/>
      <c r="K128" s="42">
        <f>ROUND(K126/10,2)</f>
        <v>37.299999999999997</v>
      </c>
    </row>
    <row r="129" spans="1:33" hidden="1">
      <c r="C129"/>
      <c r="D129"/>
      <c r="E129"/>
      <c r="I129" s="37" t="s">
        <v>1310</v>
      </c>
      <c r="J129" s="4"/>
      <c r="K129" s="42">
        <f>ROUND(K128+C36,2)</f>
        <v>39.9</v>
      </c>
    </row>
    <row r="130" spans="1:33" hidden="1">
      <c r="C130"/>
      <c r="D130"/>
      <c r="E130"/>
      <c r="I130" s="37"/>
      <c r="J130" s="4"/>
      <c r="K130" s="5"/>
    </row>
    <row r="131" spans="1:33" hidden="1">
      <c r="C131"/>
      <c r="D131"/>
      <c r="E131"/>
      <c r="F131" s="246">
        <v>1.6</v>
      </c>
      <c r="H131" s="181" t="s">
        <v>766</v>
      </c>
      <c r="I131" s="37"/>
      <c r="J131" s="4"/>
      <c r="K131"/>
    </row>
    <row r="132" spans="1:33" hidden="1">
      <c r="C132"/>
      <c r="D132"/>
      <c r="E132"/>
      <c r="H132" s="181" t="s">
        <v>357</v>
      </c>
      <c r="I132" s="37" t="s">
        <v>1342</v>
      </c>
      <c r="J132" s="4"/>
      <c r="K132" s="39">
        <f>C61*1.5</f>
        <v>37.5</v>
      </c>
    </row>
    <row r="133" spans="1:33" hidden="1">
      <c r="C133"/>
      <c r="D133"/>
      <c r="E133"/>
      <c r="F133" s="181" t="s">
        <v>940</v>
      </c>
      <c r="H133" s="181" t="s">
        <v>358</v>
      </c>
      <c r="I133" s="37" t="s">
        <v>1310</v>
      </c>
      <c r="J133" s="4"/>
      <c r="K133" s="42">
        <f>ROUND(K132+C36,2)</f>
        <v>40.1</v>
      </c>
    </row>
    <row r="134" spans="1:33" hidden="1">
      <c r="C134"/>
      <c r="D134"/>
      <c r="E134"/>
      <c r="I134"/>
      <c r="J134" s="4"/>
      <c r="K134" s="5" t="s">
        <v>1980</v>
      </c>
    </row>
    <row r="135" spans="1:33" hidden="1">
      <c r="C135"/>
      <c r="D135"/>
      <c r="E135"/>
      <c r="I135"/>
      <c r="J135" s="4"/>
      <c r="K135"/>
    </row>
    <row r="136" spans="1:33" hidden="1">
      <c r="A136" s="240">
        <f>(A91+1)</f>
        <v>80</v>
      </c>
      <c r="B136" s="181" t="s">
        <v>1493</v>
      </c>
      <c r="C136" s="8">
        <f>AC30</f>
        <v>8240</v>
      </c>
      <c r="D136" s="8">
        <v>13.87</v>
      </c>
      <c r="E136" s="1" t="s">
        <v>940</v>
      </c>
      <c r="F136" s="236" t="s">
        <v>359</v>
      </c>
      <c r="G136" s="187" t="s">
        <v>2167</v>
      </c>
      <c r="H136" s="181" t="s">
        <v>360</v>
      </c>
      <c r="I136"/>
      <c r="J136" s="4"/>
      <c r="K136"/>
      <c r="N136" s="181" t="s">
        <v>2231</v>
      </c>
      <c r="O136" s="181" t="s">
        <v>361</v>
      </c>
      <c r="R136" s="188" t="e">
        <f>(R89+C19)</f>
        <v>#REF!</v>
      </c>
      <c r="AG136" s="181" t="s">
        <v>2175</v>
      </c>
    </row>
    <row r="137" spans="1:33" hidden="1">
      <c r="A137" s="240">
        <f t="shared" ref="A137:A142" si="9">(A136+1)</f>
        <v>81</v>
      </c>
      <c r="B137" s="181" t="s">
        <v>362</v>
      </c>
      <c r="C137" s="8">
        <f>AC33</f>
        <v>26500</v>
      </c>
      <c r="D137" s="1" t="s">
        <v>828</v>
      </c>
      <c r="E137"/>
      <c r="H137" s="181" t="s">
        <v>993</v>
      </c>
      <c r="I137"/>
      <c r="J137" s="4"/>
      <c r="K137"/>
      <c r="N137" s="181" t="s">
        <v>2232</v>
      </c>
      <c r="O137" s="181" t="s">
        <v>363</v>
      </c>
      <c r="R137" s="188" t="e">
        <f>(R136+C20)</f>
        <v>#REF!</v>
      </c>
      <c r="AG137" s="181" t="s">
        <v>2175</v>
      </c>
    </row>
    <row r="138" spans="1:33" hidden="1">
      <c r="A138" s="240">
        <f t="shared" si="9"/>
        <v>82</v>
      </c>
      <c r="B138" s="181" t="s">
        <v>1740</v>
      </c>
      <c r="C138" s="8">
        <f>AC32</f>
        <v>28000</v>
      </c>
      <c r="D138" s="1" t="s">
        <v>828</v>
      </c>
      <c r="E138"/>
      <c r="H138" s="185" t="s">
        <v>1530</v>
      </c>
      <c r="I138"/>
      <c r="J138" s="4"/>
      <c r="K138"/>
      <c r="N138" s="181" t="s">
        <v>2233</v>
      </c>
      <c r="O138" s="181" t="s">
        <v>2149</v>
      </c>
      <c r="R138" s="188" t="e">
        <f>(R137+C21)</f>
        <v>#REF!</v>
      </c>
      <c r="AG138" s="181" t="s">
        <v>2175</v>
      </c>
    </row>
    <row r="139" spans="1:33" hidden="1">
      <c r="A139" s="240">
        <f t="shared" si="9"/>
        <v>83</v>
      </c>
      <c r="B139" s="181" t="s">
        <v>353</v>
      </c>
      <c r="C139" s="8">
        <f>AC33</f>
        <v>26500</v>
      </c>
      <c r="D139" s="1" t="s">
        <v>828</v>
      </c>
      <c r="E139"/>
      <c r="F139" s="188">
        <v>1</v>
      </c>
      <c r="G139" s="187" t="s">
        <v>836</v>
      </c>
      <c r="H139" s="181" t="s">
        <v>354</v>
      </c>
      <c r="I139" s="8" t="e">
        <f>C79</f>
        <v>#REF!</v>
      </c>
      <c r="J139" s="2" t="s">
        <v>836</v>
      </c>
      <c r="K139" s="8" t="e">
        <f>(F139*I139)</f>
        <v>#REF!</v>
      </c>
      <c r="N139" s="181" t="s">
        <v>2234</v>
      </c>
      <c r="O139" s="181" t="s">
        <v>355</v>
      </c>
      <c r="R139" s="188" t="e">
        <f>(R138+C21)</f>
        <v>#REF!</v>
      </c>
      <c r="AG139" s="181" t="s">
        <v>2175</v>
      </c>
    </row>
    <row r="140" spans="1:33" hidden="1">
      <c r="A140" s="240">
        <f t="shared" si="9"/>
        <v>84</v>
      </c>
      <c r="B140" s="181" t="s">
        <v>1491</v>
      </c>
      <c r="C140" s="8">
        <f>AC38</f>
        <v>169</v>
      </c>
      <c r="D140" s="1" t="s">
        <v>836</v>
      </c>
      <c r="E140"/>
      <c r="F140" s="188">
        <v>1</v>
      </c>
      <c r="G140" s="187" t="s">
        <v>836</v>
      </c>
      <c r="H140" s="181" t="s">
        <v>1302</v>
      </c>
      <c r="I140" s="8">
        <f>C27</f>
        <v>7.8</v>
      </c>
      <c r="J140" s="2" t="s">
        <v>836</v>
      </c>
      <c r="K140" s="8">
        <f>(F140*I140)</f>
        <v>7.8</v>
      </c>
      <c r="O140" s="181" t="s">
        <v>2235</v>
      </c>
      <c r="R140" s="188" t="e">
        <f>(R139+C21)</f>
        <v>#REF!</v>
      </c>
      <c r="AG140" s="181" t="s">
        <v>2175</v>
      </c>
    </row>
    <row r="141" spans="1:33" hidden="1">
      <c r="A141" s="240">
        <f t="shared" si="9"/>
        <v>85</v>
      </c>
      <c r="B141" s="181" t="s">
        <v>185</v>
      </c>
      <c r="C141" s="8">
        <f>I255</f>
        <v>12224.58</v>
      </c>
      <c r="D141" s="1" t="s">
        <v>828</v>
      </c>
      <c r="E141"/>
      <c r="G141" s="187" t="s">
        <v>419</v>
      </c>
      <c r="H141" s="181" t="s">
        <v>420</v>
      </c>
      <c r="I141" s="1" t="s">
        <v>940</v>
      </c>
      <c r="J141" s="2" t="s">
        <v>419</v>
      </c>
      <c r="K141" s="8">
        <v>0</v>
      </c>
      <c r="N141" s="181" t="s">
        <v>2167</v>
      </c>
      <c r="O141" s="181" t="s">
        <v>2236</v>
      </c>
      <c r="AG141" s="181" t="s">
        <v>2175</v>
      </c>
    </row>
    <row r="142" spans="1:33" hidden="1">
      <c r="A142" s="240">
        <f t="shared" si="9"/>
        <v>86</v>
      </c>
      <c r="B142" s="181" t="s">
        <v>186</v>
      </c>
      <c r="C142" s="8">
        <v>30000</v>
      </c>
      <c r="D142" s="1" t="s">
        <v>828</v>
      </c>
      <c r="E142"/>
      <c r="I142"/>
      <c r="J142" s="4"/>
      <c r="K142" s="5" t="s">
        <v>1530</v>
      </c>
      <c r="O142" s="181" t="s">
        <v>1072</v>
      </c>
      <c r="AG142" s="181" t="s">
        <v>2175</v>
      </c>
    </row>
    <row r="143" spans="1:33" hidden="1">
      <c r="B143" s="181" t="s">
        <v>940</v>
      </c>
      <c r="C143"/>
      <c r="D143"/>
      <c r="E143"/>
      <c r="H143" s="181" t="s">
        <v>187</v>
      </c>
      <c r="I143"/>
      <c r="J143" s="4"/>
      <c r="K143" s="8" t="e">
        <f>SUM(K137:K141)</f>
        <v>#REF!</v>
      </c>
      <c r="O143" s="185" t="s">
        <v>1530</v>
      </c>
      <c r="AG143" s="181" t="s">
        <v>2175</v>
      </c>
    </row>
    <row r="144" spans="1:33" hidden="1">
      <c r="A144" s="240">
        <f>(A142+1)</f>
        <v>87</v>
      </c>
      <c r="B144" s="181" t="s">
        <v>188</v>
      </c>
      <c r="C144" s="8">
        <v>7.5</v>
      </c>
      <c r="D144" s="1" t="s">
        <v>419</v>
      </c>
      <c r="E144"/>
      <c r="I144"/>
      <c r="J144" s="4"/>
      <c r="K144" s="5" t="s">
        <v>1530</v>
      </c>
      <c r="M144" s="188">
        <v>4600</v>
      </c>
      <c r="N144" s="181" t="s">
        <v>1368</v>
      </c>
      <c r="O144" s="181" t="s">
        <v>1072</v>
      </c>
      <c r="P144" s="188" t="e">
        <f>(C91)</f>
        <v>#REF!</v>
      </c>
      <c r="Q144" s="181" t="s">
        <v>1538</v>
      </c>
      <c r="R144" s="188" t="e">
        <f>(M144*P144)/1000</f>
        <v>#REF!</v>
      </c>
      <c r="AG144" s="181" t="s">
        <v>2175</v>
      </c>
    </row>
    <row r="145" spans="3:11" hidden="1">
      <c r="C145"/>
      <c r="D145"/>
      <c r="E145"/>
      <c r="F145" s="236" t="s">
        <v>189</v>
      </c>
      <c r="G145" s="187" t="s">
        <v>2167</v>
      </c>
      <c r="H145" s="181" t="s">
        <v>994</v>
      </c>
      <c r="I145"/>
      <c r="J145" s="4"/>
      <c r="K145"/>
    </row>
    <row r="146" spans="3:11" hidden="1">
      <c r="C146"/>
      <c r="D146"/>
      <c r="E146"/>
      <c r="H146" s="181" t="s">
        <v>995</v>
      </c>
      <c r="I146"/>
      <c r="J146" s="4"/>
      <c r="K146"/>
    </row>
    <row r="147" spans="3:11" hidden="1">
      <c r="C147"/>
      <c r="D147"/>
      <c r="E147"/>
      <c r="H147" s="181" t="s">
        <v>452</v>
      </c>
      <c r="I147"/>
      <c r="J147" s="4"/>
      <c r="K147"/>
    </row>
    <row r="148" spans="3:11" hidden="1">
      <c r="C148"/>
      <c r="D148"/>
      <c r="E148"/>
      <c r="H148" s="181" t="s">
        <v>489</v>
      </c>
      <c r="I148"/>
      <c r="J148" s="4"/>
      <c r="K148"/>
    </row>
    <row r="149" spans="3:11" hidden="1">
      <c r="C149"/>
      <c r="D149"/>
      <c r="E149"/>
      <c r="H149" s="181" t="s">
        <v>490</v>
      </c>
      <c r="I149"/>
      <c r="J149" s="4"/>
      <c r="K149"/>
    </row>
    <row r="150" spans="3:11" hidden="1">
      <c r="C150"/>
      <c r="D150"/>
      <c r="E150"/>
      <c r="H150" s="185" t="s">
        <v>1530</v>
      </c>
      <c r="I150"/>
      <c r="J150" s="4"/>
      <c r="K150"/>
    </row>
    <row r="151" spans="3:11" hidden="1">
      <c r="C151"/>
      <c r="D151"/>
      <c r="E151"/>
      <c r="F151" s="188">
        <v>0.7</v>
      </c>
      <c r="G151" s="187" t="s">
        <v>836</v>
      </c>
      <c r="H151" s="181" t="s">
        <v>1931</v>
      </c>
      <c r="I151" s="8" t="e">
        <f>C79</f>
        <v>#REF!</v>
      </c>
      <c r="J151" s="2" t="s">
        <v>836</v>
      </c>
      <c r="K151" s="8" t="e">
        <f t="shared" ref="K151:K156" si="10">(F151*I151)</f>
        <v>#REF!</v>
      </c>
    </row>
    <row r="152" spans="3:11" hidden="1">
      <c r="C152"/>
      <c r="D152"/>
      <c r="E152"/>
      <c r="F152" s="188">
        <v>0.7</v>
      </c>
      <c r="G152" s="187" t="s">
        <v>836</v>
      </c>
      <c r="H152" s="181" t="s">
        <v>491</v>
      </c>
      <c r="I152" s="8">
        <f>C783</f>
        <v>3.05</v>
      </c>
      <c r="J152" s="2" t="s">
        <v>836</v>
      </c>
      <c r="K152" s="8">
        <f t="shared" si="10"/>
        <v>2.14</v>
      </c>
    </row>
    <row r="153" spans="3:11" hidden="1">
      <c r="C153"/>
      <c r="D153"/>
      <c r="E153"/>
      <c r="F153" s="188">
        <v>0.72</v>
      </c>
      <c r="G153" s="187" t="s">
        <v>836</v>
      </c>
      <c r="H153" s="181" t="s">
        <v>1587</v>
      </c>
      <c r="I153" s="8">
        <f>C35</f>
        <v>169</v>
      </c>
      <c r="J153" s="2" t="s">
        <v>836</v>
      </c>
      <c r="K153" s="8">
        <f t="shared" si="10"/>
        <v>121.68</v>
      </c>
    </row>
    <row r="154" spans="3:11" hidden="1">
      <c r="C154"/>
      <c r="D154"/>
      <c r="E154"/>
      <c r="F154" s="188">
        <v>0.72</v>
      </c>
      <c r="G154" s="187" t="s">
        <v>836</v>
      </c>
      <c r="H154" s="181" t="s">
        <v>491</v>
      </c>
      <c r="I154" s="8">
        <f>C783</f>
        <v>3.05</v>
      </c>
      <c r="J154" s="2" t="s">
        <v>836</v>
      </c>
      <c r="K154" s="8">
        <f t="shared" si="10"/>
        <v>2.2000000000000002</v>
      </c>
    </row>
    <row r="155" spans="3:11" hidden="1">
      <c r="C155"/>
      <c r="D155"/>
      <c r="E155"/>
      <c r="F155" s="188">
        <v>1</v>
      </c>
      <c r="G155" s="187" t="s">
        <v>836</v>
      </c>
      <c r="H155" s="181" t="s">
        <v>1730</v>
      </c>
      <c r="I155" s="8">
        <f>C18</f>
        <v>26</v>
      </c>
      <c r="J155" s="2" t="s">
        <v>836</v>
      </c>
      <c r="K155" s="8">
        <f t="shared" si="10"/>
        <v>26</v>
      </c>
    </row>
    <row r="156" spans="3:11" hidden="1">
      <c r="C156"/>
      <c r="D156"/>
      <c r="E156"/>
      <c r="F156" s="188">
        <v>1</v>
      </c>
      <c r="G156" s="187" t="s">
        <v>836</v>
      </c>
      <c r="H156" s="181" t="s">
        <v>1588</v>
      </c>
      <c r="I156" s="8">
        <v>6.05</v>
      </c>
      <c r="J156" s="2" t="s">
        <v>836</v>
      </c>
      <c r="K156" s="8">
        <f t="shared" si="10"/>
        <v>6.05</v>
      </c>
    </row>
    <row r="157" spans="3:11" hidden="1">
      <c r="C157"/>
      <c r="D157"/>
      <c r="E157"/>
      <c r="H157" s="181" t="s">
        <v>1589</v>
      </c>
      <c r="I157"/>
      <c r="J157" s="4"/>
      <c r="K157"/>
    </row>
    <row r="158" spans="3:11" hidden="1">
      <c r="C158"/>
      <c r="D158"/>
      <c r="E158"/>
      <c r="G158" s="187" t="s">
        <v>419</v>
      </c>
      <c r="H158" s="181" t="s">
        <v>420</v>
      </c>
      <c r="I158" s="1" t="s">
        <v>940</v>
      </c>
      <c r="J158" s="2" t="s">
        <v>419</v>
      </c>
      <c r="K158" s="8">
        <v>0</v>
      </c>
    </row>
    <row r="159" spans="3:11" hidden="1">
      <c r="C159"/>
      <c r="D159"/>
      <c r="E159"/>
      <c r="I159"/>
      <c r="J159" s="4"/>
      <c r="K159" s="5" t="s">
        <v>1530</v>
      </c>
    </row>
    <row r="160" spans="3:11" hidden="1">
      <c r="C160"/>
      <c r="D160"/>
      <c r="E160"/>
      <c r="H160" s="181" t="s">
        <v>187</v>
      </c>
      <c r="I160"/>
      <c r="J160" s="4"/>
      <c r="K160" s="8" t="e">
        <f>SUM(K151:K158)</f>
        <v>#REF!</v>
      </c>
    </row>
    <row r="161" spans="1:11" hidden="1">
      <c r="C161"/>
      <c r="D161"/>
      <c r="E161"/>
      <c r="I161"/>
      <c r="J161" s="4"/>
      <c r="K161" s="5" t="s">
        <v>1530</v>
      </c>
    </row>
    <row r="162" spans="1:11" hidden="1">
      <c r="C162"/>
      <c r="D162"/>
      <c r="E162"/>
      <c r="H162" s="181" t="s">
        <v>940</v>
      </c>
      <c r="I162"/>
      <c r="J162" s="4"/>
      <c r="K162" s="1" t="s">
        <v>940</v>
      </c>
    </row>
    <row r="163" spans="1:11" hidden="1">
      <c r="C163"/>
      <c r="D163"/>
      <c r="E163"/>
      <c r="I163"/>
      <c r="J163" s="4"/>
      <c r="K163" s="1" t="s">
        <v>940</v>
      </c>
    </row>
    <row r="164" spans="1:11" hidden="1">
      <c r="A164" s="254">
        <v>2.2999999999999998</v>
      </c>
      <c r="B164" s="181" t="s">
        <v>231</v>
      </c>
      <c r="C164" t="e">
        <f>AC19+I167</f>
        <v>#REF!</v>
      </c>
      <c r="D164"/>
      <c r="E164"/>
      <c r="F164" s="246">
        <v>2.6</v>
      </c>
      <c r="G164" s="187" t="s">
        <v>2167</v>
      </c>
      <c r="H164" s="181" t="s">
        <v>1132</v>
      </c>
      <c r="I164"/>
      <c r="J164" s="4"/>
      <c r="K164"/>
    </row>
    <row r="165" spans="1:11" hidden="1">
      <c r="A165" s="254">
        <v>2.4</v>
      </c>
      <c r="B165" s="181" t="s">
        <v>750</v>
      </c>
      <c r="C165" t="e">
        <f>AC20+I167</f>
        <v>#REF!</v>
      </c>
      <c r="D165"/>
      <c r="E165"/>
      <c r="H165" s="185" t="s">
        <v>1530</v>
      </c>
      <c r="I165"/>
      <c r="J165" s="4"/>
      <c r="K165"/>
    </row>
    <row r="166" spans="1:11" hidden="1">
      <c r="C166"/>
      <c r="D166"/>
      <c r="E166"/>
      <c r="F166" s="188">
        <v>1</v>
      </c>
      <c r="G166" s="187" t="s">
        <v>836</v>
      </c>
      <c r="H166" s="181" t="s">
        <v>1050</v>
      </c>
      <c r="I166" s="8" t="e">
        <f>AC15</f>
        <v>#REF!</v>
      </c>
      <c r="J166" s="2" t="s">
        <v>836</v>
      </c>
      <c r="K166" s="8" t="e">
        <f>(F166*I166)</f>
        <v>#REF!</v>
      </c>
    </row>
    <row r="167" spans="1:11" hidden="1">
      <c r="C167"/>
      <c r="D167"/>
      <c r="E167"/>
      <c r="F167" s="188">
        <v>1</v>
      </c>
      <c r="G167" s="187" t="s">
        <v>836</v>
      </c>
      <c r="H167" s="181" t="s">
        <v>1302</v>
      </c>
      <c r="I167" s="8">
        <f>C26</f>
        <v>8.8000000000000007</v>
      </c>
      <c r="J167" s="2" t="s">
        <v>836</v>
      </c>
      <c r="K167" s="8">
        <f>(F167*I167)</f>
        <v>8.8000000000000007</v>
      </c>
    </row>
    <row r="168" spans="1:11" hidden="1">
      <c r="C168"/>
      <c r="D168"/>
      <c r="E168"/>
      <c r="G168" s="187" t="s">
        <v>419</v>
      </c>
      <c r="H168" s="181" t="s">
        <v>420</v>
      </c>
      <c r="I168" s="1" t="s">
        <v>940</v>
      </c>
      <c r="J168" s="2" t="s">
        <v>419</v>
      </c>
      <c r="K168" s="8">
        <v>0</v>
      </c>
    </row>
    <row r="169" spans="1:11" hidden="1">
      <c r="C169"/>
      <c r="D169"/>
      <c r="E169"/>
      <c r="I169"/>
      <c r="J169" s="4"/>
      <c r="K169" s="5" t="s">
        <v>1530</v>
      </c>
    </row>
    <row r="170" spans="1:11" hidden="1">
      <c r="C170"/>
      <c r="D170"/>
      <c r="E170"/>
      <c r="H170" s="181" t="s">
        <v>187</v>
      </c>
      <c r="I170"/>
      <c r="J170" s="4"/>
      <c r="K170" s="8" t="e">
        <f>SUM(K165:K168)</f>
        <v>#REF!</v>
      </c>
    </row>
    <row r="171" spans="1:11" hidden="1">
      <c r="C171"/>
      <c r="D171"/>
      <c r="E171"/>
      <c r="I171"/>
      <c r="J171" s="4"/>
      <c r="K171" s="5" t="s">
        <v>1530</v>
      </c>
    </row>
    <row r="172" spans="1:11" hidden="1">
      <c r="C172"/>
      <c r="D172"/>
      <c r="E172"/>
      <c r="F172" s="246">
        <v>2.7</v>
      </c>
      <c r="G172" s="187" t="s">
        <v>2167</v>
      </c>
      <c r="H172" s="181" t="s">
        <v>1920</v>
      </c>
      <c r="I172"/>
      <c r="J172" s="4"/>
      <c r="K172"/>
    </row>
    <row r="173" spans="1:11" hidden="1">
      <c r="C173"/>
      <c r="D173"/>
      <c r="E173"/>
      <c r="H173" s="185" t="s">
        <v>1530</v>
      </c>
      <c r="I173"/>
      <c r="J173" s="4"/>
      <c r="K173"/>
    </row>
    <row r="174" spans="1:11" hidden="1">
      <c r="C174"/>
      <c r="D174"/>
      <c r="E174"/>
      <c r="F174" s="188">
        <v>1</v>
      </c>
      <c r="G174" s="187" t="s">
        <v>836</v>
      </c>
      <c r="H174" s="181" t="s">
        <v>800</v>
      </c>
      <c r="I174" s="8" t="e">
        <f>AC14</f>
        <v>#REF!</v>
      </c>
      <c r="J174" s="2" t="s">
        <v>836</v>
      </c>
      <c r="K174" s="8" t="e">
        <f>(F174*I174)</f>
        <v>#REF!</v>
      </c>
    </row>
    <row r="175" spans="1:11" hidden="1">
      <c r="C175"/>
      <c r="D175"/>
      <c r="E175"/>
      <c r="F175" s="188">
        <v>1</v>
      </c>
      <c r="G175" s="187" t="s">
        <v>836</v>
      </c>
      <c r="H175" s="181" t="s">
        <v>1302</v>
      </c>
      <c r="I175" s="8">
        <f>C26</f>
        <v>8.8000000000000007</v>
      </c>
      <c r="J175" s="2" t="s">
        <v>836</v>
      </c>
      <c r="K175" s="8">
        <f>(F175*I175)</f>
        <v>8.8000000000000007</v>
      </c>
    </row>
    <row r="176" spans="1:11" hidden="1">
      <c r="C176"/>
      <c r="D176"/>
      <c r="E176"/>
      <c r="G176" s="187" t="s">
        <v>419</v>
      </c>
      <c r="H176" s="181" t="s">
        <v>420</v>
      </c>
      <c r="I176" s="1" t="s">
        <v>940</v>
      </c>
      <c r="J176" s="2" t="s">
        <v>419</v>
      </c>
      <c r="K176" s="8">
        <v>0</v>
      </c>
    </row>
    <row r="177" spans="1:33" hidden="1">
      <c r="C177"/>
      <c r="D177"/>
      <c r="E177"/>
      <c r="I177"/>
      <c r="J177" s="4"/>
      <c r="K177" s="5" t="s">
        <v>1530</v>
      </c>
    </row>
    <row r="178" spans="1:33" hidden="1">
      <c r="C178"/>
      <c r="D178"/>
      <c r="E178"/>
      <c r="H178" s="181" t="s">
        <v>187</v>
      </c>
      <c r="I178"/>
      <c r="J178" s="4"/>
      <c r="K178" s="8" t="e">
        <f>SUM(K173:K176)</f>
        <v>#REF!</v>
      </c>
    </row>
    <row r="179" spans="1:33" hidden="1">
      <c r="A179" s="240">
        <f>(A144+1)</f>
        <v>88</v>
      </c>
      <c r="B179" s="181" t="s">
        <v>1590</v>
      </c>
      <c r="C179" s="8">
        <v>15.25</v>
      </c>
      <c r="D179" s="1" t="s">
        <v>1591</v>
      </c>
      <c r="E179"/>
      <c r="I179"/>
      <c r="J179" s="4"/>
      <c r="K179" s="5" t="s">
        <v>1530</v>
      </c>
      <c r="M179" s="188">
        <v>2.5</v>
      </c>
      <c r="N179" s="181" t="s">
        <v>836</v>
      </c>
      <c r="O179" s="181" t="s">
        <v>1577</v>
      </c>
      <c r="P179" s="188" t="e">
        <f>(K58)</f>
        <v>#REF!</v>
      </c>
      <c r="Q179" s="181" t="s">
        <v>836</v>
      </c>
      <c r="R179" s="188" t="e">
        <f>(M179*P179)</f>
        <v>#REF!</v>
      </c>
      <c r="AG179" s="181" t="s">
        <v>2175</v>
      </c>
    </row>
    <row r="180" spans="1:33" hidden="1">
      <c r="A180" s="240">
        <f>(A179+1)</f>
        <v>89</v>
      </c>
      <c r="B180" s="181" t="s">
        <v>1592</v>
      </c>
      <c r="C180" s="8">
        <v>110</v>
      </c>
      <c r="D180" s="1" t="s">
        <v>1591</v>
      </c>
      <c r="E180"/>
      <c r="H180" s="181" t="s">
        <v>940</v>
      </c>
      <c r="I180"/>
      <c r="J180" s="4"/>
      <c r="K180"/>
      <c r="M180" s="188">
        <v>3.5</v>
      </c>
      <c r="N180" s="181" t="s">
        <v>835</v>
      </c>
      <c r="O180" s="181" t="s">
        <v>1938</v>
      </c>
      <c r="P180" s="188">
        <f>(C10)</f>
        <v>150</v>
      </c>
      <c r="Q180" s="181" t="s">
        <v>835</v>
      </c>
      <c r="R180" s="188">
        <f>(M180*P180)</f>
        <v>525</v>
      </c>
      <c r="AG180" s="181" t="s">
        <v>2175</v>
      </c>
    </row>
    <row r="181" spans="1:33" hidden="1">
      <c r="C181"/>
      <c r="D181"/>
      <c r="E181"/>
      <c r="F181" s="236" t="s">
        <v>1593</v>
      </c>
      <c r="H181" s="181" t="s">
        <v>910</v>
      </c>
      <c r="I181"/>
      <c r="J181" s="4"/>
      <c r="K181"/>
    </row>
    <row r="182" spans="1:33" hidden="1">
      <c r="C182"/>
      <c r="D182"/>
      <c r="E182"/>
      <c r="I182"/>
      <c r="J182" s="4"/>
      <c r="K182"/>
    </row>
    <row r="183" spans="1:33" hidden="1">
      <c r="C183"/>
      <c r="D183"/>
      <c r="E183"/>
      <c r="F183" s="188">
        <v>1</v>
      </c>
      <c r="G183" s="187" t="s">
        <v>836</v>
      </c>
      <c r="H183" s="181" t="s">
        <v>63</v>
      </c>
      <c r="I183" s="8">
        <f>C35</f>
        <v>169</v>
      </c>
      <c r="J183" s="2" t="s">
        <v>836</v>
      </c>
      <c r="K183" s="8">
        <f>(F183*I183)</f>
        <v>169</v>
      </c>
    </row>
    <row r="184" spans="1:33" hidden="1">
      <c r="C184"/>
      <c r="D184"/>
      <c r="E184"/>
      <c r="F184" s="188">
        <v>1</v>
      </c>
      <c r="G184" s="187" t="s">
        <v>836</v>
      </c>
      <c r="H184" s="181" t="s">
        <v>491</v>
      </c>
      <c r="I184" s="8">
        <f>C783</f>
        <v>3.05</v>
      </c>
      <c r="J184" s="2" t="s">
        <v>836</v>
      </c>
      <c r="K184" s="8">
        <f>(F184*I184)</f>
        <v>3.05</v>
      </c>
    </row>
    <row r="185" spans="1:33" hidden="1">
      <c r="C185"/>
      <c r="D185"/>
      <c r="E185"/>
      <c r="F185" s="188">
        <v>1</v>
      </c>
      <c r="G185" s="187" t="s">
        <v>836</v>
      </c>
      <c r="H185" s="181" t="s">
        <v>1588</v>
      </c>
      <c r="I185" s="8">
        <v>6.05</v>
      </c>
      <c r="J185" s="2" t="s">
        <v>836</v>
      </c>
      <c r="K185" s="8">
        <f>(F185*I185)</f>
        <v>6.05</v>
      </c>
    </row>
    <row r="186" spans="1:33" hidden="1">
      <c r="C186"/>
      <c r="D186"/>
      <c r="E186"/>
      <c r="H186" s="181" t="s">
        <v>1589</v>
      </c>
      <c r="I186"/>
      <c r="J186" s="4"/>
      <c r="K186"/>
    </row>
    <row r="187" spans="1:33" hidden="1">
      <c r="C187"/>
      <c r="D187"/>
      <c r="E187"/>
      <c r="I187"/>
      <c r="J187" s="4"/>
      <c r="K187" s="5" t="s">
        <v>1530</v>
      </c>
    </row>
    <row r="188" spans="1:33" hidden="1">
      <c r="C188"/>
      <c r="D188"/>
      <c r="E188"/>
      <c r="H188" s="181" t="s">
        <v>187</v>
      </c>
      <c r="I188"/>
      <c r="J188" s="4"/>
      <c r="K188" s="8">
        <f>SUM(K181:K186)</f>
        <v>178.1</v>
      </c>
    </row>
    <row r="189" spans="1:33" hidden="1">
      <c r="C189"/>
      <c r="D189"/>
      <c r="E189"/>
      <c r="F189" s="181" t="s">
        <v>940</v>
      </c>
      <c r="I189"/>
      <c r="J189" s="4"/>
      <c r="K189" s="5" t="s">
        <v>1530</v>
      </c>
    </row>
    <row r="190" spans="1:33" hidden="1">
      <c r="C190"/>
      <c r="D190"/>
      <c r="E190"/>
      <c r="I190"/>
      <c r="J190" s="4"/>
      <c r="K190" s="1" t="s">
        <v>940</v>
      </c>
    </row>
    <row r="191" spans="1:33" hidden="1">
      <c r="A191" s="240">
        <f>(A180+1)</f>
        <v>90</v>
      </c>
      <c r="B191" s="181" t="s">
        <v>632</v>
      </c>
      <c r="C191" s="8">
        <v>65</v>
      </c>
      <c r="D191" s="1" t="s">
        <v>633</v>
      </c>
      <c r="E191"/>
      <c r="F191" s="236" t="s">
        <v>634</v>
      </c>
      <c r="G191" s="187" t="s">
        <v>2167</v>
      </c>
      <c r="H191" s="181" t="s">
        <v>635</v>
      </c>
      <c r="I191"/>
      <c r="J191" s="4"/>
      <c r="K191"/>
      <c r="M191" s="188">
        <v>10.6</v>
      </c>
      <c r="N191" s="181" t="s">
        <v>835</v>
      </c>
      <c r="O191" s="181" t="s">
        <v>1654</v>
      </c>
      <c r="P191" s="188">
        <f>(C11)</f>
        <v>135</v>
      </c>
      <c r="Q191" s="181" t="s">
        <v>835</v>
      </c>
      <c r="R191" s="188">
        <f>(M191*P191)</f>
        <v>1431</v>
      </c>
      <c r="AG191" s="181" t="s">
        <v>2175</v>
      </c>
    </row>
    <row r="192" spans="1:33" hidden="1">
      <c r="A192" s="240">
        <f t="shared" ref="A192:A207" si="11">(A191+1)</f>
        <v>91</v>
      </c>
      <c r="B192" s="181" t="s">
        <v>636</v>
      </c>
      <c r="C192" s="8">
        <v>25</v>
      </c>
      <c r="D192" s="1" t="s">
        <v>633</v>
      </c>
      <c r="E192"/>
      <c r="H192" s="181" t="s">
        <v>637</v>
      </c>
      <c r="I192"/>
      <c r="J192" s="4"/>
      <c r="K192"/>
      <c r="M192" s="188">
        <v>7.1</v>
      </c>
      <c r="N192" s="181" t="s">
        <v>835</v>
      </c>
      <c r="O192" s="181" t="s">
        <v>1836</v>
      </c>
      <c r="P192" s="188">
        <f>(C12)</f>
        <v>95</v>
      </c>
      <c r="Q192" s="181" t="s">
        <v>835</v>
      </c>
      <c r="R192" s="188">
        <f>(M192*P192)</f>
        <v>674.5</v>
      </c>
      <c r="AG192" s="181" t="s">
        <v>2175</v>
      </c>
    </row>
    <row r="193" spans="1:33" hidden="1">
      <c r="A193" s="240">
        <f t="shared" si="11"/>
        <v>92</v>
      </c>
      <c r="B193" s="181" t="s">
        <v>2237</v>
      </c>
      <c r="C193" s="8">
        <v>210</v>
      </c>
      <c r="D193" s="1" t="s">
        <v>633</v>
      </c>
      <c r="E193"/>
      <c r="H193" s="185" t="s">
        <v>1530</v>
      </c>
      <c r="I193"/>
      <c r="J193" s="4"/>
      <c r="K193"/>
      <c r="M193" s="188">
        <v>21.2</v>
      </c>
      <c r="N193" s="181" t="s">
        <v>835</v>
      </c>
      <c r="O193" s="181" t="s">
        <v>299</v>
      </c>
      <c r="P193" s="188">
        <f>(C13)</f>
        <v>85</v>
      </c>
      <c r="Q193" s="181" t="s">
        <v>835</v>
      </c>
      <c r="R193" s="188">
        <f>(M193*P193)</f>
        <v>1802</v>
      </c>
      <c r="AG193" s="181" t="s">
        <v>2175</v>
      </c>
    </row>
    <row r="194" spans="1:33" hidden="1">
      <c r="A194" s="240">
        <f t="shared" si="11"/>
        <v>93</v>
      </c>
      <c r="B194" s="181" t="s">
        <v>1583</v>
      </c>
      <c r="C194" s="8">
        <v>160</v>
      </c>
      <c r="D194" s="8">
        <v>96.11</v>
      </c>
      <c r="E194"/>
      <c r="F194" s="188">
        <v>9</v>
      </c>
      <c r="G194" s="187" t="s">
        <v>836</v>
      </c>
      <c r="H194" s="181" t="s">
        <v>1584</v>
      </c>
      <c r="I194" s="8" t="e">
        <f>(C74)</f>
        <v>#REF!</v>
      </c>
      <c r="J194" s="2" t="s">
        <v>836</v>
      </c>
      <c r="K194" s="8" t="e">
        <f>(F194*I194)</f>
        <v>#REF!</v>
      </c>
      <c r="N194" s="181" t="s">
        <v>419</v>
      </c>
      <c r="O194" s="181" t="s">
        <v>420</v>
      </c>
      <c r="Q194" s="181" t="s">
        <v>419</v>
      </c>
      <c r="R194" s="188">
        <v>0</v>
      </c>
      <c r="AG194" s="181" t="s">
        <v>2175</v>
      </c>
    </row>
    <row r="195" spans="1:33" hidden="1">
      <c r="A195" s="240">
        <f t="shared" si="11"/>
        <v>94</v>
      </c>
      <c r="B195" s="181" t="s">
        <v>804</v>
      </c>
      <c r="C195" s="8">
        <v>100</v>
      </c>
      <c r="D195" s="1" t="s">
        <v>633</v>
      </c>
      <c r="E195"/>
      <c r="F195" s="188">
        <v>4.5</v>
      </c>
      <c r="G195" s="187" t="s">
        <v>836</v>
      </c>
      <c r="H195" s="181" t="s">
        <v>1571</v>
      </c>
      <c r="I195" s="8" t="e">
        <f>(K49)</f>
        <v>#REF!</v>
      </c>
      <c r="J195" s="2" t="s">
        <v>836</v>
      </c>
      <c r="K195" s="8" t="e">
        <f>(F195*I195)</f>
        <v>#REF!</v>
      </c>
      <c r="R195" s="185" t="s">
        <v>1530</v>
      </c>
      <c r="AG195" s="181" t="s">
        <v>2175</v>
      </c>
    </row>
    <row r="196" spans="1:33" hidden="1">
      <c r="A196" s="240">
        <f t="shared" si="11"/>
        <v>95</v>
      </c>
      <c r="B196" s="181" t="s">
        <v>805</v>
      </c>
      <c r="C196" s="8">
        <v>0.25</v>
      </c>
      <c r="D196" s="1" t="s">
        <v>835</v>
      </c>
      <c r="E196"/>
      <c r="F196" s="188">
        <v>1.8</v>
      </c>
      <c r="G196" s="187" t="s">
        <v>835</v>
      </c>
      <c r="H196" s="181" t="s">
        <v>1654</v>
      </c>
      <c r="I196" s="8">
        <f>(C11)</f>
        <v>135</v>
      </c>
      <c r="J196" s="2" t="s">
        <v>835</v>
      </c>
      <c r="K196" s="8">
        <f>(F196*I196)</f>
        <v>243</v>
      </c>
      <c r="O196" s="181" t="s">
        <v>583</v>
      </c>
      <c r="R196" s="188" t="e">
        <f>SUM(R144:R194)</f>
        <v>#REF!</v>
      </c>
      <c r="AG196" s="181" t="s">
        <v>2175</v>
      </c>
    </row>
    <row r="197" spans="1:33" hidden="1">
      <c r="A197" s="240">
        <f t="shared" si="11"/>
        <v>96</v>
      </c>
      <c r="B197" s="181" t="s">
        <v>577</v>
      </c>
      <c r="C197" s="8">
        <v>22.6</v>
      </c>
      <c r="D197" s="1" t="s">
        <v>578</v>
      </c>
      <c r="E197"/>
      <c r="F197" s="188">
        <v>17.7</v>
      </c>
      <c r="G197" s="187" t="s">
        <v>835</v>
      </c>
      <c r="H197" s="181" t="s">
        <v>1836</v>
      </c>
      <c r="I197" s="8">
        <f>(C12)</f>
        <v>95</v>
      </c>
      <c r="J197" s="2" t="s">
        <v>835</v>
      </c>
      <c r="K197" s="8">
        <f>(F197*I197)</f>
        <v>1681.5</v>
      </c>
      <c r="R197" s="185" t="s">
        <v>1530</v>
      </c>
      <c r="AG197" s="181" t="s">
        <v>2175</v>
      </c>
    </row>
    <row r="198" spans="1:33" hidden="1">
      <c r="A198" s="240">
        <f t="shared" si="11"/>
        <v>97</v>
      </c>
      <c r="B198" s="181" t="s">
        <v>2429</v>
      </c>
      <c r="C198" s="8">
        <v>212</v>
      </c>
      <c r="D198" s="1" t="s">
        <v>578</v>
      </c>
      <c r="E198"/>
      <c r="F198" s="188">
        <v>14.1</v>
      </c>
      <c r="G198" s="187" t="s">
        <v>835</v>
      </c>
      <c r="H198" s="181" t="s">
        <v>299</v>
      </c>
      <c r="I198" s="8">
        <f>(C13)</f>
        <v>85</v>
      </c>
      <c r="J198" s="2" t="s">
        <v>835</v>
      </c>
      <c r="K198" s="8">
        <f>(F198*I198)</f>
        <v>1198.5</v>
      </c>
      <c r="O198" s="181" t="s">
        <v>743</v>
      </c>
      <c r="R198" s="188" t="e">
        <f>(R196/10)</f>
        <v>#REF!</v>
      </c>
      <c r="AG198" s="181" t="s">
        <v>2175</v>
      </c>
    </row>
    <row r="199" spans="1:33" hidden="1">
      <c r="A199" s="240">
        <f t="shared" si="11"/>
        <v>98</v>
      </c>
      <c r="B199" s="181" t="s">
        <v>2018</v>
      </c>
      <c r="C199" s="8">
        <v>85</v>
      </c>
      <c r="D199" s="1" t="s">
        <v>739</v>
      </c>
      <c r="E199"/>
      <c r="G199" s="187" t="s">
        <v>419</v>
      </c>
      <c r="H199" s="181" t="s">
        <v>420</v>
      </c>
      <c r="I199"/>
      <c r="J199" s="2" t="s">
        <v>419</v>
      </c>
      <c r="K199" s="8">
        <v>0</v>
      </c>
      <c r="R199" s="185" t="s">
        <v>1980</v>
      </c>
      <c r="AG199" s="181" t="s">
        <v>2175</v>
      </c>
    </row>
    <row r="200" spans="1:33" hidden="1">
      <c r="A200" s="240">
        <f t="shared" si="11"/>
        <v>99</v>
      </c>
      <c r="B200" s="181" t="s">
        <v>1109</v>
      </c>
      <c r="C200" s="8">
        <v>750</v>
      </c>
      <c r="D200" s="1" t="s">
        <v>739</v>
      </c>
      <c r="E200"/>
      <c r="I200"/>
      <c r="J200" s="4"/>
      <c r="K200" s="5" t="s">
        <v>1530</v>
      </c>
      <c r="AG200" s="181" t="s">
        <v>2175</v>
      </c>
    </row>
    <row r="201" spans="1:33" hidden="1">
      <c r="A201" s="240">
        <f t="shared" si="11"/>
        <v>100</v>
      </c>
      <c r="B201" s="181" t="s">
        <v>1110</v>
      </c>
      <c r="C201" s="8">
        <v>47.2</v>
      </c>
      <c r="D201" s="1" t="s">
        <v>739</v>
      </c>
      <c r="E201"/>
      <c r="I201"/>
      <c r="J201" s="4"/>
      <c r="K201" s="8" t="e">
        <f>SUM(K194:K199)</f>
        <v>#REF!</v>
      </c>
      <c r="N201" s="181" t="s">
        <v>3093</v>
      </c>
      <c r="O201" s="181" t="s">
        <v>361</v>
      </c>
      <c r="R201" s="188" t="e">
        <f>(R198+C19)</f>
        <v>#REF!</v>
      </c>
      <c r="AG201" s="181" t="s">
        <v>2175</v>
      </c>
    </row>
    <row r="202" spans="1:33" hidden="1">
      <c r="A202" s="240">
        <f t="shared" si="11"/>
        <v>101</v>
      </c>
      <c r="B202" s="181" t="s">
        <v>2252</v>
      </c>
      <c r="C202" s="8">
        <v>75</v>
      </c>
      <c r="D202" s="1" t="s">
        <v>739</v>
      </c>
      <c r="E202"/>
      <c r="H202" s="181" t="s">
        <v>583</v>
      </c>
      <c r="I202"/>
      <c r="J202" s="4"/>
      <c r="K202" s="5" t="s">
        <v>1530</v>
      </c>
      <c r="N202" s="181" t="s">
        <v>2253</v>
      </c>
      <c r="O202" s="181" t="s">
        <v>363</v>
      </c>
      <c r="R202" s="188" t="e">
        <f>(R201+C20)</f>
        <v>#REF!</v>
      </c>
      <c r="AG202" s="181" t="s">
        <v>300</v>
      </c>
    </row>
    <row r="203" spans="1:33" hidden="1">
      <c r="A203" s="240">
        <f t="shared" si="11"/>
        <v>102</v>
      </c>
      <c r="B203" s="181" t="s">
        <v>652</v>
      </c>
      <c r="C203" s="8">
        <v>40</v>
      </c>
      <c r="D203" s="1" t="s">
        <v>739</v>
      </c>
      <c r="E203"/>
      <c r="I203"/>
      <c r="J203" s="4"/>
      <c r="K203" s="8" t="e">
        <f>(K201/10)</f>
        <v>#REF!</v>
      </c>
      <c r="N203" s="181" t="s">
        <v>2254</v>
      </c>
      <c r="O203" s="181" t="s">
        <v>2149</v>
      </c>
      <c r="R203" s="188" t="e">
        <f>(R202+C21)</f>
        <v>#REF!</v>
      </c>
    </row>
    <row r="204" spans="1:33" hidden="1">
      <c r="A204" s="240">
        <f t="shared" si="11"/>
        <v>103</v>
      </c>
      <c r="B204" s="181" t="s">
        <v>590</v>
      </c>
      <c r="C204" s="8">
        <v>65</v>
      </c>
      <c r="D204" s="1" t="s">
        <v>739</v>
      </c>
      <c r="E204"/>
      <c r="H204" s="181" t="s">
        <v>743</v>
      </c>
      <c r="I204"/>
      <c r="J204" s="4"/>
      <c r="K204" s="5" t="s">
        <v>1980</v>
      </c>
      <c r="N204" s="181" t="s">
        <v>2255</v>
      </c>
      <c r="O204" s="181" t="s">
        <v>355</v>
      </c>
      <c r="R204" s="188" t="e">
        <f>(R203+C21)</f>
        <v>#REF!</v>
      </c>
    </row>
    <row r="205" spans="1:33" hidden="1">
      <c r="A205" s="240">
        <f t="shared" si="11"/>
        <v>104</v>
      </c>
      <c r="B205" s="181" t="s">
        <v>2256</v>
      </c>
      <c r="C205" s="8">
        <v>65</v>
      </c>
      <c r="D205" s="1" t="s">
        <v>739</v>
      </c>
      <c r="E205"/>
      <c r="I205"/>
      <c r="J205" s="4"/>
      <c r="K205"/>
      <c r="AG205" s="181" t="s">
        <v>2175</v>
      </c>
    </row>
    <row r="206" spans="1:33" hidden="1">
      <c r="A206" s="240">
        <f t="shared" si="11"/>
        <v>105</v>
      </c>
      <c r="B206" s="181" t="s">
        <v>653</v>
      </c>
      <c r="C206" s="8">
        <v>150</v>
      </c>
      <c r="D206" s="1" t="s">
        <v>654</v>
      </c>
      <c r="E206"/>
      <c r="F206" s="236" t="s">
        <v>655</v>
      </c>
      <c r="G206" s="187" t="s">
        <v>2167</v>
      </c>
      <c r="H206" s="181" t="s">
        <v>953</v>
      </c>
      <c r="I206"/>
      <c r="J206" s="4"/>
      <c r="K206"/>
    </row>
    <row r="207" spans="1:33" hidden="1">
      <c r="A207" s="240">
        <f t="shared" si="11"/>
        <v>106</v>
      </c>
      <c r="B207" s="181" t="s">
        <v>656</v>
      </c>
      <c r="C207" s="8">
        <v>100</v>
      </c>
      <c r="D207" s="1" t="s">
        <v>739</v>
      </c>
      <c r="E207"/>
      <c r="H207" s="181" t="s">
        <v>1430</v>
      </c>
      <c r="I207"/>
      <c r="J207" s="4"/>
      <c r="K207"/>
      <c r="N207" s="181" t="s">
        <v>657</v>
      </c>
      <c r="O207" s="181" t="s">
        <v>658</v>
      </c>
    </row>
    <row r="208" spans="1:33" hidden="1">
      <c r="C208"/>
      <c r="D208"/>
      <c r="E208"/>
      <c r="H208" s="185" t="s">
        <v>1530</v>
      </c>
      <c r="I208"/>
      <c r="J208" s="4"/>
      <c r="K208"/>
      <c r="O208" s="185" t="s">
        <v>1530</v>
      </c>
    </row>
    <row r="209" spans="3:18" hidden="1">
      <c r="C209"/>
      <c r="D209"/>
      <c r="E209"/>
      <c r="F209" s="188">
        <v>9</v>
      </c>
      <c r="G209" s="187" t="s">
        <v>836</v>
      </c>
      <c r="H209" s="181" t="s">
        <v>659</v>
      </c>
      <c r="I209" s="8" t="e">
        <f>C73</f>
        <v>#REF!</v>
      </c>
      <c r="J209" s="2" t="s">
        <v>836</v>
      </c>
      <c r="K209" s="8" t="e">
        <f>(F209*I209)</f>
        <v>#REF!</v>
      </c>
      <c r="M209" s="255">
        <v>1.153E-2</v>
      </c>
      <c r="N209" s="181" t="s">
        <v>836</v>
      </c>
      <c r="O209" s="181" t="s">
        <v>660</v>
      </c>
      <c r="P209" s="188">
        <f>C88</f>
        <v>65420</v>
      </c>
      <c r="Q209" s="181" t="s">
        <v>836</v>
      </c>
      <c r="R209" s="188">
        <f t="shared" ref="R209:R218" si="12">(M209*P209)</f>
        <v>754.29</v>
      </c>
    </row>
    <row r="210" spans="3:18" hidden="1">
      <c r="C210"/>
      <c r="D210"/>
      <c r="E210"/>
      <c r="F210" s="188">
        <v>4.5</v>
      </c>
      <c r="G210" s="187" t="s">
        <v>836</v>
      </c>
      <c r="H210" s="181" t="s">
        <v>117</v>
      </c>
      <c r="I210" s="8" t="e">
        <f>K23</f>
        <v>#REF!</v>
      </c>
      <c r="J210" s="2" t="s">
        <v>836</v>
      </c>
      <c r="K210" s="8" t="e">
        <f>(F210*I210)</f>
        <v>#REF!</v>
      </c>
      <c r="M210" s="255">
        <v>1.013E-2</v>
      </c>
      <c r="N210" s="181" t="s">
        <v>836</v>
      </c>
      <c r="O210" s="181" t="s">
        <v>661</v>
      </c>
      <c r="P210" s="188">
        <f>C89</f>
        <v>57165</v>
      </c>
      <c r="Q210" s="181" t="s">
        <v>836</v>
      </c>
      <c r="R210" s="188">
        <f t="shared" si="12"/>
        <v>579.08000000000004</v>
      </c>
    </row>
    <row r="211" spans="3:18" hidden="1">
      <c r="C211"/>
      <c r="D211"/>
      <c r="E211"/>
      <c r="F211" s="188">
        <v>1.8</v>
      </c>
      <c r="G211" s="187" t="s">
        <v>835</v>
      </c>
      <c r="H211" s="181" t="s">
        <v>1654</v>
      </c>
      <c r="I211" s="8">
        <f>C11</f>
        <v>135</v>
      </c>
      <c r="J211" s="2" t="s">
        <v>835</v>
      </c>
      <c r="K211" s="8">
        <f>(F211*I211)</f>
        <v>243</v>
      </c>
      <c r="M211" s="255">
        <v>0.77780000000000005</v>
      </c>
      <c r="N211" s="181" t="s">
        <v>578</v>
      </c>
      <c r="O211" s="181" t="s">
        <v>2011</v>
      </c>
      <c r="P211" s="188">
        <f>C753</f>
        <v>381.37</v>
      </c>
      <c r="Q211" s="181" t="s">
        <v>578</v>
      </c>
      <c r="R211" s="188">
        <f t="shared" si="12"/>
        <v>296.63</v>
      </c>
    </row>
    <row r="212" spans="3:18" hidden="1">
      <c r="C212"/>
      <c r="D212"/>
      <c r="E212"/>
      <c r="F212" s="188">
        <v>17.7</v>
      </c>
      <c r="G212" s="187" t="s">
        <v>835</v>
      </c>
      <c r="H212" s="181" t="s">
        <v>1836</v>
      </c>
      <c r="I212" s="8">
        <f>C12</f>
        <v>95</v>
      </c>
      <c r="J212" s="2" t="s">
        <v>835</v>
      </c>
      <c r="K212" s="8">
        <f>(F212*I212)</f>
        <v>1681.5</v>
      </c>
      <c r="M212" s="255">
        <v>1.23</v>
      </c>
      <c r="N212" s="181" t="s">
        <v>578</v>
      </c>
      <c r="O212" s="181" t="s">
        <v>2012</v>
      </c>
      <c r="P212" s="188">
        <f>D30</f>
        <v>287</v>
      </c>
      <c r="Q212" s="181" t="s">
        <v>578</v>
      </c>
      <c r="R212" s="188">
        <f t="shared" si="12"/>
        <v>353.01</v>
      </c>
    </row>
    <row r="213" spans="3:18" hidden="1">
      <c r="C213"/>
      <c r="D213"/>
      <c r="E213"/>
      <c r="F213" s="188">
        <v>14.1</v>
      </c>
      <c r="G213" s="187" t="s">
        <v>835</v>
      </c>
      <c r="H213" s="181" t="s">
        <v>299</v>
      </c>
      <c r="I213" s="8">
        <f>C13</f>
        <v>85</v>
      </c>
      <c r="J213" s="2" t="s">
        <v>835</v>
      </c>
      <c r="K213" s="8">
        <f>(F213*I213)</f>
        <v>1198.5</v>
      </c>
      <c r="M213" s="188">
        <v>2</v>
      </c>
      <c r="N213" s="181" t="s">
        <v>835</v>
      </c>
      <c r="O213" s="181" t="s">
        <v>2013</v>
      </c>
      <c r="P213" s="188">
        <f>C283</f>
        <v>30</v>
      </c>
      <c r="Q213" s="181" t="s">
        <v>835</v>
      </c>
      <c r="R213" s="188">
        <f t="shared" si="12"/>
        <v>60</v>
      </c>
    </row>
    <row r="214" spans="3:18" hidden="1">
      <c r="C214"/>
      <c r="D214"/>
      <c r="E214"/>
      <c r="G214" s="187" t="s">
        <v>419</v>
      </c>
      <c r="H214" s="181" t="s">
        <v>420</v>
      </c>
      <c r="I214"/>
      <c r="J214" s="2" t="s">
        <v>419</v>
      </c>
      <c r="K214" s="8">
        <v>0</v>
      </c>
      <c r="M214" s="188">
        <v>3</v>
      </c>
      <c r="N214" s="181" t="s">
        <v>835</v>
      </c>
      <c r="O214" s="181" t="s">
        <v>2014</v>
      </c>
      <c r="P214" s="188">
        <f>C278</f>
        <v>45</v>
      </c>
      <c r="Q214" s="181" t="s">
        <v>835</v>
      </c>
      <c r="R214" s="188">
        <f t="shared" si="12"/>
        <v>135</v>
      </c>
    </row>
    <row r="215" spans="3:18" hidden="1">
      <c r="C215"/>
      <c r="D215"/>
      <c r="E215"/>
      <c r="I215"/>
      <c r="J215" s="4"/>
      <c r="K215" s="5" t="s">
        <v>1530</v>
      </c>
      <c r="M215" s="188">
        <v>1</v>
      </c>
      <c r="N215" s="181" t="s">
        <v>835</v>
      </c>
      <c r="O215" s="181" t="s">
        <v>1910</v>
      </c>
      <c r="P215" s="188">
        <f>C285</f>
        <v>95</v>
      </c>
      <c r="Q215" s="181" t="s">
        <v>835</v>
      </c>
      <c r="R215" s="188">
        <f t="shared" si="12"/>
        <v>95</v>
      </c>
    </row>
    <row r="216" spans="3:18" hidden="1">
      <c r="C216"/>
      <c r="D216"/>
      <c r="E216"/>
      <c r="I216"/>
      <c r="J216" s="4"/>
      <c r="K216" s="8" t="e">
        <f>SUM(K209:K214)</f>
        <v>#REF!</v>
      </c>
      <c r="M216" s="188">
        <v>1</v>
      </c>
      <c r="N216" s="181" t="s">
        <v>835</v>
      </c>
      <c r="O216" s="181" t="s">
        <v>1911</v>
      </c>
      <c r="P216" s="188">
        <f>C287</f>
        <v>8</v>
      </c>
      <c r="Q216" s="181" t="s">
        <v>835</v>
      </c>
      <c r="R216" s="188">
        <f t="shared" si="12"/>
        <v>8</v>
      </c>
    </row>
    <row r="217" spans="3:18" hidden="1">
      <c r="C217"/>
      <c r="D217"/>
      <c r="E217"/>
      <c r="H217" s="181" t="s">
        <v>583</v>
      </c>
      <c r="I217"/>
      <c r="J217" s="4"/>
      <c r="K217" s="5" t="s">
        <v>1530</v>
      </c>
      <c r="M217" s="188">
        <v>1</v>
      </c>
      <c r="N217" s="181" t="s">
        <v>835</v>
      </c>
      <c r="O217" s="181" t="s">
        <v>1912</v>
      </c>
      <c r="P217" s="188">
        <f>C576</f>
        <v>30</v>
      </c>
      <c r="Q217" s="181" t="s">
        <v>835</v>
      </c>
      <c r="R217" s="188">
        <f t="shared" si="12"/>
        <v>30</v>
      </c>
    </row>
    <row r="218" spans="3:18" hidden="1">
      <c r="C218"/>
      <c r="D218"/>
      <c r="E218"/>
      <c r="I218"/>
      <c r="J218" s="4"/>
      <c r="K218" s="8" t="e">
        <f>(K216/10)</f>
        <v>#REF!</v>
      </c>
      <c r="M218" s="188">
        <v>1</v>
      </c>
      <c r="N218" s="181" t="s">
        <v>835</v>
      </c>
      <c r="O218" s="181" t="s">
        <v>1913</v>
      </c>
      <c r="P218" s="188">
        <f>D576</f>
        <v>25</v>
      </c>
      <c r="Q218" s="181" t="s">
        <v>835</v>
      </c>
      <c r="R218" s="188">
        <f t="shared" si="12"/>
        <v>25</v>
      </c>
    </row>
    <row r="219" spans="3:18" hidden="1">
      <c r="C219"/>
      <c r="D219"/>
      <c r="E219"/>
      <c r="H219" s="181" t="s">
        <v>743</v>
      </c>
      <c r="I219"/>
      <c r="J219" s="4"/>
      <c r="K219" s="5" t="s">
        <v>1980</v>
      </c>
      <c r="R219" s="185" t="s">
        <v>1530</v>
      </c>
    </row>
    <row r="220" spans="3:18" hidden="1">
      <c r="C220"/>
      <c r="D220"/>
      <c r="E220"/>
      <c r="I220"/>
      <c r="J220" s="4"/>
      <c r="K220"/>
      <c r="O220" s="236" t="s">
        <v>1914</v>
      </c>
      <c r="R220" s="188">
        <f>SUM(R209:R218)</f>
        <v>2336.0100000000002</v>
      </c>
    </row>
    <row r="221" spans="3:18" hidden="1">
      <c r="C221"/>
      <c r="D221"/>
      <c r="E221"/>
      <c r="F221" s="236" t="s">
        <v>1991</v>
      </c>
      <c r="G221" s="187" t="s">
        <v>2167</v>
      </c>
      <c r="H221" s="181" t="s">
        <v>954</v>
      </c>
      <c r="I221"/>
      <c r="J221" s="4"/>
      <c r="K221"/>
      <c r="N221" s="181" t="s">
        <v>940</v>
      </c>
      <c r="R221" s="185" t="s">
        <v>1530</v>
      </c>
    </row>
    <row r="222" spans="3:18" hidden="1">
      <c r="C222"/>
      <c r="D222"/>
      <c r="E222"/>
      <c r="H222" s="181" t="s">
        <v>1992</v>
      </c>
      <c r="I222"/>
      <c r="J222" s="4"/>
      <c r="K222"/>
      <c r="M222" s="181" t="s">
        <v>940</v>
      </c>
    </row>
    <row r="223" spans="3:18" hidden="1">
      <c r="C223"/>
      <c r="D223"/>
      <c r="E223"/>
      <c r="H223" s="185" t="s">
        <v>1530</v>
      </c>
      <c r="I223"/>
      <c r="J223" s="4"/>
      <c r="K223"/>
      <c r="O223" s="236" t="s">
        <v>521</v>
      </c>
      <c r="R223" s="188">
        <f>R220/M212</f>
        <v>1899.2</v>
      </c>
    </row>
    <row r="224" spans="3:18" hidden="1">
      <c r="C224"/>
      <c r="D224"/>
      <c r="E224"/>
      <c r="F224" s="188">
        <v>9</v>
      </c>
      <c r="G224" s="187" t="s">
        <v>836</v>
      </c>
      <c r="H224" s="181" t="s">
        <v>1746</v>
      </c>
      <c r="I224" s="8" t="e">
        <f>AC20</f>
        <v>#REF!</v>
      </c>
      <c r="J224" s="2" t="s">
        <v>836</v>
      </c>
      <c r="K224" s="8" t="e">
        <f>(F224*I224)</f>
        <v>#REF!</v>
      </c>
      <c r="M224" s="181" t="s">
        <v>300</v>
      </c>
    </row>
    <row r="225" spans="3:11" hidden="1">
      <c r="C225"/>
      <c r="D225"/>
      <c r="E225"/>
      <c r="F225" s="188">
        <v>4.5</v>
      </c>
      <c r="G225" s="187" t="s">
        <v>836</v>
      </c>
      <c r="H225" s="181" t="s">
        <v>1578</v>
      </c>
      <c r="I225" s="8" t="e">
        <f>K77</f>
        <v>#REF!</v>
      </c>
      <c r="J225" s="2" t="s">
        <v>836</v>
      </c>
      <c r="K225" s="8" t="e">
        <f>(F225*I225)</f>
        <v>#REF!</v>
      </c>
    </row>
    <row r="226" spans="3:11" hidden="1">
      <c r="C226"/>
      <c r="D226"/>
      <c r="E226"/>
      <c r="F226" s="188">
        <v>1.8</v>
      </c>
      <c r="G226" s="187" t="s">
        <v>835</v>
      </c>
      <c r="H226" s="181" t="s">
        <v>1654</v>
      </c>
      <c r="I226" s="8">
        <f>C11</f>
        <v>135</v>
      </c>
      <c r="J226" s="2" t="s">
        <v>835</v>
      </c>
      <c r="K226" s="8">
        <f>(F226*I226)</f>
        <v>243</v>
      </c>
    </row>
    <row r="227" spans="3:11" hidden="1">
      <c r="C227"/>
      <c r="D227"/>
      <c r="E227"/>
      <c r="F227" s="188">
        <v>17.7</v>
      </c>
      <c r="G227" s="187" t="s">
        <v>835</v>
      </c>
      <c r="H227" s="181" t="s">
        <v>1836</v>
      </c>
      <c r="I227" s="8">
        <f>C12</f>
        <v>95</v>
      </c>
      <c r="J227" s="2" t="s">
        <v>835</v>
      </c>
      <c r="K227" s="8">
        <f>(F227*I227)</f>
        <v>1681.5</v>
      </c>
    </row>
    <row r="228" spans="3:11" hidden="1">
      <c r="C228"/>
      <c r="D228"/>
      <c r="E228"/>
      <c r="F228" s="188">
        <v>14.1</v>
      </c>
      <c r="G228" s="187" t="s">
        <v>835</v>
      </c>
      <c r="H228" s="181" t="s">
        <v>299</v>
      </c>
      <c r="I228" s="8">
        <f>C13</f>
        <v>85</v>
      </c>
      <c r="J228" s="2" t="s">
        <v>835</v>
      </c>
      <c r="K228" s="8">
        <f>(F228*I228)</f>
        <v>1198.5</v>
      </c>
    </row>
    <row r="229" spans="3:11" hidden="1">
      <c r="C229"/>
      <c r="D229"/>
      <c r="E229"/>
      <c r="G229" s="187" t="s">
        <v>419</v>
      </c>
      <c r="H229" s="181" t="s">
        <v>420</v>
      </c>
      <c r="I229"/>
      <c r="J229" s="2" t="s">
        <v>419</v>
      </c>
      <c r="K229" s="8">
        <v>0</v>
      </c>
    </row>
    <row r="230" spans="3:11" hidden="1">
      <c r="C230"/>
      <c r="D230"/>
      <c r="E230"/>
      <c r="I230"/>
      <c r="J230" s="4"/>
      <c r="K230" s="5" t="s">
        <v>1530</v>
      </c>
    </row>
    <row r="231" spans="3:11" hidden="1">
      <c r="C231"/>
      <c r="D231"/>
      <c r="E231"/>
      <c r="I231"/>
      <c r="J231" s="4"/>
      <c r="K231" s="8" t="e">
        <f>SUM(K224:K229)</f>
        <v>#REF!</v>
      </c>
    </row>
    <row r="232" spans="3:11" hidden="1">
      <c r="C232"/>
      <c r="D232"/>
      <c r="E232"/>
      <c r="H232" s="181" t="s">
        <v>583</v>
      </c>
      <c r="I232"/>
      <c r="J232" s="4"/>
      <c r="K232" s="5" t="s">
        <v>1530</v>
      </c>
    </row>
    <row r="233" spans="3:11" hidden="1">
      <c r="C233"/>
      <c r="D233"/>
      <c r="E233"/>
      <c r="I233"/>
      <c r="J233" s="4"/>
      <c r="K233" s="8" t="e">
        <f>(K231/10)</f>
        <v>#REF!</v>
      </c>
    </row>
    <row r="234" spans="3:11" hidden="1">
      <c r="C234"/>
      <c r="D234"/>
      <c r="E234"/>
      <c r="H234" s="181" t="s">
        <v>743</v>
      </c>
      <c r="I234"/>
      <c r="J234" s="4"/>
      <c r="K234" s="5" t="s">
        <v>1980</v>
      </c>
    </row>
    <row r="235" spans="3:11" hidden="1">
      <c r="C235"/>
      <c r="D235"/>
      <c r="E235"/>
      <c r="I235"/>
      <c r="J235" s="4"/>
      <c r="K235"/>
    </row>
    <row r="236" spans="3:11" hidden="1">
      <c r="C236"/>
      <c r="D236"/>
      <c r="E236"/>
      <c r="I236"/>
      <c r="J236" s="4"/>
      <c r="K236"/>
    </row>
    <row r="237" spans="3:11" hidden="1">
      <c r="C237"/>
      <c r="D237"/>
      <c r="E237"/>
      <c r="F237" s="246">
        <v>3.6</v>
      </c>
      <c r="H237" s="181" t="s">
        <v>3</v>
      </c>
      <c r="I237"/>
      <c r="J237" s="4"/>
      <c r="K237"/>
    </row>
    <row r="238" spans="3:11" hidden="1">
      <c r="C238"/>
      <c r="D238"/>
      <c r="E238"/>
      <c r="H238" s="181" t="s">
        <v>609</v>
      </c>
      <c r="I238"/>
      <c r="J238" s="4"/>
      <c r="K238"/>
    </row>
    <row r="239" spans="3:11" hidden="1">
      <c r="C239"/>
      <c r="D239"/>
      <c r="E239"/>
      <c r="H239" s="185" t="s">
        <v>1980</v>
      </c>
      <c r="I239"/>
      <c r="J239" s="4"/>
      <c r="K239"/>
    </row>
    <row r="240" spans="3:11" hidden="1">
      <c r="C240"/>
      <c r="D240"/>
      <c r="E240"/>
      <c r="F240" s="188">
        <v>1.25</v>
      </c>
      <c r="G240" s="187" t="s">
        <v>1289</v>
      </c>
      <c r="H240" s="181" t="s">
        <v>1447</v>
      </c>
      <c r="I240" s="8">
        <f>C783</f>
        <v>3.05</v>
      </c>
      <c r="J240" s="2" t="s">
        <v>1289</v>
      </c>
      <c r="K240" s="8">
        <f>(F240*I240)</f>
        <v>3.81</v>
      </c>
    </row>
    <row r="241" spans="3:11" hidden="1">
      <c r="C241"/>
      <c r="D241"/>
      <c r="E241"/>
      <c r="F241" s="188">
        <v>0.75</v>
      </c>
      <c r="G241" s="187" t="s">
        <v>1289</v>
      </c>
      <c r="H241" s="181" t="s">
        <v>2257</v>
      </c>
      <c r="I241" s="8" t="e">
        <f>AC37</f>
        <v>#REF!</v>
      </c>
      <c r="J241" s="2" t="s">
        <v>1289</v>
      </c>
      <c r="K241" s="8" t="e">
        <f>(F241*I241)</f>
        <v>#REF!</v>
      </c>
    </row>
    <row r="242" spans="3:11" hidden="1">
      <c r="C242"/>
      <c r="D242"/>
      <c r="E242"/>
      <c r="F242" s="188">
        <v>0.5</v>
      </c>
      <c r="G242" s="187" t="s">
        <v>1289</v>
      </c>
      <c r="H242" s="181" t="s">
        <v>2019</v>
      </c>
      <c r="I242" s="8" t="e">
        <f>AC36</f>
        <v>#REF!</v>
      </c>
      <c r="J242" s="2" t="s">
        <v>1289</v>
      </c>
      <c r="K242" s="8" t="e">
        <f>(F242*I242)</f>
        <v>#REF!</v>
      </c>
    </row>
    <row r="243" spans="3:11" hidden="1">
      <c r="C243"/>
      <c r="D243"/>
      <c r="E243"/>
      <c r="F243" s="188">
        <v>0.45</v>
      </c>
      <c r="G243" s="187" t="s">
        <v>1289</v>
      </c>
      <c r="H243" s="181" t="s">
        <v>888</v>
      </c>
      <c r="I243" s="8">
        <f>AC38</f>
        <v>169</v>
      </c>
      <c r="J243" s="2" t="s">
        <v>1289</v>
      </c>
      <c r="K243" s="8">
        <f>(F243*I243)</f>
        <v>76.05</v>
      </c>
    </row>
    <row r="244" spans="3:11" hidden="1">
      <c r="C244"/>
      <c r="D244"/>
      <c r="E244"/>
      <c r="F244" s="188">
        <v>10</v>
      </c>
      <c r="G244" s="187" t="s">
        <v>222</v>
      </c>
      <c r="H244" s="181" t="s">
        <v>1848</v>
      </c>
      <c r="I244" s="8">
        <v>17.82</v>
      </c>
      <c r="J244" s="2" t="s">
        <v>222</v>
      </c>
      <c r="K244" s="8">
        <f>(F244*I244)</f>
        <v>178.2</v>
      </c>
    </row>
    <row r="245" spans="3:11" hidden="1">
      <c r="C245"/>
      <c r="D245"/>
      <c r="E245"/>
      <c r="H245" s="181" t="s">
        <v>1849</v>
      </c>
      <c r="I245"/>
      <c r="J245" s="4"/>
      <c r="K245" s="5" t="s">
        <v>1530</v>
      </c>
    </row>
    <row r="246" spans="3:11" hidden="1">
      <c r="C246"/>
      <c r="D246"/>
      <c r="E246"/>
      <c r="H246" s="181" t="s">
        <v>1850</v>
      </c>
      <c r="I246"/>
      <c r="J246" s="4"/>
      <c r="K246" s="8" t="e">
        <f>SUM(K240:K244)</f>
        <v>#REF!</v>
      </c>
    </row>
    <row r="247" spans="3:11" hidden="1">
      <c r="C247"/>
      <c r="D247"/>
      <c r="E247"/>
      <c r="I247"/>
      <c r="J247" s="4"/>
      <c r="K247" s="5" t="s">
        <v>1530</v>
      </c>
    </row>
    <row r="248" spans="3:11" hidden="1">
      <c r="C248"/>
      <c r="D248"/>
      <c r="E248"/>
      <c r="H248" s="181" t="s">
        <v>1851</v>
      </c>
      <c r="I248"/>
      <c r="J248" s="4"/>
      <c r="K248" s="8" t="e">
        <f>K246/10</f>
        <v>#REF!</v>
      </c>
    </row>
    <row r="249" spans="3:11" hidden="1">
      <c r="C249"/>
      <c r="D249"/>
      <c r="E249"/>
      <c r="I249"/>
      <c r="J249" s="4"/>
      <c r="K249" s="5" t="s">
        <v>1980</v>
      </c>
    </row>
    <row r="250" spans="3:11" hidden="1">
      <c r="C250"/>
      <c r="D250"/>
      <c r="E250"/>
      <c r="I250"/>
      <c r="J250" s="4"/>
      <c r="K250"/>
    </row>
    <row r="251" spans="3:11" hidden="1">
      <c r="C251"/>
      <c r="D251"/>
      <c r="E251"/>
      <c r="F251" s="246">
        <v>3.7</v>
      </c>
      <c r="H251" s="181" t="s">
        <v>4</v>
      </c>
      <c r="I251"/>
      <c r="J251" s="4"/>
      <c r="K251"/>
    </row>
    <row r="252" spans="3:11" hidden="1">
      <c r="C252"/>
      <c r="D252"/>
      <c r="E252"/>
      <c r="H252" s="185" t="s">
        <v>1530</v>
      </c>
      <c r="I252"/>
      <c r="J252" s="4"/>
      <c r="K252"/>
    </row>
    <row r="253" spans="3:11" hidden="1">
      <c r="C253"/>
      <c r="D253"/>
      <c r="E253"/>
      <c r="F253" s="188">
        <v>2.7</v>
      </c>
      <c r="G253" s="187" t="s">
        <v>1289</v>
      </c>
      <c r="H253" s="181" t="s">
        <v>150</v>
      </c>
      <c r="I253" s="8" t="e">
        <f>AC35</f>
        <v>#REF!</v>
      </c>
      <c r="J253" s="2" t="s">
        <v>1289</v>
      </c>
      <c r="K253" s="8" t="e">
        <f>(F253*I253)</f>
        <v>#REF!</v>
      </c>
    </row>
    <row r="254" spans="3:11" hidden="1">
      <c r="C254"/>
      <c r="D254"/>
      <c r="E254"/>
      <c r="F254" s="256">
        <v>0.14499999999999999</v>
      </c>
      <c r="G254" s="187" t="s">
        <v>1289</v>
      </c>
      <c r="H254" s="181" t="s">
        <v>875</v>
      </c>
      <c r="I254" s="8" t="e">
        <f>AC17</f>
        <v>#REF!</v>
      </c>
      <c r="J254" s="2" t="s">
        <v>1289</v>
      </c>
      <c r="K254" s="8" t="e">
        <f>(F254*I254)</f>
        <v>#REF!</v>
      </c>
    </row>
    <row r="255" spans="3:11" hidden="1">
      <c r="C255"/>
      <c r="D255"/>
      <c r="E255"/>
      <c r="F255" s="188">
        <v>218.8</v>
      </c>
      <c r="G255" s="187" t="s">
        <v>876</v>
      </c>
      <c r="H255" s="181" t="s">
        <v>877</v>
      </c>
      <c r="I255" s="8">
        <v>12224.58</v>
      </c>
      <c r="J255" s="2" t="s">
        <v>876</v>
      </c>
      <c r="K255" s="8">
        <f>(F255*I255)/1000</f>
        <v>2674.74</v>
      </c>
    </row>
    <row r="256" spans="3:11" hidden="1">
      <c r="C256"/>
      <c r="D256"/>
      <c r="E256"/>
      <c r="F256" s="188">
        <v>100</v>
      </c>
      <c r="G256" s="187" t="s">
        <v>222</v>
      </c>
      <c r="H256" s="181" t="s">
        <v>878</v>
      </c>
      <c r="I256" s="8">
        <v>14.3</v>
      </c>
      <c r="J256" s="2" t="s">
        <v>222</v>
      </c>
      <c r="K256" s="8">
        <f>(F256*I256)</f>
        <v>1430</v>
      </c>
    </row>
    <row r="257" spans="1:33" hidden="1">
      <c r="C257"/>
      <c r="D257"/>
      <c r="E257"/>
      <c r="I257"/>
      <c r="J257" s="4"/>
      <c r="K257" s="5" t="s">
        <v>1530</v>
      </c>
    </row>
    <row r="258" spans="1:33" hidden="1">
      <c r="C258"/>
      <c r="D258"/>
      <c r="E258"/>
      <c r="H258" s="181" t="s">
        <v>879</v>
      </c>
      <c r="I258"/>
      <c r="J258" s="4"/>
      <c r="K258" s="8" t="e">
        <f>SUM(K253:K256)</f>
        <v>#REF!</v>
      </c>
    </row>
    <row r="259" spans="1:33" hidden="1">
      <c r="C259"/>
      <c r="D259"/>
      <c r="E259"/>
      <c r="I259"/>
      <c r="J259" s="4"/>
      <c r="K259" s="5" t="s">
        <v>1530</v>
      </c>
    </row>
    <row r="260" spans="1:33" hidden="1">
      <c r="C260"/>
      <c r="D260"/>
      <c r="E260"/>
      <c r="H260" s="181" t="s">
        <v>1851</v>
      </c>
      <c r="I260"/>
      <c r="J260" s="4"/>
      <c r="K260" s="8" t="e">
        <f>K258/100</f>
        <v>#REF!</v>
      </c>
    </row>
    <row r="261" spans="1:33" hidden="1">
      <c r="C261"/>
      <c r="D261"/>
      <c r="E261"/>
      <c r="F261" s="181" t="s">
        <v>940</v>
      </c>
      <c r="G261" s="187" t="s">
        <v>940</v>
      </c>
      <c r="I261"/>
      <c r="J261" s="4"/>
      <c r="K261" s="5" t="s">
        <v>1980</v>
      </c>
    </row>
    <row r="262" spans="1:33" hidden="1">
      <c r="C262"/>
      <c r="D262"/>
      <c r="E262"/>
      <c r="I262"/>
      <c r="J262" s="4"/>
      <c r="K262"/>
    </row>
    <row r="263" spans="1:33" hidden="1">
      <c r="C263"/>
      <c r="D263"/>
      <c r="E263"/>
      <c r="I263"/>
      <c r="J263" s="4"/>
      <c r="K263"/>
    </row>
    <row r="264" spans="1:33" hidden="1">
      <c r="A264" s="240">
        <f>(A205+1)</f>
        <v>105</v>
      </c>
      <c r="B264" s="181" t="s">
        <v>1747</v>
      </c>
      <c r="C264" s="8">
        <v>50.5</v>
      </c>
      <c r="D264" s="1" t="s">
        <v>739</v>
      </c>
      <c r="E264"/>
      <c r="F264" s="236" t="s">
        <v>642</v>
      </c>
      <c r="H264" s="181" t="s">
        <v>1550</v>
      </c>
      <c r="I264"/>
      <c r="J264" s="4"/>
      <c r="K264"/>
      <c r="N264" s="181" t="s">
        <v>643</v>
      </c>
      <c r="O264" s="181" t="s">
        <v>802</v>
      </c>
      <c r="AG264" s="181" t="s">
        <v>2175</v>
      </c>
    </row>
    <row r="265" spans="1:33" hidden="1">
      <c r="A265" s="240">
        <f t="shared" ref="A265:A279" si="13">(A264+1)</f>
        <v>106</v>
      </c>
      <c r="B265" s="181" t="s">
        <v>803</v>
      </c>
      <c r="C265" s="8">
        <v>115</v>
      </c>
      <c r="D265" s="1" t="s">
        <v>739</v>
      </c>
      <c r="E265"/>
      <c r="H265" s="185" t="s">
        <v>1980</v>
      </c>
      <c r="I265"/>
      <c r="J265" s="4"/>
      <c r="K265"/>
      <c r="O265" s="185" t="s">
        <v>1530</v>
      </c>
      <c r="AG265" s="181" t="s">
        <v>2175</v>
      </c>
    </row>
    <row r="266" spans="1:33" hidden="1">
      <c r="A266" s="240">
        <f t="shared" si="13"/>
        <v>107</v>
      </c>
      <c r="B266" s="181" t="s">
        <v>2258</v>
      </c>
      <c r="C266" s="8">
        <v>63</v>
      </c>
      <c r="D266" s="8">
        <v>90</v>
      </c>
      <c r="E266"/>
      <c r="G266" s="187" t="s">
        <v>2167</v>
      </c>
      <c r="H266" s="181" t="s">
        <v>372</v>
      </c>
      <c r="I266"/>
      <c r="J266" s="4"/>
      <c r="K266"/>
      <c r="M266" s="188">
        <v>1.1399999999999999</v>
      </c>
      <c r="N266" s="181" t="s">
        <v>836</v>
      </c>
      <c r="O266" s="181" t="s">
        <v>2195</v>
      </c>
      <c r="P266" s="188" t="e">
        <f>(K419)</f>
        <v>#REF!</v>
      </c>
      <c r="Q266" s="181" t="s">
        <v>835</v>
      </c>
      <c r="R266" s="188" t="e">
        <f>(M266*P266)</f>
        <v>#REF!</v>
      </c>
      <c r="AG266" s="181" t="s">
        <v>2175</v>
      </c>
    </row>
    <row r="267" spans="1:33" hidden="1">
      <c r="A267" s="240">
        <f t="shared" si="13"/>
        <v>108</v>
      </c>
      <c r="B267" s="181" t="s">
        <v>2259</v>
      </c>
      <c r="C267" s="8">
        <v>10705</v>
      </c>
      <c r="D267" s="1" t="s">
        <v>836</v>
      </c>
      <c r="E267"/>
      <c r="H267" s="181" t="s">
        <v>2185</v>
      </c>
      <c r="I267"/>
      <c r="J267" s="4"/>
      <c r="K267"/>
      <c r="M267" s="188">
        <v>1</v>
      </c>
      <c r="N267" s="181" t="s">
        <v>739</v>
      </c>
      <c r="O267" s="181" t="s">
        <v>1938</v>
      </c>
      <c r="P267" s="188">
        <f>(C10)</f>
        <v>150</v>
      </c>
      <c r="Q267" s="181" t="s">
        <v>835</v>
      </c>
      <c r="R267" s="188">
        <f>(M267*P267)</f>
        <v>150</v>
      </c>
      <c r="AG267" s="181" t="s">
        <v>2175</v>
      </c>
    </row>
    <row r="268" spans="1:33" hidden="1">
      <c r="A268" s="240">
        <f t="shared" si="13"/>
        <v>109</v>
      </c>
      <c r="B268" s="181" t="s">
        <v>3094</v>
      </c>
      <c r="C268" s="8">
        <v>9395</v>
      </c>
      <c r="D268" s="1" t="s">
        <v>836</v>
      </c>
      <c r="E268"/>
      <c r="H268" s="185" t="s">
        <v>1530</v>
      </c>
      <c r="I268"/>
      <c r="J268" s="4"/>
      <c r="K268"/>
      <c r="N268" s="181" t="s">
        <v>419</v>
      </c>
      <c r="O268" s="181" t="s">
        <v>420</v>
      </c>
      <c r="P268" s="181" t="s">
        <v>940</v>
      </c>
      <c r="Q268" s="181" t="s">
        <v>419</v>
      </c>
      <c r="R268" s="188">
        <v>0.05</v>
      </c>
      <c r="AG268" s="181" t="s">
        <v>2175</v>
      </c>
    </row>
    <row r="269" spans="1:33" hidden="1">
      <c r="A269" s="240">
        <f t="shared" si="13"/>
        <v>110</v>
      </c>
      <c r="B269" s="181" t="s">
        <v>3095</v>
      </c>
      <c r="C269" s="8">
        <v>15</v>
      </c>
      <c r="D269" s="1" t="s">
        <v>739</v>
      </c>
      <c r="E269"/>
      <c r="F269" s="188">
        <v>9</v>
      </c>
      <c r="G269" s="187" t="s">
        <v>836</v>
      </c>
      <c r="H269" s="181" t="s">
        <v>409</v>
      </c>
      <c r="I269" s="8" t="e">
        <f>(C73)</f>
        <v>#REF!</v>
      </c>
      <c r="J269" s="2" t="s">
        <v>836</v>
      </c>
      <c r="K269" s="8" t="e">
        <f t="shared" ref="K269:K274" si="14">(F269*I269)</f>
        <v>#REF!</v>
      </c>
      <c r="R269" s="185" t="s">
        <v>1530</v>
      </c>
      <c r="AG269" s="181" t="s">
        <v>2175</v>
      </c>
    </row>
    <row r="270" spans="1:33" hidden="1">
      <c r="A270" s="240">
        <f t="shared" si="13"/>
        <v>111</v>
      </c>
      <c r="B270" s="181" t="s">
        <v>410</v>
      </c>
      <c r="C270" s="8">
        <v>35</v>
      </c>
      <c r="D270" s="1" t="s">
        <v>1591</v>
      </c>
      <c r="E270" s="106">
        <v>120</v>
      </c>
      <c r="F270" s="245">
        <v>3.2309999999999999</v>
      </c>
      <c r="G270" s="187" t="s">
        <v>828</v>
      </c>
      <c r="H270" s="181" t="s">
        <v>829</v>
      </c>
      <c r="I270" s="8">
        <f>(C67)</f>
        <v>3800</v>
      </c>
      <c r="J270" s="2" t="s">
        <v>828</v>
      </c>
      <c r="K270" s="8">
        <f t="shared" si="14"/>
        <v>12277.8</v>
      </c>
      <c r="O270" s="181" t="s">
        <v>411</v>
      </c>
      <c r="R270" s="188" t="e">
        <f>SUM(R266:R268)</f>
        <v>#REF!</v>
      </c>
      <c r="AG270" s="181" t="s">
        <v>2175</v>
      </c>
    </row>
    <row r="271" spans="1:33" hidden="1">
      <c r="A271" s="240">
        <f t="shared" si="13"/>
        <v>112</v>
      </c>
      <c r="B271" s="181" t="s">
        <v>2914</v>
      </c>
      <c r="C271" s="8">
        <v>160</v>
      </c>
      <c r="D271" s="8">
        <v>452.09</v>
      </c>
      <c r="E271"/>
      <c r="F271" s="188">
        <v>4.5</v>
      </c>
      <c r="G271" s="187" t="s">
        <v>836</v>
      </c>
      <c r="H271" s="181" t="s">
        <v>837</v>
      </c>
      <c r="I271" s="8" t="e">
        <f>(C78)</f>
        <v>#REF!</v>
      </c>
      <c r="J271" s="2" t="s">
        <v>836</v>
      </c>
      <c r="K271" s="8" t="e">
        <f t="shared" si="14"/>
        <v>#REF!</v>
      </c>
      <c r="R271" s="185" t="s">
        <v>1530</v>
      </c>
      <c r="AG271" s="181" t="s">
        <v>2175</v>
      </c>
    </row>
    <row r="272" spans="1:33" hidden="1">
      <c r="A272" s="240">
        <f t="shared" si="13"/>
        <v>113</v>
      </c>
      <c r="B272" s="181" t="s">
        <v>1322</v>
      </c>
      <c r="C272" s="8">
        <v>13.5</v>
      </c>
      <c r="D272" s="1" t="s">
        <v>1714</v>
      </c>
      <c r="E272"/>
      <c r="F272" s="188">
        <v>3.5</v>
      </c>
      <c r="G272" s="187" t="s">
        <v>835</v>
      </c>
      <c r="H272" s="181" t="s">
        <v>1654</v>
      </c>
      <c r="I272" s="8">
        <f>(C11)</f>
        <v>135</v>
      </c>
      <c r="J272" s="2" t="s">
        <v>835</v>
      </c>
      <c r="K272" s="8">
        <f t="shared" si="14"/>
        <v>472.5</v>
      </c>
      <c r="O272" s="181" t="s">
        <v>521</v>
      </c>
      <c r="R272" s="188" t="e">
        <f>(R270/10)</f>
        <v>#REF!</v>
      </c>
      <c r="AG272" s="181" t="s">
        <v>2175</v>
      </c>
    </row>
    <row r="273" spans="1:33" hidden="1">
      <c r="A273" s="240">
        <f t="shared" si="13"/>
        <v>114</v>
      </c>
      <c r="B273" s="181" t="s">
        <v>1323</v>
      </c>
      <c r="C273" s="8">
        <v>18.809999999999999</v>
      </c>
      <c r="D273" s="1" t="s">
        <v>739</v>
      </c>
      <c r="E273"/>
      <c r="F273" s="188">
        <v>21.2</v>
      </c>
      <c r="G273" s="187" t="s">
        <v>835</v>
      </c>
      <c r="H273" s="181" t="s">
        <v>1836</v>
      </c>
      <c r="I273" s="8">
        <f>(C12)</f>
        <v>95</v>
      </c>
      <c r="J273" s="2" t="s">
        <v>835</v>
      </c>
      <c r="K273" s="8">
        <f t="shared" si="14"/>
        <v>2014</v>
      </c>
      <c r="R273" s="185" t="s">
        <v>1980</v>
      </c>
      <c r="AG273" s="181" t="s">
        <v>2175</v>
      </c>
    </row>
    <row r="274" spans="1:33" hidden="1">
      <c r="A274" s="240">
        <f t="shared" si="13"/>
        <v>115</v>
      </c>
      <c r="B274" s="181" t="s">
        <v>1324</v>
      </c>
      <c r="C274" s="8">
        <v>14.15</v>
      </c>
      <c r="D274" s="1" t="s">
        <v>739</v>
      </c>
      <c r="E274"/>
      <c r="F274" s="188">
        <v>35.299999999999997</v>
      </c>
      <c r="G274" s="187" t="s">
        <v>835</v>
      </c>
      <c r="H274" s="181" t="s">
        <v>299</v>
      </c>
      <c r="I274" s="8">
        <f>(C13)</f>
        <v>85</v>
      </c>
      <c r="J274" s="2" t="s">
        <v>835</v>
      </c>
      <c r="K274" s="8">
        <f t="shared" si="14"/>
        <v>3000.5</v>
      </c>
      <c r="N274" s="181" t="s">
        <v>1094</v>
      </c>
      <c r="O274" s="181" t="s">
        <v>361</v>
      </c>
      <c r="R274" s="188" t="e">
        <f>(R272+C19/10*M266)</f>
        <v>#REF!</v>
      </c>
      <c r="AG274" s="181" t="s">
        <v>2175</v>
      </c>
    </row>
    <row r="275" spans="1:33" hidden="1">
      <c r="A275" s="240">
        <f t="shared" si="13"/>
        <v>116</v>
      </c>
      <c r="B275" s="181" t="s">
        <v>627</v>
      </c>
      <c r="C275" s="8">
        <v>16.440000000000001</v>
      </c>
      <c r="D275" s="1" t="s">
        <v>739</v>
      </c>
      <c r="E275"/>
      <c r="G275" s="187" t="s">
        <v>419</v>
      </c>
      <c r="H275" s="181" t="s">
        <v>420</v>
      </c>
      <c r="I275" s="1" t="s">
        <v>940</v>
      </c>
      <c r="J275" s="2" t="s">
        <v>419</v>
      </c>
      <c r="K275" s="8">
        <v>0</v>
      </c>
      <c r="N275" s="181" t="s">
        <v>628</v>
      </c>
      <c r="O275" s="181" t="s">
        <v>363</v>
      </c>
      <c r="R275" s="188" t="e">
        <f>(R274+C20/10*M266)</f>
        <v>#REF!</v>
      </c>
      <c r="AG275" s="181" t="s">
        <v>2175</v>
      </c>
    </row>
    <row r="276" spans="1:33" hidden="1">
      <c r="A276" s="240">
        <f t="shared" si="13"/>
        <v>117</v>
      </c>
      <c r="B276" s="181" t="s">
        <v>629</v>
      </c>
      <c r="C276" s="8">
        <v>8</v>
      </c>
      <c r="D276" s="8">
        <v>6.25</v>
      </c>
      <c r="E276"/>
      <c r="I276"/>
      <c r="J276" s="4"/>
      <c r="K276" s="5" t="s">
        <v>1530</v>
      </c>
      <c r="N276" s="181" t="s">
        <v>640</v>
      </c>
      <c r="O276" s="181" t="s">
        <v>2149</v>
      </c>
      <c r="R276" s="188" t="e">
        <f>(R275+C21/10*M266)</f>
        <v>#REF!</v>
      </c>
      <c r="AG276" s="181" t="s">
        <v>2175</v>
      </c>
    </row>
    <row r="277" spans="1:33" hidden="1">
      <c r="A277" s="240">
        <f t="shared" si="13"/>
        <v>118</v>
      </c>
      <c r="B277" s="181" t="s">
        <v>641</v>
      </c>
      <c r="C277" s="8">
        <v>170.39</v>
      </c>
      <c r="D277" s="1" t="s">
        <v>578</v>
      </c>
      <c r="E277"/>
      <c r="H277" s="181" t="s">
        <v>2089</v>
      </c>
      <c r="I277"/>
      <c r="J277" s="4"/>
      <c r="K277" s="8" t="e">
        <f>SUM(K269:K275)</f>
        <v>#REF!</v>
      </c>
      <c r="N277" s="181" t="s">
        <v>2090</v>
      </c>
      <c r="O277" s="181" t="s">
        <v>355</v>
      </c>
      <c r="R277" s="188" t="e">
        <f>(R276+C21/10*M266)</f>
        <v>#REF!</v>
      </c>
      <c r="AG277" s="181" t="s">
        <v>2175</v>
      </c>
    </row>
    <row r="278" spans="1:33" hidden="1">
      <c r="A278" s="240">
        <f t="shared" si="13"/>
        <v>119</v>
      </c>
      <c r="B278" s="181" t="s">
        <v>2915</v>
      </c>
      <c r="C278" s="8">
        <v>45</v>
      </c>
      <c r="D278" s="1" t="s">
        <v>739</v>
      </c>
      <c r="E278"/>
      <c r="I278"/>
      <c r="J278" s="4"/>
      <c r="K278" s="5" t="s">
        <v>1530</v>
      </c>
      <c r="AG278" s="181" t="s">
        <v>2175</v>
      </c>
    </row>
    <row r="279" spans="1:33" hidden="1">
      <c r="A279" s="240">
        <f t="shared" si="13"/>
        <v>120</v>
      </c>
      <c r="B279" s="181" t="s">
        <v>2916</v>
      </c>
      <c r="C279" s="8">
        <v>31.24</v>
      </c>
      <c r="D279" s="1" t="s">
        <v>739</v>
      </c>
      <c r="E279"/>
      <c r="H279" s="181" t="s">
        <v>743</v>
      </c>
      <c r="I279"/>
      <c r="J279" s="4"/>
      <c r="K279" s="8" t="e">
        <f>(K277/10)</f>
        <v>#REF!</v>
      </c>
      <c r="N279" s="181" t="s">
        <v>643</v>
      </c>
      <c r="O279" s="181" t="s">
        <v>2091</v>
      </c>
      <c r="R279" s="181" t="s">
        <v>940</v>
      </c>
      <c r="AG279" s="181" t="s">
        <v>2175</v>
      </c>
    </row>
    <row r="280" spans="1:33" hidden="1">
      <c r="C280"/>
      <c r="D280"/>
      <c r="E280"/>
      <c r="F280" s="181" t="s">
        <v>940</v>
      </c>
      <c r="I280"/>
      <c r="J280" s="4"/>
      <c r="K280"/>
    </row>
    <row r="281" spans="1:33" hidden="1">
      <c r="A281" s="240">
        <f>(A279+1)</f>
        <v>121</v>
      </c>
      <c r="B281" s="181" t="s">
        <v>2917</v>
      </c>
      <c r="C281" s="8">
        <v>25</v>
      </c>
      <c r="D281" s="1" t="s">
        <v>739</v>
      </c>
      <c r="E281"/>
      <c r="I281"/>
      <c r="J281" s="4"/>
      <c r="K281"/>
      <c r="O281" s="181" t="s">
        <v>1528</v>
      </c>
      <c r="AG281" s="181" t="s">
        <v>2175</v>
      </c>
    </row>
    <row r="282" spans="1:33" hidden="1">
      <c r="A282" s="240">
        <f t="shared" ref="A282:A326" si="15">(A281+1)</f>
        <v>122</v>
      </c>
      <c r="B282" s="181" t="s">
        <v>2918</v>
      </c>
      <c r="C282" s="8">
        <v>13</v>
      </c>
      <c r="D282" s="1" t="s">
        <v>739</v>
      </c>
      <c r="E282"/>
      <c r="F282" s="188">
        <v>1</v>
      </c>
      <c r="G282" s="187" t="s">
        <v>836</v>
      </c>
      <c r="H282" s="181" t="s">
        <v>43</v>
      </c>
      <c r="I282"/>
      <c r="J282" s="4"/>
      <c r="K282" s="8">
        <f>(C25)</f>
        <v>20.7</v>
      </c>
      <c r="O282" s="185" t="s">
        <v>1530</v>
      </c>
      <c r="AG282" s="181" t="s">
        <v>2175</v>
      </c>
    </row>
    <row r="283" spans="1:33" hidden="1">
      <c r="A283" s="240">
        <f t="shared" si="15"/>
        <v>123</v>
      </c>
      <c r="B283" s="181" t="s">
        <v>3083</v>
      </c>
      <c r="C283" s="8">
        <v>30</v>
      </c>
      <c r="D283" s="1" t="s">
        <v>739</v>
      </c>
      <c r="E283"/>
      <c r="I283"/>
      <c r="J283" s="4"/>
      <c r="K283" s="5" t="s">
        <v>1530</v>
      </c>
      <c r="M283" s="188">
        <v>10</v>
      </c>
      <c r="N283" s="181" t="s">
        <v>578</v>
      </c>
      <c r="O283" s="181" t="s">
        <v>44</v>
      </c>
      <c r="P283" s="188" t="e">
        <f>(K1191)</f>
        <v>#REF!</v>
      </c>
      <c r="Q283" s="181" t="s">
        <v>578</v>
      </c>
      <c r="R283" s="188" t="e">
        <f>(M283*P283)</f>
        <v>#REF!</v>
      </c>
      <c r="AG283" s="181" t="s">
        <v>2175</v>
      </c>
    </row>
    <row r="284" spans="1:33" hidden="1">
      <c r="A284" s="240">
        <f t="shared" si="15"/>
        <v>124</v>
      </c>
      <c r="B284" s="181" t="s">
        <v>3084</v>
      </c>
      <c r="C284" s="8">
        <v>20</v>
      </c>
      <c r="D284" s="1" t="s">
        <v>739</v>
      </c>
      <c r="E284" s="106">
        <v>25</v>
      </c>
      <c r="H284" s="181" t="s">
        <v>571</v>
      </c>
      <c r="I284"/>
      <c r="J284" s="4"/>
      <c r="K284" s="8" t="e">
        <f>SUM(K279:K282)</f>
        <v>#REF!</v>
      </c>
      <c r="M284" s="188">
        <v>1.1000000000000001</v>
      </c>
      <c r="N284" s="181" t="s">
        <v>835</v>
      </c>
      <c r="O284" s="181" t="s">
        <v>1654</v>
      </c>
      <c r="P284" s="188">
        <f>(C11)</f>
        <v>135</v>
      </c>
      <c r="Q284" s="181" t="s">
        <v>835</v>
      </c>
      <c r="R284" s="188">
        <f>(M284*P284)</f>
        <v>148.5</v>
      </c>
      <c r="AG284" s="181" t="s">
        <v>2175</v>
      </c>
    </row>
    <row r="285" spans="1:33" hidden="1">
      <c r="A285" s="240">
        <f t="shared" si="15"/>
        <v>125</v>
      </c>
      <c r="B285" s="181" t="s">
        <v>572</v>
      </c>
      <c r="C285" s="8">
        <v>95</v>
      </c>
      <c r="D285" s="1" t="s">
        <v>739</v>
      </c>
      <c r="E285"/>
      <c r="I285"/>
      <c r="J285" s="4"/>
      <c r="K285" s="5" t="s">
        <v>1530</v>
      </c>
      <c r="M285" s="188">
        <v>1.1000000000000001</v>
      </c>
      <c r="N285" s="181" t="s">
        <v>835</v>
      </c>
      <c r="O285" s="181" t="s">
        <v>1836</v>
      </c>
      <c r="P285" s="188">
        <f>(C12)</f>
        <v>95</v>
      </c>
      <c r="Q285" s="181" t="s">
        <v>835</v>
      </c>
      <c r="R285" s="188">
        <f>(M285*P285)</f>
        <v>104.5</v>
      </c>
      <c r="AG285" s="181" t="s">
        <v>2175</v>
      </c>
    </row>
    <row r="286" spans="1:33" hidden="1">
      <c r="A286" s="240">
        <f t="shared" si="15"/>
        <v>126</v>
      </c>
      <c r="B286" s="181" t="s">
        <v>413</v>
      </c>
      <c r="C286" s="8">
        <v>80</v>
      </c>
      <c r="D286" s="1" t="s">
        <v>739</v>
      </c>
      <c r="E286"/>
      <c r="H286" s="181" t="s">
        <v>361</v>
      </c>
      <c r="I286"/>
      <c r="J286" s="4"/>
      <c r="K286" s="8" t="e">
        <f>(K284+C22)</f>
        <v>#REF!</v>
      </c>
      <c r="M286" s="188">
        <v>1.1000000000000001</v>
      </c>
      <c r="N286" s="181" t="s">
        <v>835</v>
      </c>
      <c r="O286" s="181" t="s">
        <v>299</v>
      </c>
      <c r="P286" s="188">
        <f>(C13)</f>
        <v>85</v>
      </c>
      <c r="Q286" s="181" t="s">
        <v>835</v>
      </c>
      <c r="R286" s="188">
        <f>(M286*P286)</f>
        <v>93.5</v>
      </c>
      <c r="AG286" s="181" t="s">
        <v>2175</v>
      </c>
    </row>
    <row r="287" spans="1:33" hidden="1">
      <c r="A287" s="240">
        <f t="shared" si="15"/>
        <v>127</v>
      </c>
      <c r="B287" s="181" t="s">
        <v>1742</v>
      </c>
      <c r="C287" s="8">
        <v>8</v>
      </c>
      <c r="D287" s="1" t="s">
        <v>739</v>
      </c>
      <c r="E287"/>
      <c r="H287" s="181" t="s">
        <v>363</v>
      </c>
      <c r="I287"/>
      <c r="J287" s="4"/>
      <c r="K287" s="8" t="e">
        <f>(K286+C23)</f>
        <v>#REF!</v>
      </c>
      <c r="R287" s="185" t="s">
        <v>1530</v>
      </c>
      <c r="AG287" s="181" t="s">
        <v>2175</v>
      </c>
    </row>
    <row r="288" spans="1:33" hidden="1">
      <c r="A288" s="240">
        <f t="shared" si="15"/>
        <v>128</v>
      </c>
      <c r="B288" s="181" t="s">
        <v>1111</v>
      </c>
      <c r="C288" s="8">
        <v>8</v>
      </c>
      <c r="D288" s="1" t="s">
        <v>739</v>
      </c>
      <c r="E288"/>
      <c r="H288" s="181" t="s">
        <v>2149</v>
      </c>
      <c r="I288"/>
      <c r="J288" s="4"/>
      <c r="K288" s="8" t="e">
        <f>(K287+C24)</f>
        <v>#REF!</v>
      </c>
      <c r="O288" s="181" t="s">
        <v>411</v>
      </c>
      <c r="R288" s="188" t="e">
        <f>SUM(R283:R286)</f>
        <v>#REF!</v>
      </c>
      <c r="AG288" s="181" t="s">
        <v>2175</v>
      </c>
    </row>
    <row r="289" spans="1:33" hidden="1">
      <c r="A289" s="240">
        <f t="shared" si="15"/>
        <v>129</v>
      </c>
      <c r="B289" s="181" t="s">
        <v>1112</v>
      </c>
      <c r="C289" s="8">
        <v>2.9</v>
      </c>
      <c r="D289" s="1" t="s">
        <v>1113</v>
      </c>
      <c r="E289"/>
      <c r="H289" s="181" t="s">
        <v>355</v>
      </c>
      <c r="I289"/>
      <c r="J289" s="4"/>
      <c r="K289" s="8" t="e">
        <f>(K288+C24)</f>
        <v>#REF!</v>
      </c>
      <c r="R289" s="185" t="s">
        <v>1530</v>
      </c>
      <c r="AG289" s="181" t="s">
        <v>2175</v>
      </c>
    </row>
    <row r="290" spans="1:33" hidden="1">
      <c r="A290" s="240">
        <f t="shared" si="15"/>
        <v>130</v>
      </c>
      <c r="B290" s="181" t="s">
        <v>1114</v>
      </c>
      <c r="C290" s="8">
        <v>20.6</v>
      </c>
      <c r="D290" s="1" t="s">
        <v>1113</v>
      </c>
      <c r="E290"/>
      <c r="H290" s="181" t="s">
        <v>453</v>
      </c>
      <c r="I290"/>
      <c r="J290" s="4"/>
      <c r="K290" s="8" t="e">
        <f>(K289+C24)</f>
        <v>#REF!</v>
      </c>
      <c r="O290" s="181" t="s">
        <v>521</v>
      </c>
      <c r="R290" s="188" t="e">
        <f>(R288/10)</f>
        <v>#REF!</v>
      </c>
      <c r="AG290" s="181" t="s">
        <v>2175</v>
      </c>
    </row>
    <row r="291" spans="1:33" hidden="1">
      <c r="A291" s="240">
        <f t="shared" si="15"/>
        <v>131</v>
      </c>
      <c r="B291" s="181" t="s">
        <v>454</v>
      </c>
      <c r="C291" s="8">
        <v>15.6</v>
      </c>
      <c r="D291" s="1" t="s">
        <v>739</v>
      </c>
      <c r="E291"/>
      <c r="I291"/>
      <c r="J291" s="4"/>
      <c r="K291"/>
      <c r="R291" s="185" t="s">
        <v>1980</v>
      </c>
      <c r="AG291" s="181" t="s">
        <v>2175</v>
      </c>
    </row>
    <row r="292" spans="1:33" hidden="1">
      <c r="A292" s="240">
        <f t="shared" si="15"/>
        <v>132</v>
      </c>
      <c r="B292" s="181" t="s">
        <v>455</v>
      </c>
      <c r="C292" s="8">
        <v>12.6</v>
      </c>
      <c r="D292" s="1" t="s">
        <v>739</v>
      </c>
      <c r="E292"/>
      <c r="F292" s="236" t="s">
        <v>1455</v>
      </c>
      <c r="G292" s="187" t="s">
        <v>2167</v>
      </c>
      <c r="H292" s="181" t="s">
        <v>456</v>
      </c>
      <c r="I292"/>
      <c r="J292" s="4"/>
      <c r="K292"/>
      <c r="AG292" s="181" t="s">
        <v>2175</v>
      </c>
    </row>
    <row r="293" spans="1:33" hidden="1">
      <c r="A293" s="240">
        <f t="shared" si="15"/>
        <v>133</v>
      </c>
      <c r="B293" s="181" t="s">
        <v>457</v>
      </c>
      <c r="C293" s="8">
        <v>5.75</v>
      </c>
      <c r="D293" s="1" t="s">
        <v>739</v>
      </c>
      <c r="E293"/>
      <c r="H293" s="185" t="s">
        <v>1980</v>
      </c>
      <c r="I293"/>
      <c r="J293" s="4"/>
      <c r="K293"/>
      <c r="N293" s="181" t="s">
        <v>2167</v>
      </c>
      <c r="O293" s="181" t="s">
        <v>1085</v>
      </c>
      <c r="AG293" s="181" t="s">
        <v>2175</v>
      </c>
    </row>
    <row r="294" spans="1:33" hidden="1">
      <c r="A294" s="240">
        <f t="shared" si="15"/>
        <v>134</v>
      </c>
      <c r="B294" s="181" t="s">
        <v>1086</v>
      </c>
      <c r="C294" s="8">
        <v>8.5</v>
      </c>
      <c r="D294" s="1" t="s">
        <v>739</v>
      </c>
      <c r="E294"/>
      <c r="F294" s="188">
        <v>10</v>
      </c>
      <c r="G294" s="187" t="s">
        <v>836</v>
      </c>
      <c r="H294" s="181" t="s">
        <v>832</v>
      </c>
      <c r="I294" s="8" t="e">
        <f>(C68)</f>
        <v>#REF!</v>
      </c>
      <c r="J294" s="2" t="s">
        <v>836</v>
      </c>
      <c r="K294" s="8" t="e">
        <f t="shared" ref="K294:K300" si="16">(F294*I294)</f>
        <v>#REF!</v>
      </c>
      <c r="O294" s="185" t="s">
        <v>1530</v>
      </c>
      <c r="AG294" s="181" t="s">
        <v>2175</v>
      </c>
    </row>
    <row r="295" spans="1:33" hidden="1">
      <c r="A295" s="240">
        <f t="shared" si="15"/>
        <v>135</v>
      </c>
      <c r="B295" s="181" t="s">
        <v>1213</v>
      </c>
      <c r="C295" s="8">
        <v>10</v>
      </c>
      <c r="D295" s="1" t="s">
        <v>739</v>
      </c>
      <c r="E295"/>
      <c r="F295" s="188">
        <v>1</v>
      </c>
      <c r="G295" s="187" t="s">
        <v>836</v>
      </c>
      <c r="H295" s="181" t="s">
        <v>839</v>
      </c>
      <c r="I295" s="8" t="e">
        <f>(C69)</f>
        <v>#REF!</v>
      </c>
      <c r="J295" s="2" t="s">
        <v>836</v>
      </c>
      <c r="K295" s="8" t="e">
        <f t="shared" si="16"/>
        <v>#REF!</v>
      </c>
      <c r="M295" s="188">
        <v>0.14000000000000001</v>
      </c>
      <c r="N295" s="181" t="s">
        <v>836</v>
      </c>
      <c r="O295" s="181" t="s">
        <v>1301</v>
      </c>
      <c r="P295" s="188" t="e">
        <f>(K32)</f>
        <v>#REF!</v>
      </c>
      <c r="Q295" s="181" t="s">
        <v>836</v>
      </c>
      <c r="R295" s="188" t="e">
        <f>(M295*P295)</f>
        <v>#REF!</v>
      </c>
      <c r="AG295" s="181" t="s">
        <v>2175</v>
      </c>
    </row>
    <row r="296" spans="1:33" hidden="1">
      <c r="A296" s="240">
        <f t="shared" si="15"/>
        <v>136</v>
      </c>
      <c r="B296" s="181" t="s">
        <v>1214</v>
      </c>
      <c r="C296" s="8">
        <v>3.25</v>
      </c>
      <c r="D296" s="1" t="s">
        <v>739</v>
      </c>
      <c r="E296"/>
      <c r="F296" s="188">
        <v>3.4</v>
      </c>
      <c r="G296" s="187" t="s">
        <v>836</v>
      </c>
      <c r="H296" s="181" t="s">
        <v>1571</v>
      </c>
      <c r="I296" s="8" t="e">
        <f>(K49)</f>
        <v>#REF!</v>
      </c>
      <c r="J296" s="2" t="s">
        <v>836</v>
      </c>
      <c r="K296" s="8" t="e">
        <f t="shared" si="16"/>
        <v>#REF!</v>
      </c>
      <c r="M296" s="188">
        <v>1.1000000000000001</v>
      </c>
      <c r="N296" s="181" t="s">
        <v>835</v>
      </c>
      <c r="O296" s="181" t="s">
        <v>1938</v>
      </c>
      <c r="P296" s="188">
        <f>(C10)</f>
        <v>150</v>
      </c>
      <c r="Q296" s="181" t="s">
        <v>835</v>
      </c>
      <c r="R296" s="188">
        <f>(M296*P296)</f>
        <v>165</v>
      </c>
      <c r="AG296" s="181" t="s">
        <v>2175</v>
      </c>
    </row>
    <row r="297" spans="1:33" hidden="1">
      <c r="A297" s="240">
        <f t="shared" si="15"/>
        <v>137</v>
      </c>
      <c r="B297" s="181" t="s">
        <v>1215</v>
      </c>
      <c r="C297" s="8">
        <v>2.2000000000000002</v>
      </c>
      <c r="D297" s="1" t="s">
        <v>739</v>
      </c>
      <c r="E297"/>
      <c r="F297" s="188">
        <v>7.1</v>
      </c>
      <c r="G297" s="187" t="s">
        <v>835</v>
      </c>
      <c r="H297" s="181" t="s">
        <v>1938</v>
      </c>
      <c r="I297" s="8">
        <f>(C10)</f>
        <v>150</v>
      </c>
      <c r="J297" s="2" t="s">
        <v>835</v>
      </c>
      <c r="K297" s="8">
        <f t="shared" si="16"/>
        <v>1065</v>
      </c>
      <c r="M297" s="188">
        <v>0.5</v>
      </c>
      <c r="N297" s="181" t="s">
        <v>835</v>
      </c>
      <c r="O297" s="181" t="s">
        <v>1836</v>
      </c>
      <c r="P297" s="188">
        <f>(C12)</f>
        <v>95</v>
      </c>
      <c r="Q297" s="181" t="s">
        <v>835</v>
      </c>
      <c r="R297" s="188">
        <f>(M297*P297)</f>
        <v>47.5</v>
      </c>
      <c r="AG297" s="181" t="s">
        <v>2175</v>
      </c>
    </row>
    <row r="298" spans="1:33" hidden="1">
      <c r="A298" s="240">
        <f t="shared" si="15"/>
        <v>138</v>
      </c>
      <c r="B298" s="181" t="s">
        <v>1392</v>
      </c>
      <c r="C298" s="8">
        <v>10.5</v>
      </c>
      <c r="D298" s="1" t="s">
        <v>739</v>
      </c>
      <c r="E298"/>
      <c r="F298" s="188">
        <v>10.6</v>
      </c>
      <c r="G298" s="187" t="s">
        <v>835</v>
      </c>
      <c r="H298" s="181" t="s">
        <v>1654</v>
      </c>
      <c r="I298" s="8">
        <f>(C11)</f>
        <v>135</v>
      </c>
      <c r="J298" s="2" t="s">
        <v>835</v>
      </c>
      <c r="K298" s="8">
        <f t="shared" si="16"/>
        <v>1431</v>
      </c>
      <c r="M298" s="188">
        <v>1.1000000000000001</v>
      </c>
      <c r="N298" s="181" t="s">
        <v>835</v>
      </c>
      <c r="O298" s="181" t="s">
        <v>299</v>
      </c>
      <c r="P298" s="188">
        <f>(C13)</f>
        <v>85</v>
      </c>
      <c r="Q298" s="181" t="s">
        <v>835</v>
      </c>
      <c r="R298" s="188">
        <f>(M298*P298)</f>
        <v>93.5</v>
      </c>
      <c r="AG298" s="181" t="s">
        <v>2175</v>
      </c>
    </row>
    <row r="299" spans="1:33" hidden="1">
      <c r="A299" s="240">
        <f t="shared" si="15"/>
        <v>139</v>
      </c>
      <c r="B299" s="181" t="s">
        <v>1393</v>
      </c>
      <c r="C299" s="8">
        <v>5.5</v>
      </c>
      <c r="D299" s="1" t="s">
        <v>739</v>
      </c>
      <c r="E299"/>
      <c r="F299" s="188">
        <v>14.1</v>
      </c>
      <c r="G299" s="187" t="s">
        <v>835</v>
      </c>
      <c r="H299" s="181" t="s">
        <v>1836</v>
      </c>
      <c r="I299" s="8">
        <f>(C12)</f>
        <v>95</v>
      </c>
      <c r="J299" s="2" t="s">
        <v>835</v>
      </c>
      <c r="K299" s="8">
        <f t="shared" si="16"/>
        <v>1339.5</v>
      </c>
      <c r="N299" s="181" t="s">
        <v>419</v>
      </c>
      <c r="O299" s="181" t="s">
        <v>420</v>
      </c>
      <c r="P299" s="181" t="s">
        <v>940</v>
      </c>
      <c r="Q299" s="181" t="s">
        <v>419</v>
      </c>
      <c r="R299" s="188">
        <v>0</v>
      </c>
      <c r="AG299" s="181" t="s">
        <v>2175</v>
      </c>
    </row>
    <row r="300" spans="1:33" hidden="1">
      <c r="A300" s="240">
        <f t="shared" si="15"/>
        <v>140</v>
      </c>
      <c r="B300" s="181" t="s">
        <v>459</v>
      </c>
      <c r="C300" s="8">
        <v>21</v>
      </c>
      <c r="D300" s="1" t="s">
        <v>739</v>
      </c>
      <c r="E300"/>
      <c r="F300" s="188">
        <v>14.1</v>
      </c>
      <c r="G300" s="187" t="s">
        <v>835</v>
      </c>
      <c r="H300" s="181" t="s">
        <v>299</v>
      </c>
      <c r="I300" s="8">
        <f>(C13)</f>
        <v>85</v>
      </c>
      <c r="J300" s="2" t="s">
        <v>835</v>
      </c>
      <c r="K300" s="8">
        <f t="shared" si="16"/>
        <v>1198.5</v>
      </c>
      <c r="R300" s="185" t="s">
        <v>1530</v>
      </c>
      <c r="AG300" s="181" t="s">
        <v>2175</v>
      </c>
    </row>
    <row r="301" spans="1:33" hidden="1">
      <c r="A301" s="240">
        <f t="shared" si="15"/>
        <v>141</v>
      </c>
      <c r="B301" s="181" t="s">
        <v>460</v>
      </c>
      <c r="C301" s="8">
        <v>10</v>
      </c>
      <c r="D301" s="1" t="s">
        <v>739</v>
      </c>
      <c r="E301"/>
      <c r="G301" s="187" t="s">
        <v>419</v>
      </c>
      <c r="H301" s="181" t="s">
        <v>420</v>
      </c>
      <c r="I301"/>
      <c r="J301" s="2" t="s">
        <v>419</v>
      </c>
      <c r="K301" s="8">
        <v>0</v>
      </c>
      <c r="O301" s="181" t="s">
        <v>411</v>
      </c>
      <c r="R301" s="188" t="e">
        <f>SUM(R295:R299)</f>
        <v>#REF!</v>
      </c>
      <c r="AG301" s="181" t="s">
        <v>2175</v>
      </c>
    </row>
    <row r="302" spans="1:33" hidden="1">
      <c r="A302" s="240">
        <f t="shared" si="15"/>
        <v>142</v>
      </c>
      <c r="B302" s="181" t="s">
        <v>1742</v>
      </c>
      <c r="C302" s="8">
        <v>4</v>
      </c>
      <c r="D302" s="1" t="s">
        <v>739</v>
      </c>
      <c r="E302"/>
      <c r="I302"/>
      <c r="J302" s="4"/>
      <c r="K302" s="5" t="s">
        <v>1530</v>
      </c>
      <c r="R302" s="185" t="s">
        <v>1530</v>
      </c>
      <c r="AG302" s="181" t="s">
        <v>2175</v>
      </c>
    </row>
    <row r="303" spans="1:33" hidden="1">
      <c r="A303" s="240">
        <f t="shared" si="15"/>
        <v>143</v>
      </c>
      <c r="B303" s="181" t="s">
        <v>1111</v>
      </c>
      <c r="C303" s="8">
        <v>8</v>
      </c>
      <c r="D303" s="1" t="s">
        <v>835</v>
      </c>
      <c r="E303"/>
      <c r="H303" s="181" t="s">
        <v>583</v>
      </c>
      <c r="I303"/>
      <c r="J303" s="4"/>
      <c r="K303" s="8" t="e">
        <f>SUM(K294:K301)</f>
        <v>#REF!</v>
      </c>
      <c r="O303" s="181" t="s">
        <v>521</v>
      </c>
      <c r="R303" s="188" t="e">
        <f>(R301/10)</f>
        <v>#REF!</v>
      </c>
      <c r="AG303" s="181" t="s">
        <v>2175</v>
      </c>
    </row>
    <row r="304" spans="1:33" hidden="1">
      <c r="A304" s="240">
        <f t="shared" si="15"/>
        <v>144</v>
      </c>
      <c r="B304" s="181" t="s">
        <v>1112</v>
      </c>
      <c r="C304" s="8">
        <v>8.5</v>
      </c>
      <c r="D304" s="1" t="s">
        <v>739</v>
      </c>
      <c r="E304"/>
      <c r="I304"/>
      <c r="J304" s="4"/>
      <c r="K304" s="5" t="s">
        <v>1530</v>
      </c>
      <c r="N304" s="181" t="s">
        <v>2167</v>
      </c>
      <c r="O304" s="181" t="s">
        <v>461</v>
      </c>
      <c r="R304" s="185" t="s">
        <v>1980</v>
      </c>
      <c r="AG304" s="181" t="s">
        <v>2175</v>
      </c>
    </row>
    <row r="305" spans="1:33" hidden="1">
      <c r="A305" s="240">
        <f t="shared" si="15"/>
        <v>145</v>
      </c>
      <c r="B305" s="181" t="s">
        <v>573</v>
      </c>
      <c r="C305" s="8">
        <v>20.6</v>
      </c>
      <c r="D305" s="1" t="s">
        <v>739</v>
      </c>
      <c r="E305"/>
      <c r="H305" s="181" t="s">
        <v>743</v>
      </c>
      <c r="I305"/>
      <c r="J305" s="4"/>
      <c r="K305" s="8" t="e">
        <f>(K303/10)</f>
        <v>#REF!</v>
      </c>
      <c r="O305" s="185" t="s">
        <v>1530</v>
      </c>
      <c r="AG305" s="181" t="s">
        <v>2175</v>
      </c>
    </row>
    <row r="306" spans="1:33" hidden="1">
      <c r="A306" s="240">
        <f t="shared" si="15"/>
        <v>146</v>
      </c>
      <c r="B306" s="181" t="s">
        <v>1915</v>
      </c>
      <c r="C306" s="8">
        <v>15.6</v>
      </c>
      <c r="D306" s="1" t="s">
        <v>739</v>
      </c>
      <c r="E306"/>
      <c r="I306"/>
      <c r="J306" s="4"/>
      <c r="K306" s="5" t="s">
        <v>1980</v>
      </c>
      <c r="M306" s="188">
        <v>0.14000000000000001</v>
      </c>
      <c r="N306" s="181" t="s">
        <v>836</v>
      </c>
      <c r="O306" s="181" t="s">
        <v>117</v>
      </c>
      <c r="P306" s="188" t="e">
        <f>(K23)</f>
        <v>#REF!</v>
      </c>
      <c r="Q306" s="181" t="s">
        <v>836</v>
      </c>
      <c r="R306" s="188" t="e">
        <f>(M306*P306)</f>
        <v>#REF!</v>
      </c>
      <c r="AG306" s="181" t="s">
        <v>2175</v>
      </c>
    </row>
    <row r="307" spans="1:33" hidden="1">
      <c r="A307" s="240">
        <f t="shared" si="15"/>
        <v>147</v>
      </c>
      <c r="B307" s="181" t="s">
        <v>1916</v>
      </c>
      <c r="C307" s="8">
        <v>0.9</v>
      </c>
      <c r="D307" s="1" t="s">
        <v>739</v>
      </c>
      <c r="E307"/>
      <c r="F307" s="242">
        <v>6</v>
      </c>
      <c r="G307" s="187" t="s">
        <v>2167</v>
      </c>
      <c r="H307" s="181" t="s">
        <v>3085</v>
      </c>
      <c r="I307"/>
      <c r="J307" s="4"/>
      <c r="K307"/>
      <c r="M307" s="188">
        <v>1.1000000000000001</v>
      </c>
      <c r="N307" s="181" t="s">
        <v>835</v>
      </c>
      <c r="O307" s="181" t="s">
        <v>1938</v>
      </c>
      <c r="P307" s="188">
        <f>(C10)</f>
        <v>150</v>
      </c>
      <c r="Q307" s="181" t="s">
        <v>835</v>
      </c>
      <c r="R307" s="188">
        <f>(M307*P307)</f>
        <v>165</v>
      </c>
      <c r="AG307" s="181" t="s">
        <v>2175</v>
      </c>
    </row>
    <row r="308" spans="1:33" hidden="1">
      <c r="A308" s="240">
        <f t="shared" si="15"/>
        <v>148</v>
      </c>
      <c r="B308" s="181" t="s">
        <v>1917</v>
      </c>
      <c r="C308" s="1" t="s">
        <v>940</v>
      </c>
      <c r="D308"/>
      <c r="E308"/>
      <c r="H308" s="181" t="s">
        <v>2853</v>
      </c>
      <c r="I308"/>
      <c r="J308" s="4"/>
      <c r="K308"/>
      <c r="M308" s="188">
        <v>0.5</v>
      </c>
      <c r="N308" s="181" t="s">
        <v>835</v>
      </c>
      <c r="O308" s="181" t="s">
        <v>1836</v>
      </c>
      <c r="P308" s="188">
        <f>(C12)</f>
        <v>95</v>
      </c>
      <c r="Q308" s="181" t="s">
        <v>835</v>
      </c>
      <c r="R308" s="188">
        <f>(M308*P308)</f>
        <v>47.5</v>
      </c>
      <c r="AG308" s="181" t="s">
        <v>2175</v>
      </c>
    </row>
    <row r="309" spans="1:33" hidden="1">
      <c r="A309" s="240">
        <f t="shared" si="15"/>
        <v>149</v>
      </c>
      <c r="B309" s="181" t="s">
        <v>225</v>
      </c>
      <c r="C309" s="8">
        <v>66.44</v>
      </c>
      <c r="D309" s="1" t="s">
        <v>1714</v>
      </c>
      <c r="E309"/>
      <c r="H309" s="185" t="s">
        <v>1530</v>
      </c>
      <c r="I309"/>
      <c r="J309" s="4"/>
      <c r="K309"/>
      <c r="M309" s="188">
        <v>1.1000000000000001</v>
      </c>
      <c r="N309" s="181" t="s">
        <v>835</v>
      </c>
      <c r="O309" s="181" t="s">
        <v>299</v>
      </c>
      <c r="P309" s="188">
        <f>(C13)</f>
        <v>85</v>
      </c>
      <c r="Q309" s="181" t="s">
        <v>835</v>
      </c>
      <c r="R309" s="188">
        <f>(M309*P309)</f>
        <v>93.5</v>
      </c>
      <c r="AG309" s="181" t="s">
        <v>2175</v>
      </c>
    </row>
    <row r="310" spans="1:33" hidden="1">
      <c r="A310" s="240">
        <f t="shared" si="15"/>
        <v>150</v>
      </c>
      <c r="B310" s="181" t="s">
        <v>226</v>
      </c>
      <c r="C310" s="8">
        <v>83.5</v>
      </c>
      <c r="D310" s="1" t="s">
        <v>1714</v>
      </c>
      <c r="E310"/>
      <c r="F310" s="188">
        <v>4800</v>
      </c>
      <c r="G310" s="187" t="s">
        <v>1368</v>
      </c>
      <c r="H310" s="188" t="str">
        <f>H308</f>
        <v>Bricks of size 22x11x7 cm</v>
      </c>
      <c r="I310" s="8" t="e">
        <f>C80</f>
        <v>#REF!</v>
      </c>
      <c r="J310" s="2" t="s">
        <v>1538</v>
      </c>
      <c r="K310" s="8" t="e">
        <f>(F310*I310)/1000</f>
        <v>#REF!</v>
      </c>
      <c r="N310" s="181" t="s">
        <v>419</v>
      </c>
      <c r="O310" s="181" t="s">
        <v>420</v>
      </c>
      <c r="P310" s="181" t="s">
        <v>940</v>
      </c>
      <c r="Q310" s="181" t="s">
        <v>419</v>
      </c>
      <c r="R310" s="188">
        <v>0</v>
      </c>
      <c r="AG310" s="181" t="s">
        <v>2175</v>
      </c>
    </row>
    <row r="311" spans="1:33" hidden="1">
      <c r="A311" s="240">
        <f t="shared" si="15"/>
        <v>151</v>
      </c>
      <c r="B311" s="181" t="s">
        <v>227</v>
      </c>
      <c r="C311" s="8">
        <v>102.12</v>
      </c>
      <c r="D311" s="1" t="s">
        <v>1714</v>
      </c>
      <c r="E311"/>
      <c r="F311" s="188">
        <v>2.5</v>
      </c>
      <c r="G311" s="187" t="s">
        <v>836</v>
      </c>
      <c r="H311" s="181" t="s">
        <v>1571</v>
      </c>
      <c r="I311" s="8" t="e">
        <f>K49</f>
        <v>#REF!</v>
      </c>
      <c r="J311" s="2" t="s">
        <v>836</v>
      </c>
      <c r="K311" s="8" t="e">
        <f>(F311*I311)</f>
        <v>#REF!</v>
      </c>
      <c r="R311" s="185" t="s">
        <v>1530</v>
      </c>
      <c r="AG311" s="181" t="s">
        <v>2175</v>
      </c>
    </row>
    <row r="312" spans="1:33" hidden="1">
      <c r="A312" s="240">
        <f t="shared" si="15"/>
        <v>152</v>
      </c>
      <c r="B312" s="181" t="s">
        <v>2139</v>
      </c>
      <c r="C312" s="8">
        <v>182.52</v>
      </c>
      <c r="D312" s="1" t="s">
        <v>1714</v>
      </c>
      <c r="E312"/>
      <c r="F312" s="188">
        <v>3.5</v>
      </c>
      <c r="G312" s="187" t="s">
        <v>835</v>
      </c>
      <c r="H312" s="181" t="s">
        <v>1938</v>
      </c>
      <c r="I312" s="8">
        <f>C10</f>
        <v>150</v>
      </c>
      <c r="J312" s="2" t="s">
        <v>835</v>
      </c>
      <c r="K312" s="8">
        <f>(F312*I312)</f>
        <v>525</v>
      </c>
      <c r="O312" s="181" t="s">
        <v>411</v>
      </c>
      <c r="R312" s="188" t="e">
        <f>SUM(R306:R310)</f>
        <v>#REF!</v>
      </c>
      <c r="AG312" s="181" t="s">
        <v>2175</v>
      </c>
    </row>
    <row r="313" spans="1:33" hidden="1">
      <c r="A313" s="240">
        <f t="shared" si="15"/>
        <v>153</v>
      </c>
      <c r="B313" s="181" t="s">
        <v>2140</v>
      </c>
      <c r="C313"/>
      <c r="D313"/>
      <c r="E313"/>
      <c r="F313" s="188">
        <v>10.6</v>
      </c>
      <c r="G313" s="187" t="s">
        <v>835</v>
      </c>
      <c r="H313" s="181" t="s">
        <v>1654</v>
      </c>
      <c r="I313" s="8">
        <f>C11</f>
        <v>135</v>
      </c>
      <c r="J313" s="2" t="s">
        <v>835</v>
      </c>
      <c r="K313" s="8">
        <f>(F313*I313)</f>
        <v>1431</v>
      </c>
      <c r="R313" s="185" t="s">
        <v>1530</v>
      </c>
      <c r="AG313" s="181" t="s">
        <v>2175</v>
      </c>
    </row>
    <row r="314" spans="1:33" hidden="1">
      <c r="A314" s="240">
        <f t="shared" si="15"/>
        <v>154</v>
      </c>
      <c r="B314" s="181" t="s">
        <v>225</v>
      </c>
      <c r="C314" s="8">
        <v>26.62</v>
      </c>
      <c r="D314" s="1" t="s">
        <v>739</v>
      </c>
      <c r="E314"/>
      <c r="F314" s="188">
        <v>7.1</v>
      </c>
      <c r="G314" s="187" t="s">
        <v>835</v>
      </c>
      <c r="H314" s="181" t="s">
        <v>1836</v>
      </c>
      <c r="I314" s="8">
        <f>C12</f>
        <v>95</v>
      </c>
      <c r="J314" s="2" t="s">
        <v>835</v>
      </c>
      <c r="K314" s="8">
        <f>(F314*I314)</f>
        <v>674.5</v>
      </c>
      <c r="O314" s="181" t="s">
        <v>521</v>
      </c>
      <c r="R314" s="188" t="e">
        <f>(R312/10)</f>
        <v>#REF!</v>
      </c>
      <c r="AG314" s="181" t="s">
        <v>2175</v>
      </c>
    </row>
    <row r="315" spans="1:33" hidden="1">
      <c r="A315" s="240">
        <f t="shared" si="15"/>
        <v>155</v>
      </c>
      <c r="B315" s="181" t="s">
        <v>226</v>
      </c>
      <c r="C315" s="8">
        <v>34.869999999999997</v>
      </c>
      <c r="D315" s="1" t="s">
        <v>739</v>
      </c>
      <c r="E315"/>
      <c r="F315" s="188">
        <v>21.2</v>
      </c>
      <c r="G315" s="187" t="s">
        <v>835</v>
      </c>
      <c r="H315" s="181" t="s">
        <v>299</v>
      </c>
      <c r="I315" s="8">
        <f>C13</f>
        <v>85</v>
      </c>
      <c r="J315" s="2" t="s">
        <v>835</v>
      </c>
      <c r="K315" s="8">
        <f>(F315*I315)</f>
        <v>1802</v>
      </c>
      <c r="R315" s="185" t="s">
        <v>1980</v>
      </c>
      <c r="AG315" s="181" t="s">
        <v>2175</v>
      </c>
    </row>
    <row r="316" spans="1:33" hidden="1">
      <c r="A316" s="240">
        <f t="shared" si="15"/>
        <v>156</v>
      </c>
      <c r="B316" s="181" t="s">
        <v>227</v>
      </c>
      <c r="C316" s="8">
        <v>45</v>
      </c>
      <c r="D316" s="1" t="s">
        <v>739</v>
      </c>
      <c r="E316"/>
      <c r="G316" s="187" t="s">
        <v>419</v>
      </c>
      <c r="H316" s="181" t="s">
        <v>420</v>
      </c>
      <c r="I316"/>
      <c r="J316" s="2" t="s">
        <v>419</v>
      </c>
      <c r="K316" s="8">
        <v>0</v>
      </c>
      <c r="N316" s="181" t="s">
        <v>2167</v>
      </c>
      <c r="O316" s="181" t="s">
        <v>2141</v>
      </c>
      <c r="AG316" s="181" t="s">
        <v>2175</v>
      </c>
    </row>
    <row r="317" spans="1:33" hidden="1">
      <c r="A317" s="240">
        <f t="shared" si="15"/>
        <v>157</v>
      </c>
      <c r="B317" s="181" t="s">
        <v>2139</v>
      </c>
      <c r="C317" s="8">
        <v>99.75</v>
      </c>
      <c r="D317" s="1" t="s">
        <v>739</v>
      </c>
      <c r="E317"/>
      <c r="I317"/>
      <c r="J317" s="4"/>
      <c r="K317" s="5" t="s">
        <v>1530</v>
      </c>
      <c r="O317" s="185" t="s">
        <v>1530</v>
      </c>
      <c r="AG317" s="181" t="s">
        <v>2175</v>
      </c>
    </row>
    <row r="318" spans="1:33" hidden="1">
      <c r="A318" s="240">
        <f t="shared" si="15"/>
        <v>158</v>
      </c>
      <c r="B318" s="181" t="s">
        <v>2104</v>
      </c>
      <c r="C318"/>
      <c r="D318"/>
      <c r="E318"/>
      <c r="H318" s="181" t="s">
        <v>583</v>
      </c>
      <c r="I318"/>
      <c r="J318" s="4"/>
      <c r="K318" s="8" t="e">
        <f>SUM(K310:K316)</f>
        <v>#REF!</v>
      </c>
      <c r="M318" s="188">
        <v>0.1</v>
      </c>
      <c r="N318" s="181" t="s">
        <v>836</v>
      </c>
      <c r="O318" s="181" t="s">
        <v>117</v>
      </c>
      <c r="P318" s="188" t="e">
        <f>(K23)</f>
        <v>#REF!</v>
      </c>
      <c r="Q318" s="181" t="s">
        <v>836</v>
      </c>
      <c r="R318" s="188" t="e">
        <f>(M318*P318)</f>
        <v>#REF!</v>
      </c>
      <c r="AG318" s="181" t="s">
        <v>2175</v>
      </c>
    </row>
    <row r="319" spans="1:33" hidden="1">
      <c r="A319" s="240">
        <f t="shared" si="15"/>
        <v>159</v>
      </c>
      <c r="B319" s="181" t="s">
        <v>225</v>
      </c>
      <c r="C319" s="8">
        <v>43.47</v>
      </c>
      <c r="D319" s="1" t="s">
        <v>739</v>
      </c>
      <c r="E319"/>
      <c r="I319"/>
      <c r="J319" s="4"/>
      <c r="K319" s="5" t="s">
        <v>1530</v>
      </c>
      <c r="M319" s="188">
        <v>1.1000000000000001</v>
      </c>
      <c r="N319" s="181" t="s">
        <v>835</v>
      </c>
      <c r="O319" s="181" t="s">
        <v>1938</v>
      </c>
      <c r="P319" s="188">
        <f>(C10)</f>
        <v>150</v>
      </c>
      <c r="Q319" s="181" t="s">
        <v>835</v>
      </c>
      <c r="R319" s="188">
        <f>(M319*P319)</f>
        <v>165</v>
      </c>
      <c r="AG319" s="181" t="s">
        <v>2175</v>
      </c>
    </row>
    <row r="320" spans="1:33" hidden="1">
      <c r="A320" s="240">
        <f t="shared" si="15"/>
        <v>160</v>
      </c>
      <c r="B320" s="181" t="s">
        <v>226</v>
      </c>
      <c r="C320" s="8">
        <v>50.34</v>
      </c>
      <c r="D320" s="1" t="s">
        <v>739</v>
      </c>
      <c r="E320"/>
      <c r="H320" s="181" t="s">
        <v>743</v>
      </c>
      <c r="I320"/>
      <c r="J320" s="4"/>
      <c r="K320" s="8" t="e">
        <f>(K318/10)</f>
        <v>#REF!</v>
      </c>
      <c r="M320" s="188">
        <v>1.1000000000000001</v>
      </c>
      <c r="N320" s="181" t="s">
        <v>835</v>
      </c>
      <c r="O320" s="181" t="s">
        <v>1836</v>
      </c>
      <c r="P320" s="188">
        <f>(C12)</f>
        <v>95</v>
      </c>
      <c r="Q320" s="181" t="s">
        <v>835</v>
      </c>
      <c r="R320" s="188">
        <f>(M320*P320)</f>
        <v>104.5</v>
      </c>
      <c r="AG320" s="181" t="s">
        <v>300</v>
      </c>
    </row>
    <row r="321" spans="1:33" hidden="1">
      <c r="A321" s="240">
        <f t="shared" si="15"/>
        <v>161</v>
      </c>
      <c r="B321" s="181" t="s">
        <v>227</v>
      </c>
      <c r="C321" s="8">
        <v>65.209999999999994</v>
      </c>
      <c r="D321" s="1" t="s">
        <v>739</v>
      </c>
      <c r="E321"/>
      <c r="I321"/>
      <c r="J321" s="4"/>
      <c r="K321" s="5" t="s">
        <v>1980</v>
      </c>
      <c r="M321" s="188">
        <v>1.1000000000000001</v>
      </c>
      <c r="N321" s="181" t="s">
        <v>835</v>
      </c>
      <c r="O321" s="181" t="s">
        <v>299</v>
      </c>
      <c r="P321" s="188">
        <f>(C13)</f>
        <v>85</v>
      </c>
      <c r="Q321" s="181" t="s">
        <v>835</v>
      </c>
      <c r="R321" s="188">
        <f>(M321*P321)</f>
        <v>93.5</v>
      </c>
    </row>
    <row r="322" spans="1:33" hidden="1">
      <c r="A322" s="240">
        <f t="shared" si="15"/>
        <v>162</v>
      </c>
      <c r="B322" s="181" t="s">
        <v>2139</v>
      </c>
      <c r="C322" s="8">
        <v>145.29</v>
      </c>
      <c r="D322" s="1" t="s">
        <v>739</v>
      </c>
      <c r="E322"/>
      <c r="H322" s="181" t="s">
        <v>361</v>
      </c>
      <c r="I322"/>
      <c r="J322" s="4"/>
      <c r="K322" s="8" t="e">
        <f>(K320+C19)</f>
        <v>#REF!</v>
      </c>
      <c r="N322" s="181" t="s">
        <v>419</v>
      </c>
      <c r="O322" s="181" t="s">
        <v>420</v>
      </c>
      <c r="P322" s="181" t="s">
        <v>940</v>
      </c>
      <c r="Q322" s="181" t="s">
        <v>419</v>
      </c>
      <c r="R322" s="188">
        <v>0</v>
      </c>
    </row>
    <row r="323" spans="1:33" hidden="1">
      <c r="A323" s="240">
        <f t="shared" si="15"/>
        <v>163</v>
      </c>
      <c r="B323" s="181" t="s">
        <v>2105</v>
      </c>
      <c r="C323"/>
      <c r="D323"/>
      <c r="E323"/>
      <c r="H323" s="181" t="s">
        <v>363</v>
      </c>
      <c r="I323"/>
      <c r="J323" s="4"/>
      <c r="K323" s="8" t="e">
        <f>(K322+C20)</f>
        <v>#REF!</v>
      </c>
      <c r="R323" s="185" t="s">
        <v>1530</v>
      </c>
      <c r="AG323" s="181" t="s">
        <v>2175</v>
      </c>
    </row>
    <row r="324" spans="1:33" hidden="1">
      <c r="A324" s="240">
        <f t="shared" si="15"/>
        <v>164</v>
      </c>
      <c r="B324" s="181" t="s">
        <v>225</v>
      </c>
      <c r="C324" s="8">
        <v>14.91</v>
      </c>
      <c r="D324" s="1" t="s">
        <v>1714</v>
      </c>
      <c r="E324"/>
      <c r="H324" s="181" t="s">
        <v>2149</v>
      </c>
      <c r="I324"/>
      <c r="J324" s="4"/>
      <c r="K324" s="8" t="e">
        <f>(K323+C21)</f>
        <v>#REF!</v>
      </c>
      <c r="O324" s="181" t="s">
        <v>411</v>
      </c>
      <c r="R324" s="188" t="e">
        <f>SUM(R318:R322)</f>
        <v>#REF!</v>
      </c>
      <c r="AG324" s="181" t="s">
        <v>2175</v>
      </c>
    </row>
    <row r="325" spans="1:33" hidden="1">
      <c r="A325" s="240">
        <f t="shared" si="15"/>
        <v>165</v>
      </c>
      <c r="B325" s="181" t="s">
        <v>226</v>
      </c>
      <c r="C325" s="8">
        <v>19.41</v>
      </c>
      <c r="D325" s="1" t="s">
        <v>1714</v>
      </c>
      <c r="E325"/>
      <c r="H325" s="181" t="s">
        <v>355</v>
      </c>
      <c r="I325"/>
      <c r="J325" s="4"/>
      <c r="K325" s="8" t="e">
        <f>(K324+C21)</f>
        <v>#REF!</v>
      </c>
      <c r="R325" s="185" t="s">
        <v>1530</v>
      </c>
      <c r="AG325" s="181" t="s">
        <v>2175</v>
      </c>
    </row>
    <row r="326" spans="1:33" hidden="1">
      <c r="A326" s="240">
        <f t="shared" si="15"/>
        <v>166</v>
      </c>
      <c r="B326" s="181" t="s">
        <v>227</v>
      </c>
      <c r="C326" s="8">
        <v>22.22</v>
      </c>
      <c r="D326" s="1" t="s">
        <v>1714</v>
      </c>
      <c r="E326"/>
      <c r="H326" s="181" t="s">
        <v>453</v>
      </c>
      <c r="I326"/>
      <c r="J326" s="4"/>
      <c r="K326" s="8" t="e">
        <f>(K325+C21)</f>
        <v>#REF!</v>
      </c>
      <c r="O326" s="181" t="s">
        <v>521</v>
      </c>
      <c r="R326" s="188" t="e">
        <f>(R324/10)</f>
        <v>#REF!</v>
      </c>
      <c r="AG326" s="181" t="s">
        <v>2175</v>
      </c>
    </row>
    <row r="327" spans="1:33" hidden="1">
      <c r="A327" s="240"/>
      <c r="B327" s="181"/>
      <c r="C327" s="8"/>
      <c r="D327" s="1"/>
      <c r="E327"/>
      <c r="H327" s="181"/>
      <c r="I327"/>
      <c r="J327" s="4"/>
      <c r="K327" s="8"/>
      <c r="O327" s="181"/>
      <c r="R327" s="188"/>
      <c r="AG327" s="181"/>
    </row>
    <row r="328" spans="1:33" hidden="1">
      <c r="A328" s="240"/>
      <c r="B328" s="181"/>
      <c r="C328" s="8"/>
      <c r="D328" s="1"/>
      <c r="E328"/>
      <c r="F328" s="236" t="s">
        <v>607</v>
      </c>
      <c r="H328" s="181" t="s">
        <v>1551</v>
      </c>
      <c r="I328"/>
      <c r="J328" s="4"/>
      <c r="K328" s="1" t="s">
        <v>2854</v>
      </c>
      <c r="O328" s="181"/>
      <c r="R328" s="188"/>
      <c r="AG328" s="181"/>
    </row>
    <row r="329" spans="1:33" hidden="1">
      <c r="A329" s="240"/>
      <c r="B329" s="181"/>
      <c r="C329" s="8"/>
      <c r="D329" s="1"/>
      <c r="E329"/>
      <c r="H329" s="181" t="s">
        <v>608</v>
      </c>
      <c r="I329"/>
      <c r="J329" s="4"/>
      <c r="K329" s="5" t="s">
        <v>1980</v>
      </c>
      <c r="O329" s="181"/>
      <c r="R329" s="188"/>
      <c r="AG329" s="181"/>
    </row>
    <row r="330" spans="1:33" hidden="1">
      <c r="A330" s="240"/>
      <c r="B330" s="181"/>
      <c r="C330" s="8"/>
      <c r="D330" s="1"/>
      <c r="E330"/>
      <c r="H330" s="181"/>
      <c r="I330"/>
      <c r="J330" s="4"/>
      <c r="K330" s="8"/>
      <c r="O330" s="181"/>
      <c r="R330" s="188"/>
      <c r="AG330" s="181"/>
    </row>
    <row r="331" spans="1:33" hidden="1">
      <c r="A331" s="240">
        <f>(A326+1)</f>
        <v>167</v>
      </c>
      <c r="B331" s="181" t="s">
        <v>2139</v>
      </c>
      <c r="C331" s="8">
        <v>46.42</v>
      </c>
      <c r="D331" s="1" t="s">
        <v>1714</v>
      </c>
      <c r="E331"/>
      <c r="F331" s="242">
        <v>9</v>
      </c>
      <c r="G331" s="187" t="s">
        <v>2167</v>
      </c>
      <c r="H331" s="181" t="s">
        <v>3044</v>
      </c>
      <c r="I331"/>
      <c r="J331" s="4"/>
      <c r="K331"/>
      <c r="R331" s="185" t="s">
        <v>1980</v>
      </c>
      <c r="AG331" s="181" t="s">
        <v>2175</v>
      </c>
    </row>
    <row r="332" spans="1:33" hidden="1">
      <c r="A332" s="240">
        <f t="shared" ref="A332:A363" si="17">(A331+1)</f>
        <v>168</v>
      </c>
      <c r="B332" s="181" t="s">
        <v>2106</v>
      </c>
      <c r="C332"/>
      <c r="D332"/>
      <c r="E332"/>
      <c r="H332" s="188" t="str">
        <f>H308</f>
        <v>Bricks of size 22x11x7 cm</v>
      </c>
      <c r="I332"/>
      <c r="J332" s="4"/>
      <c r="K332"/>
      <c r="AG332" s="181" t="s">
        <v>2175</v>
      </c>
    </row>
    <row r="333" spans="1:33" hidden="1">
      <c r="A333" s="240">
        <f t="shared" si="17"/>
        <v>169</v>
      </c>
      <c r="B333" s="181" t="s">
        <v>225</v>
      </c>
      <c r="C333" s="8">
        <v>8.58</v>
      </c>
      <c r="D333" s="1" t="s">
        <v>739</v>
      </c>
      <c r="E333"/>
      <c r="H333" s="185" t="s">
        <v>1530</v>
      </c>
      <c r="I333"/>
      <c r="J333" s="4"/>
      <c r="K333"/>
      <c r="N333" s="181" t="s">
        <v>2167</v>
      </c>
      <c r="O333" s="181" t="s">
        <v>2107</v>
      </c>
      <c r="AG333" s="181" t="s">
        <v>2175</v>
      </c>
    </row>
    <row r="334" spans="1:33" hidden="1">
      <c r="A334" s="240">
        <f t="shared" si="17"/>
        <v>170</v>
      </c>
      <c r="B334" s="181" t="s">
        <v>226</v>
      </c>
      <c r="C334" s="8">
        <v>12.26</v>
      </c>
      <c r="D334" s="1" t="s">
        <v>739</v>
      </c>
      <c r="E334"/>
      <c r="F334" s="188">
        <f>F310</f>
        <v>4800</v>
      </c>
      <c r="G334" s="187" t="s">
        <v>1368</v>
      </c>
      <c r="H334" s="188" t="str">
        <f>H308</f>
        <v>Bricks of size 22x11x7 cm</v>
      </c>
      <c r="I334" s="8" t="e">
        <f>C80</f>
        <v>#REF!</v>
      </c>
      <c r="J334" s="2" t="s">
        <v>1538</v>
      </c>
      <c r="K334" s="8" t="e">
        <f>(F334*I334)/1000</f>
        <v>#REF!</v>
      </c>
      <c r="O334" s="185" t="s">
        <v>1530</v>
      </c>
      <c r="AG334" s="181" t="s">
        <v>2175</v>
      </c>
    </row>
    <row r="335" spans="1:33" hidden="1">
      <c r="A335" s="240">
        <f t="shared" si="17"/>
        <v>171</v>
      </c>
      <c r="B335" s="181" t="s">
        <v>227</v>
      </c>
      <c r="C335" s="8">
        <v>13.89</v>
      </c>
      <c r="D335" s="1" t="s">
        <v>739</v>
      </c>
      <c r="E335"/>
      <c r="F335" s="188">
        <f>F311</f>
        <v>2.5</v>
      </c>
      <c r="G335" s="187" t="s">
        <v>836</v>
      </c>
      <c r="H335" s="181" t="s">
        <v>1577</v>
      </c>
      <c r="I335" s="8" t="e">
        <f>K58</f>
        <v>#REF!</v>
      </c>
      <c r="J335" s="2" t="s">
        <v>836</v>
      </c>
      <c r="K335" s="8" t="e">
        <f>(F335*I335)</f>
        <v>#REF!</v>
      </c>
      <c r="M335" s="188">
        <v>0.22</v>
      </c>
      <c r="N335" s="181" t="s">
        <v>836</v>
      </c>
      <c r="O335" s="181" t="s">
        <v>1571</v>
      </c>
      <c r="P335" s="188" t="e">
        <f>(K49)</f>
        <v>#REF!</v>
      </c>
      <c r="Q335" s="181" t="s">
        <v>836</v>
      </c>
      <c r="R335" s="188" t="e">
        <f>(M335*P335)</f>
        <v>#REF!</v>
      </c>
      <c r="AG335" s="181" t="s">
        <v>2175</v>
      </c>
    </row>
    <row r="336" spans="1:33" hidden="1">
      <c r="A336" s="240">
        <f t="shared" si="17"/>
        <v>172</v>
      </c>
      <c r="B336" s="181" t="s">
        <v>2139</v>
      </c>
      <c r="C336" s="8">
        <v>36.25</v>
      </c>
      <c r="D336" s="1" t="s">
        <v>739</v>
      </c>
      <c r="E336"/>
      <c r="F336" s="188">
        <v>3.5</v>
      </c>
      <c r="G336" s="187" t="s">
        <v>835</v>
      </c>
      <c r="H336" s="181" t="s">
        <v>1938</v>
      </c>
      <c r="I336" s="8">
        <f>C10</f>
        <v>150</v>
      </c>
      <c r="J336" s="2" t="s">
        <v>835</v>
      </c>
      <c r="K336" s="8">
        <f>(F336*I336)</f>
        <v>525</v>
      </c>
      <c r="M336" s="188">
        <v>2.2000000000000002</v>
      </c>
      <c r="N336" s="181" t="s">
        <v>835</v>
      </c>
      <c r="O336" s="181" t="s">
        <v>1938</v>
      </c>
      <c r="P336" s="188">
        <f>(C10)</f>
        <v>150</v>
      </c>
      <c r="Q336" s="181" t="s">
        <v>835</v>
      </c>
      <c r="R336" s="188">
        <f>(M336*P336)</f>
        <v>330</v>
      </c>
      <c r="AG336" s="181" t="s">
        <v>2175</v>
      </c>
    </row>
    <row r="337" spans="1:33" hidden="1">
      <c r="A337" s="240">
        <f t="shared" si="17"/>
        <v>173</v>
      </c>
      <c r="B337" s="181" t="s">
        <v>2108</v>
      </c>
      <c r="C337"/>
      <c r="D337"/>
      <c r="E337"/>
      <c r="F337" s="188">
        <v>10.6</v>
      </c>
      <c r="G337" s="187" t="s">
        <v>835</v>
      </c>
      <c r="H337" s="181" t="s">
        <v>1654</v>
      </c>
      <c r="I337" s="8">
        <f>C11</f>
        <v>135</v>
      </c>
      <c r="J337" s="2" t="s">
        <v>835</v>
      </c>
      <c r="K337" s="8">
        <f>(F337*I337)</f>
        <v>1431</v>
      </c>
      <c r="M337" s="188">
        <v>0.5</v>
      </c>
      <c r="N337" s="181" t="s">
        <v>835</v>
      </c>
      <c r="O337" s="181" t="s">
        <v>1836</v>
      </c>
      <c r="P337" s="188">
        <f>(C12)</f>
        <v>95</v>
      </c>
      <c r="Q337" s="181" t="s">
        <v>835</v>
      </c>
      <c r="R337" s="188">
        <f>(M337*P337)</f>
        <v>47.5</v>
      </c>
      <c r="AG337" s="181" t="s">
        <v>2175</v>
      </c>
    </row>
    <row r="338" spans="1:33" hidden="1">
      <c r="A338" s="240">
        <f t="shared" si="17"/>
        <v>174</v>
      </c>
      <c r="B338" s="181" t="s">
        <v>225</v>
      </c>
      <c r="C338" s="8">
        <v>15.7</v>
      </c>
      <c r="D338" s="1" t="s">
        <v>739</v>
      </c>
      <c r="E338"/>
      <c r="F338" s="188">
        <v>7.1</v>
      </c>
      <c r="G338" s="187" t="s">
        <v>835</v>
      </c>
      <c r="H338" s="181" t="s">
        <v>1836</v>
      </c>
      <c r="I338" s="8">
        <f>C12</f>
        <v>95</v>
      </c>
      <c r="J338" s="2" t="s">
        <v>835</v>
      </c>
      <c r="K338" s="8">
        <f>(F338*I338)</f>
        <v>674.5</v>
      </c>
      <c r="M338" s="188">
        <v>3.2</v>
      </c>
      <c r="N338" s="181" t="s">
        <v>835</v>
      </c>
      <c r="O338" s="181" t="s">
        <v>299</v>
      </c>
      <c r="P338" s="188">
        <f>(C13)</f>
        <v>85</v>
      </c>
      <c r="Q338" s="181" t="s">
        <v>835</v>
      </c>
      <c r="R338" s="188">
        <f>(M338*P338)</f>
        <v>272</v>
      </c>
      <c r="AG338" s="181" t="s">
        <v>2175</v>
      </c>
    </row>
    <row r="339" spans="1:33" hidden="1">
      <c r="A339" s="240">
        <f t="shared" si="17"/>
        <v>175</v>
      </c>
      <c r="B339" s="181" t="s">
        <v>226</v>
      </c>
      <c r="C339" s="8">
        <v>22.31</v>
      </c>
      <c r="D339" s="1" t="s">
        <v>739</v>
      </c>
      <c r="E339"/>
      <c r="F339" s="188">
        <v>21.2</v>
      </c>
      <c r="G339" s="187" t="s">
        <v>835</v>
      </c>
      <c r="H339" s="181" t="s">
        <v>299</v>
      </c>
      <c r="I339" s="8">
        <f>C13</f>
        <v>85</v>
      </c>
      <c r="J339" s="2" t="s">
        <v>835</v>
      </c>
      <c r="K339" s="8">
        <f>(F339*I339)</f>
        <v>1802</v>
      </c>
      <c r="N339" s="181" t="s">
        <v>419</v>
      </c>
      <c r="O339" s="181" t="s">
        <v>420</v>
      </c>
      <c r="P339" s="181" t="s">
        <v>940</v>
      </c>
      <c r="Q339" s="181" t="s">
        <v>419</v>
      </c>
      <c r="R339" s="188">
        <v>0</v>
      </c>
      <c r="AG339" s="181" t="s">
        <v>2175</v>
      </c>
    </row>
    <row r="340" spans="1:33" hidden="1">
      <c r="A340" s="240">
        <f t="shared" si="17"/>
        <v>176</v>
      </c>
      <c r="B340" s="181" t="s">
        <v>227</v>
      </c>
      <c r="C340" s="8">
        <v>25.24</v>
      </c>
      <c r="D340" s="1" t="s">
        <v>739</v>
      </c>
      <c r="E340"/>
      <c r="G340" s="187" t="s">
        <v>419</v>
      </c>
      <c r="H340" s="181" t="s">
        <v>420</v>
      </c>
      <c r="I340"/>
      <c r="J340" s="2" t="s">
        <v>419</v>
      </c>
      <c r="K340" s="8">
        <v>0</v>
      </c>
      <c r="R340" s="185" t="s">
        <v>1530</v>
      </c>
      <c r="AG340" s="181" t="s">
        <v>2175</v>
      </c>
    </row>
    <row r="341" spans="1:33" hidden="1">
      <c r="A341" s="240">
        <f t="shared" si="17"/>
        <v>177</v>
      </c>
      <c r="B341" s="181" t="s">
        <v>2139</v>
      </c>
      <c r="C341" s="8">
        <v>52.34</v>
      </c>
      <c r="D341" s="1" t="s">
        <v>739</v>
      </c>
      <c r="E341"/>
      <c r="I341"/>
      <c r="J341" s="4"/>
      <c r="K341" s="5" t="s">
        <v>1530</v>
      </c>
      <c r="O341" s="181" t="s">
        <v>411</v>
      </c>
      <c r="R341" s="188" t="e">
        <f>SUM(R335:R339)</f>
        <v>#REF!</v>
      </c>
      <c r="AG341" s="181" t="s">
        <v>2175</v>
      </c>
    </row>
    <row r="342" spans="1:33" hidden="1">
      <c r="A342" s="240">
        <f t="shared" si="17"/>
        <v>178</v>
      </c>
      <c r="B342" s="181" t="s">
        <v>1008</v>
      </c>
      <c r="C342"/>
      <c r="D342"/>
      <c r="E342"/>
      <c r="H342" s="181" t="s">
        <v>583</v>
      </c>
      <c r="I342"/>
      <c r="J342" s="4"/>
      <c r="K342" s="8" t="e">
        <f>SUM(K334:K340)</f>
        <v>#REF!</v>
      </c>
      <c r="R342" s="185" t="s">
        <v>1530</v>
      </c>
      <c r="AG342" s="181" t="s">
        <v>2175</v>
      </c>
    </row>
    <row r="343" spans="1:33" hidden="1">
      <c r="A343" s="240">
        <f t="shared" si="17"/>
        <v>179</v>
      </c>
      <c r="B343" s="181" t="s">
        <v>225</v>
      </c>
      <c r="C343" s="8">
        <v>13.73</v>
      </c>
      <c r="D343" s="1" t="s">
        <v>739</v>
      </c>
      <c r="E343"/>
      <c r="I343"/>
      <c r="J343" s="4"/>
      <c r="K343" s="5" t="s">
        <v>1530</v>
      </c>
      <c r="O343" s="181" t="s">
        <v>521</v>
      </c>
      <c r="R343" s="188" t="e">
        <f>(R341/10)</f>
        <v>#REF!</v>
      </c>
      <c r="AG343" s="181" t="s">
        <v>2175</v>
      </c>
    </row>
    <row r="344" spans="1:33" hidden="1">
      <c r="A344" s="240">
        <f t="shared" si="17"/>
        <v>180</v>
      </c>
      <c r="B344" s="181" t="s">
        <v>226</v>
      </c>
      <c r="C344" s="8">
        <v>20.16</v>
      </c>
      <c r="D344" s="1" t="s">
        <v>739</v>
      </c>
      <c r="E344"/>
      <c r="H344" s="181" t="s">
        <v>743</v>
      </c>
      <c r="I344"/>
      <c r="J344" s="4"/>
      <c r="K344" s="8" t="e">
        <f>(K342/10)</f>
        <v>#REF!</v>
      </c>
      <c r="R344" s="185" t="s">
        <v>1980</v>
      </c>
      <c r="AG344" s="181" t="s">
        <v>2175</v>
      </c>
    </row>
    <row r="345" spans="1:33" hidden="1">
      <c r="A345" s="240">
        <f t="shared" si="17"/>
        <v>181</v>
      </c>
      <c r="B345" s="181" t="s">
        <v>227</v>
      </c>
      <c r="C345" s="8">
        <v>22.73</v>
      </c>
      <c r="D345" s="1" t="s">
        <v>739</v>
      </c>
      <c r="E345"/>
      <c r="I345"/>
      <c r="J345" s="4"/>
      <c r="K345" s="5" t="s">
        <v>1980</v>
      </c>
      <c r="N345" s="181" t="s">
        <v>2167</v>
      </c>
      <c r="O345" s="181" t="s">
        <v>1009</v>
      </c>
      <c r="AG345" s="181" t="s">
        <v>2175</v>
      </c>
    </row>
    <row r="346" spans="1:33" hidden="1">
      <c r="A346" s="240">
        <f t="shared" si="17"/>
        <v>182</v>
      </c>
      <c r="B346" s="181" t="s">
        <v>2139</v>
      </c>
      <c r="C346" s="8">
        <v>46.98</v>
      </c>
      <c r="D346" s="1" t="s">
        <v>940</v>
      </c>
      <c r="E346"/>
      <c r="H346" s="181" t="s">
        <v>361</v>
      </c>
      <c r="I346"/>
      <c r="J346" s="4"/>
      <c r="K346" s="8" t="e">
        <f>(K344+C19)</f>
        <v>#REF!</v>
      </c>
      <c r="O346" s="185" t="s">
        <v>1530</v>
      </c>
      <c r="AG346" s="181" t="s">
        <v>2175</v>
      </c>
    </row>
    <row r="347" spans="1:33" hidden="1">
      <c r="A347" s="240">
        <f t="shared" si="17"/>
        <v>183</v>
      </c>
      <c r="B347" s="181" t="s">
        <v>1010</v>
      </c>
      <c r="C347"/>
      <c r="D347"/>
      <c r="E347"/>
      <c r="H347" s="181" t="s">
        <v>363</v>
      </c>
      <c r="I347"/>
      <c r="J347" s="4"/>
      <c r="K347" s="8" t="e">
        <f>(K346+C20)</f>
        <v>#REF!</v>
      </c>
      <c r="M347" s="188">
        <v>0.22</v>
      </c>
      <c r="N347" s="181" t="s">
        <v>836</v>
      </c>
      <c r="O347" s="181" t="s">
        <v>1301</v>
      </c>
      <c r="P347" s="188" t="e">
        <f>(K32)</f>
        <v>#REF!</v>
      </c>
      <c r="Q347" s="181" t="s">
        <v>836</v>
      </c>
      <c r="R347" s="188" t="e">
        <f>(M347*P347)</f>
        <v>#REF!</v>
      </c>
      <c r="AG347" s="181" t="s">
        <v>2175</v>
      </c>
    </row>
    <row r="348" spans="1:33" hidden="1">
      <c r="A348" s="240">
        <f t="shared" si="17"/>
        <v>184</v>
      </c>
      <c r="B348" s="181" t="s">
        <v>225</v>
      </c>
      <c r="C348" s="8">
        <v>19.3</v>
      </c>
      <c r="D348" s="1" t="s">
        <v>739</v>
      </c>
      <c r="E348"/>
      <c r="H348" s="181" t="s">
        <v>2149</v>
      </c>
      <c r="I348"/>
      <c r="J348" s="4"/>
      <c r="K348" s="8" t="e">
        <f>(K347+C21)</f>
        <v>#REF!</v>
      </c>
      <c r="M348" s="188">
        <v>2.2000000000000002</v>
      </c>
      <c r="N348" s="181" t="s">
        <v>835</v>
      </c>
      <c r="O348" s="181" t="s">
        <v>1938</v>
      </c>
      <c r="P348" s="188">
        <f>(C10)</f>
        <v>150</v>
      </c>
      <c r="Q348" s="181" t="s">
        <v>835</v>
      </c>
      <c r="R348" s="188">
        <f>(M348*P348)</f>
        <v>330</v>
      </c>
      <c r="AG348" s="181" t="s">
        <v>2175</v>
      </c>
    </row>
    <row r="349" spans="1:33" hidden="1">
      <c r="A349" s="240">
        <f t="shared" si="17"/>
        <v>185</v>
      </c>
      <c r="B349" s="181" t="s">
        <v>227</v>
      </c>
      <c r="C349" s="8">
        <v>33.46</v>
      </c>
      <c r="D349" s="1" t="s">
        <v>739</v>
      </c>
      <c r="E349"/>
      <c r="H349" s="181" t="s">
        <v>355</v>
      </c>
      <c r="I349"/>
      <c r="J349" s="4"/>
      <c r="K349" s="8" t="e">
        <f>(K348+C21)</f>
        <v>#REF!</v>
      </c>
      <c r="M349" s="188">
        <v>0.5</v>
      </c>
      <c r="N349" s="181" t="s">
        <v>835</v>
      </c>
      <c r="O349" s="181" t="s">
        <v>1836</v>
      </c>
      <c r="P349" s="188">
        <f>(C12)</f>
        <v>95</v>
      </c>
      <c r="Q349" s="181" t="s">
        <v>835</v>
      </c>
      <c r="R349" s="188">
        <f>(M349*P349)</f>
        <v>47.5</v>
      </c>
      <c r="AG349" s="181" t="s">
        <v>2175</v>
      </c>
    </row>
    <row r="350" spans="1:33" hidden="1">
      <c r="A350" s="240">
        <f t="shared" si="17"/>
        <v>186</v>
      </c>
      <c r="B350" s="181" t="s">
        <v>2139</v>
      </c>
      <c r="C350" s="8">
        <v>53.62</v>
      </c>
      <c r="D350" s="1" t="s">
        <v>739</v>
      </c>
      <c r="E350"/>
      <c r="F350" s="181" t="s">
        <v>940</v>
      </c>
      <c r="H350" s="181" t="s">
        <v>453</v>
      </c>
      <c r="I350"/>
      <c r="J350" s="4"/>
      <c r="K350" s="8" t="e">
        <f>(K349+C21)</f>
        <v>#REF!</v>
      </c>
      <c r="M350" s="188">
        <v>3.2</v>
      </c>
      <c r="N350" s="181" t="s">
        <v>835</v>
      </c>
      <c r="O350" s="181" t="s">
        <v>299</v>
      </c>
      <c r="P350" s="188">
        <f>(C13)</f>
        <v>85</v>
      </c>
      <c r="Q350" s="181" t="s">
        <v>835</v>
      </c>
      <c r="R350" s="188">
        <f>(M350*P350)</f>
        <v>272</v>
      </c>
      <c r="AG350" s="181" t="s">
        <v>2175</v>
      </c>
    </row>
    <row r="351" spans="1:33" hidden="1">
      <c r="A351" s="240">
        <f t="shared" si="17"/>
        <v>187</v>
      </c>
      <c r="B351" s="181" t="s">
        <v>125</v>
      </c>
      <c r="C351"/>
      <c r="D351"/>
      <c r="E351"/>
      <c r="F351" s="242">
        <v>27</v>
      </c>
      <c r="G351" s="187" t="s">
        <v>2167</v>
      </c>
      <c r="H351" s="181" t="s">
        <v>3045</v>
      </c>
      <c r="I351"/>
      <c r="J351" s="4"/>
      <c r="K351"/>
      <c r="N351" s="181" t="s">
        <v>419</v>
      </c>
      <c r="O351" s="181" t="s">
        <v>420</v>
      </c>
      <c r="P351" s="181" t="s">
        <v>940</v>
      </c>
      <c r="Q351" s="181" t="s">
        <v>419</v>
      </c>
      <c r="R351" s="188">
        <v>0</v>
      </c>
      <c r="AG351" s="181" t="s">
        <v>2175</v>
      </c>
    </row>
    <row r="352" spans="1:33" hidden="1">
      <c r="A352" s="240">
        <f t="shared" si="17"/>
        <v>188</v>
      </c>
      <c r="B352" s="181" t="s">
        <v>225</v>
      </c>
      <c r="C352" s="8">
        <v>13.73</v>
      </c>
      <c r="D352" s="1" t="s">
        <v>739</v>
      </c>
      <c r="E352"/>
      <c r="H352" s="188" t="str">
        <f>H308</f>
        <v>Bricks of size 22x11x7 cm</v>
      </c>
      <c r="I352"/>
      <c r="J352" s="4"/>
      <c r="K352"/>
      <c r="R352" s="185" t="s">
        <v>1530</v>
      </c>
      <c r="AG352" s="181" t="s">
        <v>2175</v>
      </c>
    </row>
    <row r="353" spans="1:33" hidden="1">
      <c r="A353" s="240">
        <f t="shared" si="17"/>
        <v>189</v>
      </c>
      <c r="B353" s="181" t="s">
        <v>226</v>
      </c>
      <c r="C353" s="8">
        <v>20.16</v>
      </c>
      <c r="D353" s="1" t="s">
        <v>739</v>
      </c>
      <c r="E353"/>
      <c r="H353" s="185" t="s">
        <v>1530</v>
      </c>
      <c r="I353"/>
      <c r="J353" s="4"/>
      <c r="K353"/>
      <c r="O353" s="181" t="s">
        <v>411</v>
      </c>
      <c r="R353" s="188" t="e">
        <f>SUM(R347:R351)</f>
        <v>#REF!</v>
      </c>
      <c r="AG353" s="181" t="s">
        <v>2175</v>
      </c>
    </row>
    <row r="354" spans="1:33" hidden="1">
      <c r="A354" s="240">
        <f t="shared" si="17"/>
        <v>190</v>
      </c>
      <c r="B354" s="181" t="s">
        <v>227</v>
      </c>
      <c r="C354" s="8">
        <v>22.73</v>
      </c>
      <c r="D354" s="1" t="s">
        <v>739</v>
      </c>
      <c r="E354"/>
      <c r="F354" s="188">
        <f>F310</f>
        <v>4800</v>
      </c>
      <c r="G354" s="187" t="s">
        <v>1368</v>
      </c>
      <c r="H354" s="188" t="str">
        <f>H308</f>
        <v>Bricks of size 22x11x7 cm</v>
      </c>
      <c r="I354" s="8" t="e">
        <f>C80</f>
        <v>#REF!</v>
      </c>
      <c r="J354" s="2" t="s">
        <v>1538</v>
      </c>
      <c r="K354" s="8" t="e">
        <f>(F354*I354)/1000</f>
        <v>#REF!</v>
      </c>
      <c r="R354" s="185" t="s">
        <v>1530</v>
      </c>
      <c r="AG354" s="181" t="s">
        <v>2175</v>
      </c>
    </row>
    <row r="355" spans="1:33" hidden="1">
      <c r="A355" s="240">
        <f t="shared" si="17"/>
        <v>191</v>
      </c>
      <c r="B355" s="181" t="s">
        <v>2139</v>
      </c>
      <c r="C355" s="8">
        <v>46.98</v>
      </c>
      <c r="D355" s="1" t="s">
        <v>739</v>
      </c>
      <c r="E355"/>
      <c r="F355" s="188">
        <f>F311</f>
        <v>2.5</v>
      </c>
      <c r="G355" s="187" t="s">
        <v>836</v>
      </c>
      <c r="H355" s="181" t="s">
        <v>1258</v>
      </c>
      <c r="I355" s="8" t="e">
        <f>K40</f>
        <v>#REF!</v>
      </c>
      <c r="J355" s="2" t="s">
        <v>836</v>
      </c>
      <c r="K355" s="8" t="e">
        <f>(F355*I355)</f>
        <v>#REF!</v>
      </c>
      <c r="O355" s="181" t="s">
        <v>521</v>
      </c>
      <c r="R355" s="188" t="e">
        <f>(R353/10)</f>
        <v>#REF!</v>
      </c>
      <c r="AG355" s="181" t="s">
        <v>2175</v>
      </c>
    </row>
    <row r="356" spans="1:33" hidden="1">
      <c r="A356" s="240">
        <f t="shared" si="17"/>
        <v>192</v>
      </c>
      <c r="B356" s="181" t="s">
        <v>780</v>
      </c>
      <c r="C356"/>
      <c r="D356"/>
      <c r="E356"/>
      <c r="F356" s="188">
        <v>3.5</v>
      </c>
      <c r="G356" s="187" t="s">
        <v>835</v>
      </c>
      <c r="H356" s="181" t="s">
        <v>1938</v>
      </c>
      <c r="I356" s="8">
        <f>(C10)</f>
        <v>150</v>
      </c>
      <c r="J356" s="2" t="s">
        <v>835</v>
      </c>
      <c r="K356" s="8">
        <f>(F356*I356)</f>
        <v>525</v>
      </c>
      <c r="R356" s="185" t="s">
        <v>1980</v>
      </c>
      <c r="AG356" s="181" t="s">
        <v>2175</v>
      </c>
    </row>
    <row r="357" spans="1:33" hidden="1">
      <c r="A357" s="240">
        <f t="shared" si="17"/>
        <v>193</v>
      </c>
      <c r="B357" s="181" t="s">
        <v>225</v>
      </c>
      <c r="C357" s="8">
        <v>19.3</v>
      </c>
      <c r="D357" s="1" t="s">
        <v>739</v>
      </c>
      <c r="E357"/>
      <c r="F357" s="188">
        <v>10.6</v>
      </c>
      <c r="G357" s="187" t="s">
        <v>835</v>
      </c>
      <c r="H357" s="181" t="s">
        <v>1654</v>
      </c>
      <c r="I357" s="8">
        <f>(C11)</f>
        <v>135</v>
      </c>
      <c r="J357" s="2" t="s">
        <v>835</v>
      </c>
      <c r="K357" s="8">
        <f>(F357*I357)</f>
        <v>1431</v>
      </c>
      <c r="N357" s="181" t="s">
        <v>2167</v>
      </c>
      <c r="O357" s="181" t="s">
        <v>781</v>
      </c>
      <c r="AG357" s="181" t="s">
        <v>2175</v>
      </c>
    </row>
    <row r="358" spans="1:33" hidden="1">
      <c r="A358" s="240">
        <f t="shared" si="17"/>
        <v>194</v>
      </c>
      <c r="B358" s="181" t="s">
        <v>226</v>
      </c>
      <c r="C358" s="8">
        <v>25.74</v>
      </c>
      <c r="D358" s="1" t="s">
        <v>739</v>
      </c>
      <c r="E358"/>
      <c r="F358" s="188">
        <v>7.1</v>
      </c>
      <c r="G358" s="187" t="s">
        <v>835</v>
      </c>
      <c r="H358" s="181" t="s">
        <v>1836</v>
      </c>
      <c r="I358" s="8">
        <f>(C12)</f>
        <v>95</v>
      </c>
      <c r="J358" s="2" t="s">
        <v>835</v>
      </c>
      <c r="K358" s="8">
        <f>(F358*I358)</f>
        <v>674.5</v>
      </c>
      <c r="O358" s="181" t="s">
        <v>782</v>
      </c>
      <c r="AG358" s="181" t="s">
        <v>2175</v>
      </c>
    </row>
    <row r="359" spans="1:33" hidden="1">
      <c r="A359" s="240">
        <f t="shared" si="17"/>
        <v>195</v>
      </c>
      <c r="B359" s="181" t="s">
        <v>227</v>
      </c>
      <c r="C359" s="8">
        <v>33.46</v>
      </c>
      <c r="D359" s="1" t="s">
        <v>739</v>
      </c>
      <c r="E359"/>
      <c r="F359" s="188">
        <v>21.2</v>
      </c>
      <c r="G359" s="187" t="s">
        <v>835</v>
      </c>
      <c r="H359" s="181" t="s">
        <v>299</v>
      </c>
      <c r="I359" s="8">
        <f>(C13)</f>
        <v>85</v>
      </c>
      <c r="J359" s="2" t="s">
        <v>835</v>
      </c>
      <c r="K359" s="8">
        <f>(F359*I359)</f>
        <v>1802</v>
      </c>
      <c r="O359" s="181" t="s">
        <v>783</v>
      </c>
      <c r="AG359" s="181" t="s">
        <v>2175</v>
      </c>
    </row>
    <row r="360" spans="1:33" hidden="1">
      <c r="A360" s="240">
        <f t="shared" si="17"/>
        <v>196</v>
      </c>
      <c r="B360" s="181" t="s">
        <v>2139</v>
      </c>
      <c r="C360" s="8">
        <v>53.62</v>
      </c>
      <c r="D360" s="1" t="s">
        <v>940</v>
      </c>
      <c r="E360"/>
      <c r="G360" s="187" t="s">
        <v>419</v>
      </c>
      <c r="H360" s="181" t="s">
        <v>420</v>
      </c>
      <c r="I360"/>
      <c r="J360" s="2" t="s">
        <v>419</v>
      </c>
      <c r="K360" s="8">
        <v>0</v>
      </c>
      <c r="O360" s="185" t="s">
        <v>1530</v>
      </c>
      <c r="AG360" s="181" t="s">
        <v>2175</v>
      </c>
    </row>
    <row r="361" spans="1:33" hidden="1">
      <c r="A361" s="240">
        <f t="shared" si="17"/>
        <v>197</v>
      </c>
      <c r="B361" s="181" t="s">
        <v>934</v>
      </c>
      <c r="C361"/>
      <c r="D361"/>
      <c r="E361"/>
      <c r="I361"/>
      <c r="J361" s="4"/>
      <c r="K361" s="5" t="s">
        <v>1530</v>
      </c>
      <c r="M361" s="188">
        <v>0.22</v>
      </c>
      <c r="N361" s="181" t="s">
        <v>836</v>
      </c>
      <c r="O361" s="181" t="s">
        <v>1258</v>
      </c>
      <c r="P361" s="188" t="e">
        <f>(K40)</f>
        <v>#REF!</v>
      </c>
      <c r="Q361" s="181" t="s">
        <v>836</v>
      </c>
      <c r="R361" s="188" t="e">
        <f t="shared" ref="R361:R366" si="18">(M361*P361)</f>
        <v>#REF!</v>
      </c>
      <c r="AG361" s="181" t="s">
        <v>2175</v>
      </c>
    </row>
    <row r="362" spans="1:33" hidden="1">
      <c r="A362" s="240">
        <f t="shared" si="17"/>
        <v>198</v>
      </c>
      <c r="B362" s="181" t="s">
        <v>225</v>
      </c>
      <c r="C362" s="8">
        <v>26.16</v>
      </c>
      <c r="D362" s="1" t="s">
        <v>739</v>
      </c>
      <c r="E362"/>
      <c r="H362" s="181" t="s">
        <v>583</v>
      </c>
      <c r="I362"/>
      <c r="J362" s="4"/>
      <c r="K362" s="8" t="e">
        <f>SUM(K354:K360)</f>
        <v>#REF!</v>
      </c>
      <c r="M362" s="188">
        <v>2.2000000000000002</v>
      </c>
      <c r="N362" s="181" t="s">
        <v>835</v>
      </c>
      <c r="O362" s="181" t="s">
        <v>1938</v>
      </c>
      <c r="P362" s="188">
        <f>(C10)</f>
        <v>150</v>
      </c>
      <c r="Q362" s="181" t="s">
        <v>835</v>
      </c>
      <c r="R362" s="188">
        <f t="shared" si="18"/>
        <v>330</v>
      </c>
      <c r="AG362" s="181" t="s">
        <v>2175</v>
      </c>
    </row>
    <row r="363" spans="1:33" hidden="1">
      <c r="A363" s="240">
        <f t="shared" si="17"/>
        <v>199</v>
      </c>
      <c r="B363" s="181" t="s">
        <v>226</v>
      </c>
      <c r="C363" s="8">
        <v>34.32</v>
      </c>
      <c r="D363" s="1" t="s">
        <v>739</v>
      </c>
      <c r="E363"/>
      <c r="I363"/>
      <c r="J363" s="4"/>
      <c r="K363" s="5" t="s">
        <v>1530</v>
      </c>
      <c r="M363" s="188">
        <v>0.5</v>
      </c>
      <c r="N363" s="181" t="s">
        <v>835</v>
      </c>
      <c r="O363" s="181" t="s">
        <v>1836</v>
      </c>
      <c r="P363" s="188">
        <f>(C12)</f>
        <v>95</v>
      </c>
      <c r="Q363" s="181" t="s">
        <v>835</v>
      </c>
      <c r="R363" s="188">
        <f t="shared" si="18"/>
        <v>47.5</v>
      </c>
      <c r="AG363" s="181" t="s">
        <v>2175</v>
      </c>
    </row>
    <row r="364" spans="1:33" hidden="1">
      <c r="A364" s="240">
        <f t="shared" ref="A364:A395" si="19">(A363+1)</f>
        <v>200</v>
      </c>
      <c r="B364" s="181" t="s">
        <v>227</v>
      </c>
      <c r="C364" s="8">
        <v>40.33</v>
      </c>
      <c r="D364" s="1" t="s">
        <v>739</v>
      </c>
      <c r="E364"/>
      <c r="H364" s="181" t="s">
        <v>743</v>
      </c>
      <c r="I364"/>
      <c r="J364" s="4"/>
      <c r="K364" s="8" t="e">
        <f>(K362/10)</f>
        <v>#REF!</v>
      </c>
      <c r="M364" s="188">
        <v>1.1000000000000001</v>
      </c>
      <c r="N364" s="181" t="s">
        <v>935</v>
      </c>
      <c r="O364" s="181" t="s">
        <v>936</v>
      </c>
      <c r="P364" s="188">
        <f>(C10)</f>
        <v>150</v>
      </c>
      <c r="Q364" s="181" t="s">
        <v>835</v>
      </c>
      <c r="R364" s="188">
        <f t="shared" si="18"/>
        <v>165</v>
      </c>
      <c r="AG364" s="181" t="s">
        <v>2175</v>
      </c>
    </row>
    <row r="365" spans="1:33" hidden="1">
      <c r="A365" s="240">
        <f t="shared" si="19"/>
        <v>201</v>
      </c>
      <c r="B365" s="181" t="s">
        <v>937</v>
      </c>
      <c r="C365"/>
      <c r="D365" s="1" t="s">
        <v>940</v>
      </c>
      <c r="E365"/>
      <c r="I365"/>
      <c r="J365" s="4"/>
      <c r="K365" s="5" t="s">
        <v>1980</v>
      </c>
      <c r="M365" s="188">
        <v>3.2</v>
      </c>
      <c r="N365" s="181" t="s">
        <v>835</v>
      </c>
      <c r="O365" s="181" t="s">
        <v>299</v>
      </c>
      <c r="P365" s="188">
        <f>(C13)</f>
        <v>85</v>
      </c>
      <c r="Q365" s="181" t="s">
        <v>835</v>
      </c>
      <c r="R365" s="188">
        <f t="shared" si="18"/>
        <v>272</v>
      </c>
      <c r="AG365" s="181" t="s">
        <v>2175</v>
      </c>
    </row>
    <row r="366" spans="1:33" hidden="1">
      <c r="A366" s="240">
        <f t="shared" si="19"/>
        <v>202</v>
      </c>
      <c r="B366" s="181" t="s">
        <v>225</v>
      </c>
      <c r="C366" s="8">
        <v>20.329999999999998</v>
      </c>
      <c r="D366" s="1" t="s">
        <v>739</v>
      </c>
      <c r="E366"/>
      <c r="H366" s="181" t="s">
        <v>361</v>
      </c>
      <c r="I366"/>
      <c r="J366" s="4"/>
      <c r="K366" s="8" t="e">
        <f>(K364+C19)</f>
        <v>#REF!</v>
      </c>
      <c r="M366" s="188">
        <v>9.8000000000000007</v>
      </c>
      <c r="N366" s="181" t="s">
        <v>1591</v>
      </c>
      <c r="O366" s="181" t="s">
        <v>1592</v>
      </c>
      <c r="P366" s="188">
        <f>(C180)</f>
        <v>110</v>
      </c>
      <c r="Q366" s="181" t="s">
        <v>1591</v>
      </c>
      <c r="R366" s="188">
        <f t="shared" si="18"/>
        <v>1078</v>
      </c>
      <c r="AG366" s="181" t="s">
        <v>2175</v>
      </c>
    </row>
    <row r="367" spans="1:33" hidden="1">
      <c r="A367" s="240">
        <f t="shared" si="19"/>
        <v>203</v>
      </c>
      <c r="B367" s="181" t="s">
        <v>226</v>
      </c>
      <c r="C367" s="8">
        <v>26.6</v>
      </c>
      <c r="D367" s="1" t="s">
        <v>739</v>
      </c>
      <c r="E367"/>
      <c r="H367" s="181" t="s">
        <v>363</v>
      </c>
      <c r="I367"/>
      <c r="J367" s="4"/>
      <c r="K367" s="8" t="e">
        <f>(K366+C20)</f>
        <v>#REF!</v>
      </c>
      <c r="N367" s="181" t="s">
        <v>419</v>
      </c>
      <c r="O367" s="181" t="s">
        <v>420</v>
      </c>
      <c r="P367" s="181" t="s">
        <v>940</v>
      </c>
      <c r="Q367" s="181" t="s">
        <v>419</v>
      </c>
      <c r="R367" s="188">
        <v>0</v>
      </c>
      <c r="AG367" s="181" t="s">
        <v>2175</v>
      </c>
    </row>
    <row r="368" spans="1:33" hidden="1">
      <c r="A368" s="240">
        <f t="shared" si="19"/>
        <v>204</v>
      </c>
      <c r="B368" s="181" t="s">
        <v>227</v>
      </c>
      <c r="C368" s="8">
        <v>33.89</v>
      </c>
      <c r="D368" s="1" t="s">
        <v>739</v>
      </c>
      <c r="E368"/>
      <c r="H368" s="181" t="s">
        <v>2149</v>
      </c>
      <c r="I368"/>
      <c r="J368" s="4"/>
      <c r="K368" s="8" t="e">
        <f>(K367+C21)</f>
        <v>#REF!</v>
      </c>
      <c r="R368" s="185" t="s">
        <v>1530</v>
      </c>
      <c r="AG368" s="181" t="s">
        <v>2175</v>
      </c>
    </row>
    <row r="369" spans="1:33" hidden="1">
      <c r="A369" s="240">
        <f t="shared" si="19"/>
        <v>205</v>
      </c>
      <c r="B369" s="181" t="s">
        <v>938</v>
      </c>
      <c r="C369"/>
      <c r="D369"/>
      <c r="E369"/>
      <c r="H369" s="181" t="s">
        <v>355</v>
      </c>
      <c r="I369"/>
      <c r="J369" s="4"/>
      <c r="K369" s="8" t="e">
        <f>(K368+C21)</f>
        <v>#REF!</v>
      </c>
      <c r="O369" s="181" t="s">
        <v>411</v>
      </c>
      <c r="R369" s="188" t="e">
        <f>SUM(R361:R367)</f>
        <v>#REF!</v>
      </c>
      <c r="AG369" s="181" t="s">
        <v>2175</v>
      </c>
    </row>
    <row r="370" spans="1:33" hidden="1">
      <c r="A370" s="240">
        <f t="shared" si="19"/>
        <v>206</v>
      </c>
      <c r="B370" s="181" t="s">
        <v>225</v>
      </c>
      <c r="C370" s="8">
        <v>13.29</v>
      </c>
      <c r="D370" s="1" t="s">
        <v>739</v>
      </c>
      <c r="E370"/>
      <c r="H370" s="181" t="s">
        <v>453</v>
      </c>
      <c r="I370"/>
      <c r="J370" s="4"/>
      <c r="K370" s="8" t="e">
        <f>(K369+C21)</f>
        <v>#REF!</v>
      </c>
      <c r="R370" s="185" t="s">
        <v>1530</v>
      </c>
      <c r="AG370" s="181" t="s">
        <v>2175</v>
      </c>
    </row>
    <row r="371" spans="1:33" hidden="1">
      <c r="A371" s="240">
        <f t="shared" si="19"/>
        <v>207</v>
      </c>
      <c r="B371" s="181" t="s">
        <v>226</v>
      </c>
      <c r="C371" s="8">
        <v>18.02</v>
      </c>
      <c r="D371" s="1" t="s">
        <v>739</v>
      </c>
      <c r="E371"/>
      <c r="H371" s="181" t="s">
        <v>1766</v>
      </c>
      <c r="I371"/>
      <c r="J371" s="4"/>
      <c r="K371" s="8" t="e">
        <f>(K366+K367+K368)/3</f>
        <v>#REF!</v>
      </c>
      <c r="O371" s="181" t="s">
        <v>521</v>
      </c>
      <c r="R371" s="188" t="e">
        <f>(R369/10)</f>
        <v>#REF!</v>
      </c>
      <c r="AG371" s="181" t="s">
        <v>2175</v>
      </c>
    </row>
    <row r="372" spans="1:33" hidden="1">
      <c r="A372" s="240">
        <f t="shared" si="19"/>
        <v>208</v>
      </c>
      <c r="B372" s="181" t="s">
        <v>227</v>
      </c>
      <c r="C372" s="8">
        <v>23.17</v>
      </c>
      <c r="D372" s="1" t="s">
        <v>739</v>
      </c>
      <c r="E372"/>
      <c r="I372"/>
      <c r="J372" s="4"/>
      <c r="K372"/>
      <c r="R372" s="185" t="s">
        <v>1980</v>
      </c>
      <c r="AG372" s="181" t="s">
        <v>2175</v>
      </c>
    </row>
    <row r="373" spans="1:33" hidden="1">
      <c r="A373" s="240">
        <f t="shared" si="19"/>
        <v>209</v>
      </c>
      <c r="B373" s="181" t="s">
        <v>1767</v>
      </c>
      <c r="C373"/>
      <c r="D373" s="1" t="s">
        <v>940</v>
      </c>
      <c r="E373"/>
      <c r="H373" s="236" t="s">
        <v>1768</v>
      </c>
      <c r="I373"/>
      <c r="J373" s="4"/>
      <c r="K373"/>
      <c r="N373" s="181" t="s">
        <v>2167</v>
      </c>
      <c r="O373" s="181" t="s">
        <v>1769</v>
      </c>
      <c r="AG373" s="181" t="s">
        <v>2175</v>
      </c>
    </row>
    <row r="374" spans="1:33" hidden="1">
      <c r="A374" s="240">
        <f t="shared" si="19"/>
        <v>210</v>
      </c>
      <c r="B374" s="181" t="s">
        <v>225</v>
      </c>
      <c r="C374" s="8">
        <v>9</v>
      </c>
      <c r="D374" s="1" t="s">
        <v>739</v>
      </c>
      <c r="E374"/>
      <c r="H374" s="185" t="s">
        <v>1530</v>
      </c>
      <c r="I374"/>
      <c r="J374" s="4"/>
      <c r="K374"/>
      <c r="O374" s="185" t="s">
        <v>1530</v>
      </c>
      <c r="AG374" s="181" t="s">
        <v>2175</v>
      </c>
    </row>
    <row r="375" spans="1:33" hidden="1">
      <c r="A375" s="240">
        <f t="shared" si="19"/>
        <v>211</v>
      </c>
      <c r="B375" s="181" t="s">
        <v>226</v>
      </c>
      <c r="C375" s="8">
        <v>11.58</v>
      </c>
      <c r="D375" s="1" t="s">
        <v>739</v>
      </c>
      <c r="E375"/>
      <c r="F375" s="242">
        <v>10</v>
      </c>
      <c r="G375" s="187" t="s">
        <v>2167</v>
      </c>
      <c r="H375" s="181" t="s">
        <v>3045</v>
      </c>
      <c r="I375"/>
      <c r="J375" s="4"/>
      <c r="K375"/>
      <c r="M375" s="188">
        <v>0.05</v>
      </c>
      <c r="N375" s="181" t="s">
        <v>836</v>
      </c>
      <c r="O375" s="181" t="s">
        <v>1933</v>
      </c>
      <c r="P375" s="188">
        <f>(C84)</f>
        <v>773</v>
      </c>
      <c r="Q375" s="181" t="s">
        <v>836</v>
      </c>
      <c r="R375" s="188">
        <f>(M375*P375)</f>
        <v>38.65</v>
      </c>
      <c r="AG375" s="181" t="s">
        <v>2175</v>
      </c>
    </row>
    <row r="376" spans="1:33" hidden="1">
      <c r="A376" s="240">
        <f t="shared" si="19"/>
        <v>212</v>
      </c>
      <c r="B376" s="181" t="s">
        <v>227</v>
      </c>
      <c r="C376" s="8">
        <v>14.15</v>
      </c>
      <c r="D376" s="1" t="s">
        <v>739</v>
      </c>
      <c r="E376"/>
      <c r="H376" s="188" t="str">
        <f>H308</f>
        <v>Bricks of size 22x11x7 cm</v>
      </c>
      <c r="I376"/>
      <c r="J376" s="4"/>
      <c r="K376"/>
      <c r="M376" s="188">
        <v>1.1000000000000001</v>
      </c>
      <c r="N376" s="181" t="s">
        <v>835</v>
      </c>
      <c r="O376" s="181" t="s">
        <v>1654</v>
      </c>
      <c r="P376" s="188">
        <f>(C11)</f>
        <v>135</v>
      </c>
      <c r="Q376" s="181" t="s">
        <v>835</v>
      </c>
      <c r="R376" s="188">
        <f>(M376*P376)</f>
        <v>148.5</v>
      </c>
      <c r="AG376" s="181" t="s">
        <v>2175</v>
      </c>
    </row>
    <row r="377" spans="1:33" hidden="1">
      <c r="A377" s="240">
        <f t="shared" si="19"/>
        <v>213</v>
      </c>
      <c r="B377" s="181" t="s">
        <v>1770</v>
      </c>
      <c r="C377"/>
      <c r="D377"/>
      <c r="E377"/>
      <c r="H377" s="185" t="s">
        <v>1530</v>
      </c>
      <c r="I377"/>
      <c r="J377" s="4"/>
      <c r="K377"/>
      <c r="M377" s="188">
        <v>0.3</v>
      </c>
      <c r="N377" s="181" t="s">
        <v>835</v>
      </c>
      <c r="O377" s="181" t="s">
        <v>1836</v>
      </c>
      <c r="P377" s="188">
        <f>(C12)</f>
        <v>95</v>
      </c>
      <c r="Q377" s="181" t="s">
        <v>835</v>
      </c>
      <c r="R377" s="188">
        <f>(M377*P377)</f>
        <v>28.5</v>
      </c>
      <c r="AG377" s="181" t="s">
        <v>2175</v>
      </c>
    </row>
    <row r="378" spans="1:33" hidden="1">
      <c r="A378" s="240">
        <f t="shared" si="19"/>
        <v>214</v>
      </c>
      <c r="B378" s="181" t="s">
        <v>225</v>
      </c>
      <c r="C378" s="8">
        <v>4.29</v>
      </c>
      <c r="D378" s="1" t="s">
        <v>739</v>
      </c>
      <c r="E378"/>
      <c r="F378" s="188">
        <f>F310</f>
        <v>4800</v>
      </c>
      <c r="G378" s="187" t="s">
        <v>1368</v>
      </c>
      <c r="H378" s="188" t="str">
        <f>H308</f>
        <v>Bricks of size 22x11x7 cm</v>
      </c>
      <c r="I378" s="8" t="e">
        <f>(C80)</f>
        <v>#REF!</v>
      </c>
      <c r="J378" s="2" t="s">
        <v>1538</v>
      </c>
      <c r="K378" s="8" t="e">
        <f>(F378*I378)/1000</f>
        <v>#REF!</v>
      </c>
      <c r="M378" s="188">
        <v>1.9</v>
      </c>
      <c r="N378" s="181" t="s">
        <v>835</v>
      </c>
      <c r="O378" s="181" t="s">
        <v>299</v>
      </c>
      <c r="P378" s="188">
        <f>(C13)</f>
        <v>85</v>
      </c>
      <c r="Q378" s="181" t="s">
        <v>835</v>
      </c>
      <c r="R378" s="188">
        <f>(M378*P378)</f>
        <v>161.5</v>
      </c>
      <c r="AG378" s="181" t="s">
        <v>2175</v>
      </c>
    </row>
    <row r="379" spans="1:33" hidden="1">
      <c r="A379" s="240">
        <f t="shared" si="19"/>
        <v>215</v>
      </c>
      <c r="B379" s="181" t="s">
        <v>226</v>
      </c>
      <c r="C379" s="8">
        <v>6.01</v>
      </c>
      <c r="D379" s="1" t="s">
        <v>739</v>
      </c>
      <c r="E379"/>
      <c r="F379" s="188">
        <v>1.59</v>
      </c>
      <c r="G379" s="187" t="s">
        <v>836</v>
      </c>
      <c r="H379" s="181" t="s">
        <v>1258</v>
      </c>
      <c r="I379" s="8" t="e">
        <f>(K40)</f>
        <v>#REF!</v>
      </c>
      <c r="J379" s="2" t="s">
        <v>836</v>
      </c>
      <c r="K379" s="8" t="e">
        <f>(F379*I379)</f>
        <v>#REF!</v>
      </c>
      <c r="N379" s="181" t="s">
        <v>419</v>
      </c>
      <c r="O379" s="181" t="s">
        <v>1771</v>
      </c>
      <c r="P379" s="181" t="s">
        <v>940</v>
      </c>
      <c r="Q379" s="181" t="s">
        <v>419</v>
      </c>
      <c r="R379" s="188">
        <v>1.46</v>
      </c>
      <c r="AG379" s="181" t="s">
        <v>2175</v>
      </c>
    </row>
    <row r="380" spans="1:33" hidden="1">
      <c r="A380" s="240">
        <f t="shared" si="19"/>
        <v>216</v>
      </c>
      <c r="B380" s="181" t="s">
        <v>227</v>
      </c>
      <c r="C380" s="8">
        <v>6.86</v>
      </c>
      <c r="D380" s="1" t="s">
        <v>739</v>
      </c>
      <c r="E380"/>
      <c r="F380" s="188">
        <v>7</v>
      </c>
      <c r="G380" s="187" t="s">
        <v>835</v>
      </c>
      <c r="H380" s="181" t="s">
        <v>1938</v>
      </c>
      <c r="I380" s="8">
        <f>(C10)</f>
        <v>150</v>
      </c>
      <c r="J380" s="2" t="s">
        <v>835</v>
      </c>
      <c r="K380" s="8">
        <f>(F380*I380)</f>
        <v>1050</v>
      </c>
      <c r="R380" s="185" t="s">
        <v>1530</v>
      </c>
      <c r="AG380" s="181" t="s">
        <v>2175</v>
      </c>
    </row>
    <row r="381" spans="1:33" hidden="1">
      <c r="A381" s="240">
        <f t="shared" si="19"/>
        <v>217</v>
      </c>
      <c r="B381" s="181" t="s">
        <v>1772</v>
      </c>
      <c r="C381"/>
      <c r="D381" s="1" t="s">
        <v>940</v>
      </c>
      <c r="E381"/>
      <c r="F381" s="188">
        <v>7.1</v>
      </c>
      <c r="G381" s="187" t="s">
        <v>835</v>
      </c>
      <c r="H381" s="181" t="s">
        <v>1654</v>
      </c>
      <c r="I381" s="8">
        <f>(C11)</f>
        <v>135</v>
      </c>
      <c r="J381" s="2" t="s">
        <v>835</v>
      </c>
      <c r="K381" s="8">
        <f>(F381*I381)</f>
        <v>958.5</v>
      </c>
      <c r="O381" s="181" t="s">
        <v>1773</v>
      </c>
      <c r="R381" s="188">
        <f>SUM(R374:R379)</f>
        <v>378.61</v>
      </c>
      <c r="AG381" s="181" t="s">
        <v>2175</v>
      </c>
    </row>
    <row r="382" spans="1:33" hidden="1">
      <c r="A382" s="240">
        <f t="shared" si="19"/>
        <v>218</v>
      </c>
      <c r="B382" s="181" t="s">
        <v>225</v>
      </c>
      <c r="C382" s="8">
        <v>14.91</v>
      </c>
      <c r="D382" s="1" t="s">
        <v>739</v>
      </c>
      <c r="E382"/>
      <c r="F382" s="188">
        <v>7.1</v>
      </c>
      <c r="G382" s="187" t="s">
        <v>835</v>
      </c>
      <c r="H382" s="181" t="s">
        <v>1836</v>
      </c>
      <c r="I382" s="8">
        <f>(C12)</f>
        <v>95</v>
      </c>
      <c r="J382" s="2" t="s">
        <v>835</v>
      </c>
      <c r="K382" s="8">
        <f>(F382*I382)</f>
        <v>674.5</v>
      </c>
      <c r="R382" s="185" t="s">
        <v>1530</v>
      </c>
      <c r="AG382" s="181" t="s">
        <v>2175</v>
      </c>
    </row>
    <row r="383" spans="1:33" hidden="1">
      <c r="A383" s="240">
        <f t="shared" si="19"/>
        <v>219</v>
      </c>
      <c r="B383" s="181" t="s">
        <v>226</v>
      </c>
      <c r="C383" s="8">
        <v>17.579999999999998</v>
      </c>
      <c r="D383" s="1" t="s">
        <v>739</v>
      </c>
      <c r="E383"/>
      <c r="F383" s="188">
        <v>21.2</v>
      </c>
      <c r="G383" s="187" t="s">
        <v>835</v>
      </c>
      <c r="H383" s="181" t="s">
        <v>299</v>
      </c>
      <c r="I383" s="8">
        <f>(C13)</f>
        <v>85</v>
      </c>
      <c r="J383" s="2" t="s">
        <v>835</v>
      </c>
      <c r="K383" s="8">
        <f>(F383*I383)</f>
        <v>1802</v>
      </c>
      <c r="O383" s="181" t="s">
        <v>521</v>
      </c>
      <c r="R383" s="188">
        <f>(R381/100)</f>
        <v>3.79</v>
      </c>
      <c r="AG383" s="181" t="s">
        <v>2175</v>
      </c>
    </row>
    <row r="384" spans="1:33" hidden="1">
      <c r="A384" s="240">
        <f t="shared" si="19"/>
        <v>220</v>
      </c>
      <c r="B384" s="181" t="s">
        <v>227</v>
      </c>
      <c r="C384" s="8">
        <v>19.3</v>
      </c>
      <c r="D384" s="1" t="s">
        <v>739</v>
      </c>
      <c r="E384"/>
      <c r="G384" s="187" t="s">
        <v>419</v>
      </c>
      <c r="H384" s="181" t="s">
        <v>420</v>
      </c>
      <c r="I384" s="1" t="s">
        <v>940</v>
      </c>
      <c r="J384" s="2" t="s">
        <v>419</v>
      </c>
      <c r="K384" s="8">
        <v>0</v>
      </c>
      <c r="R384" s="185" t="s">
        <v>1980</v>
      </c>
      <c r="AG384" s="181" t="s">
        <v>2175</v>
      </c>
    </row>
    <row r="385" spans="1:33" hidden="1">
      <c r="A385" s="240">
        <f t="shared" si="19"/>
        <v>221</v>
      </c>
      <c r="B385" s="181" t="s">
        <v>1073</v>
      </c>
      <c r="C385"/>
      <c r="D385"/>
      <c r="E385"/>
      <c r="I385"/>
      <c r="J385" s="4"/>
      <c r="K385" s="5" t="s">
        <v>1530</v>
      </c>
      <c r="AG385" s="181" t="s">
        <v>300</v>
      </c>
    </row>
    <row r="386" spans="1:33" hidden="1">
      <c r="A386" s="240">
        <f t="shared" si="19"/>
        <v>222</v>
      </c>
      <c r="B386" s="181" t="s">
        <v>225</v>
      </c>
      <c r="C386" s="8">
        <v>15.87</v>
      </c>
      <c r="D386" s="1" t="s">
        <v>739</v>
      </c>
      <c r="E386"/>
      <c r="H386" s="181" t="s">
        <v>583</v>
      </c>
      <c r="I386"/>
      <c r="J386" s="4"/>
      <c r="K386" s="8" t="e">
        <f>SUM(K378:K384)</f>
        <v>#REF!</v>
      </c>
    </row>
    <row r="387" spans="1:33" hidden="1">
      <c r="A387" s="240">
        <f t="shared" si="19"/>
        <v>223</v>
      </c>
      <c r="B387" s="181" t="s">
        <v>226</v>
      </c>
      <c r="C387" s="8">
        <v>20.16</v>
      </c>
      <c r="D387" s="1" t="s">
        <v>739</v>
      </c>
      <c r="E387"/>
      <c r="I387"/>
      <c r="J387" s="4"/>
      <c r="K387" s="5" t="s">
        <v>1530</v>
      </c>
      <c r="N387" s="181" t="s">
        <v>643</v>
      </c>
      <c r="O387" s="181" t="s">
        <v>1074</v>
      </c>
    </row>
    <row r="388" spans="1:33" hidden="1">
      <c r="A388" s="240">
        <f t="shared" si="19"/>
        <v>224</v>
      </c>
      <c r="B388" s="181" t="s">
        <v>227</v>
      </c>
      <c r="C388" s="8">
        <v>22.31</v>
      </c>
      <c r="D388" s="1" t="s">
        <v>739</v>
      </c>
      <c r="E388"/>
      <c r="H388" s="181" t="s">
        <v>743</v>
      </c>
      <c r="I388"/>
      <c r="J388" s="4"/>
      <c r="K388" s="8" t="e">
        <f>(K386/10)</f>
        <v>#REF!</v>
      </c>
      <c r="O388" s="185" t="s">
        <v>1530</v>
      </c>
      <c r="AG388" s="181" t="s">
        <v>2175</v>
      </c>
    </row>
    <row r="389" spans="1:33" hidden="1">
      <c r="A389" s="240">
        <f t="shared" si="19"/>
        <v>225</v>
      </c>
      <c r="B389" s="181" t="s">
        <v>3046</v>
      </c>
      <c r="C389"/>
      <c r="D389" s="1" t="s">
        <v>940</v>
      </c>
      <c r="E389"/>
      <c r="I389"/>
      <c r="J389" s="4"/>
      <c r="K389" s="5" t="s">
        <v>1980</v>
      </c>
      <c r="M389" s="188">
        <v>7.0000000000000007E-2</v>
      </c>
      <c r="N389" s="181" t="s">
        <v>836</v>
      </c>
      <c r="O389" s="181" t="s">
        <v>1933</v>
      </c>
      <c r="P389" s="188">
        <f>(C84)</f>
        <v>773</v>
      </c>
      <c r="Q389" s="181" t="s">
        <v>836</v>
      </c>
      <c r="R389" s="188">
        <f>(M389*P389)</f>
        <v>54.11</v>
      </c>
      <c r="AG389" s="181" t="s">
        <v>2175</v>
      </c>
    </row>
    <row r="390" spans="1:33" hidden="1">
      <c r="A390" s="240">
        <f t="shared" si="19"/>
        <v>226</v>
      </c>
      <c r="B390" s="181" t="s">
        <v>1075</v>
      </c>
      <c r="C390" s="8">
        <v>26.4</v>
      </c>
      <c r="D390" s="1" t="s">
        <v>1714</v>
      </c>
      <c r="E390"/>
      <c r="I390"/>
      <c r="J390" s="4"/>
      <c r="K390"/>
      <c r="M390" s="188">
        <v>1.6</v>
      </c>
      <c r="N390" s="181" t="s">
        <v>835</v>
      </c>
      <c r="O390" s="181" t="s">
        <v>1654</v>
      </c>
      <c r="P390" s="188">
        <f>(C11)</f>
        <v>135</v>
      </c>
      <c r="Q390" s="181" t="s">
        <v>835</v>
      </c>
      <c r="R390" s="188">
        <f>(M390*P390)</f>
        <v>216</v>
      </c>
      <c r="AG390" s="181" t="s">
        <v>2175</v>
      </c>
    </row>
    <row r="391" spans="1:33" hidden="1">
      <c r="A391" s="240">
        <f t="shared" si="19"/>
        <v>227</v>
      </c>
      <c r="B391" s="181" t="s">
        <v>1076</v>
      </c>
      <c r="C391" s="8">
        <v>35.26</v>
      </c>
      <c r="D391" s="1" t="s">
        <v>1714</v>
      </c>
      <c r="E391"/>
      <c r="G391" s="187" t="s">
        <v>643</v>
      </c>
      <c r="H391" s="181" t="s">
        <v>2856</v>
      </c>
      <c r="I391"/>
      <c r="J391" s="4"/>
      <c r="K391"/>
      <c r="M391" s="188">
        <v>0.5</v>
      </c>
      <c r="N391" s="181" t="s">
        <v>835</v>
      </c>
      <c r="O391" s="181" t="s">
        <v>1836</v>
      </c>
      <c r="P391" s="188">
        <f>(C12)</f>
        <v>95</v>
      </c>
      <c r="Q391" s="181" t="s">
        <v>835</v>
      </c>
      <c r="R391" s="188">
        <f>(M391*P391)</f>
        <v>47.5</v>
      </c>
      <c r="AG391" s="181" t="s">
        <v>2175</v>
      </c>
    </row>
    <row r="392" spans="1:33" hidden="1">
      <c r="A392" s="240">
        <f t="shared" si="19"/>
        <v>228</v>
      </c>
      <c r="B392" s="181" t="s">
        <v>1077</v>
      </c>
      <c r="C392" s="8">
        <v>48.71</v>
      </c>
      <c r="D392" s="1" t="s">
        <v>1714</v>
      </c>
      <c r="E392"/>
      <c r="H392" s="185" t="s">
        <v>1530</v>
      </c>
      <c r="I392"/>
      <c r="J392" s="4"/>
      <c r="K392"/>
      <c r="M392" s="188">
        <v>2.7</v>
      </c>
      <c r="N392" s="181" t="s">
        <v>835</v>
      </c>
      <c r="O392" s="181" t="s">
        <v>299</v>
      </c>
      <c r="P392" s="188">
        <f>(C13)</f>
        <v>85</v>
      </c>
      <c r="Q392" s="181" t="s">
        <v>835</v>
      </c>
      <c r="R392" s="188">
        <f>(M392*P392)</f>
        <v>229.5</v>
      </c>
      <c r="AG392" s="181" t="s">
        <v>2175</v>
      </c>
    </row>
    <row r="393" spans="1:33" hidden="1">
      <c r="A393" s="240">
        <f t="shared" si="19"/>
        <v>229</v>
      </c>
      <c r="B393" s="181" t="s">
        <v>1078</v>
      </c>
      <c r="C393" s="8">
        <v>58.75</v>
      </c>
      <c r="D393" s="1" t="s">
        <v>1714</v>
      </c>
      <c r="E393"/>
      <c r="F393" s="188">
        <v>1.1000000000000001</v>
      </c>
      <c r="G393" s="187" t="s">
        <v>836</v>
      </c>
      <c r="H393" s="181" t="s">
        <v>1079</v>
      </c>
      <c r="I393" s="8" t="e">
        <f>(K388)</f>
        <v>#REF!</v>
      </c>
      <c r="J393" s="2" t="s">
        <v>835</v>
      </c>
      <c r="K393" s="8" t="e">
        <f>(F393*I393)</f>
        <v>#REF!</v>
      </c>
      <c r="N393" s="181" t="s">
        <v>419</v>
      </c>
      <c r="O393" s="181" t="s">
        <v>1771</v>
      </c>
      <c r="P393" s="181" t="s">
        <v>940</v>
      </c>
      <c r="Q393" s="181" t="s">
        <v>419</v>
      </c>
      <c r="R393" s="188">
        <v>2.09</v>
      </c>
      <c r="AG393" s="181" t="s">
        <v>2175</v>
      </c>
    </row>
    <row r="394" spans="1:33" hidden="1">
      <c r="A394" s="240">
        <f t="shared" si="19"/>
        <v>230</v>
      </c>
      <c r="B394" s="181" t="s">
        <v>1080</v>
      </c>
      <c r="C394" s="8">
        <v>70.2</v>
      </c>
      <c r="D394" s="1" t="s">
        <v>1714</v>
      </c>
      <c r="E394"/>
      <c r="F394" s="188">
        <v>1</v>
      </c>
      <c r="G394" s="187" t="s">
        <v>739</v>
      </c>
      <c r="H394" s="181" t="s">
        <v>1938</v>
      </c>
      <c r="I394" s="8">
        <f>(C10)</f>
        <v>150</v>
      </c>
      <c r="J394" s="2" t="s">
        <v>835</v>
      </c>
      <c r="K394" s="8">
        <f>(F394*I394)</f>
        <v>150</v>
      </c>
      <c r="R394" s="185" t="s">
        <v>1530</v>
      </c>
      <c r="AG394" s="181" t="s">
        <v>2175</v>
      </c>
    </row>
    <row r="395" spans="1:33" hidden="1">
      <c r="A395" s="240">
        <f t="shared" si="19"/>
        <v>231</v>
      </c>
      <c r="B395" s="181" t="s">
        <v>225</v>
      </c>
      <c r="C395" s="8">
        <v>91.85</v>
      </c>
      <c r="D395" s="1" t="s">
        <v>1714</v>
      </c>
      <c r="E395"/>
      <c r="G395" s="187" t="s">
        <v>419</v>
      </c>
      <c r="H395" s="181" t="s">
        <v>420</v>
      </c>
      <c r="I395" s="1" t="s">
        <v>940</v>
      </c>
      <c r="J395" s="2" t="s">
        <v>419</v>
      </c>
      <c r="K395" s="8">
        <v>0</v>
      </c>
      <c r="O395" s="181" t="s">
        <v>1773</v>
      </c>
      <c r="R395" s="188">
        <f>SUM(R388:R393)</f>
        <v>549.20000000000005</v>
      </c>
      <c r="AG395" s="181" t="s">
        <v>2175</v>
      </c>
    </row>
    <row r="396" spans="1:33" hidden="1">
      <c r="A396" s="240">
        <f t="shared" ref="A396:A420" si="20">(A395+1)</f>
        <v>232</v>
      </c>
      <c r="B396" s="181" t="s">
        <v>1081</v>
      </c>
      <c r="C396" s="8">
        <v>128</v>
      </c>
      <c r="D396" s="1" t="s">
        <v>1714</v>
      </c>
      <c r="E396"/>
      <c r="I396"/>
      <c r="J396" s="4"/>
      <c r="K396" s="5" t="s">
        <v>1530</v>
      </c>
      <c r="R396" s="185" t="s">
        <v>1530</v>
      </c>
      <c r="AG396" s="181" t="s">
        <v>2175</v>
      </c>
    </row>
    <row r="397" spans="1:33" hidden="1">
      <c r="A397" s="240">
        <f t="shared" si="20"/>
        <v>233</v>
      </c>
      <c r="B397" s="181" t="s">
        <v>1989</v>
      </c>
      <c r="C397"/>
      <c r="D397"/>
      <c r="E397"/>
      <c r="H397" s="181" t="s">
        <v>411</v>
      </c>
      <c r="I397"/>
      <c r="J397" s="4"/>
      <c r="K397" s="8" t="e">
        <f>SUM(K393:K395)</f>
        <v>#REF!</v>
      </c>
      <c r="O397" s="181" t="s">
        <v>521</v>
      </c>
      <c r="R397" s="188">
        <f>(R395/100)</f>
        <v>5.49</v>
      </c>
      <c r="AG397" s="181" t="s">
        <v>2175</v>
      </c>
    </row>
    <row r="398" spans="1:33" hidden="1">
      <c r="A398" s="240">
        <f t="shared" si="20"/>
        <v>234</v>
      </c>
      <c r="B398" s="181" t="s">
        <v>1075</v>
      </c>
      <c r="C398" s="8">
        <v>9</v>
      </c>
      <c r="D398" s="1" t="s">
        <v>835</v>
      </c>
      <c r="E398"/>
      <c r="I398"/>
      <c r="J398" s="4"/>
      <c r="K398" s="5" t="s">
        <v>1530</v>
      </c>
      <c r="R398" s="185" t="s">
        <v>1980</v>
      </c>
      <c r="AG398" s="181" t="s">
        <v>2175</v>
      </c>
    </row>
    <row r="399" spans="1:33" hidden="1">
      <c r="A399" s="240">
        <f t="shared" si="20"/>
        <v>235</v>
      </c>
      <c r="B399" s="181" t="s">
        <v>1076</v>
      </c>
      <c r="C399" s="8">
        <v>11</v>
      </c>
      <c r="D399" s="1" t="s">
        <v>835</v>
      </c>
      <c r="E399"/>
      <c r="H399" s="181" t="s">
        <v>521</v>
      </c>
      <c r="I399"/>
      <c r="J399" s="4"/>
      <c r="K399" s="8" t="e">
        <f>(K397/10)</f>
        <v>#REF!</v>
      </c>
      <c r="N399" s="181" t="s">
        <v>643</v>
      </c>
      <c r="O399" s="181" t="s">
        <v>327</v>
      </c>
      <c r="AG399" s="181" t="s">
        <v>2175</v>
      </c>
    </row>
    <row r="400" spans="1:33" hidden="1">
      <c r="A400" s="240">
        <f t="shared" si="20"/>
        <v>236</v>
      </c>
      <c r="B400" s="181" t="s">
        <v>1077</v>
      </c>
      <c r="C400" s="8">
        <v>18</v>
      </c>
      <c r="D400" s="1" t="s">
        <v>835</v>
      </c>
      <c r="E400"/>
      <c r="I400"/>
      <c r="J400" s="4"/>
      <c r="K400" s="5" t="s">
        <v>1980</v>
      </c>
      <c r="O400" s="185" t="s">
        <v>1530</v>
      </c>
      <c r="AG400" s="181" t="s">
        <v>2175</v>
      </c>
    </row>
    <row r="401" spans="1:33" hidden="1">
      <c r="A401" s="240">
        <f t="shared" si="20"/>
        <v>237</v>
      </c>
      <c r="B401" s="181" t="s">
        <v>1078</v>
      </c>
      <c r="C401" s="8">
        <v>24.6</v>
      </c>
      <c r="D401" s="1" t="s">
        <v>835</v>
      </c>
      <c r="E401"/>
      <c r="H401" s="181" t="s">
        <v>361</v>
      </c>
      <c r="I401"/>
      <c r="J401" s="4"/>
      <c r="K401" s="8" t="e">
        <f>(K399+C19/10*F393)</f>
        <v>#REF!</v>
      </c>
      <c r="M401" s="188">
        <v>10</v>
      </c>
      <c r="N401" s="181" t="s">
        <v>578</v>
      </c>
      <c r="O401" s="181" t="s">
        <v>1074</v>
      </c>
      <c r="P401" s="188">
        <f>(R397)</f>
        <v>5.49</v>
      </c>
      <c r="Q401" s="181" t="s">
        <v>578</v>
      </c>
      <c r="R401" s="188">
        <f>(M401*P401)</f>
        <v>54.9</v>
      </c>
      <c r="AG401" s="181" t="s">
        <v>2175</v>
      </c>
    </row>
    <row r="402" spans="1:33" hidden="1">
      <c r="A402" s="240">
        <f t="shared" si="20"/>
        <v>238</v>
      </c>
      <c r="B402" s="181" t="s">
        <v>1080</v>
      </c>
      <c r="C402" s="8">
        <v>31.46</v>
      </c>
      <c r="D402" s="1" t="s">
        <v>835</v>
      </c>
      <c r="E402"/>
      <c r="H402" s="181" t="s">
        <v>363</v>
      </c>
      <c r="I402"/>
      <c r="J402" s="4"/>
      <c r="K402" s="8" t="e">
        <f>(K401+C20/10*F393)</f>
        <v>#REF!</v>
      </c>
      <c r="M402" s="188">
        <v>10</v>
      </c>
      <c r="N402" s="181" t="s">
        <v>578</v>
      </c>
      <c r="O402" s="181" t="s">
        <v>1474</v>
      </c>
      <c r="P402" s="188">
        <f>(R397/2)</f>
        <v>2.75</v>
      </c>
      <c r="Q402" s="181" t="s">
        <v>578</v>
      </c>
      <c r="R402" s="188">
        <f>(M402*P402)</f>
        <v>27.5</v>
      </c>
      <c r="AG402" s="181" t="s">
        <v>2175</v>
      </c>
    </row>
    <row r="403" spans="1:33" hidden="1">
      <c r="A403" s="240">
        <f t="shared" si="20"/>
        <v>239</v>
      </c>
      <c r="B403" s="181" t="s">
        <v>225</v>
      </c>
      <c r="C403" s="8">
        <v>53.2</v>
      </c>
      <c r="D403" s="1" t="s">
        <v>835</v>
      </c>
      <c r="E403"/>
      <c r="H403" s="181" t="s">
        <v>2149</v>
      </c>
      <c r="I403"/>
      <c r="J403" s="4"/>
      <c r="K403" s="8" t="e">
        <f>(K402+C21/10*F393)</f>
        <v>#REF!</v>
      </c>
      <c r="O403" s="181" t="s">
        <v>1475</v>
      </c>
      <c r="R403" s="185" t="s">
        <v>1530</v>
      </c>
      <c r="AG403" s="181" t="s">
        <v>2175</v>
      </c>
    </row>
    <row r="404" spans="1:33" hidden="1">
      <c r="A404" s="240">
        <f t="shared" si="20"/>
        <v>240</v>
      </c>
      <c r="B404" s="181" t="s">
        <v>1081</v>
      </c>
      <c r="C404" s="8">
        <v>76.36</v>
      </c>
      <c r="D404" s="1" t="s">
        <v>835</v>
      </c>
      <c r="E404"/>
      <c r="H404" s="181" t="s">
        <v>355</v>
      </c>
      <c r="I404"/>
      <c r="J404" s="4"/>
      <c r="K404" s="8" t="e">
        <f>(K403+C21/10*F393)</f>
        <v>#REF!</v>
      </c>
      <c r="R404" s="188">
        <f>SUM(R401:R402)</f>
        <v>82.4</v>
      </c>
      <c r="AG404" s="181" t="s">
        <v>2175</v>
      </c>
    </row>
    <row r="405" spans="1:33" hidden="1">
      <c r="A405" s="240">
        <f t="shared" si="20"/>
        <v>241</v>
      </c>
      <c r="B405" s="181" t="s">
        <v>1476</v>
      </c>
      <c r="C405"/>
      <c r="D405" s="1" t="s">
        <v>940</v>
      </c>
      <c r="E405"/>
      <c r="H405" s="181" t="s">
        <v>1477</v>
      </c>
      <c r="I405"/>
      <c r="J405" s="4"/>
      <c r="K405" s="8" t="e">
        <f>(K404+C21/10*F393)</f>
        <v>#REF!</v>
      </c>
      <c r="O405" s="181" t="s">
        <v>411</v>
      </c>
      <c r="R405" s="185" t="s">
        <v>1530</v>
      </c>
      <c r="AG405" s="181" t="s">
        <v>2175</v>
      </c>
    </row>
    <row r="406" spans="1:33" hidden="1">
      <c r="A406" s="240">
        <f t="shared" si="20"/>
        <v>242</v>
      </c>
      <c r="B406" s="181" t="s">
        <v>1075</v>
      </c>
      <c r="C406" s="8">
        <v>5.5</v>
      </c>
      <c r="D406" s="1" t="s">
        <v>835</v>
      </c>
      <c r="E406"/>
      <c r="F406" s="242">
        <v>11</v>
      </c>
      <c r="G406" s="187" t="s">
        <v>2167</v>
      </c>
      <c r="H406" s="181" t="s">
        <v>3045</v>
      </c>
      <c r="I406"/>
      <c r="J406" s="4"/>
      <c r="K406"/>
      <c r="R406" s="188">
        <f>(R404/10)</f>
        <v>8.24</v>
      </c>
      <c r="AG406" s="181" t="s">
        <v>2175</v>
      </c>
    </row>
    <row r="407" spans="1:33" hidden="1">
      <c r="A407" s="240">
        <f t="shared" si="20"/>
        <v>243</v>
      </c>
      <c r="B407" s="181" t="s">
        <v>1076</v>
      </c>
      <c r="C407" s="8">
        <v>8</v>
      </c>
      <c r="D407" s="1" t="s">
        <v>835</v>
      </c>
      <c r="E407"/>
      <c r="H407" s="188" t="str">
        <f>H308</f>
        <v>Bricks of size 22x11x7 cm</v>
      </c>
      <c r="I407"/>
      <c r="J407" s="4"/>
      <c r="K407"/>
      <c r="O407" s="181" t="s">
        <v>521</v>
      </c>
      <c r="R407" s="185" t="s">
        <v>1980</v>
      </c>
      <c r="AG407" s="181" t="s">
        <v>2175</v>
      </c>
    </row>
    <row r="408" spans="1:33" hidden="1">
      <c r="A408" s="240">
        <f t="shared" si="20"/>
        <v>244</v>
      </c>
      <c r="B408" s="181" t="s">
        <v>1077</v>
      </c>
      <c r="C408" s="8">
        <v>10.4</v>
      </c>
      <c r="D408" s="1" t="s">
        <v>835</v>
      </c>
      <c r="E408"/>
      <c r="H408" s="185" t="s">
        <v>1530</v>
      </c>
      <c r="I408"/>
      <c r="J408" s="4"/>
      <c r="K408"/>
      <c r="AG408" s="181" t="s">
        <v>2175</v>
      </c>
    </row>
    <row r="409" spans="1:33" hidden="1">
      <c r="A409" s="240">
        <f t="shared" si="20"/>
        <v>245</v>
      </c>
      <c r="B409" s="181" t="s">
        <v>1078</v>
      </c>
      <c r="C409" s="8">
        <v>22.06</v>
      </c>
      <c r="D409" s="1" t="s">
        <v>835</v>
      </c>
      <c r="E409"/>
      <c r="F409" s="188">
        <f>F310</f>
        <v>4800</v>
      </c>
      <c r="G409" s="187" t="s">
        <v>1368</v>
      </c>
      <c r="H409" s="188" t="str">
        <f>H308</f>
        <v>Bricks of size 22x11x7 cm</v>
      </c>
      <c r="I409" s="8" t="e">
        <f>(C80)</f>
        <v>#REF!</v>
      </c>
      <c r="J409" s="2" t="s">
        <v>1478</v>
      </c>
      <c r="K409" s="8" t="e">
        <f>(F409*I409)/1000</f>
        <v>#REF!</v>
      </c>
      <c r="N409" s="181" t="s">
        <v>2167</v>
      </c>
      <c r="O409" s="181" t="s">
        <v>1479</v>
      </c>
      <c r="AG409" s="181" t="s">
        <v>2175</v>
      </c>
    </row>
    <row r="410" spans="1:33" hidden="1">
      <c r="A410" s="240">
        <f t="shared" si="20"/>
        <v>246</v>
      </c>
      <c r="B410" s="181" t="s">
        <v>1080</v>
      </c>
      <c r="C410" s="8">
        <v>27.91</v>
      </c>
      <c r="D410" s="1" t="s">
        <v>835</v>
      </c>
      <c r="E410"/>
      <c r="F410" s="188">
        <v>1.59</v>
      </c>
      <c r="G410" s="187" t="s">
        <v>836</v>
      </c>
      <c r="H410" s="181" t="s">
        <v>1258</v>
      </c>
      <c r="I410" s="8" t="e">
        <f>(K40)</f>
        <v>#REF!</v>
      </c>
      <c r="J410" s="2" t="s">
        <v>836</v>
      </c>
      <c r="K410" s="8" t="e">
        <f>(F410*I410)</f>
        <v>#REF!</v>
      </c>
      <c r="O410" s="181" t="s">
        <v>1480</v>
      </c>
      <c r="AG410" s="181" t="s">
        <v>2175</v>
      </c>
    </row>
    <row r="411" spans="1:33" hidden="1">
      <c r="A411" s="240">
        <f t="shared" si="20"/>
        <v>247</v>
      </c>
      <c r="B411" s="181" t="s">
        <v>225</v>
      </c>
      <c r="C411" s="8">
        <v>49.42</v>
      </c>
      <c r="D411" s="1" t="s">
        <v>835</v>
      </c>
      <c r="E411"/>
      <c r="F411" s="188">
        <v>7</v>
      </c>
      <c r="G411" s="187" t="s">
        <v>835</v>
      </c>
      <c r="H411" s="181" t="s">
        <v>1938</v>
      </c>
      <c r="I411" s="8">
        <f>(C10)</f>
        <v>150</v>
      </c>
      <c r="J411" s="2" t="s">
        <v>835</v>
      </c>
      <c r="K411" s="8">
        <f>(F411*I411)</f>
        <v>1050</v>
      </c>
      <c r="O411" s="185" t="s">
        <v>1530</v>
      </c>
      <c r="AG411" s="181" t="s">
        <v>2175</v>
      </c>
    </row>
    <row r="412" spans="1:33" hidden="1">
      <c r="A412" s="240">
        <f t="shared" si="20"/>
        <v>248</v>
      </c>
      <c r="B412" s="181" t="s">
        <v>1081</v>
      </c>
      <c r="C412" s="8">
        <v>86.94</v>
      </c>
      <c r="D412" s="1" t="s">
        <v>835</v>
      </c>
      <c r="E412"/>
      <c r="F412" s="188">
        <v>7.1</v>
      </c>
      <c r="G412" s="187" t="s">
        <v>835</v>
      </c>
      <c r="H412" s="181" t="s">
        <v>1654</v>
      </c>
      <c r="I412" s="8">
        <f>(C11)</f>
        <v>135</v>
      </c>
      <c r="J412" s="2" t="s">
        <v>835</v>
      </c>
      <c r="K412" s="8">
        <f>(F412*I412)</f>
        <v>958.5</v>
      </c>
      <c r="M412" s="188">
        <v>10</v>
      </c>
      <c r="N412" s="181" t="s">
        <v>578</v>
      </c>
      <c r="O412" s="181" t="s">
        <v>1769</v>
      </c>
      <c r="P412" s="188">
        <f>(R383)</f>
        <v>3.79</v>
      </c>
      <c r="Q412" s="181" t="s">
        <v>578</v>
      </c>
      <c r="R412" s="188">
        <f>(M412*P412)</f>
        <v>37.9</v>
      </c>
      <c r="AG412" s="181" t="s">
        <v>2175</v>
      </c>
    </row>
    <row r="413" spans="1:33" hidden="1">
      <c r="A413" s="240">
        <f t="shared" si="20"/>
        <v>249</v>
      </c>
      <c r="B413" s="181" t="s">
        <v>1481</v>
      </c>
      <c r="C413"/>
      <c r="D413" s="1" t="s">
        <v>940</v>
      </c>
      <c r="E413"/>
      <c r="F413" s="188">
        <v>7.1</v>
      </c>
      <c r="G413" s="187" t="s">
        <v>835</v>
      </c>
      <c r="H413" s="181" t="s">
        <v>1836</v>
      </c>
      <c r="I413" s="8">
        <f>(C12)</f>
        <v>95</v>
      </c>
      <c r="J413" s="2" t="s">
        <v>835</v>
      </c>
      <c r="K413" s="8">
        <f>(F413*I413)</f>
        <v>674.5</v>
      </c>
      <c r="M413" s="188">
        <v>10</v>
      </c>
      <c r="N413" s="181" t="s">
        <v>578</v>
      </c>
      <c r="O413" s="181" t="s">
        <v>327</v>
      </c>
      <c r="P413" s="188">
        <f>(R406)</f>
        <v>8.24</v>
      </c>
      <c r="Q413" s="181" t="s">
        <v>578</v>
      </c>
      <c r="R413" s="188">
        <f>(M413*P413)</f>
        <v>82.4</v>
      </c>
      <c r="AG413" s="181" t="s">
        <v>2175</v>
      </c>
    </row>
    <row r="414" spans="1:33" hidden="1">
      <c r="A414" s="240">
        <f t="shared" si="20"/>
        <v>250</v>
      </c>
      <c r="B414" s="181" t="s">
        <v>1075</v>
      </c>
      <c r="C414" s="8">
        <v>5.75</v>
      </c>
      <c r="D414" s="1" t="s">
        <v>835</v>
      </c>
      <c r="E414"/>
      <c r="F414" s="188">
        <v>21.2</v>
      </c>
      <c r="G414" s="187" t="s">
        <v>835</v>
      </c>
      <c r="H414" s="181" t="s">
        <v>299</v>
      </c>
      <c r="I414" s="8">
        <f>(C13)</f>
        <v>85</v>
      </c>
      <c r="J414" s="2" t="s">
        <v>835</v>
      </c>
      <c r="K414" s="8">
        <f>(F414*I414)</f>
        <v>1802</v>
      </c>
      <c r="O414" s="181" t="s">
        <v>940</v>
      </c>
      <c r="R414" s="185" t="s">
        <v>1530</v>
      </c>
      <c r="AG414" s="181" t="s">
        <v>2175</v>
      </c>
    </row>
    <row r="415" spans="1:33" hidden="1">
      <c r="A415" s="240">
        <f t="shared" si="20"/>
        <v>251</v>
      </c>
      <c r="B415" s="181" t="s">
        <v>1076</v>
      </c>
      <c r="C415" s="8">
        <v>8.5</v>
      </c>
      <c r="D415" s="1" t="s">
        <v>835</v>
      </c>
      <c r="E415"/>
      <c r="G415" s="187" t="s">
        <v>419</v>
      </c>
      <c r="H415" s="181" t="s">
        <v>420</v>
      </c>
      <c r="I415" s="1" t="s">
        <v>940</v>
      </c>
      <c r="J415" s="2" t="s">
        <v>419</v>
      </c>
      <c r="K415" s="8">
        <v>0</v>
      </c>
      <c r="R415" s="188">
        <f>SUM(R412:R413)</f>
        <v>120.3</v>
      </c>
      <c r="AG415" s="181" t="s">
        <v>2175</v>
      </c>
    </row>
    <row r="416" spans="1:33" hidden="1">
      <c r="A416" s="240">
        <f t="shared" si="20"/>
        <v>252</v>
      </c>
      <c r="B416" s="181" t="s">
        <v>1077</v>
      </c>
      <c r="C416" s="8">
        <v>14</v>
      </c>
      <c r="D416" s="1" t="s">
        <v>835</v>
      </c>
      <c r="E416"/>
      <c r="I416"/>
      <c r="J416" s="4"/>
      <c r="K416" s="5" t="s">
        <v>1530</v>
      </c>
      <c r="O416" s="181" t="s">
        <v>411</v>
      </c>
      <c r="R416" s="185" t="s">
        <v>1530</v>
      </c>
      <c r="AG416" s="181" t="s">
        <v>2175</v>
      </c>
    </row>
    <row r="417" spans="1:33" hidden="1">
      <c r="A417" s="240">
        <f t="shared" si="20"/>
        <v>253</v>
      </c>
      <c r="B417" s="181" t="s">
        <v>1078</v>
      </c>
      <c r="C417" s="8">
        <v>30.11</v>
      </c>
      <c r="D417" s="1" t="s">
        <v>835</v>
      </c>
      <c r="E417"/>
      <c r="H417" s="181" t="s">
        <v>583</v>
      </c>
      <c r="I417"/>
      <c r="J417" s="4"/>
      <c r="K417" s="8" t="e">
        <f>SUM(K409:K415)</f>
        <v>#REF!</v>
      </c>
      <c r="R417" s="188">
        <f>(R415/10)</f>
        <v>12.03</v>
      </c>
      <c r="AG417" s="181" t="s">
        <v>2175</v>
      </c>
    </row>
    <row r="418" spans="1:33" hidden="1">
      <c r="A418" s="240">
        <f t="shared" si="20"/>
        <v>254</v>
      </c>
      <c r="B418" s="181" t="s">
        <v>1080</v>
      </c>
      <c r="C418" s="8">
        <v>47.25</v>
      </c>
      <c r="D418" s="1" t="s">
        <v>835</v>
      </c>
      <c r="E418"/>
      <c r="I418"/>
      <c r="J418" s="4"/>
      <c r="K418" s="5" t="s">
        <v>1530</v>
      </c>
      <c r="O418" s="181" t="s">
        <v>521</v>
      </c>
      <c r="R418" s="185" t="s">
        <v>1980</v>
      </c>
      <c r="AG418" s="181" t="s">
        <v>2175</v>
      </c>
    </row>
    <row r="419" spans="1:33" hidden="1">
      <c r="A419" s="240">
        <f t="shared" si="20"/>
        <v>255</v>
      </c>
      <c r="B419" s="181" t="s">
        <v>225</v>
      </c>
      <c r="C419" s="8">
        <v>71.16</v>
      </c>
      <c r="D419" s="1" t="s">
        <v>835</v>
      </c>
      <c r="E419"/>
      <c r="H419" s="181" t="s">
        <v>743</v>
      </c>
      <c r="I419"/>
      <c r="J419" s="4"/>
      <c r="K419" s="8" t="e">
        <f>(K417/10)</f>
        <v>#REF!</v>
      </c>
      <c r="AG419" s="181" t="s">
        <v>2175</v>
      </c>
    </row>
    <row r="420" spans="1:33" hidden="1">
      <c r="A420" s="240">
        <f t="shared" si="20"/>
        <v>256</v>
      </c>
      <c r="B420" s="181" t="s">
        <v>1081</v>
      </c>
      <c r="C420" s="8">
        <v>125.84</v>
      </c>
      <c r="D420" s="1" t="s">
        <v>835</v>
      </c>
      <c r="E420"/>
      <c r="I420"/>
      <c r="J420" s="4"/>
      <c r="K420" s="5" t="s">
        <v>1980</v>
      </c>
      <c r="AG420" s="181" t="s">
        <v>2175</v>
      </c>
    </row>
    <row r="421" spans="1:33" hidden="1">
      <c r="C421"/>
      <c r="D421"/>
      <c r="E421"/>
      <c r="F421" s="181" t="s">
        <v>234</v>
      </c>
      <c r="I421"/>
      <c r="J421" s="4"/>
      <c r="K421"/>
    </row>
    <row r="422" spans="1:33" hidden="1">
      <c r="A422" s="240">
        <f>(A420+1)</f>
        <v>257</v>
      </c>
      <c r="B422" s="181" t="s">
        <v>1482</v>
      </c>
      <c r="C422"/>
      <c r="D422" s="1" t="s">
        <v>940</v>
      </c>
      <c r="E422"/>
      <c r="I422"/>
      <c r="J422" s="4"/>
      <c r="K422"/>
      <c r="O422" s="236" t="s">
        <v>1483</v>
      </c>
      <c r="AG422" s="181" t="s">
        <v>2175</v>
      </c>
    </row>
    <row r="423" spans="1:33" hidden="1">
      <c r="A423" s="240">
        <f t="shared" ref="A423:A436" si="21">(A422+1)</f>
        <v>258</v>
      </c>
      <c r="B423" s="181" t="s">
        <v>1075</v>
      </c>
      <c r="C423" s="8">
        <v>17</v>
      </c>
      <c r="D423" s="1" t="s">
        <v>835</v>
      </c>
      <c r="E423"/>
      <c r="G423" s="187" t="s">
        <v>1484</v>
      </c>
      <c r="H423" s="181" t="s">
        <v>400</v>
      </c>
      <c r="I423"/>
      <c r="J423" s="4"/>
      <c r="K423"/>
      <c r="O423" s="185" t="s">
        <v>1530</v>
      </c>
      <c r="AG423" s="181" t="s">
        <v>2175</v>
      </c>
    </row>
    <row r="424" spans="1:33" hidden="1">
      <c r="A424" s="240">
        <f t="shared" si="21"/>
        <v>259</v>
      </c>
      <c r="B424" s="181" t="s">
        <v>1076</v>
      </c>
      <c r="C424" s="8">
        <v>23.4</v>
      </c>
      <c r="D424" s="1" t="s">
        <v>835</v>
      </c>
      <c r="E424"/>
      <c r="H424" s="185" t="s">
        <v>1530</v>
      </c>
      <c r="I424"/>
      <c r="J424" s="4"/>
      <c r="K424"/>
      <c r="N424" s="181" t="s">
        <v>2167</v>
      </c>
      <c r="O424" s="181" t="s">
        <v>1974</v>
      </c>
      <c r="AG424" s="181" t="s">
        <v>2175</v>
      </c>
    </row>
    <row r="425" spans="1:33" hidden="1">
      <c r="A425" s="240">
        <f t="shared" si="21"/>
        <v>260</v>
      </c>
      <c r="B425" s="181" t="s">
        <v>1077</v>
      </c>
      <c r="C425" s="8">
        <v>33</v>
      </c>
      <c r="D425" s="1" t="s">
        <v>835</v>
      </c>
      <c r="E425"/>
      <c r="F425" s="188">
        <v>0.7</v>
      </c>
      <c r="G425" s="187" t="s">
        <v>836</v>
      </c>
      <c r="H425" s="181" t="s">
        <v>2195</v>
      </c>
      <c r="I425" s="8" t="e">
        <f>(K419)</f>
        <v>#REF!</v>
      </c>
      <c r="J425" s="2" t="s">
        <v>835</v>
      </c>
      <c r="K425" s="8" t="e">
        <f>(F425*I425)</f>
        <v>#REF!</v>
      </c>
      <c r="O425" s="181" t="s">
        <v>1975</v>
      </c>
      <c r="AG425" s="181" t="s">
        <v>2175</v>
      </c>
    </row>
    <row r="426" spans="1:33" hidden="1">
      <c r="A426" s="240">
        <f t="shared" si="21"/>
        <v>261</v>
      </c>
      <c r="B426" s="181" t="s">
        <v>1078</v>
      </c>
      <c r="C426" s="8">
        <v>34.22</v>
      </c>
      <c r="D426" s="1" t="s">
        <v>835</v>
      </c>
      <c r="E426"/>
      <c r="F426" s="188">
        <v>1</v>
      </c>
      <c r="G426" s="187" t="s">
        <v>739</v>
      </c>
      <c r="H426" s="181" t="s">
        <v>1938</v>
      </c>
      <c r="I426" s="8">
        <f>(C10)</f>
        <v>150</v>
      </c>
      <c r="J426" s="2" t="s">
        <v>835</v>
      </c>
      <c r="K426" s="8">
        <f>(F426*I426)</f>
        <v>150</v>
      </c>
      <c r="O426" s="181" t="s">
        <v>151</v>
      </c>
      <c r="AG426" s="181" t="s">
        <v>2175</v>
      </c>
    </row>
    <row r="427" spans="1:33" hidden="1">
      <c r="A427" s="240">
        <f t="shared" si="21"/>
        <v>262</v>
      </c>
      <c r="B427" s="181" t="s">
        <v>1080</v>
      </c>
      <c r="C427" s="8">
        <v>75.28</v>
      </c>
      <c r="D427" s="1" t="s">
        <v>835</v>
      </c>
      <c r="E427"/>
      <c r="G427" s="187" t="s">
        <v>419</v>
      </c>
      <c r="H427" s="181" t="s">
        <v>420</v>
      </c>
      <c r="I427" s="1" t="s">
        <v>940</v>
      </c>
      <c r="J427" s="2" t="s">
        <v>419</v>
      </c>
      <c r="K427" s="8">
        <v>0</v>
      </c>
      <c r="O427" s="185" t="s">
        <v>1530</v>
      </c>
      <c r="AG427" s="181" t="s">
        <v>2175</v>
      </c>
    </row>
    <row r="428" spans="1:33" hidden="1">
      <c r="A428" s="240">
        <f t="shared" si="21"/>
        <v>263</v>
      </c>
      <c r="B428" s="181" t="s">
        <v>225</v>
      </c>
      <c r="C428" s="8">
        <v>92.66</v>
      </c>
      <c r="D428" s="1" t="s">
        <v>835</v>
      </c>
      <c r="E428"/>
      <c r="I428"/>
      <c r="J428" s="4"/>
      <c r="K428" s="5" t="s">
        <v>1530</v>
      </c>
      <c r="N428" s="181" t="s">
        <v>152</v>
      </c>
      <c r="O428" s="236" t="s">
        <v>153</v>
      </c>
      <c r="AG428" s="181" t="s">
        <v>2175</v>
      </c>
    </row>
    <row r="429" spans="1:33" hidden="1">
      <c r="A429" s="240">
        <f t="shared" si="21"/>
        <v>264</v>
      </c>
      <c r="B429" s="181" t="s">
        <v>1081</v>
      </c>
      <c r="C429" s="8">
        <v>141.86000000000001</v>
      </c>
      <c r="D429" s="1" t="s">
        <v>835</v>
      </c>
      <c r="E429"/>
      <c r="H429" s="181" t="s">
        <v>411</v>
      </c>
      <c r="I429"/>
      <c r="J429" s="4"/>
      <c r="K429" s="8" t="e">
        <f>SUM(K425:K427)</f>
        <v>#REF!</v>
      </c>
      <c r="O429" s="185" t="s">
        <v>1530</v>
      </c>
      <c r="AG429" s="181" t="s">
        <v>2175</v>
      </c>
    </row>
    <row r="430" spans="1:33" hidden="1">
      <c r="A430" s="240">
        <f t="shared" si="21"/>
        <v>265</v>
      </c>
      <c r="B430" s="181" t="s">
        <v>154</v>
      </c>
      <c r="C430"/>
      <c r="D430" s="1" t="s">
        <v>940</v>
      </c>
      <c r="E430"/>
      <c r="I430"/>
      <c r="J430" s="4"/>
      <c r="K430" s="5" t="s">
        <v>1530</v>
      </c>
      <c r="M430" s="188">
        <v>8.1</v>
      </c>
      <c r="N430" s="181" t="s">
        <v>836</v>
      </c>
      <c r="O430" s="181" t="s">
        <v>586</v>
      </c>
      <c r="P430" s="188">
        <f>(C61)*2</f>
        <v>50</v>
      </c>
      <c r="Q430" s="181" t="s">
        <v>836</v>
      </c>
      <c r="R430" s="188">
        <f>(M430*P430)</f>
        <v>405</v>
      </c>
      <c r="AG430" s="181" t="s">
        <v>2175</v>
      </c>
    </row>
    <row r="431" spans="1:33" hidden="1">
      <c r="A431" s="240">
        <f t="shared" si="21"/>
        <v>266</v>
      </c>
      <c r="B431" s="181" t="s">
        <v>1075</v>
      </c>
      <c r="C431" s="8">
        <v>1.8</v>
      </c>
      <c r="D431" s="1" t="s">
        <v>835</v>
      </c>
      <c r="E431"/>
      <c r="H431" s="181" t="s">
        <v>521</v>
      </c>
      <c r="I431"/>
      <c r="J431" s="4"/>
      <c r="K431" s="8" t="e">
        <f>(K429/10)</f>
        <v>#REF!</v>
      </c>
      <c r="M431" s="188">
        <v>8.1</v>
      </c>
      <c r="N431" s="181" t="s">
        <v>836</v>
      </c>
      <c r="O431" s="181" t="s">
        <v>2076</v>
      </c>
      <c r="P431" s="188">
        <f>(C26)</f>
        <v>8.8000000000000007</v>
      </c>
      <c r="Q431" s="181" t="s">
        <v>836</v>
      </c>
      <c r="R431" s="188">
        <f>(M431*P431)</f>
        <v>71.28</v>
      </c>
      <c r="AG431" s="181" t="s">
        <v>2175</v>
      </c>
    </row>
    <row r="432" spans="1:33" hidden="1">
      <c r="A432" s="240">
        <f t="shared" si="21"/>
        <v>267</v>
      </c>
      <c r="B432" s="181" t="s">
        <v>1076</v>
      </c>
      <c r="C432" s="8">
        <v>2.9</v>
      </c>
      <c r="D432" s="1" t="s">
        <v>835</v>
      </c>
      <c r="E432"/>
      <c r="I432"/>
      <c r="J432" s="4"/>
      <c r="K432" s="5" t="s">
        <v>1980</v>
      </c>
      <c r="M432" s="188">
        <v>30</v>
      </c>
      <c r="N432" s="181" t="s">
        <v>1714</v>
      </c>
      <c r="O432" s="181" t="s">
        <v>2077</v>
      </c>
      <c r="P432" s="188">
        <f>(C42)</f>
        <v>1.75</v>
      </c>
      <c r="Q432" s="181" t="s">
        <v>1714</v>
      </c>
      <c r="R432" s="188">
        <f>(M432*P432)</f>
        <v>52.5</v>
      </c>
      <c r="AG432" s="181" t="s">
        <v>2175</v>
      </c>
    </row>
    <row r="433" spans="1:33" hidden="1">
      <c r="A433" s="240">
        <f t="shared" si="21"/>
        <v>268</v>
      </c>
      <c r="B433" s="181" t="s">
        <v>1077</v>
      </c>
      <c r="C433" s="8">
        <v>4</v>
      </c>
      <c r="D433" s="1" t="s">
        <v>835</v>
      </c>
      <c r="E433"/>
      <c r="H433" s="181" t="s">
        <v>361</v>
      </c>
      <c r="I433"/>
      <c r="J433" s="4"/>
      <c r="K433" s="8" t="e">
        <f>(K431+C19/10*F425)</f>
        <v>#REF!</v>
      </c>
      <c r="O433" s="181" t="s">
        <v>2078</v>
      </c>
      <c r="AG433" s="181" t="s">
        <v>2175</v>
      </c>
    </row>
    <row r="434" spans="1:33" hidden="1">
      <c r="A434" s="240">
        <f t="shared" si="21"/>
        <v>269</v>
      </c>
      <c r="B434" s="181" t="s">
        <v>1078</v>
      </c>
      <c r="C434" s="8">
        <v>6.86</v>
      </c>
      <c r="D434" s="1" t="s">
        <v>835</v>
      </c>
      <c r="E434"/>
      <c r="H434" s="181" t="s">
        <v>363</v>
      </c>
      <c r="I434"/>
      <c r="J434" s="4"/>
      <c r="K434" s="8" t="e">
        <f>(K433+C20/10*F425)</f>
        <v>#REF!</v>
      </c>
      <c r="O434" s="181" t="s">
        <v>2079</v>
      </c>
      <c r="AG434" s="181" t="s">
        <v>2175</v>
      </c>
    </row>
    <row r="435" spans="1:33" hidden="1">
      <c r="A435" s="240">
        <f t="shared" si="21"/>
        <v>270</v>
      </c>
      <c r="B435" s="181" t="s">
        <v>1080</v>
      </c>
      <c r="C435" s="8">
        <v>9.15</v>
      </c>
      <c r="D435" s="1" t="s">
        <v>835</v>
      </c>
      <c r="E435"/>
      <c r="H435" s="181" t="s">
        <v>2149</v>
      </c>
      <c r="I435"/>
      <c r="J435" s="4"/>
      <c r="K435" s="8" t="e">
        <f>(K434+C21/10*F425)</f>
        <v>#REF!</v>
      </c>
      <c r="O435" s="181" t="s">
        <v>2080</v>
      </c>
      <c r="AG435" s="181" t="s">
        <v>2175</v>
      </c>
    </row>
    <row r="436" spans="1:33" hidden="1">
      <c r="A436" s="240">
        <f t="shared" si="21"/>
        <v>271</v>
      </c>
      <c r="B436" s="181" t="s">
        <v>225</v>
      </c>
      <c r="C436" s="8">
        <v>14.59</v>
      </c>
      <c r="D436" s="1" t="s">
        <v>835</v>
      </c>
      <c r="E436"/>
      <c r="H436" s="181" t="s">
        <v>355</v>
      </c>
      <c r="I436"/>
      <c r="J436" s="4"/>
      <c r="K436" s="8" t="e">
        <f>(K435+C21/10*F425)</f>
        <v>#REF!</v>
      </c>
      <c r="O436" s="181" t="s">
        <v>2083</v>
      </c>
      <c r="AG436" s="181" t="s">
        <v>2175</v>
      </c>
    </row>
    <row r="437" spans="1:33" hidden="1">
      <c r="A437" s="240"/>
      <c r="B437" s="181"/>
      <c r="C437" s="8"/>
      <c r="D437" s="1"/>
      <c r="E437"/>
      <c r="H437" s="181" t="s">
        <v>801</v>
      </c>
      <c r="I437"/>
      <c r="J437" s="4"/>
      <c r="K437" s="8" t="e">
        <f>(K436+C22/10*F426)</f>
        <v>#REF!</v>
      </c>
      <c r="O437" s="181"/>
      <c r="AG437" s="181"/>
    </row>
    <row r="438" spans="1:33" hidden="1">
      <c r="A438" s="240">
        <f>(A436+1)</f>
        <v>272</v>
      </c>
      <c r="B438" s="181" t="s">
        <v>1081</v>
      </c>
      <c r="C438" s="8">
        <v>21.74</v>
      </c>
      <c r="D438" s="1" t="s">
        <v>835</v>
      </c>
      <c r="E438"/>
      <c r="H438" s="236" t="s">
        <v>2061</v>
      </c>
      <c r="I438"/>
      <c r="J438" s="4"/>
      <c r="K438"/>
      <c r="M438" s="188">
        <v>8</v>
      </c>
      <c r="N438" s="181" t="s">
        <v>739</v>
      </c>
      <c r="O438" s="181" t="s">
        <v>2062</v>
      </c>
      <c r="P438" s="188">
        <f>(C43)</f>
        <v>2.2000000000000002</v>
      </c>
      <c r="Q438" s="181" t="s">
        <v>739</v>
      </c>
      <c r="R438" s="188">
        <f>(M438*P438)</f>
        <v>17.600000000000001</v>
      </c>
      <c r="AG438" s="181" t="s">
        <v>2175</v>
      </c>
    </row>
    <row r="439" spans="1:33" hidden="1">
      <c r="A439" s="240">
        <f t="shared" ref="A439:A470" si="22">(A438+1)</f>
        <v>273</v>
      </c>
      <c r="B439" s="181" t="s">
        <v>2063</v>
      </c>
      <c r="C439"/>
      <c r="D439" s="1" t="s">
        <v>940</v>
      </c>
      <c r="E439"/>
      <c r="H439" s="236" t="s">
        <v>2040</v>
      </c>
      <c r="I439"/>
      <c r="J439" s="4"/>
      <c r="K439"/>
      <c r="M439" s="188">
        <v>8</v>
      </c>
      <c r="N439" s="181" t="s">
        <v>739</v>
      </c>
      <c r="O439" s="181" t="s">
        <v>437</v>
      </c>
      <c r="P439" s="188">
        <f>(C50)</f>
        <v>3.2</v>
      </c>
      <c r="Q439" s="181" t="s">
        <v>739</v>
      </c>
      <c r="R439" s="188">
        <f>(M439*P439)</f>
        <v>25.6</v>
      </c>
      <c r="AG439" s="181" t="s">
        <v>2175</v>
      </c>
    </row>
    <row r="440" spans="1:33" hidden="1">
      <c r="A440" s="240">
        <f t="shared" si="22"/>
        <v>274</v>
      </c>
      <c r="B440" s="181" t="s">
        <v>1075</v>
      </c>
      <c r="C440" s="8">
        <v>8.85</v>
      </c>
      <c r="D440" s="1" t="s">
        <v>835</v>
      </c>
      <c r="E440"/>
      <c r="F440" s="242">
        <v>12</v>
      </c>
      <c r="G440" s="187" t="s">
        <v>2167</v>
      </c>
      <c r="H440" s="181" t="s">
        <v>438</v>
      </c>
      <c r="I440"/>
      <c r="J440" s="4"/>
      <c r="K440"/>
      <c r="M440" s="188">
        <v>1</v>
      </c>
      <c r="N440" s="181" t="s">
        <v>419</v>
      </c>
      <c r="O440" s="181" t="s">
        <v>1630</v>
      </c>
      <c r="P440" s="188">
        <f>(C56)</f>
        <v>12.1</v>
      </c>
      <c r="Q440" s="181" t="s">
        <v>419</v>
      </c>
      <c r="R440" s="188">
        <f>(M440*P440)</f>
        <v>12.1</v>
      </c>
      <c r="AG440" s="181" t="s">
        <v>2175</v>
      </c>
    </row>
    <row r="441" spans="1:33" hidden="1">
      <c r="A441" s="240">
        <f t="shared" si="22"/>
        <v>275</v>
      </c>
      <c r="B441" s="181" t="s">
        <v>1076</v>
      </c>
      <c r="C441" s="8">
        <v>14</v>
      </c>
      <c r="D441" s="1" t="s">
        <v>835</v>
      </c>
      <c r="E441"/>
      <c r="H441" s="181" t="s">
        <v>1072</v>
      </c>
      <c r="I441"/>
      <c r="J441" s="4"/>
      <c r="K441"/>
      <c r="M441" s="188">
        <v>1</v>
      </c>
      <c r="N441" s="181" t="s">
        <v>419</v>
      </c>
      <c r="O441" s="181" t="s">
        <v>420</v>
      </c>
      <c r="Q441" s="181" t="s">
        <v>419</v>
      </c>
      <c r="R441" s="188">
        <v>0</v>
      </c>
      <c r="AG441" s="181" t="s">
        <v>2175</v>
      </c>
    </row>
    <row r="442" spans="1:33" hidden="1">
      <c r="A442" s="240">
        <f t="shared" si="22"/>
        <v>276</v>
      </c>
      <c r="B442" s="181" t="s">
        <v>1077</v>
      </c>
      <c r="C442" s="8">
        <v>20.7</v>
      </c>
      <c r="D442" s="1" t="s">
        <v>835</v>
      </c>
      <c r="E442"/>
      <c r="H442" s="185" t="s">
        <v>1530</v>
      </c>
      <c r="I442"/>
      <c r="J442" s="4"/>
      <c r="K442"/>
      <c r="R442" s="185" t="s">
        <v>1530</v>
      </c>
      <c r="AG442" s="181" t="s">
        <v>2175</v>
      </c>
    </row>
    <row r="443" spans="1:33" hidden="1">
      <c r="A443" s="240">
        <f t="shared" si="22"/>
        <v>277</v>
      </c>
      <c r="B443" s="181" t="s">
        <v>1078</v>
      </c>
      <c r="C443" s="8">
        <v>41.82</v>
      </c>
      <c r="D443" s="1" t="s">
        <v>835</v>
      </c>
      <c r="E443"/>
      <c r="F443" s="188">
        <v>6570</v>
      </c>
      <c r="G443" s="187" t="s">
        <v>1368</v>
      </c>
      <c r="H443" s="181" t="s">
        <v>1512</v>
      </c>
      <c r="I443" s="8" t="e">
        <f>(C77)</f>
        <v>#REF!</v>
      </c>
      <c r="J443" s="2" t="s">
        <v>1538</v>
      </c>
      <c r="K443" s="8" t="e">
        <f>(F443*I443)/1000</f>
        <v>#REF!</v>
      </c>
      <c r="O443" s="181" t="s">
        <v>1489</v>
      </c>
      <c r="R443" s="188">
        <f>SUM(R430:R441)</f>
        <v>584.08000000000004</v>
      </c>
      <c r="AG443" s="181" t="s">
        <v>300</v>
      </c>
    </row>
    <row r="444" spans="1:33" hidden="1">
      <c r="A444" s="240">
        <f t="shared" si="22"/>
        <v>278</v>
      </c>
      <c r="B444" s="181" t="s">
        <v>1080</v>
      </c>
      <c r="C444" s="8">
        <v>61.78</v>
      </c>
      <c r="D444" s="1" t="s">
        <v>835</v>
      </c>
      <c r="E444"/>
      <c r="F444" s="188">
        <v>1.91</v>
      </c>
      <c r="G444" s="187" t="s">
        <v>836</v>
      </c>
      <c r="H444" s="181" t="s">
        <v>1258</v>
      </c>
      <c r="I444" s="8" t="e">
        <f>(K40)</f>
        <v>#REF!</v>
      </c>
      <c r="J444" s="2" t="s">
        <v>836</v>
      </c>
      <c r="K444" s="8" t="e">
        <f>(F444*I444)</f>
        <v>#REF!</v>
      </c>
      <c r="R444" s="185" t="s">
        <v>1530</v>
      </c>
    </row>
    <row r="445" spans="1:33" hidden="1">
      <c r="A445" s="240">
        <f t="shared" si="22"/>
        <v>279</v>
      </c>
      <c r="B445" s="181" t="s">
        <v>225</v>
      </c>
      <c r="C445" s="8">
        <v>97.93</v>
      </c>
      <c r="D445" s="1" t="s">
        <v>835</v>
      </c>
      <c r="E445"/>
      <c r="F445" s="188">
        <v>7</v>
      </c>
      <c r="G445" s="187" t="s">
        <v>835</v>
      </c>
      <c r="H445" s="181" t="s">
        <v>1938</v>
      </c>
      <c r="I445" s="8">
        <f>(C10)</f>
        <v>150</v>
      </c>
      <c r="J445" s="2" t="s">
        <v>835</v>
      </c>
      <c r="K445" s="8">
        <f>(F445*I445)</f>
        <v>1050</v>
      </c>
      <c r="O445" s="181" t="s">
        <v>1490</v>
      </c>
      <c r="R445" s="188">
        <f>(R443/30)</f>
        <v>19.47</v>
      </c>
    </row>
    <row r="446" spans="1:33" hidden="1">
      <c r="A446" s="240">
        <f t="shared" si="22"/>
        <v>280</v>
      </c>
      <c r="B446" s="181" t="s">
        <v>1081</v>
      </c>
      <c r="C446" s="8">
        <v>156.5</v>
      </c>
      <c r="D446" s="1" t="s">
        <v>835</v>
      </c>
      <c r="E446"/>
      <c r="F446" s="188">
        <v>3.6</v>
      </c>
      <c r="G446" s="187" t="s">
        <v>835</v>
      </c>
      <c r="H446" s="181" t="s">
        <v>1654</v>
      </c>
      <c r="I446" s="8">
        <f>(C11)</f>
        <v>135</v>
      </c>
      <c r="J446" s="2" t="s">
        <v>835</v>
      </c>
      <c r="K446" s="8">
        <f>(F446*I446)</f>
        <v>486</v>
      </c>
      <c r="R446" s="185" t="s">
        <v>1530</v>
      </c>
      <c r="AG446" s="181" t="s">
        <v>2175</v>
      </c>
    </row>
    <row r="447" spans="1:33" hidden="1">
      <c r="A447" s="240">
        <f t="shared" si="22"/>
        <v>281</v>
      </c>
      <c r="B447" s="181" t="s">
        <v>1499</v>
      </c>
      <c r="C447"/>
      <c r="D447" s="1" t="s">
        <v>940</v>
      </c>
      <c r="E447"/>
      <c r="F447" s="188">
        <v>7.1</v>
      </c>
      <c r="G447" s="187" t="s">
        <v>835</v>
      </c>
      <c r="H447" s="181" t="s">
        <v>1836</v>
      </c>
      <c r="I447" s="8">
        <f>(C12)</f>
        <v>95</v>
      </c>
      <c r="J447" s="2" t="s">
        <v>835</v>
      </c>
      <c r="K447" s="8">
        <f>(F447*I447)</f>
        <v>674.5</v>
      </c>
      <c r="N447" s="181" t="s">
        <v>1500</v>
      </c>
      <c r="O447" s="236" t="s">
        <v>980</v>
      </c>
      <c r="AG447" s="181" t="s">
        <v>2175</v>
      </c>
    </row>
    <row r="448" spans="1:33" hidden="1">
      <c r="A448" s="240">
        <f t="shared" si="22"/>
        <v>282</v>
      </c>
      <c r="B448" s="181" t="s">
        <v>1075</v>
      </c>
      <c r="C448" s="8">
        <v>3.2</v>
      </c>
      <c r="D448" s="1" t="s">
        <v>835</v>
      </c>
      <c r="E448"/>
      <c r="F448" s="188">
        <v>14.1</v>
      </c>
      <c r="G448" s="187" t="s">
        <v>835</v>
      </c>
      <c r="H448" s="181" t="s">
        <v>299</v>
      </c>
      <c r="I448" s="8">
        <f>(C13)</f>
        <v>85</v>
      </c>
      <c r="J448" s="2" t="s">
        <v>835</v>
      </c>
      <c r="K448" s="8">
        <f>(F448*I448)</f>
        <v>1198.5</v>
      </c>
      <c r="O448" s="185" t="s">
        <v>1530</v>
      </c>
      <c r="AG448" s="181" t="s">
        <v>2175</v>
      </c>
    </row>
    <row r="449" spans="1:33" hidden="1">
      <c r="A449" s="240">
        <f t="shared" si="22"/>
        <v>283</v>
      </c>
      <c r="B449" s="181" t="s">
        <v>1076</v>
      </c>
      <c r="C449" s="8">
        <v>4.7</v>
      </c>
      <c r="D449" s="1" t="s">
        <v>835</v>
      </c>
      <c r="E449"/>
      <c r="G449" s="187" t="s">
        <v>419</v>
      </c>
      <c r="H449" s="181" t="s">
        <v>420</v>
      </c>
      <c r="I449" s="1" t="s">
        <v>940</v>
      </c>
      <c r="J449" s="2" t="s">
        <v>419</v>
      </c>
      <c r="K449" s="8">
        <v>0</v>
      </c>
      <c r="M449" s="188">
        <v>8.1</v>
      </c>
      <c r="N449" s="181" t="s">
        <v>836</v>
      </c>
      <c r="O449" s="181" t="s">
        <v>586</v>
      </c>
      <c r="P449" s="188">
        <f>(C61)*2</f>
        <v>50</v>
      </c>
      <c r="Q449" s="181" t="s">
        <v>836</v>
      </c>
      <c r="R449" s="188">
        <f>(M449*P449)</f>
        <v>405</v>
      </c>
      <c r="AG449" s="181" t="s">
        <v>2175</v>
      </c>
    </row>
    <row r="450" spans="1:33" hidden="1">
      <c r="A450" s="240">
        <f t="shared" si="22"/>
        <v>284</v>
      </c>
      <c r="B450" s="181" t="s">
        <v>1077</v>
      </c>
      <c r="C450" s="8">
        <v>7.65</v>
      </c>
      <c r="D450" s="1" t="s">
        <v>835</v>
      </c>
      <c r="E450"/>
      <c r="I450"/>
      <c r="J450" s="4"/>
      <c r="K450" s="5" t="s">
        <v>1530</v>
      </c>
      <c r="M450" s="188">
        <v>8.1</v>
      </c>
      <c r="N450" s="181" t="s">
        <v>836</v>
      </c>
      <c r="O450" s="181" t="s">
        <v>2076</v>
      </c>
      <c r="P450" s="188">
        <f>(C26)</f>
        <v>8.8000000000000007</v>
      </c>
      <c r="Q450" s="181" t="s">
        <v>836</v>
      </c>
      <c r="R450" s="188">
        <f>(M450*P450)</f>
        <v>71.28</v>
      </c>
      <c r="AG450" s="181" t="s">
        <v>2175</v>
      </c>
    </row>
    <row r="451" spans="1:33" hidden="1">
      <c r="A451" s="240">
        <f t="shared" si="22"/>
        <v>285</v>
      </c>
      <c r="B451" s="181" t="s">
        <v>1078</v>
      </c>
      <c r="C451" s="8">
        <v>30.93</v>
      </c>
      <c r="D451" s="1" t="s">
        <v>835</v>
      </c>
      <c r="E451"/>
      <c r="H451" s="181" t="s">
        <v>583</v>
      </c>
      <c r="I451"/>
      <c r="J451" s="4"/>
      <c r="K451" s="8" t="e">
        <f>SUM(K443:K449)</f>
        <v>#REF!</v>
      </c>
      <c r="M451" s="188">
        <v>30</v>
      </c>
      <c r="N451" s="181" t="s">
        <v>1714</v>
      </c>
      <c r="O451" s="181" t="s">
        <v>2077</v>
      </c>
      <c r="P451" s="188">
        <f>(C42)</f>
        <v>1.75</v>
      </c>
      <c r="Q451" s="181" t="s">
        <v>1714</v>
      </c>
      <c r="R451" s="188">
        <f>(M451*P451)</f>
        <v>52.5</v>
      </c>
      <c r="AG451" s="181" t="s">
        <v>2175</v>
      </c>
    </row>
    <row r="452" spans="1:33" hidden="1">
      <c r="A452" s="240">
        <f t="shared" si="22"/>
        <v>286</v>
      </c>
      <c r="B452" s="181" t="s">
        <v>1080</v>
      </c>
      <c r="C452" s="8">
        <v>39.630000000000003</v>
      </c>
      <c r="D452" s="1" t="s">
        <v>835</v>
      </c>
      <c r="E452"/>
      <c r="I452"/>
      <c r="J452" s="4"/>
      <c r="K452" s="5" t="s">
        <v>1530</v>
      </c>
      <c r="O452" s="181" t="s">
        <v>2078</v>
      </c>
      <c r="AG452" s="181" t="s">
        <v>2175</v>
      </c>
    </row>
    <row r="453" spans="1:33" hidden="1">
      <c r="A453" s="240">
        <f t="shared" si="22"/>
        <v>287</v>
      </c>
      <c r="B453" s="181" t="s">
        <v>225</v>
      </c>
      <c r="C453" s="8">
        <v>70.47</v>
      </c>
      <c r="D453" s="1" t="s">
        <v>835</v>
      </c>
      <c r="E453"/>
      <c r="H453" s="181" t="s">
        <v>743</v>
      </c>
      <c r="I453"/>
      <c r="J453" s="4"/>
      <c r="K453" s="8" t="e">
        <f>(K451/10)</f>
        <v>#REF!</v>
      </c>
      <c r="O453" s="181" t="s">
        <v>2079</v>
      </c>
      <c r="AG453" s="181" t="s">
        <v>2175</v>
      </c>
    </row>
    <row r="454" spans="1:33" hidden="1">
      <c r="A454" s="240">
        <f t="shared" si="22"/>
        <v>288</v>
      </c>
      <c r="B454" s="181" t="s">
        <v>1081</v>
      </c>
      <c r="C454" s="8">
        <v>70.47</v>
      </c>
      <c r="D454" s="1" t="s">
        <v>835</v>
      </c>
      <c r="E454"/>
      <c r="I454"/>
      <c r="J454" s="4"/>
      <c r="K454" s="5" t="s">
        <v>1980</v>
      </c>
      <c r="O454" s="181" t="s">
        <v>2080</v>
      </c>
      <c r="AG454" s="181" t="s">
        <v>2175</v>
      </c>
    </row>
    <row r="455" spans="1:33" hidden="1">
      <c r="A455" s="240">
        <f t="shared" si="22"/>
        <v>289</v>
      </c>
      <c r="B455" s="181" t="s">
        <v>2204</v>
      </c>
      <c r="C455"/>
      <c r="D455" s="1" t="s">
        <v>940</v>
      </c>
      <c r="E455"/>
      <c r="I455"/>
      <c r="J455" s="4"/>
      <c r="K455"/>
      <c r="O455" s="181" t="s">
        <v>2083</v>
      </c>
      <c r="AG455" s="181" t="s">
        <v>2175</v>
      </c>
    </row>
    <row r="456" spans="1:33" hidden="1">
      <c r="A456" s="240">
        <f t="shared" si="22"/>
        <v>290</v>
      </c>
      <c r="B456" s="181" t="s">
        <v>1075</v>
      </c>
      <c r="C456" s="8">
        <v>158.91999999999999</v>
      </c>
      <c r="D456" s="1" t="s">
        <v>835</v>
      </c>
      <c r="E456"/>
      <c r="G456" s="187" t="s">
        <v>2167</v>
      </c>
      <c r="H456" s="181" t="s">
        <v>149</v>
      </c>
      <c r="I456"/>
      <c r="J456" s="4"/>
      <c r="K456"/>
      <c r="M456" s="188">
        <v>8</v>
      </c>
      <c r="N456" s="181" t="s">
        <v>739</v>
      </c>
      <c r="O456" s="181" t="s">
        <v>2062</v>
      </c>
      <c r="P456" s="188">
        <f>(C44)</f>
        <v>2.2000000000000002</v>
      </c>
      <c r="Q456" s="181" t="s">
        <v>739</v>
      </c>
      <c r="R456" s="188">
        <f>(M456*P456)</f>
        <v>17.600000000000001</v>
      </c>
      <c r="AG456" s="181" t="s">
        <v>2175</v>
      </c>
    </row>
    <row r="457" spans="1:33" hidden="1">
      <c r="A457" s="240">
        <f t="shared" si="22"/>
        <v>291</v>
      </c>
      <c r="B457" s="181" t="s">
        <v>1076</v>
      </c>
      <c r="C457" s="8">
        <v>263.04000000000002</v>
      </c>
      <c r="D457" s="1" t="s">
        <v>835</v>
      </c>
      <c r="E457"/>
      <c r="H457" s="185" t="s">
        <v>1530</v>
      </c>
      <c r="I457"/>
      <c r="J457" s="4"/>
      <c r="K457"/>
      <c r="M457" s="188">
        <v>8</v>
      </c>
      <c r="N457" s="181" t="s">
        <v>739</v>
      </c>
      <c r="O457" s="181" t="s">
        <v>437</v>
      </c>
      <c r="P457" s="188">
        <f>(C51)</f>
        <v>3.2</v>
      </c>
      <c r="Q457" s="181" t="s">
        <v>739</v>
      </c>
      <c r="R457" s="188">
        <f>(M457*P457)</f>
        <v>25.6</v>
      </c>
      <c r="AG457" s="181" t="s">
        <v>2175</v>
      </c>
    </row>
    <row r="458" spans="1:33" hidden="1">
      <c r="A458" s="240">
        <f t="shared" si="22"/>
        <v>292</v>
      </c>
      <c r="B458" s="181" t="s">
        <v>1077</v>
      </c>
      <c r="C458"/>
      <c r="D458" s="1" t="s">
        <v>940</v>
      </c>
      <c r="E458"/>
      <c r="F458" s="188">
        <v>0.5</v>
      </c>
      <c r="G458" s="187" t="s">
        <v>836</v>
      </c>
      <c r="H458" s="181" t="s">
        <v>2195</v>
      </c>
      <c r="I458" s="8" t="e">
        <f>(K453)</f>
        <v>#REF!</v>
      </c>
      <c r="J458" s="2" t="s">
        <v>835</v>
      </c>
      <c r="K458" s="8" t="e">
        <f>(F458*I458)</f>
        <v>#REF!</v>
      </c>
      <c r="M458" s="188">
        <v>1</v>
      </c>
      <c r="N458" s="181" t="s">
        <v>419</v>
      </c>
      <c r="O458" s="181" t="s">
        <v>1630</v>
      </c>
      <c r="P458" s="188">
        <f>(C56)</f>
        <v>12.1</v>
      </c>
      <c r="Q458" s="181" t="s">
        <v>419</v>
      </c>
      <c r="R458" s="188">
        <f>(M458*P458)</f>
        <v>12.1</v>
      </c>
      <c r="AG458" s="181" t="s">
        <v>2175</v>
      </c>
    </row>
    <row r="459" spans="1:33" hidden="1">
      <c r="A459" s="240">
        <f t="shared" si="22"/>
        <v>293</v>
      </c>
      <c r="B459" s="181" t="s">
        <v>1134</v>
      </c>
      <c r="C459" s="8">
        <v>1.2</v>
      </c>
      <c r="D459" s="1" t="s">
        <v>835</v>
      </c>
      <c r="E459"/>
      <c r="F459" s="188">
        <v>1</v>
      </c>
      <c r="G459" s="187" t="s">
        <v>739</v>
      </c>
      <c r="H459" s="181" t="s">
        <v>1938</v>
      </c>
      <c r="I459" s="8">
        <f>(C10)</f>
        <v>150</v>
      </c>
      <c r="J459" s="2" t="s">
        <v>835</v>
      </c>
      <c r="K459" s="8">
        <f>(F459*I459)</f>
        <v>150</v>
      </c>
      <c r="M459" s="188">
        <v>1</v>
      </c>
      <c r="N459" s="181" t="s">
        <v>419</v>
      </c>
      <c r="O459" s="181" t="s">
        <v>420</v>
      </c>
      <c r="Q459" s="181" t="s">
        <v>419</v>
      </c>
      <c r="R459" s="188">
        <v>0</v>
      </c>
      <c r="AG459" s="181" t="s">
        <v>2175</v>
      </c>
    </row>
    <row r="460" spans="1:33" hidden="1">
      <c r="A460" s="240">
        <f t="shared" si="22"/>
        <v>294</v>
      </c>
      <c r="B460" s="181" t="s">
        <v>1041</v>
      </c>
      <c r="C460" s="8">
        <v>0.85</v>
      </c>
      <c r="D460" s="1" t="s">
        <v>835</v>
      </c>
      <c r="E460"/>
      <c r="G460" s="187" t="s">
        <v>419</v>
      </c>
      <c r="H460" s="181" t="s">
        <v>420</v>
      </c>
      <c r="I460" s="1" t="s">
        <v>940</v>
      </c>
      <c r="J460" s="2" t="s">
        <v>419</v>
      </c>
      <c r="K460" s="8">
        <v>0</v>
      </c>
      <c r="R460" s="185" t="s">
        <v>1530</v>
      </c>
      <c r="AG460" s="181" t="s">
        <v>2175</v>
      </c>
    </row>
    <row r="461" spans="1:33" hidden="1">
      <c r="A461" s="240">
        <f t="shared" si="22"/>
        <v>295</v>
      </c>
      <c r="B461" s="181" t="s">
        <v>1042</v>
      </c>
      <c r="C461" s="8">
        <v>350</v>
      </c>
      <c r="D461" s="8">
        <v>375</v>
      </c>
      <c r="E461"/>
      <c r="I461"/>
      <c r="J461" s="4"/>
      <c r="K461" s="5" t="s">
        <v>1530</v>
      </c>
      <c r="O461" s="181" t="s">
        <v>1489</v>
      </c>
      <c r="R461" s="188">
        <f>SUM(R449:R459)</f>
        <v>584.08000000000004</v>
      </c>
      <c r="AG461" s="181" t="s">
        <v>2175</v>
      </c>
    </row>
    <row r="462" spans="1:33" hidden="1">
      <c r="A462" s="240">
        <f t="shared" si="22"/>
        <v>296</v>
      </c>
      <c r="B462" s="181" t="s">
        <v>2017</v>
      </c>
      <c r="C462" s="8">
        <v>400</v>
      </c>
      <c r="D462" s="8">
        <v>425</v>
      </c>
      <c r="E462"/>
      <c r="H462" s="181" t="s">
        <v>411</v>
      </c>
      <c r="I462"/>
      <c r="J462" s="4"/>
      <c r="K462" s="8" t="e">
        <f>SUM(K458:K460)</f>
        <v>#REF!</v>
      </c>
      <c r="R462" s="185" t="s">
        <v>1530</v>
      </c>
      <c r="AG462" s="181" t="s">
        <v>2175</v>
      </c>
    </row>
    <row r="463" spans="1:33" hidden="1">
      <c r="A463" s="240">
        <f t="shared" si="22"/>
        <v>297</v>
      </c>
      <c r="B463" s="181" t="s">
        <v>1020</v>
      </c>
      <c r="C463" s="8">
        <v>450</v>
      </c>
      <c r="D463" s="8">
        <v>500</v>
      </c>
      <c r="E463"/>
      <c r="I463"/>
      <c r="J463" s="4"/>
      <c r="K463" s="5" t="s">
        <v>1530</v>
      </c>
      <c r="O463" s="181" t="s">
        <v>1490</v>
      </c>
      <c r="R463" s="188">
        <f>(R461/30)</f>
        <v>19.47</v>
      </c>
      <c r="AG463" s="181" t="s">
        <v>2175</v>
      </c>
    </row>
    <row r="464" spans="1:33" hidden="1">
      <c r="A464" s="240">
        <f t="shared" si="22"/>
        <v>298</v>
      </c>
      <c r="B464" s="181" t="s">
        <v>1885</v>
      </c>
      <c r="C464" s="8">
        <v>77.819999999999993</v>
      </c>
      <c r="D464" s="1" t="s">
        <v>835</v>
      </c>
      <c r="E464"/>
      <c r="H464" s="181" t="s">
        <v>521</v>
      </c>
      <c r="I464"/>
      <c r="J464" s="4"/>
      <c r="K464" s="8" t="e">
        <f>(K462/10)</f>
        <v>#REF!</v>
      </c>
      <c r="R464" s="185" t="s">
        <v>1530</v>
      </c>
      <c r="AG464" s="181" t="s">
        <v>2175</v>
      </c>
    </row>
    <row r="465" spans="1:33" hidden="1">
      <c r="A465" s="240">
        <f t="shared" si="22"/>
        <v>299</v>
      </c>
      <c r="B465" s="181" t="s">
        <v>1886</v>
      </c>
      <c r="C465" s="8">
        <v>99.74</v>
      </c>
      <c r="D465" s="1" t="s">
        <v>835</v>
      </c>
      <c r="E465"/>
      <c r="I465"/>
      <c r="J465" s="4"/>
      <c r="K465" s="5" t="s">
        <v>1980</v>
      </c>
      <c r="N465" s="181" t="s">
        <v>1887</v>
      </c>
      <c r="O465" s="236" t="s">
        <v>1888</v>
      </c>
      <c r="AG465" s="181" t="s">
        <v>2175</v>
      </c>
    </row>
    <row r="466" spans="1:33" hidden="1">
      <c r="A466" s="240">
        <f t="shared" si="22"/>
        <v>300</v>
      </c>
      <c r="B466" s="181" t="s">
        <v>1077</v>
      </c>
      <c r="C466" s="8">
        <v>165</v>
      </c>
      <c r="D466" s="1" t="s">
        <v>835</v>
      </c>
      <c r="E466"/>
      <c r="H466" s="181" t="s">
        <v>361</v>
      </c>
      <c r="I466"/>
      <c r="J466" s="4"/>
      <c r="K466" s="8" t="e">
        <f>(K464+C19/10*F458)</f>
        <v>#REF!</v>
      </c>
      <c r="O466" s="185" t="s">
        <v>1530</v>
      </c>
      <c r="AG466" s="181" t="s">
        <v>2175</v>
      </c>
    </row>
    <row r="467" spans="1:33" hidden="1">
      <c r="A467" s="240">
        <f t="shared" si="22"/>
        <v>301</v>
      </c>
      <c r="B467" s="181" t="s">
        <v>1078</v>
      </c>
      <c r="C467" s="8">
        <v>258</v>
      </c>
      <c r="D467" s="1" t="s">
        <v>835</v>
      </c>
      <c r="E467"/>
      <c r="H467" s="181" t="s">
        <v>363</v>
      </c>
      <c r="I467"/>
      <c r="J467" s="4"/>
      <c r="K467" s="8" t="e">
        <f>(K466+C20/10*F458)</f>
        <v>#REF!</v>
      </c>
      <c r="M467" s="188">
        <v>8.1</v>
      </c>
      <c r="N467" s="181" t="s">
        <v>836</v>
      </c>
      <c r="O467" s="181" t="s">
        <v>586</v>
      </c>
      <c r="P467" s="188">
        <f>(C61)*2</f>
        <v>50</v>
      </c>
      <c r="Q467" s="181" t="s">
        <v>836</v>
      </c>
      <c r="R467" s="188">
        <f>(M467*P467)</f>
        <v>405</v>
      </c>
      <c r="AG467" s="181" t="s">
        <v>2175</v>
      </c>
    </row>
    <row r="468" spans="1:33" hidden="1">
      <c r="A468" s="240">
        <f t="shared" si="22"/>
        <v>302</v>
      </c>
      <c r="B468" s="181" t="s">
        <v>1080</v>
      </c>
      <c r="C468" s="8">
        <v>298</v>
      </c>
      <c r="D468" s="1" t="s">
        <v>835</v>
      </c>
      <c r="E468"/>
      <c r="H468" s="181" t="s">
        <v>2149</v>
      </c>
      <c r="I468"/>
      <c r="J468" s="4"/>
      <c r="K468" s="8" t="e">
        <f>(K467+C21/10*F458)</f>
        <v>#REF!</v>
      </c>
      <c r="M468" s="188">
        <v>8.1</v>
      </c>
      <c r="N468" s="181" t="s">
        <v>836</v>
      </c>
      <c r="O468" s="181" t="s">
        <v>2076</v>
      </c>
      <c r="P468" s="188">
        <f>(C26)</f>
        <v>8.8000000000000007</v>
      </c>
      <c r="Q468" s="181" t="s">
        <v>836</v>
      </c>
      <c r="R468" s="188">
        <f>(M468*P468)</f>
        <v>71.28</v>
      </c>
      <c r="AG468" s="181" t="s">
        <v>2175</v>
      </c>
    </row>
    <row r="469" spans="1:33" hidden="1">
      <c r="A469" s="240">
        <f t="shared" si="22"/>
        <v>303</v>
      </c>
      <c r="B469" s="181" t="s">
        <v>225</v>
      </c>
      <c r="C469" s="8">
        <v>398</v>
      </c>
      <c r="D469" s="1" t="s">
        <v>835</v>
      </c>
      <c r="E469"/>
      <c r="H469" s="181" t="s">
        <v>355</v>
      </c>
      <c r="I469"/>
      <c r="J469" s="4"/>
      <c r="K469" s="8" t="e">
        <f>(K468+C21/10*F458)</f>
        <v>#REF!</v>
      </c>
      <c r="M469" s="188">
        <v>30</v>
      </c>
      <c r="N469" s="181" t="s">
        <v>1714</v>
      </c>
      <c r="O469" s="181" t="s">
        <v>2077</v>
      </c>
      <c r="P469" s="188">
        <f>(C42)</f>
        <v>1.75</v>
      </c>
      <c r="Q469" s="181" t="s">
        <v>1714</v>
      </c>
      <c r="R469" s="188">
        <f>(M469*P469)</f>
        <v>52.5</v>
      </c>
      <c r="AG469" s="181" t="s">
        <v>2175</v>
      </c>
    </row>
    <row r="470" spans="1:33" hidden="1">
      <c r="A470" s="240">
        <f t="shared" si="22"/>
        <v>304</v>
      </c>
      <c r="B470" s="181" t="s">
        <v>1081</v>
      </c>
      <c r="C470"/>
      <c r="D470" s="1" t="s">
        <v>835</v>
      </c>
      <c r="E470"/>
      <c r="H470" s="181" t="s">
        <v>1477</v>
      </c>
      <c r="I470"/>
      <c r="J470" s="4"/>
      <c r="K470" s="8" t="e">
        <f>(K469+C22/10*F459)</f>
        <v>#REF!</v>
      </c>
      <c r="O470" s="181" t="s">
        <v>2078</v>
      </c>
      <c r="AG470" s="181" t="s">
        <v>2175</v>
      </c>
    </row>
    <row r="471" spans="1:33" hidden="1">
      <c r="A471" s="240">
        <f t="shared" ref="A471:A489" si="23">(A470+1)</f>
        <v>305</v>
      </c>
      <c r="B471" s="181" t="s">
        <v>2857</v>
      </c>
      <c r="C471"/>
      <c r="D471" s="1" t="s">
        <v>835</v>
      </c>
      <c r="E471"/>
      <c r="F471" s="236" t="s">
        <v>1889</v>
      </c>
      <c r="G471" s="187" t="s">
        <v>2167</v>
      </c>
      <c r="H471" s="181" t="s">
        <v>1890</v>
      </c>
      <c r="I471"/>
      <c r="J471" s="4"/>
      <c r="K471"/>
      <c r="O471" s="181" t="s">
        <v>2079</v>
      </c>
      <c r="AG471" s="181" t="s">
        <v>2175</v>
      </c>
    </row>
    <row r="472" spans="1:33" hidden="1">
      <c r="A472" s="240">
        <f t="shared" si="23"/>
        <v>306</v>
      </c>
      <c r="B472" s="181" t="s">
        <v>1075</v>
      </c>
      <c r="C472" s="8">
        <v>130</v>
      </c>
      <c r="D472" s="1" t="s">
        <v>835</v>
      </c>
      <c r="E472"/>
      <c r="H472" s="181" t="s">
        <v>2154</v>
      </c>
      <c r="I472"/>
      <c r="J472" s="4"/>
      <c r="K472"/>
      <c r="O472" s="181" t="s">
        <v>2080</v>
      </c>
      <c r="AG472" s="181" t="s">
        <v>2175</v>
      </c>
    </row>
    <row r="473" spans="1:33" hidden="1">
      <c r="A473" s="240">
        <f t="shared" si="23"/>
        <v>307</v>
      </c>
      <c r="B473" s="181" t="s">
        <v>1076</v>
      </c>
      <c r="C473" s="8">
        <v>178</v>
      </c>
      <c r="D473" s="1" t="s">
        <v>835</v>
      </c>
      <c r="E473"/>
      <c r="H473" s="185" t="s">
        <v>1530</v>
      </c>
      <c r="I473"/>
      <c r="J473" s="4"/>
      <c r="K473"/>
      <c r="O473" s="181" t="s">
        <v>2083</v>
      </c>
      <c r="AG473" s="181" t="s">
        <v>2175</v>
      </c>
    </row>
    <row r="474" spans="1:33" hidden="1">
      <c r="A474" s="240">
        <f t="shared" si="23"/>
        <v>308</v>
      </c>
      <c r="B474" s="181" t="s">
        <v>1077</v>
      </c>
      <c r="C474" s="8">
        <v>279</v>
      </c>
      <c r="D474" s="1" t="s">
        <v>835</v>
      </c>
      <c r="E474"/>
      <c r="F474" s="188">
        <v>1</v>
      </c>
      <c r="G474" s="187" t="s">
        <v>836</v>
      </c>
      <c r="H474" s="181" t="s">
        <v>2155</v>
      </c>
      <c r="I474" s="8">
        <f>(C26)</f>
        <v>8.8000000000000007</v>
      </c>
      <c r="J474" s="2" t="s">
        <v>836</v>
      </c>
      <c r="K474" s="8">
        <f>(F474*I474)</f>
        <v>8.8000000000000007</v>
      </c>
      <c r="M474" s="188">
        <v>8</v>
      </c>
      <c r="N474" s="181" t="s">
        <v>739</v>
      </c>
      <c r="O474" s="181" t="s">
        <v>2062</v>
      </c>
      <c r="P474" s="188">
        <f>(C45)</f>
        <v>2.7</v>
      </c>
      <c r="Q474" s="181" t="s">
        <v>739</v>
      </c>
      <c r="R474" s="188">
        <f>(M474*P474)</f>
        <v>21.6</v>
      </c>
      <c r="AG474" s="181" t="s">
        <v>2175</v>
      </c>
    </row>
    <row r="475" spans="1:33" hidden="1">
      <c r="A475" s="240">
        <f t="shared" si="23"/>
        <v>309</v>
      </c>
      <c r="B475" s="181" t="s">
        <v>1078</v>
      </c>
      <c r="C475" s="8">
        <v>394</v>
      </c>
      <c r="D475" s="1" t="s">
        <v>835</v>
      </c>
      <c r="E475"/>
      <c r="I475"/>
      <c r="J475" s="4"/>
      <c r="K475" s="5" t="s">
        <v>1980</v>
      </c>
      <c r="M475" s="188">
        <v>8</v>
      </c>
      <c r="N475" s="181" t="s">
        <v>739</v>
      </c>
      <c r="O475" s="181" t="s">
        <v>437</v>
      </c>
      <c r="P475" s="188">
        <f>(C52)</f>
        <v>6.4</v>
      </c>
      <c r="Q475" s="181" t="s">
        <v>739</v>
      </c>
      <c r="R475" s="188">
        <f>(M475*P475)</f>
        <v>51.2</v>
      </c>
      <c r="AG475" s="181" t="s">
        <v>2175</v>
      </c>
    </row>
    <row r="476" spans="1:33" hidden="1">
      <c r="A476" s="240">
        <f t="shared" si="23"/>
        <v>310</v>
      </c>
      <c r="B476" s="181" t="s">
        <v>1080</v>
      </c>
      <c r="C476" s="8">
        <v>508</v>
      </c>
      <c r="D476" s="1" t="s">
        <v>835</v>
      </c>
      <c r="E476"/>
      <c r="F476" s="246">
        <v>7.3</v>
      </c>
      <c r="G476" s="187" t="s">
        <v>2167</v>
      </c>
      <c r="H476" s="181" t="s">
        <v>2156</v>
      </c>
      <c r="I476"/>
      <c r="J476" s="4"/>
      <c r="K476"/>
      <c r="M476" s="188">
        <v>1</v>
      </c>
      <c r="N476" s="181" t="s">
        <v>419</v>
      </c>
      <c r="O476" s="181" t="s">
        <v>1630</v>
      </c>
      <c r="P476" s="188">
        <f>(C56)</f>
        <v>12.1</v>
      </c>
      <c r="Q476" s="181" t="s">
        <v>419</v>
      </c>
      <c r="R476" s="188">
        <f>(M476*P476)</f>
        <v>12.1</v>
      </c>
      <c r="AG476" s="181" t="s">
        <v>2175</v>
      </c>
    </row>
    <row r="477" spans="1:33" hidden="1">
      <c r="A477" s="240">
        <f t="shared" si="23"/>
        <v>311</v>
      </c>
      <c r="B477" s="181" t="s">
        <v>225</v>
      </c>
      <c r="C477" s="8">
        <v>709</v>
      </c>
      <c r="D477" s="1" t="s">
        <v>835</v>
      </c>
      <c r="E477"/>
      <c r="F477" s="181" t="s">
        <v>940</v>
      </c>
      <c r="H477" s="181" t="s">
        <v>928</v>
      </c>
      <c r="I477"/>
      <c r="J477" s="4"/>
      <c r="K477"/>
      <c r="M477" s="188">
        <v>1</v>
      </c>
      <c r="N477" s="181" t="s">
        <v>419</v>
      </c>
      <c r="O477" s="181" t="s">
        <v>420</v>
      </c>
      <c r="Q477" s="181" t="s">
        <v>419</v>
      </c>
      <c r="R477" s="188">
        <v>0</v>
      </c>
      <c r="AG477" s="181" t="s">
        <v>2175</v>
      </c>
    </row>
    <row r="478" spans="1:33" hidden="1">
      <c r="A478" s="240">
        <f t="shared" si="23"/>
        <v>312</v>
      </c>
      <c r="B478" s="181" t="s">
        <v>1081</v>
      </c>
      <c r="C478"/>
      <c r="D478" s="1" t="s">
        <v>835</v>
      </c>
      <c r="E478"/>
      <c r="F478" s="181" t="s">
        <v>940</v>
      </c>
      <c r="H478" s="185" t="s">
        <v>1530</v>
      </c>
      <c r="I478"/>
      <c r="J478" s="4"/>
      <c r="K478"/>
      <c r="R478" s="185" t="s">
        <v>1530</v>
      </c>
      <c r="AG478" s="181" t="s">
        <v>2175</v>
      </c>
    </row>
    <row r="479" spans="1:33" hidden="1">
      <c r="A479" s="240">
        <f t="shared" si="23"/>
        <v>313</v>
      </c>
      <c r="B479" s="181" t="s">
        <v>2858</v>
      </c>
      <c r="C479"/>
      <c r="D479" s="1" t="s">
        <v>835</v>
      </c>
      <c r="E479"/>
      <c r="F479" s="188">
        <v>0.13</v>
      </c>
      <c r="G479" s="187" t="s">
        <v>836</v>
      </c>
      <c r="H479" s="181" t="s">
        <v>1258</v>
      </c>
      <c r="I479" s="8" t="e">
        <f>(K40)</f>
        <v>#REF!</v>
      </c>
      <c r="J479" s="2" t="s">
        <v>836</v>
      </c>
      <c r="K479" s="8" t="e">
        <f t="shared" ref="K479:K484" si="24">(F479*I479)</f>
        <v>#REF!</v>
      </c>
      <c r="O479" s="181" t="s">
        <v>1489</v>
      </c>
      <c r="R479" s="188">
        <f>SUM(R467:R477)</f>
        <v>613.67999999999995</v>
      </c>
      <c r="AG479" s="181" t="s">
        <v>2175</v>
      </c>
    </row>
    <row r="480" spans="1:33" hidden="1">
      <c r="A480" s="240">
        <f t="shared" si="23"/>
        <v>314</v>
      </c>
      <c r="B480" s="181" t="s">
        <v>1075</v>
      </c>
      <c r="C480" s="8">
        <v>77</v>
      </c>
      <c r="D480" s="1" t="s">
        <v>835</v>
      </c>
      <c r="E480"/>
      <c r="F480" s="188">
        <v>0.7</v>
      </c>
      <c r="G480" s="187" t="s">
        <v>739</v>
      </c>
      <c r="H480" s="181" t="s">
        <v>1938</v>
      </c>
      <c r="I480" s="8">
        <f>(C10)</f>
        <v>150</v>
      </c>
      <c r="J480" s="2" t="s">
        <v>739</v>
      </c>
      <c r="K480" s="8">
        <f t="shared" si="24"/>
        <v>105</v>
      </c>
      <c r="R480" s="185" t="s">
        <v>1530</v>
      </c>
      <c r="AG480" s="181" t="s">
        <v>2175</v>
      </c>
    </row>
    <row r="481" spans="1:33" hidden="1">
      <c r="A481" s="240">
        <f t="shared" si="23"/>
        <v>315</v>
      </c>
      <c r="B481" s="181" t="s">
        <v>1076</v>
      </c>
      <c r="C481" s="8">
        <v>119</v>
      </c>
      <c r="D481" s="1" t="s">
        <v>835</v>
      </c>
      <c r="E481"/>
      <c r="F481" s="188">
        <v>0.7</v>
      </c>
      <c r="G481" s="187" t="s">
        <v>739</v>
      </c>
      <c r="H481" s="181" t="s">
        <v>1654</v>
      </c>
      <c r="I481" s="8">
        <f>(C11)</f>
        <v>135</v>
      </c>
      <c r="J481" s="2" t="s">
        <v>739</v>
      </c>
      <c r="K481" s="8">
        <f t="shared" si="24"/>
        <v>94.5</v>
      </c>
      <c r="O481" s="181" t="s">
        <v>1490</v>
      </c>
      <c r="R481" s="188">
        <f>(R479/30)</f>
        <v>20.46</v>
      </c>
      <c r="AG481" s="181" t="s">
        <v>2175</v>
      </c>
    </row>
    <row r="482" spans="1:33" hidden="1">
      <c r="A482" s="240">
        <f t="shared" si="23"/>
        <v>316</v>
      </c>
      <c r="B482" s="181" t="s">
        <v>1077</v>
      </c>
      <c r="C482" s="8">
        <v>175</v>
      </c>
      <c r="D482" s="1" t="s">
        <v>835</v>
      </c>
      <c r="E482"/>
      <c r="F482" s="188">
        <v>1.5</v>
      </c>
      <c r="G482" s="187" t="s">
        <v>739</v>
      </c>
      <c r="H482" s="181" t="s">
        <v>1836</v>
      </c>
      <c r="I482" s="8">
        <f>(C12)</f>
        <v>95</v>
      </c>
      <c r="J482" s="2" t="s">
        <v>739</v>
      </c>
      <c r="K482" s="8">
        <f t="shared" si="24"/>
        <v>142.5</v>
      </c>
      <c r="R482" s="185" t="s">
        <v>1530</v>
      </c>
      <c r="AG482" s="181" t="s">
        <v>2175</v>
      </c>
    </row>
    <row r="483" spans="1:33" hidden="1">
      <c r="A483" s="240">
        <f t="shared" si="23"/>
        <v>317</v>
      </c>
      <c r="B483" s="181" t="s">
        <v>1078</v>
      </c>
      <c r="C483" s="8">
        <v>277</v>
      </c>
      <c r="D483" s="1" t="s">
        <v>835</v>
      </c>
      <c r="E483"/>
      <c r="F483" s="188">
        <v>0.5</v>
      </c>
      <c r="G483" s="187" t="s">
        <v>739</v>
      </c>
      <c r="H483" s="181" t="s">
        <v>299</v>
      </c>
      <c r="I483" s="8">
        <f>(C13)</f>
        <v>85</v>
      </c>
      <c r="J483" s="2" t="s">
        <v>739</v>
      </c>
      <c r="K483" s="8">
        <f t="shared" si="24"/>
        <v>42.5</v>
      </c>
      <c r="M483" s="181" t="s">
        <v>940</v>
      </c>
      <c r="AG483" s="181" t="s">
        <v>2175</v>
      </c>
    </row>
    <row r="484" spans="1:33" hidden="1">
      <c r="A484" s="240">
        <f t="shared" si="23"/>
        <v>318</v>
      </c>
      <c r="B484" s="181" t="s">
        <v>1080</v>
      </c>
      <c r="C484" s="8">
        <v>353</v>
      </c>
      <c r="D484" s="1" t="s">
        <v>835</v>
      </c>
      <c r="E484"/>
      <c r="F484" s="188">
        <v>0.94</v>
      </c>
      <c r="G484" s="187" t="s">
        <v>1591</v>
      </c>
      <c r="H484" s="181" t="s">
        <v>874</v>
      </c>
      <c r="I484" s="8">
        <f>C631</f>
        <v>30</v>
      </c>
      <c r="J484" s="2" t="s">
        <v>1591</v>
      </c>
      <c r="K484" s="8">
        <f t="shared" si="24"/>
        <v>28.2</v>
      </c>
      <c r="N484" s="181" t="s">
        <v>2167</v>
      </c>
      <c r="O484" s="181" t="s">
        <v>1974</v>
      </c>
      <c r="AG484" s="181" t="s">
        <v>2175</v>
      </c>
    </row>
    <row r="485" spans="1:33" hidden="1">
      <c r="A485" s="240">
        <f t="shared" si="23"/>
        <v>319</v>
      </c>
      <c r="B485" s="181" t="s">
        <v>225</v>
      </c>
      <c r="C485" s="8">
        <v>584</v>
      </c>
      <c r="D485" s="1" t="s">
        <v>835</v>
      </c>
      <c r="E485"/>
      <c r="H485" s="181" t="s">
        <v>420</v>
      </c>
      <c r="I485" s="1" t="s">
        <v>940</v>
      </c>
      <c r="J485" s="2" t="s">
        <v>419</v>
      </c>
      <c r="K485" s="8">
        <v>0</v>
      </c>
      <c r="O485" s="181" t="s">
        <v>1975</v>
      </c>
      <c r="AG485" s="181" t="s">
        <v>2175</v>
      </c>
    </row>
    <row r="486" spans="1:33" hidden="1">
      <c r="A486" s="240">
        <f t="shared" si="23"/>
        <v>320</v>
      </c>
      <c r="B486" s="181" t="s">
        <v>1081</v>
      </c>
      <c r="C486"/>
      <c r="D486" s="1" t="s">
        <v>835</v>
      </c>
      <c r="E486"/>
      <c r="I486"/>
      <c r="J486" s="4"/>
      <c r="K486" s="5" t="s">
        <v>1530</v>
      </c>
      <c r="O486" s="181" t="s">
        <v>913</v>
      </c>
      <c r="AG486" s="181" t="s">
        <v>2175</v>
      </c>
    </row>
    <row r="487" spans="1:33" hidden="1">
      <c r="A487" s="240">
        <f t="shared" si="23"/>
        <v>321</v>
      </c>
      <c r="B487" s="181" t="s">
        <v>914</v>
      </c>
      <c r="C487"/>
      <c r="D487" s="1" t="s">
        <v>835</v>
      </c>
      <c r="E487"/>
      <c r="H487" s="181" t="s">
        <v>583</v>
      </c>
      <c r="I487"/>
      <c r="J487" s="4"/>
      <c r="K487" s="8" t="e">
        <f>SUM(K478:K485)</f>
        <v>#REF!</v>
      </c>
      <c r="O487" s="185" t="s">
        <v>1530</v>
      </c>
      <c r="AG487" s="181" t="s">
        <v>2175</v>
      </c>
    </row>
    <row r="488" spans="1:33" hidden="1">
      <c r="A488" s="240">
        <f t="shared" si="23"/>
        <v>322</v>
      </c>
      <c r="B488" s="181" t="s">
        <v>917</v>
      </c>
      <c r="C488" s="8">
        <v>8.75</v>
      </c>
      <c r="D488" s="1" t="s">
        <v>835</v>
      </c>
      <c r="E488"/>
      <c r="I488"/>
      <c r="J488" s="4"/>
      <c r="K488" s="5" t="s">
        <v>1530</v>
      </c>
      <c r="N488" s="181" t="s">
        <v>152</v>
      </c>
      <c r="O488" s="236" t="s">
        <v>918</v>
      </c>
      <c r="AG488" s="181" t="s">
        <v>2175</v>
      </c>
    </row>
    <row r="489" spans="1:33" hidden="1">
      <c r="A489" s="240">
        <f t="shared" si="23"/>
        <v>323</v>
      </c>
      <c r="B489" s="181" t="s">
        <v>713</v>
      </c>
      <c r="C489" s="8">
        <v>11.5</v>
      </c>
      <c r="D489" s="1" t="s">
        <v>835</v>
      </c>
      <c r="E489"/>
      <c r="H489" s="181" t="s">
        <v>743</v>
      </c>
      <c r="I489"/>
      <c r="J489" s="4"/>
      <c r="K489" s="8" t="e">
        <f>(K487/10)</f>
        <v>#REF!</v>
      </c>
      <c r="O489" s="185" t="s">
        <v>1530</v>
      </c>
      <c r="AG489" s="181" t="s">
        <v>2175</v>
      </c>
    </row>
    <row r="490" spans="1:33" hidden="1">
      <c r="C490"/>
      <c r="D490"/>
      <c r="E490"/>
      <c r="F490" s="181" t="s">
        <v>940</v>
      </c>
      <c r="I490"/>
      <c r="J490" s="4"/>
      <c r="K490"/>
    </row>
    <row r="491" spans="1:33" hidden="1">
      <c r="A491" s="240">
        <f>(A489+1)</f>
        <v>324</v>
      </c>
      <c r="B491" s="181" t="s">
        <v>1609</v>
      </c>
      <c r="C491" s="8">
        <v>11.5</v>
      </c>
      <c r="D491" s="1" t="s">
        <v>835</v>
      </c>
      <c r="E491"/>
      <c r="I491"/>
      <c r="J491" s="4"/>
      <c r="K491" s="5" t="s">
        <v>1980</v>
      </c>
      <c r="M491" s="188">
        <v>30</v>
      </c>
      <c r="N491" s="181" t="s">
        <v>1714</v>
      </c>
      <c r="O491" s="181" t="s">
        <v>1610</v>
      </c>
      <c r="P491" s="188">
        <f>(C42)</f>
        <v>1.75</v>
      </c>
      <c r="Q491" s="181" t="s">
        <v>1714</v>
      </c>
      <c r="R491" s="188">
        <f>(M491*P491)</f>
        <v>52.5</v>
      </c>
      <c r="AG491" s="181" t="s">
        <v>2175</v>
      </c>
    </row>
    <row r="492" spans="1:33" hidden="1">
      <c r="A492" s="240">
        <f t="shared" ref="A492:A523" si="25">(A491+1)</f>
        <v>325</v>
      </c>
      <c r="B492" s="181" t="s">
        <v>1611</v>
      </c>
      <c r="C492" s="8">
        <v>56.74</v>
      </c>
      <c r="D492" s="1" t="s">
        <v>835</v>
      </c>
      <c r="E492"/>
      <c r="F492" s="236"/>
      <c r="G492" s="187" t="s">
        <v>2167</v>
      </c>
      <c r="H492" s="181" t="s">
        <v>1612</v>
      </c>
      <c r="I492"/>
      <c r="J492" s="4"/>
      <c r="K492"/>
      <c r="M492" s="181" t="s">
        <v>940</v>
      </c>
      <c r="O492" s="181" t="s">
        <v>1613</v>
      </c>
      <c r="P492" s="181" t="s">
        <v>940</v>
      </c>
      <c r="R492" s="181" t="s">
        <v>940</v>
      </c>
      <c r="AG492" s="181" t="s">
        <v>2175</v>
      </c>
    </row>
    <row r="493" spans="1:33" hidden="1">
      <c r="A493" s="240">
        <f t="shared" si="25"/>
        <v>326</v>
      </c>
      <c r="B493" s="181" t="s">
        <v>1614</v>
      </c>
      <c r="C493" s="8">
        <v>56.74</v>
      </c>
      <c r="D493" s="1" t="s">
        <v>835</v>
      </c>
      <c r="E493"/>
      <c r="H493" s="181" t="s">
        <v>2185</v>
      </c>
      <c r="I493"/>
      <c r="J493" s="4"/>
      <c r="K493"/>
      <c r="M493" s="188">
        <v>8</v>
      </c>
      <c r="N493" s="181" t="s">
        <v>835</v>
      </c>
      <c r="O493" s="181" t="s">
        <v>2062</v>
      </c>
      <c r="P493" s="188">
        <f>(C43)</f>
        <v>2.2000000000000002</v>
      </c>
      <c r="Q493" s="181" t="s">
        <v>835</v>
      </c>
      <c r="R493" s="188">
        <f t="shared" ref="R493:R498" si="26">(M493*P493)</f>
        <v>17.600000000000001</v>
      </c>
      <c r="AG493" s="181" t="s">
        <v>2175</v>
      </c>
    </row>
    <row r="494" spans="1:33" hidden="1">
      <c r="A494" s="240">
        <f t="shared" si="25"/>
        <v>327</v>
      </c>
      <c r="B494" s="181" t="s">
        <v>1615</v>
      </c>
      <c r="C494"/>
      <c r="D494" s="1" t="s">
        <v>940</v>
      </c>
      <c r="E494"/>
      <c r="H494" s="185" t="s">
        <v>1530</v>
      </c>
      <c r="I494"/>
      <c r="J494" s="4"/>
      <c r="K494"/>
      <c r="M494" s="188">
        <v>8</v>
      </c>
      <c r="N494" s="181" t="s">
        <v>835</v>
      </c>
      <c r="O494" s="181" t="s">
        <v>437</v>
      </c>
      <c r="P494" s="188">
        <f>(C50)</f>
        <v>3.2</v>
      </c>
      <c r="Q494" s="181" t="s">
        <v>835</v>
      </c>
      <c r="R494" s="188">
        <f t="shared" si="26"/>
        <v>25.6</v>
      </c>
      <c r="AG494" s="181" t="s">
        <v>2175</v>
      </c>
    </row>
    <row r="495" spans="1:33" hidden="1">
      <c r="A495" s="240">
        <f t="shared" si="25"/>
        <v>328</v>
      </c>
      <c r="B495" s="181" t="s">
        <v>917</v>
      </c>
      <c r="C495" s="8">
        <v>15.6</v>
      </c>
      <c r="D495" s="1" t="s">
        <v>835</v>
      </c>
      <c r="E495"/>
      <c r="F495" s="188">
        <v>9</v>
      </c>
      <c r="G495" s="187" t="s">
        <v>836</v>
      </c>
      <c r="H495" s="181" t="s">
        <v>1616</v>
      </c>
      <c r="I495" s="8" t="e">
        <f>(C70)</f>
        <v>#REF!</v>
      </c>
      <c r="J495" s="2" t="s">
        <v>836</v>
      </c>
      <c r="K495" s="8" t="e">
        <f t="shared" ref="K495:K500" si="27">(F495*I495)</f>
        <v>#REF!</v>
      </c>
      <c r="M495" s="188">
        <v>3</v>
      </c>
      <c r="N495" s="181" t="s">
        <v>835</v>
      </c>
      <c r="O495" s="181" t="s">
        <v>1779</v>
      </c>
      <c r="P495" s="188">
        <f>(C41)</f>
        <v>110</v>
      </c>
      <c r="Q495" s="181" t="s">
        <v>835</v>
      </c>
      <c r="R495" s="188">
        <f t="shared" si="26"/>
        <v>330</v>
      </c>
      <c r="AG495" s="181" t="s">
        <v>2175</v>
      </c>
    </row>
    <row r="496" spans="1:33" hidden="1">
      <c r="A496" s="240">
        <f t="shared" si="25"/>
        <v>329</v>
      </c>
      <c r="B496" s="181" t="s">
        <v>713</v>
      </c>
      <c r="C496" s="8">
        <v>15.6</v>
      </c>
      <c r="D496" s="1" t="s">
        <v>835</v>
      </c>
      <c r="E496"/>
      <c r="F496" s="245">
        <v>3.2309999999999999</v>
      </c>
      <c r="G496" s="187" t="s">
        <v>828</v>
      </c>
      <c r="H496" s="181" t="s">
        <v>829</v>
      </c>
      <c r="I496" s="8">
        <f>(C67)</f>
        <v>3800</v>
      </c>
      <c r="J496" s="2" t="s">
        <v>828</v>
      </c>
      <c r="K496" s="8">
        <f t="shared" si="27"/>
        <v>12277.8</v>
      </c>
      <c r="M496" s="188">
        <v>1</v>
      </c>
      <c r="N496" s="181" t="s">
        <v>835</v>
      </c>
      <c r="O496" s="181" t="s">
        <v>1780</v>
      </c>
      <c r="P496" s="188">
        <f>(C10)</f>
        <v>150</v>
      </c>
      <c r="Q496" s="181" t="s">
        <v>835</v>
      </c>
      <c r="R496" s="188">
        <f t="shared" si="26"/>
        <v>150</v>
      </c>
      <c r="AG496" s="181" t="s">
        <v>2175</v>
      </c>
    </row>
    <row r="497" spans="1:33" hidden="1">
      <c r="A497" s="240">
        <f t="shared" si="25"/>
        <v>330</v>
      </c>
      <c r="B497" s="181" t="s">
        <v>1609</v>
      </c>
      <c r="C497" s="8">
        <v>15.6</v>
      </c>
      <c r="D497" s="1" t="s">
        <v>835</v>
      </c>
      <c r="E497"/>
      <c r="F497" s="188">
        <v>4.5</v>
      </c>
      <c r="G497" s="187" t="s">
        <v>836</v>
      </c>
      <c r="H497" s="181" t="s">
        <v>837</v>
      </c>
      <c r="I497" s="8" t="e">
        <f>(C78)</f>
        <v>#REF!</v>
      </c>
      <c r="J497" s="2" t="s">
        <v>836</v>
      </c>
      <c r="K497" s="8" t="e">
        <f t="shared" si="27"/>
        <v>#REF!</v>
      </c>
      <c r="M497" s="188">
        <v>2</v>
      </c>
      <c r="N497" s="181" t="s">
        <v>835</v>
      </c>
      <c r="O497" s="181" t="s">
        <v>1836</v>
      </c>
      <c r="P497" s="188">
        <f>(C12)</f>
        <v>95</v>
      </c>
      <c r="Q497" s="181" t="s">
        <v>835</v>
      </c>
      <c r="R497" s="188">
        <f t="shared" si="26"/>
        <v>190</v>
      </c>
      <c r="AG497" s="181" t="s">
        <v>2175</v>
      </c>
    </row>
    <row r="498" spans="1:33" hidden="1">
      <c r="A498" s="240">
        <f t="shared" si="25"/>
        <v>331</v>
      </c>
      <c r="B498" s="181" t="s">
        <v>1611</v>
      </c>
      <c r="C498" s="8">
        <v>100.3</v>
      </c>
      <c r="D498" s="1" t="s">
        <v>835</v>
      </c>
      <c r="E498"/>
      <c r="F498" s="188">
        <v>3.5</v>
      </c>
      <c r="G498" s="187" t="s">
        <v>835</v>
      </c>
      <c r="H498" s="181" t="s">
        <v>1654</v>
      </c>
      <c r="I498" s="8">
        <f>(C11)</f>
        <v>135</v>
      </c>
      <c r="J498" s="2" t="s">
        <v>835</v>
      </c>
      <c r="K498" s="8">
        <f t="shared" si="27"/>
        <v>472.5</v>
      </c>
      <c r="M498" s="188">
        <v>1</v>
      </c>
      <c r="N498" s="181" t="s">
        <v>835</v>
      </c>
      <c r="O498" s="181" t="s">
        <v>299</v>
      </c>
      <c r="P498" s="188">
        <f>(C13)</f>
        <v>85</v>
      </c>
      <c r="Q498" s="181" t="s">
        <v>835</v>
      </c>
      <c r="R498" s="188">
        <f t="shared" si="26"/>
        <v>85</v>
      </c>
      <c r="AG498" s="181" t="s">
        <v>300</v>
      </c>
    </row>
    <row r="499" spans="1:33" hidden="1">
      <c r="A499" s="240">
        <f t="shared" si="25"/>
        <v>332</v>
      </c>
      <c r="B499" s="181" t="s">
        <v>1614</v>
      </c>
      <c r="C499" s="8">
        <v>100.3</v>
      </c>
      <c r="D499" s="1" t="s">
        <v>835</v>
      </c>
      <c r="E499"/>
      <c r="F499" s="188">
        <v>21.2</v>
      </c>
      <c r="G499" s="187" t="s">
        <v>835</v>
      </c>
      <c r="H499" s="181" t="s">
        <v>1836</v>
      </c>
      <c r="I499" s="8">
        <f>(C12)</f>
        <v>95</v>
      </c>
      <c r="J499" s="2" t="s">
        <v>835</v>
      </c>
      <c r="K499" s="8">
        <f t="shared" si="27"/>
        <v>2014</v>
      </c>
      <c r="N499" s="181" t="s">
        <v>419</v>
      </c>
      <c r="O499" s="181" t="s">
        <v>1781</v>
      </c>
      <c r="P499" s="181" t="s">
        <v>940</v>
      </c>
      <c r="Q499" s="181" t="s">
        <v>419</v>
      </c>
      <c r="R499" s="188">
        <f>(C56)</f>
        <v>12.1</v>
      </c>
    </row>
    <row r="500" spans="1:33" hidden="1">
      <c r="A500" s="240">
        <f t="shared" si="25"/>
        <v>333</v>
      </c>
      <c r="B500" s="181" t="s">
        <v>1782</v>
      </c>
      <c r="C500"/>
      <c r="D500" s="1" t="s">
        <v>940</v>
      </c>
      <c r="E500"/>
      <c r="F500" s="188">
        <v>35.299999999999997</v>
      </c>
      <c r="G500" s="187" t="s">
        <v>835</v>
      </c>
      <c r="H500" s="181" t="s">
        <v>299</v>
      </c>
      <c r="I500" s="8">
        <f>(C13)</f>
        <v>85</v>
      </c>
      <c r="J500" s="2" t="s">
        <v>835</v>
      </c>
      <c r="K500" s="8">
        <f t="shared" si="27"/>
        <v>3000.5</v>
      </c>
      <c r="O500" s="181" t="s">
        <v>1783</v>
      </c>
      <c r="P500" s="181" t="s">
        <v>940</v>
      </c>
      <c r="R500" s="181" t="s">
        <v>940</v>
      </c>
    </row>
    <row r="501" spans="1:33" hidden="1">
      <c r="A501" s="240">
        <f t="shared" si="25"/>
        <v>334</v>
      </c>
      <c r="B501" s="181" t="s">
        <v>917</v>
      </c>
      <c r="C501" s="8">
        <v>9.4499999999999993</v>
      </c>
      <c r="D501" s="1" t="s">
        <v>835</v>
      </c>
      <c r="E501"/>
      <c r="G501" s="187" t="s">
        <v>419</v>
      </c>
      <c r="H501" s="181" t="s">
        <v>420</v>
      </c>
      <c r="I501" s="1" t="s">
        <v>940</v>
      </c>
      <c r="J501" s="2" t="s">
        <v>419</v>
      </c>
      <c r="K501" s="8">
        <v>0</v>
      </c>
      <c r="N501" s="181" t="s">
        <v>419</v>
      </c>
      <c r="O501" s="181" t="s">
        <v>420</v>
      </c>
      <c r="Q501" s="181" t="s">
        <v>419</v>
      </c>
      <c r="R501" s="188">
        <v>0</v>
      </c>
      <c r="AG501" s="181" t="s">
        <v>2175</v>
      </c>
    </row>
    <row r="502" spans="1:33" hidden="1">
      <c r="A502" s="240">
        <f t="shared" si="25"/>
        <v>335</v>
      </c>
      <c r="B502" s="181" t="s">
        <v>713</v>
      </c>
      <c r="C502" s="8">
        <v>15.6</v>
      </c>
      <c r="D502" s="1" t="s">
        <v>835</v>
      </c>
      <c r="E502"/>
      <c r="I502"/>
      <c r="J502" s="4"/>
      <c r="K502" s="5" t="s">
        <v>1530</v>
      </c>
      <c r="R502" s="185" t="s">
        <v>1530</v>
      </c>
      <c r="AG502" s="181" t="s">
        <v>2175</v>
      </c>
    </row>
    <row r="503" spans="1:33" hidden="1">
      <c r="A503" s="240">
        <f t="shared" si="25"/>
        <v>336</v>
      </c>
      <c r="B503" s="181" t="s">
        <v>1609</v>
      </c>
      <c r="C503" s="8">
        <v>15.6</v>
      </c>
      <c r="D503" s="1" t="s">
        <v>835</v>
      </c>
      <c r="E503"/>
      <c r="H503" s="181" t="s">
        <v>2089</v>
      </c>
      <c r="I503"/>
      <c r="J503" s="4"/>
      <c r="K503" s="8" t="e">
        <f>SUM(K495:K501)</f>
        <v>#REF!</v>
      </c>
      <c r="O503" s="181" t="s">
        <v>1784</v>
      </c>
      <c r="R503" s="188">
        <f>SUM(R491:R501)</f>
        <v>862.8</v>
      </c>
      <c r="AG503" s="181" t="s">
        <v>2175</v>
      </c>
    </row>
    <row r="504" spans="1:33" hidden="1">
      <c r="A504" s="240">
        <f t="shared" si="25"/>
        <v>337</v>
      </c>
      <c r="B504" s="181" t="s">
        <v>1785</v>
      </c>
      <c r="C504" s="8">
        <v>36.61</v>
      </c>
      <c r="D504" s="1" t="s">
        <v>835</v>
      </c>
      <c r="E504"/>
      <c r="I504"/>
      <c r="J504" s="4"/>
      <c r="K504" s="5" t="s">
        <v>1530</v>
      </c>
      <c r="R504" s="185" t="s">
        <v>1530</v>
      </c>
      <c r="AG504" s="181" t="s">
        <v>2175</v>
      </c>
    </row>
    <row r="505" spans="1:33" hidden="1">
      <c r="A505" s="240">
        <f t="shared" si="25"/>
        <v>338</v>
      </c>
      <c r="B505" s="181" t="s">
        <v>1611</v>
      </c>
      <c r="C505" s="8">
        <v>78.709999999999994</v>
      </c>
      <c r="D505" s="1" t="s">
        <v>835</v>
      </c>
      <c r="E505"/>
      <c r="H505" s="181" t="s">
        <v>743</v>
      </c>
      <c r="I505"/>
      <c r="J505" s="4"/>
      <c r="K505" s="8" t="e">
        <f>(K503/10)</f>
        <v>#REF!</v>
      </c>
      <c r="O505" s="181" t="s">
        <v>1490</v>
      </c>
      <c r="R505" s="188">
        <f>(R503/30)</f>
        <v>28.76</v>
      </c>
      <c r="AG505" s="181" t="s">
        <v>2175</v>
      </c>
    </row>
    <row r="506" spans="1:33" hidden="1">
      <c r="A506" s="240">
        <f t="shared" si="25"/>
        <v>339</v>
      </c>
      <c r="B506" s="181" t="s">
        <v>1614</v>
      </c>
      <c r="C506" s="8">
        <v>78.709999999999994</v>
      </c>
      <c r="D506" s="1" t="s">
        <v>835</v>
      </c>
      <c r="E506"/>
      <c r="I506"/>
      <c r="J506" s="4"/>
      <c r="K506"/>
      <c r="R506" s="185" t="s">
        <v>1530</v>
      </c>
      <c r="AG506" s="181" t="s">
        <v>2175</v>
      </c>
    </row>
    <row r="507" spans="1:33" hidden="1">
      <c r="A507" s="240">
        <f t="shared" si="25"/>
        <v>340</v>
      </c>
      <c r="B507" s="181" t="s">
        <v>1786</v>
      </c>
      <c r="C507"/>
      <c r="D507" s="1" t="s">
        <v>210</v>
      </c>
      <c r="E507"/>
      <c r="F507" s="188">
        <v>1</v>
      </c>
      <c r="G507" s="187" t="s">
        <v>836</v>
      </c>
      <c r="H507" s="181" t="s">
        <v>43</v>
      </c>
      <c r="I507"/>
      <c r="J507" s="4"/>
      <c r="K507" s="8">
        <f>(C25)</f>
        <v>20.7</v>
      </c>
      <c r="N507" s="181" t="s">
        <v>1500</v>
      </c>
      <c r="O507" s="236" t="s">
        <v>211</v>
      </c>
      <c r="AG507" s="181" t="s">
        <v>2175</v>
      </c>
    </row>
    <row r="508" spans="1:33" hidden="1">
      <c r="A508" s="240">
        <f t="shared" si="25"/>
        <v>341</v>
      </c>
      <c r="B508" s="181" t="s">
        <v>1030</v>
      </c>
      <c r="C508" s="8">
        <v>20.55</v>
      </c>
      <c r="D508" s="1" t="s">
        <v>1714</v>
      </c>
      <c r="E508"/>
      <c r="I508"/>
      <c r="J508" s="4"/>
      <c r="K508" s="5" t="s">
        <v>1530</v>
      </c>
      <c r="O508" s="185" t="s">
        <v>1530</v>
      </c>
      <c r="AG508" s="181" t="s">
        <v>2175</v>
      </c>
    </row>
    <row r="509" spans="1:33" hidden="1">
      <c r="A509" s="240">
        <f t="shared" si="25"/>
        <v>342</v>
      </c>
      <c r="B509" s="181" t="s">
        <v>1193</v>
      </c>
      <c r="C509" s="8">
        <v>32.9</v>
      </c>
      <c r="D509" s="1" t="s">
        <v>1714</v>
      </c>
      <c r="E509">
        <v>70</v>
      </c>
      <c r="H509" s="181" t="s">
        <v>1194</v>
      </c>
      <c r="I509"/>
      <c r="J509" s="4"/>
      <c r="K509" s="8" t="e">
        <f>SUM(K505:K507)</f>
        <v>#REF!</v>
      </c>
      <c r="M509" s="188">
        <v>30</v>
      </c>
      <c r="N509" s="181" t="s">
        <v>1714</v>
      </c>
      <c r="O509" s="181" t="s">
        <v>1610</v>
      </c>
      <c r="P509" s="188">
        <f>(C42)</f>
        <v>1.75</v>
      </c>
      <c r="Q509" s="181" t="s">
        <v>1714</v>
      </c>
      <c r="R509" s="188">
        <f>(M509*P509)</f>
        <v>52.5</v>
      </c>
      <c r="AG509" s="181" t="s">
        <v>2175</v>
      </c>
    </row>
    <row r="510" spans="1:33" hidden="1">
      <c r="A510" s="240">
        <f t="shared" si="25"/>
        <v>343</v>
      </c>
      <c r="B510" s="181" t="s">
        <v>1195</v>
      </c>
      <c r="C510" s="8">
        <v>48.8</v>
      </c>
      <c r="D510" s="1" t="s">
        <v>1714</v>
      </c>
      <c r="E510"/>
      <c r="I510"/>
      <c r="J510" s="4"/>
      <c r="K510" s="5" t="s">
        <v>1530</v>
      </c>
      <c r="M510" s="181" t="s">
        <v>940</v>
      </c>
      <c r="O510" s="181" t="s">
        <v>1613</v>
      </c>
      <c r="P510" s="181" t="s">
        <v>940</v>
      </c>
      <c r="R510" s="181" t="s">
        <v>940</v>
      </c>
      <c r="AG510" s="181" t="s">
        <v>2175</v>
      </c>
    </row>
    <row r="511" spans="1:33" hidden="1">
      <c r="A511" s="240">
        <f t="shared" si="25"/>
        <v>344</v>
      </c>
      <c r="B511" s="181" t="s">
        <v>1196</v>
      </c>
      <c r="C511" s="8">
        <v>65.7</v>
      </c>
      <c r="D511" s="1" t="s">
        <v>1714</v>
      </c>
      <c r="E511"/>
      <c r="G511" s="187" t="s">
        <v>1197</v>
      </c>
      <c r="H511" s="181" t="s">
        <v>361</v>
      </c>
      <c r="I511"/>
      <c r="J511" s="4"/>
      <c r="K511" s="8" t="e">
        <f>(K509+C22)</f>
        <v>#REF!</v>
      </c>
      <c r="M511" s="188">
        <v>8</v>
      </c>
      <c r="N511" s="181" t="s">
        <v>835</v>
      </c>
      <c r="O511" s="181" t="s">
        <v>2062</v>
      </c>
      <c r="P511" s="188">
        <f>(C44)</f>
        <v>2.2000000000000002</v>
      </c>
      <c r="Q511" s="181" t="s">
        <v>835</v>
      </c>
      <c r="R511" s="188">
        <f t="shared" ref="R511:R516" si="28">(M511*P511)</f>
        <v>17.600000000000001</v>
      </c>
      <c r="AG511" s="181" t="s">
        <v>2175</v>
      </c>
    </row>
    <row r="512" spans="1:33" hidden="1">
      <c r="A512" s="240">
        <f t="shared" si="25"/>
        <v>345</v>
      </c>
      <c r="B512" s="181" t="s">
        <v>1198</v>
      </c>
      <c r="C512" s="8">
        <v>69.099999999999994</v>
      </c>
      <c r="D512" s="8">
        <v>21</v>
      </c>
      <c r="E512"/>
      <c r="G512" s="187" t="s">
        <v>1199</v>
      </c>
      <c r="H512" s="181" t="s">
        <v>363</v>
      </c>
      <c r="I512"/>
      <c r="J512" s="4"/>
      <c r="K512" s="8" t="e">
        <f>(K511+C23)</f>
        <v>#REF!</v>
      </c>
      <c r="M512" s="188">
        <v>8</v>
      </c>
      <c r="N512" s="181" t="s">
        <v>835</v>
      </c>
      <c r="O512" s="181" t="s">
        <v>437</v>
      </c>
      <c r="P512" s="188">
        <f>(C51)</f>
        <v>3.2</v>
      </c>
      <c r="Q512" s="181" t="s">
        <v>835</v>
      </c>
      <c r="R512" s="188">
        <f t="shared" si="28"/>
        <v>25.6</v>
      </c>
      <c r="AG512" s="181" t="s">
        <v>2175</v>
      </c>
    </row>
    <row r="513" spans="1:33" hidden="1">
      <c r="A513" s="240">
        <f t="shared" si="25"/>
        <v>346</v>
      </c>
      <c r="B513" s="181" t="s">
        <v>351</v>
      </c>
      <c r="C513" s="8">
        <v>94.12</v>
      </c>
      <c r="D513" s="8">
        <v>37.15</v>
      </c>
      <c r="E513"/>
      <c r="G513" s="187" t="s">
        <v>395</v>
      </c>
      <c r="H513" s="181" t="s">
        <v>2149</v>
      </c>
      <c r="I513"/>
      <c r="J513" s="4"/>
      <c r="K513" s="8" t="e">
        <f>(K512+C24)</f>
        <v>#REF!</v>
      </c>
      <c r="M513" s="188">
        <v>3</v>
      </c>
      <c r="N513" s="181" t="s">
        <v>835</v>
      </c>
      <c r="O513" s="181" t="s">
        <v>1779</v>
      </c>
      <c r="P513" s="188">
        <f>(C41)</f>
        <v>110</v>
      </c>
      <c r="Q513" s="181" t="s">
        <v>835</v>
      </c>
      <c r="R513" s="188">
        <f t="shared" si="28"/>
        <v>330</v>
      </c>
      <c r="AG513" s="181" t="s">
        <v>2175</v>
      </c>
    </row>
    <row r="514" spans="1:33" hidden="1">
      <c r="A514" s="240">
        <f t="shared" si="25"/>
        <v>347</v>
      </c>
      <c r="B514" s="181" t="s">
        <v>959</v>
      </c>
      <c r="C514"/>
      <c r="D514" s="1" t="s">
        <v>940</v>
      </c>
      <c r="E514"/>
      <c r="G514" s="187" t="s">
        <v>960</v>
      </c>
      <c r="H514" s="181" t="s">
        <v>355</v>
      </c>
      <c r="I514"/>
      <c r="J514" s="4"/>
      <c r="K514" s="8" t="e">
        <f>(K513+C24)</f>
        <v>#REF!</v>
      </c>
      <c r="M514" s="188">
        <v>1</v>
      </c>
      <c r="N514" s="181" t="s">
        <v>835</v>
      </c>
      <c r="O514" s="181" t="s">
        <v>1780</v>
      </c>
      <c r="P514" s="188">
        <f>(C10)</f>
        <v>150</v>
      </c>
      <c r="Q514" s="181" t="s">
        <v>835</v>
      </c>
      <c r="R514" s="188">
        <f t="shared" si="28"/>
        <v>150</v>
      </c>
      <c r="AG514" s="181" t="s">
        <v>2175</v>
      </c>
    </row>
    <row r="515" spans="1:33" hidden="1">
      <c r="A515" s="240">
        <f t="shared" si="25"/>
        <v>348</v>
      </c>
      <c r="B515" s="181" t="s">
        <v>1075</v>
      </c>
      <c r="C515" s="8">
        <v>4.1900000000000004</v>
      </c>
      <c r="D515" s="1" t="s">
        <v>835</v>
      </c>
      <c r="E515"/>
      <c r="I515"/>
      <c r="J515" s="4"/>
      <c r="K515"/>
      <c r="M515" s="188">
        <v>2</v>
      </c>
      <c r="N515" s="181" t="s">
        <v>835</v>
      </c>
      <c r="O515" s="181" t="s">
        <v>1836</v>
      </c>
      <c r="P515" s="188">
        <f>(C12)</f>
        <v>95</v>
      </c>
      <c r="Q515" s="181" t="s">
        <v>835</v>
      </c>
      <c r="R515" s="188">
        <f t="shared" si="28"/>
        <v>190</v>
      </c>
      <c r="AG515" s="181" t="s">
        <v>2175</v>
      </c>
    </row>
    <row r="516" spans="1:33" hidden="1">
      <c r="A516" s="240">
        <f t="shared" si="25"/>
        <v>349</v>
      </c>
      <c r="B516" s="181" t="s">
        <v>1076</v>
      </c>
      <c r="C516" s="8">
        <v>5</v>
      </c>
      <c r="D516" s="1" t="s">
        <v>835</v>
      </c>
      <c r="E516"/>
      <c r="F516" s="236" t="s">
        <v>961</v>
      </c>
      <c r="G516" s="187" t="s">
        <v>2167</v>
      </c>
      <c r="H516" s="181" t="s">
        <v>962</v>
      </c>
      <c r="I516"/>
      <c r="J516" s="4"/>
      <c r="K516"/>
      <c r="M516" s="188">
        <v>1</v>
      </c>
      <c r="N516" s="181" t="s">
        <v>835</v>
      </c>
      <c r="O516" s="181" t="s">
        <v>299</v>
      </c>
      <c r="P516" s="188">
        <f>(C13)</f>
        <v>85</v>
      </c>
      <c r="Q516" s="181" t="s">
        <v>835</v>
      </c>
      <c r="R516" s="188">
        <f t="shared" si="28"/>
        <v>85</v>
      </c>
      <c r="AG516" s="181" t="s">
        <v>2175</v>
      </c>
    </row>
    <row r="517" spans="1:33" hidden="1">
      <c r="A517" s="240">
        <f t="shared" si="25"/>
        <v>350</v>
      </c>
      <c r="B517" s="181" t="s">
        <v>1077</v>
      </c>
      <c r="C517" s="8">
        <v>8.06</v>
      </c>
      <c r="D517" s="1" t="s">
        <v>835</v>
      </c>
      <c r="E517"/>
      <c r="H517" s="185" t="s">
        <v>1530</v>
      </c>
      <c r="I517"/>
      <c r="J517" s="4"/>
      <c r="K517"/>
      <c r="N517" s="181" t="s">
        <v>419</v>
      </c>
      <c r="O517" s="181" t="s">
        <v>1781</v>
      </c>
      <c r="P517" s="181" t="s">
        <v>940</v>
      </c>
      <c r="Q517" s="181" t="s">
        <v>419</v>
      </c>
      <c r="R517" s="188">
        <f>(C56)</f>
        <v>12.1</v>
      </c>
      <c r="AG517" s="181" t="s">
        <v>2175</v>
      </c>
    </row>
    <row r="518" spans="1:33" hidden="1">
      <c r="A518" s="240">
        <f t="shared" si="25"/>
        <v>351</v>
      </c>
      <c r="B518" s="181" t="s">
        <v>1078</v>
      </c>
      <c r="C518" s="8">
        <v>11.86</v>
      </c>
      <c r="D518" s="1" t="s">
        <v>835</v>
      </c>
      <c r="E518"/>
      <c r="F518" s="245">
        <v>1.4999999999999999E-2</v>
      </c>
      <c r="G518" s="187" t="s">
        <v>836</v>
      </c>
      <c r="H518" s="181" t="s">
        <v>963</v>
      </c>
      <c r="I518" s="8" t="e">
        <f>(K505)</f>
        <v>#REF!</v>
      </c>
      <c r="J518" s="2" t="s">
        <v>836</v>
      </c>
      <c r="K518" s="8" t="e">
        <f>(F518*I518)</f>
        <v>#REF!</v>
      </c>
      <c r="O518" s="181" t="s">
        <v>1783</v>
      </c>
      <c r="P518" s="181" t="s">
        <v>940</v>
      </c>
      <c r="R518" s="181" t="s">
        <v>940</v>
      </c>
      <c r="AG518" s="181" t="s">
        <v>2175</v>
      </c>
    </row>
    <row r="519" spans="1:33" hidden="1">
      <c r="A519" s="240">
        <f t="shared" si="25"/>
        <v>352</v>
      </c>
      <c r="B519" s="181" t="s">
        <v>1080</v>
      </c>
      <c r="C519" s="8">
        <v>18.88</v>
      </c>
      <c r="D519" s="1" t="s">
        <v>835</v>
      </c>
      <c r="E519"/>
      <c r="F519" s="188">
        <v>0.5</v>
      </c>
      <c r="G519" s="187" t="s">
        <v>739</v>
      </c>
      <c r="H519" s="181" t="s">
        <v>1938</v>
      </c>
      <c r="I519" s="8">
        <f>(C10)</f>
        <v>150</v>
      </c>
      <c r="J519" s="2" t="s">
        <v>739</v>
      </c>
      <c r="K519" s="8">
        <f>(F519*I519)</f>
        <v>75</v>
      </c>
      <c r="N519" s="181" t="s">
        <v>419</v>
      </c>
      <c r="O519" s="181" t="s">
        <v>420</v>
      </c>
      <c r="Q519" s="181" t="s">
        <v>419</v>
      </c>
      <c r="R519" s="188">
        <v>0</v>
      </c>
      <c r="AG519" s="181" t="s">
        <v>2175</v>
      </c>
    </row>
    <row r="520" spans="1:33" hidden="1">
      <c r="A520" s="240">
        <f t="shared" si="25"/>
        <v>353</v>
      </c>
      <c r="B520" s="181" t="s">
        <v>225</v>
      </c>
      <c r="C520" s="8">
        <v>26</v>
      </c>
      <c r="D520" s="1" t="s">
        <v>835</v>
      </c>
      <c r="E520"/>
      <c r="F520" s="188">
        <v>0.75</v>
      </c>
      <c r="G520" s="187" t="s">
        <v>739</v>
      </c>
      <c r="H520" s="181" t="s">
        <v>1836</v>
      </c>
      <c r="I520" s="8">
        <f>(C12)</f>
        <v>95</v>
      </c>
      <c r="J520" s="2" t="s">
        <v>739</v>
      </c>
      <c r="K520" s="8">
        <f>(F520*I520)</f>
        <v>71.25</v>
      </c>
      <c r="R520" s="185" t="s">
        <v>1530</v>
      </c>
      <c r="AG520" s="181" t="s">
        <v>2175</v>
      </c>
    </row>
    <row r="521" spans="1:33" hidden="1">
      <c r="A521" s="240">
        <f t="shared" si="25"/>
        <v>354</v>
      </c>
      <c r="B521" s="181" t="s">
        <v>650</v>
      </c>
      <c r="C521"/>
      <c r="D521" s="1" t="s">
        <v>940</v>
      </c>
      <c r="E521"/>
      <c r="G521" s="187" t="s">
        <v>419</v>
      </c>
      <c r="H521" s="181" t="s">
        <v>420</v>
      </c>
      <c r="I521"/>
      <c r="J521" s="2" t="s">
        <v>419</v>
      </c>
      <c r="K521" s="8">
        <v>0</v>
      </c>
      <c r="O521" s="181" t="s">
        <v>1784</v>
      </c>
      <c r="R521" s="188">
        <f>SUM(R509:R519)</f>
        <v>862.8</v>
      </c>
      <c r="AG521" s="181" t="s">
        <v>2175</v>
      </c>
    </row>
    <row r="522" spans="1:33" hidden="1">
      <c r="A522" s="240">
        <f t="shared" si="25"/>
        <v>355</v>
      </c>
      <c r="B522" s="181" t="s">
        <v>1075</v>
      </c>
      <c r="C522" s="8">
        <v>4.62</v>
      </c>
      <c r="D522" s="1" t="s">
        <v>835</v>
      </c>
      <c r="E522"/>
      <c r="I522"/>
      <c r="J522" s="4"/>
      <c r="K522" s="5" t="s">
        <v>1530</v>
      </c>
      <c r="R522" s="185" t="s">
        <v>1530</v>
      </c>
      <c r="AG522" s="181" t="s">
        <v>2175</v>
      </c>
    </row>
    <row r="523" spans="1:33" hidden="1">
      <c r="A523" s="240">
        <f t="shared" si="25"/>
        <v>356</v>
      </c>
      <c r="B523" s="181" t="s">
        <v>1076</v>
      </c>
      <c r="C523" s="8">
        <v>7.83</v>
      </c>
      <c r="D523" s="1" t="s">
        <v>835</v>
      </c>
      <c r="E523"/>
      <c r="H523" s="181" t="s">
        <v>1691</v>
      </c>
      <c r="I523"/>
      <c r="J523" s="4"/>
      <c r="K523" s="8" t="e">
        <f>SUM(K518:K521)</f>
        <v>#REF!</v>
      </c>
      <c r="O523" s="181" t="s">
        <v>1490</v>
      </c>
      <c r="R523" s="188">
        <f>(R521/30)</f>
        <v>28.76</v>
      </c>
      <c r="AG523" s="181" t="s">
        <v>2175</v>
      </c>
    </row>
    <row r="524" spans="1:33" hidden="1">
      <c r="A524" s="240">
        <f t="shared" ref="A524:A546" si="29">(A523+1)</f>
        <v>357</v>
      </c>
      <c r="B524" s="181" t="s">
        <v>1077</v>
      </c>
      <c r="C524" s="8">
        <v>11.38</v>
      </c>
      <c r="D524" s="1" t="s">
        <v>835</v>
      </c>
      <c r="E524"/>
      <c r="I524"/>
      <c r="J524" s="4"/>
      <c r="K524" s="5" t="s">
        <v>1530</v>
      </c>
      <c r="R524" s="185" t="s">
        <v>1530</v>
      </c>
      <c r="AG524" s="181" t="s">
        <v>2175</v>
      </c>
    </row>
    <row r="525" spans="1:33" hidden="1">
      <c r="A525" s="240">
        <f t="shared" si="29"/>
        <v>358</v>
      </c>
      <c r="B525" s="181" t="s">
        <v>1078</v>
      </c>
      <c r="C525" s="8">
        <v>18.75</v>
      </c>
      <c r="D525" s="1" t="s">
        <v>835</v>
      </c>
      <c r="E525"/>
      <c r="H525" s="181" t="s">
        <v>521</v>
      </c>
      <c r="I525"/>
      <c r="J525" s="4"/>
      <c r="K525" s="8" t="e">
        <f>(K523/0.743)</f>
        <v>#REF!</v>
      </c>
      <c r="AG525" s="181" t="s">
        <v>2175</v>
      </c>
    </row>
    <row r="526" spans="1:33" hidden="1">
      <c r="A526" s="240">
        <f t="shared" si="29"/>
        <v>359</v>
      </c>
      <c r="B526" s="181" t="s">
        <v>1080</v>
      </c>
      <c r="C526" s="8">
        <v>35.1</v>
      </c>
      <c r="D526" s="1" t="s">
        <v>835</v>
      </c>
      <c r="E526"/>
      <c r="I526"/>
      <c r="J526" s="4"/>
      <c r="K526" s="5" t="s">
        <v>1980</v>
      </c>
      <c r="AG526" s="181" t="s">
        <v>2175</v>
      </c>
    </row>
    <row r="527" spans="1:33" hidden="1">
      <c r="A527" s="240">
        <f t="shared" si="29"/>
        <v>360</v>
      </c>
      <c r="B527" s="181" t="s">
        <v>225</v>
      </c>
      <c r="C527" s="8">
        <v>45.57</v>
      </c>
      <c r="D527" s="1" t="s">
        <v>835</v>
      </c>
      <c r="E527"/>
      <c r="H527" s="181" t="s">
        <v>361</v>
      </c>
      <c r="I527" s="8" t="e">
        <f>K525</f>
        <v>#REF!</v>
      </c>
      <c r="J527" s="2">
        <f>C22*0.02</f>
        <v>0.53</v>
      </c>
      <c r="K527" s="8" t="e">
        <f>I527+J527</f>
        <v>#REF!</v>
      </c>
      <c r="N527" s="181" t="s">
        <v>1887</v>
      </c>
      <c r="O527" s="236" t="s">
        <v>1225</v>
      </c>
      <c r="AG527" s="181" t="s">
        <v>2175</v>
      </c>
    </row>
    <row r="528" spans="1:33" hidden="1">
      <c r="A528" s="240">
        <f t="shared" si="29"/>
        <v>361</v>
      </c>
      <c r="B528" s="181" t="s">
        <v>1087</v>
      </c>
      <c r="C528"/>
      <c r="D528" s="1" t="s">
        <v>940</v>
      </c>
      <c r="E528"/>
      <c r="H528" s="181" t="s">
        <v>363</v>
      </c>
      <c r="I528" s="8" t="e">
        <f>K527</f>
        <v>#REF!</v>
      </c>
      <c r="J528" s="2">
        <f>C23*0.02</f>
        <v>1.06</v>
      </c>
      <c r="K528" s="8" t="e">
        <f>I528+J528</f>
        <v>#REF!</v>
      </c>
      <c r="O528" s="185" t="s">
        <v>1530</v>
      </c>
      <c r="AG528" s="181" t="s">
        <v>2175</v>
      </c>
    </row>
    <row r="529" spans="1:33" hidden="1">
      <c r="A529" s="240">
        <f t="shared" si="29"/>
        <v>362</v>
      </c>
      <c r="B529" s="181" t="s">
        <v>1075</v>
      </c>
      <c r="C529" s="8">
        <v>7.8</v>
      </c>
      <c r="D529" s="1" t="s">
        <v>835</v>
      </c>
      <c r="E529"/>
      <c r="H529" s="181" t="s">
        <v>2149</v>
      </c>
      <c r="I529" s="8" t="e">
        <f>K528</f>
        <v>#REF!</v>
      </c>
      <c r="J529" s="2">
        <f>C23*0.02</f>
        <v>1.06</v>
      </c>
      <c r="K529" s="8" t="e">
        <f>I529+J529</f>
        <v>#REF!</v>
      </c>
      <c r="M529" s="188">
        <v>30</v>
      </c>
      <c r="N529" s="181" t="s">
        <v>1714</v>
      </c>
      <c r="O529" s="181" t="s">
        <v>1610</v>
      </c>
      <c r="P529" s="188">
        <f>(C42)</f>
        <v>1.75</v>
      </c>
      <c r="Q529" s="181" t="s">
        <v>1714</v>
      </c>
      <c r="R529" s="188">
        <f>(M529*P529)</f>
        <v>52.5</v>
      </c>
      <c r="AG529" s="181" t="s">
        <v>2175</v>
      </c>
    </row>
    <row r="530" spans="1:33" hidden="1">
      <c r="A530" s="240">
        <f t="shared" si="29"/>
        <v>363</v>
      </c>
      <c r="B530" s="181" t="s">
        <v>1076</v>
      </c>
      <c r="C530" s="8">
        <v>9.49</v>
      </c>
      <c r="D530" s="1" t="s">
        <v>835</v>
      </c>
      <c r="E530"/>
      <c r="H530" s="181" t="s">
        <v>355</v>
      </c>
      <c r="I530" s="8" t="e">
        <f>K529</f>
        <v>#REF!</v>
      </c>
      <c r="J530" s="2">
        <f>C23*0.02</f>
        <v>1.06</v>
      </c>
      <c r="K530" s="8" t="e">
        <f>I530+J530</f>
        <v>#REF!</v>
      </c>
      <c r="M530" s="181" t="s">
        <v>940</v>
      </c>
      <c r="O530" s="181" t="s">
        <v>1613</v>
      </c>
      <c r="P530" s="181" t="s">
        <v>940</v>
      </c>
      <c r="R530" s="181" t="s">
        <v>940</v>
      </c>
      <c r="AG530" s="181" t="s">
        <v>2175</v>
      </c>
    </row>
    <row r="531" spans="1:33" hidden="1">
      <c r="A531" s="240">
        <f t="shared" si="29"/>
        <v>364</v>
      </c>
      <c r="B531" s="181" t="s">
        <v>1077</v>
      </c>
      <c r="C531" s="8">
        <v>13.91</v>
      </c>
      <c r="D531" s="1" t="s">
        <v>835</v>
      </c>
      <c r="E531"/>
      <c r="H531" s="181" t="s">
        <v>363</v>
      </c>
      <c r="I531" s="8" t="e">
        <f>K530</f>
        <v>#REF!</v>
      </c>
      <c r="J531" s="2">
        <f>C24*0.02</f>
        <v>1.06</v>
      </c>
      <c r="K531" s="8" t="e">
        <f>I531+J531</f>
        <v>#REF!</v>
      </c>
      <c r="M531" s="188">
        <v>8</v>
      </c>
      <c r="N531" s="181" t="s">
        <v>835</v>
      </c>
      <c r="O531" s="181" t="s">
        <v>2062</v>
      </c>
      <c r="P531" s="188">
        <f>(C45)</f>
        <v>2.7</v>
      </c>
      <c r="Q531" s="181" t="s">
        <v>835</v>
      </c>
      <c r="R531" s="188">
        <f t="shared" ref="R531:R536" si="30">(M531*P531)</f>
        <v>21.6</v>
      </c>
      <c r="AG531" s="181" t="s">
        <v>2175</v>
      </c>
    </row>
    <row r="532" spans="1:33" hidden="1">
      <c r="A532" s="240">
        <f t="shared" si="29"/>
        <v>365</v>
      </c>
      <c r="B532" s="181" t="s">
        <v>1078</v>
      </c>
      <c r="C532" s="8">
        <v>26.59</v>
      </c>
      <c r="D532" s="1" t="s">
        <v>835</v>
      </c>
      <c r="E532"/>
      <c r="F532" s="236" t="s">
        <v>1088</v>
      </c>
      <c r="G532" s="187" t="s">
        <v>2167</v>
      </c>
      <c r="H532" s="181" t="s">
        <v>242</v>
      </c>
      <c r="I532"/>
      <c r="J532" s="4"/>
      <c r="K532"/>
      <c r="M532" s="188">
        <v>8</v>
      </c>
      <c r="N532" s="181" t="s">
        <v>835</v>
      </c>
      <c r="O532" s="181" t="s">
        <v>437</v>
      </c>
      <c r="P532" s="188">
        <f>(C52)</f>
        <v>6.4</v>
      </c>
      <c r="Q532" s="181" t="s">
        <v>835</v>
      </c>
      <c r="R532" s="188">
        <f t="shared" si="30"/>
        <v>51.2</v>
      </c>
      <c r="AG532" s="181" t="s">
        <v>2175</v>
      </c>
    </row>
    <row r="533" spans="1:33" hidden="1">
      <c r="A533" s="240">
        <f t="shared" si="29"/>
        <v>366</v>
      </c>
      <c r="B533" s="181" t="s">
        <v>1080</v>
      </c>
      <c r="C533" s="8">
        <v>39.909999999999997</v>
      </c>
      <c r="D533" s="1" t="s">
        <v>835</v>
      </c>
      <c r="E533"/>
      <c r="H533" s="185" t="s">
        <v>1530</v>
      </c>
      <c r="I533"/>
      <c r="J533" s="4"/>
      <c r="K533"/>
      <c r="M533" s="188">
        <v>3</v>
      </c>
      <c r="N533" s="181" t="s">
        <v>835</v>
      </c>
      <c r="O533" s="181" t="s">
        <v>1779</v>
      </c>
      <c r="P533" s="188">
        <f>(C41)</f>
        <v>110</v>
      </c>
      <c r="Q533" s="181" t="s">
        <v>835</v>
      </c>
      <c r="R533" s="188">
        <f t="shared" si="30"/>
        <v>330</v>
      </c>
      <c r="AG533" s="181" t="s">
        <v>2175</v>
      </c>
    </row>
    <row r="534" spans="1:33" hidden="1">
      <c r="A534" s="240">
        <f t="shared" si="29"/>
        <v>367</v>
      </c>
      <c r="B534" s="181" t="s">
        <v>225</v>
      </c>
      <c r="C534" s="8">
        <v>66</v>
      </c>
      <c r="D534" s="1" t="s">
        <v>835</v>
      </c>
      <c r="E534"/>
      <c r="F534" s="188">
        <v>0.03</v>
      </c>
      <c r="G534" s="187" t="s">
        <v>836</v>
      </c>
      <c r="H534" s="181" t="s">
        <v>963</v>
      </c>
      <c r="I534" s="8" t="e">
        <f>(K505)</f>
        <v>#REF!</v>
      </c>
      <c r="J534" s="2" t="s">
        <v>836</v>
      </c>
      <c r="K534" s="8" t="e">
        <f>(F534*I534)</f>
        <v>#REF!</v>
      </c>
      <c r="M534" s="188">
        <v>1</v>
      </c>
      <c r="N534" s="181" t="s">
        <v>835</v>
      </c>
      <c r="O534" s="181" t="s">
        <v>1780</v>
      </c>
      <c r="P534" s="188">
        <f>(C10)</f>
        <v>150</v>
      </c>
      <c r="Q534" s="181" t="s">
        <v>835</v>
      </c>
      <c r="R534" s="188">
        <f t="shared" si="30"/>
        <v>150</v>
      </c>
      <c r="AG534" s="181" t="s">
        <v>2175</v>
      </c>
    </row>
    <row r="535" spans="1:33" hidden="1">
      <c r="A535" s="240">
        <f t="shared" si="29"/>
        <v>368</v>
      </c>
      <c r="B535" s="181" t="s">
        <v>1089</v>
      </c>
      <c r="C535"/>
      <c r="D535" s="1" t="s">
        <v>940</v>
      </c>
      <c r="E535"/>
      <c r="F535" s="188">
        <v>0.5</v>
      </c>
      <c r="G535" s="187" t="s">
        <v>739</v>
      </c>
      <c r="H535" s="181" t="s">
        <v>1938</v>
      </c>
      <c r="I535" s="8">
        <f>(C10)</f>
        <v>150</v>
      </c>
      <c r="J535" s="2" t="s">
        <v>739</v>
      </c>
      <c r="K535" s="8">
        <f>(F535*I535)</f>
        <v>75</v>
      </c>
      <c r="M535" s="188">
        <v>2</v>
      </c>
      <c r="N535" s="181" t="s">
        <v>835</v>
      </c>
      <c r="O535" s="181" t="s">
        <v>1836</v>
      </c>
      <c r="P535" s="188">
        <f>(C12)</f>
        <v>95</v>
      </c>
      <c r="Q535" s="181" t="s">
        <v>835</v>
      </c>
      <c r="R535" s="188">
        <f t="shared" si="30"/>
        <v>190</v>
      </c>
      <c r="AG535" s="181" t="s">
        <v>2175</v>
      </c>
    </row>
    <row r="536" spans="1:33" hidden="1">
      <c r="A536" s="240">
        <f t="shared" si="29"/>
        <v>369</v>
      </c>
      <c r="B536" s="181" t="s">
        <v>917</v>
      </c>
      <c r="C536" s="8">
        <v>4.75</v>
      </c>
      <c r="D536" s="1" t="s">
        <v>835</v>
      </c>
      <c r="E536"/>
      <c r="F536" s="188">
        <v>0.75</v>
      </c>
      <c r="G536" s="187" t="s">
        <v>739</v>
      </c>
      <c r="H536" s="181" t="s">
        <v>1836</v>
      </c>
      <c r="I536" s="8">
        <f>(C12)</f>
        <v>95</v>
      </c>
      <c r="J536" s="2" t="s">
        <v>739</v>
      </c>
      <c r="K536" s="8">
        <f>(F536*I536)</f>
        <v>71.25</v>
      </c>
      <c r="M536" s="188">
        <v>1</v>
      </c>
      <c r="N536" s="181" t="s">
        <v>835</v>
      </c>
      <c r="O536" s="181" t="s">
        <v>299</v>
      </c>
      <c r="P536" s="188">
        <f>(C13)</f>
        <v>85</v>
      </c>
      <c r="Q536" s="181" t="s">
        <v>835</v>
      </c>
      <c r="R536" s="188">
        <f t="shared" si="30"/>
        <v>85</v>
      </c>
      <c r="AG536" s="181" t="s">
        <v>2175</v>
      </c>
    </row>
    <row r="537" spans="1:33" hidden="1">
      <c r="A537" s="240">
        <f t="shared" si="29"/>
        <v>370</v>
      </c>
      <c r="B537" s="181" t="s">
        <v>713</v>
      </c>
      <c r="C537" s="8">
        <v>6.89</v>
      </c>
      <c r="D537" s="1" t="s">
        <v>835</v>
      </c>
      <c r="E537"/>
      <c r="G537" s="187" t="s">
        <v>419</v>
      </c>
      <c r="H537" s="181" t="s">
        <v>420</v>
      </c>
      <c r="I537"/>
      <c r="J537" s="2" t="s">
        <v>419</v>
      </c>
      <c r="K537" s="8">
        <v>0</v>
      </c>
      <c r="N537" s="181" t="s">
        <v>419</v>
      </c>
      <c r="O537" s="181" t="s">
        <v>1781</v>
      </c>
      <c r="P537" s="181" t="s">
        <v>940</v>
      </c>
      <c r="Q537" s="181" t="s">
        <v>419</v>
      </c>
      <c r="R537" s="188">
        <f>(C56)</f>
        <v>12.1</v>
      </c>
      <c r="AG537" s="181" t="s">
        <v>2175</v>
      </c>
    </row>
    <row r="538" spans="1:33" hidden="1">
      <c r="A538" s="240">
        <f t="shared" si="29"/>
        <v>371</v>
      </c>
      <c r="B538" s="181" t="s">
        <v>1609</v>
      </c>
      <c r="C538" s="8">
        <v>6.18</v>
      </c>
      <c r="D538" s="1" t="s">
        <v>835</v>
      </c>
      <c r="E538"/>
      <c r="I538"/>
      <c r="J538" s="4"/>
      <c r="K538" s="5" t="s">
        <v>1530</v>
      </c>
      <c r="O538" s="181" t="s">
        <v>1783</v>
      </c>
      <c r="P538" s="181" t="s">
        <v>940</v>
      </c>
      <c r="R538" s="181" t="s">
        <v>940</v>
      </c>
      <c r="AG538" s="181" t="s">
        <v>2175</v>
      </c>
    </row>
    <row r="539" spans="1:33" hidden="1">
      <c r="A539" s="240">
        <f t="shared" si="29"/>
        <v>372</v>
      </c>
      <c r="B539" s="181" t="s">
        <v>1090</v>
      </c>
      <c r="C539" s="8">
        <v>13.29</v>
      </c>
      <c r="D539" s="1" t="s">
        <v>835</v>
      </c>
      <c r="E539"/>
      <c r="H539" s="181" t="s">
        <v>1691</v>
      </c>
      <c r="I539"/>
      <c r="J539" s="4"/>
      <c r="K539" s="8" t="e">
        <f>SUM(K534:K537)</f>
        <v>#REF!</v>
      </c>
      <c r="N539" s="181" t="s">
        <v>419</v>
      </c>
      <c r="O539" s="181" t="s">
        <v>420</v>
      </c>
      <c r="Q539" s="181" t="s">
        <v>419</v>
      </c>
      <c r="R539" s="188">
        <v>0</v>
      </c>
      <c r="AG539" s="181" t="s">
        <v>2175</v>
      </c>
    </row>
    <row r="540" spans="1:33" hidden="1">
      <c r="A540" s="240">
        <f t="shared" si="29"/>
        <v>373</v>
      </c>
      <c r="B540" s="181" t="s">
        <v>1091</v>
      </c>
      <c r="C540" s="8">
        <v>14.11</v>
      </c>
      <c r="D540" s="1" t="s">
        <v>835</v>
      </c>
      <c r="E540"/>
      <c r="I540"/>
      <c r="J540" s="4"/>
      <c r="K540" s="5" t="s">
        <v>1530</v>
      </c>
      <c r="R540" s="185" t="s">
        <v>1530</v>
      </c>
      <c r="AG540" s="181" t="s">
        <v>2175</v>
      </c>
    </row>
    <row r="541" spans="1:33" hidden="1">
      <c r="A541" s="240">
        <f t="shared" si="29"/>
        <v>374</v>
      </c>
      <c r="B541" s="181" t="s">
        <v>1092</v>
      </c>
      <c r="C541" s="8">
        <v>14.69</v>
      </c>
      <c r="D541" s="1" t="s">
        <v>835</v>
      </c>
      <c r="E541"/>
      <c r="H541" s="181" t="s">
        <v>521</v>
      </c>
      <c r="I541"/>
      <c r="J541" s="4"/>
      <c r="K541" s="8" t="e">
        <f>(K539/0.743)</f>
        <v>#REF!</v>
      </c>
      <c r="O541" s="181" t="s">
        <v>1784</v>
      </c>
      <c r="R541" s="188">
        <f>SUM(R529:R539)</f>
        <v>892.4</v>
      </c>
      <c r="AG541" s="181" t="s">
        <v>2175</v>
      </c>
    </row>
    <row r="542" spans="1:33" hidden="1">
      <c r="A542" s="240">
        <f t="shared" si="29"/>
        <v>375</v>
      </c>
      <c r="B542" s="181" t="s">
        <v>1798</v>
      </c>
      <c r="C542"/>
      <c r="D542" s="1" t="s">
        <v>940</v>
      </c>
      <c r="E542"/>
      <c r="I542"/>
      <c r="J542" s="4"/>
      <c r="K542" s="5" t="s">
        <v>1980</v>
      </c>
      <c r="R542" s="185" t="s">
        <v>1530</v>
      </c>
      <c r="AG542" s="181" t="s">
        <v>2175</v>
      </c>
    </row>
    <row r="543" spans="1:33" hidden="1">
      <c r="A543" s="240">
        <f t="shared" si="29"/>
        <v>376</v>
      </c>
      <c r="B543" s="181" t="s">
        <v>917</v>
      </c>
      <c r="C543" s="8">
        <v>10.3</v>
      </c>
      <c r="D543" s="1" t="s">
        <v>835</v>
      </c>
      <c r="E543"/>
      <c r="H543" s="181" t="s">
        <v>361</v>
      </c>
      <c r="I543" s="8" t="e">
        <f>K541</f>
        <v>#REF!</v>
      </c>
      <c r="J543" s="2">
        <f>C22*0.04</f>
        <v>1.06</v>
      </c>
      <c r="K543" s="8" t="e">
        <f>I543+J543</f>
        <v>#REF!</v>
      </c>
      <c r="O543" s="181" t="s">
        <v>1490</v>
      </c>
      <c r="R543" s="188">
        <f>(R541/30)</f>
        <v>29.75</v>
      </c>
      <c r="AG543" s="181" t="s">
        <v>2175</v>
      </c>
    </row>
    <row r="544" spans="1:33" hidden="1">
      <c r="A544" s="240">
        <f t="shared" si="29"/>
        <v>377</v>
      </c>
      <c r="B544" s="181" t="s">
        <v>713</v>
      </c>
      <c r="C544" s="8">
        <v>19.05</v>
      </c>
      <c r="D544" s="1" t="s">
        <v>835</v>
      </c>
      <c r="E544"/>
      <c r="H544" s="181" t="s">
        <v>363</v>
      </c>
      <c r="I544" s="8" t="e">
        <f>K543</f>
        <v>#REF!</v>
      </c>
      <c r="J544" s="2">
        <f>C23*0.04</f>
        <v>2.11</v>
      </c>
      <c r="K544" s="8" t="e">
        <f>I544+J544</f>
        <v>#REF!</v>
      </c>
      <c r="R544" s="185" t="s">
        <v>1530</v>
      </c>
      <c r="AG544" s="181" t="s">
        <v>2175</v>
      </c>
    </row>
    <row r="545" spans="1:33" hidden="1">
      <c r="A545" s="240">
        <f t="shared" si="29"/>
        <v>378</v>
      </c>
      <c r="B545" s="181" t="s">
        <v>1609</v>
      </c>
      <c r="C545" s="8">
        <v>15.34</v>
      </c>
      <c r="D545" s="1" t="s">
        <v>835</v>
      </c>
      <c r="E545"/>
      <c r="H545" s="181" t="s">
        <v>2149</v>
      </c>
      <c r="I545" s="8" t="e">
        <f>K544</f>
        <v>#REF!</v>
      </c>
      <c r="J545" s="2">
        <f>C23*0.04</f>
        <v>2.11</v>
      </c>
      <c r="K545" s="8" t="e">
        <f>I545+J545</f>
        <v>#REF!</v>
      </c>
      <c r="N545" s="181" t="s">
        <v>2167</v>
      </c>
      <c r="O545" s="181" t="s">
        <v>1974</v>
      </c>
      <c r="AG545" s="181" t="s">
        <v>2175</v>
      </c>
    </row>
    <row r="546" spans="1:33" hidden="1">
      <c r="A546" s="240">
        <f t="shared" si="29"/>
        <v>379</v>
      </c>
      <c r="B546" s="181" t="s">
        <v>1799</v>
      </c>
      <c r="C546" s="8">
        <v>29.41</v>
      </c>
      <c r="D546" s="1" t="s">
        <v>835</v>
      </c>
      <c r="E546"/>
      <c r="H546" s="181" t="s">
        <v>355</v>
      </c>
      <c r="I546" s="8" t="e">
        <f>K545</f>
        <v>#REF!</v>
      </c>
      <c r="J546" s="2">
        <f>C23*0.04</f>
        <v>2.11</v>
      </c>
      <c r="K546" s="8" t="e">
        <f>I546+J546</f>
        <v>#REF!</v>
      </c>
      <c r="O546" s="181" t="s">
        <v>1800</v>
      </c>
      <c r="AG546" s="181" t="s">
        <v>2175</v>
      </c>
    </row>
    <row r="547" spans="1:33" hidden="1">
      <c r="C547"/>
      <c r="D547"/>
      <c r="E547"/>
      <c r="F547" s="181" t="s">
        <v>940</v>
      </c>
      <c r="H547" s="181" t="s">
        <v>363</v>
      </c>
      <c r="I547" s="8" t="e">
        <f>K546</f>
        <v>#REF!</v>
      </c>
      <c r="J547" s="2">
        <f>C24*0.04</f>
        <v>2.11</v>
      </c>
      <c r="K547" s="8" t="e">
        <f>I547+J547</f>
        <v>#REF!</v>
      </c>
    </row>
    <row r="548" spans="1:33" hidden="1">
      <c r="A548" s="240">
        <f>(A546+1)</f>
        <v>380</v>
      </c>
      <c r="B548" s="181" t="s">
        <v>1091</v>
      </c>
      <c r="C548" s="8">
        <v>38.35</v>
      </c>
      <c r="D548" s="1" t="s">
        <v>835</v>
      </c>
      <c r="E548"/>
      <c r="I548"/>
      <c r="J548" s="4"/>
      <c r="K548"/>
      <c r="O548" s="181" t="s">
        <v>151</v>
      </c>
      <c r="AG548" s="181" t="s">
        <v>2175</v>
      </c>
    </row>
    <row r="549" spans="1:33" hidden="1">
      <c r="A549" s="240">
        <f t="shared" ref="A549:A564" si="31">(A548+1)</f>
        <v>381</v>
      </c>
      <c r="B549" s="181" t="s">
        <v>1092</v>
      </c>
      <c r="C549" s="8">
        <v>37.96</v>
      </c>
      <c r="D549" s="1" t="s">
        <v>835</v>
      </c>
      <c r="E549"/>
      <c r="F549" s="246"/>
      <c r="G549" s="187" t="s">
        <v>940</v>
      </c>
      <c r="H549" s="181" t="s">
        <v>131</v>
      </c>
      <c r="I549"/>
      <c r="J549" s="4"/>
      <c r="K549"/>
      <c r="O549" s="185" t="s">
        <v>1530</v>
      </c>
      <c r="AG549" s="181" t="s">
        <v>2175</v>
      </c>
    </row>
    <row r="550" spans="1:33" hidden="1">
      <c r="A550" s="240">
        <f t="shared" si="31"/>
        <v>382</v>
      </c>
      <c r="B550" s="181" t="s">
        <v>132</v>
      </c>
      <c r="C550"/>
      <c r="D550" s="1" t="s">
        <v>940</v>
      </c>
      <c r="E550"/>
      <c r="H550" s="181" t="s">
        <v>1218</v>
      </c>
      <c r="I550"/>
      <c r="J550" s="4"/>
      <c r="K550"/>
      <c r="AG550" s="181" t="s">
        <v>2175</v>
      </c>
    </row>
    <row r="551" spans="1:33" hidden="1">
      <c r="A551" s="240">
        <f t="shared" si="31"/>
        <v>383</v>
      </c>
      <c r="B551" s="181" t="s">
        <v>917</v>
      </c>
      <c r="C551" s="8">
        <v>6.68</v>
      </c>
      <c r="D551" s="1" t="s">
        <v>835</v>
      </c>
      <c r="E551"/>
      <c r="H551" s="181" t="s">
        <v>1219</v>
      </c>
      <c r="I551"/>
      <c r="J551" s="4"/>
      <c r="K551"/>
      <c r="N551" s="181" t="s">
        <v>152</v>
      </c>
      <c r="O551" s="181" t="s">
        <v>989</v>
      </c>
      <c r="AG551" s="181" t="s">
        <v>2175</v>
      </c>
    </row>
    <row r="552" spans="1:33" hidden="1">
      <c r="A552" s="240">
        <f t="shared" si="31"/>
        <v>384</v>
      </c>
      <c r="B552" s="181" t="s">
        <v>713</v>
      </c>
      <c r="C552" s="8">
        <v>9.4499999999999993</v>
      </c>
      <c r="D552" s="1" t="s">
        <v>835</v>
      </c>
      <c r="E552"/>
      <c r="H552" s="181" t="s">
        <v>990</v>
      </c>
      <c r="I552"/>
      <c r="J552" s="4"/>
      <c r="K552"/>
      <c r="O552" s="185" t="s">
        <v>1530</v>
      </c>
      <c r="AG552" s="181" t="s">
        <v>2175</v>
      </c>
    </row>
    <row r="553" spans="1:33" hidden="1">
      <c r="A553" s="240">
        <f t="shared" si="31"/>
        <v>385</v>
      </c>
      <c r="B553" s="181" t="s">
        <v>1609</v>
      </c>
      <c r="C553" s="8">
        <v>33.04</v>
      </c>
      <c r="D553" s="1" t="s">
        <v>835</v>
      </c>
      <c r="E553"/>
      <c r="H553" s="181" t="s">
        <v>991</v>
      </c>
      <c r="I553"/>
      <c r="J553" s="4"/>
      <c r="K553"/>
      <c r="M553" s="188">
        <v>8.1</v>
      </c>
      <c r="N553" s="181" t="s">
        <v>836</v>
      </c>
      <c r="O553" s="181" t="s">
        <v>586</v>
      </c>
      <c r="P553" s="188">
        <f>(C61)*2</f>
        <v>50</v>
      </c>
      <c r="Q553" s="181" t="s">
        <v>836</v>
      </c>
      <c r="R553" s="188">
        <f>(M553*P553)</f>
        <v>405</v>
      </c>
      <c r="AG553" s="181" t="s">
        <v>2175</v>
      </c>
    </row>
    <row r="554" spans="1:33" hidden="1">
      <c r="A554" s="240">
        <f t="shared" si="31"/>
        <v>386</v>
      </c>
      <c r="B554" s="181" t="s">
        <v>1799</v>
      </c>
      <c r="C554" s="8">
        <v>33.04</v>
      </c>
      <c r="D554" s="1" t="s">
        <v>835</v>
      </c>
      <c r="E554"/>
      <c r="H554" s="181" t="s">
        <v>1201</v>
      </c>
      <c r="I554"/>
      <c r="J554" s="4"/>
      <c r="K554"/>
      <c r="M554" s="188">
        <v>8.1</v>
      </c>
      <c r="N554" s="181" t="s">
        <v>836</v>
      </c>
      <c r="O554" s="181" t="s">
        <v>2076</v>
      </c>
      <c r="P554" s="188">
        <f>(C26)</f>
        <v>8.8000000000000007</v>
      </c>
      <c r="Q554" s="181" t="s">
        <v>836</v>
      </c>
      <c r="R554" s="188">
        <f>(M554*P554)</f>
        <v>71.28</v>
      </c>
      <c r="AG554" s="181" t="s">
        <v>2175</v>
      </c>
    </row>
    <row r="555" spans="1:33" hidden="1">
      <c r="A555" s="240">
        <f t="shared" si="31"/>
        <v>387</v>
      </c>
      <c r="B555" s="181" t="s">
        <v>1202</v>
      </c>
      <c r="C555" s="8">
        <v>33.04</v>
      </c>
      <c r="D555" s="1" t="s">
        <v>835</v>
      </c>
      <c r="E555"/>
      <c r="H555" s="181" t="s">
        <v>2340</v>
      </c>
      <c r="I555"/>
      <c r="J555" s="4"/>
      <c r="K555"/>
      <c r="M555" s="188">
        <v>30</v>
      </c>
      <c r="N555" s="181" t="s">
        <v>1714</v>
      </c>
      <c r="O555" s="181" t="s">
        <v>2077</v>
      </c>
      <c r="P555" s="188">
        <f>(C639)</f>
        <v>3</v>
      </c>
      <c r="Q555" s="181" t="s">
        <v>1714</v>
      </c>
      <c r="R555" s="188">
        <f>(M555*P555)</f>
        <v>90</v>
      </c>
      <c r="AG555" s="181" t="s">
        <v>300</v>
      </c>
    </row>
    <row r="556" spans="1:33" hidden="1">
      <c r="A556" s="240">
        <f t="shared" si="31"/>
        <v>388</v>
      </c>
      <c r="B556" s="181" t="s">
        <v>1203</v>
      </c>
      <c r="C556" s="8">
        <v>33.04</v>
      </c>
      <c r="D556" s="1" t="s">
        <v>835</v>
      </c>
      <c r="E556"/>
      <c r="H556" s="185" t="s">
        <v>1530</v>
      </c>
      <c r="I556" s="5" t="s">
        <v>1530</v>
      </c>
      <c r="J556" s="4"/>
      <c r="K556"/>
      <c r="O556" s="181" t="s">
        <v>1204</v>
      </c>
    </row>
    <row r="557" spans="1:33" hidden="1">
      <c r="A557" s="240">
        <f t="shared" si="31"/>
        <v>389</v>
      </c>
      <c r="B557" s="181" t="s">
        <v>579</v>
      </c>
      <c r="C557" s="8">
        <v>538</v>
      </c>
      <c r="D557" s="1" t="s">
        <v>835</v>
      </c>
      <c r="E557"/>
      <c r="G557" s="187" t="s">
        <v>657</v>
      </c>
      <c r="H557" s="181" t="s">
        <v>580</v>
      </c>
      <c r="I557"/>
      <c r="J557" s="4"/>
      <c r="K557"/>
      <c r="O557" s="181" t="s">
        <v>2079</v>
      </c>
    </row>
    <row r="558" spans="1:33" hidden="1">
      <c r="A558" s="240">
        <f t="shared" si="31"/>
        <v>390</v>
      </c>
      <c r="B558" s="181" t="s">
        <v>2196</v>
      </c>
      <c r="C558" s="8">
        <v>340</v>
      </c>
      <c r="D558" s="1" t="s">
        <v>835</v>
      </c>
      <c r="E558"/>
      <c r="H558" s="181" t="s">
        <v>2197</v>
      </c>
      <c r="I558"/>
      <c r="J558" s="4"/>
      <c r="K558"/>
      <c r="O558" s="181" t="s">
        <v>2080</v>
      </c>
      <c r="AG558" s="181" t="s">
        <v>2175</v>
      </c>
    </row>
    <row r="559" spans="1:33" hidden="1">
      <c r="A559" s="240">
        <f t="shared" si="31"/>
        <v>391</v>
      </c>
      <c r="B559" s="181" t="s">
        <v>2198</v>
      </c>
      <c r="C559" s="8">
        <v>1039</v>
      </c>
      <c r="D559" s="1" t="s">
        <v>835</v>
      </c>
      <c r="E559"/>
      <c r="F559" s="188">
        <v>10</v>
      </c>
      <c r="G559" s="187" t="s">
        <v>2199</v>
      </c>
      <c r="H559" s="181" t="s">
        <v>527</v>
      </c>
      <c r="I559" s="8">
        <f>C721</f>
        <v>227</v>
      </c>
      <c r="J559" s="2" t="s">
        <v>2199</v>
      </c>
      <c r="K559" s="8">
        <f>(F559*I559)</f>
        <v>2270</v>
      </c>
      <c r="O559" s="181" t="s">
        <v>2083</v>
      </c>
      <c r="AG559" s="181" t="s">
        <v>2175</v>
      </c>
    </row>
    <row r="560" spans="1:33" hidden="1">
      <c r="A560" s="240">
        <f t="shared" si="31"/>
        <v>392</v>
      </c>
      <c r="B560" s="181" t="s">
        <v>528</v>
      </c>
      <c r="C560" s="8">
        <v>100.44</v>
      </c>
      <c r="D560" s="1" t="s">
        <v>835</v>
      </c>
      <c r="E560"/>
      <c r="F560" s="188">
        <v>1</v>
      </c>
      <c r="G560" s="187" t="s">
        <v>529</v>
      </c>
      <c r="H560" s="181" t="s">
        <v>530</v>
      </c>
      <c r="I560" s="8">
        <f>C10</f>
        <v>150</v>
      </c>
      <c r="J560" s="2" t="s">
        <v>1341</v>
      </c>
      <c r="K560" s="8">
        <f>(F560*I560)</f>
        <v>150</v>
      </c>
      <c r="M560" s="188">
        <v>8</v>
      </c>
      <c r="N560" s="181" t="s">
        <v>739</v>
      </c>
      <c r="O560" s="181" t="s">
        <v>2062</v>
      </c>
      <c r="P560" s="188">
        <f>(C641)</f>
        <v>2.2000000000000002</v>
      </c>
      <c r="Q560" s="181" t="s">
        <v>739</v>
      </c>
      <c r="R560" s="188">
        <f>(M560*P560)</f>
        <v>17.600000000000001</v>
      </c>
      <c r="AG560" s="181" t="s">
        <v>2175</v>
      </c>
    </row>
    <row r="561" spans="1:33" hidden="1">
      <c r="A561" s="240">
        <f t="shared" si="31"/>
        <v>393</v>
      </c>
      <c r="B561" s="181" t="s">
        <v>791</v>
      </c>
      <c r="C561" s="8">
        <v>31</v>
      </c>
      <c r="D561" s="1" t="s">
        <v>1113</v>
      </c>
      <c r="E561"/>
      <c r="F561" s="188">
        <v>1</v>
      </c>
      <c r="G561" s="187" t="s">
        <v>529</v>
      </c>
      <c r="H561" s="181" t="s">
        <v>792</v>
      </c>
      <c r="I561" s="8">
        <f>C12</f>
        <v>95</v>
      </c>
      <c r="J561" s="2" t="s">
        <v>1341</v>
      </c>
      <c r="K561" s="8">
        <f>(F561*I561)</f>
        <v>95</v>
      </c>
      <c r="M561" s="188">
        <v>8</v>
      </c>
      <c r="N561" s="181" t="s">
        <v>739</v>
      </c>
      <c r="O561" s="181" t="s">
        <v>437</v>
      </c>
      <c r="P561" s="188">
        <f>(C642)</f>
        <v>3.2</v>
      </c>
      <c r="Q561" s="181" t="s">
        <v>739</v>
      </c>
      <c r="R561" s="188">
        <f>(M561*P561)</f>
        <v>25.6</v>
      </c>
      <c r="AG561" s="181" t="s">
        <v>2175</v>
      </c>
    </row>
    <row r="562" spans="1:33" hidden="1">
      <c r="A562" s="240">
        <f t="shared" si="31"/>
        <v>394</v>
      </c>
      <c r="B562" s="181" t="s">
        <v>2859</v>
      </c>
      <c r="C562" s="8">
        <v>71.239999999999995</v>
      </c>
      <c r="D562" s="1" t="s">
        <v>835</v>
      </c>
      <c r="E562"/>
      <c r="G562" s="187" t="s">
        <v>419</v>
      </c>
      <c r="H562" s="181" t="s">
        <v>58</v>
      </c>
      <c r="I562"/>
      <c r="J562" s="2" t="s">
        <v>419</v>
      </c>
      <c r="K562" s="8">
        <v>120</v>
      </c>
      <c r="M562" s="188">
        <v>1</v>
      </c>
      <c r="N562" s="181" t="s">
        <v>419</v>
      </c>
      <c r="O562" s="181" t="s">
        <v>1630</v>
      </c>
      <c r="P562" s="188">
        <f>(C643)</f>
        <v>4</v>
      </c>
      <c r="Q562" s="181" t="s">
        <v>419</v>
      </c>
      <c r="R562" s="188">
        <f>(M562*P562)</f>
        <v>4</v>
      </c>
      <c r="AG562" s="181" t="s">
        <v>2175</v>
      </c>
    </row>
    <row r="563" spans="1:33" hidden="1">
      <c r="A563" s="240">
        <f t="shared" si="31"/>
        <v>395</v>
      </c>
      <c r="B563" s="181" t="s">
        <v>59</v>
      </c>
      <c r="C563" s="8">
        <v>82.2</v>
      </c>
      <c r="D563" s="1" t="s">
        <v>835</v>
      </c>
      <c r="E563"/>
      <c r="H563" s="181" t="s">
        <v>894</v>
      </c>
      <c r="I563"/>
      <c r="J563" s="4"/>
      <c r="K563" s="5" t="s">
        <v>1530</v>
      </c>
      <c r="M563" s="188">
        <v>1</v>
      </c>
      <c r="N563" s="181" t="s">
        <v>419</v>
      </c>
      <c r="O563" s="181" t="s">
        <v>420</v>
      </c>
      <c r="Q563" s="181" t="s">
        <v>419</v>
      </c>
      <c r="R563" s="188">
        <v>0</v>
      </c>
      <c r="AG563" s="181" t="s">
        <v>2175</v>
      </c>
    </row>
    <row r="564" spans="1:33" hidden="1">
      <c r="A564" s="240">
        <f t="shared" si="31"/>
        <v>396</v>
      </c>
      <c r="B564" s="181" t="s">
        <v>1021</v>
      </c>
      <c r="C564" s="8">
        <v>57.51</v>
      </c>
      <c r="D564" s="1" t="s">
        <v>835</v>
      </c>
      <c r="E564"/>
      <c r="H564" s="236" t="s">
        <v>1022</v>
      </c>
      <c r="I564"/>
      <c r="J564" s="4"/>
      <c r="K564" s="8">
        <f>SUM(K559:K562)</f>
        <v>2635</v>
      </c>
      <c r="R564" s="185" t="s">
        <v>1530</v>
      </c>
      <c r="AG564" s="181" t="s">
        <v>2175</v>
      </c>
    </row>
    <row r="565" spans="1:33" hidden="1">
      <c r="C565"/>
      <c r="D565"/>
      <c r="E565"/>
      <c r="F565" s="181" t="s">
        <v>940</v>
      </c>
      <c r="I565"/>
      <c r="J565" s="4"/>
      <c r="K565"/>
    </row>
    <row r="566" spans="1:33" hidden="1">
      <c r="A566" s="240">
        <f>(A564+1)</f>
        <v>397</v>
      </c>
      <c r="B566" s="181" t="s">
        <v>880</v>
      </c>
      <c r="C566" s="8">
        <v>28.5</v>
      </c>
      <c r="D566" s="1" t="s">
        <v>835</v>
      </c>
      <c r="E566"/>
      <c r="I566"/>
      <c r="J566" s="4"/>
      <c r="K566" s="5" t="s">
        <v>1530</v>
      </c>
      <c r="O566" s="181" t="s">
        <v>1489</v>
      </c>
      <c r="R566" s="188">
        <f>SUM(R553:R563)</f>
        <v>613.48</v>
      </c>
      <c r="AG566" s="181" t="s">
        <v>2175</v>
      </c>
    </row>
    <row r="567" spans="1:33" hidden="1">
      <c r="A567" s="240">
        <f>(A566+1)</f>
        <v>398</v>
      </c>
      <c r="B567" s="181" t="s">
        <v>467</v>
      </c>
      <c r="C567" s="8">
        <v>57.51</v>
      </c>
      <c r="D567" s="1" t="s">
        <v>835</v>
      </c>
      <c r="E567"/>
      <c r="H567" s="236" t="s">
        <v>468</v>
      </c>
      <c r="I567"/>
      <c r="J567" s="4"/>
      <c r="K567" s="8">
        <f>K564/10</f>
        <v>263.5</v>
      </c>
      <c r="R567" s="185" t="s">
        <v>1530</v>
      </c>
      <c r="AG567" s="181" t="s">
        <v>2175</v>
      </c>
    </row>
    <row r="568" spans="1:33" hidden="1">
      <c r="A568" s="240">
        <f>(A567+1)</f>
        <v>399</v>
      </c>
      <c r="B568" s="181" t="s">
        <v>1842</v>
      </c>
      <c r="C568" s="8">
        <v>20</v>
      </c>
      <c r="D568" s="1" t="s">
        <v>835</v>
      </c>
      <c r="E568"/>
      <c r="H568" s="181" t="s">
        <v>361</v>
      </c>
      <c r="I568" s="8">
        <f>K567</f>
        <v>263.5</v>
      </c>
      <c r="J568" s="2">
        <f>C22*0.02</f>
        <v>0.53</v>
      </c>
      <c r="K568" s="8">
        <f>I568+J568</f>
        <v>264.02999999999997</v>
      </c>
      <c r="O568" s="181" t="s">
        <v>1490</v>
      </c>
      <c r="R568" s="188">
        <f>(R566/30)</f>
        <v>20.45</v>
      </c>
      <c r="AG568" s="181" t="s">
        <v>2175</v>
      </c>
    </row>
    <row r="569" spans="1:33" hidden="1">
      <c r="A569" s="240">
        <f>(A568+1)</f>
        <v>400</v>
      </c>
      <c r="B569" s="181" t="s">
        <v>1843</v>
      </c>
      <c r="C569" s="8">
        <v>21.92</v>
      </c>
      <c r="D569" s="1" t="s">
        <v>835</v>
      </c>
      <c r="E569"/>
      <c r="H569" s="181" t="s">
        <v>363</v>
      </c>
      <c r="I569" s="8">
        <f>K568</f>
        <v>264.02999999999997</v>
      </c>
      <c r="J569" s="2">
        <f>C23*0.02</f>
        <v>1.06</v>
      </c>
      <c r="K569" s="8">
        <f>I569+J569</f>
        <v>265.08999999999997</v>
      </c>
      <c r="N569" s="181" t="s">
        <v>2167</v>
      </c>
      <c r="O569" s="181" t="s">
        <v>1844</v>
      </c>
      <c r="AG569" s="181" t="s">
        <v>2175</v>
      </c>
    </row>
    <row r="570" spans="1:33" hidden="1">
      <c r="A570" s="240">
        <f>(A569+1)</f>
        <v>401</v>
      </c>
      <c r="B570" s="181" t="s">
        <v>223</v>
      </c>
      <c r="C570" s="8">
        <v>28.5</v>
      </c>
      <c r="D570" s="1" t="s">
        <v>835</v>
      </c>
      <c r="E570"/>
      <c r="H570" s="181" t="s">
        <v>2149</v>
      </c>
      <c r="I570" s="8">
        <f>K569</f>
        <v>265.08999999999997</v>
      </c>
      <c r="J570" s="2">
        <f>C23*0.02</f>
        <v>1.06</v>
      </c>
      <c r="K570" s="8">
        <f>I570+J570</f>
        <v>266.14999999999998</v>
      </c>
      <c r="O570" s="181" t="s">
        <v>224</v>
      </c>
      <c r="AG570" s="181" t="s">
        <v>2175</v>
      </c>
    </row>
    <row r="571" spans="1:33" hidden="1">
      <c r="A571" s="240">
        <f>(A570+1)</f>
        <v>402</v>
      </c>
      <c r="B571" s="181" t="s">
        <v>1987</v>
      </c>
      <c r="C571" s="8">
        <v>535</v>
      </c>
      <c r="D571" s="1" t="s">
        <v>835</v>
      </c>
      <c r="E571"/>
      <c r="H571" s="181" t="s">
        <v>355</v>
      </c>
      <c r="I571" s="8">
        <f>K570</f>
        <v>266.14999999999998</v>
      </c>
      <c r="J571" s="2">
        <f>C23*0.02</f>
        <v>1.06</v>
      </c>
      <c r="K571" s="8">
        <f>I571+J571</f>
        <v>267.20999999999998</v>
      </c>
      <c r="O571" s="185" t="s">
        <v>1530</v>
      </c>
      <c r="AG571" s="181" t="s">
        <v>2175</v>
      </c>
    </row>
    <row r="572" spans="1:33" hidden="1">
      <c r="A572" s="240"/>
      <c r="B572" s="181"/>
      <c r="C572" s="8"/>
      <c r="D572" s="1"/>
      <c r="E572"/>
      <c r="H572" s="181" t="s">
        <v>1312</v>
      </c>
      <c r="I572" s="8">
        <f>K571</f>
        <v>267.20999999999998</v>
      </c>
      <c r="J572" s="2">
        <f>C24*0.02</f>
        <v>1.06</v>
      </c>
      <c r="K572" s="8">
        <f>I572+J572</f>
        <v>268.27</v>
      </c>
      <c r="O572" s="185"/>
      <c r="AG572" s="181"/>
    </row>
    <row r="573" spans="1:33" hidden="1">
      <c r="A573" s="240">
        <f>(A571+1)</f>
        <v>403</v>
      </c>
      <c r="B573" s="181" t="s">
        <v>511</v>
      </c>
      <c r="C573" s="8">
        <v>21</v>
      </c>
      <c r="D573" s="1" t="s">
        <v>835</v>
      </c>
      <c r="E573"/>
      <c r="F573" s="246">
        <v>15.2</v>
      </c>
      <c r="G573" s="187" t="s">
        <v>657</v>
      </c>
      <c r="H573" s="181" t="s">
        <v>756</v>
      </c>
      <c r="I573"/>
      <c r="J573" s="4"/>
      <c r="K573"/>
      <c r="M573" s="188">
        <v>1.08</v>
      </c>
      <c r="N573" s="181" t="s">
        <v>836</v>
      </c>
      <c r="O573" s="181" t="s">
        <v>757</v>
      </c>
      <c r="P573" s="188">
        <f>(K88)</f>
        <v>52.93</v>
      </c>
      <c r="Q573" s="181" t="s">
        <v>836</v>
      </c>
      <c r="R573" s="188">
        <f>(M573*P573)</f>
        <v>57.16</v>
      </c>
      <c r="AG573" s="181" t="s">
        <v>2175</v>
      </c>
    </row>
    <row r="574" spans="1:33" hidden="1">
      <c r="A574" s="240">
        <f t="shared" ref="A574:A586" si="32">(A573+1)</f>
        <v>404</v>
      </c>
      <c r="B574" s="181" t="s">
        <v>758</v>
      </c>
      <c r="C574" s="8">
        <v>150</v>
      </c>
      <c r="D574" s="1" t="s">
        <v>835</v>
      </c>
      <c r="E574"/>
      <c r="H574" s="181" t="s">
        <v>2197</v>
      </c>
      <c r="I574"/>
      <c r="J574" s="4"/>
      <c r="K574"/>
      <c r="M574" s="245">
        <v>0.216</v>
      </c>
      <c r="N574" s="181" t="s">
        <v>836</v>
      </c>
      <c r="O574" s="181" t="s">
        <v>759</v>
      </c>
      <c r="P574" s="188" t="e">
        <f>(R60)</f>
        <v>#REF!</v>
      </c>
      <c r="Q574" s="181" t="s">
        <v>836</v>
      </c>
      <c r="R574" s="188" t="e">
        <f>(M574*P574)</f>
        <v>#REF!</v>
      </c>
      <c r="AG574" s="181" t="s">
        <v>2175</v>
      </c>
    </row>
    <row r="575" spans="1:33" hidden="1">
      <c r="A575" s="240">
        <f t="shared" si="32"/>
        <v>405</v>
      </c>
      <c r="B575" s="181" t="s">
        <v>1906</v>
      </c>
      <c r="C575" s="8">
        <v>16.440000000000001</v>
      </c>
      <c r="D575" s="1" t="s">
        <v>835</v>
      </c>
      <c r="E575"/>
      <c r="F575" s="188">
        <v>1</v>
      </c>
      <c r="G575" s="187" t="s">
        <v>2199</v>
      </c>
      <c r="H575" s="181" t="s">
        <v>527</v>
      </c>
      <c r="I575" s="8">
        <f>D721</f>
        <v>247</v>
      </c>
      <c r="J575" s="2" t="s">
        <v>2199</v>
      </c>
      <c r="K575" s="8">
        <f>(F575*I575)</f>
        <v>247</v>
      </c>
      <c r="M575" s="245">
        <v>0.48699999999999999</v>
      </c>
      <c r="N575" s="181" t="s">
        <v>836</v>
      </c>
      <c r="O575" s="181" t="s">
        <v>1907</v>
      </c>
      <c r="P575" s="188" t="e">
        <f>(R89)</f>
        <v>#REF!</v>
      </c>
      <c r="Q575" s="181" t="s">
        <v>836</v>
      </c>
      <c r="R575" s="188" t="e">
        <f>(M575*P575)</f>
        <v>#REF!</v>
      </c>
      <c r="AG575" s="181" t="s">
        <v>2175</v>
      </c>
    </row>
    <row r="576" spans="1:33" hidden="1">
      <c r="A576" s="240">
        <f t="shared" si="32"/>
        <v>406</v>
      </c>
      <c r="B576" s="181" t="s">
        <v>2860</v>
      </c>
      <c r="C576" s="8">
        <v>30</v>
      </c>
      <c r="D576" s="8">
        <v>25</v>
      </c>
      <c r="E576"/>
      <c r="F576" s="188">
        <v>0.75</v>
      </c>
      <c r="G576" s="187" t="s">
        <v>529</v>
      </c>
      <c r="H576" s="181" t="s">
        <v>530</v>
      </c>
      <c r="I576" s="8">
        <f>C10</f>
        <v>150</v>
      </c>
      <c r="J576" s="2" t="s">
        <v>1341</v>
      </c>
      <c r="K576" s="8">
        <f>(F576*I576)</f>
        <v>112.5</v>
      </c>
      <c r="M576" s="245">
        <v>5.36</v>
      </c>
      <c r="N576" s="181" t="s">
        <v>578</v>
      </c>
      <c r="O576" s="181" t="s">
        <v>1908</v>
      </c>
      <c r="P576" s="188" t="e">
        <f>(R303)</f>
        <v>#REF!</v>
      </c>
      <c r="Q576" s="181" t="s">
        <v>578</v>
      </c>
      <c r="R576" s="188" t="e">
        <f>(M576*P576)</f>
        <v>#REF!</v>
      </c>
      <c r="AG576" s="181" t="s">
        <v>2175</v>
      </c>
    </row>
    <row r="577" spans="1:33" hidden="1">
      <c r="A577" s="240">
        <f t="shared" si="32"/>
        <v>407</v>
      </c>
      <c r="B577" s="181" t="s">
        <v>393</v>
      </c>
      <c r="C577" s="8">
        <v>208.5</v>
      </c>
      <c r="D577" s="1" t="s">
        <v>835</v>
      </c>
      <c r="E577"/>
      <c r="F577" s="188">
        <v>0.75</v>
      </c>
      <c r="G577" s="187" t="s">
        <v>529</v>
      </c>
      <c r="H577" s="181" t="s">
        <v>792</v>
      </c>
      <c r="I577" s="8">
        <f>C12</f>
        <v>95</v>
      </c>
      <c r="J577" s="2" t="s">
        <v>1341</v>
      </c>
      <c r="K577" s="8">
        <f>(F577*I577)</f>
        <v>71.25</v>
      </c>
      <c r="M577" s="245">
        <v>3.2000000000000001E-2</v>
      </c>
      <c r="N577" s="181" t="s">
        <v>836</v>
      </c>
      <c r="O577" s="181" t="s">
        <v>749</v>
      </c>
      <c r="P577" s="188" t="e">
        <f>(K614)</f>
        <v>#REF!</v>
      </c>
      <c r="Q577" s="181" t="s">
        <v>836</v>
      </c>
      <c r="R577" s="188" t="e">
        <f>(M577*P577)</f>
        <v>#REF!</v>
      </c>
      <c r="AG577" s="181" t="s">
        <v>2175</v>
      </c>
    </row>
    <row r="578" spans="1:33" hidden="1">
      <c r="A578" s="240">
        <f t="shared" si="32"/>
        <v>408</v>
      </c>
      <c r="B578" s="181" t="s">
        <v>1968</v>
      </c>
      <c r="C578" s="8">
        <v>95</v>
      </c>
      <c r="D578" s="1" t="s">
        <v>835</v>
      </c>
      <c r="E578"/>
      <c r="F578" s="188">
        <v>0.5</v>
      </c>
      <c r="G578" s="187" t="s">
        <v>529</v>
      </c>
      <c r="H578" s="181" t="s">
        <v>1969</v>
      </c>
      <c r="I578" s="8">
        <f>C41</f>
        <v>110</v>
      </c>
      <c r="J578" s="2" t="s">
        <v>1341</v>
      </c>
      <c r="K578" s="8">
        <f>(F578*I578)</f>
        <v>55</v>
      </c>
      <c r="O578" s="181" t="s">
        <v>270</v>
      </c>
      <c r="R578" s="181" t="s">
        <v>940</v>
      </c>
      <c r="AG578" s="181" t="s">
        <v>2175</v>
      </c>
    </row>
    <row r="579" spans="1:33" hidden="1">
      <c r="A579" s="240">
        <f t="shared" si="32"/>
        <v>409</v>
      </c>
      <c r="B579" s="181" t="s">
        <v>2861</v>
      </c>
      <c r="C579" s="6">
        <v>301</v>
      </c>
      <c r="D579" s="1" t="s">
        <v>578</v>
      </c>
      <c r="E579"/>
      <c r="G579" s="187" t="s">
        <v>419</v>
      </c>
      <c r="H579" s="181" t="s">
        <v>58</v>
      </c>
      <c r="I579"/>
      <c r="J579" s="2" t="s">
        <v>419</v>
      </c>
      <c r="K579" s="8">
        <v>53.5</v>
      </c>
      <c r="N579" s="181" t="s">
        <v>419</v>
      </c>
      <c r="O579" s="181" t="s">
        <v>319</v>
      </c>
      <c r="Q579" s="181" t="s">
        <v>419</v>
      </c>
      <c r="R579" s="188">
        <v>2.92</v>
      </c>
      <c r="AG579" s="181" t="s">
        <v>2175</v>
      </c>
    </row>
    <row r="580" spans="1:33" hidden="1">
      <c r="A580" s="240">
        <f t="shared" si="32"/>
        <v>410</v>
      </c>
      <c r="B580" s="181" t="s">
        <v>2862</v>
      </c>
      <c r="C580" s="8">
        <v>325</v>
      </c>
      <c r="D580" s="1" t="s">
        <v>578</v>
      </c>
      <c r="E580" s="1" t="s">
        <v>940</v>
      </c>
      <c r="H580" s="181" t="s">
        <v>894</v>
      </c>
      <c r="I580"/>
      <c r="J580" s="4"/>
      <c r="K580" s="5" t="s">
        <v>1530</v>
      </c>
      <c r="R580" s="185" t="s">
        <v>1530</v>
      </c>
      <c r="AG580" s="181" t="s">
        <v>2175</v>
      </c>
    </row>
    <row r="581" spans="1:33" hidden="1">
      <c r="A581" s="240">
        <f t="shared" si="32"/>
        <v>411</v>
      </c>
      <c r="B581" s="181" t="s">
        <v>320</v>
      </c>
      <c r="C581" s="8">
        <v>75</v>
      </c>
      <c r="D581" s="1" t="s">
        <v>835</v>
      </c>
      <c r="E581"/>
      <c r="H581" s="236" t="s">
        <v>1693</v>
      </c>
      <c r="I581"/>
      <c r="J581" s="4"/>
      <c r="K581" s="8">
        <f>SUM(K575:K579)</f>
        <v>539.25</v>
      </c>
      <c r="O581" s="181" t="s">
        <v>1694</v>
      </c>
      <c r="R581" s="188" t="e">
        <f>SUM(R573:R579)</f>
        <v>#REF!</v>
      </c>
      <c r="AG581" s="181" t="s">
        <v>2175</v>
      </c>
    </row>
    <row r="582" spans="1:33" hidden="1">
      <c r="A582" s="240">
        <f t="shared" si="32"/>
        <v>412</v>
      </c>
      <c r="B582" s="181" t="s">
        <v>1695</v>
      </c>
      <c r="C582" s="8">
        <v>125</v>
      </c>
      <c r="D582" s="1" t="s">
        <v>835</v>
      </c>
      <c r="E582"/>
      <c r="I582"/>
      <c r="J582" s="4"/>
      <c r="K582" s="5" t="s">
        <v>1530</v>
      </c>
      <c r="R582" s="185" t="s">
        <v>1530</v>
      </c>
      <c r="AG582" s="181" t="s">
        <v>2175</v>
      </c>
    </row>
    <row r="583" spans="1:33" hidden="1">
      <c r="A583" s="240">
        <f t="shared" si="32"/>
        <v>413</v>
      </c>
      <c r="B583" s="181" t="s">
        <v>1696</v>
      </c>
      <c r="C583" s="8">
        <v>190</v>
      </c>
      <c r="D583" s="1" t="s">
        <v>835</v>
      </c>
      <c r="E583"/>
      <c r="H583" s="181" t="s">
        <v>361</v>
      </c>
      <c r="I583" s="8">
        <f>K581</f>
        <v>539.25</v>
      </c>
      <c r="J583" s="2">
        <f>C22*0.04</f>
        <v>1.06</v>
      </c>
      <c r="K583" s="8">
        <f>(K581+C22*0.04)</f>
        <v>540.30999999999995</v>
      </c>
      <c r="N583" s="181" t="s">
        <v>2167</v>
      </c>
      <c r="O583" s="181" t="s">
        <v>1844</v>
      </c>
      <c r="AG583" s="181" t="s">
        <v>2175</v>
      </c>
    </row>
    <row r="584" spans="1:33" hidden="1">
      <c r="A584" s="240">
        <f t="shared" si="32"/>
        <v>414</v>
      </c>
      <c r="B584" s="181" t="s">
        <v>1697</v>
      </c>
      <c r="C584" s="8">
        <v>16</v>
      </c>
      <c r="D584" s="1" t="s">
        <v>835</v>
      </c>
      <c r="E584"/>
      <c r="H584" s="181" t="s">
        <v>363</v>
      </c>
      <c r="I584" s="8">
        <f>K583</f>
        <v>540.30999999999995</v>
      </c>
      <c r="J584" s="2">
        <f>C23*0.04</f>
        <v>2.11</v>
      </c>
      <c r="K584" s="8">
        <f>(K583+C23*0.04)</f>
        <v>542.41999999999996</v>
      </c>
      <c r="O584" s="181" t="s">
        <v>1698</v>
      </c>
      <c r="AG584" s="181" t="s">
        <v>2175</v>
      </c>
    </row>
    <row r="585" spans="1:33" hidden="1">
      <c r="A585" s="240">
        <f t="shared" si="32"/>
        <v>415</v>
      </c>
      <c r="B585" s="181" t="s">
        <v>1699</v>
      </c>
      <c r="C585" s="8">
        <v>7</v>
      </c>
      <c r="D585" s="1" t="s">
        <v>1591</v>
      </c>
      <c r="E585"/>
      <c r="H585" s="181" t="s">
        <v>2149</v>
      </c>
      <c r="I585" s="8">
        <f>K584</f>
        <v>542.41999999999996</v>
      </c>
      <c r="J585" s="2">
        <f>C23*0.04</f>
        <v>2.11</v>
      </c>
      <c r="K585" s="8">
        <f>(K584+C24*0.04)</f>
        <v>544.53</v>
      </c>
      <c r="O585" s="185" t="s">
        <v>1530</v>
      </c>
      <c r="AG585" s="181" t="s">
        <v>2175</v>
      </c>
    </row>
    <row r="586" spans="1:33" hidden="1">
      <c r="A586" s="240">
        <f t="shared" si="32"/>
        <v>416</v>
      </c>
      <c r="B586" s="181" t="s">
        <v>2863</v>
      </c>
      <c r="C586" s="8">
        <v>19</v>
      </c>
      <c r="D586" s="1" t="s">
        <v>1591</v>
      </c>
      <c r="E586"/>
      <c r="H586" s="181" t="s">
        <v>355</v>
      </c>
      <c r="I586" s="8">
        <f>K585</f>
        <v>544.53</v>
      </c>
      <c r="J586" s="2">
        <f>C23*0.04</f>
        <v>2.11</v>
      </c>
      <c r="K586" s="8">
        <f>(K585+C24*0.04)</f>
        <v>546.64</v>
      </c>
      <c r="M586" s="188">
        <v>1.3</v>
      </c>
      <c r="N586" s="181" t="s">
        <v>836</v>
      </c>
      <c r="O586" s="181" t="s">
        <v>757</v>
      </c>
      <c r="P586" s="188">
        <f>(K88)</f>
        <v>52.93</v>
      </c>
      <c r="Q586" s="181" t="s">
        <v>836</v>
      </c>
      <c r="R586" s="188">
        <f>(M586*P586)</f>
        <v>68.81</v>
      </c>
      <c r="AG586" s="181" t="s">
        <v>2175</v>
      </c>
    </row>
    <row r="587" spans="1:33" hidden="1">
      <c r="A587" s="240"/>
      <c r="B587" s="181"/>
      <c r="C587" s="8"/>
      <c r="D587" s="1"/>
      <c r="E587"/>
      <c r="H587" s="181" t="s">
        <v>1312</v>
      </c>
      <c r="I587" s="8">
        <f>K586</f>
        <v>546.64</v>
      </c>
      <c r="J587" s="2">
        <f>C24*0.04</f>
        <v>2.11</v>
      </c>
      <c r="K587" s="8">
        <f>(K586+C25*0.04)</f>
        <v>547.47</v>
      </c>
      <c r="M587" s="188"/>
      <c r="N587" s="181"/>
      <c r="O587" s="181"/>
      <c r="P587" s="188"/>
      <c r="Q587" s="181"/>
      <c r="R587" s="188"/>
      <c r="AG587" s="181"/>
    </row>
    <row r="588" spans="1:33" hidden="1">
      <c r="A588" s="240">
        <f>(A586+1)</f>
        <v>417</v>
      </c>
      <c r="B588" s="181" t="s">
        <v>2864</v>
      </c>
      <c r="C588" s="8">
        <v>20</v>
      </c>
      <c r="D588" s="1" t="s">
        <v>1591</v>
      </c>
      <c r="E588"/>
      <c r="F588" s="257">
        <v>15.1</v>
      </c>
      <c r="G588" s="187" t="s">
        <v>1700</v>
      </c>
      <c r="H588" s="181" t="s">
        <v>1552</v>
      </c>
      <c r="I588"/>
      <c r="J588" s="4"/>
      <c r="K588"/>
      <c r="M588" s="245">
        <v>0.216</v>
      </c>
      <c r="N588" s="181" t="s">
        <v>836</v>
      </c>
      <c r="O588" s="181" t="s">
        <v>759</v>
      </c>
      <c r="P588" s="188" t="e">
        <f>(R60)</f>
        <v>#REF!</v>
      </c>
      <c r="Q588" s="181" t="s">
        <v>836</v>
      </c>
      <c r="R588" s="188" t="e">
        <f>(M588*P588)</f>
        <v>#REF!</v>
      </c>
      <c r="AG588" s="181" t="s">
        <v>2175</v>
      </c>
    </row>
    <row r="589" spans="1:33" hidden="1">
      <c r="A589" s="240">
        <f t="shared" ref="A589:A614" si="33">(A588+1)</f>
        <v>418</v>
      </c>
      <c r="B589" s="181" t="s">
        <v>1701</v>
      </c>
      <c r="C589" s="8">
        <v>7.5</v>
      </c>
      <c r="D589" s="1" t="s">
        <v>739</v>
      </c>
      <c r="E589"/>
      <c r="H589" s="181" t="s">
        <v>2197</v>
      </c>
      <c r="I589"/>
      <c r="J589" s="4"/>
      <c r="K589"/>
      <c r="M589" s="245">
        <v>0.60099999999999998</v>
      </c>
      <c r="N589" s="181" t="s">
        <v>836</v>
      </c>
      <c r="O589" s="181" t="s">
        <v>1907</v>
      </c>
      <c r="P589" s="188" t="e">
        <f>(R89)</f>
        <v>#REF!</v>
      </c>
      <c r="Q589" s="181" t="s">
        <v>836</v>
      </c>
      <c r="R589" s="188" t="e">
        <f>(M589*P589)</f>
        <v>#REF!</v>
      </c>
      <c r="AG589" s="181" t="s">
        <v>2175</v>
      </c>
    </row>
    <row r="590" spans="1:33" hidden="1">
      <c r="A590" s="240">
        <f t="shared" si="33"/>
        <v>419</v>
      </c>
      <c r="B590" s="181" t="s">
        <v>751</v>
      </c>
      <c r="C590" s="8">
        <v>16</v>
      </c>
      <c r="D590" s="1" t="s">
        <v>739</v>
      </c>
      <c r="E590" t="s">
        <v>1505</v>
      </c>
      <c r="F590" s="188">
        <v>10</v>
      </c>
      <c r="G590" s="187" t="s">
        <v>2199</v>
      </c>
      <c r="H590" s="181" t="s">
        <v>527</v>
      </c>
      <c r="I590" s="8">
        <f>C721</f>
        <v>227</v>
      </c>
      <c r="J590" s="2" t="s">
        <v>2199</v>
      </c>
      <c r="K590" s="8">
        <f>(F590*I590)</f>
        <v>2270</v>
      </c>
      <c r="M590" s="245">
        <v>6.35</v>
      </c>
      <c r="N590" s="181" t="s">
        <v>578</v>
      </c>
      <c r="O590" s="181" t="s">
        <v>1908</v>
      </c>
      <c r="P590" s="188" t="e">
        <f>(R303)</f>
        <v>#REF!</v>
      </c>
      <c r="Q590" s="181" t="s">
        <v>578</v>
      </c>
      <c r="R590" s="188" t="e">
        <f>(M590*P590)</f>
        <v>#REF!</v>
      </c>
      <c r="AG590" s="181" t="s">
        <v>2175</v>
      </c>
    </row>
    <row r="591" spans="1:33" hidden="1">
      <c r="A591" s="240">
        <f t="shared" si="33"/>
        <v>420</v>
      </c>
      <c r="B591" s="181" t="s">
        <v>752</v>
      </c>
      <c r="C591" s="8">
        <v>1700</v>
      </c>
      <c r="D591" s="1" t="s">
        <v>753</v>
      </c>
      <c r="E591">
        <v>2000</v>
      </c>
      <c r="F591" s="188">
        <v>0.12</v>
      </c>
      <c r="G591" s="187" t="s">
        <v>836</v>
      </c>
      <c r="H591" s="181" t="s">
        <v>754</v>
      </c>
      <c r="I591" s="8" t="e">
        <f>K32</f>
        <v>#REF!</v>
      </c>
      <c r="J591" s="2" t="s">
        <v>836</v>
      </c>
      <c r="K591" s="8" t="e">
        <f>(F591*I591)</f>
        <v>#REF!</v>
      </c>
      <c r="M591" s="245">
        <v>3.2000000000000001E-2</v>
      </c>
      <c r="N591" s="181" t="s">
        <v>836</v>
      </c>
      <c r="O591" s="181" t="s">
        <v>749</v>
      </c>
      <c r="P591" s="188" t="e">
        <f>(K614)</f>
        <v>#REF!</v>
      </c>
      <c r="Q591" s="181" t="s">
        <v>836</v>
      </c>
      <c r="R591" s="188" t="e">
        <f>(M591*P591)</f>
        <v>#REF!</v>
      </c>
      <c r="AG591" s="181" t="s">
        <v>2175</v>
      </c>
    </row>
    <row r="592" spans="1:33" hidden="1">
      <c r="A592" s="240">
        <f t="shared" si="33"/>
        <v>421</v>
      </c>
      <c r="B592" s="181" t="s">
        <v>755</v>
      </c>
      <c r="C592" s="8">
        <v>805</v>
      </c>
      <c r="D592" s="1" t="s">
        <v>753</v>
      </c>
      <c r="E592"/>
      <c r="F592" s="188">
        <v>1</v>
      </c>
      <c r="G592" s="187" t="s">
        <v>529</v>
      </c>
      <c r="H592" s="181" t="s">
        <v>530</v>
      </c>
      <c r="I592" s="8">
        <f>C10</f>
        <v>150</v>
      </c>
      <c r="J592" s="2" t="s">
        <v>1341</v>
      </c>
      <c r="K592" s="8">
        <f>(F592*I592)</f>
        <v>150</v>
      </c>
      <c r="O592" s="181" t="s">
        <v>270</v>
      </c>
      <c r="R592" s="181" t="s">
        <v>940</v>
      </c>
      <c r="AG592" s="181" t="s">
        <v>2175</v>
      </c>
    </row>
    <row r="593" spans="1:33" hidden="1">
      <c r="A593" s="240">
        <f t="shared" si="33"/>
        <v>422</v>
      </c>
      <c r="B593" s="181" t="s">
        <v>1986</v>
      </c>
      <c r="C593" s="8">
        <f>204+53</f>
        <v>257</v>
      </c>
      <c r="D593" s="1" t="s">
        <v>753</v>
      </c>
      <c r="E593"/>
      <c r="F593" s="188">
        <v>1</v>
      </c>
      <c r="G593" s="187" t="s">
        <v>529</v>
      </c>
      <c r="H593" s="181" t="s">
        <v>792</v>
      </c>
      <c r="I593" s="8">
        <f>C12</f>
        <v>95</v>
      </c>
      <c r="J593" s="2" t="s">
        <v>1341</v>
      </c>
      <c r="K593" s="8">
        <f>(F593*I593)</f>
        <v>95</v>
      </c>
      <c r="N593" s="181" t="s">
        <v>419</v>
      </c>
      <c r="O593" s="181" t="s">
        <v>319</v>
      </c>
      <c r="Q593" s="181" t="s">
        <v>419</v>
      </c>
      <c r="R593" s="188">
        <v>2.1</v>
      </c>
      <c r="AG593" s="181" t="s">
        <v>2175</v>
      </c>
    </row>
    <row r="594" spans="1:33" hidden="1">
      <c r="A594" s="240">
        <f t="shared" si="33"/>
        <v>423</v>
      </c>
      <c r="B594" s="181" t="s">
        <v>2865</v>
      </c>
      <c r="C594" s="8">
        <v>53</v>
      </c>
      <c r="D594" s="1" t="s">
        <v>739</v>
      </c>
      <c r="E594"/>
      <c r="G594" s="187" t="s">
        <v>419</v>
      </c>
      <c r="H594" s="181" t="s">
        <v>58</v>
      </c>
      <c r="I594"/>
      <c r="J594" s="2" t="s">
        <v>419</v>
      </c>
      <c r="K594" s="8">
        <v>0.33</v>
      </c>
      <c r="R594" s="185" t="s">
        <v>1530</v>
      </c>
      <c r="AG594" s="181" t="s">
        <v>2175</v>
      </c>
    </row>
    <row r="595" spans="1:33" hidden="1">
      <c r="A595" s="240">
        <f t="shared" si="33"/>
        <v>424</v>
      </c>
      <c r="B595" s="181" t="s">
        <v>285</v>
      </c>
      <c r="C595" s="8">
        <v>1050</v>
      </c>
      <c r="D595" s="1" t="s">
        <v>739</v>
      </c>
      <c r="E595"/>
      <c r="H595" s="181" t="s">
        <v>894</v>
      </c>
      <c r="I595"/>
      <c r="J595" s="4"/>
      <c r="K595" s="5" t="s">
        <v>1530</v>
      </c>
      <c r="O595" s="181" t="s">
        <v>1694</v>
      </c>
      <c r="R595" s="188" t="e">
        <f>SUM(R586:R593)</f>
        <v>#REF!</v>
      </c>
      <c r="AG595" s="181" t="s">
        <v>2175</v>
      </c>
    </row>
    <row r="596" spans="1:33" hidden="1">
      <c r="A596" s="240">
        <f t="shared" si="33"/>
        <v>425</v>
      </c>
      <c r="B596" s="181" t="s">
        <v>377</v>
      </c>
      <c r="C596" s="8">
        <v>196</v>
      </c>
      <c r="D596" s="1" t="s">
        <v>739</v>
      </c>
      <c r="E596"/>
      <c r="H596" s="236" t="s">
        <v>378</v>
      </c>
      <c r="I596"/>
      <c r="J596" s="4"/>
      <c r="K596" s="8" t="e">
        <f>SUM(K590:K594)</f>
        <v>#REF!</v>
      </c>
      <c r="R596" s="185" t="s">
        <v>1530</v>
      </c>
      <c r="AG596" s="181" t="s">
        <v>2175</v>
      </c>
    </row>
    <row r="597" spans="1:33" hidden="1">
      <c r="A597" s="240">
        <f t="shared" si="33"/>
        <v>426</v>
      </c>
      <c r="B597" s="181" t="s">
        <v>379</v>
      </c>
      <c r="C597" s="8">
        <v>206.9</v>
      </c>
      <c r="D597" s="1" t="s">
        <v>739</v>
      </c>
      <c r="E597"/>
      <c r="I597"/>
      <c r="J597" s="4"/>
      <c r="K597" s="5" t="s">
        <v>1530</v>
      </c>
      <c r="N597" s="181" t="s">
        <v>2167</v>
      </c>
      <c r="O597" s="181" t="s">
        <v>380</v>
      </c>
      <c r="AG597" s="181" t="s">
        <v>2175</v>
      </c>
    </row>
    <row r="598" spans="1:33" hidden="1">
      <c r="A598" s="240">
        <f t="shared" si="33"/>
        <v>427</v>
      </c>
      <c r="B598" s="181" t="s">
        <v>381</v>
      </c>
      <c r="C598" s="8">
        <v>120</v>
      </c>
      <c r="D598" s="1" t="s">
        <v>1714</v>
      </c>
      <c r="E598"/>
      <c r="H598" s="236" t="s">
        <v>382</v>
      </c>
      <c r="I598"/>
      <c r="J598" s="4"/>
      <c r="K598" s="8" t="e">
        <f>K596/10</f>
        <v>#REF!</v>
      </c>
      <c r="O598" s="181" t="s">
        <v>383</v>
      </c>
      <c r="AG598" s="181" t="s">
        <v>2175</v>
      </c>
    </row>
    <row r="599" spans="1:33" hidden="1">
      <c r="A599" s="240">
        <f t="shared" si="33"/>
        <v>428</v>
      </c>
      <c r="B599" s="181" t="s">
        <v>384</v>
      </c>
      <c r="C599" s="8">
        <v>80</v>
      </c>
      <c r="D599" s="1" t="s">
        <v>1714</v>
      </c>
      <c r="E599"/>
      <c r="H599" s="181" t="s">
        <v>361</v>
      </c>
      <c r="I599"/>
      <c r="J599" s="4"/>
      <c r="K599" s="8" t="e">
        <f>(K598+C22*0.02)</f>
        <v>#REF!</v>
      </c>
      <c r="O599" s="185" t="s">
        <v>1530</v>
      </c>
      <c r="AG599" s="181" t="s">
        <v>2175</v>
      </c>
    </row>
    <row r="600" spans="1:33" hidden="1">
      <c r="A600" s="240">
        <f t="shared" si="33"/>
        <v>429</v>
      </c>
      <c r="B600" s="181" t="s">
        <v>385</v>
      </c>
      <c r="C600"/>
      <c r="D600" s="1" t="s">
        <v>1714</v>
      </c>
      <c r="E600"/>
      <c r="H600" s="181" t="s">
        <v>363</v>
      </c>
      <c r="I600"/>
      <c r="J600" s="4"/>
      <c r="K600" s="8" t="e">
        <f>(K599+C24*0.02)</f>
        <v>#REF!</v>
      </c>
      <c r="M600" s="188">
        <v>10.37</v>
      </c>
      <c r="N600" s="181" t="s">
        <v>836</v>
      </c>
      <c r="O600" s="181" t="s">
        <v>386</v>
      </c>
      <c r="P600" s="188">
        <f>(C61*2)</f>
        <v>50</v>
      </c>
      <c r="Q600" s="181" t="s">
        <v>836</v>
      </c>
      <c r="R600" s="188">
        <f t="shared" ref="R600:R608" si="34">(M600*P600)</f>
        <v>518.5</v>
      </c>
      <c r="AG600" s="181" t="s">
        <v>2175</v>
      </c>
    </row>
    <row r="601" spans="1:33" hidden="1">
      <c r="A601" s="240">
        <f t="shared" si="33"/>
        <v>430</v>
      </c>
      <c r="B601" s="181" t="s">
        <v>1984</v>
      </c>
      <c r="C601" s="8">
        <v>65</v>
      </c>
      <c r="D601" s="1" t="s">
        <v>835</v>
      </c>
      <c r="E601"/>
      <c r="H601" s="181" t="s">
        <v>2149</v>
      </c>
      <c r="I601"/>
      <c r="J601" s="4"/>
      <c r="K601" s="8" t="e">
        <f>(K600+C24*0.02)</f>
        <v>#REF!</v>
      </c>
      <c r="M601" s="188">
        <v>0.65</v>
      </c>
      <c r="N601" s="181" t="s">
        <v>836</v>
      </c>
      <c r="O601" s="181" t="s">
        <v>1985</v>
      </c>
      <c r="P601" s="188" t="e">
        <f>R60</f>
        <v>#REF!</v>
      </c>
      <c r="Q601" s="181" t="s">
        <v>836</v>
      </c>
      <c r="R601" s="188" t="e">
        <f t="shared" si="34"/>
        <v>#REF!</v>
      </c>
      <c r="AG601" s="181" t="s">
        <v>2175</v>
      </c>
    </row>
    <row r="602" spans="1:33" hidden="1">
      <c r="A602" s="240">
        <f t="shared" si="33"/>
        <v>431</v>
      </c>
      <c r="B602" s="181" t="s">
        <v>1725</v>
      </c>
      <c r="C602" s="8">
        <v>40</v>
      </c>
      <c r="D602" s="1" t="s">
        <v>835</v>
      </c>
      <c r="E602"/>
      <c r="H602" s="181" t="s">
        <v>355</v>
      </c>
      <c r="I602"/>
      <c r="J602" s="4"/>
      <c r="K602" s="8" t="e">
        <f>(K601+C24*0.02)</f>
        <v>#REF!</v>
      </c>
      <c r="M602" s="188">
        <v>1.1399999999999999</v>
      </c>
      <c r="N602" s="181" t="s">
        <v>836</v>
      </c>
      <c r="O602" s="181" t="s">
        <v>305</v>
      </c>
      <c r="P602" s="188" t="e">
        <f>K320</f>
        <v>#REF!</v>
      </c>
      <c r="Q602" s="181" t="s">
        <v>836</v>
      </c>
      <c r="R602" s="188" t="e">
        <f t="shared" si="34"/>
        <v>#REF!</v>
      </c>
      <c r="AG602" s="181" t="s">
        <v>2175</v>
      </c>
    </row>
    <row r="603" spans="1:33" hidden="1">
      <c r="A603" s="240">
        <f t="shared" si="33"/>
        <v>432</v>
      </c>
      <c r="B603" s="181" t="s">
        <v>307</v>
      </c>
      <c r="C603"/>
      <c r="D603" s="1" t="s">
        <v>835</v>
      </c>
      <c r="E603"/>
      <c r="H603" s="181" t="s">
        <v>1312</v>
      </c>
      <c r="I603"/>
      <c r="J603" s="4"/>
      <c r="K603" s="8" t="e">
        <f>(K602+C25*0.02)</f>
        <v>#REF!</v>
      </c>
      <c r="M603" s="188">
        <v>0.85</v>
      </c>
      <c r="N603" s="181" t="s">
        <v>836</v>
      </c>
      <c r="O603" s="181" t="s">
        <v>1554</v>
      </c>
      <c r="P603" s="188" t="e">
        <f>K320-K311/10</f>
        <v>#REF!</v>
      </c>
      <c r="Q603" s="181" t="s">
        <v>836</v>
      </c>
      <c r="R603" s="188" t="e">
        <f t="shared" si="34"/>
        <v>#REF!</v>
      </c>
      <c r="AG603" s="181" t="s">
        <v>2175</v>
      </c>
    </row>
    <row r="604" spans="1:33" hidden="1">
      <c r="A604" s="240">
        <f t="shared" si="33"/>
        <v>433</v>
      </c>
      <c r="B604" s="181" t="s">
        <v>1555</v>
      </c>
      <c r="C604" s="8">
        <v>45</v>
      </c>
      <c r="D604" s="1" t="s">
        <v>835</v>
      </c>
      <c r="E604"/>
      <c r="F604" s="236" t="s">
        <v>1556</v>
      </c>
      <c r="G604" s="187" t="s">
        <v>2167</v>
      </c>
      <c r="H604" s="181" t="s">
        <v>849</v>
      </c>
      <c r="I604"/>
      <c r="J604" s="4"/>
      <c r="K604"/>
      <c r="M604" s="188">
        <v>0.98</v>
      </c>
      <c r="N604" s="181" t="s">
        <v>836</v>
      </c>
      <c r="O604" s="181" t="s">
        <v>2136</v>
      </c>
      <c r="P604" s="188" t="e">
        <f>(C73)</f>
        <v>#REF!</v>
      </c>
      <c r="Q604" s="181" t="s">
        <v>836</v>
      </c>
      <c r="R604" s="188" t="e">
        <f t="shared" si="34"/>
        <v>#REF!</v>
      </c>
      <c r="AG604" s="181" t="s">
        <v>2175</v>
      </c>
    </row>
    <row r="605" spans="1:33" hidden="1">
      <c r="A605" s="240">
        <f t="shared" si="33"/>
        <v>434</v>
      </c>
      <c r="B605" s="181" t="s">
        <v>1054</v>
      </c>
      <c r="C605" s="8">
        <v>36.520000000000003</v>
      </c>
      <c r="D605" s="1" t="s">
        <v>835</v>
      </c>
      <c r="E605"/>
      <c r="H605" s="181" t="s">
        <v>1055</v>
      </c>
      <c r="I605"/>
      <c r="J605" s="4"/>
      <c r="K605"/>
      <c r="M605" s="188">
        <v>2.68</v>
      </c>
      <c r="N605" s="181" t="s">
        <v>836</v>
      </c>
      <c r="O605" s="181" t="s">
        <v>1002</v>
      </c>
      <c r="P605" s="188" t="e">
        <f>(C79)</f>
        <v>#REF!</v>
      </c>
      <c r="Q605" s="181" t="s">
        <v>836</v>
      </c>
      <c r="R605" s="188" t="e">
        <f t="shared" si="34"/>
        <v>#REF!</v>
      </c>
      <c r="AG605" s="181" t="s">
        <v>2175</v>
      </c>
    </row>
    <row r="606" spans="1:33" hidden="1">
      <c r="A606" s="240">
        <f t="shared" si="33"/>
        <v>435</v>
      </c>
      <c r="B606" s="181" t="s">
        <v>1557</v>
      </c>
      <c r="C606"/>
      <c r="D606" s="1" t="s">
        <v>835</v>
      </c>
      <c r="E606"/>
      <c r="H606" s="181" t="s">
        <v>1558</v>
      </c>
      <c r="I606"/>
      <c r="J606" s="4"/>
      <c r="K606"/>
      <c r="M606" s="188">
        <v>7.24</v>
      </c>
      <c r="N606" s="181" t="s">
        <v>578</v>
      </c>
      <c r="O606" s="181" t="s">
        <v>1559</v>
      </c>
      <c r="P606" s="188" t="e">
        <f>(K1332)</f>
        <v>#REF!</v>
      </c>
      <c r="Q606" s="181" t="s">
        <v>578</v>
      </c>
      <c r="R606" s="188" t="e">
        <f t="shared" si="34"/>
        <v>#REF!</v>
      </c>
      <c r="AG606" s="181" t="s">
        <v>2175</v>
      </c>
    </row>
    <row r="607" spans="1:33" hidden="1">
      <c r="A607" s="240">
        <f t="shared" si="33"/>
        <v>436</v>
      </c>
      <c r="B607" s="181" t="s">
        <v>1418</v>
      </c>
      <c r="C607" s="8">
        <v>73.48</v>
      </c>
      <c r="D607" s="8">
        <v>93.72</v>
      </c>
      <c r="E607"/>
      <c r="H607" s="185" t="s">
        <v>1530</v>
      </c>
      <c r="I607"/>
      <c r="J607" s="4"/>
      <c r="K607"/>
      <c r="M607" s="188">
        <v>1</v>
      </c>
      <c r="N607" s="181" t="s">
        <v>835</v>
      </c>
      <c r="O607" s="181" t="s">
        <v>1419</v>
      </c>
      <c r="P607" s="188">
        <f>(C202)</f>
        <v>75</v>
      </c>
      <c r="Q607" s="181" t="s">
        <v>835</v>
      </c>
      <c r="R607" s="188">
        <f t="shared" si="34"/>
        <v>75</v>
      </c>
      <c r="AG607" s="181" t="s">
        <v>2175</v>
      </c>
    </row>
    <row r="608" spans="1:33" hidden="1">
      <c r="A608" s="240">
        <f t="shared" si="33"/>
        <v>437</v>
      </c>
      <c r="B608" s="181" t="s">
        <v>1420</v>
      </c>
      <c r="C608" s="8">
        <v>43.12</v>
      </c>
      <c r="D608" s="1" t="s">
        <v>835</v>
      </c>
      <c r="E608"/>
      <c r="F608" s="188">
        <v>0.01</v>
      </c>
      <c r="G608" s="187" t="s">
        <v>836</v>
      </c>
      <c r="H608" s="181" t="s">
        <v>1421</v>
      </c>
      <c r="I608" s="8" t="e">
        <f>(K279)</f>
        <v>#REF!</v>
      </c>
      <c r="J608" s="2" t="s">
        <v>836</v>
      </c>
      <c r="K608" s="8" t="e">
        <f>(F608*I608)</f>
        <v>#REF!</v>
      </c>
      <c r="M608" s="245">
        <v>0.13600000000000001</v>
      </c>
      <c r="N608" s="181" t="s">
        <v>836</v>
      </c>
      <c r="O608" s="181" t="s">
        <v>947</v>
      </c>
      <c r="P608" s="188" t="e">
        <f>(K614)</f>
        <v>#REF!</v>
      </c>
      <c r="Q608" s="181" t="s">
        <v>836</v>
      </c>
      <c r="R608" s="188" t="e">
        <f t="shared" si="34"/>
        <v>#REF!</v>
      </c>
      <c r="AG608" s="181" t="s">
        <v>2175</v>
      </c>
    </row>
    <row r="609" spans="1:33" hidden="1">
      <c r="A609" s="240">
        <f t="shared" si="33"/>
        <v>438</v>
      </c>
      <c r="B609" s="181" t="s">
        <v>948</v>
      </c>
      <c r="C609"/>
      <c r="D609" s="1" t="s">
        <v>835</v>
      </c>
      <c r="E609"/>
      <c r="F609" s="188">
        <v>0.01</v>
      </c>
      <c r="G609" s="187" t="s">
        <v>836</v>
      </c>
      <c r="H609" s="181" t="s">
        <v>949</v>
      </c>
      <c r="I609"/>
      <c r="J609" s="2" t="s">
        <v>419</v>
      </c>
      <c r="K609" s="8">
        <v>1.1499999999999999</v>
      </c>
      <c r="O609" s="181" t="s">
        <v>126</v>
      </c>
      <c r="AG609" s="181" t="s">
        <v>2175</v>
      </c>
    </row>
    <row r="610" spans="1:33" hidden="1">
      <c r="A610" s="240">
        <f t="shared" si="33"/>
        <v>439</v>
      </c>
      <c r="B610" s="181" t="s">
        <v>127</v>
      </c>
      <c r="C610" s="8">
        <v>121.88</v>
      </c>
      <c r="D610" s="1" t="s">
        <v>835</v>
      </c>
      <c r="E610"/>
      <c r="H610" s="181" t="s">
        <v>128</v>
      </c>
      <c r="I610"/>
      <c r="J610" s="4"/>
      <c r="K610"/>
      <c r="N610" s="181" t="s">
        <v>419</v>
      </c>
      <c r="O610" s="181" t="s">
        <v>319</v>
      </c>
      <c r="Q610" s="181" t="s">
        <v>419</v>
      </c>
      <c r="R610" s="188">
        <v>1.5</v>
      </c>
      <c r="AG610" s="181" t="s">
        <v>2175</v>
      </c>
    </row>
    <row r="611" spans="1:33" hidden="1">
      <c r="A611" s="240">
        <f t="shared" si="33"/>
        <v>440</v>
      </c>
      <c r="B611" s="181" t="s">
        <v>1427</v>
      </c>
      <c r="C611" s="8">
        <v>66</v>
      </c>
      <c r="D611" s="1" t="s">
        <v>835</v>
      </c>
      <c r="E611"/>
      <c r="I611"/>
      <c r="J611" s="4"/>
      <c r="K611" s="5" t="s">
        <v>1530</v>
      </c>
      <c r="R611" s="185" t="s">
        <v>1530</v>
      </c>
      <c r="AG611" s="181" t="s">
        <v>2175</v>
      </c>
    </row>
    <row r="612" spans="1:33" hidden="1">
      <c r="A612" s="240">
        <f t="shared" si="33"/>
        <v>441</v>
      </c>
      <c r="B612" s="181" t="s">
        <v>1428</v>
      </c>
      <c r="C612"/>
      <c r="D612" s="1" t="s">
        <v>835</v>
      </c>
      <c r="E612"/>
      <c r="H612" s="181" t="s">
        <v>1429</v>
      </c>
      <c r="I612"/>
      <c r="J612" s="4"/>
      <c r="K612" s="8" t="e">
        <f>SUM(K608:K610)</f>
        <v>#REF!</v>
      </c>
      <c r="O612" s="181" t="s">
        <v>1694</v>
      </c>
      <c r="R612" s="188" t="e">
        <f>SUM(R600:R610)</f>
        <v>#REF!</v>
      </c>
      <c r="AG612" s="181" t="s">
        <v>300</v>
      </c>
    </row>
    <row r="613" spans="1:33" hidden="1">
      <c r="A613" s="240">
        <f t="shared" si="33"/>
        <v>442</v>
      </c>
      <c r="B613" s="181" t="s">
        <v>403</v>
      </c>
      <c r="C613" s="8">
        <v>149.16</v>
      </c>
      <c r="D613" s="1" t="s">
        <v>835</v>
      </c>
      <c r="E613"/>
      <c r="I613"/>
      <c r="J613" s="4"/>
      <c r="K613" s="5" t="s">
        <v>1530</v>
      </c>
      <c r="R613" s="185" t="s">
        <v>1530</v>
      </c>
    </row>
    <row r="614" spans="1:33" hidden="1">
      <c r="A614" s="240">
        <f t="shared" si="33"/>
        <v>443</v>
      </c>
      <c r="B614" s="181" t="s">
        <v>404</v>
      </c>
      <c r="C614" s="8">
        <v>84.92</v>
      </c>
      <c r="D614" s="1" t="s">
        <v>835</v>
      </c>
      <c r="E614"/>
      <c r="H614" s="181" t="s">
        <v>743</v>
      </c>
      <c r="I614"/>
      <c r="J614" s="4"/>
      <c r="K614" s="8" t="e">
        <f>ROUND(K612*100,0)</f>
        <v>#REF!</v>
      </c>
      <c r="N614" s="181" t="s">
        <v>2167</v>
      </c>
      <c r="O614" s="181" t="s">
        <v>405</v>
      </c>
    </row>
    <row r="615" spans="1:33" hidden="1">
      <c r="C615"/>
      <c r="D615"/>
      <c r="E615"/>
      <c r="F615" s="181" t="s">
        <v>940</v>
      </c>
      <c r="I615"/>
      <c r="J615" s="4"/>
      <c r="K615"/>
    </row>
    <row r="616" spans="1:33" hidden="1">
      <c r="A616" s="240">
        <f>(A614+1)</f>
        <v>444</v>
      </c>
      <c r="B616" s="181" t="s">
        <v>1059</v>
      </c>
      <c r="C616"/>
      <c r="D616" s="1" t="s">
        <v>835</v>
      </c>
      <c r="E616"/>
      <c r="I616"/>
      <c r="J616" s="4"/>
      <c r="K616" s="5" t="s">
        <v>1980</v>
      </c>
      <c r="O616" s="181" t="s">
        <v>1060</v>
      </c>
      <c r="AG616" s="181" t="s">
        <v>2175</v>
      </c>
    </row>
    <row r="617" spans="1:33" hidden="1">
      <c r="A617" s="240">
        <f t="shared" ref="A617:A648" si="35">(A616+1)</f>
        <v>445</v>
      </c>
      <c r="B617" s="181" t="s">
        <v>955</v>
      </c>
      <c r="C617" s="8">
        <v>195.36</v>
      </c>
      <c r="D617" s="1" t="s">
        <v>835</v>
      </c>
      <c r="E617"/>
      <c r="G617" s="187" t="s">
        <v>643</v>
      </c>
      <c r="H617" s="181" t="s">
        <v>956</v>
      </c>
      <c r="I617"/>
      <c r="J617" s="4"/>
      <c r="K617"/>
      <c r="O617" s="185" t="s">
        <v>1530</v>
      </c>
      <c r="AG617" s="181" t="s">
        <v>2175</v>
      </c>
    </row>
    <row r="618" spans="1:33" hidden="1">
      <c r="A618" s="240">
        <f t="shared" si="35"/>
        <v>446</v>
      </c>
      <c r="B618" s="181" t="s">
        <v>1598</v>
      </c>
      <c r="C618" s="8">
        <v>137.28</v>
      </c>
      <c r="D618" s="1" t="s">
        <v>835</v>
      </c>
      <c r="E618"/>
      <c r="H618" s="181" t="s">
        <v>1599</v>
      </c>
      <c r="I618"/>
      <c r="J618" s="4"/>
      <c r="K618"/>
      <c r="M618" s="188">
        <v>3</v>
      </c>
      <c r="N618" s="181" t="s">
        <v>836</v>
      </c>
      <c r="O618" s="181" t="s">
        <v>1600</v>
      </c>
      <c r="P618" s="188">
        <f>(C61*2)</f>
        <v>50</v>
      </c>
      <c r="Q618" s="181" t="s">
        <v>836</v>
      </c>
      <c r="R618" s="188">
        <f>(M618*P618)</f>
        <v>150</v>
      </c>
      <c r="AG618" s="181" t="s">
        <v>2175</v>
      </c>
    </row>
    <row r="619" spans="1:33" hidden="1">
      <c r="A619" s="240">
        <f t="shared" si="35"/>
        <v>447</v>
      </c>
      <c r="B619" s="181" t="s">
        <v>591</v>
      </c>
      <c r="C619"/>
      <c r="D619" s="1" t="s">
        <v>835</v>
      </c>
      <c r="E619"/>
      <c r="H619" s="185" t="s">
        <v>1530</v>
      </c>
      <c r="I619"/>
      <c r="J619" s="4"/>
      <c r="K619"/>
      <c r="M619" s="188">
        <v>2.4</v>
      </c>
      <c r="N619" s="181" t="s">
        <v>836</v>
      </c>
      <c r="O619" s="181" t="s">
        <v>1579</v>
      </c>
      <c r="P619" s="188" t="e">
        <f>(C81)</f>
        <v>#REF!</v>
      </c>
      <c r="Q619" s="181" t="s">
        <v>836</v>
      </c>
      <c r="R619" s="188" t="e">
        <f>(M619*P619)</f>
        <v>#REF!</v>
      </c>
      <c r="AG619" s="181" t="s">
        <v>2175</v>
      </c>
    </row>
    <row r="620" spans="1:33" hidden="1">
      <c r="A620" s="240">
        <f t="shared" si="35"/>
        <v>448</v>
      </c>
      <c r="B620" s="181" t="s">
        <v>1379</v>
      </c>
      <c r="C620" s="8">
        <v>97.68</v>
      </c>
      <c r="D620" s="1" t="s">
        <v>835</v>
      </c>
      <c r="E620"/>
      <c r="F620" s="245">
        <v>1.4E-2</v>
      </c>
      <c r="G620" s="187" t="s">
        <v>836</v>
      </c>
      <c r="H620" s="181" t="s">
        <v>1275</v>
      </c>
      <c r="I620" s="8" t="e">
        <f>(K614)</f>
        <v>#REF!</v>
      </c>
      <c r="J620" s="2" t="s">
        <v>836</v>
      </c>
      <c r="K620" s="8" t="e">
        <f>(F620*I620)</f>
        <v>#REF!</v>
      </c>
      <c r="M620" s="188">
        <v>5</v>
      </c>
      <c r="N620" s="181" t="s">
        <v>835</v>
      </c>
      <c r="O620" s="181" t="s">
        <v>576</v>
      </c>
      <c r="P620" s="188">
        <f>(C203)</f>
        <v>40</v>
      </c>
      <c r="Q620" s="181" t="s">
        <v>835</v>
      </c>
      <c r="R620" s="188">
        <f>(M620*P620)</f>
        <v>200</v>
      </c>
      <c r="AG620" s="181" t="s">
        <v>2175</v>
      </c>
    </row>
    <row r="621" spans="1:33" hidden="1">
      <c r="A621" s="240">
        <f t="shared" si="35"/>
        <v>449</v>
      </c>
      <c r="B621" s="181" t="s">
        <v>1716</v>
      </c>
      <c r="C621" s="8">
        <v>54.12</v>
      </c>
      <c r="D621" s="1" t="s">
        <v>835</v>
      </c>
      <c r="E621"/>
      <c r="F621" s="245"/>
      <c r="H621" s="181" t="s">
        <v>1717</v>
      </c>
      <c r="I621"/>
      <c r="J621" s="4"/>
      <c r="K621" s="1" t="s">
        <v>940</v>
      </c>
      <c r="O621" s="181" t="s">
        <v>420</v>
      </c>
      <c r="Q621" s="181" t="s">
        <v>419</v>
      </c>
      <c r="R621" s="188">
        <v>0.08</v>
      </c>
      <c r="AG621" s="181" t="s">
        <v>2175</v>
      </c>
    </row>
    <row r="622" spans="1:33" hidden="1">
      <c r="A622" s="240">
        <f t="shared" si="35"/>
        <v>450</v>
      </c>
      <c r="B622" s="181" t="s">
        <v>1718</v>
      </c>
      <c r="C622"/>
      <c r="D622" s="1" t="s">
        <v>835</v>
      </c>
      <c r="E622"/>
      <c r="F622" s="188">
        <v>0.5</v>
      </c>
      <c r="G622" s="187" t="s">
        <v>739</v>
      </c>
      <c r="H622" s="181" t="s">
        <v>1938</v>
      </c>
      <c r="I622" s="8">
        <f>(C10)</f>
        <v>150</v>
      </c>
      <c r="J622" s="2" t="s">
        <v>739</v>
      </c>
      <c r="K622" s="8">
        <f>(F622*I622)</f>
        <v>75</v>
      </c>
      <c r="R622" s="185" t="s">
        <v>1530</v>
      </c>
      <c r="S622" s="181" t="s">
        <v>940</v>
      </c>
      <c r="AG622" s="181" t="s">
        <v>2175</v>
      </c>
    </row>
    <row r="623" spans="1:33" hidden="1">
      <c r="A623" s="240">
        <f t="shared" si="35"/>
        <v>451</v>
      </c>
      <c r="B623" s="181" t="s">
        <v>1580</v>
      </c>
      <c r="C623" s="8">
        <v>110</v>
      </c>
      <c r="D623" s="1" t="s">
        <v>835</v>
      </c>
      <c r="E623"/>
      <c r="F623" s="188">
        <v>0.75</v>
      </c>
      <c r="G623" s="187" t="s">
        <v>739</v>
      </c>
      <c r="H623" s="181" t="s">
        <v>1836</v>
      </c>
      <c r="I623" s="8">
        <f>(C12)</f>
        <v>95</v>
      </c>
      <c r="J623" s="2" t="s">
        <v>739</v>
      </c>
      <c r="K623" s="8">
        <f>(F623*I623)</f>
        <v>71.25</v>
      </c>
      <c r="O623" s="181" t="s">
        <v>1694</v>
      </c>
      <c r="R623" s="188" t="e">
        <f>SUM(R618:R621)</f>
        <v>#REF!</v>
      </c>
      <c r="AG623" s="181" t="s">
        <v>2175</v>
      </c>
    </row>
    <row r="624" spans="1:33" hidden="1">
      <c r="A624" s="240">
        <f t="shared" si="35"/>
        <v>452</v>
      </c>
      <c r="B624" s="181" t="s">
        <v>1581</v>
      </c>
      <c r="C624" s="8">
        <v>70</v>
      </c>
      <c r="D624" s="1" t="s">
        <v>835</v>
      </c>
      <c r="E624"/>
      <c r="G624" s="187" t="s">
        <v>419</v>
      </c>
      <c r="H624" s="181" t="s">
        <v>420</v>
      </c>
      <c r="I624"/>
      <c r="J624" s="2" t="s">
        <v>419</v>
      </c>
      <c r="K624" s="8">
        <v>0</v>
      </c>
      <c r="R624" s="185" t="s">
        <v>1530</v>
      </c>
      <c r="AG624" s="181" t="s">
        <v>2175</v>
      </c>
    </row>
    <row r="625" spans="1:33" hidden="1">
      <c r="A625" s="240">
        <f t="shared" si="35"/>
        <v>453</v>
      </c>
      <c r="B625" s="181" t="s">
        <v>1582</v>
      </c>
      <c r="C625"/>
      <c r="D625" s="1" t="s">
        <v>835</v>
      </c>
      <c r="E625"/>
      <c r="I625"/>
      <c r="J625" s="4"/>
      <c r="K625" s="5" t="s">
        <v>1530</v>
      </c>
      <c r="AG625" s="181" t="s">
        <v>2175</v>
      </c>
    </row>
    <row r="626" spans="1:33" hidden="1">
      <c r="A626" s="240">
        <f t="shared" si="35"/>
        <v>454</v>
      </c>
      <c r="B626" s="181" t="s">
        <v>99</v>
      </c>
      <c r="C626" s="8">
        <v>12</v>
      </c>
      <c r="D626" s="1" t="s">
        <v>835</v>
      </c>
      <c r="E626"/>
      <c r="H626" s="181" t="s">
        <v>100</v>
      </c>
      <c r="I626"/>
      <c r="J626" s="4"/>
      <c r="K626" s="8" t="e">
        <f>SUM(K620:K624)</f>
        <v>#REF!</v>
      </c>
      <c r="N626" s="181" t="s">
        <v>2167</v>
      </c>
      <c r="O626" s="181" t="s">
        <v>60</v>
      </c>
      <c r="AG626" s="181" t="s">
        <v>2175</v>
      </c>
    </row>
    <row r="627" spans="1:33" hidden="1">
      <c r="A627" s="240">
        <f t="shared" si="35"/>
        <v>455</v>
      </c>
      <c r="B627" s="181" t="s">
        <v>1892</v>
      </c>
      <c r="C627" s="8">
        <v>7.5</v>
      </c>
      <c r="D627" s="1" t="s">
        <v>835</v>
      </c>
      <c r="E627"/>
      <c r="I627"/>
      <c r="J627" s="4"/>
      <c r="K627" s="5" t="s">
        <v>1530</v>
      </c>
      <c r="O627" s="181" t="s">
        <v>1893</v>
      </c>
      <c r="AG627" s="181" t="s">
        <v>2175</v>
      </c>
    </row>
    <row r="628" spans="1:33" hidden="1">
      <c r="A628" s="240">
        <f t="shared" si="35"/>
        <v>456</v>
      </c>
      <c r="B628" s="181" t="s">
        <v>1894</v>
      </c>
      <c r="C628"/>
      <c r="D628" s="1" t="s">
        <v>835</v>
      </c>
      <c r="E628"/>
      <c r="H628" s="181" t="s">
        <v>521</v>
      </c>
      <c r="I628"/>
      <c r="J628" s="4"/>
      <c r="K628" s="8" t="e">
        <f>(K626/0.372)</f>
        <v>#REF!</v>
      </c>
      <c r="O628" s="181" t="s">
        <v>1895</v>
      </c>
      <c r="AG628" s="181" t="s">
        <v>2175</v>
      </c>
    </row>
    <row r="629" spans="1:33" hidden="1">
      <c r="A629" s="240">
        <f t="shared" si="35"/>
        <v>457</v>
      </c>
      <c r="B629" s="181" t="s">
        <v>1896</v>
      </c>
      <c r="C629" s="8">
        <v>155.32</v>
      </c>
      <c r="D629" s="1" t="s">
        <v>835</v>
      </c>
      <c r="E629"/>
      <c r="I629"/>
      <c r="J629" s="4"/>
      <c r="K629" s="5" t="s">
        <v>1980</v>
      </c>
      <c r="O629" s="185" t="s">
        <v>1530</v>
      </c>
      <c r="AG629" s="181" t="s">
        <v>2175</v>
      </c>
    </row>
    <row r="630" spans="1:33" hidden="1">
      <c r="A630" s="240">
        <f t="shared" si="35"/>
        <v>458</v>
      </c>
      <c r="B630" s="181" t="s">
        <v>1710</v>
      </c>
      <c r="C630" s="8">
        <v>91.08</v>
      </c>
      <c r="D630" s="1" t="s">
        <v>835</v>
      </c>
      <c r="E630"/>
      <c r="H630" s="181" t="s">
        <v>361</v>
      </c>
      <c r="I630"/>
      <c r="J630" s="4"/>
      <c r="K630" s="8" t="e">
        <f>(K628+C22*0.014/0.372)</f>
        <v>#REF!</v>
      </c>
      <c r="M630" s="188">
        <v>9.5</v>
      </c>
      <c r="N630" s="181" t="s">
        <v>836</v>
      </c>
      <c r="O630" s="181" t="s">
        <v>1600</v>
      </c>
      <c r="P630" s="188">
        <f>(C61*2)</f>
        <v>50</v>
      </c>
      <c r="Q630" s="181" t="s">
        <v>836</v>
      </c>
      <c r="R630" s="188">
        <f t="shared" ref="R630:R638" si="36">(M630*P630)</f>
        <v>475</v>
      </c>
      <c r="AG630" s="181" t="s">
        <v>2175</v>
      </c>
    </row>
    <row r="631" spans="1:33" hidden="1">
      <c r="A631" s="240">
        <f t="shared" si="35"/>
        <v>459</v>
      </c>
      <c r="B631" s="181" t="s">
        <v>2866</v>
      </c>
      <c r="C631" s="8">
        <v>30</v>
      </c>
      <c r="D631" s="1" t="s">
        <v>1591</v>
      </c>
      <c r="E631"/>
      <c r="H631" s="181" t="s">
        <v>363</v>
      </c>
      <c r="I631"/>
      <c r="J631" s="4"/>
      <c r="K631" s="8" t="e">
        <f>(K630+C23*0.014/0.372)</f>
        <v>#REF!</v>
      </c>
      <c r="M631" s="188">
        <v>0.47</v>
      </c>
      <c r="N631" s="181" t="s">
        <v>836</v>
      </c>
      <c r="O631" s="181" t="s">
        <v>321</v>
      </c>
      <c r="P631" s="188" t="e">
        <f>(R74)</f>
        <v>#REF!</v>
      </c>
      <c r="Q631" s="181" t="s">
        <v>836</v>
      </c>
      <c r="R631" s="188" t="e">
        <f t="shared" si="36"/>
        <v>#REF!</v>
      </c>
      <c r="AG631" s="181" t="s">
        <v>2175</v>
      </c>
    </row>
    <row r="632" spans="1:33" hidden="1">
      <c r="A632" s="240">
        <f t="shared" si="35"/>
        <v>460</v>
      </c>
      <c r="B632" s="181" t="s">
        <v>1777</v>
      </c>
      <c r="C632" s="8">
        <v>0.3</v>
      </c>
      <c r="D632" s="1" t="s">
        <v>835</v>
      </c>
      <c r="E632"/>
      <c r="H632" s="181" t="s">
        <v>2149</v>
      </c>
      <c r="I632"/>
      <c r="J632" s="4"/>
      <c r="K632" s="8" t="e">
        <f>(K631+C24*0.014/0.372)</f>
        <v>#REF!</v>
      </c>
      <c r="M632" s="188">
        <v>1.62</v>
      </c>
      <c r="N632" s="181" t="s">
        <v>836</v>
      </c>
      <c r="O632" s="181" t="s">
        <v>1907</v>
      </c>
      <c r="P632" s="188" t="e">
        <f>(R89)</f>
        <v>#REF!</v>
      </c>
      <c r="Q632" s="181" t="s">
        <v>836</v>
      </c>
      <c r="R632" s="188" t="e">
        <f t="shared" si="36"/>
        <v>#REF!</v>
      </c>
      <c r="AG632" s="181" t="s">
        <v>2175</v>
      </c>
    </row>
    <row r="633" spans="1:33" hidden="1">
      <c r="A633" s="240">
        <f t="shared" si="35"/>
        <v>461</v>
      </c>
      <c r="B633" s="181" t="s">
        <v>2867</v>
      </c>
      <c r="C633" s="8">
        <v>99</v>
      </c>
      <c r="D633" s="1" t="s">
        <v>578</v>
      </c>
      <c r="E633"/>
      <c r="H633" s="181" t="s">
        <v>355</v>
      </c>
      <c r="I633"/>
      <c r="J633" s="4"/>
      <c r="K633" s="8" t="e">
        <f>(K632+C24*0.014/0.372)</f>
        <v>#REF!</v>
      </c>
      <c r="M633" s="188">
        <v>15.22</v>
      </c>
      <c r="N633" s="181" t="s">
        <v>578</v>
      </c>
      <c r="O633" s="181" t="s">
        <v>2054</v>
      </c>
      <c r="P633" s="188" t="e">
        <f>(R303)</f>
        <v>#REF!</v>
      </c>
      <c r="Q633" s="181" t="s">
        <v>578</v>
      </c>
      <c r="R633" s="188" t="e">
        <f t="shared" si="36"/>
        <v>#REF!</v>
      </c>
      <c r="AG633" s="181" t="s">
        <v>2175</v>
      </c>
    </row>
    <row r="634" spans="1:33" hidden="1">
      <c r="A634" s="240">
        <f t="shared" si="35"/>
        <v>462</v>
      </c>
      <c r="B634" s="181" t="s">
        <v>1947</v>
      </c>
      <c r="C634" s="8">
        <v>97.31</v>
      </c>
      <c r="D634" s="1" t="s">
        <v>578</v>
      </c>
      <c r="E634"/>
      <c r="H634" s="181" t="s">
        <v>1312</v>
      </c>
      <c r="I634"/>
      <c r="J634" s="4"/>
      <c r="K634" s="8" t="e">
        <f>(K633+C25*0.014/0.372)</f>
        <v>#REF!</v>
      </c>
      <c r="M634" s="188">
        <v>0.18</v>
      </c>
      <c r="N634" s="181" t="s">
        <v>836</v>
      </c>
      <c r="O634" s="181" t="s">
        <v>1281</v>
      </c>
      <c r="P634" s="188" t="e">
        <f>(K279)</f>
        <v>#REF!</v>
      </c>
      <c r="Q634" s="181" t="s">
        <v>836</v>
      </c>
      <c r="R634" s="188" t="e">
        <f t="shared" si="36"/>
        <v>#REF!</v>
      </c>
      <c r="AG634" s="181" t="s">
        <v>2175</v>
      </c>
    </row>
    <row r="635" spans="1:33" hidden="1">
      <c r="A635" s="240">
        <f t="shared" si="35"/>
        <v>463</v>
      </c>
      <c r="B635" s="181" t="s">
        <v>2868</v>
      </c>
      <c r="C635" s="8">
        <v>105.28</v>
      </c>
      <c r="D635" s="1" t="s">
        <v>1113</v>
      </c>
      <c r="E635"/>
      <c r="F635" s="236" t="s">
        <v>1282</v>
      </c>
      <c r="H635" s="181" t="s">
        <v>729</v>
      </c>
      <c r="I635"/>
      <c r="J635" s="4"/>
      <c r="K635"/>
      <c r="M635" s="188">
        <v>0.36</v>
      </c>
      <c r="N635" s="181" t="s">
        <v>578</v>
      </c>
      <c r="O635" s="181" t="s">
        <v>730</v>
      </c>
      <c r="P635" s="188" t="e">
        <f>(K466)</f>
        <v>#REF!</v>
      </c>
      <c r="Q635" s="181" t="s">
        <v>578</v>
      </c>
      <c r="R635" s="188" t="e">
        <f t="shared" si="36"/>
        <v>#REF!</v>
      </c>
      <c r="AG635" s="181" t="s">
        <v>2175</v>
      </c>
    </row>
    <row r="636" spans="1:33" hidden="1">
      <c r="A636" s="240">
        <f t="shared" si="35"/>
        <v>464</v>
      </c>
      <c r="B636" s="181" t="s">
        <v>2869</v>
      </c>
      <c r="C636" s="8">
        <v>106.75</v>
      </c>
      <c r="D636" s="1" t="s">
        <v>1113</v>
      </c>
      <c r="E636"/>
      <c r="H636" s="181" t="s">
        <v>1352</v>
      </c>
      <c r="I636"/>
      <c r="J636" s="4"/>
      <c r="K636"/>
      <c r="M636" s="188">
        <v>1</v>
      </c>
      <c r="N636" s="181" t="s">
        <v>835</v>
      </c>
      <c r="O636" s="181" t="s">
        <v>1125</v>
      </c>
      <c r="P636" s="188">
        <f>(C202)</f>
        <v>75</v>
      </c>
      <c r="Q636" s="181" t="s">
        <v>835</v>
      </c>
      <c r="R636" s="188">
        <f t="shared" si="36"/>
        <v>75</v>
      </c>
      <c r="AG636" s="181" t="s">
        <v>2175</v>
      </c>
    </row>
    <row r="637" spans="1:33" hidden="1">
      <c r="A637" s="240">
        <f t="shared" si="35"/>
        <v>465</v>
      </c>
      <c r="B637" s="181" t="s">
        <v>1126</v>
      </c>
      <c r="C637" s="8">
        <v>1</v>
      </c>
      <c r="D637" s="1" t="s">
        <v>835</v>
      </c>
      <c r="E637" t="s">
        <v>146</v>
      </c>
      <c r="H637" s="181" t="s">
        <v>313</v>
      </c>
      <c r="I637"/>
      <c r="J637" s="4"/>
      <c r="K637"/>
      <c r="M637" s="188">
        <v>1.8</v>
      </c>
      <c r="N637" s="181" t="s">
        <v>314</v>
      </c>
      <c r="O637" s="181" t="s">
        <v>315</v>
      </c>
      <c r="P637" s="188">
        <f>(C324)</f>
        <v>14.91</v>
      </c>
      <c r="Q637" s="181" t="s">
        <v>314</v>
      </c>
      <c r="R637" s="188">
        <f t="shared" si="36"/>
        <v>26.84</v>
      </c>
      <c r="AG637" s="181" t="s">
        <v>2175</v>
      </c>
    </row>
    <row r="638" spans="1:33" hidden="1">
      <c r="A638" s="240">
        <f t="shared" si="35"/>
        <v>466</v>
      </c>
      <c r="B638" s="181" t="s">
        <v>2870</v>
      </c>
      <c r="C638" s="8">
        <v>37</v>
      </c>
      <c r="D638" s="1" t="s">
        <v>1591</v>
      </c>
      <c r="E638"/>
      <c r="H638" s="181" t="s">
        <v>1446</v>
      </c>
      <c r="I638"/>
      <c r="J638" s="4"/>
      <c r="K638"/>
      <c r="M638" s="188">
        <v>1</v>
      </c>
      <c r="N638" s="181" t="s">
        <v>835</v>
      </c>
      <c r="O638" s="181" t="s">
        <v>1846</v>
      </c>
      <c r="P638" s="188">
        <f>(C370)</f>
        <v>13.29</v>
      </c>
      <c r="Q638" s="181" t="s">
        <v>835</v>
      </c>
      <c r="R638" s="188">
        <f t="shared" si="36"/>
        <v>13.29</v>
      </c>
      <c r="AG638" s="181" t="s">
        <v>2175</v>
      </c>
    </row>
    <row r="639" spans="1:33" hidden="1">
      <c r="A639" s="240">
        <f t="shared" si="35"/>
        <v>467</v>
      </c>
      <c r="B639" s="258" t="s">
        <v>1847</v>
      </c>
      <c r="C639" s="8">
        <v>3</v>
      </c>
      <c r="D639" s="1" t="s">
        <v>1714</v>
      </c>
      <c r="E639">
        <v>5</v>
      </c>
      <c r="H639" s="181" t="s">
        <v>165</v>
      </c>
      <c r="I639"/>
      <c r="J639" s="4"/>
      <c r="K639"/>
      <c r="N639" s="181" t="s">
        <v>419</v>
      </c>
      <c r="O639" s="181" t="s">
        <v>319</v>
      </c>
      <c r="Q639" s="181" t="s">
        <v>419</v>
      </c>
      <c r="R639" s="188">
        <v>1.6</v>
      </c>
      <c r="AG639" s="181" t="s">
        <v>2175</v>
      </c>
    </row>
    <row r="640" spans="1:33" hidden="1">
      <c r="A640" s="240">
        <f t="shared" si="35"/>
        <v>468</v>
      </c>
      <c r="B640" s="258" t="s">
        <v>166</v>
      </c>
      <c r="C640" s="8">
        <v>2.2000000000000002</v>
      </c>
      <c r="D640" s="1" t="s">
        <v>1714</v>
      </c>
      <c r="E640"/>
      <c r="H640" s="181" t="s">
        <v>167</v>
      </c>
      <c r="I640"/>
      <c r="J640" s="4"/>
      <c r="K640"/>
      <c r="R640" s="181" t="s">
        <v>940</v>
      </c>
      <c r="AG640" s="181" t="s">
        <v>2175</v>
      </c>
    </row>
    <row r="641" spans="1:33" hidden="1">
      <c r="A641" s="240">
        <f t="shared" si="35"/>
        <v>469</v>
      </c>
      <c r="B641" s="181" t="s">
        <v>2871</v>
      </c>
      <c r="C641" s="8">
        <v>2.2000000000000002</v>
      </c>
      <c r="D641" s="1">
        <v>2.7</v>
      </c>
      <c r="E641">
        <v>2</v>
      </c>
      <c r="H641" s="181" t="s">
        <v>168</v>
      </c>
      <c r="I641"/>
      <c r="J641" s="4"/>
      <c r="K641"/>
      <c r="R641" s="185" t="s">
        <v>1530</v>
      </c>
      <c r="AG641" s="181" t="s">
        <v>2175</v>
      </c>
    </row>
    <row r="642" spans="1:33" hidden="1">
      <c r="A642" s="240">
        <f t="shared" si="35"/>
        <v>470</v>
      </c>
      <c r="B642" s="181" t="s">
        <v>169</v>
      </c>
      <c r="C642" s="8">
        <v>3.2</v>
      </c>
      <c r="D642" s="8">
        <v>3.2</v>
      </c>
      <c r="E642"/>
      <c r="H642" s="185" t="s">
        <v>1530</v>
      </c>
      <c r="I642" s="5" t="s">
        <v>1530</v>
      </c>
      <c r="J642" s="4"/>
      <c r="K642"/>
      <c r="O642" s="181" t="s">
        <v>1694</v>
      </c>
      <c r="R642" s="188" t="e">
        <f>SUM(R630:R640)</f>
        <v>#REF!</v>
      </c>
      <c r="AG642" s="181" t="s">
        <v>2175</v>
      </c>
    </row>
    <row r="643" spans="1:33" hidden="1">
      <c r="A643" s="240">
        <f t="shared" si="35"/>
        <v>471</v>
      </c>
      <c r="B643" s="181" t="s">
        <v>170</v>
      </c>
      <c r="C643" s="8">
        <v>4</v>
      </c>
      <c r="D643" s="1" t="s">
        <v>419</v>
      </c>
      <c r="E643"/>
      <c r="F643" s="188">
        <v>1</v>
      </c>
      <c r="G643" s="187" t="s">
        <v>578</v>
      </c>
      <c r="H643" s="181" t="s">
        <v>171</v>
      </c>
      <c r="I643" s="8">
        <f>D76</f>
        <v>240</v>
      </c>
      <c r="J643" s="2" t="s">
        <v>578</v>
      </c>
      <c r="K643" s="8">
        <f>(F643*I643)</f>
        <v>240</v>
      </c>
      <c r="R643" s="185" t="s">
        <v>1530</v>
      </c>
      <c r="AG643" s="181" t="s">
        <v>2175</v>
      </c>
    </row>
    <row r="644" spans="1:33" hidden="1">
      <c r="A644" s="240">
        <f t="shared" si="35"/>
        <v>472</v>
      </c>
      <c r="B644" s="181" t="s">
        <v>389</v>
      </c>
      <c r="C644" s="8">
        <v>5</v>
      </c>
      <c r="D644" s="1" t="s">
        <v>419</v>
      </c>
      <c r="E644"/>
      <c r="F644" s="188">
        <v>1</v>
      </c>
      <c r="G644" s="187" t="s">
        <v>578</v>
      </c>
      <c r="H644" s="181" t="s">
        <v>1380</v>
      </c>
      <c r="I644" s="8">
        <f>C75</f>
        <v>20</v>
      </c>
      <c r="J644" s="2" t="s">
        <v>578</v>
      </c>
      <c r="K644" s="8">
        <f>(F644*I644)</f>
        <v>20</v>
      </c>
      <c r="O644" s="181" t="s">
        <v>1381</v>
      </c>
      <c r="AG644" s="181" t="s">
        <v>2175</v>
      </c>
    </row>
    <row r="645" spans="1:33" hidden="1">
      <c r="A645" s="240">
        <f t="shared" si="35"/>
        <v>473</v>
      </c>
      <c r="B645" s="181" t="s">
        <v>1542</v>
      </c>
      <c r="C645" s="8">
        <v>96</v>
      </c>
      <c r="D645" s="1" t="s">
        <v>835</v>
      </c>
      <c r="E645"/>
      <c r="F645" s="188">
        <v>1</v>
      </c>
      <c r="G645" s="187" t="s">
        <v>419</v>
      </c>
      <c r="H645" s="181" t="s">
        <v>1543</v>
      </c>
      <c r="I645" s="8">
        <v>15</v>
      </c>
      <c r="J645" s="2" t="s">
        <v>419</v>
      </c>
      <c r="K645" s="8">
        <f>(F645*I645)</f>
        <v>15</v>
      </c>
      <c r="N645" s="181" t="s">
        <v>2167</v>
      </c>
      <c r="O645" s="181" t="s">
        <v>1544</v>
      </c>
      <c r="AG645" s="181" t="s">
        <v>2175</v>
      </c>
    </row>
    <row r="646" spans="1:33" hidden="1">
      <c r="A646" s="240">
        <f t="shared" si="35"/>
        <v>474</v>
      </c>
      <c r="B646" s="181" t="s">
        <v>1545</v>
      </c>
      <c r="C646" s="8">
        <v>75</v>
      </c>
      <c r="D646" s="1" t="s">
        <v>835</v>
      </c>
      <c r="E646"/>
      <c r="I646"/>
      <c r="J646" s="4"/>
      <c r="K646" s="5" t="s">
        <v>1530</v>
      </c>
      <c r="O646" s="181" t="s">
        <v>1546</v>
      </c>
      <c r="AG646" s="181" t="s">
        <v>2175</v>
      </c>
    </row>
    <row r="647" spans="1:33" hidden="1">
      <c r="A647" s="240">
        <f t="shared" si="35"/>
        <v>475</v>
      </c>
      <c r="B647" s="181" t="s">
        <v>1547</v>
      </c>
      <c r="C647" s="8">
        <v>6.4</v>
      </c>
      <c r="D647" s="8">
        <v>12.65</v>
      </c>
      <c r="E647">
        <v>3</v>
      </c>
      <c r="H647" s="181" t="s">
        <v>521</v>
      </c>
      <c r="I647"/>
      <c r="J647" s="4"/>
      <c r="K647" s="8">
        <f>SUM(K641:K645)</f>
        <v>275</v>
      </c>
      <c r="O647" s="185" t="s">
        <v>1530</v>
      </c>
      <c r="AG647" s="181" t="s">
        <v>2175</v>
      </c>
    </row>
    <row r="648" spans="1:33" hidden="1">
      <c r="A648" s="240">
        <f t="shared" si="35"/>
        <v>476</v>
      </c>
      <c r="B648" s="181" t="s">
        <v>1525</v>
      </c>
      <c r="C648" s="8">
        <v>80</v>
      </c>
      <c r="D648" s="1" t="s">
        <v>835</v>
      </c>
      <c r="E648"/>
      <c r="H648" s="181" t="s">
        <v>1526</v>
      </c>
      <c r="I648"/>
      <c r="J648" s="4"/>
      <c r="K648" s="5" t="s">
        <v>1980</v>
      </c>
      <c r="M648" s="188">
        <v>1</v>
      </c>
      <c r="N648" s="181" t="s">
        <v>835</v>
      </c>
      <c r="O648" s="181" t="s">
        <v>1527</v>
      </c>
      <c r="P648" s="188">
        <f>(C382)</f>
        <v>14.91</v>
      </c>
      <c r="Q648" s="181" t="s">
        <v>835</v>
      </c>
      <c r="R648" s="188">
        <f>(M648*P648)</f>
        <v>14.91</v>
      </c>
      <c r="AG648" s="181" t="s">
        <v>2175</v>
      </c>
    </row>
    <row r="649" spans="1:33" hidden="1">
      <c r="A649" s="240">
        <f t="shared" ref="A649:A673" si="37">(A648+1)</f>
        <v>477</v>
      </c>
      <c r="B649" s="181" t="s">
        <v>133</v>
      </c>
      <c r="C649" s="8">
        <v>64</v>
      </c>
      <c r="D649" s="1" t="s">
        <v>835</v>
      </c>
      <c r="E649"/>
      <c r="H649" s="181" t="s">
        <v>361</v>
      </c>
      <c r="I649"/>
      <c r="J649" s="4"/>
      <c r="K649" s="8">
        <f>(K647+C19*0.05)</f>
        <v>275.88</v>
      </c>
      <c r="N649" s="181" t="s">
        <v>419</v>
      </c>
      <c r="O649" s="181" t="s">
        <v>134</v>
      </c>
      <c r="Q649" s="181" t="s">
        <v>419</v>
      </c>
      <c r="R649" s="188">
        <v>2.09</v>
      </c>
      <c r="AG649" s="181" t="s">
        <v>2175</v>
      </c>
    </row>
    <row r="650" spans="1:33" hidden="1">
      <c r="A650" s="240">
        <f t="shared" si="37"/>
        <v>478</v>
      </c>
      <c r="B650" s="181" t="s">
        <v>135</v>
      </c>
      <c r="C650" s="8">
        <v>40.5</v>
      </c>
      <c r="D650" s="1" t="s">
        <v>835</v>
      </c>
      <c r="E650"/>
      <c r="H650" s="181" t="s">
        <v>363</v>
      </c>
      <c r="I650"/>
      <c r="J650" s="4"/>
      <c r="K650" s="8">
        <f>(K649+C20*0.05)</f>
        <v>277.64</v>
      </c>
      <c r="O650" s="181" t="s">
        <v>136</v>
      </c>
      <c r="R650" s="181" t="s">
        <v>940</v>
      </c>
      <c r="AG650" s="181" t="s">
        <v>2175</v>
      </c>
    </row>
    <row r="651" spans="1:33" hidden="1">
      <c r="A651" s="240">
        <f t="shared" si="37"/>
        <v>479</v>
      </c>
      <c r="B651" s="181" t="s">
        <v>1404</v>
      </c>
      <c r="C651" s="8">
        <v>92</v>
      </c>
      <c r="D651" s="1" t="s">
        <v>835</v>
      </c>
      <c r="E651"/>
      <c r="H651" s="181" t="s">
        <v>2149</v>
      </c>
      <c r="I651"/>
      <c r="J651" s="4"/>
      <c r="K651" s="8">
        <f>(K650+C21*0.05)</f>
        <v>279.39999999999998</v>
      </c>
      <c r="R651" s="185" t="s">
        <v>1530</v>
      </c>
      <c r="AG651" s="181" t="s">
        <v>2175</v>
      </c>
    </row>
    <row r="652" spans="1:33" hidden="1">
      <c r="A652" s="240">
        <f t="shared" si="37"/>
        <v>480</v>
      </c>
      <c r="B652" s="181" t="s">
        <v>1510</v>
      </c>
      <c r="C652" s="8">
        <v>60</v>
      </c>
      <c r="D652" s="1" t="s">
        <v>835</v>
      </c>
      <c r="E652"/>
      <c r="H652" s="181" t="s">
        <v>355</v>
      </c>
      <c r="I652"/>
      <c r="J652" s="4"/>
      <c r="K652" s="8">
        <f>(K651+C21*0.05)</f>
        <v>281.16000000000003</v>
      </c>
      <c r="O652" s="181" t="s">
        <v>1511</v>
      </c>
      <c r="R652" s="188">
        <f>SUM(R648:R650)</f>
        <v>17</v>
      </c>
      <c r="AG652" s="181" t="s">
        <v>2175</v>
      </c>
    </row>
    <row r="653" spans="1:33" hidden="1">
      <c r="A653" s="240">
        <f t="shared" si="37"/>
        <v>481</v>
      </c>
      <c r="B653" s="181" t="s">
        <v>1311</v>
      </c>
      <c r="C653" s="8">
        <v>49.87</v>
      </c>
      <c r="D653" s="1" t="s">
        <v>835</v>
      </c>
      <c r="E653"/>
      <c r="H653" s="181" t="s">
        <v>1312</v>
      </c>
      <c r="I653"/>
      <c r="J653" s="4"/>
      <c r="K653" s="8">
        <f>(K652+C21*0.05)</f>
        <v>282.92</v>
      </c>
      <c r="R653" s="185" t="s">
        <v>1530</v>
      </c>
      <c r="AG653" s="181" t="s">
        <v>2175</v>
      </c>
    </row>
    <row r="654" spans="1:33" hidden="1">
      <c r="A654" s="240">
        <f t="shared" si="37"/>
        <v>482</v>
      </c>
      <c r="B654" s="181" t="s">
        <v>1751</v>
      </c>
      <c r="C654" s="8">
        <v>80</v>
      </c>
      <c r="D654" s="1" t="s">
        <v>835</v>
      </c>
      <c r="E654"/>
      <c r="F654" s="236" t="s">
        <v>1752</v>
      </c>
      <c r="H654" s="181" t="s">
        <v>729</v>
      </c>
      <c r="I654"/>
      <c r="J654" s="4"/>
      <c r="K654"/>
      <c r="AG654" s="181" t="s">
        <v>2175</v>
      </c>
    </row>
    <row r="655" spans="1:33" hidden="1">
      <c r="A655" s="240">
        <f t="shared" si="37"/>
        <v>483</v>
      </c>
      <c r="B655" s="181" t="s">
        <v>1753</v>
      </c>
      <c r="C655" s="8">
        <v>52</v>
      </c>
      <c r="D655" s="1" t="s">
        <v>835</v>
      </c>
      <c r="E655"/>
      <c r="H655" s="181" t="s">
        <v>1754</v>
      </c>
      <c r="I655"/>
      <c r="J655" s="4"/>
      <c r="K655"/>
      <c r="N655" s="181" t="s">
        <v>2167</v>
      </c>
      <c r="O655" s="181" t="s">
        <v>861</v>
      </c>
      <c r="AG655" s="181" t="s">
        <v>2175</v>
      </c>
    </row>
    <row r="656" spans="1:33" hidden="1">
      <c r="A656" s="240">
        <f t="shared" si="37"/>
        <v>484</v>
      </c>
      <c r="B656" s="181" t="s">
        <v>1143</v>
      </c>
      <c r="C656" s="8">
        <v>39</v>
      </c>
      <c r="D656" s="1" t="s">
        <v>835</v>
      </c>
      <c r="E656"/>
      <c r="H656" s="181" t="s">
        <v>313</v>
      </c>
      <c r="I656"/>
      <c r="J656" s="4"/>
      <c r="K656"/>
      <c r="O656" s="181" t="s">
        <v>1546</v>
      </c>
      <c r="AG656" s="181" t="s">
        <v>2175</v>
      </c>
    </row>
    <row r="657" spans="1:33" hidden="1">
      <c r="A657" s="240">
        <f t="shared" si="37"/>
        <v>485</v>
      </c>
      <c r="B657" s="181" t="s">
        <v>1206</v>
      </c>
      <c r="C657" s="8">
        <v>90</v>
      </c>
      <c r="D657" s="1" t="s">
        <v>835</v>
      </c>
      <c r="E657"/>
      <c r="H657" s="181" t="s">
        <v>1446</v>
      </c>
      <c r="I657"/>
      <c r="J657" s="4"/>
      <c r="K657"/>
      <c r="O657" s="185" t="s">
        <v>1530</v>
      </c>
      <c r="AG657" s="181" t="s">
        <v>2175</v>
      </c>
    </row>
    <row r="658" spans="1:33" hidden="1">
      <c r="A658" s="240">
        <f t="shared" si="37"/>
        <v>486</v>
      </c>
      <c r="B658" s="181" t="s">
        <v>1207</v>
      </c>
      <c r="C658" s="8">
        <v>60</v>
      </c>
      <c r="D658" s="1" t="s">
        <v>835</v>
      </c>
      <c r="E658"/>
      <c r="H658" s="181" t="s">
        <v>165</v>
      </c>
      <c r="I658"/>
      <c r="J658" s="4"/>
      <c r="K658"/>
      <c r="M658" s="188">
        <v>1</v>
      </c>
      <c r="N658" s="181" t="s">
        <v>835</v>
      </c>
      <c r="O658" s="181" t="s">
        <v>1045</v>
      </c>
      <c r="P658" s="188">
        <f>(C383)</f>
        <v>17.579999999999998</v>
      </c>
      <c r="Q658" s="181" t="s">
        <v>835</v>
      </c>
      <c r="R658" s="188">
        <f>(M658*P658)</f>
        <v>17.579999999999998</v>
      </c>
      <c r="AG658" s="181" t="s">
        <v>2175</v>
      </c>
    </row>
    <row r="659" spans="1:33" hidden="1">
      <c r="A659" s="240">
        <f t="shared" si="37"/>
        <v>487</v>
      </c>
      <c r="B659" s="181" t="s">
        <v>1046</v>
      </c>
      <c r="C659" s="8">
        <v>43.5</v>
      </c>
      <c r="D659" s="1" t="s">
        <v>835</v>
      </c>
      <c r="E659"/>
      <c r="H659" s="181" t="s">
        <v>167</v>
      </c>
      <c r="I659"/>
      <c r="J659" s="4"/>
      <c r="K659"/>
      <c r="N659" s="181" t="s">
        <v>419</v>
      </c>
      <c r="O659" s="181" t="s">
        <v>134</v>
      </c>
      <c r="Q659" s="181" t="s">
        <v>419</v>
      </c>
      <c r="R659" s="188">
        <v>2.09</v>
      </c>
      <c r="AG659" s="181" t="s">
        <v>2175</v>
      </c>
    </row>
    <row r="660" spans="1:33" hidden="1">
      <c r="A660" s="240">
        <f t="shared" si="37"/>
        <v>488</v>
      </c>
      <c r="B660" s="181" t="s">
        <v>232</v>
      </c>
      <c r="C660" s="8">
        <v>75</v>
      </c>
      <c r="D660" s="1" t="s">
        <v>835</v>
      </c>
      <c r="E660"/>
      <c r="H660" s="181" t="s">
        <v>1990</v>
      </c>
      <c r="I660"/>
      <c r="J660" s="4"/>
      <c r="K660"/>
      <c r="O660" s="181" t="s">
        <v>136</v>
      </c>
      <c r="R660" s="181" t="s">
        <v>940</v>
      </c>
      <c r="AG660" s="181" t="s">
        <v>2175</v>
      </c>
    </row>
    <row r="661" spans="1:33" hidden="1">
      <c r="A661" s="240">
        <f t="shared" si="37"/>
        <v>489</v>
      </c>
      <c r="B661" s="181" t="s">
        <v>1953</v>
      </c>
      <c r="C661" s="8">
        <v>52</v>
      </c>
      <c r="D661" s="1" t="s">
        <v>835</v>
      </c>
      <c r="E661"/>
      <c r="H661" s="185" t="s">
        <v>1530</v>
      </c>
      <c r="I661" s="5" t="s">
        <v>1530</v>
      </c>
      <c r="J661" s="4"/>
      <c r="K661"/>
      <c r="R661" s="185" t="s">
        <v>1530</v>
      </c>
      <c r="AG661" s="181" t="s">
        <v>2175</v>
      </c>
    </row>
    <row r="662" spans="1:33" hidden="1">
      <c r="A662" s="240">
        <f t="shared" si="37"/>
        <v>490</v>
      </c>
      <c r="B662" s="181" t="s">
        <v>1143</v>
      </c>
      <c r="C662" s="8">
        <v>35.25</v>
      </c>
      <c r="D662" s="1" t="s">
        <v>835</v>
      </c>
      <c r="E662"/>
      <c r="F662" s="188">
        <v>1</v>
      </c>
      <c r="G662" s="187" t="s">
        <v>578</v>
      </c>
      <c r="H662" s="181" t="s">
        <v>889</v>
      </c>
      <c r="I662" s="8">
        <f>C76</f>
        <v>514.62</v>
      </c>
      <c r="J662" s="2" t="s">
        <v>578</v>
      </c>
      <c r="K662" s="8">
        <f>(F662*I662)</f>
        <v>514.62</v>
      </c>
      <c r="O662" s="181" t="s">
        <v>1511</v>
      </c>
      <c r="R662" s="188">
        <f>SUM(R658:R660)</f>
        <v>19.670000000000002</v>
      </c>
      <c r="AG662" s="181" t="s">
        <v>2175</v>
      </c>
    </row>
    <row r="663" spans="1:33" hidden="1">
      <c r="A663" s="240">
        <f t="shared" si="37"/>
        <v>491</v>
      </c>
      <c r="B663" s="181" t="s">
        <v>890</v>
      </c>
      <c r="C663" s="8">
        <v>37.5</v>
      </c>
      <c r="D663" s="1" t="s">
        <v>835</v>
      </c>
      <c r="E663"/>
      <c r="F663" s="188">
        <v>1</v>
      </c>
      <c r="G663" s="187" t="s">
        <v>578</v>
      </c>
      <c r="H663" s="181" t="s">
        <v>1380</v>
      </c>
      <c r="I663" s="8">
        <f>C75</f>
        <v>20</v>
      </c>
      <c r="J663" s="2" t="s">
        <v>578</v>
      </c>
      <c r="K663" s="8">
        <f>(F663*I663)</f>
        <v>20</v>
      </c>
      <c r="R663" s="185" t="s">
        <v>1530</v>
      </c>
      <c r="AG663" s="181" t="s">
        <v>2175</v>
      </c>
    </row>
    <row r="664" spans="1:33" hidden="1">
      <c r="A664" s="240">
        <f t="shared" si="37"/>
        <v>492</v>
      </c>
      <c r="B664" s="181" t="s">
        <v>891</v>
      </c>
      <c r="C664" s="8">
        <v>24</v>
      </c>
      <c r="D664" s="1" t="s">
        <v>835</v>
      </c>
      <c r="E664"/>
      <c r="F664" s="188">
        <v>1</v>
      </c>
      <c r="G664" s="187" t="s">
        <v>419</v>
      </c>
      <c r="H664" s="181" t="s">
        <v>1543</v>
      </c>
      <c r="I664" s="8">
        <v>15</v>
      </c>
      <c r="J664" s="2" t="s">
        <v>419</v>
      </c>
      <c r="K664" s="8">
        <f>(F664*I664)</f>
        <v>15</v>
      </c>
      <c r="AG664" s="181" t="s">
        <v>2175</v>
      </c>
    </row>
    <row r="665" spans="1:33" hidden="1">
      <c r="A665" s="240">
        <f t="shared" si="37"/>
        <v>493</v>
      </c>
      <c r="B665" s="181" t="s">
        <v>892</v>
      </c>
      <c r="C665" s="8">
        <v>16</v>
      </c>
      <c r="D665" s="1" t="s">
        <v>835</v>
      </c>
      <c r="E665"/>
      <c r="H665" s="181" t="s">
        <v>420</v>
      </c>
      <c r="I665"/>
      <c r="J665" s="2" t="s">
        <v>419</v>
      </c>
      <c r="K665" s="8">
        <v>0</v>
      </c>
      <c r="N665" s="181" t="s">
        <v>2167</v>
      </c>
      <c r="O665" s="181" t="s">
        <v>446</v>
      </c>
      <c r="AG665" s="181" t="s">
        <v>2175</v>
      </c>
    </row>
    <row r="666" spans="1:33" hidden="1">
      <c r="A666" s="240">
        <f t="shared" si="37"/>
        <v>494</v>
      </c>
      <c r="B666" s="181" t="s">
        <v>447</v>
      </c>
      <c r="C666" s="8">
        <v>18</v>
      </c>
      <c r="D666" s="1" t="s">
        <v>835</v>
      </c>
      <c r="E666"/>
      <c r="I666"/>
      <c r="J666" s="4"/>
      <c r="K666" s="5" t="s">
        <v>1530</v>
      </c>
      <c r="O666" s="181" t="s">
        <v>1546</v>
      </c>
      <c r="AG666" s="181" t="s">
        <v>2175</v>
      </c>
    </row>
    <row r="667" spans="1:33" hidden="1">
      <c r="A667" s="240">
        <f t="shared" si="37"/>
        <v>495</v>
      </c>
      <c r="B667" s="181" t="s">
        <v>448</v>
      </c>
      <c r="C667" s="8">
        <v>6</v>
      </c>
      <c r="D667" s="1" t="s">
        <v>835</v>
      </c>
      <c r="E667"/>
      <c r="H667" s="181" t="s">
        <v>521</v>
      </c>
      <c r="I667"/>
      <c r="J667" s="4"/>
      <c r="K667" s="8">
        <f>SUM(K662:K665)</f>
        <v>549.62</v>
      </c>
      <c r="O667" s="185" t="s">
        <v>1530</v>
      </c>
      <c r="AG667" s="181" t="s">
        <v>2175</v>
      </c>
    </row>
    <row r="668" spans="1:33" hidden="1">
      <c r="A668" s="240">
        <f t="shared" si="37"/>
        <v>496</v>
      </c>
      <c r="B668" s="181" t="s">
        <v>449</v>
      </c>
      <c r="C668" s="8">
        <v>152.5</v>
      </c>
      <c r="D668" s="1" t="s">
        <v>1714</v>
      </c>
      <c r="E668"/>
      <c r="H668" s="181" t="s">
        <v>1526</v>
      </c>
      <c r="I668"/>
      <c r="J668" s="4"/>
      <c r="K668" s="5" t="s">
        <v>1980</v>
      </c>
      <c r="M668" s="188">
        <v>1</v>
      </c>
      <c r="N668" s="181" t="s">
        <v>835</v>
      </c>
      <c r="O668" s="181" t="s">
        <v>450</v>
      </c>
      <c r="P668" s="188">
        <f>(C384)</f>
        <v>19.3</v>
      </c>
      <c r="Q668" s="181" t="s">
        <v>835</v>
      </c>
      <c r="R668" s="188">
        <f>(M668*P668)</f>
        <v>19.3</v>
      </c>
      <c r="AG668" s="181" t="s">
        <v>2175</v>
      </c>
    </row>
    <row r="669" spans="1:33" hidden="1">
      <c r="A669" s="240">
        <f t="shared" si="37"/>
        <v>497</v>
      </c>
      <c r="B669" s="181" t="s">
        <v>974</v>
      </c>
      <c r="C669" s="8">
        <v>108.68</v>
      </c>
      <c r="D669" s="1" t="s">
        <v>835</v>
      </c>
      <c r="E669"/>
      <c r="H669" s="181" t="s">
        <v>361</v>
      </c>
      <c r="I669"/>
      <c r="J669" s="2" t="s">
        <v>940</v>
      </c>
      <c r="K669" s="8">
        <f>(K667+C19*0.11)</f>
        <v>551.55999999999995</v>
      </c>
      <c r="N669" s="181" t="s">
        <v>419</v>
      </c>
      <c r="O669" s="181" t="s">
        <v>134</v>
      </c>
      <c r="Q669" s="181" t="s">
        <v>419</v>
      </c>
      <c r="R669" s="188">
        <v>2.09</v>
      </c>
      <c r="AG669" s="181" t="s">
        <v>2175</v>
      </c>
    </row>
    <row r="670" spans="1:33" hidden="1">
      <c r="A670" s="240">
        <f t="shared" si="37"/>
        <v>498</v>
      </c>
      <c r="B670" s="181" t="s">
        <v>517</v>
      </c>
      <c r="C670" s="8">
        <v>119.89</v>
      </c>
      <c r="D670" s="1" t="s">
        <v>835</v>
      </c>
      <c r="E670"/>
      <c r="H670" s="181" t="s">
        <v>363</v>
      </c>
      <c r="I670"/>
      <c r="J670" s="4"/>
      <c r="K670" s="8">
        <f>(K669+C20*0.11)</f>
        <v>555.42999999999995</v>
      </c>
      <c r="O670" s="181" t="s">
        <v>136</v>
      </c>
      <c r="R670" s="181" t="s">
        <v>940</v>
      </c>
      <c r="AG670" s="181" t="s">
        <v>2175</v>
      </c>
    </row>
    <row r="671" spans="1:33" hidden="1">
      <c r="A671" s="240">
        <f t="shared" si="37"/>
        <v>499</v>
      </c>
      <c r="B671" s="181" t="s">
        <v>518</v>
      </c>
      <c r="C671" s="8">
        <v>297.44</v>
      </c>
      <c r="D671" s="1" t="s">
        <v>835</v>
      </c>
      <c r="E671"/>
      <c r="H671" s="181" t="s">
        <v>2149</v>
      </c>
      <c r="I671"/>
      <c r="J671" s="4"/>
      <c r="K671" s="8">
        <f>(K670+C21*0.11)</f>
        <v>559.29999999999995</v>
      </c>
      <c r="R671" s="185" t="s">
        <v>1530</v>
      </c>
      <c r="AG671" s="181" t="s">
        <v>300</v>
      </c>
    </row>
    <row r="672" spans="1:33" hidden="1">
      <c r="A672" s="240">
        <f t="shared" si="37"/>
        <v>500</v>
      </c>
      <c r="B672" s="181" t="s">
        <v>519</v>
      </c>
      <c r="C672" s="8">
        <v>28.6</v>
      </c>
      <c r="D672" s="1" t="s">
        <v>835</v>
      </c>
      <c r="E672"/>
      <c r="H672" s="181" t="s">
        <v>355</v>
      </c>
      <c r="I672"/>
      <c r="J672" s="4"/>
      <c r="K672" s="8">
        <f>(K671+C21*0.11)</f>
        <v>563.16999999999996</v>
      </c>
      <c r="O672" s="181" t="s">
        <v>1511</v>
      </c>
      <c r="R672" s="188">
        <f>SUM(R668:R670)</f>
        <v>21.39</v>
      </c>
    </row>
    <row r="673" spans="1:33" hidden="1">
      <c r="A673" s="240">
        <f t="shared" si="37"/>
        <v>501</v>
      </c>
      <c r="B673" s="181" t="s">
        <v>180</v>
      </c>
      <c r="C673" s="8">
        <v>228.86</v>
      </c>
      <c r="D673" s="1" t="s">
        <v>835</v>
      </c>
      <c r="E673"/>
      <c r="H673" s="181" t="s">
        <v>1312</v>
      </c>
      <c r="I673"/>
      <c r="J673" s="4"/>
      <c r="K673" s="8">
        <f>(K672+C21*0.11)</f>
        <v>567.04</v>
      </c>
      <c r="R673" s="185" t="s">
        <v>1530</v>
      </c>
    </row>
    <row r="674" spans="1:33" hidden="1">
      <c r="C674"/>
      <c r="D674"/>
      <c r="E674"/>
      <c r="F674" s="181" t="s">
        <v>940</v>
      </c>
      <c r="I674"/>
      <c r="J674" s="4"/>
      <c r="K674"/>
    </row>
    <row r="675" spans="1:33" hidden="1">
      <c r="A675" s="240">
        <f>(A673+1)</f>
        <v>502</v>
      </c>
      <c r="B675" s="181" t="s">
        <v>181</v>
      </c>
      <c r="C675" s="8">
        <v>70.47</v>
      </c>
      <c r="D675" s="1" t="s">
        <v>835</v>
      </c>
      <c r="E675"/>
      <c r="I675"/>
      <c r="J675" s="4"/>
      <c r="K675"/>
      <c r="AG675" s="181" t="s">
        <v>2175</v>
      </c>
    </row>
    <row r="676" spans="1:33" hidden="1">
      <c r="A676" s="240">
        <f t="shared" ref="A676:A707" si="38">(A675+1)</f>
        <v>503</v>
      </c>
      <c r="B676" s="181" t="s">
        <v>182</v>
      </c>
      <c r="C676" s="8">
        <v>133.62</v>
      </c>
      <c r="D676" s="1" t="s">
        <v>835</v>
      </c>
      <c r="E676"/>
      <c r="F676" s="236" t="s">
        <v>1303</v>
      </c>
      <c r="H676" s="181" t="s">
        <v>183</v>
      </c>
      <c r="I676"/>
      <c r="J676" s="4"/>
      <c r="K676"/>
      <c r="N676" s="181" t="s">
        <v>2167</v>
      </c>
      <c r="O676" s="181" t="s">
        <v>1395</v>
      </c>
      <c r="AG676" s="181" t="s">
        <v>2175</v>
      </c>
    </row>
    <row r="677" spans="1:33" hidden="1">
      <c r="A677" s="240">
        <f t="shared" si="38"/>
        <v>504</v>
      </c>
      <c r="B677" s="181" t="s">
        <v>1396</v>
      </c>
      <c r="C677" s="8">
        <v>133.62</v>
      </c>
      <c r="D677" s="1" t="s">
        <v>835</v>
      </c>
      <c r="E677"/>
      <c r="H677" s="181" t="s">
        <v>1397</v>
      </c>
      <c r="I677"/>
      <c r="J677" s="4"/>
      <c r="K677"/>
      <c r="O677" s="181" t="s">
        <v>1398</v>
      </c>
      <c r="AG677" s="181" t="s">
        <v>2175</v>
      </c>
    </row>
    <row r="678" spans="1:33" hidden="1">
      <c r="A678" s="240">
        <f t="shared" si="38"/>
        <v>505</v>
      </c>
      <c r="B678" s="181" t="s">
        <v>1399</v>
      </c>
      <c r="C678" s="8">
        <v>215</v>
      </c>
      <c r="D678" s="1" t="s">
        <v>835</v>
      </c>
      <c r="E678"/>
      <c r="H678" s="181" t="s">
        <v>1400</v>
      </c>
      <c r="I678"/>
      <c r="J678" s="4"/>
      <c r="K678"/>
      <c r="O678" s="185" t="s">
        <v>1530</v>
      </c>
      <c r="AG678" s="181" t="s">
        <v>2175</v>
      </c>
    </row>
    <row r="679" spans="1:33" hidden="1">
      <c r="A679" s="240">
        <f t="shared" si="38"/>
        <v>506</v>
      </c>
      <c r="B679" s="181" t="s">
        <v>1170</v>
      </c>
      <c r="C679" s="8">
        <v>215</v>
      </c>
      <c r="D679" s="1" t="s">
        <v>835</v>
      </c>
      <c r="E679"/>
      <c r="H679" s="185" t="s">
        <v>1530</v>
      </c>
      <c r="I679"/>
      <c r="J679" s="4"/>
      <c r="K679"/>
      <c r="M679" s="188">
        <v>1</v>
      </c>
      <c r="N679" s="181" t="s">
        <v>835</v>
      </c>
      <c r="O679" s="181" t="s">
        <v>1171</v>
      </c>
      <c r="P679" s="188">
        <f>(C392/1*0.3)</f>
        <v>14.61</v>
      </c>
      <c r="Q679" s="181" t="s">
        <v>835</v>
      </c>
      <c r="R679" s="188">
        <f>(M679*P679)</f>
        <v>14.61</v>
      </c>
      <c r="AG679" s="181" t="s">
        <v>2175</v>
      </c>
    </row>
    <row r="680" spans="1:33" hidden="1">
      <c r="A680" s="240">
        <f t="shared" si="38"/>
        <v>507</v>
      </c>
      <c r="B680" s="181" t="s">
        <v>1172</v>
      </c>
      <c r="C680" s="8">
        <v>107.64</v>
      </c>
      <c r="D680" s="1" t="s">
        <v>578</v>
      </c>
      <c r="E680"/>
      <c r="F680" s="188">
        <v>0.4</v>
      </c>
      <c r="G680" s="187" t="s">
        <v>836</v>
      </c>
      <c r="H680" s="181" t="s">
        <v>1173</v>
      </c>
      <c r="I680" s="8">
        <f>(C267)</f>
        <v>10705</v>
      </c>
      <c r="J680" s="2" t="s">
        <v>836</v>
      </c>
      <c r="K680" s="8">
        <f>(F680*I680)</f>
        <v>4282</v>
      </c>
      <c r="N680" s="181" t="s">
        <v>419</v>
      </c>
      <c r="O680" s="181" t="s">
        <v>134</v>
      </c>
      <c r="Q680" s="181" t="s">
        <v>419</v>
      </c>
      <c r="R680" s="188">
        <v>1.65</v>
      </c>
      <c r="AG680" s="181" t="s">
        <v>2175</v>
      </c>
    </row>
    <row r="681" spans="1:33" hidden="1">
      <c r="A681" s="240">
        <f t="shared" si="38"/>
        <v>508</v>
      </c>
      <c r="B681" s="181" t="s">
        <v>1174</v>
      </c>
      <c r="C681"/>
      <c r="D681"/>
      <c r="E681"/>
      <c r="F681" s="188">
        <v>0.12</v>
      </c>
      <c r="G681" s="187" t="s">
        <v>836</v>
      </c>
      <c r="H681" s="181" t="s">
        <v>1135</v>
      </c>
      <c r="I681" s="8">
        <f>(C268)</f>
        <v>9395</v>
      </c>
      <c r="J681" s="2" t="s">
        <v>836</v>
      </c>
      <c r="K681" s="8">
        <f>(F681*I681)</f>
        <v>1127.4000000000001</v>
      </c>
      <c r="O681" s="181" t="s">
        <v>136</v>
      </c>
      <c r="R681" s="181" t="s">
        <v>940</v>
      </c>
      <c r="AG681" s="181" t="s">
        <v>2175</v>
      </c>
    </row>
    <row r="682" spans="1:33" hidden="1">
      <c r="A682" s="240">
        <f t="shared" si="38"/>
        <v>509</v>
      </c>
      <c r="B682" s="181" t="s">
        <v>2038</v>
      </c>
      <c r="C682" s="8">
        <v>11.55</v>
      </c>
      <c r="D682" s="1" t="s">
        <v>835</v>
      </c>
      <c r="E682"/>
      <c r="H682" s="181" t="s">
        <v>2039</v>
      </c>
      <c r="I682" s="1" t="s">
        <v>940</v>
      </c>
      <c r="J682" s="4"/>
      <c r="K682" s="1" t="s">
        <v>940</v>
      </c>
      <c r="R682" s="185" t="s">
        <v>1530</v>
      </c>
      <c r="AG682" s="181" t="s">
        <v>2175</v>
      </c>
    </row>
    <row r="683" spans="1:33" hidden="1">
      <c r="A683" s="240">
        <f t="shared" si="38"/>
        <v>510</v>
      </c>
      <c r="B683" s="181" t="s">
        <v>1076</v>
      </c>
      <c r="C683" s="8">
        <v>16.399999999999999</v>
      </c>
      <c r="D683" s="1" t="s">
        <v>835</v>
      </c>
      <c r="E683"/>
      <c r="F683" s="188">
        <v>98.5</v>
      </c>
      <c r="G683" s="187" t="s">
        <v>1714</v>
      </c>
      <c r="H683" s="181" t="s">
        <v>1369</v>
      </c>
      <c r="I683" s="8">
        <f>(C269)</f>
        <v>15</v>
      </c>
      <c r="J683" s="2" t="s">
        <v>1714</v>
      </c>
      <c r="K683" s="8">
        <f>(F683*I683)</f>
        <v>1477.5</v>
      </c>
      <c r="O683" s="181" t="s">
        <v>1511</v>
      </c>
      <c r="R683" s="188">
        <f>SUM(R679:R681)</f>
        <v>16.260000000000002</v>
      </c>
      <c r="AG683" s="181" t="s">
        <v>2175</v>
      </c>
    </row>
    <row r="684" spans="1:33" hidden="1">
      <c r="A684" s="240">
        <f t="shared" si="38"/>
        <v>511</v>
      </c>
      <c r="B684" s="181" t="s">
        <v>1077</v>
      </c>
      <c r="C684" s="8">
        <v>27.85</v>
      </c>
      <c r="D684" s="1" t="s">
        <v>835</v>
      </c>
      <c r="E684"/>
      <c r="H684" s="181" t="s">
        <v>290</v>
      </c>
      <c r="I684" s="1" t="s">
        <v>940</v>
      </c>
      <c r="J684" s="4"/>
      <c r="K684" s="1" t="s">
        <v>234</v>
      </c>
      <c r="R684" s="185" t="s">
        <v>1530</v>
      </c>
      <c r="AG684" s="181" t="s">
        <v>2175</v>
      </c>
    </row>
    <row r="685" spans="1:33" hidden="1">
      <c r="A685" s="240">
        <f t="shared" si="38"/>
        <v>512</v>
      </c>
      <c r="B685" s="181" t="s">
        <v>1078</v>
      </c>
      <c r="C685" s="8">
        <v>49.9</v>
      </c>
      <c r="D685" s="1" t="s">
        <v>835</v>
      </c>
      <c r="E685"/>
      <c r="I685"/>
      <c r="J685" s="4"/>
      <c r="K685" s="5" t="s">
        <v>1530</v>
      </c>
      <c r="O685" s="236" t="s">
        <v>630</v>
      </c>
      <c r="R685" s="181" t="s">
        <v>940</v>
      </c>
      <c r="AG685" s="181" t="s">
        <v>2175</v>
      </c>
    </row>
    <row r="686" spans="1:33" hidden="1">
      <c r="A686" s="240">
        <f t="shared" si="38"/>
        <v>513</v>
      </c>
      <c r="B686" s="181" t="s">
        <v>1080</v>
      </c>
      <c r="C686" s="8">
        <v>69.25</v>
      </c>
      <c r="D686" s="1" t="s">
        <v>835</v>
      </c>
      <c r="E686"/>
      <c r="H686" s="181" t="s">
        <v>631</v>
      </c>
      <c r="I686"/>
      <c r="J686" s="4"/>
      <c r="K686" s="8">
        <f>SUM(K680:K684)</f>
        <v>6886.9</v>
      </c>
      <c r="M686" s="256"/>
      <c r="O686" s="236" t="s">
        <v>2004</v>
      </c>
      <c r="AG686" s="181" t="s">
        <v>2175</v>
      </c>
    </row>
    <row r="687" spans="1:33" hidden="1">
      <c r="A687" s="240">
        <f t="shared" si="38"/>
        <v>514</v>
      </c>
      <c r="B687" s="181" t="s">
        <v>1839</v>
      </c>
      <c r="C687"/>
      <c r="D687" s="1" t="s">
        <v>940</v>
      </c>
      <c r="E687"/>
      <c r="H687" s="181" t="s">
        <v>940</v>
      </c>
      <c r="I687"/>
      <c r="J687" s="4"/>
      <c r="K687" s="5" t="s">
        <v>1530</v>
      </c>
      <c r="M687" s="236" t="s">
        <v>1484</v>
      </c>
      <c r="N687" s="181" t="s">
        <v>1840</v>
      </c>
      <c r="O687" s="181" t="s">
        <v>2872</v>
      </c>
      <c r="AG687" s="181" t="s">
        <v>2175</v>
      </c>
    </row>
    <row r="688" spans="1:33" hidden="1">
      <c r="A688" s="240">
        <f t="shared" si="38"/>
        <v>515</v>
      </c>
      <c r="B688" s="181" t="s">
        <v>226</v>
      </c>
      <c r="C688" s="8">
        <v>20</v>
      </c>
      <c r="D688" s="1" t="s">
        <v>835</v>
      </c>
      <c r="E688"/>
      <c r="F688" s="188">
        <v>10</v>
      </c>
      <c r="G688" s="187" t="s">
        <v>578</v>
      </c>
      <c r="H688" s="181" t="s">
        <v>464</v>
      </c>
      <c r="I688" s="8">
        <f>(K686/50)</f>
        <v>137.74</v>
      </c>
      <c r="J688" s="2" t="s">
        <v>578</v>
      </c>
      <c r="K688" s="8">
        <f>(F688*I688)</f>
        <v>1377.4</v>
      </c>
      <c r="O688" s="185" t="s">
        <v>1530</v>
      </c>
      <c r="AG688" s="181" t="s">
        <v>2175</v>
      </c>
    </row>
    <row r="689" spans="1:33" hidden="1">
      <c r="A689" s="240">
        <f t="shared" si="38"/>
        <v>516</v>
      </c>
      <c r="B689" s="181" t="s">
        <v>465</v>
      </c>
      <c r="C689" s="8">
        <v>45</v>
      </c>
      <c r="D689" s="1" t="s">
        <v>835</v>
      </c>
      <c r="E689"/>
      <c r="F689" s="188">
        <v>3.8</v>
      </c>
      <c r="G689" s="187" t="s">
        <v>739</v>
      </c>
      <c r="H689" s="181" t="s">
        <v>466</v>
      </c>
      <c r="I689" s="8">
        <f>(C16)</f>
        <v>150</v>
      </c>
      <c r="J689" s="2" t="s">
        <v>739</v>
      </c>
      <c r="K689" s="8">
        <f>(F689*I689)</f>
        <v>570</v>
      </c>
      <c r="M689" s="256">
        <v>2.69E-2</v>
      </c>
      <c r="N689" s="181" t="s">
        <v>836</v>
      </c>
      <c r="O689" s="181" t="s">
        <v>1264</v>
      </c>
      <c r="P689" s="188">
        <f>C86+2500</f>
        <v>23105</v>
      </c>
      <c r="Q689" s="181" t="s">
        <v>836</v>
      </c>
      <c r="R689" s="188">
        <f t="shared" ref="R689:R695" si="39">M689*P689</f>
        <v>621.52</v>
      </c>
      <c r="AG689" s="181" t="s">
        <v>2175</v>
      </c>
    </row>
    <row r="690" spans="1:33" hidden="1">
      <c r="A690" s="240">
        <f t="shared" si="38"/>
        <v>517</v>
      </c>
      <c r="B690" s="181" t="s">
        <v>1265</v>
      </c>
      <c r="C690"/>
      <c r="D690" s="1" t="s">
        <v>234</v>
      </c>
      <c r="E690"/>
      <c r="F690" s="188">
        <v>5.4</v>
      </c>
      <c r="G690" s="187" t="s">
        <v>739</v>
      </c>
      <c r="H690" s="181" t="s">
        <v>1836</v>
      </c>
      <c r="I690" s="8">
        <f>(C12)</f>
        <v>95</v>
      </c>
      <c r="J690" s="2" t="s">
        <v>739</v>
      </c>
      <c r="K690" s="8">
        <f>(F690*I690)</f>
        <v>513</v>
      </c>
      <c r="M690" s="256">
        <v>1.2949999999999999</v>
      </c>
      <c r="N690" s="181" t="s">
        <v>578</v>
      </c>
      <c r="O690" s="181" t="s">
        <v>1249</v>
      </c>
      <c r="P690" s="188">
        <f>C753</f>
        <v>381.37</v>
      </c>
      <c r="Q690" s="181" t="s">
        <v>578</v>
      </c>
      <c r="R690" s="188">
        <f t="shared" si="39"/>
        <v>493.87</v>
      </c>
      <c r="AG690" s="181" t="s">
        <v>2175</v>
      </c>
    </row>
    <row r="691" spans="1:33" hidden="1">
      <c r="A691" s="240">
        <f t="shared" si="38"/>
        <v>518</v>
      </c>
      <c r="B691" s="181" t="s">
        <v>226</v>
      </c>
      <c r="C691" s="8">
        <v>19.09</v>
      </c>
      <c r="D691" s="1" t="s">
        <v>835</v>
      </c>
      <c r="E691"/>
      <c r="G691" s="187" t="s">
        <v>419</v>
      </c>
      <c r="H691" s="181" t="s">
        <v>1250</v>
      </c>
      <c r="I691"/>
      <c r="J691" s="2" t="s">
        <v>419</v>
      </c>
      <c r="K691" s="8">
        <v>5</v>
      </c>
      <c r="M691" s="256">
        <v>1.8149999999999999</v>
      </c>
      <c r="N691" s="181" t="s">
        <v>578</v>
      </c>
      <c r="O691" s="181" t="s">
        <v>2012</v>
      </c>
      <c r="P691" s="188">
        <f>C31</f>
        <v>342</v>
      </c>
      <c r="Q691" s="181" t="s">
        <v>578</v>
      </c>
      <c r="R691" s="188">
        <f t="shared" si="39"/>
        <v>620.73</v>
      </c>
      <c r="AG691" s="181" t="s">
        <v>2175</v>
      </c>
    </row>
    <row r="692" spans="1:33" hidden="1">
      <c r="A692" s="240">
        <f t="shared" si="38"/>
        <v>519</v>
      </c>
      <c r="B692" s="181" t="s">
        <v>465</v>
      </c>
      <c r="C692" s="8">
        <v>50.66</v>
      </c>
      <c r="D692" s="1" t="s">
        <v>835</v>
      </c>
      <c r="E692"/>
      <c r="I692"/>
      <c r="J692" s="4"/>
      <c r="K692" s="5" t="s">
        <v>1530</v>
      </c>
      <c r="M692" s="188">
        <v>2</v>
      </c>
      <c r="N692" s="181" t="s">
        <v>835</v>
      </c>
      <c r="O692" s="181" t="s">
        <v>1664</v>
      </c>
      <c r="P692" s="188">
        <f>C298</f>
        <v>10.5</v>
      </c>
      <c r="Q692" s="181" t="s">
        <v>835</v>
      </c>
      <c r="R692" s="188">
        <f t="shared" si="39"/>
        <v>21</v>
      </c>
      <c r="AG692" s="181" t="s">
        <v>2175</v>
      </c>
    </row>
    <row r="693" spans="1:33" hidden="1">
      <c r="A693" s="240">
        <f t="shared" si="38"/>
        <v>520</v>
      </c>
      <c r="B693" s="181" t="s">
        <v>1563</v>
      </c>
      <c r="C693" s="8">
        <v>1183.82</v>
      </c>
      <c r="D693" s="1" t="s">
        <v>578</v>
      </c>
      <c r="E693"/>
      <c r="H693" s="181" t="s">
        <v>411</v>
      </c>
      <c r="I693"/>
      <c r="J693" s="4"/>
      <c r="K693" s="8">
        <f>SUM(K688:K691)</f>
        <v>2465.4</v>
      </c>
      <c r="M693" s="188">
        <v>3</v>
      </c>
      <c r="N693" s="181" t="s">
        <v>835</v>
      </c>
      <c r="O693" s="181" t="s">
        <v>1564</v>
      </c>
      <c r="P693" s="188">
        <f>C294</f>
        <v>8.5</v>
      </c>
      <c r="Q693" s="181" t="s">
        <v>835</v>
      </c>
      <c r="R693" s="188">
        <f t="shared" si="39"/>
        <v>25.5</v>
      </c>
      <c r="AG693" s="181" t="s">
        <v>2175</v>
      </c>
    </row>
    <row r="694" spans="1:33" hidden="1">
      <c r="A694" s="240">
        <f t="shared" si="38"/>
        <v>521</v>
      </c>
      <c r="B694" s="181" t="s">
        <v>1565</v>
      </c>
      <c r="C694" s="8">
        <v>1605</v>
      </c>
      <c r="D694" s="1" t="s">
        <v>578</v>
      </c>
      <c r="E694"/>
      <c r="I694"/>
      <c r="J694" s="4"/>
      <c r="K694" s="5" t="s">
        <v>1530</v>
      </c>
      <c r="M694" s="188">
        <v>1</v>
      </c>
      <c r="N694" s="181" t="s">
        <v>835</v>
      </c>
      <c r="O694" s="181" t="s">
        <v>1649</v>
      </c>
      <c r="P694" s="188">
        <f>C300</f>
        <v>21</v>
      </c>
      <c r="Q694" s="181" t="s">
        <v>835</v>
      </c>
      <c r="R694" s="188">
        <f t="shared" si="39"/>
        <v>21</v>
      </c>
      <c r="AG694" s="181" t="s">
        <v>2175</v>
      </c>
    </row>
    <row r="695" spans="1:33" hidden="1">
      <c r="A695" s="240">
        <f t="shared" si="38"/>
        <v>522</v>
      </c>
      <c r="B695" s="181" t="s">
        <v>1657</v>
      </c>
      <c r="C695" s="1" t="s">
        <v>2873</v>
      </c>
      <c r="D695" s="1" t="s">
        <v>1658</v>
      </c>
      <c r="E695"/>
      <c r="H695" s="181" t="s">
        <v>521</v>
      </c>
      <c r="I695"/>
      <c r="J695" s="4"/>
      <c r="K695" s="8">
        <f>(K693/10)</f>
        <v>246.54</v>
      </c>
      <c r="M695" s="188">
        <v>1</v>
      </c>
      <c r="N695" s="181" t="s">
        <v>835</v>
      </c>
      <c r="O695" s="181" t="s">
        <v>1911</v>
      </c>
      <c r="P695" s="188">
        <f>C302</f>
        <v>4</v>
      </c>
      <c r="Q695" s="181" t="s">
        <v>835</v>
      </c>
      <c r="R695" s="188">
        <f t="shared" si="39"/>
        <v>4</v>
      </c>
      <c r="AG695" s="181" t="s">
        <v>2175</v>
      </c>
    </row>
    <row r="696" spans="1:33" hidden="1">
      <c r="A696" s="240">
        <f t="shared" si="38"/>
        <v>523</v>
      </c>
      <c r="B696" s="181" t="s">
        <v>1659</v>
      </c>
      <c r="C696" s="8">
        <v>147.6</v>
      </c>
      <c r="D696" s="1" t="s">
        <v>1714</v>
      </c>
      <c r="E696"/>
      <c r="I696"/>
      <c r="J696" s="4"/>
      <c r="K696" s="5" t="s">
        <v>1980</v>
      </c>
      <c r="N696" s="181" t="s">
        <v>419</v>
      </c>
      <c r="O696" s="181" t="s">
        <v>420</v>
      </c>
      <c r="Q696" s="181" t="s">
        <v>419</v>
      </c>
      <c r="R696" s="188">
        <v>0</v>
      </c>
      <c r="AG696" s="181" t="s">
        <v>2175</v>
      </c>
    </row>
    <row r="697" spans="1:33" hidden="1">
      <c r="A697" s="240">
        <f t="shared" si="38"/>
        <v>524</v>
      </c>
      <c r="B697" s="181" t="s">
        <v>1660</v>
      </c>
      <c r="C697" s="8">
        <v>147.6</v>
      </c>
      <c r="D697" s="1" t="s">
        <v>1714</v>
      </c>
      <c r="E697"/>
      <c r="I697"/>
      <c r="J697" s="4"/>
      <c r="K697"/>
      <c r="R697" s="185" t="s">
        <v>1530</v>
      </c>
      <c r="AG697" s="181" t="s">
        <v>2175</v>
      </c>
    </row>
    <row r="698" spans="1:33" hidden="1">
      <c r="A698" s="240">
        <f t="shared" si="38"/>
        <v>525</v>
      </c>
      <c r="B698" s="181" t="s">
        <v>1661</v>
      </c>
      <c r="C698" s="8">
        <v>147.6</v>
      </c>
      <c r="D698" s="1" t="s">
        <v>1714</v>
      </c>
      <c r="E698"/>
      <c r="F698" s="236" t="s">
        <v>1971</v>
      </c>
      <c r="G698" s="187" t="s">
        <v>2167</v>
      </c>
      <c r="H698" s="181" t="s">
        <v>10</v>
      </c>
      <c r="I698"/>
      <c r="J698" s="4"/>
      <c r="K698"/>
      <c r="O698" s="236" t="s">
        <v>11</v>
      </c>
      <c r="R698" s="188">
        <f>SUM(R689:R696)</f>
        <v>1807.62</v>
      </c>
      <c r="AG698" s="181" t="s">
        <v>2175</v>
      </c>
    </row>
    <row r="699" spans="1:33" hidden="1">
      <c r="A699" s="240">
        <f t="shared" si="38"/>
        <v>526</v>
      </c>
      <c r="B699" s="181" t="s">
        <v>616</v>
      </c>
      <c r="C699" s="8">
        <v>1250</v>
      </c>
      <c r="D699" s="1" t="s">
        <v>578</v>
      </c>
      <c r="E699"/>
      <c r="H699" s="181" t="s">
        <v>617</v>
      </c>
      <c r="I699"/>
      <c r="J699" s="4"/>
      <c r="K699"/>
      <c r="R699" s="185" t="s">
        <v>1530</v>
      </c>
      <c r="AG699" s="181" t="s">
        <v>2175</v>
      </c>
    </row>
    <row r="700" spans="1:33" hidden="1">
      <c r="A700" s="240">
        <f t="shared" si="38"/>
        <v>527</v>
      </c>
      <c r="B700" s="181" t="s">
        <v>618</v>
      </c>
      <c r="C700" s="8">
        <v>1250</v>
      </c>
      <c r="D700" s="1" t="s">
        <v>578</v>
      </c>
      <c r="E700"/>
      <c r="H700" s="181" t="s">
        <v>619</v>
      </c>
      <c r="I700"/>
      <c r="J700" s="4"/>
      <c r="K700"/>
      <c r="N700" s="181" t="s">
        <v>940</v>
      </c>
      <c r="O700" s="236" t="s">
        <v>521</v>
      </c>
      <c r="R700" s="188">
        <f>R698/M690</f>
        <v>1395.85</v>
      </c>
      <c r="AG700" s="181" t="s">
        <v>2175</v>
      </c>
    </row>
    <row r="701" spans="1:33" hidden="1">
      <c r="A701" s="240">
        <f t="shared" si="38"/>
        <v>528</v>
      </c>
      <c r="B701" s="181" t="s">
        <v>1189</v>
      </c>
      <c r="C701" s="8">
        <v>1250</v>
      </c>
      <c r="D701" s="1" t="s">
        <v>578</v>
      </c>
      <c r="E701"/>
      <c r="H701" s="181" t="s">
        <v>483</v>
      </c>
      <c r="I701"/>
      <c r="J701" s="4"/>
      <c r="K701"/>
      <c r="R701" s="185" t="s">
        <v>1980</v>
      </c>
      <c r="AG701" s="181" t="s">
        <v>2175</v>
      </c>
    </row>
    <row r="702" spans="1:33" hidden="1">
      <c r="A702" s="240">
        <f t="shared" si="38"/>
        <v>529</v>
      </c>
      <c r="B702" s="181" t="s">
        <v>484</v>
      </c>
      <c r="C702" s="8">
        <v>1250</v>
      </c>
      <c r="D702" s="1" t="s">
        <v>578</v>
      </c>
      <c r="E702"/>
      <c r="H702" s="181" t="s">
        <v>485</v>
      </c>
      <c r="I702"/>
      <c r="J702" s="4"/>
      <c r="K702"/>
      <c r="M702" s="236" t="s">
        <v>1484</v>
      </c>
      <c r="N702" s="181" t="s">
        <v>486</v>
      </c>
      <c r="O702" s="181" t="s">
        <v>487</v>
      </c>
      <c r="AG702" s="181" t="s">
        <v>2175</v>
      </c>
    </row>
    <row r="703" spans="1:33" hidden="1">
      <c r="A703" s="240">
        <f t="shared" si="38"/>
        <v>530</v>
      </c>
      <c r="B703" s="181" t="s">
        <v>488</v>
      </c>
      <c r="C703" s="8">
        <v>1250</v>
      </c>
      <c r="D703" s="1" t="s">
        <v>578</v>
      </c>
      <c r="E703"/>
      <c r="H703" s="181" t="s">
        <v>1</v>
      </c>
      <c r="I703"/>
      <c r="J703" s="4"/>
      <c r="K703"/>
      <c r="O703" s="185" t="s">
        <v>1530</v>
      </c>
      <c r="AG703" s="181" t="s">
        <v>2175</v>
      </c>
    </row>
    <row r="704" spans="1:33" hidden="1">
      <c r="A704" s="240">
        <f t="shared" si="38"/>
        <v>531</v>
      </c>
      <c r="B704" s="181" t="s">
        <v>731</v>
      </c>
      <c r="C704" s="8">
        <v>1250</v>
      </c>
      <c r="D704" s="1" t="s">
        <v>578</v>
      </c>
      <c r="E704"/>
      <c r="H704" s="181" t="s">
        <v>1180</v>
      </c>
      <c r="I704"/>
      <c r="J704" s="4"/>
      <c r="K704"/>
      <c r="M704" s="256">
        <v>2.5499999999999998E-2</v>
      </c>
      <c r="N704" s="181" t="s">
        <v>836</v>
      </c>
      <c r="O704" s="181" t="s">
        <v>1264</v>
      </c>
      <c r="P704" s="188">
        <f>C86+2500</f>
        <v>23105</v>
      </c>
      <c r="Q704" s="181" t="s">
        <v>836</v>
      </c>
      <c r="R704" s="188">
        <f t="shared" ref="R704:R710" si="40">M704*P704</f>
        <v>589.17999999999995</v>
      </c>
      <c r="AG704" s="181" t="s">
        <v>2175</v>
      </c>
    </row>
    <row r="705" spans="1:33" hidden="1">
      <c r="A705" s="240">
        <f t="shared" si="38"/>
        <v>532</v>
      </c>
      <c r="B705" s="181" t="s">
        <v>1181</v>
      </c>
      <c r="C705" s="8">
        <v>1250</v>
      </c>
      <c r="D705" s="1" t="s">
        <v>578</v>
      </c>
      <c r="E705"/>
      <c r="H705" s="185" t="s">
        <v>1530</v>
      </c>
      <c r="I705" s="5" t="s">
        <v>1530</v>
      </c>
      <c r="J705" s="2" t="s">
        <v>1530</v>
      </c>
      <c r="K705"/>
      <c r="M705" s="256">
        <v>1.1299999999999999</v>
      </c>
      <c r="N705" s="181" t="s">
        <v>578</v>
      </c>
      <c r="O705" s="181" t="s">
        <v>1249</v>
      </c>
      <c r="P705" s="188">
        <f>C753</f>
        <v>381.37</v>
      </c>
      <c r="Q705" s="181" t="s">
        <v>578</v>
      </c>
      <c r="R705" s="188">
        <f t="shared" si="40"/>
        <v>430.95</v>
      </c>
      <c r="AG705" s="181" t="s">
        <v>2175</v>
      </c>
    </row>
    <row r="706" spans="1:33" hidden="1">
      <c r="A706" s="240">
        <f t="shared" si="38"/>
        <v>533</v>
      </c>
      <c r="B706" s="181" t="s">
        <v>1182</v>
      </c>
      <c r="C706" s="8">
        <v>1250</v>
      </c>
      <c r="D706" s="1" t="s">
        <v>578</v>
      </c>
      <c r="E706"/>
      <c r="F706" s="188">
        <v>13.46</v>
      </c>
      <c r="G706" s="187" t="s">
        <v>254</v>
      </c>
      <c r="H706" s="181" t="s">
        <v>255</v>
      </c>
      <c r="I706" s="8">
        <f>C34/1000</f>
        <v>30</v>
      </c>
      <c r="J706" s="2" t="s">
        <v>254</v>
      </c>
      <c r="K706" s="8">
        <f>(F706*I706)</f>
        <v>403.8</v>
      </c>
      <c r="M706" s="256">
        <v>1.6191</v>
      </c>
      <c r="N706" s="181" t="s">
        <v>578</v>
      </c>
      <c r="O706" s="181" t="s">
        <v>2012</v>
      </c>
      <c r="P706" s="188">
        <f>C31</f>
        <v>342</v>
      </c>
      <c r="Q706" s="181" t="s">
        <v>578</v>
      </c>
      <c r="R706" s="188">
        <f t="shared" si="40"/>
        <v>553.73</v>
      </c>
      <c r="AG706" s="181" t="s">
        <v>2175</v>
      </c>
    </row>
    <row r="707" spans="1:33" hidden="1">
      <c r="A707" s="240">
        <f t="shared" si="38"/>
        <v>534</v>
      </c>
      <c r="B707" s="181" t="s">
        <v>943</v>
      </c>
      <c r="C707" s="8">
        <v>1250</v>
      </c>
      <c r="D707" s="1" t="s">
        <v>578</v>
      </c>
      <c r="E707"/>
      <c r="H707" s="181" t="s">
        <v>944</v>
      </c>
      <c r="I707"/>
      <c r="J707" s="4"/>
      <c r="K707"/>
      <c r="M707" s="188">
        <v>2</v>
      </c>
      <c r="N707" s="181" t="s">
        <v>835</v>
      </c>
      <c r="O707" s="181" t="s">
        <v>1664</v>
      </c>
      <c r="P707" s="188">
        <f>C298</f>
        <v>10.5</v>
      </c>
      <c r="Q707" s="181" t="s">
        <v>835</v>
      </c>
      <c r="R707" s="188">
        <f t="shared" si="40"/>
        <v>21</v>
      </c>
      <c r="AG707" s="181" t="s">
        <v>2175</v>
      </c>
    </row>
    <row r="708" spans="1:33" hidden="1">
      <c r="A708" s="240">
        <f t="shared" ref="A708:A733" si="41">(A707+1)</f>
        <v>535</v>
      </c>
      <c r="B708" s="181" t="s">
        <v>945</v>
      </c>
      <c r="C708" s="8">
        <v>1250</v>
      </c>
      <c r="D708" s="1" t="s">
        <v>578</v>
      </c>
      <c r="E708"/>
      <c r="F708" s="188">
        <v>4</v>
      </c>
      <c r="G708" s="187" t="s">
        <v>254</v>
      </c>
      <c r="H708" s="181" t="s">
        <v>946</v>
      </c>
      <c r="I708" s="8">
        <f>D34/1000</f>
        <v>30</v>
      </c>
      <c r="J708" s="2" t="s">
        <v>254</v>
      </c>
      <c r="K708" s="8">
        <f>(F708*I708)</f>
        <v>120</v>
      </c>
      <c r="M708" s="188">
        <v>3</v>
      </c>
      <c r="N708" s="181" t="s">
        <v>835</v>
      </c>
      <c r="O708" s="181" t="s">
        <v>1564</v>
      </c>
      <c r="P708" s="188">
        <f>C294</f>
        <v>8.5</v>
      </c>
      <c r="Q708" s="181" t="s">
        <v>835</v>
      </c>
      <c r="R708" s="188">
        <f t="shared" si="40"/>
        <v>25.5</v>
      </c>
      <c r="AG708" s="181" t="s">
        <v>2175</v>
      </c>
    </row>
    <row r="709" spans="1:33" hidden="1">
      <c r="A709" s="240">
        <f t="shared" si="41"/>
        <v>536</v>
      </c>
      <c r="B709" s="181" t="s">
        <v>907</v>
      </c>
      <c r="C709" s="8">
        <v>1250</v>
      </c>
      <c r="D709" s="1" t="s">
        <v>578</v>
      </c>
      <c r="E709"/>
      <c r="H709" s="181" t="s">
        <v>997</v>
      </c>
      <c r="I709"/>
      <c r="J709" s="4"/>
      <c r="K709"/>
      <c r="M709" s="188">
        <v>1</v>
      </c>
      <c r="N709" s="181" t="s">
        <v>835</v>
      </c>
      <c r="O709" s="181" t="s">
        <v>1649</v>
      </c>
      <c r="P709" s="188">
        <f>C300</f>
        <v>21</v>
      </c>
      <c r="Q709" s="181" t="s">
        <v>835</v>
      </c>
      <c r="R709" s="188">
        <f t="shared" si="40"/>
        <v>21</v>
      </c>
      <c r="AG709" s="181" t="s">
        <v>2175</v>
      </c>
    </row>
    <row r="710" spans="1:33" hidden="1">
      <c r="A710" s="240">
        <f t="shared" si="41"/>
        <v>537</v>
      </c>
      <c r="B710" s="181" t="s">
        <v>1181</v>
      </c>
      <c r="C710" s="8">
        <v>1250</v>
      </c>
      <c r="D710" s="1" t="s">
        <v>578</v>
      </c>
      <c r="E710"/>
      <c r="F710" s="188"/>
      <c r="G710" s="187" t="s">
        <v>419</v>
      </c>
      <c r="H710" s="181" t="s">
        <v>1602</v>
      </c>
      <c r="I710"/>
      <c r="J710" s="2" t="s">
        <v>419</v>
      </c>
      <c r="K710" s="8">
        <v>40</v>
      </c>
      <c r="M710" s="188">
        <v>1</v>
      </c>
      <c r="N710" s="181" t="s">
        <v>835</v>
      </c>
      <c r="O710" s="181" t="s">
        <v>1911</v>
      </c>
      <c r="P710" s="188">
        <f>C302</f>
        <v>4</v>
      </c>
      <c r="Q710" s="181" t="s">
        <v>835</v>
      </c>
      <c r="R710" s="188">
        <f t="shared" si="40"/>
        <v>4</v>
      </c>
      <c r="AG710" s="181" t="s">
        <v>2175</v>
      </c>
    </row>
    <row r="711" spans="1:33" hidden="1">
      <c r="A711" s="240">
        <f t="shared" si="41"/>
        <v>538</v>
      </c>
      <c r="B711" s="181" t="s">
        <v>1603</v>
      </c>
      <c r="C711"/>
      <c r="D711" s="1" t="s">
        <v>940</v>
      </c>
      <c r="E711"/>
      <c r="H711" s="181" t="s">
        <v>1604</v>
      </c>
      <c r="I711"/>
      <c r="J711" s="4"/>
      <c r="K711" s="5" t="s">
        <v>1530</v>
      </c>
      <c r="N711" s="181" t="s">
        <v>419</v>
      </c>
      <c r="O711" s="181" t="s">
        <v>420</v>
      </c>
      <c r="Q711" s="181" t="s">
        <v>419</v>
      </c>
      <c r="R711" s="188">
        <v>0</v>
      </c>
      <c r="AG711" s="181" t="s">
        <v>2175</v>
      </c>
    </row>
    <row r="712" spans="1:33" hidden="1">
      <c r="A712" s="240">
        <f t="shared" si="41"/>
        <v>539</v>
      </c>
      <c r="B712" s="181" t="s">
        <v>1605</v>
      </c>
      <c r="C712" s="8">
        <v>65</v>
      </c>
      <c r="D712" s="1" t="s">
        <v>1658</v>
      </c>
      <c r="E712"/>
      <c r="H712" s="236" t="s">
        <v>24</v>
      </c>
      <c r="I712"/>
      <c r="J712" s="4"/>
      <c r="K712" s="8">
        <f>SUM(K706:K710)</f>
        <v>563.79999999999995</v>
      </c>
      <c r="R712" s="185" t="s">
        <v>1530</v>
      </c>
      <c r="AG712" s="181" t="s">
        <v>2175</v>
      </c>
    </row>
    <row r="713" spans="1:33" hidden="1">
      <c r="A713" s="240">
        <f t="shared" si="41"/>
        <v>540</v>
      </c>
      <c r="B713" s="181" t="s">
        <v>25</v>
      </c>
      <c r="C713" s="8">
        <v>64.55</v>
      </c>
      <c r="D713" s="1" t="s">
        <v>1658</v>
      </c>
      <c r="E713"/>
      <c r="I713"/>
      <c r="J713" s="4"/>
      <c r="K713" s="5" t="s">
        <v>1530</v>
      </c>
      <c r="O713" s="236" t="s">
        <v>26</v>
      </c>
      <c r="R713" s="188">
        <f>SUM(R704:R711)</f>
        <v>1645.36</v>
      </c>
      <c r="AG713" s="181" t="s">
        <v>2175</v>
      </c>
    </row>
    <row r="714" spans="1:33" hidden="1">
      <c r="A714" s="240">
        <f t="shared" si="41"/>
        <v>541</v>
      </c>
      <c r="B714" s="181" t="s">
        <v>27</v>
      </c>
      <c r="C714" s="8">
        <v>110.95</v>
      </c>
      <c r="D714" s="1" t="s">
        <v>1658</v>
      </c>
      <c r="E714"/>
      <c r="H714" s="236" t="s">
        <v>28</v>
      </c>
      <c r="I714"/>
      <c r="J714" s="4"/>
      <c r="K714" s="8">
        <f>K712/40</f>
        <v>14.1</v>
      </c>
      <c r="R714" s="185" t="s">
        <v>1530</v>
      </c>
      <c r="AG714" s="181" t="s">
        <v>2175</v>
      </c>
    </row>
    <row r="715" spans="1:33" hidden="1">
      <c r="A715" s="240">
        <f t="shared" si="41"/>
        <v>542</v>
      </c>
      <c r="B715" s="181" t="s">
        <v>984</v>
      </c>
      <c r="C715" s="8">
        <v>399</v>
      </c>
      <c r="D715" s="1" t="s">
        <v>1658</v>
      </c>
      <c r="E715"/>
      <c r="I715"/>
      <c r="J715" s="4"/>
      <c r="K715" s="5" t="s">
        <v>1530</v>
      </c>
      <c r="O715" s="236" t="s">
        <v>521</v>
      </c>
      <c r="R715" s="188">
        <f>R713/M706</f>
        <v>1016.22</v>
      </c>
      <c r="AG715" s="181" t="s">
        <v>2175</v>
      </c>
    </row>
    <row r="716" spans="1:33" hidden="1">
      <c r="A716" s="240">
        <f t="shared" si="41"/>
        <v>543</v>
      </c>
      <c r="B716" s="181" t="s">
        <v>863</v>
      </c>
      <c r="C716" s="8">
        <v>92</v>
      </c>
      <c r="D716" s="1" t="s">
        <v>1658</v>
      </c>
      <c r="E716"/>
      <c r="H716" s="181" t="s">
        <v>864</v>
      </c>
      <c r="I716"/>
      <c r="J716" s="4"/>
      <c r="K716"/>
      <c r="R716" s="185" t="s">
        <v>1980</v>
      </c>
      <c r="AG716" s="181" t="s">
        <v>2175</v>
      </c>
    </row>
    <row r="717" spans="1:33" hidden="1">
      <c r="A717" s="240">
        <f t="shared" si="41"/>
        <v>544</v>
      </c>
      <c r="B717" s="181" t="s">
        <v>291</v>
      </c>
      <c r="C717" s="8">
        <v>174.24</v>
      </c>
      <c r="D717" s="1" t="s">
        <v>1658</v>
      </c>
      <c r="E717"/>
      <c r="H717" s="181" t="s">
        <v>292</v>
      </c>
      <c r="I717"/>
      <c r="J717" s="4"/>
      <c r="K717"/>
      <c r="AG717" s="181" t="s">
        <v>2175</v>
      </c>
    </row>
    <row r="718" spans="1:33" hidden="1">
      <c r="A718" s="240">
        <f t="shared" si="41"/>
        <v>545</v>
      </c>
      <c r="B718" s="181" t="s">
        <v>293</v>
      </c>
      <c r="C718" s="8">
        <v>215.06</v>
      </c>
      <c r="D718" s="1" t="s">
        <v>1658</v>
      </c>
      <c r="E718"/>
      <c r="H718" s="181" t="s">
        <v>294</v>
      </c>
      <c r="I718"/>
      <c r="J718" s="4"/>
      <c r="K718"/>
      <c r="M718" s="236" t="s">
        <v>1484</v>
      </c>
      <c r="N718" s="181" t="s">
        <v>295</v>
      </c>
      <c r="O718" s="181" t="s">
        <v>1566</v>
      </c>
      <c r="AG718" s="181" t="s">
        <v>2175</v>
      </c>
    </row>
    <row r="719" spans="1:33" hidden="1">
      <c r="A719" s="240">
        <f t="shared" si="41"/>
        <v>546</v>
      </c>
      <c r="B719" s="181" t="s">
        <v>1567</v>
      </c>
      <c r="C719" s="8">
        <v>97.24</v>
      </c>
      <c r="D719" s="1" t="s">
        <v>1658</v>
      </c>
      <c r="E719"/>
      <c r="I719"/>
      <c r="J719" s="4"/>
      <c r="K719"/>
      <c r="O719" s="185" t="s">
        <v>1530</v>
      </c>
      <c r="AG719" s="181" t="s">
        <v>2175</v>
      </c>
    </row>
    <row r="720" spans="1:33" hidden="1">
      <c r="A720" s="240">
        <f t="shared" si="41"/>
        <v>547</v>
      </c>
      <c r="B720" s="181" t="s">
        <v>1374</v>
      </c>
      <c r="C720" s="8">
        <v>168.96</v>
      </c>
      <c r="D720" s="1" t="s">
        <v>1658</v>
      </c>
      <c r="E720"/>
      <c r="F720" s="188">
        <v>19</v>
      </c>
      <c r="G720" s="187" t="s">
        <v>1375</v>
      </c>
      <c r="H720" s="181" t="s">
        <v>67</v>
      </c>
      <c r="I720" s="8">
        <f>K714</f>
        <v>14.1</v>
      </c>
      <c r="J720" s="2" t="s">
        <v>245</v>
      </c>
      <c r="K720" s="8">
        <f>(F720*I720)</f>
        <v>267.89999999999998</v>
      </c>
      <c r="M720" s="256">
        <v>2.35E-2</v>
      </c>
      <c r="N720" s="181" t="s">
        <v>836</v>
      </c>
      <c r="O720" s="181" t="s">
        <v>1264</v>
      </c>
      <c r="P720" s="188">
        <f>C86+2500</f>
        <v>23105</v>
      </c>
      <c r="Q720" s="181" t="s">
        <v>836</v>
      </c>
      <c r="R720" s="188">
        <f t="shared" ref="R720:R726" si="42">M720*P720</f>
        <v>542.97</v>
      </c>
      <c r="AG720" s="181" t="s">
        <v>2175</v>
      </c>
    </row>
    <row r="721" spans="1:33" hidden="1">
      <c r="A721" s="240">
        <f t="shared" si="41"/>
        <v>548</v>
      </c>
      <c r="B721" s="181" t="s">
        <v>2874</v>
      </c>
      <c r="C721" s="8">
        <v>227</v>
      </c>
      <c r="D721" s="8">
        <v>247</v>
      </c>
      <c r="E721"/>
      <c r="H721" s="181" t="s">
        <v>1606</v>
      </c>
      <c r="I721"/>
      <c r="J721" s="4"/>
      <c r="K721"/>
      <c r="M721" s="256">
        <v>0.872</v>
      </c>
      <c r="N721" s="181" t="s">
        <v>578</v>
      </c>
      <c r="O721" s="181" t="s">
        <v>1249</v>
      </c>
      <c r="P721" s="188">
        <f>C753</f>
        <v>381.37</v>
      </c>
      <c r="Q721" s="181" t="s">
        <v>578</v>
      </c>
      <c r="R721" s="188">
        <f t="shared" si="42"/>
        <v>332.55</v>
      </c>
      <c r="AG721" s="181" t="s">
        <v>2175</v>
      </c>
    </row>
    <row r="722" spans="1:33" hidden="1">
      <c r="A722" s="240">
        <f t="shared" si="41"/>
        <v>549</v>
      </c>
      <c r="B722" s="181" t="s">
        <v>2069</v>
      </c>
      <c r="C722" s="8">
        <v>250</v>
      </c>
      <c r="D722" s="1" t="s">
        <v>1658</v>
      </c>
      <c r="E722"/>
      <c r="F722" s="188">
        <v>0.12</v>
      </c>
      <c r="G722" s="187" t="s">
        <v>2070</v>
      </c>
      <c r="H722" s="181" t="s">
        <v>2875</v>
      </c>
      <c r="I722" s="8">
        <f>C268/5</f>
        <v>1879</v>
      </c>
      <c r="J722" s="2" t="s">
        <v>245</v>
      </c>
      <c r="K722" s="8">
        <f t="shared" ref="K722:K729" si="43">(F722*I722)</f>
        <v>225.48</v>
      </c>
      <c r="M722" s="256">
        <v>1.3247</v>
      </c>
      <c r="N722" s="181" t="s">
        <v>578</v>
      </c>
      <c r="O722" s="181" t="s">
        <v>2012</v>
      </c>
      <c r="P722" s="188">
        <f>C31</f>
        <v>342</v>
      </c>
      <c r="Q722" s="181" t="s">
        <v>578</v>
      </c>
      <c r="R722" s="188">
        <f t="shared" si="42"/>
        <v>453.05</v>
      </c>
      <c r="AG722" s="181" t="s">
        <v>2175</v>
      </c>
    </row>
    <row r="723" spans="1:33" hidden="1">
      <c r="A723" s="240">
        <f t="shared" si="41"/>
        <v>550</v>
      </c>
      <c r="B723" s="181" t="s">
        <v>793</v>
      </c>
      <c r="C723" s="8">
        <v>210</v>
      </c>
      <c r="D723" s="1" t="s">
        <v>1658</v>
      </c>
      <c r="E723"/>
      <c r="F723" s="188">
        <v>98.5</v>
      </c>
      <c r="G723" s="187" t="s">
        <v>794</v>
      </c>
      <c r="H723" s="181" t="s">
        <v>795</v>
      </c>
      <c r="I723" s="8">
        <f>C269/5</f>
        <v>3</v>
      </c>
      <c r="J723" s="2" t="s">
        <v>245</v>
      </c>
      <c r="K723" s="8">
        <f t="shared" si="43"/>
        <v>295.5</v>
      </c>
      <c r="M723" s="188">
        <v>1</v>
      </c>
      <c r="N723" s="181" t="s">
        <v>835</v>
      </c>
      <c r="O723" s="181" t="s">
        <v>1664</v>
      </c>
      <c r="P723" s="188">
        <f>C298</f>
        <v>10.5</v>
      </c>
      <c r="Q723" s="181" t="s">
        <v>835</v>
      </c>
      <c r="R723" s="188">
        <f t="shared" si="42"/>
        <v>10.5</v>
      </c>
      <c r="AG723" s="181" t="s">
        <v>2175</v>
      </c>
    </row>
    <row r="724" spans="1:33" hidden="1">
      <c r="A724" s="240">
        <f t="shared" si="41"/>
        <v>551</v>
      </c>
      <c r="B724" s="181" t="s">
        <v>2876</v>
      </c>
      <c r="C724" s="8">
        <v>1022.58</v>
      </c>
      <c r="D724" s="1" t="s">
        <v>578</v>
      </c>
      <c r="E724"/>
      <c r="F724" s="188">
        <v>1</v>
      </c>
      <c r="G724" s="187" t="s">
        <v>419</v>
      </c>
      <c r="H724" s="181" t="s">
        <v>1334</v>
      </c>
      <c r="I724" s="8">
        <v>11</v>
      </c>
      <c r="J724" s="2" t="s">
        <v>419</v>
      </c>
      <c r="K724" s="8">
        <f t="shared" si="43"/>
        <v>11</v>
      </c>
      <c r="M724" s="188">
        <v>3</v>
      </c>
      <c r="N724" s="181" t="s">
        <v>835</v>
      </c>
      <c r="O724" s="181" t="s">
        <v>1335</v>
      </c>
      <c r="P724" s="188">
        <f>C293</f>
        <v>5.75</v>
      </c>
      <c r="Q724" s="181" t="s">
        <v>835</v>
      </c>
      <c r="R724" s="188">
        <f t="shared" si="42"/>
        <v>17.25</v>
      </c>
      <c r="AG724" s="181" t="s">
        <v>2175</v>
      </c>
    </row>
    <row r="725" spans="1:33" hidden="1">
      <c r="A725" s="240">
        <f t="shared" si="41"/>
        <v>552</v>
      </c>
      <c r="B725" s="181" t="s">
        <v>1336</v>
      </c>
      <c r="C725"/>
      <c r="D725" s="1" t="s">
        <v>940</v>
      </c>
      <c r="E725"/>
      <c r="F725" s="188">
        <v>3.8</v>
      </c>
      <c r="G725" s="187" t="s">
        <v>1337</v>
      </c>
      <c r="H725" s="181" t="s">
        <v>1338</v>
      </c>
      <c r="I725" s="8">
        <f>C16</f>
        <v>150</v>
      </c>
      <c r="J725" s="2" t="s">
        <v>1341</v>
      </c>
      <c r="K725" s="8">
        <f t="shared" si="43"/>
        <v>570</v>
      </c>
      <c r="M725" s="188">
        <v>1</v>
      </c>
      <c r="N725" s="181" t="s">
        <v>835</v>
      </c>
      <c r="O725" s="181" t="s">
        <v>1339</v>
      </c>
      <c r="P725" s="188">
        <f>C301</f>
        <v>10</v>
      </c>
      <c r="Q725" s="181" t="s">
        <v>835</v>
      </c>
      <c r="R725" s="188">
        <f t="shared" si="42"/>
        <v>10</v>
      </c>
      <c r="AG725" s="181" t="s">
        <v>2175</v>
      </c>
    </row>
    <row r="726" spans="1:33" hidden="1">
      <c r="A726" s="240">
        <f t="shared" si="41"/>
        <v>553</v>
      </c>
      <c r="B726" s="181" t="s">
        <v>1340</v>
      </c>
      <c r="C726"/>
      <c r="D726"/>
      <c r="E726"/>
      <c r="F726" s="188">
        <v>5.4</v>
      </c>
      <c r="G726" s="187" t="s">
        <v>1337</v>
      </c>
      <c r="H726" s="181" t="s">
        <v>792</v>
      </c>
      <c r="I726" s="8">
        <f>C12</f>
        <v>95</v>
      </c>
      <c r="J726" s="2" t="s">
        <v>1341</v>
      </c>
      <c r="K726" s="8">
        <f t="shared" si="43"/>
        <v>513</v>
      </c>
      <c r="M726" s="188">
        <v>1</v>
      </c>
      <c r="N726" s="181" t="s">
        <v>835</v>
      </c>
      <c r="O726" s="181" t="s">
        <v>1911</v>
      </c>
      <c r="P726" s="188">
        <f>C302</f>
        <v>4</v>
      </c>
      <c r="Q726" s="181" t="s">
        <v>835</v>
      </c>
      <c r="R726" s="188">
        <f t="shared" si="42"/>
        <v>4</v>
      </c>
      <c r="AG726" s="181" t="s">
        <v>2175</v>
      </c>
    </row>
    <row r="727" spans="1:33" hidden="1">
      <c r="A727" s="240">
        <f t="shared" si="41"/>
        <v>554</v>
      </c>
      <c r="B727" s="181" t="s">
        <v>2096</v>
      </c>
      <c r="C727" s="8">
        <v>300</v>
      </c>
      <c r="D727" s="1" t="s">
        <v>2201</v>
      </c>
      <c r="E727"/>
      <c r="F727" s="188">
        <v>1</v>
      </c>
      <c r="G727" s="187" t="s">
        <v>1337</v>
      </c>
      <c r="H727" s="181" t="s">
        <v>2202</v>
      </c>
      <c r="I727" s="8">
        <f>C66</f>
        <v>120</v>
      </c>
      <c r="J727" s="2" t="s">
        <v>1341</v>
      </c>
      <c r="K727" s="8">
        <f t="shared" si="43"/>
        <v>120</v>
      </c>
      <c r="N727" s="181" t="s">
        <v>419</v>
      </c>
      <c r="O727" s="181" t="s">
        <v>420</v>
      </c>
      <c r="Q727" s="181" t="s">
        <v>419</v>
      </c>
      <c r="R727" s="188">
        <v>0</v>
      </c>
      <c r="AG727" s="181" t="s">
        <v>2175</v>
      </c>
    </row>
    <row r="728" spans="1:33" hidden="1">
      <c r="A728" s="240">
        <f t="shared" si="41"/>
        <v>555</v>
      </c>
      <c r="B728" s="236" t="s">
        <v>744</v>
      </c>
      <c r="C728" s="8">
        <v>302</v>
      </c>
      <c r="D728" s="1" t="s">
        <v>2201</v>
      </c>
      <c r="E728"/>
      <c r="F728" s="188">
        <v>1</v>
      </c>
      <c r="G728" s="187" t="s">
        <v>419</v>
      </c>
      <c r="H728" s="181" t="s">
        <v>745</v>
      </c>
      <c r="I728" s="8">
        <v>10</v>
      </c>
      <c r="J728" s="2" t="s">
        <v>419</v>
      </c>
      <c r="K728" s="8">
        <f t="shared" si="43"/>
        <v>10</v>
      </c>
      <c r="R728" s="185" t="s">
        <v>1530</v>
      </c>
      <c r="AG728" s="181" t="s">
        <v>2175</v>
      </c>
    </row>
    <row r="729" spans="1:33" hidden="1">
      <c r="A729" s="240">
        <f t="shared" si="41"/>
        <v>556</v>
      </c>
      <c r="B729" s="181" t="s">
        <v>746</v>
      </c>
      <c r="C729" s="8">
        <v>382</v>
      </c>
      <c r="D729" s="1" t="s">
        <v>2201</v>
      </c>
      <c r="E729"/>
      <c r="F729" s="188">
        <v>19</v>
      </c>
      <c r="G729" s="187" t="s">
        <v>1375</v>
      </c>
      <c r="H729" s="181" t="s">
        <v>747</v>
      </c>
      <c r="I729" s="8">
        <v>2</v>
      </c>
      <c r="J729" s="2" t="s">
        <v>1375</v>
      </c>
      <c r="K729" s="8">
        <f t="shared" si="43"/>
        <v>38</v>
      </c>
      <c r="O729" s="236" t="s">
        <v>714</v>
      </c>
      <c r="R729" s="188">
        <f>SUM(R720:R727)</f>
        <v>1370.32</v>
      </c>
      <c r="AG729" s="181" t="s">
        <v>2175</v>
      </c>
    </row>
    <row r="730" spans="1:33" hidden="1">
      <c r="A730" s="240">
        <f t="shared" si="41"/>
        <v>557</v>
      </c>
      <c r="B730" s="181" t="s">
        <v>539</v>
      </c>
      <c r="C730" s="8">
        <v>140</v>
      </c>
      <c r="D730" s="1" t="s">
        <v>2201</v>
      </c>
      <c r="E730"/>
      <c r="H730" s="181" t="s">
        <v>469</v>
      </c>
      <c r="I730"/>
      <c r="J730" s="4"/>
      <c r="K730" s="5" t="s">
        <v>1530</v>
      </c>
      <c r="R730" s="185" t="s">
        <v>1530</v>
      </c>
      <c r="AG730" s="181" t="s">
        <v>300</v>
      </c>
    </row>
    <row r="731" spans="1:33" hidden="1">
      <c r="A731" s="240">
        <f t="shared" si="41"/>
        <v>558</v>
      </c>
      <c r="B731" s="181" t="s">
        <v>806</v>
      </c>
      <c r="C731" s="8">
        <v>222</v>
      </c>
      <c r="D731" s="1" t="s">
        <v>2201</v>
      </c>
      <c r="E731"/>
      <c r="H731" s="236" t="s">
        <v>411</v>
      </c>
      <c r="I731"/>
      <c r="J731" s="4"/>
      <c r="K731" s="8">
        <f>SUM(K720:K729)</f>
        <v>2050.88</v>
      </c>
      <c r="O731" s="236" t="s">
        <v>521</v>
      </c>
      <c r="R731" s="188">
        <f>R729/1.3247</f>
        <v>1034.44</v>
      </c>
    </row>
    <row r="732" spans="1:33" hidden="1">
      <c r="A732" s="240">
        <f t="shared" si="41"/>
        <v>559</v>
      </c>
      <c r="B732" s="181" t="s">
        <v>581</v>
      </c>
      <c r="C732" s="8">
        <v>505</v>
      </c>
      <c r="D732" s="1" t="s">
        <v>2201</v>
      </c>
      <c r="E732"/>
      <c r="I732"/>
      <c r="J732" s="4"/>
      <c r="K732" s="5" t="s">
        <v>1530</v>
      </c>
      <c r="R732" s="185" t="s">
        <v>1980</v>
      </c>
    </row>
    <row r="733" spans="1:33" hidden="1">
      <c r="A733" s="240">
        <f t="shared" si="41"/>
        <v>560</v>
      </c>
      <c r="B733" s="181" t="s">
        <v>707</v>
      </c>
      <c r="C733" s="8">
        <v>75</v>
      </c>
      <c r="D733" s="1" t="s">
        <v>1658</v>
      </c>
      <c r="E733"/>
      <c r="H733" s="236" t="s">
        <v>521</v>
      </c>
      <c r="I733"/>
      <c r="J733" s="4"/>
      <c r="K733" s="8">
        <f>(K731/10)</f>
        <v>205.09</v>
      </c>
      <c r="N733" s="181" t="s">
        <v>2167</v>
      </c>
      <c r="O733" s="181" t="s">
        <v>2200</v>
      </c>
      <c r="AG733" s="181" t="s">
        <v>2175</v>
      </c>
    </row>
    <row r="734" spans="1:33" hidden="1">
      <c r="C734"/>
      <c r="D734"/>
      <c r="E734"/>
      <c r="F734" s="181" t="s">
        <v>940</v>
      </c>
      <c r="I734"/>
      <c r="J734" s="4"/>
      <c r="K734"/>
    </row>
    <row r="735" spans="1:33" hidden="1">
      <c r="A735" s="240">
        <f>(A733+1)</f>
        <v>561</v>
      </c>
      <c r="B735" s="181" t="s">
        <v>98</v>
      </c>
      <c r="C735" s="8">
        <v>43.3</v>
      </c>
      <c r="D735" s="1" t="s">
        <v>1714</v>
      </c>
      <c r="E735"/>
      <c r="I735"/>
      <c r="J735" s="4"/>
      <c r="K735" s="5" t="s">
        <v>1980</v>
      </c>
      <c r="O735" s="181" t="s">
        <v>2034</v>
      </c>
      <c r="AG735" s="181" t="s">
        <v>2175</v>
      </c>
    </row>
    <row r="736" spans="1:33" hidden="1">
      <c r="A736" s="240">
        <f t="shared" ref="A736:A753" si="44">(A735+1)</f>
        <v>562</v>
      </c>
      <c r="B736" s="181" t="s">
        <v>2035</v>
      </c>
      <c r="C736" s="8">
        <v>218</v>
      </c>
      <c r="D736" s="1" t="s">
        <v>1658</v>
      </c>
      <c r="E736"/>
      <c r="F736" s="236" t="s">
        <v>1433</v>
      </c>
      <c r="G736" s="187" t="s">
        <v>2167</v>
      </c>
      <c r="H736" s="181" t="s">
        <v>683</v>
      </c>
      <c r="I736"/>
      <c r="J736" s="4"/>
      <c r="K736"/>
      <c r="O736" s="181" t="s">
        <v>684</v>
      </c>
      <c r="AG736" s="181" t="s">
        <v>2175</v>
      </c>
    </row>
    <row r="737" spans="1:33" hidden="1">
      <c r="A737" s="240">
        <f t="shared" si="44"/>
        <v>563</v>
      </c>
      <c r="B737" s="181" t="s">
        <v>685</v>
      </c>
      <c r="C737" s="8">
        <v>926</v>
      </c>
      <c r="D737" s="1" t="s">
        <v>1658</v>
      </c>
      <c r="E737"/>
      <c r="H737" s="181" t="s">
        <v>686</v>
      </c>
      <c r="I737"/>
      <c r="J737" s="4"/>
      <c r="K737"/>
      <c r="O737" s="181" t="s">
        <v>85</v>
      </c>
      <c r="AG737" s="181" t="s">
        <v>2175</v>
      </c>
    </row>
    <row r="738" spans="1:33" hidden="1">
      <c r="A738" s="240">
        <f t="shared" si="44"/>
        <v>564</v>
      </c>
      <c r="B738" s="181" t="s">
        <v>86</v>
      </c>
      <c r="C738" s="8">
        <v>5.15</v>
      </c>
      <c r="D738" s="1" t="s">
        <v>1714</v>
      </c>
      <c r="E738"/>
      <c r="H738" s="181" t="s">
        <v>2189</v>
      </c>
      <c r="I738"/>
      <c r="J738" s="4"/>
      <c r="K738"/>
      <c r="O738" s="185" t="s">
        <v>1530</v>
      </c>
      <c r="AG738" s="181" t="s">
        <v>2175</v>
      </c>
    </row>
    <row r="739" spans="1:33" hidden="1">
      <c r="A739" s="240">
        <f t="shared" si="44"/>
        <v>565</v>
      </c>
      <c r="B739" s="181" t="s">
        <v>536</v>
      </c>
      <c r="C739" s="8">
        <v>550</v>
      </c>
      <c r="D739" s="1" t="s">
        <v>1658</v>
      </c>
      <c r="E739"/>
      <c r="H739" s="185" t="s">
        <v>1530</v>
      </c>
      <c r="I739"/>
      <c r="J739" s="4"/>
      <c r="K739"/>
      <c r="AG739" s="181" t="s">
        <v>2175</v>
      </c>
    </row>
    <row r="740" spans="1:33" hidden="1">
      <c r="A740" s="240">
        <f t="shared" si="44"/>
        <v>566</v>
      </c>
      <c r="B740" s="181" t="s">
        <v>942</v>
      </c>
      <c r="C740" s="8">
        <v>286</v>
      </c>
      <c r="D740" s="1" t="s">
        <v>1658</v>
      </c>
      <c r="E740"/>
      <c r="F740" s="188">
        <v>10</v>
      </c>
      <c r="G740" s="187" t="s">
        <v>578</v>
      </c>
      <c r="H740" s="181" t="s">
        <v>865</v>
      </c>
      <c r="I740" s="8">
        <f>(K720)*1.2</f>
        <v>321.48</v>
      </c>
      <c r="J740" s="2" t="s">
        <v>245</v>
      </c>
      <c r="K740" s="8">
        <f>(F740*I740)/10</f>
        <v>321.48</v>
      </c>
      <c r="O740" s="181" t="s">
        <v>866</v>
      </c>
      <c r="R740" s="188">
        <f>(C693)</f>
        <v>1183.82</v>
      </c>
      <c r="AG740" s="181" t="s">
        <v>2175</v>
      </c>
    </row>
    <row r="741" spans="1:33" hidden="1">
      <c r="A741" s="240">
        <f t="shared" si="44"/>
        <v>567</v>
      </c>
      <c r="B741" s="181" t="s">
        <v>867</v>
      </c>
      <c r="C741" s="8">
        <v>96.3</v>
      </c>
      <c r="D741" s="1" t="s">
        <v>1714</v>
      </c>
      <c r="E741"/>
      <c r="H741" s="181" t="s">
        <v>868</v>
      </c>
      <c r="I741"/>
      <c r="J741" s="4"/>
      <c r="K741"/>
      <c r="R741" s="185" t="s">
        <v>1980</v>
      </c>
      <c r="AG741" s="181" t="s">
        <v>2175</v>
      </c>
    </row>
    <row r="742" spans="1:33" hidden="1">
      <c r="A742" s="240">
        <f t="shared" si="44"/>
        <v>568</v>
      </c>
      <c r="B742" s="181" t="s">
        <v>807</v>
      </c>
      <c r="C742" s="8">
        <v>51</v>
      </c>
      <c r="D742" s="1" t="s">
        <v>1658</v>
      </c>
      <c r="E742"/>
      <c r="H742" s="181" t="s">
        <v>808</v>
      </c>
      <c r="I742"/>
      <c r="J742" s="4"/>
      <c r="K742"/>
      <c r="AG742" s="181" t="s">
        <v>2175</v>
      </c>
    </row>
    <row r="743" spans="1:33" hidden="1">
      <c r="A743" s="240">
        <f t="shared" si="44"/>
        <v>569</v>
      </c>
      <c r="B743" s="181" t="s">
        <v>523</v>
      </c>
      <c r="C743" s="8">
        <v>181</v>
      </c>
      <c r="D743" s="1" t="s">
        <v>753</v>
      </c>
      <c r="E743"/>
      <c r="F743" s="188">
        <v>10</v>
      </c>
      <c r="G743" s="187" t="s">
        <v>578</v>
      </c>
      <c r="H743" s="181" t="s">
        <v>524</v>
      </c>
      <c r="I743" s="8">
        <f>K722*1.2</f>
        <v>270.58</v>
      </c>
      <c r="J743" s="2" t="s">
        <v>245</v>
      </c>
      <c r="K743" s="8">
        <f>(F743*I743)/10</f>
        <v>270.58</v>
      </c>
      <c r="N743" s="181" t="s">
        <v>2167</v>
      </c>
      <c r="O743" s="181" t="s">
        <v>525</v>
      </c>
      <c r="AG743" s="181" t="s">
        <v>2175</v>
      </c>
    </row>
    <row r="744" spans="1:33" hidden="1">
      <c r="A744" s="240">
        <f t="shared" si="44"/>
        <v>570</v>
      </c>
      <c r="B744" s="181" t="s">
        <v>526</v>
      </c>
      <c r="C744" s="8">
        <v>36.200000000000003</v>
      </c>
      <c r="D744" s="1" t="s">
        <v>1714</v>
      </c>
      <c r="E744"/>
      <c r="H744" s="181" t="s">
        <v>967</v>
      </c>
      <c r="I744"/>
      <c r="J744" s="4"/>
      <c r="K744"/>
      <c r="O744" s="185" t="s">
        <v>1980</v>
      </c>
      <c r="P744" s="185" t="s">
        <v>1980</v>
      </c>
      <c r="Q744" s="185" t="s">
        <v>1980</v>
      </c>
      <c r="R744" s="181" t="s">
        <v>968</v>
      </c>
      <c r="AG744" s="181" t="s">
        <v>2175</v>
      </c>
    </row>
    <row r="745" spans="1:33" hidden="1">
      <c r="A745" s="240">
        <f t="shared" si="44"/>
        <v>571</v>
      </c>
      <c r="B745" s="181" t="s">
        <v>626</v>
      </c>
      <c r="C745" s="8">
        <v>98</v>
      </c>
      <c r="D745" s="1" t="s">
        <v>1658</v>
      </c>
      <c r="E745"/>
      <c r="H745" s="181" t="s">
        <v>786</v>
      </c>
      <c r="I745"/>
      <c r="J745" s="4"/>
      <c r="K745"/>
      <c r="O745" s="181" t="s">
        <v>1377</v>
      </c>
      <c r="Q745" s="236" t="s">
        <v>794</v>
      </c>
      <c r="R745" s="188">
        <f>(C696)</f>
        <v>147.6</v>
      </c>
      <c r="AG745" s="181" t="s">
        <v>2175</v>
      </c>
    </row>
    <row r="746" spans="1:33" hidden="1">
      <c r="A746" s="240">
        <f t="shared" si="44"/>
        <v>572</v>
      </c>
      <c r="B746" s="181" t="s">
        <v>1891</v>
      </c>
      <c r="C746" s="8">
        <v>92</v>
      </c>
      <c r="D746" s="1" t="s">
        <v>1714</v>
      </c>
      <c r="E746"/>
      <c r="F746" s="188">
        <v>98.5</v>
      </c>
      <c r="G746" s="187" t="s">
        <v>794</v>
      </c>
      <c r="H746" s="181" t="s">
        <v>795</v>
      </c>
      <c r="I746" s="8">
        <f>C269/5</f>
        <v>3</v>
      </c>
      <c r="J746" s="2" t="s">
        <v>245</v>
      </c>
      <c r="K746" s="8">
        <f t="shared" ref="K746:K752" si="45">(F746*I746)</f>
        <v>295.5</v>
      </c>
      <c r="O746" s="181" t="s">
        <v>2003</v>
      </c>
      <c r="AG746" s="181" t="s">
        <v>2175</v>
      </c>
    </row>
    <row r="747" spans="1:33" hidden="1">
      <c r="A747" s="240">
        <f t="shared" si="44"/>
        <v>573</v>
      </c>
      <c r="B747" s="181" t="s">
        <v>303</v>
      </c>
      <c r="C747" s="8">
        <v>49.42</v>
      </c>
      <c r="D747" s="1" t="s">
        <v>1658</v>
      </c>
      <c r="E747"/>
      <c r="F747" s="188">
        <v>3.8</v>
      </c>
      <c r="G747" s="187" t="s">
        <v>739</v>
      </c>
      <c r="H747" s="181" t="s">
        <v>466</v>
      </c>
      <c r="I747" s="8">
        <f>(C16)</f>
        <v>150</v>
      </c>
      <c r="J747" s="2" t="s">
        <v>739</v>
      </c>
      <c r="K747" s="8">
        <f t="shared" si="45"/>
        <v>570</v>
      </c>
      <c r="O747" s="181" t="s">
        <v>304</v>
      </c>
      <c r="AG747" s="181" t="s">
        <v>2175</v>
      </c>
    </row>
    <row r="748" spans="1:33" hidden="1">
      <c r="A748" s="240">
        <f t="shared" si="44"/>
        <v>574</v>
      </c>
      <c r="B748" s="181" t="s">
        <v>682</v>
      </c>
      <c r="C748" s="8">
        <v>53.2</v>
      </c>
      <c r="D748" s="1" t="s">
        <v>1658</v>
      </c>
      <c r="E748"/>
      <c r="F748" s="188">
        <v>5.4</v>
      </c>
      <c r="G748" s="187" t="s">
        <v>739</v>
      </c>
      <c r="H748" s="181" t="s">
        <v>1836</v>
      </c>
      <c r="I748" s="8">
        <f>(C12)</f>
        <v>95</v>
      </c>
      <c r="J748" s="2" t="s">
        <v>739</v>
      </c>
      <c r="K748" s="8">
        <f t="shared" si="45"/>
        <v>513</v>
      </c>
      <c r="O748" s="181" t="s">
        <v>1011</v>
      </c>
      <c r="AG748" s="181" t="s">
        <v>2175</v>
      </c>
    </row>
    <row r="749" spans="1:33" hidden="1">
      <c r="A749" s="240">
        <f t="shared" si="44"/>
        <v>575</v>
      </c>
      <c r="B749" s="181" t="s">
        <v>1012</v>
      </c>
      <c r="C749" s="8">
        <v>59</v>
      </c>
      <c r="D749" s="1" t="s">
        <v>1658</v>
      </c>
      <c r="E749"/>
      <c r="F749" s="188">
        <v>1</v>
      </c>
      <c r="G749" s="187" t="s">
        <v>739</v>
      </c>
      <c r="H749" s="181" t="s">
        <v>2202</v>
      </c>
      <c r="I749" s="8">
        <f>C66</f>
        <v>120</v>
      </c>
      <c r="J749" s="2" t="s">
        <v>1341</v>
      </c>
      <c r="K749" s="8">
        <f t="shared" si="45"/>
        <v>120</v>
      </c>
      <c r="O749" s="181" t="s">
        <v>1061</v>
      </c>
      <c r="AG749" s="181" t="s">
        <v>2175</v>
      </c>
    </row>
    <row r="750" spans="1:33" hidden="1">
      <c r="A750" s="240">
        <f t="shared" si="44"/>
        <v>576</v>
      </c>
      <c r="B750" s="181" t="s">
        <v>926</v>
      </c>
      <c r="C750" s="8">
        <v>100</v>
      </c>
      <c r="D750" s="1" t="s">
        <v>1658</v>
      </c>
      <c r="E750"/>
      <c r="F750" s="188">
        <v>1</v>
      </c>
      <c r="G750" s="187" t="s">
        <v>419</v>
      </c>
      <c r="H750" s="181" t="s">
        <v>927</v>
      </c>
      <c r="I750" s="8">
        <v>11</v>
      </c>
      <c r="J750" s="2" t="s">
        <v>1341</v>
      </c>
      <c r="K750" s="8">
        <f t="shared" si="45"/>
        <v>11</v>
      </c>
      <c r="O750" s="181" t="s">
        <v>1070</v>
      </c>
      <c r="R750" s="181" t="s">
        <v>940</v>
      </c>
      <c r="AG750" s="181" t="s">
        <v>2175</v>
      </c>
    </row>
    <row r="751" spans="1:33" hidden="1">
      <c r="A751" s="240">
        <f t="shared" si="44"/>
        <v>577</v>
      </c>
      <c r="B751" s="181" t="s">
        <v>1071</v>
      </c>
      <c r="C751" s="8">
        <v>49.52</v>
      </c>
      <c r="D751" s="1" t="s">
        <v>1714</v>
      </c>
      <c r="E751"/>
      <c r="F751" s="188">
        <v>1</v>
      </c>
      <c r="G751" s="187" t="s">
        <v>419</v>
      </c>
      <c r="H751" s="181" t="s">
        <v>1250</v>
      </c>
      <c r="I751" s="8">
        <v>10</v>
      </c>
      <c r="J751" s="2" t="s">
        <v>419</v>
      </c>
      <c r="K751" s="8">
        <f t="shared" si="45"/>
        <v>10</v>
      </c>
      <c r="O751" s="181" t="s">
        <v>940</v>
      </c>
      <c r="AG751" s="181" t="s">
        <v>2175</v>
      </c>
    </row>
    <row r="752" spans="1:33" hidden="1">
      <c r="A752" s="240">
        <f t="shared" si="44"/>
        <v>578</v>
      </c>
      <c r="B752" s="181" t="s">
        <v>2047</v>
      </c>
      <c r="C752" s="8">
        <v>1080</v>
      </c>
      <c r="D752" s="1" t="s">
        <v>1658</v>
      </c>
      <c r="E752"/>
      <c r="F752" s="188">
        <v>19</v>
      </c>
      <c r="G752" s="187" t="s">
        <v>1375</v>
      </c>
      <c r="H752" s="181" t="s">
        <v>2048</v>
      </c>
      <c r="I752" s="8">
        <v>2</v>
      </c>
      <c r="J752" s="4" t="s">
        <v>1375</v>
      </c>
      <c r="K752" s="8">
        <f t="shared" si="45"/>
        <v>38</v>
      </c>
      <c r="AG752" s="181" t="s">
        <v>2175</v>
      </c>
    </row>
    <row r="753" spans="1:33" hidden="1">
      <c r="A753" s="240">
        <f t="shared" si="44"/>
        <v>579</v>
      </c>
      <c r="B753" s="181" t="s">
        <v>2877</v>
      </c>
      <c r="C753" s="8">
        <v>381.37</v>
      </c>
      <c r="D753" s="1" t="s">
        <v>578</v>
      </c>
      <c r="E753"/>
      <c r="H753" s="181" t="s">
        <v>74</v>
      </c>
      <c r="I753"/>
      <c r="J753" s="4"/>
      <c r="K753"/>
      <c r="N753" s="181" t="s">
        <v>2167</v>
      </c>
      <c r="O753" s="181" t="s">
        <v>2049</v>
      </c>
      <c r="Q753" s="236" t="s">
        <v>2199</v>
      </c>
      <c r="R753" s="188">
        <f>(C700)</f>
        <v>1250</v>
      </c>
      <c r="AG753" s="181" t="s">
        <v>2175</v>
      </c>
    </row>
    <row r="754" spans="1:33" hidden="1">
      <c r="A754" s="240" t="e">
        <f>(#REF!+1)</f>
        <v>#REF!</v>
      </c>
      <c r="B754" s="181" t="s">
        <v>1340</v>
      </c>
      <c r="C754"/>
      <c r="D754"/>
      <c r="E754"/>
      <c r="I754"/>
      <c r="J754" s="4"/>
      <c r="K754" s="5" t="s">
        <v>1530</v>
      </c>
      <c r="O754" s="181" t="s">
        <v>1629</v>
      </c>
      <c r="AG754" s="181" t="s">
        <v>2175</v>
      </c>
    </row>
    <row r="755" spans="1:33" hidden="1">
      <c r="A755" s="240"/>
      <c r="B755" s="181" t="s">
        <v>2096</v>
      </c>
      <c r="C755" s="8">
        <v>300</v>
      </c>
      <c r="D755"/>
      <c r="E755"/>
      <c r="H755" s="181" t="s">
        <v>411</v>
      </c>
      <c r="I755"/>
      <c r="J755" s="4"/>
      <c r="K755" s="8">
        <f>SUM(K740:K753)</f>
        <v>2149.56</v>
      </c>
      <c r="O755" s="181" t="s">
        <v>296</v>
      </c>
      <c r="AG755" s="181" t="s">
        <v>2175</v>
      </c>
    </row>
    <row r="756" spans="1:33" hidden="1">
      <c r="A756" s="240"/>
      <c r="B756" s="236" t="s">
        <v>744</v>
      </c>
      <c r="C756" s="8">
        <v>302</v>
      </c>
      <c r="D756"/>
      <c r="E756"/>
      <c r="I756"/>
      <c r="J756" s="4"/>
      <c r="K756" s="5" t="s">
        <v>1530</v>
      </c>
      <c r="O756" s="181" t="s">
        <v>1220</v>
      </c>
      <c r="AG756" s="181" t="s">
        <v>2175</v>
      </c>
    </row>
    <row r="757" spans="1:33" hidden="1">
      <c r="A757" s="240"/>
      <c r="B757" s="181" t="s">
        <v>1221</v>
      </c>
      <c r="C757" s="8">
        <v>324</v>
      </c>
      <c r="D757"/>
      <c r="E757"/>
      <c r="H757" s="181" t="s">
        <v>521</v>
      </c>
      <c r="I757"/>
      <c r="J757" s="4"/>
      <c r="K757" s="8">
        <f>(K755/10)</f>
        <v>214.96</v>
      </c>
      <c r="AG757" s="181" t="s">
        <v>2175</v>
      </c>
    </row>
    <row r="758" spans="1:33" hidden="1">
      <c r="A758" s="240"/>
      <c r="B758" s="181" t="s">
        <v>746</v>
      </c>
      <c r="C758" s="8">
        <v>382</v>
      </c>
      <c r="D758"/>
      <c r="E758"/>
      <c r="I758"/>
      <c r="J758" s="4"/>
      <c r="K758" s="5" t="s">
        <v>1980</v>
      </c>
      <c r="N758" s="181" t="s">
        <v>2167</v>
      </c>
      <c r="O758" s="181" t="s">
        <v>563</v>
      </c>
      <c r="AG758" s="181" t="s">
        <v>2175</v>
      </c>
    </row>
    <row r="759" spans="1:33" hidden="1">
      <c r="A759" s="240"/>
      <c r="B759" s="181" t="s">
        <v>581</v>
      </c>
      <c r="C759" s="8">
        <v>505</v>
      </c>
      <c r="D759"/>
      <c r="E759"/>
      <c r="I759"/>
      <c r="J759" s="4"/>
      <c r="K759"/>
      <c r="O759" s="181" t="s">
        <v>2009</v>
      </c>
      <c r="R759" s="181" t="s">
        <v>940</v>
      </c>
      <c r="AG759" s="181" t="s">
        <v>2175</v>
      </c>
    </row>
    <row r="760" spans="1:33" hidden="1">
      <c r="A760" s="240"/>
      <c r="B760" s="181" t="s">
        <v>539</v>
      </c>
      <c r="C760" s="8">
        <v>140</v>
      </c>
      <c r="D760"/>
      <c r="E760"/>
      <c r="F760" s="236" t="s">
        <v>852</v>
      </c>
      <c r="G760" s="187" t="s">
        <v>2167</v>
      </c>
      <c r="H760" s="181" t="s">
        <v>683</v>
      </c>
      <c r="I760"/>
      <c r="J760" s="4"/>
      <c r="K760"/>
      <c r="O760" s="181" t="s">
        <v>2010</v>
      </c>
      <c r="AG760" s="181" t="s">
        <v>2175</v>
      </c>
    </row>
    <row r="761" spans="1:33" hidden="1">
      <c r="A761" s="240"/>
      <c r="B761" s="181" t="s">
        <v>806</v>
      </c>
      <c r="C761" s="8">
        <v>222</v>
      </c>
      <c r="D761"/>
      <c r="E761"/>
      <c r="H761" s="181" t="s">
        <v>686</v>
      </c>
      <c r="I761"/>
      <c r="J761" s="4"/>
      <c r="K761"/>
      <c r="O761" s="185" t="s">
        <v>1530</v>
      </c>
      <c r="AG761" s="181" t="s">
        <v>2175</v>
      </c>
    </row>
    <row r="762" spans="1:33" hidden="1">
      <c r="A762" s="240"/>
      <c r="B762" s="181" t="s">
        <v>699</v>
      </c>
      <c r="C762" s="8">
        <v>100</v>
      </c>
      <c r="D762"/>
      <c r="E762"/>
      <c r="H762" s="181" t="s">
        <v>260</v>
      </c>
      <c r="I762"/>
      <c r="J762" s="4"/>
      <c r="K762"/>
      <c r="N762" s="181" t="s">
        <v>222</v>
      </c>
      <c r="O762" s="181" t="s">
        <v>462</v>
      </c>
      <c r="P762" s="188">
        <f>(C271)</f>
        <v>160</v>
      </c>
      <c r="Q762" s="181" t="s">
        <v>222</v>
      </c>
      <c r="R762" s="188" t="e">
        <f>(#VALUE!*P762)</f>
        <v>#VALUE!</v>
      </c>
      <c r="AG762" s="181" t="s">
        <v>2175</v>
      </c>
    </row>
    <row r="763" spans="1:33" hidden="1">
      <c r="A763" s="240"/>
      <c r="B763" s="181" t="s">
        <v>463</v>
      </c>
      <c r="C763" s="8">
        <v>75</v>
      </c>
      <c r="D763"/>
      <c r="E763"/>
      <c r="H763" s="185" t="s">
        <v>1530</v>
      </c>
      <c r="I763"/>
      <c r="J763" s="4"/>
      <c r="K763"/>
      <c r="AG763" s="181" t="s">
        <v>2175</v>
      </c>
    </row>
    <row r="764" spans="1:33" hidden="1">
      <c r="A764" s="240"/>
      <c r="B764" s="181" t="s">
        <v>1117</v>
      </c>
      <c r="C764" s="8">
        <v>218</v>
      </c>
      <c r="D764"/>
      <c r="E764"/>
      <c r="H764" s="181" t="s">
        <v>1118</v>
      </c>
      <c r="I764"/>
      <c r="J764" s="4"/>
      <c r="K764" s="8">
        <f>(K695/2)</f>
        <v>123.27</v>
      </c>
      <c r="N764" s="181" t="s">
        <v>1119</v>
      </c>
      <c r="O764" s="181" t="s">
        <v>257</v>
      </c>
      <c r="P764" s="188">
        <f>(C16)</f>
        <v>150</v>
      </c>
      <c r="Q764" s="181" t="s">
        <v>1119</v>
      </c>
      <c r="R764" s="188" t="e">
        <f>(#VALUE!*P764)</f>
        <v>#VALUE!</v>
      </c>
      <c r="AG764" s="181" t="s">
        <v>2175</v>
      </c>
    </row>
    <row r="765" spans="1:33" hidden="1">
      <c r="A765" s="240"/>
      <c r="B765" s="181" t="s">
        <v>258</v>
      </c>
      <c r="C765" s="8">
        <v>1854</v>
      </c>
      <c r="D765"/>
      <c r="E765"/>
      <c r="H765" s="181" t="s">
        <v>259</v>
      </c>
      <c r="I765"/>
      <c r="J765" s="4"/>
      <c r="K765" s="5" t="s">
        <v>1980</v>
      </c>
      <c r="AG765" s="181" t="s">
        <v>2175</v>
      </c>
    </row>
    <row r="766" spans="1:33" hidden="1">
      <c r="C766"/>
      <c r="D766"/>
      <c r="E766"/>
      <c r="I766"/>
      <c r="J766" s="4"/>
      <c r="K766"/>
    </row>
    <row r="767" spans="1:33" hidden="1">
      <c r="A767" s="240"/>
      <c r="B767" s="181" t="s">
        <v>160</v>
      </c>
      <c r="C767" s="8">
        <v>51</v>
      </c>
      <c r="D767"/>
      <c r="E767"/>
      <c r="F767" s="236" t="s">
        <v>161</v>
      </c>
      <c r="G767" s="187" t="s">
        <v>2167</v>
      </c>
      <c r="H767" s="181" t="s">
        <v>162</v>
      </c>
      <c r="I767"/>
      <c r="J767" s="4"/>
      <c r="K767"/>
      <c r="O767" s="181" t="s">
        <v>1276</v>
      </c>
      <c r="P767" s="189" t="s">
        <v>419</v>
      </c>
      <c r="R767" s="188">
        <v>0.64</v>
      </c>
      <c r="AG767" s="181" t="s">
        <v>2175</v>
      </c>
    </row>
    <row r="768" spans="1:33" hidden="1">
      <c r="A768" s="240"/>
      <c r="B768" s="181" t="s">
        <v>1327</v>
      </c>
      <c r="C768" s="8">
        <v>915</v>
      </c>
      <c r="D768"/>
      <c r="E768"/>
      <c r="H768" s="181" t="s">
        <v>1328</v>
      </c>
      <c r="I768"/>
      <c r="J768" s="4"/>
      <c r="K768"/>
      <c r="R768" s="185" t="s">
        <v>1530</v>
      </c>
      <c r="AG768" s="181" t="s">
        <v>2175</v>
      </c>
    </row>
    <row r="769" spans="1:33" hidden="1">
      <c r="A769" s="240"/>
      <c r="B769" s="181" t="s">
        <v>129</v>
      </c>
      <c r="C769" s="8">
        <v>890</v>
      </c>
      <c r="D769"/>
      <c r="E769"/>
      <c r="H769" s="181" t="s">
        <v>130</v>
      </c>
      <c r="I769"/>
      <c r="J769" s="4"/>
      <c r="K769"/>
      <c r="O769" s="181" t="s">
        <v>1863</v>
      </c>
      <c r="R769" s="188" t="e">
        <f>SUM(R762:R767)</f>
        <v>#VALUE!</v>
      </c>
      <c r="AG769" s="181" t="s">
        <v>2175</v>
      </c>
    </row>
    <row r="770" spans="1:33" hidden="1">
      <c r="A770" s="240"/>
      <c r="B770" s="181" t="s">
        <v>1864</v>
      </c>
      <c r="C770" s="8">
        <v>5.15</v>
      </c>
      <c r="D770"/>
      <c r="E770"/>
      <c r="H770" s="185" t="s">
        <v>1530</v>
      </c>
      <c r="I770"/>
      <c r="J770" s="4"/>
      <c r="K770"/>
      <c r="R770" s="185" t="s">
        <v>1530</v>
      </c>
      <c r="AG770" s="181" t="s">
        <v>2175</v>
      </c>
    </row>
    <row r="771" spans="1:33" hidden="1">
      <c r="A771" s="240"/>
      <c r="B771" s="181" t="s">
        <v>1353</v>
      </c>
      <c r="C771" s="8">
        <v>43.3</v>
      </c>
      <c r="D771"/>
      <c r="E771"/>
      <c r="F771" s="245">
        <v>9</v>
      </c>
      <c r="G771" s="187" t="s">
        <v>836</v>
      </c>
      <c r="H771" s="181" t="s">
        <v>1354</v>
      </c>
      <c r="I771" s="8" t="e">
        <f>C73</f>
        <v>#REF!</v>
      </c>
      <c r="J771" s="2" t="s">
        <v>836</v>
      </c>
      <c r="K771" s="8" t="e">
        <f t="shared" ref="K771:K776" si="46">F771*I771</f>
        <v>#REF!</v>
      </c>
      <c r="O771" s="181" t="s">
        <v>1355</v>
      </c>
      <c r="R771" s="188" t="e">
        <f>(R769/0.4)</f>
        <v>#VALUE!</v>
      </c>
      <c r="AG771" s="181" t="s">
        <v>2175</v>
      </c>
    </row>
    <row r="772" spans="1:33" hidden="1">
      <c r="A772" s="240"/>
      <c r="B772" s="181" t="s">
        <v>78</v>
      </c>
      <c r="C772" s="8">
        <v>920</v>
      </c>
      <c r="D772"/>
      <c r="E772"/>
      <c r="F772" s="245">
        <v>4.3079999999999998</v>
      </c>
      <c r="G772" s="187" t="s">
        <v>828</v>
      </c>
      <c r="H772" s="181" t="s">
        <v>829</v>
      </c>
      <c r="I772" s="8">
        <f>C67</f>
        <v>3800</v>
      </c>
      <c r="J772" s="2" t="s">
        <v>828</v>
      </c>
      <c r="K772" s="8">
        <f t="shared" si="46"/>
        <v>16370.4</v>
      </c>
      <c r="R772" s="185" t="s">
        <v>1980</v>
      </c>
      <c r="AG772" s="181" t="s">
        <v>2175</v>
      </c>
    </row>
    <row r="773" spans="1:33" hidden="1">
      <c r="A773" s="240"/>
      <c r="B773" s="181" t="s">
        <v>79</v>
      </c>
      <c r="C773" s="8">
        <v>98</v>
      </c>
      <c r="D773"/>
      <c r="E773"/>
      <c r="F773" s="245">
        <v>4.5</v>
      </c>
      <c r="G773" s="187" t="s">
        <v>836</v>
      </c>
      <c r="H773" s="181" t="s">
        <v>837</v>
      </c>
      <c r="I773" s="8" t="e">
        <f>C78</f>
        <v>#REF!</v>
      </c>
      <c r="J773" s="2" t="s">
        <v>836</v>
      </c>
      <c r="K773" s="8" t="e">
        <f t="shared" si="46"/>
        <v>#REF!</v>
      </c>
      <c r="N773" s="181" t="s">
        <v>2167</v>
      </c>
      <c r="O773" s="181" t="s">
        <v>2036</v>
      </c>
      <c r="AG773" s="181" t="s">
        <v>2175</v>
      </c>
    </row>
    <row r="774" spans="1:33" hidden="1">
      <c r="A774" s="240"/>
      <c r="B774" s="181" t="s">
        <v>2037</v>
      </c>
      <c r="C774" s="8">
        <v>181</v>
      </c>
      <c r="D774"/>
      <c r="E774"/>
      <c r="F774" s="245">
        <v>3.5</v>
      </c>
      <c r="G774" s="187" t="s">
        <v>835</v>
      </c>
      <c r="H774" s="181" t="s">
        <v>1654</v>
      </c>
      <c r="I774" s="8">
        <f>C11</f>
        <v>135</v>
      </c>
      <c r="J774" s="2" t="s">
        <v>835</v>
      </c>
      <c r="K774" s="8">
        <f t="shared" si="46"/>
        <v>472.5</v>
      </c>
      <c r="O774" s="181" t="s">
        <v>678</v>
      </c>
      <c r="AG774" s="181" t="s">
        <v>2175</v>
      </c>
    </row>
    <row r="775" spans="1:33" hidden="1">
      <c r="A775" s="240"/>
      <c r="B775" s="181" t="s">
        <v>89</v>
      </c>
      <c r="C775" s="8">
        <v>1148.76</v>
      </c>
      <c r="D775"/>
      <c r="E775"/>
      <c r="F775" s="245">
        <v>21.2</v>
      </c>
      <c r="G775" s="187" t="s">
        <v>835</v>
      </c>
      <c r="H775" s="181" t="s">
        <v>1836</v>
      </c>
      <c r="I775" s="8">
        <f>C12</f>
        <v>95</v>
      </c>
      <c r="J775" s="2" t="s">
        <v>835</v>
      </c>
      <c r="K775" s="8">
        <f t="shared" si="46"/>
        <v>2014</v>
      </c>
      <c r="O775" s="181" t="s">
        <v>90</v>
      </c>
      <c r="AG775" s="181" t="s">
        <v>2175</v>
      </c>
    </row>
    <row r="776" spans="1:33" hidden="1">
      <c r="A776" s="240"/>
      <c r="B776" s="181" t="s">
        <v>1494</v>
      </c>
      <c r="C776" s="8">
        <v>967</v>
      </c>
      <c r="D776"/>
      <c r="E776"/>
      <c r="F776" s="245">
        <v>35.299999999999997</v>
      </c>
      <c r="G776" s="187" t="s">
        <v>835</v>
      </c>
      <c r="H776" s="181" t="s">
        <v>299</v>
      </c>
      <c r="I776" s="8">
        <f>C13</f>
        <v>85</v>
      </c>
      <c r="J776" s="2" t="s">
        <v>835</v>
      </c>
      <c r="K776" s="8">
        <f t="shared" si="46"/>
        <v>3000.5</v>
      </c>
      <c r="O776" s="185" t="s">
        <v>1530</v>
      </c>
      <c r="AG776" s="181" t="s">
        <v>2175</v>
      </c>
    </row>
    <row r="777" spans="1:33" hidden="1">
      <c r="A777" s="240"/>
      <c r="B777" s="181" t="s">
        <v>1982</v>
      </c>
      <c r="C777" s="8">
        <v>30</v>
      </c>
      <c r="D777"/>
      <c r="E777"/>
      <c r="F777" s="189" t="s">
        <v>419</v>
      </c>
      <c r="H777" s="181" t="s">
        <v>420</v>
      </c>
      <c r="I777"/>
      <c r="J777" s="2" t="s">
        <v>419</v>
      </c>
      <c r="K777" s="8">
        <v>0</v>
      </c>
      <c r="N777" s="189" t="s">
        <v>1840</v>
      </c>
      <c r="O777" s="181" t="s">
        <v>822</v>
      </c>
      <c r="AG777" s="181" t="s">
        <v>2175</v>
      </c>
    </row>
    <row r="778" spans="1:33" hidden="1">
      <c r="A778" s="240"/>
      <c r="B778" s="181" t="s">
        <v>1705</v>
      </c>
      <c r="C778" s="8">
        <v>2107</v>
      </c>
      <c r="D778"/>
      <c r="E778"/>
      <c r="I778"/>
      <c r="J778" s="4"/>
      <c r="K778" s="5" t="s">
        <v>1530</v>
      </c>
      <c r="O778" s="181" t="s">
        <v>1706</v>
      </c>
      <c r="AG778" s="181" t="s">
        <v>2175</v>
      </c>
    </row>
    <row r="779" spans="1:33" hidden="1">
      <c r="A779" s="240"/>
      <c r="B779" s="181" t="s">
        <v>1707</v>
      </c>
      <c r="C779" s="8">
        <v>650</v>
      </c>
      <c r="D779"/>
      <c r="E779"/>
      <c r="H779" s="236" t="s">
        <v>583</v>
      </c>
      <c r="I779"/>
      <c r="J779" s="4"/>
      <c r="K779" s="8" t="e">
        <f>SUM(K771:K777)</f>
        <v>#REF!</v>
      </c>
      <c r="N779" s="181" t="s">
        <v>254</v>
      </c>
      <c r="O779" s="181" t="s">
        <v>1708</v>
      </c>
      <c r="P779" s="188">
        <v>43</v>
      </c>
      <c r="R779" s="188" t="e">
        <f>(#VALUE!*P779)</f>
        <v>#VALUE!</v>
      </c>
      <c r="AG779" s="181" t="s">
        <v>2175</v>
      </c>
    </row>
    <row r="780" spans="1:33" hidden="1">
      <c r="A780" s="240"/>
      <c r="B780" s="181" t="s">
        <v>1236</v>
      </c>
      <c r="C780" s="52">
        <v>160</v>
      </c>
      <c r="D780"/>
      <c r="E780"/>
      <c r="I780"/>
      <c r="J780" s="4"/>
      <c r="K780" s="5" t="s">
        <v>1980</v>
      </c>
      <c r="O780" s="181" t="s">
        <v>1853</v>
      </c>
      <c r="AG780" s="181" t="s">
        <v>2175</v>
      </c>
    </row>
    <row r="781" spans="1:33" hidden="1">
      <c r="A781" s="240"/>
      <c r="B781" s="181" t="s">
        <v>1237</v>
      </c>
      <c r="C781" s="52">
        <v>110</v>
      </c>
      <c r="D781"/>
      <c r="E781"/>
      <c r="H781" s="181" t="s">
        <v>743</v>
      </c>
      <c r="I781"/>
      <c r="J781" s="4"/>
      <c r="K781" s="8" t="e">
        <f>K779/10</f>
        <v>#REF!</v>
      </c>
      <c r="O781" s="181" t="s">
        <v>950</v>
      </c>
      <c r="AG781" s="181" t="s">
        <v>2175</v>
      </c>
    </row>
    <row r="782" spans="1:33" hidden="1">
      <c r="A782" s="240"/>
      <c r="C782"/>
      <c r="D782"/>
      <c r="E782"/>
      <c r="I782"/>
      <c r="J782" s="4"/>
      <c r="K782"/>
      <c r="N782" s="181" t="s">
        <v>578</v>
      </c>
      <c r="O782" s="181" t="s">
        <v>951</v>
      </c>
      <c r="P782" s="188">
        <f>C271</f>
        <v>160</v>
      </c>
      <c r="R782" s="188" t="e">
        <f>(#VALUE!*P782)</f>
        <v>#VALUE!</v>
      </c>
      <c r="AG782" s="181" t="s">
        <v>2175</v>
      </c>
    </row>
    <row r="783" spans="1:33" hidden="1">
      <c r="A783" s="240"/>
      <c r="C783">
        <v>3.05</v>
      </c>
      <c r="D783"/>
      <c r="E783"/>
      <c r="F783" s="188">
        <v>1</v>
      </c>
      <c r="G783" s="187" t="s">
        <v>836</v>
      </c>
      <c r="H783" s="181" t="s">
        <v>43</v>
      </c>
      <c r="I783" s="8">
        <f>C25</f>
        <v>20.7</v>
      </c>
      <c r="J783" s="4"/>
      <c r="K783" s="8">
        <f>F783*I783</f>
        <v>20.7</v>
      </c>
      <c r="N783" s="181" t="s">
        <v>835</v>
      </c>
      <c r="O783" s="181" t="s">
        <v>147</v>
      </c>
      <c r="P783" s="188">
        <v>5</v>
      </c>
      <c r="R783" s="188" t="e">
        <f>(#VALUE!*P783)</f>
        <v>#VALUE!</v>
      </c>
      <c r="AG783" s="181" t="s">
        <v>2175</v>
      </c>
    </row>
    <row r="784" spans="1:33" hidden="1">
      <c r="A784" s="240"/>
      <c r="C784">
        <v>30</v>
      </c>
      <c r="D784"/>
      <c r="E784"/>
      <c r="I784"/>
      <c r="J784" s="4"/>
      <c r="K784" s="5" t="s">
        <v>1530</v>
      </c>
      <c r="N784" s="181" t="s">
        <v>835</v>
      </c>
      <c r="O784" s="181" t="s">
        <v>148</v>
      </c>
      <c r="P784" s="188">
        <v>10</v>
      </c>
      <c r="R784" s="188" t="e">
        <f>(#VALUE!*P784)</f>
        <v>#VALUE!</v>
      </c>
      <c r="AG784" s="181" t="s">
        <v>2175</v>
      </c>
    </row>
    <row r="785" spans="1:33" hidden="1">
      <c r="A785" s="240"/>
      <c r="C785">
        <v>35</v>
      </c>
      <c r="D785"/>
      <c r="E785"/>
      <c r="I785"/>
      <c r="J785" s="4"/>
      <c r="K785" s="8" t="e">
        <f>SUM(K781:K783)</f>
        <v>#REF!</v>
      </c>
      <c r="N785" s="181" t="s">
        <v>835</v>
      </c>
      <c r="O785" s="181" t="s">
        <v>1690</v>
      </c>
      <c r="P785" s="188">
        <v>8</v>
      </c>
      <c r="R785" s="188" t="e">
        <f>(#VALUE!*P785)</f>
        <v>#VALUE!</v>
      </c>
      <c r="AG785" s="181" t="s">
        <v>2175</v>
      </c>
    </row>
    <row r="786" spans="1:33" hidden="1">
      <c r="A786" s="240"/>
      <c r="C786">
        <v>125</v>
      </c>
      <c r="D786"/>
      <c r="E786"/>
      <c r="I786"/>
      <c r="J786" s="4"/>
      <c r="K786" s="5" t="s">
        <v>1530</v>
      </c>
      <c r="N786" s="181" t="s">
        <v>794</v>
      </c>
      <c r="O786" s="181" t="s">
        <v>1442</v>
      </c>
      <c r="P786" s="188">
        <v>13.66</v>
      </c>
      <c r="R786" s="188" t="e">
        <f>(#VALUE!*P786)</f>
        <v>#VALUE!</v>
      </c>
      <c r="AG786" s="181" t="s">
        <v>2175</v>
      </c>
    </row>
    <row r="787" spans="1:33" hidden="1">
      <c r="A787" s="240"/>
      <c r="B787" s="182" t="s">
        <v>2878</v>
      </c>
      <c r="C787" s="106">
        <v>162</v>
      </c>
      <c r="D787" s="106">
        <v>179</v>
      </c>
      <c r="E787"/>
      <c r="I787"/>
      <c r="J787" s="4"/>
      <c r="K787" s="5"/>
      <c r="N787" s="181"/>
      <c r="O787" s="181"/>
      <c r="P787" s="188"/>
      <c r="R787" s="188"/>
      <c r="AG787" s="181"/>
    </row>
    <row r="788" spans="1:33" hidden="1">
      <c r="A788" s="240"/>
      <c r="B788" s="182" t="s">
        <v>2879</v>
      </c>
      <c r="C788" s="166">
        <v>185</v>
      </c>
      <c r="D788"/>
      <c r="E788"/>
      <c r="H788" s="181" t="s">
        <v>361</v>
      </c>
      <c r="I788"/>
      <c r="J788" s="4"/>
      <c r="K788" s="8" t="e">
        <f>(K785+C22)</f>
        <v>#REF!</v>
      </c>
      <c r="N788" s="181" t="s">
        <v>578</v>
      </c>
      <c r="O788" s="181" t="s">
        <v>1443</v>
      </c>
      <c r="P788" s="188">
        <v>25.46</v>
      </c>
      <c r="R788" s="188" t="e">
        <f>(#VALUE!*P788)</f>
        <v>#VALUE!</v>
      </c>
      <c r="AG788" s="181" t="s">
        <v>2175</v>
      </c>
    </row>
    <row r="789" spans="1:33" hidden="1">
      <c r="A789" s="240"/>
      <c r="B789" s="182" t="s">
        <v>2880</v>
      </c>
      <c r="C789" s="166">
        <v>170</v>
      </c>
      <c r="D789"/>
      <c r="E789"/>
      <c r="H789" s="181" t="s">
        <v>363</v>
      </c>
      <c r="I789"/>
      <c r="J789" s="4"/>
      <c r="K789" s="8" t="e">
        <f>(K788+C23)</f>
        <v>#REF!</v>
      </c>
      <c r="N789" s="181" t="s">
        <v>835</v>
      </c>
      <c r="O789" s="181" t="s">
        <v>1269</v>
      </c>
      <c r="P789" s="188">
        <v>0.5</v>
      </c>
      <c r="R789" s="188" t="e">
        <f>(#VALUE!*P789)</f>
        <v>#VALUE!</v>
      </c>
      <c r="AG789" s="181" t="s">
        <v>2175</v>
      </c>
    </row>
    <row r="790" spans="1:33" hidden="1">
      <c r="A790" s="240"/>
      <c r="B790" s="182" t="s">
        <v>2881</v>
      </c>
      <c r="C790" s="166">
        <v>160</v>
      </c>
      <c r="D790"/>
      <c r="E790"/>
      <c r="H790" s="181" t="s">
        <v>2149</v>
      </c>
      <c r="I790"/>
      <c r="J790" s="4"/>
      <c r="K790" s="8" t="e">
        <f>(K789+C24)</f>
        <v>#REF!</v>
      </c>
      <c r="R790" s="188">
        <v>0.54</v>
      </c>
      <c r="AG790" s="181" t="s">
        <v>300</v>
      </c>
    </row>
    <row r="791" spans="1:33" hidden="1">
      <c r="A791" s="240"/>
      <c r="B791" s="154" t="s">
        <v>1237</v>
      </c>
      <c r="C791" s="166">
        <v>121</v>
      </c>
      <c r="D791"/>
      <c r="E791"/>
      <c r="H791" s="181" t="s">
        <v>355</v>
      </c>
      <c r="I791"/>
      <c r="J791" s="4"/>
      <c r="K791" s="8" t="e">
        <f>(K790+C24)</f>
        <v>#REF!</v>
      </c>
      <c r="R791" s="185" t="s">
        <v>1530</v>
      </c>
    </row>
    <row r="792" spans="1:33" hidden="1">
      <c r="A792" s="240"/>
      <c r="B792" s="154" t="s">
        <v>2882</v>
      </c>
      <c r="C792" s="106">
        <v>120</v>
      </c>
      <c r="D792"/>
      <c r="E792"/>
      <c r="H792" s="181" t="s">
        <v>1477</v>
      </c>
      <c r="I792"/>
      <c r="J792" s="4"/>
      <c r="K792" s="8" t="e">
        <f>(K791+C24)</f>
        <v>#REF!</v>
      </c>
      <c r="O792" s="236" t="s">
        <v>1270</v>
      </c>
      <c r="R792" s="188" t="e">
        <f>SUM(R779:R790)</f>
        <v>#VALUE!</v>
      </c>
    </row>
    <row r="793" spans="1:33" hidden="1">
      <c r="B793" s="154" t="s">
        <v>2883</v>
      </c>
      <c r="C793" s="106">
        <v>70</v>
      </c>
      <c r="D793"/>
      <c r="E793"/>
      <c r="F793" s="181" t="s">
        <v>940</v>
      </c>
      <c r="I793"/>
      <c r="J793" s="4"/>
      <c r="K793"/>
    </row>
    <row r="794" spans="1:33" hidden="1">
      <c r="A794" s="240"/>
      <c r="B794" s="154" t="s">
        <v>2884</v>
      </c>
      <c r="C794">
        <v>35</v>
      </c>
      <c r="D794"/>
      <c r="E794"/>
      <c r="F794" s="181" t="s">
        <v>940</v>
      </c>
      <c r="G794" s="187" t="s">
        <v>2167</v>
      </c>
      <c r="H794" s="236" t="s">
        <v>1271</v>
      </c>
      <c r="I794"/>
      <c r="J794" s="4"/>
      <c r="K794"/>
      <c r="R794" s="185" t="s">
        <v>1530</v>
      </c>
      <c r="AG794" s="181" t="s">
        <v>2175</v>
      </c>
    </row>
    <row r="795" spans="1:33" hidden="1">
      <c r="A795" s="240"/>
      <c r="B795" s="154" t="s">
        <v>2885</v>
      </c>
      <c r="C795">
        <v>90</v>
      </c>
      <c r="D795"/>
      <c r="E795"/>
      <c r="H795" s="185" t="s">
        <v>1980</v>
      </c>
      <c r="I795"/>
      <c r="J795" s="4"/>
      <c r="K795"/>
      <c r="AG795" s="181" t="s">
        <v>2175</v>
      </c>
    </row>
    <row r="796" spans="1:33" hidden="1">
      <c r="A796" s="240"/>
      <c r="B796" s="154" t="s">
        <v>2890</v>
      </c>
      <c r="C796" s="106">
        <v>140</v>
      </c>
      <c r="D796"/>
      <c r="E796"/>
      <c r="I796"/>
      <c r="J796" s="4"/>
      <c r="K796"/>
      <c r="N796" s="181" t="s">
        <v>486</v>
      </c>
      <c r="O796" s="181" t="s">
        <v>1272</v>
      </c>
      <c r="AG796" s="181" t="s">
        <v>2175</v>
      </c>
    </row>
    <row r="797" spans="1:33" ht="31.5" hidden="1">
      <c r="A797" s="259">
        <v>1</v>
      </c>
      <c r="B797" s="260" t="s">
        <v>3099</v>
      </c>
      <c r="C797"/>
      <c r="D797"/>
      <c r="E797"/>
      <c r="F797" s="236" t="s">
        <v>1273</v>
      </c>
      <c r="G797" s="187" t="s">
        <v>2167</v>
      </c>
      <c r="H797" s="181" t="s">
        <v>1958</v>
      </c>
      <c r="I797"/>
      <c r="J797" s="4"/>
      <c r="K797"/>
      <c r="O797" s="181" t="s">
        <v>1706</v>
      </c>
      <c r="AG797" s="181" t="s">
        <v>2175</v>
      </c>
    </row>
    <row r="798" spans="1:33" hidden="1">
      <c r="A798" s="259"/>
      <c r="B798" s="154" t="s">
        <v>3100</v>
      </c>
      <c r="C798" s="163">
        <v>11</v>
      </c>
      <c r="D798"/>
      <c r="E798"/>
      <c r="H798" s="181" t="s">
        <v>1959</v>
      </c>
      <c r="I798"/>
      <c r="J798" s="4"/>
      <c r="K798"/>
      <c r="N798" s="181" t="s">
        <v>254</v>
      </c>
      <c r="O798" s="181" t="s">
        <v>1708</v>
      </c>
      <c r="P798" s="188">
        <v>43</v>
      </c>
      <c r="R798" s="188" t="e">
        <f>(#VALUE!*P798)</f>
        <v>#VALUE!</v>
      </c>
      <c r="AG798" s="181" t="s">
        <v>2175</v>
      </c>
    </row>
    <row r="799" spans="1:33" hidden="1">
      <c r="A799" s="261"/>
      <c r="B799" s="154" t="s">
        <v>3101</v>
      </c>
      <c r="C799" s="163">
        <v>11</v>
      </c>
      <c r="D799"/>
      <c r="E799"/>
      <c r="H799" s="181" t="s">
        <v>1960</v>
      </c>
      <c r="I799"/>
      <c r="J799" s="4"/>
      <c r="K799"/>
      <c r="O799" s="181" t="s">
        <v>1853</v>
      </c>
      <c r="AG799" s="181" t="s">
        <v>2175</v>
      </c>
    </row>
    <row r="800" spans="1:33" hidden="1">
      <c r="A800" s="259"/>
      <c r="B800" s="154" t="s">
        <v>3102</v>
      </c>
      <c r="C800" s="163">
        <v>11</v>
      </c>
      <c r="D800"/>
      <c r="E800"/>
      <c r="H800" s="181" t="s">
        <v>858</v>
      </c>
      <c r="I800"/>
      <c r="J800" s="4"/>
      <c r="K800"/>
      <c r="O800" s="181" t="s">
        <v>950</v>
      </c>
      <c r="AG800" s="181" t="s">
        <v>2175</v>
      </c>
    </row>
    <row r="801" spans="1:33" hidden="1">
      <c r="A801" s="261"/>
      <c r="B801" s="154" t="s">
        <v>3103</v>
      </c>
      <c r="C801" s="163">
        <v>11</v>
      </c>
      <c r="D801"/>
      <c r="E801"/>
      <c r="H801" s="181" t="s">
        <v>859</v>
      </c>
      <c r="I801"/>
      <c r="J801" s="4"/>
      <c r="K801"/>
      <c r="N801" s="181" t="s">
        <v>578</v>
      </c>
      <c r="O801" s="181" t="s">
        <v>951</v>
      </c>
      <c r="P801" s="188">
        <f>C271</f>
        <v>160</v>
      </c>
      <c r="R801" s="188" t="e">
        <f t="shared" ref="R801:R807" si="47">(#VALUE!*P801)</f>
        <v>#VALUE!</v>
      </c>
      <c r="AG801" s="181" t="s">
        <v>2175</v>
      </c>
    </row>
    <row r="802" spans="1:33" hidden="1">
      <c r="A802" s="259"/>
      <c r="B802" s="154" t="s">
        <v>3104</v>
      </c>
      <c r="C802" s="163">
        <v>12</v>
      </c>
      <c r="D802"/>
      <c r="E802"/>
      <c r="H802" s="181" t="s">
        <v>1662</v>
      </c>
      <c r="I802"/>
      <c r="J802" s="4"/>
      <c r="K802"/>
      <c r="N802" s="181" t="s">
        <v>835</v>
      </c>
      <c r="O802" s="181" t="s">
        <v>147</v>
      </c>
      <c r="P802" s="188">
        <v>5</v>
      </c>
      <c r="R802" s="188" t="e">
        <f t="shared" si="47"/>
        <v>#VALUE!</v>
      </c>
      <c r="AG802" s="181" t="s">
        <v>2175</v>
      </c>
    </row>
    <row r="803" spans="1:33" hidden="1">
      <c r="A803" s="261"/>
      <c r="B803" s="154" t="s">
        <v>3105</v>
      </c>
      <c r="C803" s="33" t="s">
        <v>3106</v>
      </c>
      <c r="D803"/>
      <c r="E803"/>
      <c r="H803" s="181" t="s">
        <v>91</v>
      </c>
      <c r="I803"/>
      <c r="J803" s="4"/>
      <c r="K803"/>
      <c r="N803" s="181" t="s">
        <v>835</v>
      </c>
      <c r="O803" s="181" t="s">
        <v>148</v>
      </c>
      <c r="P803" s="188">
        <v>10</v>
      </c>
      <c r="R803" s="188" t="e">
        <f t="shared" si="47"/>
        <v>#VALUE!</v>
      </c>
      <c r="AG803" s="181" t="s">
        <v>2175</v>
      </c>
    </row>
    <row r="804" spans="1:33" hidden="1">
      <c r="A804" s="259"/>
      <c r="B804" s="154" t="s">
        <v>3107</v>
      </c>
      <c r="C804" s="106">
        <v>25</v>
      </c>
      <c r="D804"/>
      <c r="E804"/>
      <c r="H804" s="181" t="s">
        <v>92</v>
      </c>
      <c r="I804"/>
      <c r="J804" s="4"/>
      <c r="K804"/>
      <c r="N804" s="181" t="s">
        <v>835</v>
      </c>
      <c r="O804" s="181" t="s">
        <v>1690</v>
      </c>
      <c r="P804" s="188">
        <v>8</v>
      </c>
      <c r="R804" s="188" t="e">
        <f t="shared" si="47"/>
        <v>#VALUE!</v>
      </c>
      <c r="AG804" s="181" t="s">
        <v>2175</v>
      </c>
    </row>
    <row r="805" spans="1:33" hidden="1">
      <c r="A805" s="261"/>
      <c r="B805" s="154" t="s">
        <v>3108</v>
      </c>
      <c r="C805" s="33" t="s">
        <v>3106</v>
      </c>
      <c r="D805"/>
      <c r="E805"/>
      <c r="H805" s="181" t="s">
        <v>93</v>
      </c>
      <c r="I805"/>
      <c r="J805" s="4"/>
      <c r="K805"/>
      <c r="N805" s="181" t="s">
        <v>794</v>
      </c>
      <c r="O805" s="181" t="s">
        <v>1442</v>
      </c>
      <c r="P805" s="188">
        <v>13.66</v>
      </c>
      <c r="R805" s="188" t="e">
        <f t="shared" si="47"/>
        <v>#VALUE!</v>
      </c>
      <c r="AG805" s="181" t="s">
        <v>2175</v>
      </c>
    </row>
    <row r="806" spans="1:33" hidden="1">
      <c r="A806" s="259"/>
      <c r="B806" s="154" t="s">
        <v>3109</v>
      </c>
      <c r="C806" s="33" t="s">
        <v>3106</v>
      </c>
      <c r="D806"/>
      <c r="E806"/>
      <c r="H806" s="181" t="s">
        <v>94</v>
      </c>
      <c r="I806"/>
      <c r="J806" s="4"/>
      <c r="K806"/>
      <c r="N806" s="181" t="s">
        <v>578</v>
      </c>
      <c r="O806" s="181" t="s">
        <v>1443</v>
      </c>
      <c r="P806" s="188">
        <v>25.46</v>
      </c>
      <c r="R806" s="188" t="e">
        <f t="shared" si="47"/>
        <v>#VALUE!</v>
      </c>
      <c r="AG806" s="181" t="s">
        <v>2175</v>
      </c>
    </row>
    <row r="807" spans="1:33" hidden="1">
      <c r="A807" s="261"/>
      <c r="B807" s="154" t="s">
        <v>3110</v>
      </c>
      <c r="C807" s="33" t="s">
        <v>3106</v>
      </c>
      <c r="D807"/>
      <c r="E807"/>
      <c r="H807" s="181" t="s">
        <v>1978</v>
      </c>
      <c r="I807"/>
      <c r="J807" s="4"/>
      <c r="K807"/>
      <c r="N807" s="181" t="s">
        <v>835</v>
      </c>
      <c r="O807" s="181" t="s">
        <v>1269</v>
      </c>
      <c r="P807" s="188">
        <v>0.5</v>
      </c>
      <c r="R807" s="188" t="e">
        <f t="shared" si="47"/>
        <v>#VALUE!</v>
      </c>
      <c r="AG807" s="181" t="s">
        <v>2175</v>
      </c>
    </row>
    <row r="808" spans="1:33" ht="31.5" hidden="1">
      <c r="A808" s="259">
        <v>2</v>
      </c>
      <c r="B808" s="260" t="s">
        <v>3111</v>
      </c>
      <c r="C808"/>
      <c r="D808"/>
      <c r="E808"/>
      <c r="H808" s="181" t="s">
        <v>996</v>
      </c>
      <c r="I808"/>
      <c r="J808" s="4"/>
      <c r="K808"/>
      <c r="R808" s="188">
        <v>0.7</v>
      </c>
      <c r="AG808" s="181" t="s">
        <v>2175</v>
      </c>
    </row>
    <row r="809" spans="1:33" hidden="1">
      <c r="A809" s="261"/>
      <c r="B809" s="154" t="s">
        <v>3112</v>
      </c>
      <c r="C809" s="163">
        <v>12.5</v>
      </c>
      <c r="D809"/>
      <c r="E809"/>
      <c r="H809" s="181" t="s">
        <v>1721</v>
      </c>
      <c r="I809"/>
      <c r="J809" s="4"/>
      <c r="K809"/>
      <c r="R809" s="185" t="s">
        <v>1530</v>
      </c>
      <c r="AG809" s="181" t="s">
        <v>2175</v>
      </c>
    </row>
    <row r="810" spans="1:33" hidden="1">
      <c r="A810" s="259">
        <v>3</v>
      </c>
      <c r="B810" s="154" t="s">
        <v>3113</v>
      </c>
      <c r="C810" s="106">
        <v>242</v>
      </c>
      <c r="D810"/>
      <c r="E810"/>
      <c r="H810" s="181" t="s">
        <v>1722</v>
      </c>
      <c r="I810"/>
      <c r="J810" s="4"/>
      <c r="K810"/>
      <c r="O810" s="236" t="s">
        <v>1270</v>
      </c>
      <c r="R810" s="188" t="e">
        <f>SUM(R798:R808)</f>
        <v>#VALUE!</v>
      </c>
      <c r="AG810" s="181" t="s">
        <v>2175</v>
      </c>
    </row>
    <row r="811" spans="1:33" hidden="1">
      <c r="A811" s="261" t="s">
        <v>3114</v>
      </c>
      <c r="B811" s="262" t="s">
        <v>3115</v>
      </c>
      <c r="C811"/>
      <c r="D811"/>
      <c r="E811"/>
      <c r="I811"/>
      <c r="J811" s="4"/>
      <c r="K811"/>
      <c r="R811" s="185" t="s">
        <v>1530</v>
      </c>
      <c r="AG811" s="181" t="s">
        <v>2175</v>
      </c>
    </row>
    <row r="812" spans="1:33" hidden="1">
      <c r="A812" s="259"/>
      <c r="B812" s="154" t="s">
        <v>2465</v>
      </c>
      <c r="C812" s="263">
        <v>75</v>
      </c>
      <c r="D812"/>
      <c r="E812"/>
      <c r="I812"/>
      <c r="J812" s="4"/>
      <c r="K812"/>
      <c r="R812" s="185"/>
      <c r="AG812" s="181"/>
    </row>
    <row r="813" spans="1:33" hidden="1">
      <c r="A813" s="261"/>
      <c r="B813" s="264" t="s">
        <v>2466</v>
      </c>
      <c r="C813" s="263">
        <v>80</v>
      </c>
      <c r="D813"/>
      <c r="E813"/>
      <c r="G813" s="187" t="s">
        <v>295</v>
      </c>
      <c r="H813" s="236" t="s">
        <v>1719</v>
      </c>
      <c r="I813"/>
      <c r="J813" s="4"/>
      <c r="K813"/>
      <c r="R813" s="185"/>
      <c r="AG813" s="181"/>
    </row>
    <row r="814" spans="1:33" ht="31.5" hidden="1">
      <c r="A814" s="259">
        <v>4</v>
      </c>
      <c r="B814" s="260" t="s">
        <v>2498</v>
      </c>
      <c r="C814"/>
      <c r="D814"/>
      <c r="E814"/>
      <c r="H814" s="236" t="s">
        <v>1724</v>
      </c>
      <c r="I814"/>
      <c r="J814" s="4"/>
      <c r="K814"/>
      <c r="R814" s="185"/>
      <c r="AG814" s="181"/>
    </row>
    <row r="815" spans="1:33" hidden="1">
      <c r="A815" s="261"/>
      <c r="B815" s="154" t="s">
        <v>2499</v>
      </c>
      <c r="C815" s="106">
        <v>42</v>
      </c>
      <c r="D815"/>
      <c r="E815"/>
      <c r="F815" s="255">
        <v>3.8800000000000001E-2</v>
      </c>
      <c r="G815" s="187" t="s">
        <v>836</v>
      </c>
      <c r="H815" s="181" t="s">
        <v>1993</v>
      </c>
      <c r="I815" s="8" t="e">
        <f>K781</f>
        <v>#REF!</v>
      </c>
      <c r="J815" s="2" t="s">
        <v>836</v>
      </c>
      <c r="K815" s="8" t="e">
        <f>F815*I815</f>
        <v>#REF!</v>
      </c>
      <c r="R815" s="185"/>
      <c r="AG815" s="181"/>
    </row>
    <row r="816" spans="1:33" hidden="1">
      <c r="A816" s="259"/>
      <c r="B816" s="154" t="s">
        <v>2500</v>
      </c>
      <c r="C816" s="106">
        <v>46</v>
      </c>
      <c r="D816"/>
      <c r="E816"/>
      <c r="F816" s="188">
        <v>5.01</v>
      </c>
      <c r="G816" s="187" t="s">
        <v>1591</v>
      </c>
      <c r="H816" s="181" t="s">
        <v>1994</v>
      </c>
      <c r="I816" s="8">
        <f>K1513</f>
        <v>33174.400000000001</v>
      </c>
      <c r="J816" s="2" t="s">
        <v>828</v>
      </c>
      <c r="K816" s="8">
        <f>F816*I816/1000</f>
        <v>166.2</v>
      </c>
      <c r="R816" s="185"/>
      <c r="AG816" s="181"/>
    </row>
    <row r="817" spans="1:33" hidden="1">
      <c r="A817" s="261"/>
      <c r="B817" s="154" t="s">
        <v>2965</v>
      </c>
      <c r="C817" s="106">
        <v>42</v>
      </c>
      <c r="D817"/>
      <c r="E817"/>
      <c r="F817" s="188">
        <v>3</v>
      </c>
      <c r="G817" s="187" t="s">
        <v>835</v>
      </c>
      <c r="H817" s="181" t="s">
        <v>1145</v>
      </c>
      <c r="I817" s="8">
        <v>16.5</v>
      </c>
      <c r="J817" s="2" t="s">
        <v>835</v>
      </c>
      <c r="K817" s="8">
        <f t="shared" ref="K817:K824" si="48">F817*I817</f>
        <v>49.5</v>
      </c>
      <c r="R817" s="185"/>
      <c r="AG817" s="181"/>
    </row>
    <row r="818" spans="1:33" ht="31.5" hidden="1">
      <c r="A818" s="259">
        <v>5</v>
      </c>
      <c r="B818" s="260" t="s">
        <v>2966</v>
      </c>
      <c r="C818"/>
      <c r="D818"/>
      <c r="E818"/>
      <c r="F818" s="188">
        <v>12</v>
      </c>
      <c r="G818" s="187" t="s">
        <v>835</v>
      </c>
      <c r="H818" s="181" t="s">
        <v>1146</v>
      </c>
      <c r="I818" s="8">
        <v>3.85</v>
      </c>
      <c r="J818" s="2" t="s">
        <v>835</v>
      </c>
      <c r="K818" s="8">
        <f t="shared" si="48"/>
        <v>46.2</v>
      </c>
      <c r="R818" s="185"/>
      <c r="AG818" s="181"/>
    </row>
    <row r="819" spans="1:33" hidden="1">
      <c r="A819" s="261"/>
      <c r="B819" s="154" t="s">
        <v>2967</v>
      </c>
      <c r="C819" s="106">
        <v>174</v>
      </c>
      <c r="D819"/>
      <c r="E819"/>
      <c r="F819" s="188">
        <v>2</v>
      </c>
      <c r="G819" s="187" t="s">
        <v>835</v>
      </c>
      <c r="H819" s="181" t="s">
        <v>1147</v>
      </c>
      <c r="I819" s="8">
        <v>5</v>
      </c>
      <c r="J819" s="2" t="s">
        <v>835</v>
      </c>
      <c r="K819" s="8">
        <f t="shared" si="48"/>
        <v>10</v>
      </c>
      <c r="R819" s="185"/>
      <c r="AG819" s="181"/>
    </row>
    <row r="820" spans="1:33" hidden="1">
      <c r="A820" s="259"/>
      <c r="B820" s="154" t="s">
        <v>2968</v>
      </c>
      <c r="C820" s="106">
        <v>182</v>
      </c>
      <c r="D820"/>
      <c r="E820"/>
      <c r="F820" s="188">
        <v>6</v>
      </c>
      <c r="G820" s="187" t="s">
        <v>835</v>
      </c>
      <c r="H820" s="181" t="s">
        <v>2138</v>
      </c>
      <c r="I820" s="8">
        <v>3.85</v>
      </c>
      <c r="J820" s="2" t="s">
        <v>835</v>
      </c>
      <c r="K820" s="8">
        <f t="shared" si="48"/>
        <v>23.1</v>
      </c>
      <c r="R820" s="185"/>
      <c r="AG820" s="181"/>
    </row>
    <row r="821" spans="1:33" hidden="1">
      <c r="A821" s="261"/>
      <c r="B821" s="154" t="s">
        <v>2969</v>
      </c>
      <c r="C821" s="106">
        <v>444</v>
      </c>
      <c r="D821"/>
      <c r="E821"/>
      <c r="F821" s="188">
        <v>1</v>
      </c>
      <c r="G821" s="187" t="s">
        <v>835</v>
      </c>
      <c r="H821" s="181" t="s">
        <v>1149</v>
      </c>
      <c r="I821" s="8">
        <f>C10</f>
        <v>150</v>
      </c>
      <c r="J821" s="2" t="s">
        <v>835</v>
      </c>
      <c r="K821" s="8">
        <f t="shared" si="48"/>
        <v>150</v>
      </c>
      <c r="R821" s="185"/>
      <c r="AG821" s="181"/>
    </row>
    <row r="822" spans="1:33" hidden="1">
      <c r="A822" s="259"/>
      <c r="B822" s="154" t="s">
        <v>2970</v>
      </c>
      <c r="C822" s="106">
        <v>626</v>
      </c>
      <c r="D822"/>
      <c r="E822"/>
      <c r="F822" s="188">
        <v>1</v>
      </c>
      <c r="G822" s="187" t="s">
        <v>835</v>
      </c>
      <c r="H822" s="181" t="s">
        <v>1150</v>
      </c>
      <c r="I822" s="8">
        <f>C12</f>
        <v>95</v>
      </c>
      <c r="J822" s="2" t="s">
        <v>835</v>
      </c>
      <c r="K822" s="8">
        <f t="shared" si="48"/>
        <v>95</v>
      </c>
      <c r="R822" s="185"/>
      <c r="AG822" s="181"/>
    </row>
    <row r="823" spans="1:33" ht="47.25" hidden="1">
      <c r="A823" s="261">
        <v>6</v>
      </c>
      <c r="B823" s="260" t="s">
        <v>2971</v>
      </c>
      <c r="C823"/>
      <c r="D823"/>
      <c r="E823"/>
      <c r="F823" s="188">
        <v>1</v>
      </c>
      <c r="G823" s="187" t="s">
        <v>835</v>
      </c>
      <c r="H823" s="181" t="s">
        <v>1151</v>
      </c>
      <c r="I823" s="8">
        <v>25</v>
      </c>
      <c r="J823" s="2" t="s">
        <v>835</v>
      </c>
      <c r="K823" s="8">
        <f t="shared" si="48"/>
        <v>25</v>
      </c>
      <c r="R823" s="185"/>
      <c r="AG823" s="181"/>
    </row>
    <row r="824" spans="1:33" hidden="1">
      <c r="A824" s="259"/>
      <c r="B824" s="154" t="s">
        <v>2972</v>
      </c>
      <c r="C824" s="33" t="s">
        <v>3106</v>
      </c>
      <c r="D824"/>
      <c r="E824"/>
      <c r="F824" s="188">
        <v>0.5</v>
      </c>
      <c r="G824" s="187" t="s">
        <v>835</v>
      </c>
      <c r="H824" s="181" t="s">
        <v>1152</v>
      </c>
      <c r="I824" s="8">
        <f>C13</f>
        <v>85</v>
      </c>
      <c r="J824" s="2" t="s">
        <v>835</v>
      </c>
      <c r="K824" s="8">
        <f t="shared" si="48"/>
        <v>42.5</v>
      </c>
      <c r="R824" s="185"/>
      <c r="AG824" s="181"/>
    </row>
    <row r="825" spans="1:33" hidden="1">
      <c r="A825" s="261"/>
      <c r="B825" s="154" t="s">
        <v>2973</v>
      </c>
      <c r="C825" s="106">
        <v>306</v>
      </c>
      <c r="D825"/>
      <c r="E825"/>
      <c r="G825" s="187" t="s">
        <v>419</v>
      </c>
      <c r="H825" s="181" t="s">
        <v>2058</v>
      </c>
      <c r="I825"/>
      <c r="J825" s="2" t="s">
        <v>419</v>
      </c>
      <c r="K825" s="8">
        <v>0.5</v>
      </c>
      <c r="R825" s="185"/>
      <c r="AG825" s="181"/>
    </row>
    <row r="826" spans="1:33" ht="31.5" hidden="1">
      <c r="A826" s="259"/>
      <c r="B826" s="265" t="s">
        <v>2974</v>
      </c>
      <c r="C826" s="106">
        <v>450</v>
      </c>
      <c r="D826"/>
      <c r="E826"/>
      <c r="I826"/>
      <c r="J826" s="4"/>
      <c r="K826" s="5" t="s">
        <v>1530</v>
      </c>
      <c r="R826" s="185"/>
      <c r="AG826" s="181"/>
    </row>
    <row r="827" spans="1:33" ht="47.25" hidden="1">
      <c r="A827" s="261">
        <v>7</v>
      </c>
      <c r="B827" s="260" t="s">
        <v>2480</v>
      </c>
      <c r="C827"/>
      <c r="D827"/>
      <c r="E827"/>
      <c r="H827" s="236" t="s">
        <v>266</v>
      </c>
      <c r="I827"/>
      <c r="J827" s="4"/>
      <c r="K827" s="8" t="e">
        <f>SUM(K815:K825)</f>
        <v>#REF!</v>
      </c>
      <c r="R827" s="185"/>
      <c r="AG827" s="181"/>
    </row>
    <row r="828" spans="1:33" hidden="1">
      <c r="A828" s="259"/>
      <c r="B828" s="154" t="s">
        <v>2973</v>
      </c>
      <c r="C828" s="106">
        <v>575</v>
      </c>
      <c r="D828"/>
      <c r="E828"/>
      <c r="I828"/>
      <c r="J828" s="4"/>
      <c r="K828" s="5" t="s">
        <v>1530</v>
      </c>
      <c r="R828" s="185"/>
      <c r="AG828" s="181"/>
    </row>
    <row r="829" spans="1:33" ht="31.5" hidden="1">
      <c r="A829" s="261"/>
      <c r="B829" s="265" t="s">
        <v>2974</v>
      </c>
      <c r="C829" s="106">
        <v>750</v>
      </c>
      <c r="D829"/>
      <c r="E829"/>
      <c r="I829"/>
      <c r="J829" s="4"/>
      <c r="K829"/>
      <c r="R829" s="185"/>
      <c r="AG829" s="181"/>
    </row>
    <row r="830" spans="1:33" ht="47.25" hidden="1">
      <c r="A830" s="259">
        <v>8</v>
      </c>
      <c r="B830" s="260" t="s">
        <v>2481</v>
      </c>
      <c r="C830"/>
      <c r="D830"/>
      <c r="E830"/>
      <c r="I830"/>
      <c r="J830" s="4"/>
      <c r="K830"/>
      <c r="R830" s="185"/>
      <c r="AG830" s="181"/>
    </row>
    <row r="831" spans="1:33" hidden="1">
      <c r="A831" s="261"/>
      <c r="B831" s="182" t="s">
        <v>3409</v>
      </c>
      <c r="C831" s="106">
        <v>850</v>
      </c>
      <c r="D831"/>
      <c r="E831"/>
      <c r="G831" s="187" t="s">
        <v>1840</v>
      </c>
      <c r="H831" s="236" t="s">
        <v>1723</v>
      </c>
      <c r="I831"/>
      <c r="J831" s="4"/>
      <c r="K831"/>
      <c r="R831" s="181" t="s">
        <v>940</v>
      </c>
      <c r="AG831" s="181" t="s">
        <v>2175</v>
      </c>
    </row>
    <row r="832" spans="1:33" hidden="1">
      <c r="A832" s="259"/>
      <c r="B832" s="182" t="s">
        <v>2491</v>
      </c>
      <c r="C832" s="106">
        <v>1050</v>
      </c>
      <c r="D832"/>
      <c r="E832"/>
      <c r="H832" s="236" t="s">
        <v>1724</v>
      </c>
      <c r="I832"/>
      <c r="J832" s="4"/>
      <c r="K832"/>
      <c r="N832" s="181" t="s">
        <v>295</v>
      </c>
      <c r="O832" s="181" t="s">
        <v>37</v>
      </c>
      <c r="AG832" s="181" t="s">
        <v>2175</v>
      </c>
    </row>
    <row r="833" spans="1:33" ht="69" hidden="1" customHeight="1">
      <c r="A833" s="261">
        <v>9</v>
      </c>
      <c r="B833" s="260" t="s">
        <v>2492</v>
      </c>
      <c r="C833"/>
      <c r="D833"/>
      <c r="E833"/>
      <c r="F833" s="255">
        <v>3.7600000000000001E-2</v>
      </c>
      <c r="G833" s="187" t="s">
        <v>836</v>
      </c>
      <c r="H833" s="181" t="s">
        <v>1993</v>
      </c>
      <c r="I833" s="8" t="e">
        <f>K781</f>
        <v>#REF!</v>
      </c>
      <c r="J833" s="2" t="s">
        <v>836</v>
      </c>
      <c r="K833" s="8" t="e">
        <f>F833*I833</f>
        <v>#REF!</v>
      </c>
      <c r="O833" s="181" t="s">
        <v>1706</v>
      </c>
      <c r="AG833" s="181" t="s">
        <v>2175</v>
      </c>
    </row>
    <row r="834" spans="1:33" hidden="1">
      <c r="A834" s="259"/>
      <c r="B834" s="182" t="s">
        <v>2493</v>
      </c>
      <c r="C834" s="33" t="s">
        <v>3106</v>
      </c>
      <c r="D834"/>
      <c r="E834"/>
      <c r="F834" s="188">
        <v>4.87</v>
      </c>
      <c r="G834" s="187" t="s">
        <v>1591</v>
      </c>
      <c r="H834" s="181" t="s">
        <v>1994</v>
      </c>
      <c r="I834" s="8">
        <f>K1513</f>
        <v>33174.400000000001</v>
      </c>
      <c r="J834" s="2" t="s">
        <v>828</v>
      </c>
      <c r="K834" s="8">
        <f>F834*I834/1000</f>
        <v>161.56</v>
      </c>
      <c r="N834" s="181" t="s">
        <v>254</v>
      </c>
      <c r="O834" s="181" t="s">
        <v>1708</v>
      </c>
      <c r="P834" s="188">
        <v>43</v>
      </c>
      <c r="R834" s="188" t="e">
        <f>(#VALUE!*P834)</f>
        <v>#VALUE!</v>
      </c>
      <c r="AG834" s="181" t="s">
        <v>2175</v>
      </c>
    </row>
    <row r="835" spans="1:33" hidden="1">
      <c r="A835" s="261"/>
      <c r="B835" s="154" t="s">
        <v>2494</v>
      </c>
      <c r="C835" s="263" t="s">
        <v>3106</v>
      </c>
      <c r="D835"/>
      <c r="E835"/>
      <c r="F835" s="188">
        <v>3</v>
      </c>
      <c r="G835" s="187" t="s">
        <v>835</v>
      </c>
      <c r="H835" s="181" t="s">
        <v>1145</v>
      </c>
      <c r="I835" s="8">
        <v>16.5</v>
      </c>
      <c r="J835" s="2" t="s">
        <v>835</v>
      </c>
      <c r="K835" s="8">
        <f t="shared" ref="K835:K841" si="49">F835*I835</f>
        <v>49.5</v>
      </c>
      <c r="O835" s="181" t="s">
        <v>1853</v>
      </c>
      <c r="AG835" s="181" t="s">
        <v>2175</v>
      </c>
    </row>
    <row r="836" spans="1:33" ht="70.5" hidden="1" customHeight="1">
      <c r="A836" s="259">
        <v>10</v>
      </c>
      <c r="B836" s="260" t="s">
        <v>2975</v>
      </c>
      <c r="C836"/>
      <c r="D836"/>
      <c r="E836"/>
      <c r="F836" s="188">
        <v>12</v>
      </c>
      <c r="G836" s="187" t="s">
        <v>835</v>
      </c>
      <c r="H836" s="181" t="s">
        <v>1146</v>
      </c>
      <c r="I836" s="8">
        <v>3.85</v>
      </c>
      <c r="J836" s="2" t="s">
        <v>835</v>
      </c>
      <c r="K836" s="8">
        <f t="shared" si="49"/>
        <v>46.2</v>
      </c>
      <c r="O836" s="181" t="s">
        <v>950</v>
      </c>
      <c r="AG836" s="181" t="s">
        <v>2175</v>
      </c>
    </row>
    <row r="837" spans="1:33" hidden="1">
      <c r="A837" s="261"/>
      <c r="B837" s="154" t="s">
        <v>2976</v>
      </c>
      <c r="C837" s="106" t="s">
        <v>3106</v>
      </c>
      <c r="D837"/>
      <c r="E837"/>
      <c r="F837" s="188">
        <v>2</v>
      </c>
      <c r="G837" s="187" t="s">
        <v>835</v>
      </c>
      <c r="H837" s="181" t="s">
        <v>1147</v>
      </c>
      <c r="I837" s="8">
        <v>5</v>
      </c>
      <c r="J837" s="2" t="s">
        <v>835</v>
      </c>
      <c r="K837" s="8">
        <f t="shared" si="49"/>
        <v>10</v>
      </c>
      <c r="N837" s="181" t="s">
        <v>578</v>
      </c>
      <c r="O837" s="181" t="s">
        <v>951</v>
      </c>
      <c r="P837" s="188">
        <f>C271</f>
        <v>160</v>
      </c>
      <c r="R837" s="188" t="e">
        <f>(#VALUE!*P837)</f>
        <v>#VALUE!</v>
      </c>
      <c r="AG837" s="181" t="s">
        <v>2175</v>
      </c>
    </row>
    <row r="838" spans="1:33" hidden="1">
      <c r="A838" s="259"/>
      <c r="B838" s="154" t="s">
        <v>2494</v>
      </c>
      <c r="C838" s="106" t="s">
        <v>3106</v>
      </c>
      <c r="D838"/>
      <c r="E838"/>
      <c r="F838" s="188">
        <v>6</v>
      </c>
      <c r="G838" s="187" t="s">
        <v>835</v>
      </c>
      <c r="H838" s="181" t="s">
        <v>2138</v>
      </c>
      <c r="I838" s="8">
        <v>3.85</v>
      </c>
      <c r="J838" s="2" t="s">
        <v>835</v>
      </c>
      <c r="K838" s="8">
        <f t="shared" si="49"/>
        <v>23.1</v>
      </c>
      <c r="N838" s="181" t="s">
        <v>835</v>
      </c>
      <c r="O838" s="181" t="s">
        <v>147</v>
      </c>
      <c r="P838" s="188">
        <v>5</v>
      </c>
      <c r="R838" s="188" t="e">
        <f>(#VALUE!*P838)</f>
        <v>#VALUE!</v>
      </c>
      <c r="AG838" s="181" t="s">
        <v>2175</v>
      </c>
    </row>
    <row r="839" spans="1:33" hidden="1">
      <c r="A839" s="261"/>
      <c r="B839" s="154" t="s">
        <v>2977</v>
      </c>
      <c r="C839" s="106" t="s">
        <v>3106</v>
      </c>
      <c r="D839"/>
      <c r="E839"/>
      <c r="F839" s="188">
        <v>1</v>
      </c>
      <c r="G839" s="187" t="s">
        <v>835</v>
      </c>
      <c r="H839" s="181" t="s">
        <v>1149</v>
      </c>
      <c r="I839" s="8">
        <f>C10</f>
        <v>150</v>
      </c>
      <c r="J839" s="2" t="s">
        <v>835</v>
      </c>
      <c r="K839" s="8">
        <f t="shared" si="49"/>
        <v>150</v>
      </c>
      <c r="N839" s="181" t="s">
        <v>835</v>
      </c>
      <c r="O839" s="181" t="s">
        <v>148</v>
      </c>
      <c r="P839" s="188">
        <v>10</v>
      </c>
      <c r="R839" s="188" t="e">
        <f>(#VALUE!*P839)</f>
        <v>#VALUE!</v>
      </c>
      <c r="AG839" s="181" t="s">
        <v>2175</v>
      </c>
    </row>
    <row r="840" spans="1:33" hidden="1">
      <c r="A840" s="259"/>
      <c r="B840" s="154" t="s">
        <v>2978</v>
      </c>
      <c r="C840" s="33" t="s">
        <v>3106</v>
      </c>
      <c r="D840"/>
      <c r="E840"/>
      <c r="F840" s="188">
        <v>1</v>
      </c>
      <c r="G840" s="187" t="s">
        <v>835</v>
      </c>
      <c r="H840" s="181" t="s">
        <v>1150</v>
      </c>
      <c r="I840" s="8">
        <f>C12</f>
        <v>95</v>
      </c>
      <c r="J840" s="2" t="s">
        <v>835</v>
      </c>
      <c r="K840" s="8">
        <f t="shared" si="49"/>
        <v>95</v>
      </c>
      <c r="N840" s="181" t="s">
        <v>835</v>
      </c>
      <c r="O840" s="181" t="s">
        <v>1690</v>
      </c>
      <c r="P840" s="188">
        <v>8</v>
      </c>
      <c r="R840" s="188" t="e">
        <f>(#VALUE!*P840)</f>
        <v>#VALUE!</v>
      </c>
      <c r="AG840" s="181" t="s">
        <v>2175</v>
      </c>
    </row>
    <row r="841" spans="1:33" hidden="1">
      <c r="A841" s="261"/>
      <c r="B841" s="154" t="s">
        <v>2979</v>
      </c>
      <c r="C841" s="106">
        <v>1459</v>
      </c>
      <c r="D841"/>
      <c r="E841"/>
      <c r="F841" s="188">
        <v>1</v>
      </c>
      <c r="G841" s="187" t="s">
        <v>835</v>
      </c>
      <c r="H841" s="181" t="s">
        <v>1151</v>
      </c>
      <c r="I841" s="8">
        <v>25</v>
      </c>
      <c r="J841" s="2" t="s">
        <v>835</v>
      </c>
      <c r="K841" s="8">
        <f t="shared" si="49"/>
        <v>25</v>
      </c>
      <c r="N841" s="181" t="s">
        <v>794</v>
      </c>
      <c r="O841" s="181" t="s">
        <v>1442</v>
      </c>
      <c r="P841" s="188">
        <v>13.66</v>
      </c>
      <c r="R841" s="188" t="e">
        <f>(#VALUE!*P841)</f>
        <v>#VALUE!</v>
      </c>
      <c r="AG841" s="181" t="s">
        <v>2175</v>
      </c>
    </row>
    <row r="842" spans="1:33" ht="33" hidden="1" customHeight="1">
      <c r="A842" s="261"/>
      <c r="B842" s="265" t="s">
        <v>2980</v>
      </c>
      <c r="C842" s="106">
        <v>1930</v>
      </c>
      <c r="D842"/>
      <c r="E842"/>
      <c r="F842" s="188"/>
      <c r="G842" s="187"/>
      <c r="H842" s="181"/>
      <c r="I842" s="8"/>
      <c r="J842" s="2"/>
      <c r="K842" s="8"/>
      <c r="N842" s="181"/>
      <c r="O842" s="181"/>
      <c r="P842" s="188"/>
      <c r="R842" s="188"/>
      <c r="AG842" s="181"/>
    </row>
    <row r="843" spans="1:33" ht="37.5" hidden="1" customHeight="1">
      <c r="A843" s="259"/>
      <c r="B843" s="266" t="s">
        <v>2785</v>
      </c>
      <c r="C843" s="106">
        <v>2630</v>
      </c>
      <c r="D843"/>
      <c r="E843"/>
      <c r="F843" s="188">
        <v>0.5</v>
      </c>
      <c r="G843" s="187" t="s">
        <v>835</v>
      </c>
      <c r="H843" s="181" t="s">
        <v>1152</v>
      </c>
      <c r="I843" s="8">
        <f>C13</f>
        <v>85</v>
      </c>
      <c r="J843" s="2" t="s">
        <v>835</v>
      </c>
      <c r="K843" s="8">
        <f>F843*I843</f>
        <v>42.5</v>
      </c>
      <c r="N843" s="181" t="s">
        <v>578</v>
      </c>
      <c r="O843" s="181" t="s">
        <v>1443</v>
      </c>
      <c r="P843" s="188">
        <v>25.46</v>
      </c>
      <c r="R843" s="188" t="e">
        <f>(#VALUE!*P843)</f>
        <v>#VALUE!</v>
      </c>
      <c r="AG843" s="181" t="s">
        <v>2175</v>
      </c>
    </row>
    <row r="844" spans="1:33" ht="70.5" hidden="1" customHeight="1">
      <c r="A844" s="261">
        <v>11</v>
      </c>
      <c r="B844" s="260" t="s">
        <v>2605</v>
      </c>
      <c r="C844"/>
      <c r="D844"/>
      <c r="E844"/>
      <c r="G844" s="187" t="s">
        <v>419</v>
      </c>
      <c r="H844" s="181" t="s">
        <v>2058</v>
      </c>
      <c r="I844"/>
      <c r="J844" s="2" t="s">
        <v>419</v>
      </c>
      <c r="K844" s="8">
        <v>0.5</v>
      </c>
      <c r="N844" s="181" t="s">
        <v>835</v>
      </c>
      <c r="O844" s="181" t="s">
        <v>1269</v>
      </c>
      <c r="P844" s="188">
        <v>0.5</v>
      </c>
      <c r="R844" s="188" t="e">
        <f>(#VALUE!*P844)</f>
        <v>#VALUE!</v>
      </c>
      <c r="AG844" s="181" t="s">
        <v>2175</v>
      </c>
    </row>
    <row r="845" spans="1:33" hidden="1">
      <c r="A845" s="259"/>
      <c r="B845" s="154" t="s">
        <v>2606</v>
      </c>
      <c r="C845" s="106">
        <v>642</v>
      </c>
      <c r="D845"/>
      <c r="E845"/>
      <c r="I845"/>
      <c r="J845" s="4"/>
      <c r="K845" s="5" t="s">
        <v>1530</v>
      </c>
      <c r="R845" s="188">
        <v>0.97</v>
      </c>
      <c r="AG845" s="181" t="s">
        <v>2175</v>
      </c>
    </row>
    <row r="846" spans="1:33" ht="70.5" hidden="1" customHeight="1">
      <c r="A846" s="261">
        <v>12</v>
      </c>
      <c r="B846" s="260" t="s">
        <v>2607</v>
      </c>
      <c r="C846"/>
      <c r="D846"/>
      <c r="E846"/>
      <c r="H846" s="236" t="s">
        <v>266</v>
      </c>
      <c r="I846"/>
      <c r="J846" s="4"/>
      <c r="K846" s="8" t="e">
        <f>SUM(K833:K844)</f>
        <v>#REF!</v>
      </c>
      <c r="R846" s="185" t="s">
        <v>1530</v>
      </c>
      <c r="AG846" s="181" t="s">
        <v>2175</v>
      </c>
    </row>
    <row r="847" spans="1:33" hidden="1">
      <c r="A847" s="259"/>
      <c r="B847" s="154" t="s">
        <v>2606</v>
      </c>
      <c r="C847" s="106">
        <v>864</v>
      </c>
      <c r="D847"/>
      <c r="E847"/>
      <c r="I847"/>
      <c r="J847" s="4"/>
      <c r="K847" s="5" t="s">
        <v>1530</v>
      </c>
      <c r="O847" s="236" t="s">
        <v>1270</v>
      </c>
      <c r="R847" s="188" t="e">
        <f>SUM(R834:R845)</f>
        <v>#VALUE!</v>
      </c>
      <c r="AG847" s="181" t="s">
        <v>2175</v>
      </c>
    </row>
    <row r="848" spans="1:33" ht="97.5" hidden="1" customHeight="1">
      <c r="A848" s="261">
        <v>13</v>
      </c>
      <c r="B848" s="260" t="s">
        <v>2608</v>
      </c>
      <c r="C848"/>
      <c r="D848"/>
      <c r="E848"/>
      <c r="F848" s="236"/>
      <c r="G848" s="187" t="s">
        <v>486</v>
      </c>
      <c r="H848" s="236" t="s">
        <v>532</v>
      </c>
      <c r="I848"/>
      <c r="J848" s="4"/>
      <c r="K848"/>
      <c r="R848" s="185" t="s">
        <v>1530</v>
      </c>
      <c r="AG848" s="181" t="s">
        <v>2175</v>
      </c>
    </row>
    <row r="849" spans="1:18" hidden="1">
      <c r="A849" s="259"/>
      <c r="B849" s="154" t="s">
        <v>2609</v>
      </c>
      <c r="C849" s="106">
        <v>3100</v>
      </c>
      <c r="D849"/>
      <c r="E849"/>
      <c r="H849" s="236" t="s">
        <v>1724</v>
      </c>
      <c r="I849"/>
      <c r="J849" s="4"/>
      <c r="K849"/>
    </row>
    <row r="850" spans="1:18" hidden="1">
      <c r="A850" s="261"/>
      <c r="B850" s="264" t="s">
        <v>2610</v>
      </c>
      <c r="C850" s="106">
        <v>3267</v>
      </c>
      <c r="D850"/>
      <c r="E850"/>
      <c r="F850" s="255">
        <v>3.5299999999999998E-2</v>
      </c>
      <c r="G850" s="187" t="s">
        <v>836</v>
      </c>
      <c r="H850" s="181" t="s">
        <v>1993</v>
      </c>
      <c r="I850" s="8" t="e">
        <f>K781</f>
        <v>#REF!</v>
      </c>
      <c r="J850" s="2" t="s">
        <v>836</v>
      </c>
      <c r="K850" s="8" t="e">
        <f>F850*I850</f>
        <v>#REF!</v>
      </c>
      <c r="M850" s="236" t="s">
        <v>1065</v>
      </c>
      <c r="N850" s="181" t="s">
        <v>2167</v>
      </c>
      <c r="O850" s="181" t="s">
        <v>1066</v>
      </c>
    </row>
    <row r="851" spans="1:18" ht="33" hidden="1" customHeight="1">
      <c r="A851" s="259"/>
      <c r="B851" s="266" t="s">
        <v>2611</v>
      </c>
      <c r="C851" s="106">
        <v>1790</v>
      </c>
      <c r="D851"/>
      <c r="E851"/>
      <c r="F851" s="188">
        <v>4.59</v>
      </c>
      <c r="G851" s="187" t="s">
        <v>1591</v>
      </c>
      <c r="H851" s="181" t="s">
        <v>1994</v>
      </c>
      <c r="I851" s="8">
        <f>K1513</f>
        <v>33174.400000000001</v>
      </c>
      <c r="J851" s="2" t="s">
        <v>828</v>
      </c>
      <c r="K851" s="8">
        <f>F851*I851/1000</f>
        <v>152.27000000000001</v>
      </c>
      <c r="O851" s="181" t="s">
        <v>549</v>
      </c>
    </row>
    <row r="852" spans="1:18" ht="33" hidden="1" customHeight="1">
      <c r="A852" s="261">
        <v>14</v>
      </c>
      <c r="B852" s="267" t="s">
        <v>2781</v>
      </c>
      <c r="C852"/>
      <c r="D852"/>
      <c r="E852"/>
      <c r="F852" s="188"/>
      <c r="G852" s="187"/>
      <c r="H852" s="181"/>
      <c r="I852" s="8"/>
      <c r="J852" s="2"/>
      <c r="K852" s="8"/>
      <c r="O852" s="181"/>
    </row>
    <row r="853" spans="1:18" hidden="1">
      <c r="A853" s="259"/>
      <c r="B853" s="264" t="s">
        <v>2782</v>
      </c>
      <c r="C853" s="33" t="s">
        <v>3106</v>
      </c>
      <c r="D853"/>
      <c r="E853"/>
      <c r="F853" s="188">
        <v>3</v>
      </c>
      <c r="G853" s="187" t="s">
        <v>835</v>
      </c>
      <c r="H853" s="181" t="s">
        <v>1145</v>
      </c>
      <c r="I853" s="8">
        <v>16.5</v>
      </c>
      <c r="J853" s="2" t="s">
        <v>835</v>
      </c>
      <c r="K853" s="8">
        <f t="shared" ref="K853:K860" si="50">F853*I853</f>
        <v>49.5</v>
      </c>
      <c r="O853" s="185" t="s">
        <v>1530</v>
      </c>
      <c r="P853" s="185" t="s">
        <v>1530</v>
      </c>
    </row>
    <row r="854" spans="1:18" hidden="1">
      <c r="A854" s="261"/>
      <c r="B854" s="182" t="s">
        <v>2392</v>
      </c>
      <c r="C854" s="33" t="s">
        <v>3106</v>
      </c>
      <c r="D854"/>
      <c r="E854"/>
      <c r="F854" s="188">
        <v>12</v>
      </c>
      <c r="G854" s="187" t="s">
        <v>835</v>
      </c>
      <c r="H854" s="181" t="s">
        <v>1146</v>
      </c>
      <c r="I854" s="8">
        <v>3.85</v>
      </c>
      <c r="J854" s="2" t="s">
        <v>835</v>
      </c>
      <c r="K854" s="8">
        <f t="shared" si="50"/>
        <v>46.2</v>
      </c>
      <c r="O854" s="181" t="s">
        <v>550</v>
      </c>
    </row>
    <row r="855" spans="1:18" hidden="1">
      <c r="A855" s="259"/>
      <c r="B855" s="182" t="s">
        <v>2393</v>
      </c>
      <c r="C855" s="33" t="s">
        <v>3106</v>
      </c>
      <c r="D855"/>
      <c r="E855"/>
      <c r="F855" s="188">
        <v>2</v>
      </c>
      <c r="G855" s="187" t="s">
        <v>835</v>
      </c>
      <c r="H855" s="188" t="str">
        <f>H837</f>
        <v>TOWER BOLT RECEIVER</v>
      </c>
      <c r="I855" s="8">
        <v>5</v>
      </c>
      <c r="J855" s="2" t="s">
        <v>835</v>
      </c>
      <c r="K855" s="8">
        <f t="shared" si="50"/>
        <v>10</v>
      </c>
      <c r="M855" s="188">
        <v>0.5</v>
      </c>
      <c r="N855" s="236" t="s">
        <v>739</v>
      </c>
      <c r="O855" s="181" t="s">
        <v>73</v>
      </c>
      <c r="P855" s="188">
        <f>C16</f>
        <v>150</v>
      </c>
      <c r="Q855" s="236" t="s">
        <v>1658</v>
      </c>
      <c r="R855" s="188">
        <f>(M855*P855)</f>
        <v>75</v>
      </c>
    </row>
    <row r="856" spans="1:18" ht="52.5" hidden="1" customHeight="1">
      <c r="A856" s="261">
        <v>15</v>
      </c>
      <c r="B856" s="267" t="s">
        <v>2394</v>
      </c>
      <c r="C856" s="33"/>
      <c r="D856"/>
      <c r="E856"/>
      <c r="F856" s="188">
        <v>6</v>
      </c>
      <c r="G856" s="187" t="s">
        <v>835</v>
      </c>
      <c r="H856" s="181" t="s">
        <v>2138</v>
      </c>
      <c r="I856" s="8">
        <v>3.85</v>
      </c>
      <c r="J856" s="2" t="s">
        <v>835</v>
      </c>
      <c r="K856" s="8">
        <f t="shared" si="50"/>
        <v>23.1</v>
      </c>
      <c r="M856" s="188">
        <v>0.25</v>
      </c>
      <c r="N856" s="236" t="s">
        <v>739</v>
      </c>
      <c r="O856" s="181" t="s">
        <v>845</v>
      </c>
      <c r="P856" s="188">
        <f>C13</f>
        <v>85</v>
      </c>
      <c r="Q856" s="236" t="s">
        <v>1658</v>
      </c>
      <c r="R856" s="188">
        <f>(M856*P856)</f>
        <v>21.25</v>
      </c>
    </row>
    <row r="857" spans="1:18" hidden="1">
      <c r="A857" s="259"/>
      <c r="B857" s="182" t="s">
        <v>2395</v>
      </c>
      <c r="C857" s="33" t="s">
        <v>3106</v>
      </c>
      <c r="D857"/>
      <c r="E857"/>
      <c r="F857" s="188">
        <v>1</v>
      </c>
      <c r="G857" s="187" t="s">
        <v>835</v>
      </c>
      <c r="H857" s="181" t="s">
        <v>1149</v>
      </c>
      <c r="I857" s="8">
        <f>C10</f>
        <v>150</v>
      </c>
      <c r="J857" s="2" t="s">
        <v>835</v>
      </c>
      <c r="K857" s="8">
        <f t="shared" si="50"/>
        <v>150</v>
      </c>
      <c r="R857" s="185" t="s">
        <v>1530</v>
      </c>
    </row>
    <row r="858" spans="1:18" hidden="1">
      <c r="A858" s="261"/>
      <c r="B858" s="182" t="s">
        <v>2396</v>
      </c>
      <c r="C858" s="33" t="s">
        <v>3106</v>
      </c>
      <c r="D858"/>
      <c r="E858"/>
      <c r="F858" s="188">
        <v>1</v>
      </c>
      <c r="G858" s="187" t="s">
        <v>835</v>
      </c>
      <c r="H858" s="181" t="s">
        <v>1150</v>
      </c>
      <c r="I858" s="8">
        <f>C12</f>
        <v>95</v>
      </c>
      <c r="J858" s="2" t="s">
        <v>835</v>
      </c>
      <c r="K858" s="8">
        <f t="shared" si="50"/>
        <v>95</v>
      </c>
      <c r="O858" s="236" t="s">
        <v>1123</v>
      </c>
      <c r="R858" s="188">
        <f>SUM(R855:R856)</f>
        <v>96.25</v>
      </c>
    </row>
    <row r="859" spans="1:18" hidden="1">
      <c r="A859" s="259"/>
      <c r="B859" s="264" t="s">
        <v>2397</v>
      </c>
      <c r="C859" s="33" t="s">
        <v>3106</v>
      </c>
      <c r="D859"/>
      <c r="E859"/>
      <c r="F859" s="188">
        <v>1</v>
      </c>
      <c r="G859" s="187" t="s">
        <v>835</v>
      </c>
      <c r="H859" s="188" t="str">
        <f>H841</f>
        <v>MOULDING CHARGES</v>
      </c>
      <c r="I859" s="8">
        <v>25</v>
      </c>
      <c r="J859" s="2" t="s">
        <v>835</v>
      </c>
      <c r="K859" s="8">
        <f t="shared" si="50"/>
        <v>25</v>
      </c>
      <c r="R859" s="185" t="s">
        <v>1530</v>
      </c>
    </row>
    <row r="860" spans="1:18" hidden="1">
      <c r="A860" s="261">
        <v>16</v>
      </c>
      <c r="B860" s="267" t="s">
        <v>2398</v>
      </c>
      <c r="C860"/>
      <c r="D860"/>
      <c r="E860"/>
      <c r="F860" s="188">
        <v>0.5</v>
      </c>
      <c r="G860" s="187" t="s">
        <v>835</v>
      </c>
      <c r="H860" s="181" t="s">
        <v>1152</v>
      </c>
      <c r="I860" s="8">
        <f>C13</f>
        <v>85</v>
      </c>
      <c r="J860" s="2" t="s">
        <v>835</v>
      </c>
      <c r="K860" s="8">
        <f t="shared" si="50"/>
        <v>42.5</v>
      </c>
      <c r="O860" s="236" t="s">
        <v>1124</v>
      </c>
      <c r="R860" s="188">
        <f>R858/0.0283</f>
        <v>3401.06</v>
      </c>
    </row>
    <row r="861" spans="1:18" hidden="1">
      <c r="A861" s="268"/>
      <c r="B861" s="154" t="s">
        <v>2312</v>
      </c>
      <c r="C861" s="106">
        <v>10</v>
      </c>
      <c r="D861"/>
      <c r="E861"/>
      <c r="G861" s="187" t="s">
        <v>419</v>
      </c>
      <c r="H861" s="181" t="s">
        <v>2058</v>
      </c>
      <c r="I861"/>
      <c r="J861" s="2" t="s">
        <v>419</v>
      </c>
      <c r="K861" s="8">
        <v>0.5</v>
      </c>
      <c r="R861" s="185" t="s">
        <v>1530</v>
      </c>
    </row>
    <row r="862" spans="1:18" hidden="1">
      <c r="A862" s="268"/>
      <c r="B862" s="154" t="s">
        <v>2313</v>
      </c>
      <c r="C862" s="106">
        <v>10</v>
      </c>
      <c r="D862"/>
      <c r="E862"/>
      <c r="I862"/>
      <c r="J862" s="4"/>
      <c r="K862" s="5" t="s">
        <v>1530</v>
      </c>
    </row>
    <row r="863" spans="1:18" ht="31.5" hidden="1">
      <c r="A863" s="261">
        <v>17</v>
      </c>
      <c r="B863" s="267" t="s">
        <v>2314</v>
      </c>
      <c r="C863"/>
      <c r="D863"/>
      <c r="E863"/>
      <c r="H863" s="236" t="s">
        <v>266</v>
      </c>
      <c r="I863"/>
      <c r="J863" s="4"/>
      <c r="K863" s="8" t="e">
        <f>SUM(K850:K861)</f>
        <v>#REF!</v>
      </c>
    </row>
    <row r="864" spans="1:18" hidden="1">
      <c r="A864" s="261"/>
      <c r="B864" s="182" t="s">
        <v>2315</v>
      </c>
      <c r="C864" s="106">
        <v>170</v>
      </c>
      <c r="D864"/>
      <c r="E864"/>
      <c r="I864"/>
      <c r="J864" s="4"/>
      <c r="K864" s="5" t="s">
        <v>1530</v>
      </c>
    </row>
    <row r="865" spans="1:33" hidden="1">
      <c r="A865" s="261"/>
      <c r="B865" s="154" t="s">
        <v>2316</v>
      </c>
      <c r="C865" s="106">
        <v>170</v>
      </c>
      <c r="D865"/>
      <c r="E865"/>
      <c r="I865"/>
      <c r="J865" s="4"/>
      <c r="K865"/>
    </row>
    <row r="866" spans="1:33" hidden="1">
      <c r="A866" s="261"/>
      <c r="B866" s="154" t="s">
        <v>3178</v>
      </c>
      <c r="C866" s="106">
        <v>295</v>
      </c>
      <c r="D866"/>
      <c r="E866"/>
      <c r="I866"/>
      <c r="J866" s="4"/>
      <c r="K866"/>
    </row>
    <row r="867" spans="1:33" ht="31.5" hidden="1">
      <c r="A867" s="261"/>
      <c r="B867" s="265" t="s">
        <v>3179</v>
      </c>
      <c r="C867" s="106">
        <v>240</v>
      </c>
      <c r="D867"/>
      <c r="E867"/>
      <c r="I867"/>
      <c r="J867" s="4"/>
      <c r="K867"/>
    </row>
    <row r="868" spans="1:33" ht="142.5" hidden="1" customHeight="1">
      <c r="A868" s="261"/>
      <c r="C868"/>
      <c r="D868"/>
      <c r="E868"/>
      <c r="F868" s="269">
        <v>21.3</v>
      </c>
      <c r="G868" s="187" t="s">
        <v>2167</v>
      </c>
      <c r="H868" s="270" t="s">
        <v>1668</v>
      </c>
      <c r="I868"/>
      <c r="J868" s="4"/>
      <c r="K868"/>
      <c r="AG868" s="181" t="s">
        <v>2175</v>
      </c>
    </row>
    <row r="869" spans="1:33" hidden="1">
      <c r="A869" s="261"/>
      <c r="B869" s="154" t="s">
        <v>3180</v>
      </c>
      <c r="C869" s="33" t="s">
        <v>3181</v>
      </c>
      <c r="D869"/>
      <c r="E869"/>
      <c r="H869" s="181" t="s">
        <v>2176</v>
      </c>
      <c r="I869"/>
      <c r="J869" s="4"/>
      <c r="K869"/>
      <c r="M869" s="188">
        <v>11.64</v>
      </c>
      <c r="N869" s="181" t="s">
        <v>794</v>
      </c>
      <c r="O869" s="181" t="s">
        <v>1442</v>
      </c>
      <c r="P869" s="188">
        <v>13.66</v>
      </c>
      <c r="R869" s="188">
        <f>(M869*P869)</f>
        <v>159</v>
      </c>
      <c r="AG869" s="181" t="s">
        <v>2175</v>
      </c>
    </row>
    <row r="870" spans="1:33" hidden="1">
      <c r="A870" s="261"/>
      <c r="B870" s="154" t="s">
        <v>3182</v>
      </c>
      <c r="C870" s="33" t="s">
        <v>3181</v>
      </c>
      <c r="D870"/>
      <c r="E870"/>
      <c r="H870" s="185" t="s">
        <v>1530</v>
      </c>
      <c r="I870"/>
      <c r="J870" s="4"/>
      <c r="K870"/>
      <c r="M870" s="256">
        <v>1.62</v>
      </c>
      <c r="N870" s="181" t="s">
        <v>578</v>
      </c>
      <c r="O870" s="181" t="s">
        <v>1443</v>
      </c>
      <c r="P870" s="188">
        <v>25.46</v>
      </c>
      <c r="R870" s="188">
        <f>(M870*P870)</f>
        <v>41.25</v>
      </c>
      <c r="AG870" s="181" t="s">
        <v>2175</v>
      </c>
    </row>
    <row r="871" spans="1:33" hidden="1">
      <c r="A871" s="261"/>
      <c r="B871" s="154" t="s">
        <v>3183</v>
      </c>
      <c r="C871" s="33" t="s">
        <v>3181</v>
      </c>
      <c r="D871"/>
      <c r="E871"/>
      <c r="I871"/>
      <c r="J871" s="4"/>
      <c r="K871"/>
      <c r="M871" s="188">
        <v>48</v>
      </c>
      <c r="N871" s="181" t="s">
        <v>835</v>
      </c>
      <c r="O871" s="181" t="s">
        <v>1269</v>
      </c>
      <c r="P871" s="188">
        <v>0.5</v>
      </c>
      <c r="R871" s="188">
        <f>(M871*P871)</f>
        <v>24</v>
      </c>
      <c r="AG871" s="181" t="s">
        <v>2175</v>
      </c>
    </row>
    <row r="872" spans="1:33" hidden="1">
      <c r="A872" s="261"/>
      <c r="B872" s="154" t="s">
        <v>3184</v>
      </c>
      <c r="C872" s="33" t="s">
        <v>3181</v>
      </c>
      <c r="D872"/>
      <c r="E872"/>
      <c r="H872" s="181" t="s">
        <v>2176</v>
      </c>
      <c r="I872"/>
      <c r="J872" s="2" t="s">
        <v>578</v>
      </c>
      <c r="K872" s="8">
        <v>1450</v>
      </c>
      <c r="R872" s="188">
        <v>0.23</v>
      </c>
      <c r="AG872" s="181" t="s">
        <v>2175</v>
      </c>
    </row>
    <row r="873" spans="1:33" hidden="1">
      <c r="A873" s="261">
        <v>18</v>
      </c>
      <c r="B873" s="262" t="s">
        <v>3185</v>
      </c>
      <c r="C873"/>
      <c r="D873"/>
      <c r="E873"/>
      <c r="F873" s="181" t="s">
        <v>940</v>
      </c>
      <c r="I873"/>
      <c r="J873" s="4"/>
      <c r="K873"/>
    </row>
    <row r="874" spans="1:33" hidden="1">
      <c r="A874" s="261"/>
      <c r="B874" s="154" t="s">
        <v>3186</v>
      </c>
      <c r="C874" s="106">
        <v>113</v>
      </c>
      <c r="D874"/>
      <c r="E874"/>
      <c r="H874" s="236" t="s">
        <v>2177</v>
      </c>
      <c r="I874"/>
      <c r="J874" s="4"/>
      <c r="K874" s="5" t="s">
        <v>1980</v>
      </c>
      <c r="R874" s="185" t="s">
        <v>1530</v>
      </c>
      <c r="AG874" s="181" t="s">
        <v>2175</v>
      </c>
    </row>
    <row r="875" spans="1:33" hidden="1">
      <c r="A875" s="261"/>
      <c r="B875" s="154" t="s">
        <v>3187</v>
      </c>
      <c r="C875" s="106">
        <v>135</v>
      </c>
      <c r="D875"/>
      <c r="E875"/>
      <c r="H875" s="236" t="s">
        <v>1313</v>
      </c>
      <c r="I875"/>
      <c r="J875" s="4"/>
      <c r="K875"/>
      <c r="O875" s="236" t="s">
        <v>1270</v>
      </c>
      <c r="R875" s="188">
        <f>SUM(R869:R872)</f>
        <v>224.48</v>
      </c>
      <c r="AG875" s="181" t="s">
        <v>2175</v>
      </c>
    </row>
    <row r="876" spans="1:33" hidden="1">
      <c r="A876" s="261"/>
      <c r="B876" s="154" t="s">
        <v>3188</v>
      </c>
      <c r="C876" s="106">
        <v>180</v>
      </c>
      <c r="D876"/>
      <c r="E876"/>
      <c r="F876" s="257">
        <v>21.2</v>
      </c>
      <c r="H876" s="191" t="s">
        <v>1669</v>
      </c>
      <c r="I876"/>
      <c r="J876" s="4"/>
      <c r="K876"/>
      <c r="AG876" s="181" t="s">
        <v>2175</v>
      </c>
    </row>
    <row r="877" spans="1:33" hidden="1">
      <c r="A877" s="261"/>
      <c r="B877" s="154" t="s">
        <v>3189</v>
      </c>
      <c r="C877" s="106">
        <v>248</v>
      </c>
      <c r="D877"/>
      <c r="E877"/>
      <c r="F877" s="257"/>
      <c r="H877" s="185" t="s">
        <v>1530</v>
      </c>
      <c r="I877"/>
      <c r="J877" s="4"/>
      <c r="K877"/>
      <c r="AG877" s="181"/>
    </row>
    <row r="878" spans="1:33" hidden="1">
      <c r="A878" s="261">
        <v>19</v>
      </c>
      <c r="B878" s="154" t="s">
        <v>3190</v>
      </c>
      <c r="C878" s="33" t="s">
        <v>3181</v>
      </c>
      <c r="D878"/>
      <c r="E878"/>
      <c r="G878" s="187" t="s">
        <v>152</v>
      </c>
      <c r="H878" s="181" t="s">
        <v>1314</v>
      </c>
      <c r="I878"/>
      <c r="J878" s="4"/>
      <c r="K878" s="1" t="s">
        <v>940</v>
      </c>
      <c r="AG878" s="181" t="s">
        <v>2175</v>
      </c>
    </row>
    <row r="879" spans="1:33" hidden="1">
      <c r="A879" s="261"/>
      <c r="B879" s="154" t="s">
        <v>3191</v>
      </c>
      <c r="C879" s="33" t="s">
        <v>3181</v>
      </c>
      <c r="D879"/>
      <c r="E879"/>
      <c r="H879" s="185" t="s">
        <v>1530</v>
      </c>
      <c r="I879"/>
      <c r="J879" s="4"/>
      <c r="K879" s="1" t="s">
        <v>940</v>
      </c>
      <c r="AG879" s="181" t="s">
        <v>2175</v>
      </c>
    </row>
    <row r="880" spans="1:33" hidden="1">
      <c r="A880" s="261">
        <v>20</v>
      </c>
      <c r="B880" s="154" t="s">
        <v>2612</v>
      </c>
      <c r="C880" s="33" t="s">
        <v>3181</v>
      </c>
      <c r="D880"/>
      <c r="E880"/>
      <c r="F880" s="188">
        <v>1</v>
      </c>
      <c r="G880" s="187" t="s">
        <v>836</v>
      </c>
      <c r="H880" s="181" t="s">
        <v>1514</v>
      </c>
      <c r="I880" s="8">
        <f>C30</f>
        <v>3035</v>
      </c>
      <c r="J880" s="2" t="s">
        <v>836</v>
      </c>
      <c r="K880" s="8">
        <f>(F880*I880)</f>
        <v>3035</v>
      </c>
      <c r="AG880" s="181" t="s">
        <v>2175</v>
      </c>
    </row>
    <row r="881" spans="1:33" hidden="1">
      <c r="A881" s="261">
        <v>21</v>
      </c>
      <c r="B881" s="154" t="s">
        <v>2613</v>
      </c>
      <c r="C881" s="263" t="s">
        <v>3181</v>
      </c>
      <c r="D881"/>
      <c r="E881"/>
      <c r="F881" s="188">
        <v>1</v>
      </c>
      <c r="G881" s="187" t="s">
        <v>836</v>
      </c>
      <c r="H881" s="181" t="s">
        <v>1314</v>
      </c>
      <c r="I881" s="8">
        <f>C88</f>
        <v>65420</v>
      </c>
      <c r="J881" s="2" t="s">
        <v>836</v>
      </c>
      <c r="K881" s="8">
        <f>(F881*I881)</f>
        <v>65420</v>
      </c>
      <c r="AG881" s="181" t="s">
        <v>2175</v>
      </c>
    </row>
    <row r="882" spans="1:33" hidden="1">
      <c r="A882" s="261">
        <v>22</v>
      </c>
      <c r="B882" s="154" t="s">
        <v>2614</v>
      </c>
      <c r="C882" s="263" t="s">
        <v>3181</v>
      </c>
      <c r="D882"/>
      <c r="E882"/>
      <c r="I882"/>
      <c r="J882" s="4"/>
      <c r="K882" s="5" t="s">
        <v>1980</v>
      </c>
      <c r="AG882" s="181" t="s">
        <v>2175</v>
      </c>
    </row>
    <row r="883" spans="1:33" hidden="1">
      <c r="A883" s="261">
        <v>23</v>
      </c>
      <c r="B883" s="262" t="s">
        <v>2615</v>
      </c>
      <c r="C883"/>
      <c r="D883"/>
      <c r="E883"/>
      <c r="H883" s="181" t="s">
        <v>1515</v>
      </c>
      <c r="I883"/>
      <c r="J883" s="4"/>
      <c r="K883" s="8">
        <f>SUM(K880:K881)</f>
        <v>68455</v>
      </c>
      <c r="AG883" s="181" t="s">
        <v>2175</v>
      </c>
    </row>
    <row r="884" spans="1:33" hidden="1">
      <c r="A884" s="261"/>
      <c r="B884" s="154" t="s">
        <v>2616</v>
      </c>
      <c r="C884" s="33" t="s">
        <v>3181</v>
      </c>
      <c r="D884"/>
      <c r="E884"/>
      <c r="I884"/>
      <c r="J884" s="4"/>
      <c r="K884" s="5" t="s">
        <v>1980</v>
      </c>
      <c r="AG884" s="181" t="s">
        <v>2175</v>
      </c>
    </row>
    <row r="885" spans="1:33" hidden="1">
      <c r="A885" s="261"/>
      <c r="B885" s="154" t="s">
        <v>2617</v>
      </c>
      <c r="C885" s="33" t="s">
        <v>3181</v>
      </c>
      <c r="D885"/>
      <c r="E885"/>
      <c r="G885" s="187" t="s">
        <v>1500</v>
      </c>
      <c r="H885" s="181" t="s">
        <v>1516</v>
      </c>
      <c r="I885"/>
      <c r="J885" s="4"/>
      <c r="K885" s="1" t="s">
        <v>940</v>
      </c>
      <c r="AG885" s="181" t="s">
        <v>2175</v>
      </c>
    </row>
    <row r="886" spans="1:33" hidden="1">
      <c r="A886" s="261">
        <v>24</v>
      </c>
      <c r="B886" s="262" t="s">
        <v>2618</v>
      </c>
      <c r="C886" s="106">
        <v>18</v>
      </c>
      <c r="D886"/>
      <c r="E886"/>
      <c r="H886" s="185" t="s">
        <v>1530</v>
      </c>
      <c r="I886"/>
      <c r="J886" s="4"/>
      <c r="K886"/>
      <c r="AG886" s="181" t="s">
        <v>2175</v>
      </c>
    </row>
    <row r="887" spans="1:33" ht="51" hidden="1" customHeight="1">
      <c r="A887" s="261">
        <v>25</v>
      </c>
      <c r="B887" s="266" t="s">
        <v>2619</v>
      </c>
      <c r="C887" s="106">
        <v>300</v>
      </c>
      <c r="D887"/>
      <c r="E887"/>
      <c r="F887" s="188">
        <v>1</v>
      </c>
      <c r="G887" s="187" t="s">
        <v>836</v>
      </c>
      <c r="H887" s="181" t="s">
        <v>1514</v>
      </c>
      <c r="I887" s="8">
        <f>C30</f>
        <v>3035</v>
      </c>
      <c r="J887" s="2" t="s">
        <v>836</v>
      </c>
      <c r="K887" s="8">
        <f>(F887*I887)</f>
        <v>3035</v>
      </c>
      <c r="AG887" s="181" t="s">
        <v>2175</v>
      </c>
    </row>
    <row r="888" spans="1:33" hidden="1">
      <c r="A888" s="261">
        <v>26</v>
      </c>
      <c r="B888" s="182" t="s">
        <v>2620</v>
      </c>
      <c r="C888" s="106">
        <v>15</v>
      </c>
      <c r="D888"/>
      <c r="E888"/>
      <c r="F888" s="188">
        <v>1</v>
      </c>
      <c r="G888" s="187" t="s">
        <v>836</v>
      </c>
      <c r="H888" s="181" t="s">
        <v>1314</v>
      </c>
      <c r="I888" s="8">
        <f>C89</f>
        <v>57165</v>
      </c>
      <c r="J888" s="2" t="s">
        <v>836</v>
      </c>
      <c r="K888" s="8">
        <f>(F888*I888)</f>
        <v>57165</v>
      </c>
      <c r="AG888" s="181" t="s">
        <v>2175</v>
      </c>
    </row>
    <row r="889" spans="1:33" ht="36" hidden="1" customHeight="1">
      <c r="A889" s="261">
        <v>27</v>
      </c>
      <c r="B889" s="266" t="s">
        <v>2621</v>
      </c>
      <c r="C889" s="106">
        <v>178</v>
      </c>
      <c r="D889"/>
      <c r="E889"/>
      <c r="I889"/>
      <c r="J889" s="4"/>
      <c r="K889" s="5" t="s">
        <v>1980</v>
      </c>
      <c r="AG889" s="181" t="s">
        <v>2175</v>
      </c>
    </row>
    <row r="890" spans="1:33" ht="41.25" hidden="1" customHeight="1">
      <c r="A890" s="261"/>
      <c r="B890" s="266" t="s">
        <v>2622</v>
      </c>
      <c r="C890" s="106">
        <v>1120</v>
      </c>
      <c r="D890"/>
      <c r="E890"/>
      <c r="H890" s="181" t="s">
        <v>1517</v>
      </c>
      <c r="I890"/>
      <c r="J890" s="4"/>
      <c r="K890" s="8">
        <f>SUM(K887:K888)</f>
        <v>60200</v>
      </c>
      <c r="AG890" s="181" t="s">
        <v>2175</v>
      </c>
    </row>
    <row r="891" spans="1:33" ht="39" hidden="1" customHeight="1">
      <c r="A891" s="261"/>
      <c r="B891" s="267" t="s">
        <v>2623</v>
      </c>
      <c r="C891"/>
      <c r="D891"/>
      <c r="E891"/>
      <c r="I891"/>
      <c r="J891" s="4"/>
      <c r="K891" s="5" t="s">
        <v>1980</v>
      </c>
      <c r="AG891" s="181" t="s">
        <v>2175</v>
      </c>
    </row>
    <row r="892" spans="1:33" hidden="1">
      <c r="A892" s="261"/>
      <c r="B892" s="266" t="s">
        <v>3365</v>
      </c>
      <c r="C892" s="33" t="s">
        <v>3181</v>
      </c>
      <c r="D892"/>
      <c r="E892"/>
      <c r="I892"/>
      <c r="J892" s="4"/>
      <c r="K892"/>
      <c r="AG892" s="181" t="s">
        <v>2175</v>
      </c>
    </row>
    <row r="893" spans="1:33" hidden="1">
      <c r="A893" s="261"/>
      <c r="B893" s="266" t="s">
        <v>2482</v>
      </c>
      <c r="C893" s="33" t="s">
        <v>3181</v>
      </c>
      <c r="D893"/>
      <c r="E893"/>
      <c r="F893" s="236" t="s">
        <v>533</v>
      </c>
      <c r="G893" s="187" t="s">
        <v>2167</v>
      </c>
      <c r="H893" s="181" t="s">
        <v>240</v>
      </c>
      <c r="I893"/>
      <c r="J893" s="4"/>
      <c r="K893"/>
      <c r="AG893" s="181" t="s">
        <v>2175</v>
      </c>
    </row>
    <row r="894" spans="1:33" hidden="1">
      <c r="A894" s="261"/>
      <c r="B894" s="266" t="s">
        <v>2483</v>
      </c>
      <c r="C894" s="33" t="s">
        <v>3181</v>
      </c>
      <c r="D894"/>
      <c r="E894"/>
      <c r="H894" s="181" t="s">
        <v>241</v>
      </c>
      <c r="I894"/>
      <c r="J894" s="4"/>
      <c r="K894"/>
      <c r="AG894" s="181" t="s">
        <v>2175</v>
      </c>
    </row>
    <row r="895" spans="1:33" ht="31.5" hidden="1">
      <c r="A895" s="261"/>
      <c r="B895" s="266" t="s">
        <v>2484</v>
      </c>
      <c r="C895" s="106">
        <v>120</v>
      </c>
      <c r="D895"/>
      <c r="E895"/>
      <c r="H895" s="181" t="s">
        <v>1413</v>
      </c>
      <c r="I895"/>
      <c r="J895" s="4"/>
      <c r="K895"/>
      <c r="AG895" s="181" t="s">
        <v>2175</v>
      </c>
    </row>
    <row r="896" spans="1:33" hidden="1">
      <c r="A896" s="261"/>
      <c r="B896" s="267" t="s">
        <v>2485</v>
      </c>
      <c r="C896"/>
      <c r="D896"/>
      <c r="E896"/>
      <c r="H896" s="185" t="s">
        <v>1530</v>
      </c>
      <c r="I896"/>
      <c r="J896" s="4"/>
      <c r="K896"/>
      <c r="AG896" s="181" t="s">
        <v>2175</v>
      </c>
    </row>
    <row r="897" spans="1:33" hidden="1">
      <c r="A897" s="261"/>
      <c r="B897" s="266" t="s">
        <v>2486</v>
      </c>
      <c r="C897" s="106">
        <v>45</v>
      </c>
      <c r="D897"/>
      <c r="E897"/>
      <c r="H897" s="181" t="s">
        <v>87</v>
      </c>
      <c r="I897"/>
      <c r="J897" s="4"/>
      <c r="K897"/>
    </row>
    <row r="898" spans="1:33" hidden="1">
      <c r="A898" s="261"/>
      <c r="B898" s="266" t="s">
        <v>2487</v>
      </c>
      <c r="C898" s="106">
        <v>18</v>
      </c>
      <c r="D898"/>
      <c r="E898"/>
      <c r="H898" s="181" t="s">
        <v>88</v>
      </c>
      <c r="I898"/>
      <c r="J898" s="4"/>
      <c r="K898"/>
    </row>
    <row r="899" spans="1:33" hidden="1">
      <c r="A899" s="261"/>
      <c r="B899" s="266" t="s">
        <v>2488</v>
      </c>
      <c r="C899" s="106">
        <v>450</v>
      </c>
      <c r="D899"/>
      <c r="E899"/>
      <c r="I899"/>
      <c r="J899" s="2" t="s">
        <v>1530</v>
      </c>
      <c r="K899"/>
    </row>
    <row r="900" spans="1:33" hidden="1">
      <c r="A900" s="261"/>
      <c r="B900" s="266" t="s">
        <v>2489</v>
      </c>
      <c r="C900" s="106">
        <v>650</v>
      </c>
      <c r="D900"/>
      <c r="E900"/>
      <c r="H900" s="181" t="s">
        <v>1133</v>
      </c>
      <c r="I900"/>
      <c r="J900" s="4"/>
      <c r="K900"/>
    </row>
    <row r="901" spans="1:33" ht="47.25" hidden="1">
      <c r="A901" s="261"/>
      <c r="B901" s="266" t="s">
        <v>2490</v>
      </c>
      <c r="C901" s="106">
        <v>5000</v>
      </c>
      <c r="D901"/>
      <c r="E901"/>
      <c r="H901" s="181" t="s">
        <v>1935</v>
      </c>
      <c r="I901"/>
      <c r="J901" s="4"/>
      <c r="K901" s="15">
        <v>2.4299999999999999E-2</v>
      </c>
    </row>
    <row r="902" spans="1:33" ht="63" hidden="1">
      <c r="A902" s="261"/>
      <c r="B902" s="266" t="s">
        <v>2509</v>
      </c>
      <c r="C902" s="106">
        <v>6750</v>
      </c>
      <c r="D902"/>
      <c r="E902"/>
      <c r="I902"/>
      <c r="J902" s="2" t="s">
        <v>940</v>
      </c>
      <c r="K902" s="5" t="s">
        <v>1530</v>
      </c>
    </row>
    <row r="903" spans="1:33" ht="47.25" hidden="1">
      <c r="A903" s="261"/>
      <c r="B903" s="266" t="s">
        <v>2389</v>
      </c>
      <c r="C903" s="106">
        <v>5800</v>
      </c>
      <c r="D903"/>
      <c r="E903"/>
      <c r="H903" s="181" t="s">
        <v>1936</v>
      </c>
      <c r="I903"/>
      <c r="J903" s="271" t="s">
        <v>940</v>
      </c>
      <c r="K903" s="15">
        <v>1.47E-2</v>
      </c>
    </row>
    <row r="904" spans="1:33" hidden="1">
      <c r="A904" s="261"/>
      <c r="B904" s="266" t="s">
        <v>2390</v>
      </c>
      <c r="C904"/>
      <c r="D904"/>
      <c r="E904"/>
      <c r="H904" s="181" t="s">
        <v>1709</v>
      </c>
      <c r="I904"/>
      <c r="J904" s="2" t="s">
        <v>940</v>
      </c>
      <c r="K904" s="15">
        <v>4.5999999999999999E-3</v>
      </c>
    </row>
    <row r="905" spans="1:33" ht="47.25" hidden="1">
      <c r="A905" s="261"/>
      <c r="B905" s="266" t="s">
        <v>2391</v>
      </c>
      <c r="C905"/>
      <c r="D905"/>
      <c r="E905"/>
      <c r="I905"/>
      <c r="J905" s="4"/>
      <c r="K905" s="5" t="s">
        <v>1530</v>
      </c>
    </row>
    <row r="906" spans="1:33" ht="47.25" hidden="1">
      <c r="A906" s="261"/>
      <c r="B906" s="266" t="s">
        <v>2391</v>
      </c>
      <c r="C906"/>
      <c r="D906"/>
      <c r="E906"/>
      <c r="I906"/>
      <c r="J906" s="4"/>
      <c r="K906" s="15">
        <v>1.9300000000000001E-2</v>
      </c>
    </row>
    <row r="907" spans="1:33" ht="47.25" hidden="1">
      <c r="A907" s="261"/>
      <c r="B907" s="266" t="s">
        <v>2404</v>
      </c>
      <c r="C907"/>
      <c r="D907"/>
      <c r="E907"/>
      <c r="I907"/>
      <c r="J907" s="4"/>
      <c r="K907" s="5" t="s">
        <v>1530</v>
      </c>
    </row>
    <row r="908" spans="1:33" hidden="1">
      <c r="A908" s="261"/>
      <c r="B908" s="266" t="s">
        <v>2405</v>
      </c>
      <c r="C908"/>
      <c r="D908"/>
      <c r="E908"/>
      <c r="I908"/>
      <c r="J908" s="4"/>
      <c r="K908"/>
    </row>
    <row r="909" spans="1:33" hidden="1">
      <c r="A909" s="261"/>
      <c r="B909" s="266" t="s">
        <v>2453</v>
      </c>
      <c r="C909"/>
      <c r="D909"/>
      <c r="E909"/>
      <c r="I909"/>
      <c r="J909" s="4"/>
      <c r="K909"/>
    </row>
    <row r="910" spans="1:33" hidden="1">
      <c r="A910" s="261"/>
      <c r="B910" s="266" t="s">
        <v>3381</v>
      </c>
      <c r="C910"/>
      <c r="D910"/>
      <c r="E910"/>
      <c r="F910" s="255">
        <v>1.14E-2</v>
      </c>
      <c r="G910" s="187" t="s">
        <v>836</v>
      </c>
      <c r="H910" s="181" t="s">
        <v>287</v>
      </c>
      <c r="I910" s="8">
        <f>C88</f>
        <v>65420</v>
      </c>
      <c r="J910" s="2" t="s">
        <v>836</v>
      </c>
      <c r="K910" s="8">
        <f>(F910*I910)</f>
        <v>745.79</v>
      </c>
      <c r="AG910" s="181" t="s">
        <v>2175</v>
      </c>
    </row>
    <row r="911" spans="1:33" hidden="1">
      <c r="A911" s="261"/>
      <c r="B911" s="266" t="s">
        <v>2467</v>
      </c>
      <c r="C911"/>
      <c r="D911"/>
      <c r="E911"/>
      <c r="F911" s="255">
        <v>2.4299999999999999E-2</v>
      </c>
      <c r="G911" s="187" t="s">
        <v>836</v>
      </c>
      <c r="H911" s="181" t="s">
        <v>288</v>
      </c>
      <c r="I911" s="8">
        <f>C89</f>
        <v>57165</v>
      </c>
      <c r="J911" s="2" t="s">
        <v>836</v>
      </c>
      <c r="K911" s="8">
        <f>(F911*I911)</f>
        <v>1389.11</v>
      </c>
      <c r="AG911" s="181" t="s">
        <v>2175</v>
      </c>
    </row>
    <row r="912" spans="1:33" hidden="1">
      <c r="A912" s="261"/>
      <c r="B912" s="266" t="s">
        <v>2468</v>
      </c>
      <c r="C912"/>
      <c r="D912"/>
      <c r="E912"/>
      <c r="F912" s="255">
        <v>1.9300000000000001E-2</v>
      </c>
      <c r="G912" s="187" t="s">
        <v>836</v>
      </c>
      <c r="H912" s="181" t="s">
        <v>289</v>
      </c>
      <c r="I912" s="8">
        <f>C90</f>
        <v>63870</v>
      </c>
      <c r="J912" s="2" t="s">
        <v>836</v>
      </c>
      <c r="K912" s="8">
        <f>(F912*I912)</f>
        <v>1232.69</v>
      </c>
      <c r="AG912" s="181" t="s">
        <v>2175</v>
      </c>
    </row>
    <row r="913" spans="1:33" hidden="1">
      <c r="A913" s="261"/>
      <c r="B913" s="266" t="s">
        <v>2469</v>
      </c>
      <c r="C913"/>
      <c r="D913"/>
      <c r="E913"/>
      <c r="F913" s="256"/>
      <c r="H913" s="181" t="s">
        <v>416</v>
      </c>
      <c r="I913" s="1" t="s">
        <v>940</v>
      </c>
      <c r="J913" s="4"/>
      <c r="K913" s="1" t="s">
        <v>940</v>
      </c>
      <c r="AG913" s="181" t="s">
        <v>2175</v>
      </c>
    </row>
    <row r="914" spans="1:33" hidden="1">
      <c r="A914" s="261"/>
      <c r="B914" s="266" t="s">
        <v>2470</v>
      </c>
      <c r="C914"/>
      <c r="D914"/>
      <c r="E914"/>
      <c r="F914" s="256">
        <v>1.823</v>
      </c>
      <c r="G914" s="187" t="s">
        <v>578</v>
      </c>
      <c r="H914" s="181" t="s">
        <v>417</v>
      </c>
      <c r="I914" s="8">
        <f>C31</f>
        <v>342</v>
      </c>
      <c r="J914" s="2" t="s">
        <v>578</v>
      </c>
      <c r="K914" s="8">
        <f t="shared" ref="K914:K920" si="51">(F914*I914)</f>
        <v>623.47</v>
      </c>
      <c r="AG914" s="181" t="s">
        <v>2175</v>
      </c>
    </row>
    <row r="915" spans="1:33" hidden="1">
      <c r="A915" s="261"/>
      <c r="B915" s="266" t="s">
        <v>2471</v>
      </c>
      <c r="C915"/>
      <c r="D915"/>
      <c r="E915"/>
      <c r="F915" s="188">
        <v>1</v>
      </c>
      <c r="G915" s="187" t="s">
        <v>739</v>
      </c>
      <c r="H915" s="181" t="s">
        <v>1406</v>
      </c>
      <c r="I915" s="8">
        <f>C576</f>
        <v>30</v>
      </c>
      <c r="J915" s="2" t="s">
        <v>835</v>
      </c>
      <c r="K915" s="8">
        <f t="shared" si="51"/>
        <v>30</v>
      </c>
      <c r="AG915" s="181" t="s">
        <v>2175</v>
      </c>
    </row>
    <row r="916" spans="1:33" ht="31.5" hidden="1">
      <c r="A916" s="261"/>
      <c r="B916" s="266" t="s">
        <v>2472</v>
      </c>
      <c r="C916"/>
      <c r="D916"/>
      <c r="E916"/>
      <c r="F916" s="188">
        <v>3</v>
      </c>
      <c r="G916" s="187" t="s">
        <v>835</v>
      </c>
      <c r="H916" s="181" t="s">
        <v>1407</v>
      </c>
      <c r="I916" s="8">
        <f>C278</f>
        <v>45</v>
      </c>
      <c r="J916" s="2" t="s">
        <v>835</v>
      </c>
      <c r="K916" s="8">
        <f t="shared" si="51"/>
        <v>135</v>
      </c>
      <c r="AG916" s="181" t="s">
        <v>2175</v>
      </c>
    </row>
    <row r="917" spans="1:33" ht="31.5" hidden="1">
      <c r="A917" s="261"/>
      <c r="B917" s="266" t="s">
        <v>2473</v>
      </c>
      <c r="C917"/>
      <c r="D917"/>
      <c r="E917"/>
      <c r="F917" s="188">
        <v>2</v>
      </c>
      <c r="G917" s="187" t="s">
        <v>835</v>
      </c>
      <c r="H917" s="181" t="s">
        <v>1408</v>
      </c>
      <c r="I917" s="8">
        <f>C283</f>
        <v>30</v>
      </c>
      <c r="J917" s="2" t="s">
        <v>835</v>
      </c>
      <c r="K917" s="8">
        <f t="shared" si="51"/>
        <v>60</v>
      </c>
      <c r="AG917" s="181" t="s">
        <v>2175</v>
      </c>
    </row>
    <row r="918" spans="1:33" ht="31.5" hidden="1">
      <c r="A918" s="261"/>
      <c r="B918" s="266" t="s">
        <v>2474</v>
      </c>
      <c r="C918"/>
      <c r="D918"/>
      <c r="E918"/>
      <c r="F918" s="188">
        <v>1</v>
      </c>
      <c r="G918" s="187" t="s">
        <v>835</v>
      </c>
      <c r="H918" s="181" t="s">
        <v>1409</v>
      </c>
      <c r="I918" s="8">
        <f>C285</f>
        <v>95</v>
      </c>
      <c r="J918" s="2" t="s">
        <v>835</v>
      </c>
      <c r="K918" s="8">
        <f t="shared" si="51"/>
        <v>95</v>
      </c>
      <c r="AG918" s="181" t="s">
        <v>2175</v>
      </c>
    </row>
    <row r="919" spans="1:33" hidden="1">
      <c r="A919" s="261"/>
      <c r="B919" s="266" t="s">
        <v>2475</v>
      </c>
      <c r="C919"/>
      <c r="D919"/>
      <c r="E919"/>
      <c r="F919" s="188">
        <v>1</v>
      </c>
      <c r="G919" s="187" t="s">
        <v>835</v>
      </c>
      <c r="H919" s="181" t="s">
        <v>1410</v>
      </c>
      <c r="I919" s="8">
        <f>C287</f>
        <v>8</v>
      </c>
      <c r="J919" s="2" t="s">
        <v>835</v>
      </c>
      <c r="K919" s="8">
        <f t="shared" si="51"/>
        <v>8</v>
      </c>
      <c r="AG919" s="181" t="s">
        <v>2175</v>
      </c>
    </row>
    <row r="920" spans="1:33" hidden="1">
      <c r="A920" s="261"/>
      <c r="B920" s="266" t="s">
        <v>2504</v>
      </c>
      <c r="C920"/>
      <c r="D920"/>
      <c r="E920"/>
      <c r="F920" s="188">
        <v>1</v>
      </c>
      <c r="G920" s="187" t="s">
        <v>835</v>
      </c>
      <c r="H920" s="181" t="s">
        <v>1913</v>
      </c>
      <c r="I920" s="8">
        <f>D576</f>
        <v>25</v>
      </c>
      <c r="J920" s="2" t="s">
        <v>835</v>
      </c>
      <c r="K920" s="8">
        <f t="shared" si="51"/>
        <v>25</v>
      </c>
      <c r="AG920" s="181" t="s">
        <v>2175</v>
      </c>
    </row>
    <row r="921" spans="1:33" hidden="1">
      <c r="A921" s="261"/>
      <c r="B921" s="266" t="s">
        <v>2505</v>
      </c>
      <c r="C921"/>
      <c r="D921"/>
      <c r="E921"/>
      <c r="I921"/>
      <c r="J921" s="4"/>
      <c r="K921" s="5" t="s">
        <v>1530</v>
      </c>
      <c r="AG921" s="181" t="s">
        <v>2175</v>
      </c>
    </row>
    <row r="922" spans="1:33" ht="31.5" hidden="1">
      <c r="A922" s="261"/>
      <c r="B922" s="266" t="s">
        <v>2506</v>
      </c>
      <c r="C922"/>
      <c r="D922"/>
      <c r="E922"/>
      <c r="H922" s="181" t="s">
        <v>1411</v>
      </c>
      <c r="I922"/>
      <c r="J922" s="4"/>
      <c r="K922" s="8">
        <f>SUM(K910:K920)</f>
        <v>4344.0600000000004</v>
      </c>
      <c r="AG922" s="181" t="s">
        <v>2175</v>
      </c>
    </row>
    <row r="923" spans="1:33" hidden="1">
      <c r="A923" s="261"/>
      <c r="B923" s="266" t="s">
        <v>2923</v>
      </c>
      <c r="C923"/>
      <c r="D923"/>
      <c r="E923"/>
      <c r="I923"/>
      <c r="J923" s="4"/>
      <c r="K923" s="5" t="s">
        <v>1530</v>
      </c>
      <c r="AG923" s="181" t="s">
        <v>2175</v>
      </c>
    </row>
    <row r="924" spans="1:33" hidden="1">
      <c r="A924" s="261"/>
      <c r="B924" s="266" t="s">
        <v>2924</v>
      </c>
      <c r="C924"/>
      <c r="D924"/>
      <c r="E924"/>
      <c r="H924" s="181" t="s">
        <v>521</v>
      </c>
      <c r="I924"/>
      <c r="J924" s="4"/>
      <c r="K924" s="8">
        <f>K922/F914</f>
        <v>2382.92</v>
      </c>
      <c r="AG924" s="181" t="s">
        <v>2175</v>
      </c>
    </row>
    <row r="925" spans="1:33" hidden="1">
      <c r="A925" s="261"/>
      <c r="B925" s="266" t="s">
        <v>2925</v>
      </c>
      <c r="C925"/>
      <c r="D925"/>
      <c r="E925"/>
      <c r="F925" s="181" t="s">
        <v>940</v>
      </c>
      <c r="I925"/>
      <c r="J925" s="4"/>
      <c r="K925"/>
    </row>
    <row r="926" spans="1:33" hidden="1">
      <c r="A926" s="261"/>
      <c r="B926" s="266" t="s">
        <v>2926</v>
      </c>
      <c r="C926"/>
      <c r="D926"/>
      <c r="E926"/>
      <c r="I926"/>
      <c r="J926" s="4"/>
      <c r="K926" s="5" t="s">
        <v>1980</v>
      </c>
      <c r="AG926" s="181" t="s">
        <v>2175</v>
      </c>
    </row>
    <row r="927" spans="1:33" hidden="1">
      <c r="A927" s="261"/>
      <c r="B927" s="266" t="s">
        <v>2927</v>
      </c>
      <c r="C927"/>
      <c r="D927"/>
      <c r="E927"/>
      <c r="I927"/>
      <c r="J927" s="4"/>
      <c r="K927"/>
    </row>
    <row r="928" spans="1:33" hidden="1">
      <c r="A928" s="261"/>
      <c r="B928" s="266" t="s">
        <v>2928</v>
      </c>
      <c r="C928"/>
      <c r="D928"/>
      <c r="E928"/>
      <c r="I928"/>
      <c r="J928" s="4"/>
      <c r="K928"/>
    </row>
    <row r="929" spans="1:33" hidden="1">
      <c r="A929" s="261"/>
      <c r="B929" s="266" t="s">
        <v>2929</v>
      </c>
      <c r="C929"/>
      <c r="D929"/>
      <c r="E929"/>
      <c r="F929" s="236" t="s">
        <v>1286</v>
      </c>
      <c r="G929" s="187" t="s">
        <v>2167</v>
      </c>
      <c r="H929" s="181" t="s">
        <v>240</v>
      </c>
      <c r="I929"/>
      <c r="J929" s="4"/>
      <c r="K929"/>
      <c r="AG929" s="181" t="s">
        <v>2175</v>
      </c>
    </row>
    <row r="930" spans="1:33" ht="16.5" hidden="1" customHeight="1">
      <c r="A930" s="261"/>
      <c r="B930" s="266" t="s">
        <v>2930</v>
      </c>
      <c r="C930"/>
      <c r="D930"/>
      <c r="E930"/>
      <c r="H930" s="181" t="s">
        <v>241</v>
      </c>
      <c r="I930"/>
      <c r="J930" s="4"/>
      <c r="K930"/>
      <c r="AG930" s="181" t="s">
        <v>2175</v>
      </c>
    </row>
    <row r="931" spans="1:33" ht="15.75" hidden="1" customHeight="1">
      <c r="A931" s="261"/>
      <c r="B931" s="266" t="s">
        <v>2931</v>
      </c>
      <c r="C931"/>
      <c r="D931"/>
      <c r="E931"/>
      <c r="H931" s="181" t="s">
        <v>1414</v>
      </c>
      <c r="I931"/>
      <c r="J931" s="4"/>
      <c r="K931"/>
      <c r="AG931" s="181" t="s">
        <v>2175</v>
      </c>
    </row>
    <row r="932" spans="1:33" hidden="1">
      <c r="A932" s="261"/>
      <c r="B932" s="266" t="s">
        <v>2932</v>
      </c>
      <c r="C932"/>
      <c r="D932"/>
      <c r="E932"/>
      <c r="H932" s="185" t="s">
        <v>1530</v>
      </c>
      <c r="I932"/>
      <c r="J932" s="4"/>
      <c r="K932"/>
      <c r="AG932" s="181" t="s">
        <v>2175</v>
      </c>
    </row>
    <row r="933" spans="1:33" hidden="1">
      <c r="A933" s="261"/>
      <c r="B933" s="266" t="s">
        <v>2933</v>
      </c>
      <c r="C933"/>
      <c r="D933"/>
      <c r="E933"/>
      <c r="I933"/>
      <c r="J933" s="4"/>
      <c r="K933"/>
    </row>
    <row r="934" spans="1:33" ht="20.25" hidden="1" customHeight="1">
      <c r="A934" s="261"/>
      <c r="B934" s="266" t="s">
        <v>2934</v>
      </c>
      <c r="C934"/>
      <c r="D934"/>
      <c r="E934"/>
      <c r="H934" s="181" t="s">
        <v>612</v>
      </c>
      <c r="I934"/>
      <c r="J934" s="4"/>
      <c r="K934"/>
    </row>
    <row r="935" spans="1:33" hidden="1">
      <c r="A935" s="261"/>
      <c r="B935" s="266" t="s">
        <v>2540</v>
      </c>
      <c r="C935"/>
      <c r="D935"/>
      <c r="E935"/>
      <c r="H935" s="181" t="s">
        <v>613</v>
      </c>
      <c r="I935"/>
      <c r="J935" s="4"/>
      <c r="K935"/>
    </row>
    <row r="936" spans="1:33" hidden="1">
      <c r="A936" s="261"/>
      <c r="B936" s="266" t="s">
        <v>2541</v>
      </c>
      <c r="C936"/>
      <c r="D936"/>
      <c r="E936"/>
      <c r="I936"/>
      <c r="J936" s="2" t="s">
        <v>1530</v>
      </c>
      <c r="K936"/>
    </row>
    <row r="937" spans="1:33" hidden="1">
      <c r="A937" s="261"/>
      <c r="B937" s="266" t="s">
        <v>2542</v>
      </c>
      <c r="C937"/>
      <c r="D937"/>
      <c r="E937"/>
      <c r="H937" s="181" t="s">
        <v>614</v>
      </c>
      <c r="I937"/>
      <c r="J937" s="4"/>
      <c r="K937"/>
    </row>
    <row r="938" spans="1:33" hidden="1">
      <c r="A938" s="261"/>
      <c r="B938" s="266" t="s">
        <v>2543</v>
      </c>
      <c r="C938"/>
      <c r="D938"/>
      <c r="E938"/>
      <c r="H938" s="181" t="s">
        <v>615</v>
      </c>
      <c r="I938"/>
      <c r="J938" s="4"/>
      <c r="K938" s="15">
        <v>2.1999999999999999E-2</v>
      </c>
    </row>
    <row r="939" spans="1:33" hidden="1">
      <c r="A939" s="261"/>
      <c r="B939" s="266" t="s">
        <v>2544</v>
      </c>
      <c r="C939"/>
      <c r="D939"/>
      <c r="E939"/>
      <c r="I939"/>
      <c r="J939" s="2" t="s">
        <v>940</v>
      </c>
      <c r="K939" s="5" t="s">
        <v>1530</v>
      </c>
    </row>
    <row r="940" spans="1:33" ht="31.5" hidden="1">
      <c r="A940" s="261"/>
      <c r="B940" s="266" t="s">
        <v>2604</v>
      </c>
      <c r="C940"/>
      <c r="D940"/>
      <c r="E940"/>
      <c r="H940" s="181" t="s">
        <v>826</v>
      </c>
      <c r="I940"/>
      <c r="J940" s="271" t="s">
        <v>940</v>
      </c>
      <c r="K940" s="15">
        <v>1.3100000000000001E-2</v>
      </c>
    </row>
    <row r="941" spans="1:33" ht="31.5" hidden="1">
      <c r="A941" s="261"/>
      <c r="B941" s="266" t="s">
        <v>3074</v>
      </c>
      <c r="C941"/>
      <c r="D941"/>
      <c r="E941"/>
      <c r="H941" s="181" t="s">
        <v>2071</v>
      </c>
      <c r="I941"/>
      <c r="J941" s="2" t="s">
        <v>940</v>
      </c>
      <c r="K941" s="15">
        <v>3.3999999999999998E-3</v>
      </c>
    </row>
    <row r="942" spans="1:33" ht="31.5" hidden="1">
      <c r="A942" s="261"/>
      <c r="B942" s="266" t="s">
        <v>2903</v>
      </c>
      <c r="C942"/>
      <c r="D942"/>
      <c r="E942"/>
      <c r="I942"/>
      <c r="J942" s="4"/>
      <c r="K942" s="5" t="s">
        <v>1530</v>
      </c>
    </row>
    <row r="943" spans="1:33" ht="31.5" hidden="1">
      <c r="A943" s="261"/>
      <c r="B943" s="266" t="s">
        <v>2904</v>
      </c>
      <c r="C943"/>
      <c r="D943"/>
      <c r="E943"/>
      <c r="I943"/>
      <c r="J943" s="4"/>
      <c r="K943" s="15">
        <v>1.6500000000000001E-2</v>
      </c>
    </row>
    <row r="944" spans="1:33" hidden="1">
      <c r="A944" s="261"/>
      <c r="B944" s="266" t="s">
        <v>2905</v>
      </c>
      <c r="C944"/>
      <c r="D944"/>
      <c r="E944"/>
      <c r="I944"/>
      <c r="J944" s="4"/>
      <c r="K944" s="5" t="s">
        <v>1530</v>
      </c>
    </row>
    <row r="945" spans="1:33" hidden="1">
      <c r="A945" s="261"/>
      <c r="B945" s="266" t="s">
        <v>2906</v>
      </c>
      <c r="C945"/>
      <c r="D945"/>
      <c r="E945"/>
      <c r="F945" s="255">
        <v>1.15E-2</v>
      </c>
      <c r="G945" s="187" t="s">
        <v>836</v>
      </c>
      <c r="H945" s="181" t="s">
        <v>287</v>
      </c>
      <c r="I945" s="8">
        <f>C88</f>
        <v>65420</v>
      </c>
      <c r="J945" s="2" t="s">
        <v>836</v>
      </c>
      <c r="K945" s="8">
        <f>(F945*I945)</f>
        <v>752.33</v>
      </c>
      <c r="AG945" s="181" t="s">
        <v>2175</v>
      </c>
    </row>
    <row r="946" spans="1:33" hidden="1">
      <c r="A946" s="261"/>
      <c r="B946" s="266" t="s">
        <v>2907</v>
      </c>
      <c r="C946"/>
      <c r="D946"/>
      <c r="E946"/>
      <c r="F946" s="255">
        <v>2.1999999999999999E-2</v>
      </c>
      <c r="G946" s="187" t="s">
        <v>836</v>
      </c>
      <c r="H946" s="181" t="s">
        <v>288</v>
      </c>
      <c r="I946" s="8">
        <f>C89</f>
        <v>57165</v>
      </c>
      <c r="J946" s="2" t="s">
        <v>836</v>
      </c>
      <c r="K946" s="8">
        <f>(F946*I946)</f>
        <v>1257.6300000000001</v>
      </c>
      <c r="AG946" s="181" t="s">
        <v>2175</v>
      </c>
    </row>
    <row r="947" spans="1:33" hidden="1">
      <c r="A947" s="261"/>
      <c r="B947" s="266" t="s">
        <v>2908</v>
      </c>
      <c r="C947"/>
      <c r="D947"/>
      <c r="E947"/>
      <c r="F947" s="255">
        <v>1.6500000000000001E-2</v>
      </c>
      <c r="G947" s="187" t="s">
        <v>836</v>
      </c>
      <c r="H947" s="181" t="s">
        <v>289</v>
      </c>
      <c r="I947" s="8">
        <f>C90</f>
        <v>63870</v>
      </c>
      <c r="J947" s="2" t="s">
        <v>836</v>
      </c>
      <c r="K947" s="8">
        <f>(F947*I947)</f>
        <v>1053.8599999999999</v>
      </c>
      <c r="AG947" s="181" t="s">
        <v>2175</v>
      </c>
    </row>
    <row r="948" spans="1:33" ht="31.5" hidden="1">
      <c r="A948" s="261"/>
      <c r="B948" s="266" t="s">
        <v>2337</v>
      </c>
      <c r="C948"/>
      <c r="D948"/>
      <c r="E948"/>
      <c r="F948" s="255"/>
      <c r="H948" s="181" t="s">
        <v>416</v>
      </c>
      <c r="I948" s="1" t="s">
        <v>940</v>
      </c>
      <c r="J948" s="4"/>
      <c r="K948" s="1" t="s">
        <v>940</v>
      </c>
      <c r="AG948" s="181" t="s">
        <v>2175</v>
      </c>
    </row>
    <row r="949" spans="1:33" ht="31.5" hidden="1">
      <c r="A949" s="261"/>
      <c r="B949" s="266" t="s">
        <v>2338</v>
      </c>
      <c r="C949"/>
      <c r="D949"/>
      <c r="E949"/>
      <c r="F949" s="255">
        <v>1.64</v>
      </c>
      <c r="G949" s="187" t="s">
        <v>578</v>
      </c>
      <c r="H949" s="181" t="s">
        <v>417</v>
      </c>
      <c r="I949" s="8">
        <f>C31</f>
        <v>342</v>
      </c>
      <c r="J949" s="2" t="s">
        <v>578</v>
      </c>
      <c r="K949" s="8">
        <f t="shared" ref="K949:K955" si="52">(F949*I949)</f>
        <v>560.88</v>
      </c>
      <c r="AG949" s="181" t="s">
        <v>2175</v>
      </c>
    </row>
    <row r="950" spans="1:33" ht="31.5" hidden="1">
      <c r="A950" s="261"/>
      <c r="B950" s="266" t="s">
        <v>3075</v>
      </c>
      <c r="C950"/>
      <c r="D950"/>
      <c r="E950"/>
      <c r="F950" s="188">
        <v>1</v>
      </c>
      <c r="G950" s="187" t="s">
        <v>739</v>
      </c>
      <c r="H950" s="181" t="s">
        <v>1406</v>
      </c>
      <c r="I950" s="8">
        <f>C576</f>
        <v>30</v>
      </c>
      <c r="J950" s="2" t="s">
        <v>835</v>
      </c>
      <c r="K950" s="8">
        <f t="shared" si="52"/>
        <v>30</v>
      </c>
      <c r="AG950" s="181" t="s">
        <v>2175</v>
      </c>
    </row>
    <row r="951" spans="1:33" ht="31.5" hidden="1">
      <c r="A951" s="261"/>
      <c r="B951" s="266" t="s">
        <v>3076</v>
      </c>
      <c r="C951"/>
      <c r="D951"/>
      <c r="E951"/>
      <c r="F951" s="188">
        <v>3</v>
      </c>
      <c r="G951" s="187" t="s">
        <v>835</v>
      </c>
      <c r="H951" s="181" t="s">
        <v>1407</v>
      </c>
      <c r="I951" s="8">
        <f>C278</f>
        <v>45</v>
      </c>
      <c r="J951" s="2" t="s">
        <v>835</v>
      </c>
      <c r="K951" s="8">
        <f t="shared" si="52"/>
        <v>135</v>
      </c>
      <c r="AG951" s="181" t="s">
        <v>2175</v>
      </c>
    </row>
    <row r="952" spans="1:33" ht="31.5" hidden="1">
      <c r="A952" s="261"/>
      <c r="B952" s="266" t="s">
        <v>3086</v>
      </c>
      <c r="C952"/>
      <c r="D952"/>
      <c r="E952"/>
      <c r="F952" s="188">
        <v>2</v>
      </c>
      <c r="G952" s="187" t="s">
        <v>835</v>
      </c>
      <c r="H952" s="181" t="s">
        <v>1408</v>
      </c>
      <c r="I952" s="8">
        <f>C283</f>
        <v>30</v>
      </c>
      <c r="J952" s="2" t="s">
        <v>835</v>
      </c>
      <c r="K952" s="8">
        <f t="shared" si="52"/>
        <v>60</v>
      </c>
      <c r="AG952" s="181" t="s">
        <v>300</v>
      </c>
    </row>
    <row r="953" spans="1:33" ht="31.5" hidden="1">
      <c r="A953" s="261"/>
      <c r="B953" s="266" t="s">
        <v>3087</v>
      </c>
      <c r="C953"/>
      <c r="D953"/>
      <c r="E953"/>
      <c r="F953" s="188">
        <v>1</v>
      </c>
      <c r="G953" s="187" t="s">
        <v>835</v>
      </c>
      <c r="H953" s="181" t="s">
        <v>1409</v>
      </c>
      <c r="I953" s="8">
        <f>C285</f>
        <v>95</v>
      </c>
      <c r="J953" s="2" t="s">
        <v>835</v>
      </c>
      <c r="K953" s="8">
        <f t="shared" si="52"/>
        <v>95</v>
      </c>
    </row>
    <row r="954" spans="1:33" ht="31.5" hidden="1">
      <c r="A954" s="261"/>
      <c r="B954" s="266" t="s">
        <v>3088</v>
      </c>
      <c r="C954"/>
      <c r="D954"/>
      <c r="E954"/>
      <c r="F954" s="188">
        <v>1</v>
      </c>
      <c r="G954" s="187" t="s">
        <v>835</v>
      </c>
      <c r="H954" s="181" t="s">
        <v>1410</v>
      </c>
      <c r="I954" s="8">
        <f>C287</f>
        <v>8</v>
      </c>
      <c r="J954" s="2" t="s">
        <v>835</v>
      </c>
      <c r="K954" s="8">
        <f t="shared" si="52"/>
        <v>8</v>
      </c>
    </row>
    <row r="955" spans="1:33" ht="31.5" hidden="1">
      <c r="A955" s="261"/>
      <c r="B955" s="266" t="s">
        <v>3089</v>
      </c>
      <c r="C955"/>
      <c r="D955"/>
      <c r="E955"/>
      <c r="F955" s="188">
        <v>1</v>
      </c>
      <c r="G955" s="187" t="s">
        <v>835</v>
      </c>
      <c r="H955" s="181" t="s">
        <v>1913</v>
      </c>
      <c r="I955" s="8">
        <f>D576</f>
        <v>25</v>
      </c>
      <c r="J955" s="2" t="s">
        <v>835</v>
      </c>
      <c r="K955" s="8">
        <f t="shared" si="52"/>
        <v>25</v>
      </c>
      <c r="AG955" s="181" t="s">
        <v>2175</v>
      </c>
    </row>
    <row r="956" spans="1:33" ht="31.5" hidden="1">
      <c r="A956" s="261"/>
      <c r="B956" s="266" t="s">
        <v>3090</v>
      </c>
      <c r="C956"/>
      <c r="D956"/>
      <c r="E956"/>
      <c r="I956"/>
      <c r="J956" s="4"/>
      <c r="K956" s="5" t="s">
        <v>1530</v>
      </c>
      <c r="AG956" s="181" t="s">
        <v>2175</v>
      </c>
    </row>
    <row r="957" spans="1:33" ht="31.5" hidden="1">
      <c r="A957" s="261"/>
      <c r="B957" s="266" t="s">
        <v>3091</v>
      </c>
      <c r="C957"/>
      <c r="D957"/>
      <c r="E957"/>
      <c r="H957" s="181" t="s">
        <v>2072</v>
      </c>
      <c r="I957"/>
      <c r="J957" s="4"/>
      <c r="K957" s="8">
        <f>SUM(K945:K955)</f>
        <v>3977.7</v>
      </c>
      <c r="AG957" s="181" t="s">
        <v>2175</v>
      </c>
    </row>
    <row r="958" spans="1:33" ht="31.5" hidden="1">
      <c r="A958" s="261"/>
      <c r="B958" s="266" t="s">
        <v>3092</v>
      </c>
      <c r="C958"/>
      <c r="D958"/>
      <c r="E958"/>
      <c r="I958"/>
      <c r="J958" s="4"/>
      <c r="K958" s="5" t="s">
        <v>1530</v>
      </c>
      <c r="AG958" s="181" t="s">
        <v>2175</v>
      </c>
    </row>
    <row r="959" spans="1:33" ht="31.5" hidden="1">
      <c r="A959" s="261"/>
      <c r="B959" s="266" t="s">
        <v>3142</v>
      </c>
      <c r="C959"/>
      <c r="D959"/>
      <c r="E959"/>
      <c r="H959" s="181" t="s">
        <v>521</v>
      </c>
      <c r="I959"/>
      <c r="J959" s="4"/>
      <c r="K959" s="8">
        <f>K957/F949</f>
        <v>2425.4299999999998</v>
      </c>
      <c r="AG959" s="181" t="s">
        <v>2175</v>
      </c>
    </row>
    <row r="960" spans="1:33" ht="31.5" hidden="1">
      <c r="A960" s="261"/>
      <c r="B960" s="266" t="s">
        <v>3143</v>
      </c>
      <c r="C960"/>
      <c r="D960"/>
      <c r="E960"/>
      <c r="I960"/>
      <c r="J960" s="4"/>
      <c r="K960" s="5" t="s">
        <v>1980</v>
      </c>
      <c r="AG960" s="181" t="s">
        <v>2175</v>
      </c>
    </row>
    <row r="961" spans="1:11" ht="31.5" hidden="1">
      <c r="A961" s="261"/>
      <c r="B961" s="266" t="s">
        <v>3144</v>
      </c>
      <c r="C961"/>
      <c r="D961"/>
      <c r="E961"/>
      <c r="F961" s="236" t="s">
        <v>1285</v>
      </c>
      <c r="G961" s="187" t="s">
        <v>2167</v>
      </c>
      <c r="H961" s="181" t="s">
        <v>240</v>
      </c>
      <c r="I961"/>
      <c r="J961" s="4"/>
      <c r="K961"/>
    </row>
    <row r="962" spans="1:11" ht="31.5" hidden="1">
      <c r="A962" s="261"/>
      <c r="B962" s="266" t="s">
        <v>2898</v>
      </c>
      <c r="C962"/>
      <c r="D962"/>
      <c r="E962"/>
      <c r="H962" s="181" t="s">
        <v>241</v>
      </c>
      <c r="I962"/>
      <c r="J962" s="4"/>
      <c r="K962"/>
    </row>
    <row r="963" spans="1:11" hidden="1">
      <c r="A963" s="261"/>
      <c r="B963" s="266" t="s">
        <v>2899</v>
      </c>
      <c r="C963"/>
      <c r="D963"/>
      <c r="E963"/>
      <c r="H963" s="181" t="s">
        <v>1415</v>
      </c>
      <c r="I963"/>
      <c r="J963" s="4"/>
      <c r="K963"/>
    </row>
    <row r="964" spans="1:11" hidden="1">
      <c r="A964" s="261"/>
      <c r="B964" s="266" t="s">
        <v>2900</v>
      </c>
      <c r="C964"/>
      <c r="D964"/>
      <c r="E964"/>
      <c r="H964" s="185" t="s">
        <v>1530</v>
      </c>
      <c r="I964"/>
      <c r="J964" s="4"/>
      <c r="K964"/>
    </row>
    <row r="965" spans="1:11" hidden="1">
      <c r="A965" s="261"/>
      <c r="B965" s="266" t="s">
        <v>2901</v>
      </c>
      <c r="C965"/>
      <c r="D965"/>
      <c r="E965"/>
      <c r="H965" s="181" t="s">
        <v>2073</v>
      </c>
      <c r="I965"/>
      <c r="J965" s="4"/>
      <c r="K965"/>
    </row>
    <row r="966" spans="1:11" hidden="1">
      <c r="A966" s="261"/>
      <c r="B966" s="266" t="s">
        <v>2902</v>
      </c>
      <c r="C966"/>
      <c r="D966"/>
      <c r="E966"/>
      <c r="H966" s="181" t="s">
        <v>88</v>
      </c>
      <c r="I966"/>
      <c r="J966" s="4"/>
      <c r="K966"/>
    </row>
    <row r="967" spans="1:11" hidden="1">
      <c r="A967" s="261"/>
      <c r="B967" s="266" t="s">
        <v>3117</v>
      </c>
      <c r="C967"/>
      <c r="D967"/>
      <c r="E967"/>
      <c r="I967"/>
      <c r="J967" s="2" t="s">
        <v>1530</v>
      </c>
      <c r="K967"/>
    </row>
    <row r="968" spans="1:11" hidden="1">
      <c r="A968" s="261"/>
      <c r="B968" s="266" t="s">
        <v>3118</v>
      </c>
      <c r="C968"/>
      <c r="D968"/>
      <c r="E968"/>
      <c r="H968" s="181" t="s">
        <v>2074</v>
      </c>
      <c r="I968"/>
      <c r="J968" s="4"/>
      <c r="K968"/>
    </row>
    <row r="969" spans="1:11" hidden="1">
      <c r="A969" s="261"/>
      <c r="B969" s="266" t="s">
        <v>3119</v>
      </c>
      <c r="C969"/>
      <c r="D969"/>
      <c r="E969"/>
      <c r="H969" s="181" t="s">
        <v>429</v>
      </c>
      <c r="I969"/>
      <c r="J969" s="4"/>
      <c r="K969" s="15">
        <v>1.1900000000000001E-2</v>
      </c>
    </row>
    <row r="970" spans="1:11" ht="31.5" hidden="1">
      <c r="A970" s="261"/>
      <c r="B970" s="266" t="s">
        <v>3120</v>
      </c>
      <c r="C970"/>
      <c r="D970"/>
      <c r="E970"/>
      <c r="I970"/>
      <c r="J970" s="2" t="s">
        <v>940</v>
      </c>
      <c r="K970" s="5" t="s">
        <v>1530</v>
      </c>
    </row>
    <row r="971" spans="1:11" ht="31.5" hidden="1">
      <c r="A971" s="261"/>
      <c r="B971" s="266" t="s">
        <v>2684</v>
      </c>
      <c r="C971"/>
      <c r="D971"/>
      <c r="E971"/>
      <c r="H971" s="181" t="s">
        <v>430</v>
      </c>
      <c r="I971"/>
      <c r="J971" s="271" t="s">
        <v>940</v>
      </c>
      <c r="K971" s="15">
        <v>1.18E-2</v>
      </c>
    </row>
    <row r="972" spans="1:11" ht="31.5" hidden="1">
      <c r="A972" s="261"/>
      <c r="B972" s="266" t="s">
        <v>2685</v>
      </c>
      <c r="C972"/>
      <c r="D972"/>
      <c r="E972"/>
      <c r="H972" s="181" t="s">
        <v>234</v>
      </c>
      <c r="I972"/>
      <c r="J972" s="2" t="s">
        <v>940</v>
      </c>
      <c r="K972" s="17" t="s">
        <v>1530</v>
      </c>
    </row>
    <row r="973" spans="1:11" hidden="1">
      <c r="A973" s="261"/>
      <c r="B973" s="266" t="s">
        <v>3047</v>
      </c>
      <c r="C973"/>
      <c r="D973"/>
      <c r="E973"/>
      <c r="I973"/>
      <c r="J973" s="4"/>
      <c r="K973"/>
    </row>
    <row r="974" spans="1:11" hidden="1">
      <c r="A974" s="261"/>
      <c r="B974" s="266" t="s">
        <v>3048</v>
      </c>
      <c r="C974"/>
      <c r="D974"/>
      <c r="E974"/>
      <c r="F974" s="255">
        <v>1.14E-2</v>
      </c>
      <c r="G974" s="187" t="s">
        <v>836</v>
      </c>
      <c r="H974" s="181" t="s">
        <v>287</v>
      </c>
      <c r="I974" s="8">
        <f>C88</f>
        <v>65420</v>
      </c>
      <c r="J974" s="2" t="s">
        <v>836</v>
      </c>
      <c r="K974" s="8">
        <f>(F974*I974)</f>
        <v>745.79</v>
      </c>
    </row>
    <row r="975" spans="1:11" hidden="1">
      <c r="A975" s="261"/>
      <c r="B975" s="266" t="s">
        <v>3049</v>
      </c>
      <c r="C975"/>
      <c r="D975"/>
      <c r="E975"/>
      <c r="F975" s="255">
        <v>1.1900000000000001E-2</v>
      </c>
      <c r="G975" s="187" t="s">
        <v>836</v>
      </c>
      <c r="H975" s="181" t="s">
        <v>288</v>
      </c>
      <c r="I975" s="8">
        <f>C89</f>
        <v>57165</v>
      </c>
      <c r="J975" s="2" t="s">
        <v>836</v>
      </c>
      <c r="K975" s="8">
        <f>(F975*I975)</f>
        <v>680.26</v>
      </c>
    </row>
    <row r="976" spans="1:11" hidden="1">
      <c r="A976" s="261"/>
      <c r="B976" s="266" t="s">
        <v>3306</v>
      </c>
      <c r="C976"/>
      <c r="D976"/>
      <c r="E976"/>
      <c r="F976" s="255">
        <v>1.18E-2</v>
      </c>
      <c r="G976" s="187" t="s">
        <v>836</v>
      </c>
      <c r="H976" s="181" t="s">
        <v>289</v>
      </c>
      <c r="I976" s="8">
        <f>C90</f>
        <v>63870</v>
      </c>
      <c r="J976" s="2" t="s">
        <v>836</v>
      </c>
      <c r="K976" s="8">
        <f>(F976*I976)</f>
        <v>753.67</v>
      </c>
    </row>
    <row r="977" spans="1:33" hidden="1">
      <c r="A977" s="261"/>
      <c r="B977" s="266" t="s">
        <v>3307</v>
      </c>
      <c r="C977"/>
      <c r="D977"/>
      <c r="E977"/>
      <c r="F977" s="255"/>
      <c r="H977" s="181" t="s">
        <v>416</v>
      </c>
      <c r="I977" s="1" t="s">
        <v>940</v>
      </c>
      <c r="J977" s="4"/>
      <c r="K977" s="1" t="s">
        <v>940</v>
      </c>
    </row>
    <row r="978" spans="1:33" hidden="1">
      <c r="A978" s="261"/>
      <c r="B978" s="266" t="s">
        <v>2269</v>
      </c>
      <c r="C978"/>
      <c r="D978"/>
      <c r="E978"/>
      <c r="F978" s="255">
        <v>1.2150000000000001</v>
      </c>
      <c r="G978" s="187" t="s">
        <v>578</v>
      </c>
      <c r="H978" s="181" t="s">
        <v>417</v>
      </c>
      <c r="I978" s="8">
        <f>C31</f>
        <v>342</v>
      </c>
      <c r="J978" s="2" t="s">
        <v>578</v>
      </c>
      <c r="K978" s="8">
        <f t="shared" ref="K978:K984" si="53">(F978*I978)</f>
        <v>415.53</v>
      </c>
    </row>
    <row r="979" spans="1:33" hidden="1">
      <c r="A979" s="261"/>
      <c r="B979" s="266" t="s">
        <v>2270</v>
      </c>
      <c r="C979"/>
      <c r="D979"/>
      <c r="E979"/>
      <c r="F979" s="188">
        <v>1</v>
      </c>
      <c r="G979" s="187" t="s">
        <v>739</v>
      </c>
      <c r="H979" s="181" t="s">
        <v>1406</v>
      </c>
      <c r="I979" s="8">
        <f>C576</f>
        <v>30</v>
      </c>
      <c r="J979" s="2" t="s">
        <v>835</v>
      </c>
      <c r="K979" s="8">
        <f t="shared" si="53"/>
        <v>30</v>
      </c>
    </row>
    <row r="980" spans="1:33" hidden="1">
      <c r="A980" s="261"/>
      <c r="B980" s="266" t="s">
        <v>2271</v>
      </c>
      <c r="C980"/>
      <c r="D980"/>
      <c r="E980"/>
      <c r="F980" s="188">
        <v>3</v>
      </c>
      <c r="G980" s="187" t="s">
        <v>835</v>
      </c>
      <c r="H980" s="181" t="s">
        <v>1407</v>
      </c>
      <c r="I980" s="8">
        <f>C278</f>
        <v>45</v>
      </c>
      <c r="J980" s="2" t="s">
        <v>835</v>
      </c>
      <c r="K980" s="8">
        <f t="shared" si="53"/>
        <v>135</v>
      </c>
    </row>
    <row r="981" spans="1:33" hidden="1">
      <c r="A981" s="261"/>
      <c r="B981" s="266" t="s">
        <v>2272</v>
      </c>
      <c r="C981"/>
      <c r="D981"/>
      <c r="E981"/>
      <c r="F981" s="188">
        <v>2</v>
      </c>
      <c r="G981" s="187" t="s">
        <v>835</v>
      </c>
      <c r="H981" s="181" t="s">
        <v>1408</v>
      </c>
      <c r="I981" s="8">
        <f>C283</f>
        <v>30</v>
      </c>
      <c r="J981" s="2" t="s">
        <v>835</v>
      </c>
      <c r="K981" s="8">
        <f t="shared" si="53"/>
        <v>60</v>
      </c>
    </row>
    <row r="982" spans="1:33" hidden="1">
      <c r="A982" s="261"/>
      <c r="B982" s="266" t="s">
        <v>2835</v>
      </c>
      <c r="C982"/>
      <c r="D982"/>
      <c r="E982"/>
      <c r="F982" s="188">
        <v>1</v>
      </c>
      <c r="G982" s="187" t="s">
        <v>835</v>
      </c>
      <c r="H982" s="181" t="s">
        <v>1409</v>
      </c>
      <c r="I982" s="8">
        <f>C285</f>
        <v>95</v>
      </c>
      <c r="J982" s="2" t="s">
        <v>835</v>
      </c>
      <c r="K982" s="8">
        <f t="shared" si="53"/>
        <v>95</v>
      </c>
    </row>
    <row r="983" spans="1:33" ht="31.5" hidden="1">
      <c r="A983" s="261"/>
      <c r="B983" s="266" t="s">
        <v>2836</v>
      </c>
      <c r="C983"/>
      <c r="D983"/>
      <c r="E983"/>
      <c r="F983" s="188">
        <v>1</v>
      </c>
      <c r="G983" s="187" t="s">
        <v>835</v>
      </c>
      <c r="H983" s="181" t="s">
        <v>1410</v>
      </c>
      <c r="I983" s="8">
        <f>C287</f>
        <v>8</v>
      </c>
      <c r="J983" s="2" t="s">
        <v>835</v>
      </c>
      <c r="K983" s="8">
        <f t="shared" si="53"/>
        <v>8</v>
      </c>
    </row>
    <row r="984" spans="1:33" hidden="1">
      <c r="A984" s="261"/>
      <c r="B984" s="266" t="s">
        <v>2846</v>
      </c>
      <c r="C984"/>
      <c r="D984"/>
      <c r="E984"/>
      <c r="F984" s="188">
        <v>1</v>
      </c>
      <c r="G984" s="187" t="s">
        <v>835</v>
      </c>
      <c r="H984" s="181" t="s">
        <v>1913</v>
      </c>
      <c r="I984" s="8">
        <f>D576</f>
        <v>25</v>
      </c>
      <c r="J984" s="2" t="s">
        <v>835</v>
      </c>
      <c r="K984" s="8">
        <f t="shared" si="53"/>
        <v>25</v>
      </c>
    </row>
    <row r="985" spans="1:33" hidden="1">
      <c r="A985" s="261"/>
      <c r="B985" s="266" t="s">
        <v>2847</v>
      </c>
      <c r="C985"/>
      <c r="D985"/>
      <c r="E985"/>
      <c r="I985"/>
      <c r="J985" s="4"/>
      <c r="K985" s="5" t="s">
        <v>1530</v>
      </c>
    </row>
    <row r="986" spans="1:33" hidden="1">
      <c r="A986" s="261"/>
      <c r="B986" s="266" t="s">
        <v>3383</v>
      </c>
      <c r="C986"/>
      <c r="D986"/>
      <c r="E986"/>
      <c r="H986" s="181" t="s">
        <v>431</v>
      </c>
      <c r="I986"/>
      <c r="J986" s="4"/>
      <c r="K986" s="8">
        <f>SUM(K974:K984)</f>
        <v>2948.25</v>
      </c>
    </row>
    <row r="987" spans="1:33" hidden="1">
      <c r="A987" s="261"/>
      <c r="B987" s="266" t="s">
        <v>3384</v>
      </c>
      <c r="C987"/>
      <c r="D987"/>
      <c r="E987"/>
      <c r="I987"/>
      <c r="J987" s="4"/>
      <c r="K987" s="5" t="s">
        <v>1530</v>
      </c>
    </row>
    <row r="988" spans="1:33" hidden="1">
      <c r="A988" s="261"/>
      <c r="B988" s="266" t="s">
        <v>3385</v>
      </c>
      <c r="C988"/>
      <c r="D988"/>
      <c r="E988"/>
      <c r="H988" s="181" t="s">
        <v>521</v>
      </c>
      <c r="I988"/>
      <c r="J988" s="4"/>
      <c r="K988" s="8">
        <f>K986/F978</f>
        <v>2426.54</v>
      </c>
    </row>
    <row r="989" spans="1:33" ht="31.5" hidden="1">
      <c r="A989" s="261"/>
      <c r="B989" s="266" t="s">
        <v>3145</v>
      </c>
      <c r="C989"/>
      <c r="D989"/>
      <c r="E989"/>
      <c r="I989"/>
      <c r="J989" s="4"/>
      <c r="K989" s="5" t="s">
        <v>1980</v>
      </c>
    </row>
    <row r="990" spans="1:33" hidden="1">
      <c r="A990" s="261"/>
      <c r="B990" s="266" t="s">
        <v>3146</v>
      </c>
      <c r="C990"/>
      <c r="D990"/>
      <c r="E990"/>
      <c r="I990"/>
      <c r="J990" s="4"/>
      <c r="K990"/>
    </row>
    <row r="991" spans="1:33" hidden="1">
      <c r="A991" s="261"/>
      <c r="B991" s="266" t="s">
        <v>3147</v>
      </c>
      <c r="C991"/>
      <c r="D991"/>
      <c r="E991"/>
      <c r="F991" s="236" t="s">
        <v>432</v>
      </c>
      <c r="G991" s="187" t="s">
        <v>2167</v>
      </c>
      <c r="H991" s="181" t="s">
        <v>2095</v>
      </c>
      <c r="I991"/>
      <c r="J991" s="4"/>
      <c r="K991"/>
      <c r="AG991" s="181" t="s">
        <v>2175</v>
      </c>
    </row>
    <row r="992" spans="1:33" hidden="1">
      <c r="A992" s="261"/>
      <c r="B992" s="266" t="s">
        <v>3148</v>
      </c>
      <c r="C992"/>
      <c r="D992"/>
      <c r="E992"/>
      <c r="H992" s="181" t="s">
        <v>2097</v>
      </c>
      <c r="I992"/>
      <c r="J992" s="4"/>
      <c r="K992"/>
      <c r="AG992" s="181" t="s">
        <v>2175</v>
      </c>
    </row>
    <row r="993" spans="1:33" hidden="1">
      <c r="A993" s="261"/>
      <c r="B993" s="266" t="s">
        <v>3149</v>
      </c>
      <c r="C993"/>
      <c r="D993"/>
      <c r="E993"/>
      <c r="H993" s="181" t="s">
        <v>2098</v>
      </c>
      <c r="I993"/>
      <c r="J993" s="4"/>
      <c r="K993"/>
      <c r="AG993" s="181" t="s">
        <v>2175</v>
      </c>
    </row>
    <row r="994" spans="1:33" hidden="1">
      <c r="A994" s="261"/>
      <c r="B994" s="266" t="s">
        <v>3150</v>
      </c>
      <c r="C994"/>
      <c r="D994"/>
      <c r="E994"/>
      <c r="H994" s="181" t="s">
        <v>2099</v>
      </c>
      <c r="I994"/>
      <c r="J994" s="4"/>
      <c r="K994"/>
      <c r="AG994" s="181" t="s">
        <v>2175</v>
      </c>
    </row>
    <row r="995" spans="1:33" hidden="1">
      <c r="A995" s="261"/>
      <c r="B995" s="266" t="s">
        <v>3151</v>
      </c>
      <c r="C995"/>
      <c r="D995"/>
      <c r="E995"/>
      <c r="H995" s="181" t="s">
        <v>2100</v>
      </c>
      <c r="I995"/>
      <c r="J995" s="4"/>
      <c r="K995"/>
      <c r="AG995" s="181" t="s">
        <v>2175</v>
      </c>
    </row>
    <row r="996" spans="1:33" hidden="1">
      <c r="A996" s="261"/>
      <c r="B996" s="266" t="s">
        <v>2512</v>
      </c>
      <c r="C996"/>
      <c r="D996"/>
      <c r="E996"/>
      <c r="H996" s="181" t="s">
        <v>2101</v>
      </c>
      <c r="I996"/>
      <c r="J996" s="4"/>
      <c r="K996"/>
      <c r="AG996" s="181" t="s">
        <v>2175</v>
      </c>
    </row>
    <row r="997" spans="1:33" hidden="1">
      <c r="A997" s="261"/>
      <c r="B997" s="266" t="s">
        <v>2513</v>
      </c>
      <c r="C997"/>
      <c r="D997"/>
      <c r="E997"/>
      <c r="H997" s="185" t="s">
        <v>1530</v>
      </c>
      <c r="I997"/>
      <c r="J997" s="4"/>
      <c r="K997"/>
      <c r="AG997" s="181" t="s">
        <v>2175</v>
      </c>
    </row>
    <row r="998" spans="1:33" hidden="1">
      <c r="A998" s="261"/>
      <c r="B998" s="266" t="s">
        <v>2514</v>
      </c>
      <c r="C998"/>
      <c r="D998"/>
      <c r="E998"/>
      <c r="H998" s="181" t="s">
        <v>612</v>
      </c>
      <c r="I998"/>
      <c r="J998" s="4"/>
      <c r="K998"/>
      <c r="AG998" s="181" t="s">
        <v>2175</v>
      </c>
    </row>
    <row r="999" spans="1:33" ht="31.5" hidden="1">
      <c r="A999" s="261"/>
      <c r="B999" s="266" t="s">
        <v>2515</v>
      </c>
      <c r="C999"/>
      <c r="D999"/>
      <c r="E999"/>
      <c r="H999" s="181" t="s">
        <v>2102</v>
      </c>
      <c r="I999"/>
      <c r="J999" s="4"/>
      <c r="K999"/>
      <c r="AG999" s="181" t="s">
        <v>2175</v>
      </c>
    </row>
    <row r="1000" spans="1:33" ht="31.5" hidden="1">
      <c r="A1000" s="261"/>
      <c r="B1000" s="266" t="s">
        <v>2516</v>
      </c>
      <c r="C1000"/>
      <c r="D1000"/>
      <c r="E1000"/>
      <c r="I1000"/>
      <c r="J1000" s="2" t="s">
        <v>1530</v>
      </c>
      <c r="K1000"/>
      <c r="AG1000" s="181" t="s">
        <v>2175</v>
      </c>
    </row>
    <row r="1001" spans="1:33" ht="31.5" hidden="1">
      <c r="A1001" s="261"/>
      <c r="B1001" s="266" t="s">
        <v>2517</v>
      </c>
      <c r="C1001"/>
      <c r="D1001"/>
      <c r="E1001"/>
      <c r="H1001" s="181" t="s">
        <v>2103</v>
      </c>
      <c r="I1001"/>
      <c r="J1001" s="4"/>
      <c r="K1001"/>
      <c r="AG1001" s="181" t="s">
        <v>2175</v>
      </c>
    </row>
    <row r="1002" spans="1:33" ht="47.25" hidden="1">
      <c r="A1002" s="261"/>
      <c r="B1002" s="266" t="s">
        <v>2518</v>
      </c>
      <c r="C1002"/>
      <c r="D1002"/>
      <c r="E1002"/>
      <c r="H1002" s="181" t="s">
        <v>940</v>
      </c>
      <c r="I1002" s="1" t="s">
        <v>940</v>
      </c>
      <c r="J1002" s="4"/>
      <c r="K1002" s="18" t="s">
        <v>940</v>
      </c>
      <c r="AG1002" s="181" t="s">
        <v>2175</v>
      </c>
    </row>
    <row r="1003" spans="1:33" hidden="1">
      <c r="A1003" s="261"/>
      <c r="B1003" s="266" t="s">
        <v>2519</v>
      </c>
      <c r="C1003"/>
      <c r="D1003"/>
      <c r="E1003"/>
      <c r="I1003"/>
      <c r="J1003" s="2" t="s">
        <v>940</v>
      </c>
      <c r="K1003" s="1" t="s">
        <v>940</v>
      </c>
      <c r="AG1003" s="181" t="s">
        <v>2175</v>
      </c>
    </row>
    <row r="1004" spans="1:33" hidden="1">
      <c r="A1004" s="261"/>
      <c r="B1004" s="266" t="s">
        <v>2520</v>
      </c>
      <c r="C1004"/>
      <c r="D1004"/>
      <c r="E1004"/>
      <c r="H1004" s="181" t="s">
        <v>2032</v>
      </c>
      <c r="I1004"/>
      <c r="J1004" s="271" t="s">
        <v>940</v>
      </c>
      <c r="K1004" s="18" t="s">
        <v>940</v>
      </c>
      <c r="AG1004" s="181" t="s">
        <v>2175</v>
      </c>
    </row>
    <row r="1005" spans="1:33" hidden="1">
      <c r="A1005" s="261"/>
      <c r="B1005" s="266" t="s">
        <v>2501</v>
      </c>
      <c r="C1005"/>
      <c r="D1005"/>
      <c r="E1005"/>
      <c r="H1005" s="181" t="s">
        <v>109</v>
      </c>
      <c r="I1005"/>
      <c r="J1005" s="4"/>
      <c r="K1005" s="18" t="s">
        <v>1683</v>
      </c>
      <c r="AG1005" s="181" t="s">
        <v>2175</v>
      </c>
    </row>
    <row r="1006" spans="1:33" hidden="1">
      <c r="A1006" s="261"/>
      <c r="B1006" s="266" t="s">
        <v>2502</v>
      </c>
      <c r="C1006"/>
      <c r="D1006"/>
      <c r="E1006"/>
      <c r="I1006"/>
      <c r="J1006" s="4"/>
      <c r="K1006" s="1" t="s">
        <v>940</v>
      </c>
      <c r="AG1006" s="181" t="s">
        <v>2175</v>
      </c>
    </row>
    <row r="1007" spans="1:33" hidden="1">
      <c r="A1007" s="261"/>
      <c r="B1007" s="266" t="s">
        <v>2503</v>
      </c>
      <c r="C1007"/>
      <c r="D1007"/>
      <c r="E1007"/>
      <c r="I1007"/>
      <c r="J1007" s="4"/>
      <c r="K1007" s="18" t="s">
        <v>940</v>
      </c>
      <c r="AG1007" s="181" t="s">
        <v>2175</v>
      </c>
    </row>
    <row r="1008" spans="1:33" hidden="1">
      <c r="A1008" s="261"/>
      <c r="B1008" s="266" t="s">
        <v>2935</v>
      </c>
      <c r="C1008"/>
      <c r="D1008"/>
      <c r="E1008"/>
      <c r="I1008"/>
      <c r="J1008" s="4"/>
      <c r="K1008" s="1" t="s">
        <v>940</v>
      </c>
      <c r="AG1008" s="181" t="s">
        <v>2175</v>
      </c>
    </row>
    <row r="1009" spans="1:33" hidden="1">
      <c r="A1009" s="261"/>
      <c r="B1009" s="266" t="s">
        <v>2936</v>
      </c>
      <c r="C1009"/>
      <c r="D1009"/>
      <c r="E1009"/>
      <c r="F1009" s="236" t="s">
        <v>1416</v>
      </c>
      <c r="G1009" s="187"/>
      <c r="H1009" s="181" t="s">
        <v>687</v>
      </c>
      <c r="I1009"/>
      <c r="J1009" s="4"/>
      <c r="K1009" s="1" t="s">
        <v>940</v>
      </c>
      <c r="AG1009" s="181" t="s">
        <v>2175</v>
      </c>
    </row>
    <row r="1010" spans="1:33" hidden="1">
      <c r="A1010" s="261"/>
      <c r="B1010" s="266" t="s">
        <v>2937</v>
      </c>
      <c r="C1010"/>
      <c r="D1010"/>
      <c r="E1010"/>
      <c r="H1010" s="185" t="s">
        <v>1530</v>
      </c>
      <c r="I1010"/>
      <c r="J1010" s="4"/>
      <c r="K1010"/>
      <c r="AG1010" s="181" t="s">
        <v>2175</v>
      </c>
    </row>
    <row r="1011" spans="1:33" hidden="1">
      <c r="A1011" s="268"/>
      <c r="B1011" s="266" t="s">
        <v>2938</v>
      </c>
      <c r="C1011"/>
      <c r="D1011"/>
      <c r="E1011"/>
      <c r="F1011" s="272">
        <v>1.153E-2</v>
      </c>
      <c r="G1011" s="187" t="s">
        <v>836</v>
      </c>
      <c r="H1011" s="181" t="s">
        <v>660</v>
      </c>
      <c r="I1011" s="8">
        <f>C88</f>
        <v>65420</v>
      </c>
      <c r="J1011" s="2" t="s">
        <v>836</v>
      </c>
      <c r="K1011" s="8">
        <f t="shared" ref="K1011:K1020" si="54">(F1011*I1011)</f>
        <v>754.29</v>
      </c>
      <c r="AG1011" s="181" t="s">
        <v>2175</v>
      </c>
    </row>
    <row r="1012" spans="1:33" hidden="1">
      <c r="A1012" s="268"/>
      <c r="B1012" s="266" t="s">
        <v>2939</v>
      </c>
      <c r="C1012"/>
      <c r="D1012"/>
      <c r="E1012"/>
      <c r="F1012" s="272">
        <v>1.35E-2</v>
      </c>
      <c r="G1012" s="187" t="s">
        <v>836</v>
      </c>
      <c r="H1012" s="181" t="s">
        <v>661</v>
      </c>
      <c r="I1012" s="8">
        <f>C89</f>
        <v>57165</v>
      </c>
      <c r="J1012" s="2" t="s">
        <v>836</v>
      </c>
      <c r="K1012" s="8">
        <f t="shared" si="54"/>
        <v>771.73</v>
      </c>
      <c r="AG1012" s="181" t="s">
        <v>2175</v>
      </c>
    </row>
    <row r="1013" spans="1:33" hidden="1">
      <c r="A1013" s="268"/>
      <c r="B1013" s="266" t="s">
        <v>2940</v>
      </c>
      <c r="C1013"/>
      <c r="D1013"/>
      <c r="E1013"/>
      <c r="F1013" s="272">
        <v>1.016</v>
      </c>
      <c r="G1013" s="187" t="s">
        <v>578</v>
      </c>
      <c r="H1013" s="181" t="s">
        <v>2011</v>
      </c>
      <c r="I1013" s="8">
        <f>C753</f>
        <v>381.37</v>
      </c>
      <c r="J1013" s="2" t="s">
        <v>578</v>
      </c>
      <c r="K1013" s="8">
        <f t="shared" si="54"/>
        <v>387.47</v>
      </c>
      <c r="AG1013" s="181" t="s">
        <v>2175</v>
      </c>
    </row>
    <row r="1014" spans="1:33" hidden="1">
      <c r="A1014" s="268"/>
      <c r="B1014" s="266" t="s">
        <v>2941</v>
      </c>
      <c r="C1014"/>
      <c r="D1014"/>
      <c r="E1014"/>
      <c r="F1014" s="272">
        <v>1.64</v>
      </c>
      <c r="G1014" s="187" t="s">
        <v>578</v>
      </c>
      <c r="H1014" s="181" t="s">
        <v>2012</v>
      </c>
      <c r="I1014" s="8">
        <f>D30</f>
        <v>287</v>
      </c>
      <c r="J1014" s="2" t="s">
        <v>578</v>
      </c>
      <c r="K1014" s="8">
        <f t="shared" si="54"/>
        <v>470.68</v>
      </c>
      <c r="AG1014" s="181" t="s">
        <v>2175</v>
      </c>
    </row>
    <row r="1015" spans="1:33" hidden="1">
      <c r="A1015" s="268"/>
      <c r="B1015" s="266" t="s">
        <v>2534</v>
      </c>
      <c r="C1015"/>
      <c r="D1015"/>
      <c r="E1015"/>
      <c r="F1015" s="188">
        <v>2</v>
      </c>
      <c r="G1015" s="187" t="s">
        <v>835</v>
      </c>
      <c r="H1015" s="181" t="s">
        <v>2013</v>
      </c>
      <c r="I1015" s="8">
        <f>C283</f>
        <v>30</v>
      </c>
      <c r="J1015" s="2" t="s">
        <v>835</v>
      </c>
      <c r="K1015" s="8">
        <f t="shared" si="54"/>
        <v>60</v>
      </c>
      <c r="AG1015" s="181" t="s">
        <v>2175</v>
      </c>
    </row>
    <row r="1016" spans="1:33" hidden="1">
      <c r="A1016" s="268"/>
      <c r="B1016" s="266" t="s">
        <v>2535</v>
      </c>
      <c r="C1016"/>
      <c r="D1016"/>
      <c r="E1016"/>
      <c r="F1016" s="188">
        <v>3</v>
      </c>
      <c r="G1016" s="187" t="s">
        <v>835</v>
      </c>
      <c r="H1016" s="181" t="s">
        <v>1460</v>
      </c>
      <c r="I1016" s="8">
        <f>C278</f>
        <v>45</v>
      </c>
      <c r="J1016" s="2" t="s">
        <v>835</v>
      </c>
      <c r="K1016" s="8">
        <f t="shared" si="54"/>
        <v>135</v>
      </c>
      <c r="AG1016" s="181" t="s">
        <v>2175</v>
      </c>
    </row>
    <row r="1017" spans="1:33" hidden="1">
      <c r="A1017" s="268"/>
      <c r="B1017" s="266" t="s">
        <v>2536</v>
      </c>
      <c r="C1017"/>
      <c r="D1017"/>
      <c r="E1017"/>
      <c r="F1017" s="188">
        <v>1</v>
      </c>
      <c r="G1017" s="187" t="s">
        <v>835</v>
      </c>
      <c r="H1017" s="181" t="s">
        <v>1910</v>
      </c>
      <c r="I1017" s="8">
        <f>C285</f>
        <v>95</v>
      </c>
      <c r="J1017" s="2" t="s">
        <v>835</v>
      </c>
      <c r="K1017" s="8">
        <f t="shared" si="54"/>
        <v>95</v>
      </c>
      <c r="AG1017" s="181" t="s">
        <v>2175</v>
      </c>
    </row>
    <row r="1018" spans="1:33" hidden="1">
      <c r="A1018" s="268"/>
      <c r="B1018" s="266" t="s">
        <v>2537</v>
      </c>
      <c r="C1018"/>
      <c r="D1018"/>
      <c r="E1018"/>
      <c r="F1018" s="188">
        <v>1</v>
      </c>
      <c r="G1018" s="187" t="s">
        <v>835</v>
      </c>
      <c r="H1018" s="181" t="s">
        <v>1911</v>
      </c>
      <c r="I1018" s="8">
        <f>C287</f>
        <v>8</v>
      </c>
      <c r="J1018" s="2" t="s">
        <v>835</v>
      </c>
      <c r="K1018" s="8">
        <f t="shared" si="54"/>
        <v>8</v>
      </c>
      <c r="AG1018" s="181" t="s">
        <v>2175</v>
      </c>
    </row>
    <row r="1019" spans="1:33" hidden="1">
      <c r="A1019" s="268"/>
      <c r="B1019" s="266" t="s">
        <v>2728</v>
      </c>
      <c r="C1019"/>
      <c r="D1019"/>
      <c r="E1019"/>
      <c r="F1019" s="188">
        <v>1</v>
      </c>
      <c r="G1019" s="187" t="s">
        <v>835</v>
      </c>
      <c r="H1019" s="181" t="s">
        <v>1912</v>
      </c>
      <c r="I1019" s="8">
        <f>C576</f>
        <v>30</v>
      </c>
      <c r="J1019" s="2" t="s">
        <v>835</v>
      </c>
      <c r="K1019" s="8">
        <f t="shared" si="54"/>
        <v>30</v>
      </c>
      <c r="AG1019" s="181" t="s">
        <v>2175</v>
      </c>
    </row>
    <row r="1020" spans="1:33" hidden="1">
      <c r="A1020" s="268"/>
      <c r="B1020" s="266" t="s">
        <v>2729</v>
      </c>
      <c r="C1020"/>
      <c r="D1020"/>
      <c r="E1020"/>
      <c r="F1020" s="188">
        <v>1</v>
      </c>
      <c r="G1020" s="187" t="s">
        <v>835</v>
      </c>
      <c r="H1020" s="181" t="s">
        <v>1913</v>
      </c>
      <c r="I1020" s="8">
        <f>D576</f>
        <v>25</v>
      </c>
      <c r="J1020" s="2" t="s">
        <v>835</v>
      </c>
      <c r="K1020" s="8">
        <f t="shared" si="54"/>
        <v>25</v>
      </c>
      <c r="AG1020" s="181" t="s">
        <v>2175</v>
      </c>
    </row>
    <row r="1021" spans="1:33" hidden="1">
      <c r="A1021" s="268"/>
      <c r="B1021" s="266" t="s">
        <v>2730</v>
      </c>
      <c r="C1021"/>
      <c r="D1021"/>
      <c r="E1021"/>
      <c r="I1021"/>
      <c r="J1021" s="4"/>
      <c r="K1021" s="5" t="s">
        <v>1530</v>
      </c>
      <c r="AG1021" s="181" t="s">
        <v>2175</v>
      </c>
    </row>
    <row r="1022" spans="1:33" hidden="1">
      <c r="A1022" s="268"/>
      <c r="B1022" s="266" t="s">
        <v>2731</v>
      </c>
      <c r="C1022"/>
      <c r="D1022"/>
      <c r="E1022"/>
      <c r="H1022" s="236" t="s">
        <v>1461</v>
      </c>
      <c r="I1022"/>
      <c r="J1022" s="4"/>
      <c r="K1022" s="8">
        <f>SUM(K1011:K1020)</f>
        <v>2737.17</v>
      </c>
      <c r="AG1022" s="181" t="s">
        <v>2175</v>
      </c>
    </row>
    <row r="1023" spans="1:33" ht="31.5" hidden="1">
      <c r="A1023" s="268"/>
      <c r="B1023" s="266" t="s">
        <v>2732</v>
      </c>
      <c r="C1023"/>
      <c r="D1023"/>
      <c r="E1023"/>
      <c r="G1023" s="187" t="s">
        <v>940</v>
      </c>
      <c r="I1023"/>
      <c r="J1023" s="4"/>
      <c r="K1023" s="5" t="s">
        <v>1530</v>
      </c>
      <c r="AG1023" s="181" t="s">
        <v>2175</v>
      </c>
    </row>
    <row r="1024" spans="1:33" hidden="1">
      <c r="A1024" s="268"/>
      <c r="B1024" s="266" t="s">
        <v>2733</v>
      </c>
      <c r="C1024"/>
      <c r="D1024"/>
      <c r="E1024"/>
      <c r="H1024" s="236" t="s">
        <v>521</v>
      </c>
      <c r="I1024"/>
      <c r="J1024" s="4"/>
      <c r="K1024" s="8">
        <f>K1022/F1014</f>
        <v>1669.01</v>
      </c>
      <c r="AG1024" s="181" t="s">
        <v>2175</v>
      </c>
    </row>
    <row r="1025" spans="1:33" hidden="1">
      <c r="A1025" s="268"/>
      <c r="B1025" s="266" t="s">
        <v>3369</v>
      </c>
      <c r="C1025"/>
      <c r="D1025"/>
      <c r="E1025"/>
      <c r="I1025"/>
      <c r="J1025" s="4"/>
      <c r="K1025" s="5" t="s">
        <v>1980</v>
      </c>
      <c r="AG1025" s="181" t="s">
        <v>2175</v>
      </c>
    </row>
    <row r="1026" spans="1:33" hidden="1">
      <c r="A1026" s="268"/>
      <c r="B1026" s="266" t="s">
        <v>3370</v>
      </c>
      <c r="C1026"/>
      <c r="D1026"/>
      <c r="E1026"/>
      <c r="F1026" s="236" t="s">
        <v>1518</v>
      </c>
      <c r="H1026" s="181" t="s">
        <v>1287</v>
      </c>
      <c r="I1026"/>
      <c r="J1026" s="4"/>
      <c r="K1026"/>
    </row>
    <row r="1027" spans="1:33" hidden="1">
      <c r="A1027" s="268"/>
      <c r="B1027" s="266" t="s">
        <v>3371</v>
      </c>
      <c r="C1027"/>
      <c r="D1027"/>
      <c r="E1027"/>
      <c r="H1027" s="181" t="s">
        <v>1288</v>
      </c>
      <c r="I1027"/>
      <c r="J1027" s="4"/>
      <c r="K1027"/>
    </row>
    <row r="1028" spans="1:33" hidden="1">
      <c r="A1028" s="268"/>
      <c r="B1028" s="266" t="s">
        <v>3372</v>
      </c>
      <c r="C1028"/>
      <c r="D1028"/>
      <c r="E1028"/>
      <c r="H1028" s="185" t="s">
        <v>1530</v>
      </c>
      <c r="I1028"/>
      <c r="J1028" s="4"/>
      <c r="K1028"/>
    </row>
    <row r="1029" spans="1:33" hidden="1">
      <c r="A1029" s="268"/>
      <c r="B1029" s="266" t="s">
        <v>3373</v>
      </c>
      <c r="C1029"/>
      <c r="D1029"/>
      <c r="E1029"/>
      <c r="F1029" s="272">
        <v>6.6499999999999997E-3</v>
      </c>
      <c r="G1029" s="187" t="s">
        <v>1289</v>
      </c>
      <c r="H1029" s="181" t="s">
        <v>1290</v>
      </c>
      <c r="I1029" s="8">
        <f>C89</f>
        <v>57165</v>
      </c>
      <c r="J1029" s="2" t="s">
        <v>836</v>
      </c>
      <c r="K1029" s="8">
        <f t="shared" ref="K1029:K1035" si="55">(F1029*I1029)</f>
        <v>380.15</v>
      </c>
    </row>
    <row r="1030" spans="1:33" hidden="1">
      <c r="A1030" s="268"/>
      <c r="B1030" s="266" t="s">
        <v>3374</v>
      </c>
      <c r="C1030"/>
      <c r="D1030"/>
      <c r="E1030"/>
      <c r="F1030" s="272">
        <v>0.32346000000000003</v>
      </c>
      <c r="G1030" s="187" t="s">
        <v>578</v>
      </c>
      <c r="H1030" s="181" t="s">
        <v>3375</v>
      </c>
      <c r="I1030" s="8">
        <f>C271</f>
        <v>160</v>
      </c>
      <c r="J1030" s="2" t="s">
        <v>836</v>
      </c>
      <c r="K1030" s="8">
        <f t="shared" si="55"/>
        <v>51.75</v>
      </c>
    </row>
    <row r="1031" spans="1:33" ht="31.5" hidden="1">
      <c r="A1031" s="268"/>
      <c r="B1031" s="266" t="s">
        <v>3376</v>
      </c>
      <c r="C1031"/>
      <c r="D1031"/>
      <c r="E1031"/>
      <c r="F1031" s="272">
        <v>0.47660000000000002</v>
      </c>
      <c r="G1031" s="187" t="s">
        <v>578</v>
      </c>
      <c r="H1031" s="181" t="s">
        <v>2012</v>
      </c>
      <c r="I1031" s="8">
        <f>D31</f>
        <v>320</v>
      </c>
      <c r="J1031" s="2" t="s">
        <v>578</v>
      </c>
      <c r="K1031" s="8">
        <f t="shared" si="55"/>
        <v>152.51</v>
      </c>
    </row>
    <row r="1032" spans="1:33" ht="21.75" hidden="1" customHeight="1">
      <c r="A1032" s="268"/>
      <c r="B1032" s="266" t="s">
        <v>3377</v>
      </c>
      <c r="C1032"/>
      <c r="D1032"/>
      <c r="E1032"/>
      <c r="F1032" s="188">
        <v>3</v>
      </c>
      <c r="G1032" s="187" t="s">
        <v>835</v>
      </c>
      <c r="H1032" s="181" t="s">
        <v>1291</v>
      </c>
      <c r="I1032" s="8">
        <f>C281</f>
        <v>25</v>
      </c>
      <c r="J1032" s="2" t="s">
        <v>835</v>
      </c>
      <c r="K1032" s="8">
        <f t="shared" si="55"/>
        <v>75</v>
      </c>
    </row>
    <row r="1033" spans="1:33" ht="20.25" hidden="1" customHeight="1">
      <c r="A1033" s="266"/>
      <c r="B1033" s="266" t="s">
        <v>2895</v>
      </c>
      <c r="C1033"/>
      <c r="D1033"/>
      <c r="E1033"/>
      <c r="F1033" s="188">
        <v>2</v>
      </c>
      <c r="G1033" s="187" t="s">
        <v>835</v>
      </c>
      <c r="H1033" s="181" t="s">
        <v>2028</v>
      </c>
      <c r="I1033" s="8">
        <f>C284</f>
        <v>20</v>
      </c>
      <c r="J1033" s="2" t="s">
        <v>835</v>
      </c>
      <c r="K1033" s="8">
        <f t="shared" si="55"/>
        <v>40</v>
      </c>
    </row>
    <row r="1034" spans="1:33" ht="19.5" hidden="1" customHeight="1">
      <c r="A1034" s="268"/>
      <c r="B1034" s="266" t="s">
        <v>2682</v>
      </c>
      <c r="C1034"/>
      <c r="D1034"/>
      <c r="E1034"/>
      <c r="F1034" s="188">
        <v>1</v>
      </c>
      <c r="G1034" s="187" t="s">
        <v>835</v>
      </c>
      <c r="H1034" s="181" t="s">
        <v>2029</v>
      </c>
      <c r="I1034" s="8">
        <f>C303</f>
        <v>8</v>
      </c>
      <c r="J1034" s="2" t="s">
        <v>835</v>
      </c>
      <c r="K1034" s="8">
        <f t="shared" si="55"/>
        <v>8</v>
      </c>
    </row>
    <row r="1035" spans="1:33" ht="18.75" hidden="1" customHeight="1">
      <c r="A1035" s="268"/>
      <c r="B1035" s="266" t="s">
        <v>2683</v>
      </c>
      <c r="C1035"/>
      <c r="D1035"/>
      <c r="E1035"/>
      <c r="F1035" s="188">
        <v>1</v>
      </c>
      <c r="G1035" s="187" t="s">
        <v>835</v>
      </c>
      <c r="H1035" s="181" t="s">
        <v>2030</v>
      </c>
      <c r="I1035" s="8">
        <f>C291</f>
        <v>15.6</v>
      </c>
      <c r="J1035" s="2" t="s">
        <v>835</v>
      </c>
      <c r="K1035" s="8">
        <f t="shared" si="55"/>
        <v>15.6</v>
      </c>
    </row>
    <row r="1036" spans="1:33" ht="18" hidden="1" customHeight="1">
      <c r="A1036" s="268"/>
      <c r="B1036" s="266" t="s">
        <v>2897</v>
      </c>
      <c r="C1036"/>
      <c r="D1036"/>
      <c r="E1036"/>
      <c r="I1036"/>
      <c r="J1036" s="4"/>
      <c r="K1036" s="5" t="s">
        <v>1530</v>
      </c>
    </row>
    <row r="1037" spans="1:33" ht="20.25" hidden="1" customHeight="1">
      <c r="A1037" s="268"/>
      <c r="B1037" s="266" t="s">
        <v>2459</v>
      </c>
      <c r="C1037"/>
      <c r="D1037"/>
      <c r="E1037"/>
      <c r="H1037" s="236" t="s">
        <v>2031</v>
      </c>
      <c r="I1037"/>
      <c r="J1037" s="4"/>
      <c r="K1037" s="8">
        <f>SUM(K1025:K1035)</f>
        <v>723.01</v>
      </c>
    </row>
    <row r="1038" spans="1:33" ht="21.75" hidden="1" customHeight="1">
      <c r="A1038" s="268"/>
      <c r="B1038" s="266" t="s">
        <v>2460</v>
      </c>
      <c r="C1038"/>
      <c r="D1038"/>
      <c r="E1038"/>
      <c r="I1038"/>
      <c r="J1038" s="4"/>
      <c r="K1038" s="5" t="s">
        <v>1530</v>
      </c>
    </row>
    <row r="1039" spans="1:33" ht="24" hidden="1" customHeight="1">
      <c r="A1039" s="268"/>
      <c r="B1039" s="266" t="s">
        <v>2460</v>
      </c>
      <c r="C1039"/>
      <c r="D1039"/>
      <c r="E1039"/>
      <c r="H1039" s="236" t="s">
        <v>521</v>
      </c>
      <c r="I1039" s="1" t="s">
        <v>940</v>
      </c>
      <c r="J1039" s="4"/>
      <c r="K1039" s="8">
        <f>K1037/F1031</f>
        <v>1517.02</v>
      </c>
    </row>
    <row r="1040" spans="1:33" ht="31.5" hidden="1">
      <c r="A1040" s="268"/>
      <c r="B1040" s="266" t="s">
        <v>2461</v>
      </c>
      <c r="C1040"/>
      <c r="D1040"/>
      <c r="E1040"/>
      <c r="I1040"/>
      <c r="J1040" s="4"/>
      <c r="K1040" s="5" t="s">
        <v>1980</v>
      </c>
    </row>
    <row r="1041" spans="1:11" ht="31.5" hidden="1">
      <c r="A1041" s="268"/>
      <c r="B1041" s="266" t="s">
        <v>2462</v>
      </c>
      <c r="C1041"/>
      <c r="D1041"/>
      <c r="E1041"/>
      <c r="F1041" s="236" t="s">
        <v>1560</v>
      </c>
      <c r="G1041" s="187" t="s">
        <v>2167</v>
      </c>
      <c r="H1041" s="181" t="s">
        <v>1287</v>
      </c>
      <c r="I1041"/>
      <c r="J1041" s="4"/>
      <c r="K1041"/>
    </row>
    <row r="1042" spans="1:11" hidden="1">
      <c r="A1042" s="268"/>
      <c r="H1042" s="181" t="s">
        <v>676</v>
      </c>
      <c r="I1042"/>
      <c r="J1042" s="4"/>
      <c r="K1042"/>
    </row>
    <row r="1043" spans="1:11" hidden="1">
      <c r="A1043" s="268"/>
      <c r="H1043" s="185" t="s">
        <v>1530</v>
      </c>
      <c r="I1043"/>
      <c r="J1043" s="4"/>
      <c r="K1043"/>
    </row>
    <row r="1044" spans="1:11" hidden="1">
      <c r="A1044" s="268"/>
      <c r="F1044" s="272">
        <v>5.4000000000000003E-3</v>
      </c>
      <c r="G1044" s="187" t="s">
        <v>1289</v>
      </c>
      <c r="H1044" s="181" t="s">
        <v>1290</v>
      </c>
      <c r="I1044" s="8">
        <f>C89</f>
        <v>57165</v>
      </c>
      <c r="J1044" s="2" t="s">
        <v>836</v>
      </c>
      <c r="K1044" s="8">
        <f t="shared" ref="K1044:K1050" si="56">(F1044*I1044)</f>
        <v>308.69</v>
      </c>
    </row>
    <row r="1045" spans="1:11" hidden="1">
      <c r="A1045" s="268"/>
      <c r="F1045" s="272">
        <v>0.23871000000000001</v>
      </c>
      <c r="G1045" s="187" t="s">
        <v>578</v>
      </c>
      <c r="H1045" s="181" t="s">
        <v>3375</v>
      </c>
      <c r="I1045" s="8">
        <f>C271</f>
        <v>160</v>
      </c>
      <c r="J1045" s="2" t="s">
        <v>836</v>
      </c>
      <c r="K1045" s="8">
        <f t="shared" si="56"/>
        <v>38.19</v>
      </c>
    </row>
    <row r="1046" spans="1:11" hidden="1">
      <c r="A1046" s="268"/>
      <c r="F1046" s="272">
        <v>0.36199999999999999</v>
      </c>
      <c r="G1046" s="187" t="s">
        <v>578</v>
      </c>
      <c r="H1046" s="181" t="s">
        <v>2012</v>
      </c>
      <c r="I1046" s="8">
        <f>D31</f>
        <v>320</v>
      </c>
      <c r="J1046" s="2" t="s">
        <v>578</v>
      </c>
      <c r="K1046" s="8">
        <f t="shared" si="56"/>
        <v>115.84</v>
      </c>
    </row>
    <row r="1047" spans="1:11" hidden="1">
      <c r="A1047" s="268"/>
      <c r="F1047" s="188">
        <v>3</v>
      </c>
      <c r="G1047" s="187" t="s">
        <v>835</v>
      </c>
      <c r="H1047" s="181" t="s">
        <v>1291</v>
      </c>
      <c r="I1047" s="8">
        <f>C281</f>
        <v>25</v>
      </c>
      <c r="J1047" s="2" t="s">
        <v>835</v>
      </c>
      <c r="K1047" s="8">
        <f t="shared" si="56"/>
        <v>75</v>
      </c>
    </row>
    <row r="1048" spans="1:11" hidden="1">
      <c r="A1048" s="268"/>
      <c r="F1048" s="188">
        <v>2</v>
      </c>
      <c r="G1048" s="187" t="s">
        <v>835</v>
      </c>
      <c r="H1048" s="181" t="s">
        <v>2028</v>
      </c>
      <c r="I1048" s="8">
        <f>C284</f>
        <v>20</v>
      </c>
      <c r="J1048" s="2" t="s">
        <v>835</v>
      </c>
      <c r="K1048" s="8">
        <f t="shared" si="56"/>
        <v>40</v>
      </c>
    </row>
    <row r="1049" spans="1:11" hidden="1">
      <c r="A1049" s="268"/>
      <c r="F1049" s="188">
        <v>1</v>
      </c>
      <c r="G1049" s="187" t="s">
        <v>835</v>
      </c>
      <c r="H1049" s="181" t="s">
        <v>2029</v>
      </c>
      <c r="I1049" s="8">
        <f>C303</f>
        <v>8</v>
      </c>
      <c r="J1049" s="2" t="s">
        <v>835</v>
      </c>
      <c r="K1049" s="8">
        <f t="shared" si="56"/>
        <v>8</v>
      </c>
    </row>
    <row r="1050" spans="1:11" hidden="1">
      <c r="A1050" s="268"/>
      <c r="F1050" s="188">
        <v>1</v>
      </c>
      <c r="G1050" s="187" t="s">
        <v>835</v>
      </c>
      <c r="H1050" s="181" t="s">
        <v>2030</v>
      </c>
      <c r="I1050" s="8">
        <f>C291</f>
        <v>15.6</v>
      </c>
      <c r="J1050" s="2" t="s">
        <v>835</v>
      </c>
      <c r="K1050" s="8">
        <f t="shared" si="56"/>
        <v>15.6</v>
      </c>
    </row>
    <row r="1051" spans="1:11" hidden="1">
      <c r="A1051" s="268"/>
      <c r="I1051"/>
      <c r="J1051" s="4"/>
      <c r="K1051" s="5" t="s">
        <v>1530</v>
      </c>
    </row>
    <row r="1052" spans="1:11" hidden="1">
      <c r="A1052" s="268"/>
      <c r="H1052" s="236" t="s">
        <v>856</v>
      </c>
      <c r="I1052"/>
      <c r="J1052" s="4"/>
      <c r="K1052" s="8">
        <f>SUM(K1040:K1050)</f>
        <v>601.32000000000005</v>
      </c>
    </row>
    <row r="1053" spans="1:11" hidden="1">
      <c r="A1053" s="268"/>
      <c r="I1053"/>
      <c r="J1053" s="4"/>
      <c r="K1053" s="5" t="s">
        <v>1530</v>
      </c>
    </row>
    <row r="1054" spans="1:11" hidden="1">
      <c r="A1054" s="268"/>
      <c r="H1054" s="236" t="s">
        <v>521</v>
      </c>
      <c r="I1054" s="1" t="s">
        <v>940</v>
      </c>
      <c r="J1054" s="4"/>
      <c r="K1054" s="8">
        <f>K1052/F1046</f>
        <v>1661.1</v>
      </c>
    </row>
    <row r="1055" spans="1:11" hidden="1">
      <c r="A1055" s="268"/>
      <c r="I1055"/>
      <c r="J1055" s="4"/>
      <c r="K1055" s="5" t="s">
        <v>1980</v>
      </c>
    </row>
    <row r="1056" spans="1:11" hidden="1">
      <c r="A1056" s="268"/>
      <c r="F1056" s="236" t="s">
        <v>1561</v>
      </c>
      <c r="G1056" s="187" t="s">
        <v>2167</v>
      </c>
      <c r="H1056" s="181" t="s">
        <v>857</v>
      </c>
      <c r="I1056"/>
      <c r="J1056" s="4"/>
      <c r="K1056"/>
    </row>
    <row r="1057" spans="1:11" hidden="1">
      <c r="A1057" s="268"/>
      <c r="H1057" s="181" t="s">
        <v>1923</v>
      </c>
      <c r="I1057"/>
      <c r="J1057" s="4"/>
      <c r="K1057"/>
    </row>
    <row r="1058" spans="1:11" hidden="1">
      <c r="A1058" s="268"/>
      <c r="H1058" s="185" t="s">
        <v>1530</v>
      </c>
      <c r="I1058"/>
      <c r="J1058" s="4"/>
      <c r="K1058"/>
    </row>
    <row r="1059" spans="1:11" hidden="1">
      <c r="A1059" s="268"/>
      <c r="F1059" s="272">
        <v>5.3E-3</v>
      </c>
      <c r="G1059" s="187" t="s">
        <v>1289</v>
      </c>
      <c r="H1059" s="181" t="s">
        <v>1290</v>
      </c>
      <c r="I1059" s="8">
        <f>C89</f>
        <v>57165</v>
      </c>
      <c r="J1059" s="2" t="s">
        <v>836</v>
      </c>
      <c r="K1059" s="8">
        <f t="shared" ref="K1059:K1064" si="57">(F1059*I1059)</f>
        <v>302.97000000000003</v>
      </c>
    </row>
    <row r="1060" spans="1:11" hidden="1">
      <c r="A1060" s="268"/>
      <c r="F1060" s="272">
        <v>0.27450000000000002</v>
      </c>
      <c r="G1060" s="187" t="s">
        <v>578</v>
      </c>
      <c r="H1060" s="181" t="s">
        <v>3375</v>
      </c>
      <c r="I1060" s="8">
        <f>C271</f>
        <v>160</v>
      </c>
      <c r="J1060" s="2" t="s">
        <v>836</v>
      </c>
      <c r="K1060" s="8">
        <f t="shared" si="57"/>
        <v>43.92</v>
      </c>
    </row>
    <row r="1061" spans="1:11" hidden="1">
      <c r="A1061" s="268"/>
      <c r="F1061" s="272">
        <v>0.4</v>
      </c>
      <c r="G1061" s="187" t="s">
        <v>578</v>
      </c>
      <c r="H1061" s="181" t="s">
        <v>2012</v>
      </c>
      <c r="I1061" s="8">
        <f>D32</f>
        <v>267</v>
      </c>
      <c r="J1061" s="2" t="s">
        <v>578</v>
      </c>
      <c r="K1061" s="8">
        <f t="shared" si="57"/>
        <v>106.8</v>
      </c>
    </row>
    <row r="1062" spans="1:11" hidden="1">
      <c r="A1062" s="268"/>
      <c r="F1062" s="188">
        <v>2</v>
      </c>
      <c r="G1062" s="187" t="s">
        <v>1924</v>
      </c>
      <c r="H1062" s="181" t="s">
        <v>1925</v>
      </c>
      <c r="I1062" s="8">
        <f>C304</f>
        <v>8.5</v>
      </c>
      <c r="J1062" s="2" t="s">
        <v>1924</v>
      </c>
      <c r="K1062" s="8">
        <f t="shared" si="57"/>
        <v>17</v>
      </c>
    </row>
    <row r="1063" spans="1:11" hidden="1">
      <c r="A1063" s="268"/>
      <c r="F1063" s="188">
        <v>1</v>
      </c>
      <c r="G1063" s="187" t="s">
        <v>835</v>
      </c>
      <c r="H1063" s="181" t="s">
        <v>1926</v>
      </c>
      <c r="I1063" s="8">
        <f>C292</f>
        <v>12.6</v>
      </c>
      <c r="J1063" s="2" t="s">
        <v>835</v>
      </c>
      <c r="K1063" s="8">
        <f t="shared" si="57"/>
        <v>12.6</v>
      </c>
    </row>
    <row r="1064" spans="1:11" hidden="1">
      <c r="A1064" s="268"/>
      <c r="F1064" s="188">
        <v>1</v>
      </c>
      <c r="G1064" s="187" t="s">
        <v>835</v>
      </c>
      <c r="H1064" s="181" t="s">
        <v>1927</v>
      </c>
      <c r="I1064" s="8">
        <f>C290</f>
        <v>20.6</v>
      </c>
      <c r="J1064" s="2" t="s">
        <v>835</v>
      </c>
      <c r="K1064" s="8">
        <f t="shared" si="57"/>
        <v>20.6</v>
      </c>
    </row>
    <row r="1065" spans="1:11" hidden="1">
      <c r="A1065" s="268"/>
      <c r="I1065"/>
      <c r="J1065" s="4"/>
      <c r="K1065" s="5" t="s">
        <v>1530</v>
      </c>
    </row>
    <row r="1066" spans="1:11" hidden="1">
      <c r="A1066" s="268"/>
      <c r="H1066" s="236" t="s">
        <v>856</v>
      </c>
      <c r="I1066"/>
      <c r="J1066" s="4"/>
      <c r="K1066" s="8">
        <f>SUM(K1055:K1064)</f>
        <v>503.89</v>
      </c>
    </row>
    <row r="1067" spans="1:11" hidden="1">
      <c r="A1067" s="268"/>
      <c r="I1067"/>
      <c r="J1067" s="4"/>
      <c r="K1067" s="5" t="s">
        <v>1530</v>
      </c>
    </row>
    <row r="1068" spans="1:11" hidden="1">
      <c r="A1068" s="268"/>
      <c r="H1068" s="236" t="s">
        <v>521</v>
      </c>
      <c r="I1068" s="1" t="s">
        <v>940</v>
      </c>
      <c r="J1068" s="4"/>
      <c r="K1068" s="8">
        <f>K1066/F1061</f>
        <v>1259.73</v>
      </c>
    </row>
    <row r="1069" spans="1:11" hidden="1">
      <c r="A1069" s="268"/>
      <c r="F1069" s="181" t="s">
        <v>940</v>
      </c>
      <c r="I1069"/>
      <c r="J1069" s="4"/>
      <c r="K1069"/>
    </row>
    <row r="1070" spans="1:11" hidden="1">
      <c r="A1070" s="268"/>
      <c r="I1070"/>
      <c r="J1070" s="4"/>
      <c r="K1070" s="5" t="s">
        <v>1980</v>
      </c>
    </row>
    <row r="1071" spans="1:11" hidden="1">
      <c r="A1071" s="268"/>
      <c r="F1071" s="246">
        <v>22.3</v>
      </c>
      <c r="H1071" s="181" t="s">
        <v>1928</v>
      </c>
      <c r="I1071"/>
      <c r="J1071" s="4"/>
      <c r="K1071"/>
    </row>
    <row r="1072" spans="1:11" hidden="1">
      <c r="A1072" s="268"/>
      <c r="H1072" s="185" t="s">
        <v>1530</v>
      </c>
      <c r="I1072" s="5" t="s">
        <v>1530</v>
      </c>
      <c r="J1072" s="2" t="s">
        <v>1530</v>
      </c>
      <c r="K1072"/>
    </row>
    <row r="1073" spans="1:12" hidden="1">
      <c r="A1073" s="268"/>
      <c r="I1073"/>
      <c r="J1073" s="4"/>
      <c r="K1073"/>
    </row>
    <row r="1074" spans="1:12" hidden="1">
      <c r="A1074" s="268"/>
      <c r="H1074" s="181" t="s">
        <v>1929</v>
      </c>
      <c r="I1074"/>
      <c r="J1074" s="4"/>
      <c r="K1074"/>
    </row>
    <row r="1075" spans="1:12" hidden="1">
      <c r="A1075" s="268"/>
      <c r="H1075" s="181" t="s">
        <v>1930</v>
      </c>
      <c r="I1075"/>
      <c r="J1075" s="4"/>
      <c r="K1075"/>
    </row>
    <row r="1076" spans="1:12" hidden="1">
      <c r="A1076" s="268"/>
      <c r="H1076" s="181" t="s">
        <v>424</v>
      </c>
      <c r="I1076"/>
      <c r="J1076" s="4"/>
      <c r="K1076"/>
    </row>
    <row r="1077" spans="1:12" hidden="1">
      <c r="A1077" s="268"/>
      <c r="H1077" s="181" t="s">
        <v>425</v>
      </c>
      <c r="I1077"/>
      <c r="J1077" s="4"/>
      <c r="K1077"/>
    </row>
    <row r="1078" spans="1:12" hidden="1">
      <c r="A1078" s="268"/>
      <c r="H1078" s="181" t="s">
        <v>426</v>
      </c>
      <c r="I1078"/>
      <c r="J1078" s="4"/>
      <c r="K1078"/>
      <c r="L1078" s="181" t="s">
        <v>940</v>
      </c>
    </row>
    <row r="1079" spans="1:12" hidden="1">
      <c r="A1079" s="268"/>
      <c r="I1079"/>
      <c r="J1079" s="2" t="s">
        <v>940</v>
      </c>
      <c r="K1079" s="15">
        <v>3.32E-2</v>
      </c>
    </row>
    <row r="1080" spans="1:12" hidden="1">
      <c r="A1080" s="268"/>
      <c r="H1080" s="181" t="s">
        <v>2075</v>
      </c>
      <c r="I1080"/>
      <c r="J1080" s="271" t="s">
        <v>940</v>
      </c>
      <c r="K1080" s="18" t="s">
        <v>940</v>
      </c>
    </row>
    <row r="1081" spans="1:12" hidden="1">
      <c r="A1081" s="268"/>
      <c r="H1081" s="181" t="s">
        <v>1765</v>
      </c>
      <c r="I1081"/>
      <c r="J1081" s="4"/>
      <c r="K1081" s="18" t="s">
        <v>940</v>
      </c>
    </row>
    <row r="1082" spans="1:12" hidden="1">
      <c r="A1082" s="268"/>
      <c r="I1082"/>
      <c r="J1082" s="4"/>
      <c r="K1082"/>
    </row>
    <row r="1083" spans="1:12" hidden="1">
      <c r="A1083" s="268"/>
      <c r="F1083" s="272">
        <v>1.18E-2</v>
      </c>
      <c r="G1083" s="187" t="s">
        <v>836</v>
      </c>
      <c r="H1083" s="181" t="s">
        <v>660</v>
      </c>
      <c r="I1083" s="8">
        <f>C88</f>
        <v>65420</v>
      </c>
      <c r="J1083" s="2" t="s">
        <v>836</v>
      </c>
      <c r="K1083" s="8">
        <f t="shared" ref="K1083:K1092" si="58">(F1083*I1083)</f>
        <v>771.96</v>
      </c>
    </row>
    <row r="1084" spans="1:12" hidden="1">
      <c r="A1084" s="268"/>
      <c r="F1084" s="272">
        <v>3.32E-2</v>
      </c>
      <c r="G1084" s="187" t="s">
        <v>836</v>
      </c>
      <c r="H1084" s="181" t="s">
        <v>661</v>
      </c>
      <c r="I1084" s="8">
        <f>C89</f>
        <v>57165</v>
      </c>
      <c r="J1084" s="2" t="s">
        <v>836</v>
      </c>
      <c r="K1084" s="8">
        <f t="shared" si="58"/>
        <v>1897.88</v>
      </c>
    </row>
    <row r="1085" spans="1:12" hidden="1">
      <c r="A1085" s="268"/>
      <c r="F1085" s="272">
        <v>1.8550000000000001E-2</v>
      </c>
      <c r="G1085" s="187" t="s">
        <v>836</v>
      </c>
      <c r="H1085" s="181" t="s">
        <v>853</v>
      </c>
      <c r="I1085" s="8">
        <f>C30</f>
        <v>3035</v>
      </c>
      <c r="J1085" s="2" t="s">
        <v>836</v>
      </c>
      <c r="K1085" s="8">
        <f t="shared" si="58"/>
        <v>56.3</v>
      </c>
    </row>
    <row r="1086" spans="1:12" hidden="1">
      <c r="A1086" s="268"/>
      <c r="F1086" s="272">
        <v>1.46</v>
      </c>
      <c r="G1086" s="187" t="s">
        <v>578</v>
      </c>
      <c r="H1086" s="181" t="s">
        <v>854</v>
      </c>
      <c r="I1086" s="8">
        <v>385.89</v>
      </c>
      <c r="J1086" s="2" t="s">
        <v>578</v>
      </c>
      <c r="K1086" s="8">
        <f t="shared" si="58"/>
        <v>563.4</v>
      </c>
    </row>
    <row r="1087" spans="1:12" hidden="1">
      <c r="A1087" s="268"/>
      <c r="F1087" s="272">
        <v>2.0499999999999998</v>
      </c>
      <c r="G1087" s="187" t="s">
        <v>578</v>
      </c>
      <c r="H1087" s="181" t="s">
        <v>1449</v>
      </c>
      <c r="I1087" s="8">
        <f>D30</f>
        <v>287</v>
      </c>
      <c r="J1087" s="2" t="s">
        <v>578</v>
      </c>
      <c r="K1087" s="8">
        <f t="shared" si="58"/>
        <v>588.35</v>
      </c>
    </row>
    <row r="1088" spans="1:12" hidden="1">
      <c r="A1088" s="268"/>
      <c r="F1088" s="188">
        <v>2</v>
      </c>
      <c r="G1088" s="187" t="s">
        <v>835</v>
      </c>
      <c r="H1088" s="181" t="s">
        <v>1450</v>
      </c>
      <c r="I1088" s="8">
        <v>7.5</v>
      </c>
      <c r="J1088" s="2" t="s">
        <v>835</v>
      </c>
      <c r="K1088" s="8">
        <f t="shared" si="58"/>
        <v>15</v>
      </c>
    </row>
    <row r="1089" spans="1:11" hidden="1">
      <c r="A1089" s="268"/>
      <c r="F1089" s="188">
        <v>6</v>
      </c>
      <c r="G1089" s="187" t="s">
        <v>835</v>
      </c>
      <c r="H1089" s="181" t="s">
        <v>1291</v>
      </c>
      <c r="I1089" s="8">
        <f>C281</f>
        <v>25</v>
      </c>
      <c r="J1089" s="2" t="s">
        <v>835</v>
      </c>
      <c r="K1089" s="8">
        <f t="shared" si="58"/>
        <v>150</v>
      </c>
    </row>
    <row r="1090" spans="1:11" hidden="1">
      <c r="A1090" s="268"/>
      <c r="F1090" s="188">
        <v>2</v>
      </c>
      <c r="G1090" s="187" t="s">
        <v>835</v>
      </c>
      <c r="H1090" s="181" t="s">
        <v>2339</v>
      </c>
      <c r="I1090" s="8">
        <v>50</v>
      </c>
      <c r="J1090" s="2" t="s">
        <v>835</v>
      </c>
      <c r="K1090" s="8">
        <f t="shared" si="58"/>
        <v>100</v>
      </c>
    </row>
    <row r="1091" spans="1:11" hidden="1">
      <c r="A1091" s="268"/>
      <c r="F1091" s="188">
        <v>1</v>
      </c>
      <c r="G1091" s="187" t="s">
        <v>835</v>
      </c>
      <c r="H1091" s="181" t="s">
        <v>1360</v>
      </c>
      <c r="I1091" s="8">
        <v>50</v>
      </c>
      <c r="J1091" s="2" t="s">
        <v>835</v>
      </c>
      <c r="K1091" s="8">
        <f t="shared" si="58"/>
        <v>50</v>
      </c>
    </row>
    <row r="1092" spans="1:11" hidden="1">
      <c r="A1092" s="268"/>
      <c r="F1092" s="188">
        <v>2.52</v>
      </c>
      <c r="G1092" s="187" t="s">
        <v>578</v>
      </c>
      <c r="H1092" s="181" t="s">
        <v>1655</v>
      </c>
      <c r="I1092" s="8">
        <f>K1122</f>
        <v>51.25</v>
      </c>
      <c r="J1092" s="2" t="s">
        <v>578</v>
      </c>
      <c r="K1092" s="8">
        <f t="shared" si="58"/>
        <v>129.15</v>
      </c>
    </row>
    <row r="1093" spans="1:11" hidden="1">
      <c r="A1093" s="268"/>
      <c r="H1093" s="181" t="s">
        <v>1357</v>
      </c>
      <c r="I1093" s="2" t="s">
        <v>419</v>
      </c>
      <c r="J1093" s="4"/>
      <c r="K1093" s="8">
        <v>0.21</v>
      </c>
    </row>
    <row r="1094" spans="1:11" hidden="1">
      <c r="A1094" s="268"/>
      <c r="I1094"/>
      <c r="J1094" s="4"/>
      <c r="K1094" s="5" t="s">
        <v>1530</v>
      </c>
    </row>
    <row r="1095" spans="1:11" hidden="1">
      <c r="A1095" s="268"/>
      <c r="H1095" s="236" t="s">
        <v>1358</v>
      </c>
      <c r="I1095"/>
      <c r="J1095" s="4"/>
      <c r="K1095" s="8">
        <f>SUM(K1083:K1093)</f>
        <v>4322.25</v>
      </c>
    </row>
    <row r="1096" spans="1:11" hidden="1">
      <c r="A1096" s="268"/>
      <c r="G1096" s="187" t="s">
        <v>940</v>
      </c>
      <c r="I1096"/>
      <c r="J1096" s="4"/>
      <c r="K1096" s="5" t="s">
        <v>1530</v>
      </c>
    </row>
    <row r="1097" spans="1:11" hidden="1">
      <c r="A1097" s="268"/>
      <c r="H1097" s="236" t="s">
        <v>521</v>
      </c>
      <c r="I1097"/>
      <c r="J1097" s="4"/>
      <c r="K1097" s="8">
        <f>K1095/2.52</f>
        <v>1715.18</v>
      </c>
    </row>
    <row r="1098" spans="1:11" hidden="1">
      <c r="A1098" s="268"/>
      <c r="I1098"/>
      <c r="J1098" s="4"/>
      <c r="K1098" s="5" t="s">
        <v>1980</v>
      </c>
    </row>
    <row r="1099" spans="1:11" hidden="1">
      <c r="A1099" s="268"/>
      <c r="G1099" s="187" t="s">
        <v>2167</v>
      </c>
      <c r="H1099" s="181" t="s">
        <v>176</v>
      </c>
      <c r="I1099"/>
      <c r="J1099" s="4"/>
      <c r="K1099"/>
    </row>
    <row r="1100" spans="1:11" hidden="1">
      <c r="A1100" s="268"/>
      <c r="H1100" s="185" t="s">
        <v>1530</v>
      </c>
      <c r="I1100" s="5" t="s">
        <v>1530</v>
      </c>
      <c r="J1100" s="4"/>
      <c r="K1100"/>
    </row>
    <row r="1101" spans="1:11" hidden="1">
      <c r="A1101" s="268"/>
      <c r="F1101" s="188">
        <v>0.77</v>
      </c>
      <c r="G1101" s="187" t="s">
        <v>177</v>
      </c>
      <c r="H1101" s="181" t="s">
        <v>178</v>
      </c>
      <c r="I1101" s="8">
        <f>C193</f>
        <v>210</v>
      </c>
      <c r="J1101" s="2" t="s">
        <v>177</v>
      </c>
      <c r="K1101" s="8">
        <f>(F1101*I1101)</f>
        <v>161.69999999999999</v>
      </c>
    </row>
    <row r="1102" spans="1:11" hidden="1">
      <c r="A1102" s="268"/>
      <c r="F1102" s="188">
        <v>0.61</v>
      </c>
      <c r="G1102" s="187" t="s">
        <v>177</v>
      </c>
      <c r="H1102" s="181" t="s">
        <v>179</v>
      </c>
      <c r="I1102" s="8">
        <f>C192</f>
        <v>25</v>
      </c>
      <c r="J1102" s="2" t="s">
        <v>177</v>
      </c>
      <c r="K1102" s="8">
        <f>(F1102*I1102)</f>
        <v>15.25</v>
      </c>
    </row>
    <row r="1103" spans="1:11" hidden="1">
      <c r="A1103" s="268"/>
      <c r="F1103" s="188">
        <v>0.7</v>
      </c>
      <c r="G1103" s="187" t="s">
        <v>529</v>
      </c>
      <c r="H1103" s="181" t="s">
        <v>1457</v>
      </c>
      <c r="I1103" s="8">
        <f>C14</f>
        <v>120</v>
      </c>
      <c r="J1103" s="2" t="s">
        <v>1658</v>
      </c>
      <c r="K1103" s="8">
        <f>(F1103*I1103)</f>
        <v>84</v>
      </c>
    </row>
    <row r="1104" spans="1:11" hidden="1">
      <c r="A1104" s="268"/>
      <c r="F1104" s="188">
        <v>0.7</v>
      </c>
      <c r="G1104" s="187" t="s">
        <v>529</v>
      </c>
      <c r="H1104" s="181" t="s">
        <v>845</v>
      </c>
      <c r="I1104" s="8">
        <f>C12</f>
        <v>95</v>
      </c>
      <c r="J1104" s="2" t="s">
        <v>1658</v>
      </c>
      <c r="K1104" s="8">
        <f>(F1104*I1104)</f>
        <v>66.5</v>
      </c>
    </row>
    <row r="1105" spans="1:11" hidden="1">
      <c r="A1105" s="268"/>
      <c r="G1105" s="187" t="s">
        <v>419</v>
      </c>
      <c r="H1105" s="181" t="s">
        <v>1142</v>
      </c>
      <c r="I1105"/>
      <c r="J1105" s="2" t="s">
        <v>419</v>
      </c>
      <c r="K1105" s="8">
        <v>1.5</v>
      </c>
    </row>
    <row r="1106" spans="1:11" hidden="1">
      <c r="A1106" s="268"/>
      <c r="I1106"/>
      <c r="J1106" s="4"/>
      <c r="K1106" s="5" t="s">
        <v>1530</v>
      </c>
    </row>
    <row r="1107" spans="1:11" hidden="1">
      <c r="A1107" s="268"/>
      <c r="H1107" s="236" t="s">
        <v>1382</v>
      </c>
      <c r="I1107"/>
      <c r="J1107" s="4"/>
      <c r="K1107" s="8">
        <f>SUM(K1101:K1105)</f>
        <v>328.95</v>
      </c>
    </row>
    <row r="1108" spans="1:11" hidden="1">
      <c r="A1108" s="268"/>
      <c r="I1108"/>
      <c r="J1108" s="4"/>
      <c r="K1108" s="5" t="s">
        <v>1530</v>
      </c>
    </row>
    <row r="1109" spans="1:11" hidden="1">
      <c r="A1109" s="268"/>
      <c r="H1109" s="236" t="s">
        <v>521</v>
      </c>
      <c r="I1109"/>
      <c r="J1109" s="4"/>
      <c r="K1109" s="8">
        <f>(K1107/10)</f>
        <v>32.9</v>
      </c>
    </row>
    <row r="1110" spans="1:11" hidden="1">
      <c r="A1110" s="268"/>
      <c r="I1110"/>
      <c r="J1110" s="4"/>
      <c r="K1110" s="5" t="s">
        <v>1980</v>
      </c>
    </row>
    <row r="1111" spans="1:11" hidden="1">
      <c r="A1111" s="268"/>
      <c r="I1111"/>
      <c r="J1111" s="4"/>
      <c r="K1111"/>
    </row>
    <row r="1112" spans="1:11" hidden="1">
      <c r="A1112" s="268"/>
      <c r="F1112" s="181" t="s">
        <v>940</v>
      </c>
      <c r="G1112" s="187" t="s">
        <v>2167</v>
      </c>
      <c r="H1112" s="181" t="s">
        <v>1383</v>
      </c>
      <c r="I1112"/>
      <c r="J1112" s="4"/>
      <c r="K1112"/>
    </row>
    <row r="1113" spans="1:11" hidden="1">
      <c r="A1113" s="268"/>
      <c r="H1113" s="185" t="s">
        <v>1530</v>
      </c>
      <c r="I1113" s="5" t="s">
        <v>1530</v>
      </c>
      <c r="J1113" s="4"/>
      <c r="K1113"/>
    </row>
    <row r="1114" spans="1:11" hidden="1">
      <c r="A1114" s="268"/>
      <c r="F1114" s="188">
        <v>1.2</v>
      </c>
      <c r="G1114" s="187" t="s">
        <v>177</v>
      </c>
      <c r="H1114" s="181" t="s">
        <v>178</v>
      </c>
      <c r="I1114" s="8">
        <f>C193</f>
        <v>210</v>
      </c>
      <c r="J1114" s="2" t="s">
        <v>177</v>
      </c>
      <c r="K1114" s="8">
        <f>(F1114*I1114)</f>
        <v>252</v>
      </c>
    </row>
    <row r="1115" spans="1:11" hidden="1">
      <c r="A1115" s="268"/>
      <c r="F1115" s="188">
        <v>0.9</v>
      </c>
      <c r="G1115" s="187" t="s">
        <v>177</v>
      </c>
      <c r="H1115" s="181" t="s">
        <v>179</v>
      </c>
      <c r="I1115" s="8">
        <f>C192</f>
        <v>25</v>
      </c>
      <c r="J1115" s="2" t="s">
        <v>177</v>
      </c>
      <c r="K1115" s="8">
        <f>(F1115*I1115)</f>
        <v>22.5</v>
      </c>
    </row>
    <row r="1116" spans="1:11" hidden="1">
      <c r="A1116" s="268"/>
      <c r="F1116" s="188">
        <v>1.1000000000000001</v>
      </c>
      <c r="G1116" s="187" t="s">
        <v>529</v>
      </c>
      <c r="H1116" s="181" t="s">
        <v>1457</v>
      </c>
      <c r="I1116" s="8">
        <f>C14</f>
        <v>120</v>
      </c>
      <c r="J1116" s="2" t="s">
        <v>1658</v>
      </c>
      <c r="K1116" s="8">
        <f>(F1116*I1116)</f>
        <v>132</v>
      </c>
    </row>
    <row r="1117" spans="1:11" hidden="1">
      <c r="A1117" s="268"/>
      <c r="F1117" s="188">
        <v>1.1000000000000001</v>
      </c>
      <c r="G1117" s="187" t="s">
        <v>529</v>
      </c>
      <c r="H1117" s="181" t="s">
        <v>845</v>
      </c>
      <c r="I1117" s="8">
        <f>C12</f>
        <v>95</v>
      </c>
      <c r="J1117" s="2" t="s">
        <v>1658</v>
      </c>
      <c r="K1117" s="8">
        <f>(F1117*I1117)</f>
        <v>104.5</v>
      </c>
    </row>
    <row r="1118" spans="1:11" hidden="1">
      <c r="A1118" s="268"/>
      <c r="G1118" s="187" t="s">
        <v>419</v>
      </c>
      <c r="H1118" s="181" t="s">
        <v>1142</v>
      </c>
      <c r="I1118"/>
      <c r="J1118" s="2" t="s">
        <v>419</v>
      </c>
      <c r="K1118" s="8">
        <v>1.5</v>
      </c>
    </row>
    <row r="1119" spans="1:11" hidden="1">
      <c r="A1119" s="268"/>
      <c r="I1119"/>
      <c r="J1119" s="4"/>
      <c r="K1119" s="5" t="s">
        <v>1530</v>
      </c>
    </row>
    <row r="1120" spans="1:11" hidden="1">
      <c r="A1120" s="268"/>
      <c r="H1120" s="236" t="s">
        <v>1382</v>
      </c>
      <c r="I1120"/>
      <c r="J1120" s="4"/>
      <c r="K1120" s="8">
        <f>SUM(K1114:K1118)</f>
        <v>512.5</v>
      </c>
    </row>
    <row r="1121" spans="1:33" hidden="1">
      <c r="A1121" s="268"/>
      <c r="I1121"/>
      <c r="J1121" s="4"/>
      <c r="K1121" s="5" t="s">
        <v>1530</v>
      </c>
    </row>
    <row r="1122" spans="1:33" hidden="1">
      <c r="A1122" s="268"/>
      <c r="H1122" s="236" t="s">
        <v>521</v>
      </c>
      <c r="I1122"/>
      <c r="J1122" s="4"/>
      <c r="K1122" s="8">
        <f>(K1120/10)</f>
        <v>51.25</v>
      </c>
    </row>
    <row r="1123" spans="1:33" hidden="1">
      <c r="A1123" s="268"/>
      <c r="I1123"/>
      <c r="J1123" s="4"/>
      <c r="K1123" s="5" t="s">
        <v>1980</v>
      </c>
    </row>
    <row r="1124" spans="1:33" hidden="1">
      <c r="A1124" s="268"/>
      <c r="I1124"/>
      <c r="J1124" s="4"/>
      <c r="K1124"/>
    </row>
    <row r="1125" spans="1:33" hidden="1">
      <c r="A1125" s="268"/>
      <c r="F1125" s="257">
        <v>23.3</v>
      </c>
      <c r="H1125" s="182" t="s">
        <v>2203</v>
      </c>
      <c r="I1125"/>
      <c r="J1125" s="4"/>
      <c r="K1125">
        <v>35</v>
      </c>
    </row>
    <row r="1126" spans="1:33" hidden="1">
      <c r="A1126" s="268"/>
      <c r="I1126"/>
      <c r="J1126" s="4"/>
      <c r="K1126"/>
    </row>
    <row r="1127" spans="1:33" hidden="1">
      <c r="A1127" s="268"/>
      <c r="I1127"/>
      <c r="J1127" s="4"/>
      <c r="K1127"/>
    </row>
    <row r="1128" spans="1:33" hidden="1">
      <c r="A1128" s="268"/>
      <c r="F1128" s="236" t="s">
        <v>1384</v>
      </c>
      <c r="G1128" s="187" t="s">
        <v>2167</v>
      </c>
      <c r="H1128" s="181" t="s">
        <v>2331</v>
      </c>
      <c r="I1128"/>
      <c r="J1128" s="4"/>
      <c r="K1128"/>
      <c r="AG1128" s="181" t="s">
        <v>2175</v>
      </c>
    </row>
    <row r="1129" spans="1:33" hidden="1">
      <c r="A1129" s="268"/>
      <c r="H1129" s="181" t="s">
        <v>1385</v>
      </c>
      <c r="I1129"/>
      <c r="J1129" s="4"/>
      <c r="K1129"/>
      <c r="AG1129" s="181" t="s">
        <v>2175</v>
      </c>
    </row>
    <row r="1130" spans="1:33" hidden="1">
      <c r="A1130" s="268"/>
      <c r="H1130" s="185" t="s">
        <v>1530</v>
      </c>
      <c r="I1130" s="5" t="s">
        <v>1530</v>
      </c>
      <c r="J1130" s="4"/>
      <c r="K1130"/>
      <c r="AG1130" s="181" t="s">
        <v>2175</v>
      </c>
    </row>
    <row r="1131" spans="1:33" hidden="1">
      <c r="A1131" s="268"/>
      <c r="F1131" s="256">
        <v>0.53339999999999999</v>
      </c>
      <c r="G1131" s="187" t="s">
        <v>2199</v>
      </c>
      <c r="H1131" s="181" t="s">
        <v>2332</v>
      </c>
      <c r="I1131" s="8">
        <f>C271</f>
        <v>160</v>
      </c>
      <c r="J1131" s="2" t="s">
        <v>2199</v>
      </c>
      <c r="K1131" s="8">
        <f>(F1131*I1131)</f>
        <v>85.34</v>
      </c>
      <c r="AG1131" s="181" t="s">
        <v>2175</v>
      </c>
    </row>
    <row r="1132" spans="1:33" hidden="1">
      <c r="A1132" s="268"/>
      <c r="F1132" s="188">
        <v>4.24</v>
      </c>
      <c r="G1132" s="187" t="s">
        <v>794</v>
      </c>
      <c r="H1132" s="181" t="s">
        <v>672</v>
      </c>
      <c r="I1132" s="8">
        <v>13.66</v>
      </c>
      <c r="J1132" s="2" t="s">
        <v>794</v>
      </c>
      <c r="K1132" s="8">
        <f>(F1132*I1132)</f>
        <v>57.92</v>
      </c>
      <c r="AG1132" s="181" t="s">
        <v>2175</v>
      </c>
    </row>
    <row r="1133" spans="1:33" hidden="1">
      <c r="A1133" s="268"/>
      <c r="F1133" s="188">
        <v>16</v>
      </c>
      <c r="G1133" s="187" t="s">
        <v>529</v>
      </c>
      <c r="H1133" s="181" t="s">
        <v>673</v>
      </c>
      <c r="I1133" s="8">
        <v>0.5</v>
      </c>
      <c r="J1133" s="2" t="s">
        <v>1341</v>
      </c>
      <c r="K1133" s="8">
        <f>(F1133*I1133)</f>
        <v>8</v>
      </c>
      <c r="AG1133" s="181" t="s">
        <v>300</v>
      </c>
    </row>
    <row r="1134" spans="1:33" hidden="1">
      <c r="A1134" s="268"/>
      <c r="F1134" s="256">
        <v>0.53339999999999999</v>
      </c>
      <c r="G1134" s="187" t="s">
        <v>2199</v>
      </c>
      <c r="H1134" s="181" t="s">
        <v>674</v>
      </c>
      <c r="I1134" s="8">
        <f>0.25/1.08*D16</f>
        <v>31.25</v>
      </c>
      <c r="J1134" s="2" t="s">
        <v>2199</v>
      </c>
      <c r="K1134" s="8">
        <f>(F1134*I1134)</f>
        <v>16.670000000000002</v>
      </c>
    </row>
    <row r="1135" spans="1:33" hidden="1">
      <c r="A1135" s="268"/>
      <c r="G1135" s="187" t="s">
        <v>419</v>
      </c>
      <c r="H1135" s="181" t="s">
        <v>2187</v>
      </c>
      <c r="I1135"/>
      <c r="J1135" s="2" t="s">
        <v>419</v>
      </c>
      <c r="K1135" s="8">
        <v>0</v>
      </c>
    </row>
    <row r="1136" spans="1:33" hidden="1">
      <c r="A1136" s="268"/>
      <c r="H1136" s="181" t="s">
        <v>2188</v>
      </c>
      <c r="I1136"/>
      <c r="J1136" s="4"/>
      <c r="K1136"/>
      <c r="AG1136" s="181" t="s">
        <v>2175</v>
      </c>
    </row>
    <row r="1137" spans="1:33" hidden="1">
      <c r="A1137" s="268"/>
      <c r="I1137"/>
      <c r="J1137" s="4"/>
      <c r="K1137" s="5" t="s">
        <v>1530</v>
      </c>
      <c r="AG1137" s="181" t="s">
        <v>2175</v>
      </c>
    </row>
    <row r="1138" spans="1:33" hidden="1">
      <c r="A1138" s="268"/>
      <c r="H1138" s="236" t="s">
        <v>1640</v>
      </c>
      <c r="I1138"/>
      <c r="J1138" s="4"/>
      <c r="K1138" s="8">
        <f>SUM(K1131:K1135)</f>
        <v>167.93</v>
      </c>
      <c r="AG1138" s="181" t="s">
        <v>2175</v>
      </c>
    </row>
    <row r="1139" spans="1:33" hidden="1">
      <c r="A1139" s="268"/>
      <c r="I1139"/>
      <c r="J1139" s="4"/>
      <c r="K1139" s="5" t="s">
        <v>1530</v>
      </c>
      <c r="AG1139" s="181" t="s">
        <v>2175</v>
      </c>
    </row>
    <row r="1140" spans="1:33" hidden="1">
      <c r="A1140" s="268"/>
      <c r="H1140" s="236" t="s">
        <v>1641</v>
      </c>
      <c r="I1140"/>
      <c r="J1140" s="4"/>
      <c r="K1140" s="8">
        <f>ROUND(K1138/0.5334,1)</f>
        <v>314.8</v>
      </c>
      <c r="AG1140" s="181" t="s">
        <v>2175</v>
      </c>
    </row>
    <row r="1141" spans="1:33" hidden="1">
      <c r="A1141" s="268"/>
      <c r="F1141" s="181" t="s">
        <v>940</v>
      </c>
      <c r="I1141"/>
      <c r="J1141" s="4"/>
      <c r="K1141" s="5" t="s">
        <v>1980</v>
      </c>
    </row>
    <row r="1142" spans="1:33" hidden="1">
      <c r="A1142" s="268"/>
      <c r="F1142" s="181" t="s">
        <v>940</v>
      </c>
      <c r="G1142" s="187" t="s">
        <v>940</v>
      </c>
      <c r="H1142" s="181" t="s">
        <v>940</v>
      </c>
      <c r="I1142"/>
      <c r="J1142" s="4"/>
      <c r="K1142"/>
    </row>
    <row r="1143" spans="1:33" hidden="1">
      <c r="A1143" s="268"/>
      <c r="F1143" s="236" t="s">
        <v>1736</v>
      </c>
      <c r="G1143" s="187" t="s">
        <v>2167</v>
      </c>
      <c r="H1143" s="181" t="s">
        <v>1435</v>
      </c>
      <c r="I1143"/>
      <c r="J1143" s="4"/>
      <c r="K1143"/>
      <c r="AG1143" s="181" t="s">
        <v>2175</v>
      </c>
    </row>
    <row r="1144" spans="1:33" hidden="1">
      <c r="A1144" s="268"/>
      <c r="H1144" s="181" t="s">
        <v>1436</v>
      </c>
      <c r="I1144"/>
      <c r="J1144" s="4"/>
      <c r="K1144"/>
      <c r="AG1144" s="181" t="s">
        <v>2175</v>
      </c>
    </row>
    <row r="1145" spans="1:33" hidden="1">
      <c r="A1145" s="268"/>
      <c r="H1145" s="185" t="s">
        <v>1530</v>
      </c>
      <c r="I1145"/>
      <c r="J1145" s="4"/>
      <c r="K1145"/>
      <c r="AG1145" s="181" t="s">
        <v>2175</v>
      </c>
    </row>
    <row r="1146" spans="1:33" hidden="1">
      <c r="A1146" s="268"/>
      <c r="F1146" s="188">
        <v>1</v>
      </c>
      <c r="G1146" s="187" t="s">
        <v>1591</v>
      </c>
      <c r="H1146" s="181" t="s">
        <v>2333</v>
      </c>
      <c r="I1146" s="8">
        <f>(C638)</f>
        <v>37</v>
      </c>
      <c r="J1146" s="2" t="s">
        <v>1591</v>
      </c>
      <c r="K1146" s="8">
        <f>(F1146*I1146)</f>
        <v>37</v>
      </c>
      <c r="AG1146" s="181" t="s">
        <v>2175</v>
      </c>
    </row>
    <row r="1147" spans="1:33" hidden="1">
      <c r="A1147" s="268"/>
      <c r="I1147"/>
      <c r="J1147" s="4"/>
      <c r="K1147" s="5" t="s">
        <v>1980</v>
      </c>
      <c r="AG1147" s="181" t="s">
        <v>2175</v>
      </c>
    </row>
    <row r="1148" spans="1:33" hidden="1">
      <c r="A1148" s="268"/>
      <c r="I1148"/>
      <c r="J1148" s="4"/>
      <c r="K1148"/>
      <c r="AG1148" s="181" t="s">
        <v>2175</v>
      </c>
    </row>
    <row r="1149" spans="1:33" hidden="1">
      <c r="A1149" s="268"/>
      <c r="F1149" s="236" t="s">
        <v>415</v>
      </c>
      <c r="G1149" s="187" t="s">
        <v>2167</v>
      </c>
      <c r="H1149" s="181" t="s">
        <v>247</v>
      </c>
      <c r="I1149" s="1" t="s">
        <v>940</v>
      </c>
      <c r="J1149" s="2" t="s">
        <v>1658</v>
      </c>
      <c r="K1149" s="8">
        <v>3.7</v>
      </c>
      <c r="AG1149" s="181" t="s">
        <v>2175</v>
      </c>
    </row>
    <row r="1150" spans="1:33" hidden="1">
      <c r="A1150" s="268"/>
      <c r="H1150" s="181" t="s">
        <v>248</v>
      </c>
      <c r="I1150"/>
      <c r="J1150" s="4"/>
      <c r="K1150" s="5" t="s">
        <v>1980</v>
      </c>
      <c r="AG1150" s="181" t="s">
        <v>2175</v>
      </c>
    </row>
    <row r="1151" spans="1:33" hidden="1">
      <c r="A1151" s="268"/>
      <c r="I1151"/>
      <c r="J1151" s="4"/>
      <c r="K1151"/>
      <c r="AG1151" s="181" t="s">
        <v>2175</v>
      </c>
    </row>
    <row r="1152" spans="1:33" hidden="1">
      <c r="A1152" s="268"/>
      <c r="F1152" s="236" t="s">
        <v>219</v>
      </c>
      <c r="G1152" s="187" t="s">
        <v>2167</v>
      </c>
      <c r="H1152" s="181" t="s">
        <v>1856</v>
      </c>
      <c r="I1152"/>
      <c r="J1152" s="4"/>
      <c r="K1152"/>
      <c r="AG1152" s="181" t="s">
        <v>2175</v>
      </c>
    </row>
    <row r="1153" spans="1:33" hidden="1">
      <c r="A1153" s="268"/>
      <c r="H1153" s="181" t="s">
        <v>896</v>
      </c>
      <c r="I1153"/>
      <c r="J1153" s="4"/>
      <c r="K1153"/>
      <c r="AG1153" s="181" t="s">
        <v>2175</v>
      </c>
    </row>
    <row r="1154" spans="1:33" hidden="1">
      <c r="A1154" s="268"/>
      <c r="H1154" s="185" t="s">
        <v>1530</v>
      </c>
      <c r="I1154"/>
      <c r="J1154" s="4"/>
      <c r="K1154"/>
      <c r="AG1154" s="181" t="s">
        <v>2175</v>
      </c>
    </row>
    <row r="1155" spans="1:33" hidden="1">
      <c r="A1155" s="268"/>
      <c r="F1155" s="188">
        <v>0.22</v>
      </c>
      <c r="G1155" s="187" t="s">
        <v>836</v>
      </c>
      <c r="H1155" s="181" t="s">
        <v>1258</v>
      </c>
      <c r="I1155" s="8" t="e">
        <f>(K40)</f>
        <v>#REF!</v>
      </c>
      <c r="J1155" s="2" t="s">
        <v>836</v>
      </c>
      <c r="K1155" s="8" t="e">
        <f>(F1155*I1155)</f>
        <v>#REF!</v>
      </c>
      <c r="AG1155" s="181" t="s">
        <v>2175</v>
      </c>
    </row>
    <row r="1156" spans="1:33" hidden="1">
      <c r="A1156" s="268"/>
      <c r="F1156" s="188">
        <v>2.2000000000000002</v>
      </c>
      <c r="G1156" s="187" t="s">
        <v>739</v>
      </c>
      <c r="H1156" s="181" t="s">
        <v>1938</v>
      </c>
      <c r="I1156" s="8">
        <f>(C10)</f>
        <v>150</v>
      </c>
      <c r="J1156" s="2" t="s">
        <v>739</v>
      </c>
      <c r="K1156" s="8">
        <f>(F1156*I1156)</f>
        <v>330</v>
      </c>
      <c r="AG1156" s="181" t="s">
        <v>2175</v>
      </c>
    </row>
    <row r="1157" spans="1:33" hidden="1">
      <c r="A1157" s="268"/>
      <c r="F1157" s="188">
        <v>0.5</v>
      </c>
      <c r="G1157" s="187" t="s">
        <v>739</v>
      </c>
      <c r="H1157" s="181" t="s">
        <v>897</v>
      </c>
      <c r="I1157" s="8">
        <f>(C12)</f>
        <v>95</v>
      </c>
      <c r="J1157" s="2" t="s">
        <v>739</v>
      </c>
      <c r="K1157" s="8">
        <f>(F1157*I1157)</f>
        <v>47.5</v>
      </c>
      <c r="AG1157" s="181" t="s">
        <v>2175</v>
      </c>
    </row>
    <row r="1158" spans="1:33" hidden="1">
      <c r="A1158" s="268"/>
      <c r="F1158" s="188">
        <v>3.2</v>
      </c>
      <c r="G1158" s="187" t="s">
        <v>739</v>
      </c>
      <c r="H1158" s="181" t="s">
        <v>299</v>
      </c>
      <c r="I1158" s="8">
        <f>(C13)</f>
        <v>85</v>
      </c>
      <c r="J1158" s="2" t="s">
        <v>739</v>
      </c>
      <c r="K1158" s="8">
        <f>(F1158*I1158)</f>
        <v>272</v>
      </c>
      <c r="AG1158" s="181" t="s">
        <v>2175</v>
      </c>
    </row>
    <row r="1159" spans="1:33" hidden="1">
      <c r="A1159" s="268"/>
      <c r="G1159" s="187" t="s">
        <v>419</v>
      </c>
      <c r="H1159" s="181" t="s">
        <v>420</v>
      </c>
      <c r="I1159" s="1" t="s">
        <v>940</v>
      </c>
      <c r="J1159" s="2" t="s">
        <v>419</v>
      </c>
      <c r="K1159" s="8">
        <v>0</v>
      </c>
      <c r="AG1159" s="181" t="s">
        <v>2175</v>
      </c>
    </row>
    <row r="1160" spans="1:33" hidden="1">
      <c r="A1160" s="268"/>
      <c r="I1160"/>
      <c r="J1160" s="4"/>
      <c r="K1160" s="5" t="s">
        <v>1530</v>
      </c>
      <c r="AG1160" s="181" t="s">
        <v>2175</v>
      </c>
    </row>
    <row r="1161" spans="1:33" hidden="1">
      <c r="A1161" s="268"/>
      <c r="H1161" s="181" t="s">
        <v>411</v>
      </c>
      <c r="I1161"/>
      <c r="J1161" s="4"/>
      <c r="K1161" s="8" t="e">
        <f>SUM(K1155:K1159)</f>
        <v>#REF!</v>
      </c>
      <c r="AG1161" s="181" t="s">
        <v>2175</v>
      </c>
    </row>
    <row r="1162" spans="1:33" hidden="1">
      <c r="A1162" s="268"/>
      <c r="I1162"/>
      <c r="J1162" s="4"/>
      <c r="K1162" s="5" t="s">
        <v>1530</v>
      </c>
      <c r="AG1162" s="181" t="s">
        <v>2175</v>
      </c>
    </row>
    <row r="1163" spans="1:33" hidden="1">
      <c r="A1163" s="268"/>
      <c r="H1163" s="181" t="s">
        <v>521</v>
      </c>
      <c r="I1163"/>
      <c r="J1163" s="4"/>
      <c r="K1163" s="8" t="e">
        <f>(K1161/10)</f>
        <v>#REF!</v>
      </c>
      <c r="AG1163" s="181" t="s">
        <v>2175</v>
      </c>
    </row>
    <row r="1164" spans="1:33" hidden="1">
      <c r="A1164" s="268"/>
      <c r="I1164"/>
      <c r="J1164" s="4"/>
      <c r="K1164" s="5" t="s">
        <v>1980</v>
      </c>
      <c r="AG1164" s="181" t="s">
        <v>2175</v>
      </c>
    </row>
    <row r="1165" spans="1:33" hidden="1">
      <c r="A1165" s="268"/>
      <c r="F1165" s="236" t="s">
        <v>898</v>
      </c>
      <c r="G1165" s="187" t="s">
        <v>2167</v>
      </c>
      <c r="H1165" s="181" t="s">
        <v>1778</v>
      </c>
      <c r="I1165"/>
      <c r="J1165" s="4"/>
      <c r="K1165"/>
      <c r="AG1165" s="181" t="s">
        <v>2175</v>
      </c>
    </row>
    <row r="1166" spans="1:33" hidden="1">
      <c r="A1166" s="268"/>
      <c r="H1166" s="181" t="s">
        <v>1806</v>
      </c>
      <c r="I1166"/>
      <c r="J1166" s="4"/>
      <c r="K1166"/>
      <c r="AG1166" s="181" t="s">
        <v>2175</v>
      </c>
    </row>
    <row r="1167" spans="1:33" hidden="1">
      <c r="A1167" s="268"/>
      <c r="H1167" s="185" t="s">
        <v>1530</v>
      </c>
      <c r="I1167"/>
      <c r="J1167" s="4"/>
      <c r="K1167"/>
      <c r="AG1167" s="181" t="s">
        <v>2175</v>
      </c>
    </row>
    <row r="1168" spans="1:33" hidden="1">
      <c r="A1168" s="268"/>
      <c r="F1168" s="188">
        <v>160</v>
      </c>
      <c r="G1168" s="187" t="s">
        <v>1807</v>
      </c>
      <c r="H1168" s="181" t="s">
        <v>1808</v>
      </c>
      <c r="I1168" s="8">
        <f>(C136)</f>
        <v>8240</v>
      </c>
      <c r="J1168" s="2" t="s">
        <v>1424</v>
      </c>
      <c r="K1168" s="8">
        <f>(F1168*I1168)/1000</f>
        <v>1318.4</v>
      </c>
      <c r="AG1168" s="181" t="s">
        <v>300</v>
      </c>
    </row>
    <row r="1169" spans="1:33" hidden="1">
      <c r="A1169" s="268"/>
      <c r="H1169" s="181" t="s">
        <v>1809</v>
      </c>
      <c r="I1169" s="1" t="s">
        <v>940</v>
      </c>
      <c r="J1169" s="4"/>
      <c r="K1169" s="1" t="s">
        <v>940</v>
      </c>
    </row>
    <row r="1170" spans="1:33" hidden="1">
      <c r="A1170" s="268"/>
      <c r="F1170" s="188">
        <v>0.21</v>
      </c>
      <c r="G1170" s="187" t="s">
        <v>836</v>
      </c>
      <c r="H1170" s="181" t="s">
        <v>1810</v>
      </c>
      <c r="I1170" s="8" t="e">
        <f>(K32)</f>
        <v>#REF!</v>
      </c>
      <c r="J1170" s="2" t="s">
        <v>836</v>
      </c>
      <c r="K1170" s="8" t="e">
        <f>(F1170*I1170)</f>
        <v>#REF!</v>
      </c>
    </row>
    <row r="1171" spans="1:33" hidden="1">
      <c r="A1171" s="268"/>
      <c r="H1171" s="181" t="s">
        <v>1811</v>
      </c>
      <c r="I1171" s="1" t="s">
        <v>940</v>
      </c>
      <c r="J1171" s="4"/>
      <c r="K1171" s="1" t="s">
        <v>940</v>
      </c>
      <c r="AG1171" s="181" t="s">
        <v>2175</v>
      </c>
    </row>
    <row r="1172" spans="1:33" hidden="1">
      <c r="A1172" s="268"/>
      <c r="F1172" s="188">
        <v>1.1000000000000001</v>
      </c>
      <c r="G1172" s="187" t="s">
        <v>739</v>
      </c>
      <c r="H1172" s="181" t="s">
        <v>1938</v>
      </c>
      <c r="I1172" s="8">
        <f>(C10)</f>
        <v>150</v>
      </c>
      <c r="J1172" s="2" t="s">
        <v>739</v>
      </c>
      <c r="K1172" s="8">
        <f>(F1172*I1172)</f>
        <v>165</v>
      </c>
      <c r="AG1172" s="181" t="s">
        <v>2175</v>
      </c>
    </row>
    <row r="1173" spans="1:33" hidden="1">
      <c r="A1173" s="268"/>
      <c r="F1173" s="188">
        <v>1.1000000000000001</v>
      </c>
      <c r="G1173" s="187" t="s">
        <v>739</v>
      </c>
      <c r="H1173" s="181" t="s">
        <v>1654</v>
      </c>
      <c r="I1173" s="8">
        <f>(C11)</f>
        <v>135</v>
      </c>
      <c r="J1173" s="2" t="s">
        <v>739</v>
      </c>
      <c r="K1173" s="8">
        <f>(F1173*I1173)</f>
        <v>148.5</v>
      </c>
      <c r="AG1173" s="181" t="s">
        <v>2175</v>
      </c>
    </row>
    <row r="1174" spans="1:33" hidden="1">
      <c r="A1174" s="268"/>
      <c r="F1174" s="188">
        <v>2.2000000000000002</v>
      </c>
      <c r="G1174" s="187" t="s">
        <v>739</v>
      </c>
      <c r="H1174" s="181" t="s">
        <v>1836</v>
      </c>
      <c r="I1174" s="8">
        <f>(C12)</f>
        <v>95</v>
      </c>
      <c r="J1174" s="2" t="s">
        <v>739</v>
      </c>
      <c r="K1174" s="8">
        <f>(F1174*I1174)</f>
        <v>209</v>
      </c>
      <c r="AG1174" s="181" t="s">
        <v>2175</v>
      </c>
    </row>
    <row r="1175" spans="1:33" hidden="1">
      <c r="A1175" s="268"/>
      <c r="F1175" s="188">
        <v>2.2000000000000002</v>
      </c>
      <c r="G1175" s="187" t="s">
        <v>739</v>
      </c>
      <c r="H1175" s="181" t="s">
        <v>299</v>
      </c>
      <c r="I1175" s="8">
        <f>(C13)</f>
        <v>85</v>
      </c>
      <c r="J1175" s="2" t="s">
        <v>739</v>
      </c>
      <c r="K1175" s="8">
        <f>(F1175*I1175)</f>
        <v>187</v>
      </c>
      <c r="AG1175" s="181" t="s">
        <v>2175</v>
      </c>
    </row>
    <row r="1176" spans="1:33" hidden="1">
      <c r="A1176" s="268"/>
      <c r="F1176" s="245">
        <v>22</v>
      </c>
      <c r="G1176" s="187" t="s">
        <v>1591</v>
      </c>
      <c r="H1176" s="181" t="s">
        <v>829</v>
      </c>
      <c r="I1176" s="8">
        <f>(C67)</f>
        <v>3800</v>
      </c>
      <c r="J1176" s="2" t="s">
        <v>828</v>
      </c>
      <c r="K1176" s="8">
        <f>(F1176*I1176)/1000</f>
        <v>83.6</v>
      </c>
      <c r="AG1176" s="181" t="s">
        <v>2175</v>
      </c>
    </row>
    <row r="1177" spans="1:33" hidden="1">
      <c r="A1177" s="268"/>
      <c r="F1177" s="188">
        <v>1.6</v>
      </c>
      <c r="G1177" s="187" t="s">
        <v>739</v>
      </c>
      <c r="H1177" s="181" t="s">
        <v>1654</v>
      </c>
      <c r="I1177" s="8">
        <f>(C11)</f>
        <v>135</v>
      </c>
      <c r="J1177" s="2" t="s">
        <v>739</v>
      </c>
      <c r="K1177" s="8">
        <f>(F1177*I1177)</f>
        <v>216</v>
      </c>
      <c r="AG1177" s="181" t="s">
        <v>2175</v>
      </c>
    </row>
    <row r="1178" spans="1:33" hidden="1">
      <c r="A1178" s="268"/>
      <c r="F1178" s="188">
        <v>0.5</v>
      </c>
      <c r="G1178" s="187" t="s">
        <v>739</v>
      </c>
      <c r="H1178" s="181" t="s">
        <v>1836</v>
      </c>
      <c r="I1178" s="8">
        <f>(C12)</f>
        <v>95</v>
      </c>
      <c r="J1178" s="2" t="s">
        <v>739</v>
      </c>
      <c r="K1178" s="8">
        <f>(F1178*I1178)</f>
        <v>47.5</v>
      </c>
      <c r="AG1178" s="181" t="s">
        <v>2175</v>
      </c>
    </row>
    <row r="1179" spans="1:33" hidden="1">
      <c r="A1179" s="268"/>
      <c r="F1179" s="188">
        <v>1.1000000000000001</v>
      </c>
      <c r="G1179" s="187" t="s">
        <v>739</v>
      </c>
      <c r="H1179" s="181" t="s">
        <v>299</v>
      </c>
      <c r="I1179" s="8">
        <f>(C13)</f>
        <v>85</v>
      </c>
      <c r="J1179" s="2" t="s">
        <v>739</v>
      </c>
      <c r="K1179" s="8">
        <f>(F1179*I1179)</f>
        <v>93.5</v>
      </c>
      <c r="AG1179" s="181" t="s">
        <v>2175</v>
      </c>
    </row>
    <row r="1180" spans="1:33" hidden="1">
      <c r="A1180" s="268"/>
      <c r="F1180" s="181" t="s">
        <v>234</v>
      </c>
      <c r="H1180" s="181" t="s">
        <v>1812</v>
      </c>
      <c r="I1180" s="1" t="s">
        <v>940</v>
      </c>
      <c r="J1180" s="4"/>
      <c r="K1180" s="1" t="s">
        <v>940</v>
      </c>
      <c r="AG1180" s="181" t="s">
        <v>2175</v>
      </c>
    </row>
    <row r="1181" spans="1:33" hidden="1">
      <c r="A1181" s="268"/>
      <c r="F1181" s="188">
        <v>1</v>
      </c>
      <c r="G1181" s="187" t="s">
        <v>419</v>
      </c>
      <c r="H1181" s="181" t="s">
        <v>1813</v>
      </c>
      <c r="I1181" s="8">
        <f>(C57)</f>
        <v>35</v>
      </c>
      <c r="J1181" s="2" t="s">
        <v>419</v>
      </c>
      <c r="K1181" s="8">
        <f>(F1181*I1181)</f>
        <v>35</v>
      </c>
      <c r="AG1181" s="181" t="s">
        <v>2175</v>
      </c>
    </row>
    <row r="1182" spans="1:33" hidden="1">
      <c r="A1182" s="268"/>
      <c r="F1182" s="188">
        <v>1</v>
      </c>
      <c r="G1182" s="187" t="s">
        <v>419</v>
      </c>
      <c r="H1182" s="181" t="s">
        <v>1814</v>
      </c>
      <c r="I1182" s="8">
        <f>(C58)</f>
        <v>15</v>
      </c>
      <c r="J1182" s="2" t="s">
        <v>419</v>
      </c>
      <c r="K1182" s="8">
        <f>(F1182*I1182)</f>
        <v>15</v>
      </c>
      <c r="AG1182" s="181" t="s">
        <v>2175</v>
      </c>
    </row>
    <row r="1183" spans="1:33" hidden="1">
      <c r="A1183" s="268"/>
      <c r="F1183" s="188">
        <v>1</v>
      </c>
      <c r="G1183" s="187" t="s">
        <v>419</v>
      </c>
      <c r="H1183" s="181" t="s">
        <v>172</v>
      </c>
      <c r="I1183" s="8">
        <f>(C28)</f>
        <v>58.33</v>
      </c>
      <c r="J1183" s="2" t="s">
        <v>419</v>
      </c>
      <c r="K1183" s="8">
        <f>(F1183*I1183)</f>
        <v>58.33</v>
      </c>
      <c r="AG1183" s="181" t="s">
        <v>2175</v>
      </c>
    </row>
    <row r="1184" spans="1:33" hidden="1">
      <c r="A1184" s="268"/>
      <c r="F1184" s="188">
        <v>1.1000000000000001</v>
      </c>
      <c r="G1184" s="187" t="s">
        <v>739</v>
      </c>
      <c r="H1184" s="181" t="s">
        <v>823</v>
      </c>
      <c r="I1184" s="8">
        <f>(C29)</f>
        <v>120</v>
      </c>
      <c r="J1184" s="2" t="s">
        <v>739</v>
      </c>
      <c r="K1184" s="8">
        <f>(F1184*I1184)</f>
        <v>132</v>
      </c>
      <c r="AG1184" s="181" t="s">
        <v>2175</v>
      </c>
    </row>
    <row r="1185" spans="1:33" hidden="1">
      <c r="A1185" s="268"/>
      <c r="F1185" s="188">
        <v>2.2000000000000002</v>
      </c>
      <c r="G1185" s="187" t="s">
        <v>739</v>
      </c>
      <c r="H1185" s="181" t="s">
        <v>824</v>
      </c>
      <c r="I1185" s="8">
        <f>(C13)</f>
        <v>85</v>
      </c>
      <c r="J1185" s="2" t="s">
        <v>739</v>
      </c>
      <c r="K1185" s="8">
        <f>(F1185*I1185)</f>
        <v>187</v>
      </c>
      <c r="AG1185" s="181" t="s">
        <v>2175</v>
      </c>
    </row>
    <row r="1186" spans="1:33" hidden="1">
      <c r="A1186" s="268"/>
      <c r="G1186" s="187" t="s">
        <v>419</v>
      </c>
      <c r="H1186" s="181" t="s">
        <v>420</v>
      </c>
      <c r="I1186"/>
      <c r="J1186" s="2" t="s">
        <v>419</v>
      </c>
      <c r="K1186" s="8">
        <v>0</v>
      </c>
      <c r="AG1186" s="181" t="s">
        <v>2175</v>
      </c>
    </row>
    <row r="1187" spans="1:33" hidden="1">
      <c r="A1187" s="268"/>
      <c r="I1187"/>
      <c r="J1187" s="4"/>
      <c r="K1187" s="5" t="s">
        <v>1530</v>
      </c>
      <c r="AG1187" s="181" t="s">
        <v>2175</v>
      </c>
    </row>
    <row r="1188" spans="1:33" hidden="1">
      <c r="A1188" s="268"/>
      <c r="H1188" s="181" t="s">
        <v>411</v>
      </c>
      <c r="I1188"/>
      <c r="J1188" s="4"/>
      <c r="K1188" s="8" t="e">
        <f>SUM(K1168:K1186)</f>
        <v>#REF!</v>
      </c>
      <c r="AG1188" s="181" t="s">
        <v>2175</v>
      </c>
    </row>
    <row r="1189" spans="1:33" hidden="1">
      <c r="A1189" s="268"/>
      <c r="I1189"/>
      <c r="J1189" s="4"/>
      <c r="K1189" s="5" t="s">
        <v>1530</v>
      </c>
      <c r="AG1189" s="181" t="s">
        <v>2175</v>
      </c>
    </row>
    <row r="1190" spans="1:33" hidden="1">
      <c r="A1190" s="268"/>
      <c r="F1190" s="181" t="s">
        <v>940</v>
      </c>
      <c r="I1190"/>
      <c r="J1190" s="4"/>
      <c r="K1190"/>
    </row>
    <row r="1191" spans="1:33" hidden="1">
      <c r="A1191" s="268"/>
      <c r="H1191" s="181" t="s">
        <v>521</v>
      </c>
      <c r="I1191"/>
      <c r="J1191" s="4"/>
      <c r="K1191" s="8" t="e">
        <f>(K1188/10)</f>
        <v>#REF!</v>
      </c>
      <c r="AG1191" s="181" t="s">
        <v>2175</v>
      </c>
    </row>
    <row r="1192" spans="1:33" hidden="1">
      <c r="A1192" s="268"/>
      <c r="F1192" s="181" t="s">
        <v>940</v>
      </c>
      <c r="I1192"/>
      <c r="J1192" s="4"/>
      <c r="K1192"/>
    </row>
    <row r="1193" spans="1:33" hidden="1">
      <c r="A1193" s="268"/>
      <c r="I1193"/>
      <c r="J1193" s="4"/>
      <c r="K1193" s="5" t="s">
        <v>1980</v>
      </c>
      <c r="AG1193" s="181" t="s">
        <v>2175</v>
      </c>
    </row>
    <row r="1194" spans="1:33" hidden="1">
      <c r="A1194" s="268"/>
      <c r="F1194" s="246">
        <v>29.5</v>
      </c>
      <c r="G1194" s="187" t="s">
        <v>2167</v>
      </c>
      <c r="H1194" s="181" t="s">
        <v>1749</v>
      </c>
      <c r="I1194"/>
      <c r="J1194" s="4"/>
      <c r="K1194"/>
      <c r="AG1194" s="181" t="s">
        <v>2175</v>
      </c>
    </row>
    <row r="1195" spans="1:33" hidden="1">
      <c r="A1195" s="268"/>
      <c r="H1195" s="181" t="s">
        <v>825</v>
      </c>
      <c r="I1195"/>
      <c r="J1195" s="4"/>
      <c r="K1195"/>
      <c r="AG1195" s="181" t="s">
        <v>2175</v>
      </c>
    </row>
    <row r="1196" spans="1:33" hidden="1">
      <c r="A1196" s="268"/>
      <c r="H1196" s="181" t="s">
        <v>1869</v>
      </c>
      <c r="I1196"/>
      <c r="J1196" s="4"/>
      <c r="K1196"/>
      <c r="AG1196" s="181" t="s">
        <v>2175</v>
      </c>
    </row>
    <row r="1197" spans="1:33" hidden="1">
      <c r="A1197" s="268"/>
      <c r="H1197" s="185" t="s">
        <v>1530</v>
      </c>
      <c r="I1197" s="5" t="s">
        <v>1530</v>
      </c>
      <c r="J1197" s="4"/>
      <c r="K1197"/>
      <c r="AG1197" s="181" t="s">
        <v>2175</v>
      </c>
    </row>
    <row r="1198" spans="1:33" hidden="1">
      <c r="A1198" s="268"/>
      <c r="F1198" s="188">
        <v>10</v>
      </c>
      <c r="G1198" s="187" t="s">
        <v>578</v>
      </c>
      <c r="H1198" s="181" t="s">
        <v>1870</v>
      </c>
      <c r="I1198" s="8">
        <f>(C579)</f>
        <v>301</v>
      </c>
      <c r="J1198" s="2" t="s">
        <v>578</v>
      </c>
      <c r="K1198" s="8">
        <f>(F1198*I1198)</f>
        <v>3010</v>
      </c>
      <c r="AG1198" s="181" t="s">
        <v>2175</v>
      </c>
    </row>
    <row r="1199" spans="1:33" hidden="1">
      <c r="A1199" s="268"/>
      <c r="F1199" s="188">
        <v>0.21</v>
      </c>
      <c r="G1199" s="187" t="s">
        <v>836</v>
      </c>
      <c r="H1199" s="181" t="s">
        <v>1810</v>
      </c>
      <c r="I1199" s="8" t="e">
        <f>(K32)</f>
        <v>#REF!</v>
      </c>
      <c r="J1199" s="2" t="s">
        <v>836</v>
      </c>
      <c r="K1199" s="8" t="e">
        <f>(F1199*I1199)</f>
        <v>#REF!</v>
      </c>
      <c r="AG1199" s="181" t="s">
        <v>2175</v>
      </c>
    </row>
    <row r="1200" spans="1:33" hidden="1">
      <c r="A1200" s="268"/>
      <c r="H1200" s="181" t="s">
        <v>1811</v>
      </c>
      <c r="I1200" s="1" t="s">
        <v>940</v>
      </c>
      <c r="J1200" s="4"/>
      <c r="K1200" s="1" t="s">
        <v>940</v>
      </c>
      <c r="AG1200" s="181" t="s">
        <v>2175</v>
      </c>
    </row>
    <row r="1201" spans="1:33" hidden="1">
      <c r="A1201" s="268"/>
      <c r="F1201" s="188">
        <v>1.1000000000000001</v>
      </c>
      <c r="G1201" s="187" t="s">
        <v>739</v>
      </c>
      <c r="H1201" s="181" t="s">
        <v>1938</v>
      </c>
      <c r="I1201" s="8">
        <f>(C10)</f>
        <v>150</v>
      </c>
      <c r="J1201" s="2" t="s">
        <v>739</v>
      </c>
      <c r="K1201" s="8">
        <f>(F1201*I1201)</f>
        <v>165</v>
      </c>
      <c r="AG1201" s="181" t="s">
        <v>2175</v>
      </c>
    </row>
    <row r="1202" spans="1:33" hidden="1">
      <c r="A1202" s="268"/>
      <c r="F1202" s="188">
        <v>1.1000000000000001</v>
      </c>
      <c r="G1202" s="187" t="s">
        <v>739</v>
      </c>
      <c r="H1202" s="181" t="s">
        <v>1654</v>
      </c>
      <c r="I1202" s="8">
        <f>(C11)</f>
        <v>135</v>
      </c>
      <c r="J1202" s="2" t="s">
        <v>739</v>
      </c>
      <c r="K1202" s="8">
        <f>(F1202*I1202)</f>
        <v>148.5</v>
      </c>
      <c r="AG1202" s="181" t="s">
        <v>2175</v>
      </c>
    </row>
    <row r="1203" spans="1:33" hidden="1">
      <c r="A1203" s="268"/>
      <c r="F1203" s="188">
        <v>2.2000000000000002</v>
      </c>
      <c r="G1203" s="187" t="s">
        <v>739</v>
      </c>
      <c r="H1203" s="181" t="s">
        <v>1836</v>
      </c>
      <c r="I1203" s="8">
        <f>(C12)</f>
        <v>95</v>
      </c>
      <c r="J1203" s="2" t="s">
        <v>739</v>
      </c>
      <c r="K1203" s="8">
        <f>(F1203*I1203)</f>
        <v>209</v>
      </c>
      <c r="AG1203" s="181" t="s">
        <v>2175</v>
      </c>
    </row>
    <row r="1204" spans="1:33" hidden="1">
      <c r="A1204" s="268"/>
      <c r="F1204" s="188">
        <v>2.2000000000000002</v>
      </c>
      <c r="G1204" s="187" t="s">
        <v>739</v>
      </c>
      <c r="H1204" s="181" t="s">
        <v>299</v>
      </c>
      <c r="I1204" s="8">
        <f>(C13)</f>
        <v>85</v>
      </c>
      <c r="J1204" s="2" t="s">
        <v>739</v>
      </c>
      <c r="K1204" s="8">
        <f>(F1204*I1204)</f>
        <v>187</v>
      </c>
    </row>
    <row r="1205" spans="1:33" hidden="1">
      <c r="A1205" s="268"/>
      <c r="F1205" s="245">
        <v>20</v>
      </c>
      <c r="G1205" s="187" t="s">
        <v>1591</v>
      </c>
      <c r="H1205" s="181" t="s">
        <v>829</v>
      </c>
      <c r="I1205" s="8">
        <f>(C67)</f>
        <v>3800</v>
      </c>
      <c r="J1205" s="2" t="s">
        <v>828</v>
      </c>
      <c r="K1205" s="8">
        <f>(F1205*I1205)/1000</f>
        <v>76</v>
      </c>
    </row>
    <row r="1206" spans="1:33" hidden="1">
      <c r="A1206" s="268"/>
      <c r="F1206" s="245">
        <v>2</v>
      </c>
      <c r="G1206" s="187" t="s">
        <v>1591</v>
      </c>
      <c r="H1206" s="181" t="s">
        <v>2334</v>
      </c>
      <c r="I1206" s="8">
        <f>C586</f>
        <v>19</v>
      </c>
      <c r="J1206" s="2" t="s">
        <v>1591</v>
      </c>
      <c r="K1206" s="8">
        <f>(F1206*I1206)</f>
        <v>38</v>
      </c>
      <c r="AG1206" s="181" t="s">
        <v>940</v>
      </c>
    </row>
    <row r="1207" spans="1:33" hidden="1">
      <c r="A1207" s="268"/>
      <c r="F1207" s="188">
        <v>1.6</v>
      </c>
      <c r="G1207" s="187" t="s">
        <v>739</v>
      </c>
      <c r="H1207" s="181" t="s">
        <v>1654</v>
      </c>
      <c r="I1207" s="8">
        <f>(C11)</f>
        <v>135</v>
      </c>
      <c r="J1207" s="2" t="s">
        <v>739</v>
      </c>
      <c r="K1207" s="8">
        <f>(F1207*I1207)</f>
        <v>216</v>
      </c>
    </row>
    <row r="1208" spans="1:33" hidden="1">
      <c r="A1208" s="268"/>
      <c r="F1208" s="188">
        <v>0.5</v>
      </c>
      <c r="G1208" s="187" t="s">
        <v>739</v>
      </c>
      <c r="H1208" s="181" t="s">
        <v>1836</v>
      </c>
      <c r="I1208" s="8">
        <f>(C12)</f>
        <v>95</v>
      </c>
      <c r="J1208" s="2" t="s">
        <v>739</v>
      </c>
      <c r="K1208" s="8">
        <f>(F1208*I1208)</f>
        <v>47.5</v>
      </c>
    </row>
    <row r="1209" spans="1:33" hidden="1">
      <c r="A1209" s="268"/>
      <c r="F1209" s="188">
        <v>1.1000000000000001</v>
      </c>
      <c r="G1209" s="187" t="s">
        <v>739</v>
      </c>
      <c r="H1209" s="181" t="s">
        <v>299</v>
      </c>
      <c r="I1209" s="8">
        <f>(C13)</f>
        <v>85</v>
      </c>
      <c r="J1209" s="2" t="s">
        <v>739</v>
      </c>
      <c r="K1209" s="8">
        <f>(F1209*I1209)</f>
        <v>93.5</v>
      </c>
    </row>
    <row r="1210" spans="1:33" hidden="1">
      <c r="A1210" s="268"/>
      <c r="G1210" s="187" t="s">
        <v>419</v>
      </c>
      <c r="H1210" s="181" t="s">
        <v>420</v>
      </c>
      <c r="I1210"/>
      <c r="J1210" s="2" t="s">
        <v>419</v>
      </c>
      <c r="K1210" s="8">
        <v>0</v>
      </c>
    </row>
    <row r="1211" spans="1:33" hidden="1">
      <c r="A1211" s="268"/>
      <c r="I1211"/>
      <c r="J1211" s="4"/>
      <c r="K1211" s="5" t="s">
        <v>1530</v>
      </c>
    </row>
    <row r="1212" spans="1:33" hidden="1">
      <c r="A1212" s="268"/>
      <c r="H1212" s="181" t="s">
        <v>411</v>
      </c>
      <c r="I1212"/>
      <c r="J1212" s="4"/>
      <c r="K1212" s="8" t="e">
        <f>SUM(K1198:K1210)</f>
        <v>#REF!</v>
      </c>
    </row>
    <row r="1213" spans="1:33" hidden="1">
      <c r="A1213" s="268"/>
      <c r="I1213"/>
      <c r="J1213" s="4"/>
      <c r="K1213" s="5" t="s">
        <v>1530</v>
      </c>
    </row>
    <row r="1214" spans="1:33" hidden="1">
      <c r="A1214" s="268"/>
      <c r="H1214" s="181" t="s">
        <v>521</v>
      </c>
      <c r="I1214"/>
      <c r="J1214" s="4"/>
      <c r="K1214" s="8" t="e">
        <f>(K1212/10)</f>
        <v>#REF!</v>
      </c>
    </row>
    <row r="1215" spans="1:33" hidden="1">
      <c r="A1215" s="268"/>
      <c r="I1215"/>
      <c r="J1215" s="4"/>
      <c r="K1215" s="5" t="s">
        <v>1980</v>
      </c>
    </row>
    <row r="1216" spans="1:33" hidden="1">
      <c r="A1216" s="268"/>
      <c r="F1216" s="246">
        <v>29.4</v>
      </c>
      <c r="G1216" s="187" t="s">
        <v>2167</v>
      </c>
      <c r="H1216" s="181" t="s">
        <v>1051</v>
      </c>
      <c r="I1216"/>
      <c r="J1216" s="4"/>
      <c r="K1216"/>
    </row>
    <row r="1217" spans="1:11" hidden="1">
      <c r="A1217" s="268"/>
      <c r="H1217" s="181" t="s">
        <v>1052</v>
      </c>
      <c r="I1217"/>
      <c r="J1217" s="4"/>
      <c r="K1217"/>
    </row>
    <row r="1218" spans="1:11" hidden="1">
      <c r="A1218" s="268"/>
      <c r="H1218" s="185" t="s">
        <v>1530</v>
      </c>
      <c r="I1218"/>
      <c r="J1218" s="4"/>
      <c r="K1218"/>
    </row>
    <row r="1219" spans="1:11" hidden="1">
      <c r="A1219" s="268"/>
      <c r="F1219" s="188">
        <v>1.86</v>
      </c>
      <c r="G1219" s="187" t="s">
        <v>578</v>
      </c>
      <c r="H1219" s="181" t="s">
        <v>1053</v>
      </c>
      <c r="I1219" s="8">
        <f>C580</f>
        <v>325</v>
      </c>
      <c r="J1219" s="2" t="s">
        <v>578</v>
      </c>
      <c r="K1219" s="8">
        <f>(F1219*I1219)</f>
        <v>604.5</v>
      </c>
    </row>
    <row r="1220" spans="1:11" hidden="1">
      <c r="A1220" s="268"/>
      <c r="F1220" s="188">
        <v>0.4</v>
      </c>
      <c r="G1220" s="187" t="s">
        <v>1591</v>
      </c>
      <c r="H1220" s="181" t="s">
        <v>2335</v>
      </c>
      <c r="I1220" s="8">
        <f>C586</f>
        <v>19</v>
      </c>
      <c r="J1220" s="2" t="s">
        <v>1591</v>
      </c>
      <c r="K1220" s="8">
        <f>(F1220*I1220)</f>
        <v>7.6</v>
      </c>
    </row>
    <row r="1221" spans="1:11" hidden="1">
      <c r="A1221" s="268"/>
      <c r="F1221" s="188">
        <v>0.02</v>
      </c>
      <c r="G1221" s="187" t="s">
        <v>836</v>
      </c>
      <c r="H1221" s="181" t="s">
        <v>388</v>
      </c>
      <c r="I1221" s="8" t="e">
        <f>K23</f>
        <v>#REF!</v>
      </c>
      <c r="J1221" s="2" t="s">
        <v>836</v>
      </c>
      <c r="K1221" s="8" t="e">
        <f>(F1221*I1221)</f>
        <v>#REF!</v>
      </c>
    </row>
    <row r="1222" spans="1:11" hidden="1">
      <c r="A1222" s="268"/>
      <c r="F1222" s="188">
        <v>1</v>
      </c>
      <c r="G1222" s="187" t="s">
        <v>739</v>
      </c>
      <c r="H1222" s="181" t="s">
        <v>1938</v>
      </c>
      <c r="I1222" s="8">
        <f>C10</f>
        <v>150</v>
      </c>
      <c r="J1222" s="2" t="s">
        <v>739</v>
      </c>
      <c r="K1222" s="8">
        <f>(F1222*I1222)</f>
        <v>150</v>
      </c>
    </row>
    <row r="1223" spans="1:11" hidden="1">
      <c r="A1223" s="268"/>
      <c r="F1223" s="188">
        <v>1</v>
      </c>
      <c r="G1223" s="187" t="s">
        <v>739</v>
      </c>
      <c r="H1223" s="181" t="s">
        <v>1634</v>
      </c>
      <c r="I1223" s="8">
        <f>C12</f>
        <v>95</v>
      </c>
      <c r="J1223" s="2" t="s">
        <v>739</v>
      </c>
      <c r="K1223" s="8">
        <f>(F1223*I1223)</f>
        <v>95</v>
      </c>
    </row>
    <row r="1224" spans="1:11" hidden="1">
      <c r="A1224" s="268"/>
      <c r="G1224" s="187" t="s">
        <v>419</v>
      </c>
      <c r="H1224" s="181" t="s">
        <v>420</v>
      </c>
      <c r="I1224"/>
      <c r="J1224" s="2" t="s">
        <v>419</v>
      </c>
      <c r="K1224" s="8">
        <v>0</v>
      </c>
    </row>
    <row r="1225" spans="1:11" hidden="1">
      <c r="A1225" s="268"/>
      <c r="I1225"/>
      <c r="J1225" s="4"/>
      <c r="K1225" s="5" t="s">
        <v>1530</v>
      </c>
    </row>
    <row r="1226" spans="1:11" hidden="1">
      <c r="A1226" s="268"/>
      <c r="H1226" s="181" t="s">
        <v>1635</v>
      </c>
      <c r="I1226"/>
      <c r="J1226" s="4"/>
      <c r="K1226" s="8" t="e">
        <f>SUM(K1219:K1224)</f>
        <v>#REF!</v>
      </c>
    </row>
    <row r="1227" spans="1:11" hidden="1">
      <c r="A1227" s="268"/>
      <c r="I1227"/>
      <c r="J1227" s="4"/>
      <c r="K1227" s="5" t="s">
        <v>1530</v>
      </c>
    </row>
    <row r="1228" spans="1:11" hidden="1">
      <c r="A1228" s="268"/>
      <c r="H1228" s="181" t="s">
        <v>521</v>
      </c>
      <c r="I1228"/>
      <c r="J1228" s="4"/>
      <c r="K1228" s="8" t="e">
        <f>(K1226/1.86)</f>
        <v>#REF!</v>
      </c>
    </row>
    <row r="1229" spans="1:11" hidden="1">
      <c r="A1229" s="268"/>
      <c r="I1229"/>
      <c r="J1229" s="4"/>
      <c r="K1229" s="5" t="s">
        <v>1980</v>
      </c>
    </row>
    <row r="1230" spans="1:11" hidden="1">
      <c r="A1230" s="268"/>
      <c r="F1230" s="236" t="s">
        <v>200</v>
      </c>
      <c r="G1230" s="187" t="s">
        <v>2167</v>
      </c>
      <c r="H1230" s="181" t="s">
        <v>1856</v>
      </c>
      <c r="I1230"/>
      <c r="J1230" s="4"/>
      <c r="K1230"/>
    </row>
    <row r="1231" spans="1:11" hidden="1">
      <c r="A1231" s="268"/>
      <c r="H1231" s="181" t="s">
        <v>896</v>
      </c>
      <c r="I1231"/>
      <c r="J1231" s="4"/>
      <c r="K1231"/>
    </row>
    <row r="1232" spans="1:11" hidden="1">
      <c r="A1232" s="268"/>
      <c r="H1232" s="181" t="s">
        <v>1636</v>
      </c>
      <c r="I1232"/>
      <c r="J1232" s="4"/>
      <c r="K1232"/>
    </row>
    <row r="1233" spans="1:11" hidden="1">
      <c r="A1233" s="268"/>
      <c r="H1233" s="181" t="s">
        <v>688</v>
      </c>
      <c r="I1233"/>
      <c r="J1233" s="4"/>
      <c r="K1233"/>
    </row>
    <row r="1234" spans="1:11" hidden="1">
      <c r="A1234" s="268"/>
      <c r="H1234" s="185" t="s">
        <v>1530</v>
      </c>
      <c r="I1234"/>
      <c r="J1234" s="4"/>
      <c r="K1234"/>
    </row>
    <row r="1235" spans="1:11" hidden="1">
      <c r="A1235" s="268"/>
      <c r="F1235" s="188">
        <v>0.24</v>
      </c>
      <c r="G1235" s="187" t="s">
        <v>836</v>
      </c>
      <c r="H1235" s="181" t="s">
        <v>1637</v>
      </c>
      <c r="I1235" s="8" t="e">
        <f>(C70)</f>
        <v>#REF!</v>
      </c>
      <c r="J1235" s="2" t="s">
        <v>836</v>
      </c>
      <c r="K1235" s="8" t="e">
        <f>(F1235*I1235)</f>
        <v>#REF!</v>
      </c>
    </row>
    <row r="1236" spans="1:11" hidden="1">
      <c r="A1236" s="268"/>
      <c r="F1236" s="245">
        <v>0.11700000000000001</v>
      </c>
      <c r="G1236" s="187" t="s">
        <v>828</v>
      </c>
      <c r="H1236" s="181" t="s">
        <v>829</v>
      </c>
      <c r="I1236" s="8">
        <f>(C67)</f>
        <v>3800</v>
      </c>
      <c r="J1236" s="2" t="s">
        <v>828</v>
      </c>
      <c r="K1236" s="8">
        <f>(F1236*I1236)</f>
        <v>444.6</v>
      </c>
    </row>
    <row r="1237" spans="1:11" hidden="1">
      <c r="A1237" s="268"/>
      <c r="F1237" s="188">
        <v>0.5</v>
      </c>
      <c r="G1237" s="187" t="s">
        <v>739</v>
      </c>
      <c r="H1237" s="181" t="s">
        <v>1938</v>
      </c>
      <c r="I1237" s="8">
        <f>(C10)</f>
        <v>150</v>
      </c>
      <c r="J1237" s="2" t="s">
        <v>739</v>
      </c>
      <c r="K1237" s="8">
        <f>(F1237*I1237)</f>
        <v>75</v>
      </c>
    </row>
    <row r="1238" spans="1:11" hidden="1">
      <c r="A1238" s="268"/>
      <c r="F1238" s="188">
        <v>1.1000000000000001</v>
      </c>
      <c r="G1238" s="187" t="s">
        <v>739</v>
      </c>
      <c r="H1238" s="181" t="s">
        <v>897</v>
      </c>
      <c r="I1238" s="8">
        <f>(C12)</f>
        <v>95</v>
      </c>
      <c r="J1238" s="2" t="s">
        <v>739</v>
      </c>
      <c r="K1238" s="8">
        <f>(F1238*I1238)</f>
        <v>104.5</v>
      </c>
    </row>
    <row r="1239" spans="1:11" hidden="1">
      <c r="A1239" s="268"/>
      <c r="F1239" s="188">
        <v>4.3</v>
      </c>
      <c r="G1239" s="187" t="s">
        <v>739</v>
      </c>
      <c r="H1239" s="181" t="s">
        <v>299</v>
      </c>
      <c r="I1239" s="8">
        <f>(C13)</f>
        <v>85</v>
      </c>
      <c r="J1239" s="2" t="s">
        <v>739</v>
      </c>
      <c r="K1239" s="8">
        <f>(F1239*I1239)</f>
        <v>365.5</v>
      </c>
    </row>
    <row r="1240" spans="1:11" hidden="1">
      <c r="A1240" s="268"/>
      <c r="G1240" s="187" t="s">
        <v>419</v>
      </c>
      <c r="H1240" s="181" t="s">
        <v>420</v>
      </c>
      <c r="I1240"/>
      <c r="J1240" s="2" t="s">
        <v>419</v>
      </c>
      <c r="K1240" s="8">
        <v>0</v>
      </c>
    </row>
    <row r="1241" spans="1:11" hidden="1">
      <c r="A1241" s="268"/>
      <c r="I1241"/>
      <c r="J1241" s="4"/>
      <c r="K1241" s="5" t="s">
        <v>1530</v>
      </c>
    </row>
    <row r="1242" spans="1:11" hidden="1">
      <c r="A1242" s="268"/>
      <c r="H1242" s="181" t="s">
        <v>411</v>
      </c>
      <c r="I1242"/>
      <c r="J1242" s="4"/>
      <c r="K1242" s="8" t="e">
        <f>SUM(K1235:K1240)</f>
        <v>#REF!</v>
      </c>
    </row>
    <row r="1243" spans="1:11" hidden="1">
      <c r="A1243" s="268"/>
      <c r="I1243"/>
      <c r="J1243" s="4"/>
      <c r="K1243" s="5" t="s">
        <v>1530</v>
      </c>
    </row>
    <row r="1244" spans="1:11" hidden="1">
      <c r="A1244" s="268"/>
      <c r="H1244" s="181" t="s">
        <v>521</v>
      </c>
      <c r="I1244"/>
      <c r="J1244" s="4"/>
      <c r="K1244" s="8" t="e">
        <f>(K1242/10)</f>
        <v>#REF!</v>
      </c>
    </row>
    <row r="1245" spans="1:11" hidden="1">
      <c r="A1245" s="268"/>
      <c r="F1245" s="181" t="s">
        <v>940</v>
      </c>
      <c r="I1245"/>
      <c r="J1245" s="4"/>
      <c r="K1245"/>
    </row>
    <row r="1246" spans="1:11" hidden="1">
      <c r="A1246" s="268"/>
      <c r="I1246"/>
      <c r="J1246" s="4"/>
      <c r="K1246" s="5" t="s">
        <v>1980</v>
      </c>
    </row>
    <row r="1247" spans="1:11" hidden="1">
      <c r="A1247" s="268"/>
      <c r="F1247" s="236" t="s">
        <v>1871</v>
      </c>
      <c r="G1247" s="187" t="s">
        <v>2167</v>
      </c>
      <c r="H1247" s="248" t="s">
        <v>689</v>
      </c>
      <c r="I1247"/>
      <c r="J1247" s="4"/>
      <c r="K1247"/>
    </row>
    <row r="1248" spans="1:11" hidden="1">
      <c r="A1248" s="268"/>
      <c r="H1248" s="181" t="s">
        <v>1872</v>
      </c>
      <c r="I1248"/>
      <c r="J1248" s="4"/>
      <c r="K1248"/>
    </row>
    <row r="1249" spans="1:11" hidden="1">
      <c r="A1249" s="268"/>
      <c r="H1249" s="181" t="s">
        <v>1873</v>
      </c>
      <c r="I1249"/>
      <c r="J1249" s="4"/>
      <c r="K1249"/>
    </row>
    <row r="1250" spans="1:11" hidden="1">
      <c r="A1250" s="268"/>
      <c r="H1250" s="181" t="s">
        <v>726</v>
      </c>
      <c r="I1250"/>
      <c r="J1250" s="4"/>
      <c r="K1250"/>
    </row>
    <row r="1251" spans="1:11" hidden="1">
      <c r="A1251" s="268"/>
      <c r="H1251" s="181" t="s">
        <v>718</v>
      </c>
      <c r="I1251"/>
      <c r="J1251" s="4"/>
      <c r="K1251"/>
    </row>
    <row r="1252" spans="1:11" hidden="1">
      <c r="A1252" s="268"/>
      <c r="H1252" s="185" t="s">
        <v>1530</v>
      </c>
      <c r="I1252"/>
      <c r="J1252" s="4"/>
      <c r="K1252"/>
    </row>
    <row r="1253" spans="1:11" hidden="1">
      <c r="A1253" s="268"/>
      <c r="F1253" s="188">
        <v>12.8</v>
      </c>
      <c r="G1253" s="187" t="s">
        <v>836</v>
      </c>
      <c r="H1253" s="181" t="s">
        <v>719</v>
      </c>
      <c r="I1253" s="8" t="e">
        <f>(C82)</f>
        <v>#REF!</v>
      </c>
      <c r="J1253" s="2" t="s">
        <v>836</v>
      </c>
      <c r="K1253" s="8" t="e">
        <f>(F1253*I1253)</f>
        <v>#REF!</v>
      </c>
    </row>
    <row r="1254" spans="1:11" hidden="1">
      <c r="A1254" s="268"/>
      <c r="F1254" s="188">
        <v>5</v>
      </c>
      <c r="G1254" s="187" t="s">
        <v>836</v>
      </c>
      <c r="H1254" s="181" t="s">
        <v>720</v>
      </c>
      <c r="I1254" s="8" t="e">
        <f>(C85)</f>
        <v>#REF!</v>
      </c>
      <c r="J1254" s="2" t="s">
        <v>836</v>
      </c>
      <c r="K1254" s="8" t="e">
        <f>(F1254*I1254)</f>
        <v>#REF!</v>
      </c>
    </row>
    <row r="1255" spans="1:11" hidden="1">
      <c r="A1255" s="268"/>
      <c r="F1255" s="188">
        <v>1.8</v>
      </c>
      <c r="G1255" s="187" t="s">
        <v>739</v>
      </c>
      <c r="H1255" s="181" t="s">
        <v>1938</v>
      </c>
      <c r="I1255" s="8">
        <f>(C10)</f>
        <v>150</v>
      </c>
      <c r="J1255" s="2" t="s">
        <v>739</v>
      </c>
      <c r="K1255" s="8">
        <f>(F1255*I1255)</f>
        <v>270</v>
      </c>
    </row>
    <row r="1256" spans="1:11" hidden="1">
      <c r="A1256" s="268"/>
      <c r="F1256" s="188">
        <v>17.7</v>
      </c>
      <c r="G1256" s="187" t="s">
        <v>739</v>
      </c>
      <c r="H1256" s="181" t="s">
        <v>897</v>
      </c>
      <c r="I1256" s="8">
        <f>(C12)</f>
        <v>95</v>
      </c>
      <c r="J1256" s="2" t="s">
        <v>739</v>
      </c>
      <c r="K1256" s="8">
        <f>(F1256*I1256)</f>
        <v>1681.5</v>
      </c>
    </row>
    <row r="1257" spans="1:11" hidden="1">
      <c r="A1257" s="268"/>
      <c r="F1257" s="188">
        <v>14.1</v>
      </c>
      <c r="G1257" s="187" t="s">
        <v>739</v>
      </c>
      <c r="H1257" s="181" t="s">
        <v>299</v>
      </c>
      <c r="I1257" s="8">
        <f>(C13)</f>
        <v>85</v>
      </c>
      <c r="J1257" s="2" t="s">
        <v>739</v>
      </c>
      <c r="K1257" s="8">
        <f>(F1257*I1257)</f>
        <v>1198.5</v>
      </c>
    </row>
    <row r="1258" spans="1:11" hidden="1">
      <c r="A1258" s="268"/>
      <c r="G1258" s="187" t="s">
        <v>419</v>
      </c>
      <c r="H1258" s="181" t="s">
        <v>420</v>
      </c>
      <c r="I1258"/>
      <c r="J1258" s="2" t="s">
        <v>419</v>
      </c>
      <c r="K1258" s="8">
        <v>0</v>
      </c>
    </row>
    <row r="1259" spans="1:11" hidden="1">
      <c r="A1259" s="268"/>
      <c r="I1259"/>
      <c r="J1259" s="4"/>
      <c r="K1259" s="5" t="s">
        <v>1530</v>
      </c>
    </row>
    <row r="1260" spans="1:11" hidden="1">
      <c r="A1260" s="268"/>
      <c r="H1260" s="181" t="s">
        <v>583</v>
      </c>
      <c r="I1260"/>
      <c r="J1260" s="4"/>
      <c r="K1260" s="8" t="e">
        <f>SUM(K1253:K1258)</f>
        <v>#REF!</v>
      </c>
    </row>
    <row r="1261" spans="1:11" hidden="1">
      <c r="A1261" s="268"/>
      <c r="I1261"/>
      <c r="J1261" s="4"/>
      <c r="K1261" s="5" t="s">
        <v>1530</v>
      </c>
    </row>
    <row r="1262" spans="1:11" hidden="1">
      <c r="A1262" s="268"/>
      <c r="H1262" s="181" t="s">
        <v>743</v>
      </c>
      <c r="I1262"/>
      <c r="J1262" s="4"/>
      <c r="K1262" s="8" t="e">
        <f>(K1260/10)</f>
        <v>#REF!</v>
      </c>
    </row>
    <row r="1263" spans="1:11" hidden="1">
      <c r="A1263" s="268"/>
      <c r="I1263"/>
      <c r="J1263" s="4"/>
      <c r="K1263" s="5" t="s">
        <v>1980</v>
      </c>
    </row>
    <row r="1264" spans="1:11" hidden="1">
      <c r="A1264" s="268"/>
      <c r="I1264"/>
      <c r="J1264" s="4"/>
      <c r="K1264"/>
    </row>
    <row r="1265" spans="1:11" hidden="1">
      <c r="A1265" s="268"/>
      <c r="G1265" s="187" t="s">
        <v>643</v>
      </c>
      <c r="H1265" s="181" t="s">
        <v>721</v>
      </c>
      <c r="I1265"/>
      <c r="J1265" s="4"/>
      <c r="K1265"/>
    </row>
    <row r="1266" spans="1:11" hidden="1">
      <c r="A1266" s="268"/>
      <c r="H1266" s="181" t="s">
        <v>722</v>
      </c>
      <c r="I1266"/>
      <c r="J1266" s="4"/>
      <c r="K1266"/>
    </row>
    <row r="1267" spans="1:11" hidden="1">
      <c r="A1267" s="268"/>
      <c r="H1267" s="185" t="s">
        <v>1530</v>
      </c>
      <c r="I1267"/>
      <c r="J1267" s="4"/>
      <c r="K1267"/>
    </row>
    <row r="1268" spans="1:11" hidden="1">
      <c r="A1268" s="268"/>
      <c r="F1268" s="188">
        <v>0.04</v>
      </c>
      <c r="G1268" s="187" t="s">
        <v>836</v>
      </c>
      <c r="H1268" s="181" t="s">
        <v>723</v>
      </c>
      <c r="I1268" s="8" t="e">
        <f>(K32)</f>
        <v>#REF!</v>
      </c>
      <c r="J1268" s="2" t="s">
        <v>836</v>
      </c>
      <c r="K1268" s="8" t="e">
        <f>(F1268*I1268)</f>
        <v>#REF!</v>
      </c>
    </row>
    <row r="1269" spans="1:11" hidden="1">
      <c r="A1269" s="268"/>
      <c r="F1269" s="188">
        <v>2.2000000000000002</v>
      </c>
      <c r="G1269" s="187" t="s">
        <v>739</v>
      </c>
      <c r="H1269" s="181" t="s">
        <v>1654</v>
      </c>
      <c r="I1269" s="8">
        <f>(C11)</f>
        <v>135</v>
      </c>
      <c r="J1269" s="2" t="s">
        <v>739</v>
      </c>
      <c r="K1269" s="8">
        <f>(F1269*I1269)</f>
        <v>297</v>
      </c>
    </row>
    <row r="1270" spans="1:11" hidden="1">
      <c r="A1270" s="268"/>
      <c r="F1270" s="188">
        <v>0.5</v>
      </c>
      <c r="G1270" s="187" t="s">
        <v>739</v>
      </c>
      <c r="H1270" s="181" t="s">
        <v>1836</v>
      </c>
      <c r="I1270" s="8">
        <f>(C12)</f>
        <v>95</v>
      </c>
      <c r="J1270" s="2" t="s">
        <v>739</v>
      </c>
      <c r="K1270" s="8">
        <f>(F1270*I1270)</f>
        <v>47.5</v>
      </c>
    </row>
    <row r="1271" spans="1:11" hidden="1">
      <c r="A1271" s="268"/>
      <c r="F1271" s="188">
        <v>1.1000000000000001</v>
      </c>
      <c r="G1271" s="187" t="s">
        <v>739</v>
      </c>
      <c r="H1271" s="181" t="s">
        <v>299</v>
      </c>
      <c r="I1271" s="8">
        <f>(C13)</f>
        <v>85</v>
      </c>
      <c r="J1271" s="2" t="s">
        <v>739</v>
      </c>
      <c r="K1271" s="8">
        <f>(F1271*I1271)</f>
        <v>93.5</v>
      </c>
    </row>
    <row r="1272" spans="1:11" hidden="1">
      <c r="A1272" s="268"/>
      <c r="G1272" s="187" t="s">
        <v>419</v>
      </c>
      <c r="H1272" s="181" t="s">
        <v>420</v>
      </c>
      <c r="I1272"/>
      <c r="J1272" s="2" t="s">
        <v>419</v>
      </c>
      <c r="K1272" s="8">
        <v>0</v>
      </c>
    </row>
    <row r="1273" spans="1:11" hidden="1">
      <c r="A1273" s="268"/>
      <c r="I1273"/>
      <c r="J1273" s="4"/>
      <c r="K1273" s="5" t="s">
        <v>1530</v>
      </c>
    </row>
    <row r="1274" spans="1:11" hidden="1">
      <c r="A1274" s="268"/>
      <c r="H1274" s="181" t="s">
        <v>411</v>
      </c>
      <c r="I1274"/>
      <c r="J1274" s="4"/>
      <c r="K1274" s="8" t="e">
        <f>SUM(K1268:K1272)</f>
        <v>#REF!</v>
      </c>
    </row>
    <row r="1275" spans="1:11" hidden="1">
      <c r="A1275" s="268"/>
      <c r="I1275"/>
      <c r="J1275" s="4"/>
      <c r="K1275" s="5" t="s">
        <v>1530</v>
      </c>
    </row>
    <row r="1276" spans="1:11" hidden="1">
      <c r="A1276" s="268"/>
      <c r="H1276" s="181" t="s">
        <v>521</v>
      </c>
      <c r="I1276"/>
      <c r="J1276" s="4"/>
      <c r="K1276" s="8" t="e">
        <f>(K1274/10)</f>
        <v>#REF!</v>
      </c>
    </row>
    <row r="1277" spans="1:11" hidden="1">
      <c r="A1277" s="268"/>
      <c r="I1277"/>
      <c r="J1277" s="4"/>
      <c r="K1277" s="5" t="s">
        <v>1980</v>
      </c>
    </row>
    <row r="1278" spans="1:11" hidden="1">
      <c r="A1278" s="268"/>
      <c r="I1278"/>
      <c r="J1278" s="4"/>
      <c r="K1278"/>
    </row>
    <row r="1279" spans="1:11" hidden="1">
      <c r="A1279" s="268"/>
      <c r="F1279" s="246">
        <v>32.1</v>
      </c>
      <c r="G1279" s="187" t="s">
        <v>2167</v>
      </c>
      <c r="H1279" s="181" t="s">
        <v>724</v>
      </c>
      <c r="I1279"/>
      <c r="J1279" s="4"/>
      <c r="K1279"/>
    </row>
    <row r="1280" spans="1:11" hidden="1">
      <c r="A1280" s="268"/>
      <c r="H1280" s="181" t="s">
        <v>1426</v>
      </c>
      <c r="I1280"/>
      <c r="J1280" s="4"/>
      <c r="K1280"/>
    </row>
    <row r="1281" spans="1:11" hidden="1">
      <c r="A1281" s="268"/>
      <c r="H1281" s="181" t="s">
        <v>651</v>
      </c>
      <c r="I1281"/>
      <c r="J1281" s="4"/>
      <c r="K1281"/>
    </row>
    <row r="1282" spans="1:11" hidden="1">
      <c r="A1282" s="268"/>
      <c r="H1282" s="181" t="s">
        <v>3060</v>
      </c>
      <c r="I1282"/>
      <c r="J1282" s="4"/>
      <c r="K1282"/>
    </row>
    <row r="1283" spans="1:11" hidden="1">
      <c r="A1283" s="268"/>
      <c r="H1283" s="181" t="s">
        <v>1245</v>
      </c>
      <c r="I1283"/>
      <c r="J1283" s="4"/>
      <c r="K1283"/>
    </row>
    <row r="1284" spans="1:11" hidden="1">
      <c r="A1284" s="268"/>
      <c r="H1284" s="185" t="s">
        <v>1530</v>
      </c>
      <c r="I1284"/>
      <c r="J1284" s="4"/>
      <c r="K1284"/>
    </row>
    <row r="1285" spans="1:11" hidden="1">
      <c r="A1285" s="268"/>
      <c r="F1285" s="188">
        <v>190</v>
      </c>
      <c r="G1285" s="187" t="s">
        <v>1807</v>
      </c>
      <c r="H1285" s="181" t="s">
        <v>1941</v>
      </c>
      <c r="I1285" s="8">
        <f>(C83)</f>
        <v>4500</v>
      </c>
      <c r="J1285" s="2" t="s">
        <v>1424</v>
      </c>
      <c r="K1285" s="8">
        <f>(F1285*I1285)/1000</f>
        <v>855</v>
      </c>
    </row>
    <row r="1286" spans="1:11" hidden="1">
      <c r="A1286" s="268"/>
      <c r="F1286" s="188">
        <v>0.12</v>
      </c>
      <c r="G1286" s="187" t="s">
        <v>836</v>
      </c>
      <c r="H1286" s="181" t="s">
        <v>1810</v>
      </c>
      <c r="I1286" s="8" t="e">
        <f>(K32)</f>
        <v>#REF!</v>
      </c>
      <c r="J1286" s="2" t="s">
        <v>836</v>
      </c>
      <c r="K1286" s="8" t="e">
        <f t="shared" ref="K1286:K1292" si="59">(F1286*I1286)</f>
        <v>#REF!</v>
      </c>
    </row>
    <row r="1287" spans="1:11" hidden="1">
      <c r="A1287" s="268"/>
      <c r="F1287" s="188">
        <v>10</v>
      </c>
      <c r="G1287" s="187" t="s">
        <v>578</v>
      </c>
      <c r="H1287" s="181" t="s">
        <v>1247</v>
      </c>
      <c r="I1287" s="8" t="e">
        <f>(K1276)</f>
        <v>#REF!</v>
      </c>
      <c r="J1287" s="2" t="s">
        <v>578</v>
      </c>
      <c r="K1287" s="8" t="e">
        <f t="shared" si="59"/>
        <v>#REF!</v>
      </c>
    </row>
    <row r="1288" spans="1:11" hidden="1">
      <c r="A1288" s="268"/>
      <c r="F1288" s="188">
        <v>1.54</v>
      </c>
      <c r="G1288" s="187" t="s">
        <v>1591</v>
      </c>
      <c r="H1288" s="181" t="s">
        <v>929</v>
      </c>
      <c r="I1288" s="8">
        <f>C631</f>
        <v>30</v>
      </c>
      <c r="J1288" s="2" t="s">
        <v>1591</v>
      </c>
      <c r="K1288" s="8">
        <f t="shared" si="59"/>
        <v>46.2</v>
      </c>
    </row>
    <row r="1289" spans="1:11" hidden="1">
      <c r="A1289" s="268"/>
      <c r="F1289" s="188">
        <v>1.1000000000000001</v>
      </c>
      <c r="G1289" s="187" t="s">
        <v>739</v>
      </c>
      <c r="H1289" s="181" t="s">
        <v>1938</v>
      </c>
      <c r="I1289" s="8">
        <f>(C10)</f>
        <v>150</v>
      </c>
      <c r="J1289" s="2" t="s">
        <v>739</v>
      </c>
      <c r="K1289" s="8">
        <f t="shared" si="59"/>
        <v>165</v>
      </c>
    </row>
    <row r="1290" spans="1:11" hidden="1">
      <c r="A1290" s="268"/>
      <c r="F1290" s="188">
        <v>2.1</v>
      </c>
      <c r="G1290" s="187" t="s">
        <v>739</v>
      </c>
      <c r="H1290" s="181" t="s">
        <v>1654</v>
      </c>
      <c r="I1290" s="8">
        <f>(C11)</f>
        <v>135</v>
      </c>
      <c r="J1290" s="2" t="s">
        <v>739</v>
      </c>
      <c r="K1290" s="8">
        <f t="shared" si="59"/>
        <v>283.5</v>
      </c>
    </row>
    <row r="1291" spans="1:11" hidden="1">
      <c r="A1291" s="268"/>
      <c r="F1291" s="188">
        <v>2.2000000000000002</v>
      </c>
      <c r="G1291" s="187" t="s">
        <v>739</v>
      </c>
      <c r="H1291" s="181" t="s">
        <v>1836</v>
      </c>
      <c r="I1291" s="8">
        <f>(C12)</f>
        <v>95</v>
      </c>
      <c r="J1291" s="2" t="s">
        <v>739</v>
      </c>
      <c r="K1291" s="8">
        <f t="shared" si="59"/>
        <v>209</v>
      </c>
    </row>
    <row r="1292" spans="1:11" hidden="1">
      <c r="A1292" s="268"/>
      <c r="F1292" s="188">
        <v>1.1000000000000001</v>
      </c>
      <c r="G1292" s="187" t="s">
        <v>739</v>
      </c>
      <c r="H1292" s="181" t="s">
        <v>299</v>
      </c>
      <c r="I1292" s="8">
        <f>(C13)</f>
        <v>85</v>
      </c>
      <c r="J1292" s="2" t="s">
        <v>739</v>
      </c>
      <c r="K1292" s="8">
        <f t="shared" si="59"/>
        <v>93.5</v>
      </c>
    </row>
    <row r="1293" spans="1:11" hidden="1">
      <c r="A1293" s="268"/>
      <c r="G1293" s="187" t="s">
        <v>419</v>
      </c>
      <c r="H1293" s="181" t="s">
        <v>420</v>
      </c>
      <c r="I1293"/>
      <c r="J1293" s="2" t="s">
        <v>419</v>
      </c>
      <c r="K1293" s="8">
        <v>0</v>
      </c>
    </row>
    <row r="1294" spans="1:11" hidden="1">
      <c r="A1294" s="268"/>
      <c r="I1294"/>
      <c r="J1294" s="4"/>
      <c r="K1294" s="5" t="s">
        <v>1530</v>
      </c>
    </row>
    <row r="1295" spans="1:11" hidden="1">
      <c r="A1295" s="268"/>
      <c r="H1295" s="181" t="s">
        <v>411</v>
      </c>
      <c r="I1295"/>
      <c r="J1295" s="4"/>
      <c r="K1295" s="8" t="e">
        <f>SUM(K1285:K1293)</f>
        <v>#REF!</v>
      </c>
    </row>
    <row r="1296" spans="1:11" hidden="1">
      <c r="A1296" s="268"/>
      <c r="I1296"/>
      <c r="J1296" s="4"/>
      <c r="K1296" s="5" t="s">
        <v>1530</v>
      </c>
    </row>
    <row r="1297" spans="1:11" hidden="1">
      <c r="A1297" s="268"/>
      <c r="H1297" s="181" t="s">
        <v>521</v>
      </c>
      <c r="I1297"/>
      <c r="J1297" s="4"/>
      <c r="K1297" s="8" t="e">
        <f>(K1295/10)</f>
        <v>#REF!</v>
      </c>
    </row>
    <row r="1298" spans="1:11" hidden="1">
      <c r="A1298" s="268"/>
      <c r="I1298"/>
      <c r="J1298" s="4"/>
      <c r="K1298" s="5" t="s">
        <v>1980</v>
      </c>
    </row>
    <row r="1299" spans="1:11" hidden="1">
      <c r="A1299" s="268"/>
      <c r="I1299"/>
      <c r="J1299" s="4"/>
      <c r="K1299" s="5"/>
    </row>
    <row r="1300" spans="1:11" hidden="1">
      <c r="A1300" s="268"/>
      <c r="I1300"/>
      <c r="J1300" s="4"/>
      <c r="K1300" s="5"/>
    </row>
    <row r="1301" spans="1:11" hidden="1">
      <c r="A1301" s="268"/>
      <c r="F1301" s="246">
        <v>32.200000000000003</v>
      </c>
      <c r="G1301" s="187" t="s">
        <v>2167</v>
      </c>
      <c r="H1301" s="181" t="s">
        <v>724</v>
      </c>
      <c r="I1301"/>
      <c r="J1301" s="4"/>
      <c r="K1301" s="5"/>
    </row>
    <row r="1302" spans="1:11" hidden="1">
      <c r="A1302" s="268"/>
      <c r="H1302" s="181" t="s">
        <v>1426</v>
      </c>
      <c r="I1302"/>
      <c r="J1302" s="4"/>
      <c r="K1302" s="5"/>
    </row>
    <row r="1303" spans="1:11" hidden="1">
      <c r="A1303" s="268"/>
      <c r="H1303" s="181" t="s">
        <v>651</v>
      </c>
      <c r="I1303"/>
      <c r="J1303" s="4"/>
      <c r="K1303" s="5"/>
    </row>
    <row r="1304" spans="1:11" hidden="1">
      <c r="A1304" s="268"/>
      <c r="H1304" s="181" t="s">
        <v>3060</v>
      </c>
      <c r="I1304"/>
      <c r="J1304" s="4"/>
      <c r="K1304" s="5"/>
    </row>
    <row r="1305" spans="1:11" hidden="1">
      <c r="A1305" s="268"/>
      <c r="H1305" s="181" t="s">
        <v>1245</v>
      </c>
      <c r="I1305"/>
      <c r="J1305" s="4"/>
      <c r="K1305" s="5"/>
    </row>
    <row r="1306" spans="1:11" hidden="1">
      <c r="A1306" s="268"/>
      <c r="H1306" s="185" t="s">
        <v>1530</v>
      </c>
      <c r="I1306"/>
      <c r="J1306" s="4"/>
      <c r="K1306" s="5"/>
    </row>
    <row r="1307" spans="1:11" hidden="1">
      <c r="A1307" s="268"/>
      <c r="F1307" s="188">
        <v>190</v>
      </c>
      <c r="G1307" s="187" t="s">
        <v>1807</v>
      </c>
      <c r="H1307" s="181" t="s">
        <v>1513</v>
      </c>
      <c r="I1307">
        <f>E83</f>
        <v>3550</v>
      </c>
      <c r="J1307" s="2" t="s">
        <v>1424</v>
      </c>
      <c r="K1307" s="8">
        <f>(F1307*I1307)/1000</f>
        <v>674.5</v>
      </c>
    </row>
    <row r="1308" spans="1:11" hidden="1">
      <c r="A1308" s="268"/>
      <c r="F1308" s="188">
        <v>0.12</v>
      </c>
      <c r="G1308" s="187" t="s">
        <v>836</v>
      </c>
      <c r="H1308" s="181" t="s">
        <v>1810</v>
      </c>
      <c r="I1308" t="e">
        <f>K32</f>
        <v>#REF!</v>
      </c>
      <c r="J1308" s="2" t="s">
        <v>836</v>
      </c>
      <c r="K1308" s="8" t="e">
        <f t="shared" ref="K1308:K1314" si="60">(F1308*I1308)</f>
        <v>#REF!</v>
      </c>
    </row>
    <row r="1309" spans="1:11" hidden="1">
      <c r="A1309" s="268"/>
      <c r="F1309" s="188">
        <v>10</v>
      </c>
      <c r="G1309" s="187" t="s">
        <v>578</v>
      </c>
      <c r="H1309" s="181" t="s">
        <v>1247</v>
      </c>
      <c r="I1309" t="e">
        <f>K1276</f>
        <v>#REF!</v>
      </c>
      <c r="J1309" s="2" t="s">
        <v>578</v>
      </c>
      <c r="K1309" s="8" t="e">
        <f t="shared" si="60"/>
        <v>#REF!</v>
      </c>
    </row>
    <row r="1310" spans="1:11" hidden="1">
      <c r="A1310" s="268"/>
      <c r="F1310" s="188">
        <v>5.8</v>
      </c>
      <c r="G1310" s="187" t="s">
        <v>1591</v>
      </c>
      <c r="H1310" s="181" t="s">
        <v>929</v>
      </c>
      <c r="I1310">
        <f>C631</f>
        <v>30</v>
      </c>
      <c r="J1310" s="2" t="s">
        <v>1591</v>
      </c>
      <c r="K1310" s="8">
        <f t="shared" si="60"/>
        <v>174</v>
      </c>
    </row>
    <row r="1311" spans="1:11" hidden="1">
      <c r="A1311" s="268"/>
      <c r="F1311" s="188">
        <v>1.1000000000000001</v>
      </c>
      <c r="G1311" s="187" t="s">
        <v>739</v>
      </c>
      <c r="H1311" s="181" t="s">
        <v>1938</v>
      </c>
      <c r="I1311">
        <f>C10</f>
        <v>150</v>
      </c>
      <c r="J1311" s="2" t="s">
        <v>739</v>
      </c>
      <c r="K1311" s="8">
        <f t="shared" si="60"/>
        <v>165</v>
      </c>
    </row>
    <row r="1312" spans="1:11" hidden="1">
      <c r="A1312" s="268"/>
      <c r="F1312" s="188">
        <v>2.1</v>
      </c>
      <c r="G1312" s="187" t="s">
        <v>739</v>
      </c>
      <c r="H1312" s="181" t="s">
        <v>1654</v>
      </c>
      <c r="I1312">
        <f>C11</f>
        <v>135</v>
      </c>
      <c r="J1312" s="2" t="s">
        <v>739</v>
      </c>
      <c r="K1312" s="8">
        <f t="shared" si="60"/>
        <v>283.5</v>
      </c>
    </row>
    <row r="1313" spans="1:11" hidden="1">
      <c r="A1313" s="268"/>
      <c r="F1313" s="188">
        <v>2.2000000000000002</v>
      </c>
      <c r="G1313" s="187" t="s">
        <v>739</v>
      </c>
      <c r="H1313" s="181" t="s">
        <v>1836</v>
      </c>
      <c r="I1313">
        <f>C12</f>
        <v>95</v>
      </c>
      <c r="J1313" s="2" t="s">
        <v>739</v>
      </c>
      <c r="K1313" s="8">
        <f t="shared" si="60"/>
        <v>209</v>
      </c>
    </row>
    <row r="1314" spans="1:11" hidden="1">
      <c r="A1314" s="268"/>
      <c r="F1314" s="188">
        <v>1.1000000000000001</v>
      </c>
      <c r="G1314" s="187" t="s">
        <v>739</v>
      </c>
      <c r="H1314" s="181" t="s">
        <v>299</v>
      </c>
      <c r="I1314">
        <f>C13</f>
        <v>85</v>
      </c>
      <c r="J1314" s="2" t="s">
        <v>739</v>
      </c>
      <c r="K1314" s="8">
        <f t="shared" si="60"/>
        <v>93.5</v>
      </c>
    </row>
    <row r="1315" spans="1:11" hidden="1">
      <c r="A1315" s="268"/>
      <c r="G1315" s="187" t="s">
        <v>419</v>
      </c>
      <c r="H1315" s="181" t="s">
        <v>420</v>
      </c>
      <c r="I1315"/>
      <c r="J1315" s="2" t="s">
        <v>419</v>
      </c>
      <c r="K1315" s="8">
        <v>0</v>
      </c>
    </row>
    <row r="1316" spans="1:11" hidden="1">
      <c r="A1316" s="268"/>
      <c r="I1316"/>
      <c r="J1316" s="4"/>
      <c r="K1316" s="5" t="s">
        <v>1530</v>
      </c>
    </row>
    <row r="1317" spans="1:11" hidden="1">
      <c r="A1317" s="268"/>
      <c r="H1317" s="181" t="s">
        <v>411</v>
      </c>
      <c r="I1317"/>
      <c r="J1317" s="4"/>
      <c r="K1317" s="8" t="e">
        <f>SUM(K1307:K1315)</f>
        <v>#REF!</v>
      </c>
    </row>
    <row r="1318" spans="1:11" hidden="1">
      <c r="A1318" s="268"/>
      <c r="I1318"/>
      <c r="J1318" s="4"/>
      <c r="K1318" s="5" t="s">
        <v>1530</v>
      </c>
    </row>
    <row r="1319" spans="1:11" hidden="1">
      <c r="A1319" s="268"/>
      <c r="H1319" s="181" t="s">
        <v>521</v>
      </c>
      <c r="I1319"/>
      <c r="J1319" s="4"/>
      <c r="K1319" s="8" t="e">
        <f>(K1317/10)</f>
        <v>#REF!</v>
      </c>
    </row>
    <row r="1320" spans="1:11" hidden="1">
      <c r="A1320" s="268"/>
      <c r="I1320"/>
      <c r="J1320" s="4"/>
      <c r="K1320" s="5" t="s">
        <v>1980</v>
      </c>
    </row>
    <row r="1321" spans="1:11" hidden="1">
      <c r="A1321" s="268"/>
      <c r="I1321"/>
      <c r="J1321" s="4"/>
      <c r="K1321" s="5"/>
    </row>
    <row r="1322" spans="1:11" hidden="1">
      <c r="A1322" s="268"/>
      <c r="F1322" s="236" t="s">
        <v>1248</v>
      </c>
      <c r="G1322" s="187" t="s">
        <v>2167</v>
      </c>
      <c r="H1322" s="181" t="s">
        <v>5</v>
      </c>
      <c r="I1322"/>
      <c r="J1322" s="4"/>
      <c r="K1322"/>
    </row>
    <row r="1323" spans="1:11" hidden="1">
      <c r="A1323" s="268"/>
      <c r="H1323" s="185" t="s">
        <v>1530</v>
      </c>
      <c r="I1323"/>
      <c r="J1323" s="4"/>
      <c r="K1323"/>
    </row>
    <row r="1324" spans="1:11" hidden="1">
      <c r="A1324" s="268"/>
      <c r="F1324" s="188">
        <v>0.14000000000000001</v>
      </c>
      <c r="G1324" s="187" t="s">
        <v>836</v>
      </c>
      <c r="H1324" s="181" t="s">
        <v>1571</v>
      </c>
      <c r="I1324" s="8" t="e">
        <f>(K49)</f>
        <v>#REF!</v>
      </c>
      <c r="J1324" s="2" t="s">
        <v>836</v>
      </c>
      <c r="K1324" s="8" t="e">
        <f>(F1324*I1324)</f>
        <v>#REF!</v>
      </c>
    </row>
    <row r="1325" spans="1:11" hidden="1">
      <c r="A1325" s="268"/>
      <c r="F1325" s="188">
        <v>1.1000000000000001</v>
      </c>
      <c r="G1325" s="187" t="s">
        <v>835</v>
      </c>
      <c r="H1325" s="181" t="s">
        <v>1938</v>
      </c>
      <c r="I1325" s="8">
        <f>(C10)</f>
        <v>150</v>
      </c>
      <c r="J1325" s="2" t="s">
        <v>835</v>
      </c>
      <c r="K1325" s="8">
        <f>(F1325*I1325)</f>
        <v>165</v>
      </c>
    </row>
    <row r="1326" spans="1:11" hidden="1">
      <c r="A1326" s="268"/>
      <c r="F1326" s="188">
        <v>0.5</v>
      </c>
      <c r="G1326" s="187" t="s">
        <v>835</v>
      </c>
      <c r="H1326" s="181" t="s">
        <v>1836</v>
      </c>
      <c r="I1326" s="8">
        <f>(C12)</f>
        <v>95</v>
      </c>
      <c r="J1326" s="2" t="s">
        <v>835</v>
      </c>
      <c r="K1326" s="8">
        <f>(F1326*I1326)</f>
        <v>47.5</v>
      </c>
    </row>
    <row r="1327" spans="1:11" hidden="1">
      <c r="A1327" s="268"/>
      <c r="F1327" s="188">
        <v>1.1000000000000001</v>
      </c>
      <c r="G1327" s="187" t="s">
        <v>835</v>
      </c>
      <c r="H1327" s="181" t="s">
        <v>299</v>
      </c>
      <c r="I1327" s="8">
        <f>(C13)</f>
        <v>85</v>
      </c>
      <c r="J1327" s="2" t="s">
        <v>835</v>
      </c>
      <c r="K1327" s="8">
        <f>(F1327*I1327)</f>
        <v>93.5</v>
      </c>
    </row>
    <row r="1328" spans="1:11" hidden="1">
      <c r="A1328" s="268"/>
      <c r="G1328" s="187" t="s">
        <v>419</v>
      </c>
      <c r="H1328" s="181" t="s">
        <v>420</v>
      </c>
      <c r="I1328" s="1" t="s">
        <v>940</v>
      </c>
      <c r="J1328" s="2" t="s">
        <v>419</v>
      </c>
      <c r="K1328" s="8">
        <v>0</v>
      </c>
    </row>
    <row r="1329" spans="1:11" hidden="1">
      <c r="A1329" s="268"/>
      <c r="I1329"/>
      <c r="J1329" s="4"/>
      <c r="K1329" s="5" t="s">
        <v>1530</v>
      </c>
    </row>
    <row r="1330" spans="1:11" hidden="1">
      <c r="A1330" s="268"/>
      <c r="H1330" s="181" t="s">
        <v>411</v>
      </c>
      <c r="I1330"/>
      <c r="J1330" s="4"/>
      <c r="K1330" s="8" t="e">
        <f>SUM(K1324:K1328)</f>
        <v>#REF!</v>
      </c>
    </row>
    <row r="1331" spans="1:11" hidden="1">
      <c r="A1331" s="268"/>
      <c r="I1331"/>
      <c r="J1331" s="4"/>
      <c r="K1331" s="5" t="s">
        <v>1530</v>
      </c>
    </row>
    <row r="1332" spans="1:11" hidden="1">
      <c r="A1332" s="268"/>
      <c r="H1332" s="181" t="s">
        <v>521</v>
      </c>
      <c r="I1332"/>
      <c r="J1332" s="4"/>
      <c r="K1332" s="8" t="e">
        <f>(K1330/10)</f>
        <v>#REF!</v>
      </c>
    </row>
    <row r="1333" spans="1:11" hidden="1">
      <c r="A1333" s="268"/>
      <c r="F1333" s="181" t="s">
        <v>940</v>
      </c>
      <c r="I1333"/>
      <c r="J1333" s="4"/>
      <c r="K1333"/>
    </row>
    <row r="1334" spans="1:11" hidden="1">
      <c r="A1334" s="268"/>
      <c r="I1334"/>
      <c r="J1334" s="4"/>
      <c r="K1334" s="5" t="s">
        <v>1980</v>
      </c>
    </row>
    <row r="1335" spans="1:11" hidden="1">
      <c r="A1335" s="268"/>
      <c r="F1335" s="236" t="s">
        <v>6</v>
      </c>
      <c r="G1335" s="187" t="s">
        <v>2167</v>
      </c>
      <c r="H1335" s="181" t="s">
        <v>7</v>
      </c>
      <c r="I1335"/>
      <c r="J1335" s="4"/>
      <c r="K1335"/>
    </row>
    <row r="1336" spans="1:11" hidden="1">
      <c r="A1336" s="268"/>
      <c r="H1336" s="185" t="s">
        <v>1530</v>
      </c>
      <c r="I1336"/>
      <c r="J1336" s="4"/>
      <c r="K1336"/>
    </row>
    <row r="1337" spans="1:11" hidden="1">
      <c r="A1337" s="268"/>
      <c r="F1337" s="188">
        <v>0.14000000000000001</v>
      </c>
      <c r="G1337" s="187" t="s">
        <v>836</v>
      </c>
      <c r="H1337" s="181" t="s">
        <v>1258</v>
      </c>
      <c r="I1337" s="8" t="e">
        <f>(K40)</f>
        <v>#REF!</v>
      </c>
      <c r="J1337" s="2" t="s">
        <v>836</v>
      </c>
      <c r="K1337" s="8" t="e">
        <f>(F1337*I1337)</f>
        <v>#REF!</v>
      </c>
    </row>
    <row r="1338" spans="1:11" hidden="1">
      <c r="A1338" s="268"/>
      <c r="F1338" s="188">
        <v>1.1000000000000001</v>
      </c>
      <c r="G1338" s="187" t="s">
        <v>835</v>
      </c>
      <c r="H1338" s="181" t="s">
        <v>1938</v>
      </c>
      <c r="I1338" s="8">
        <f>(C10)</f>
        <v>150</v>
      </c>
      <c r="J1338" s="2" t="s">
        <v>835</v>
      </c>
      <c r="K1338" s="8">
        <f>(F1338*I1338)</f>
        <v>165</v>
      </c>
    </row>
    <row r="1339" spans="1:11" hidden="1">
      <c r="A1339" s="268"/>
      <c r="F1339" s="188">
        <v>0.5</v>
      </c>
      <c r="G1339" s="187" t="s">
        <v>835</v>
      </c>
      <c r="H1339" s="181" t="s">
        <v>1836</v>
      </c>
      <c r="I1339" s="8">
        <f>(C12)</f>
        <v>95</v>
      </c>
      <c r="J1339" s="2" t="s">
        <v>835</v>
      </c>
      <c r="K1339" s="8">
        <f>(F1339*I1339)</f>
        <v>47.5</v>
      </c>
    </row>
    <row r="1340" spans="1:11" hidden="1">
      <c r="A1340" s="268"/>
      <c r="F1340" s="188">
        <v>1.1000000000000001</v>
      </c>
      <c r="G1340" s="187" t="s">
        <v>835</v>
      </c>
      <c r="H1340" s="181" t="s">
        <v>299</v>
      </c>
      <c r="I1340" s="8">
        <f>(C13)</f>
        <v>85</v>
      </c>
      <c r="J1340" s="2" t="s">
        <v>835</v>
      </c>
      <c r="K1340" s="8">
        <f>(F1340*I1340)</f>
        <v>93.5</v>
      </c>
    </row>
    <row r="1341" spans="1:11" hidden="1">
      <c r="A1341" s="268"/>
      <c r="G1341" s="187" t="s">
        <v>419</v>
      </c>
      <c r="H1341" s="181" t="s">
        <v>420</v>
      </c>
      <c r="I1341" s="1" t="s">
        <v>940</v>
      </c>
      <c r="J1341" s="2" t="s">
        <v>419</v>
      </c>
      <c r="K1341" s="8">
        <v>0</v>
      </c>
    </row>
    <row r="1342" spans="1:11" hidden="1">
      <c r="A1342" s="268"/>
      <c r="I1342"/>
      <c r="J1342" s="4"/>
      <c r="K1342" s="5" t="s">
        <v>1530</v>
      </c>
    </row>
    <row r="1343" spans="1:11" hidden="1">
      <c r="A1343" s="268"/>
      <c r="H1343" s="181" t="s">
        <v>411</v>
      </c>
      <c r="I1343"/>
      <c r="J1343" s="4"/>
      <c r="K1343" s="8" t="e">
        <f>SUM(K1337:K1341)</f>
        <v>#REF!</v>
      </c>
    </row>
    <row r="1344" spans="1:11" hidden="1">
      <c r="A1344" s="268"/>
      <c r="I1344"/>
      <c r="J1344" s="4"/>
      <c r="K1344" s="5" t="s">
        <v>1530</v>
      </c>
    </row>
    <row r="1345" spans="1:11" hidden="1">
      <c r="A1345" s="268"/>
      <c r="H1345" s="181" t="s">
        <v>521</v>
      </c>
      <c r="I1345"/>
      <c r="J1345" s="4"/>
      <c r="K1345" s="8" t="e">
        <f>(K1343/10)</f>
        <v>#REF!</v>
      </c>
    </row>
    <row r="1346" spans="1:11" hidden="1">
      <c r="A1346" s="268"/>
      <c r="I1346"/>
      <c r="J1346" s="4"/>
      <c r="K1346" s="5" t="s">
        <v>1980</v>
      </c>
    </row>
    <row r="1347" spans="1:11" hidden="1">
      <c r="A1347" s="268"/>
      <c r="F1347" s="236" t="s">
        <v>8</v>
      </c>
      <c r="G1347" s="187" t="s">
        <v>2167</v>
      </c>
      <c r="H1347" s="181" t="s">
        <v>9</v>
      </c>
      <c r="I1347"/>
      <c r="J1347" s="4"/>
      <c r="K1347"/>
    </row>
    <row r="1348" spans="1:11" hidden="1">
      <c r="A1348" s="268"/>
      <c r="H1348" s="185" t="s">
        <v>1530</v>
      </c>
      <c r="I1348"/>
      <c r="J1348" s="4"/>
      <c r="K1348"/>
    </row>
    <row r="1349" spans="1:11" hidden="1">
      <c r="A1349" s="268"/>
      <c r="F1349" s="188">
        <v>0.1</v>
      </c>
      <c r="G1349" s="187" t="s">
        <v>836</v>
      </c>
      <c r="H1349" s="181" t="s">
        <v>1301</v>
      </c>
      <c r="I1349" s="8" t="e">
        <f>(K32)</f>
        <v>#REF!</v>
      </c>
      <c r="J1349" s="2" t="s">
        <v>836</v>
      </c>
      <c r="K1349" s="8" t="e">
        <f>(F1349*I1349)</f>
        <v>#REF!</v>
      </c>
    </row>
    <row r="1350" spans="1:11" hidden="1">
      <c r="A1350" s="268"/>
      <c r="F1350" s="188">
        <v>1.1000000000000001</v>
      </c>
      <c r="G1350" s="187" t="s">
        <v>835</v>
      </c>
      <c r="H1350" s="181" t="s">
        <v>1938</v>
      </c>
      <c r="I1350" s="8">
        <f>(C10)</f>
        <v>150</v>
      </c>
      <c r="J1350" s="2" t="s">
        <v>835</v>
      </c>
      <c r="K1350" s="8">
        <f>(F1350*I1350)</f>
        <v>165</v>
      </c>
    </row>
    <row r="1351" spans="1:11" hidden="1">
      <c r="A1351" s="268"/>
      <c r="F1351" s="188">
        <v>1.1000000000000001</v>
      </c>
      <c r="G1351" s="187" t="s">
        <v>835</v>
      </c>
      <c r="H1351" s="181" t="s">
        <v>1836</v>
      </c>
      <c r="I1351" s="8">
        <f>(C12)</f>
        <v>95</v>
      </c>
      <c r="J1351" s="2" t="s">
        <v>835</v>
      </c>
      <c r="K1351" s="8">
        <f>(F1351*I1351)</f>
        <v>104.5</v>
      </c>
    </row>
    <row r="1352" spans="1:11" hidden="1">
      <c r="A1352" s="268"/>
      <c r="F1352" s="188">
        <v>1.1000000000000001</v>
      </c>
      <c r="G1352" s="187" t="s">
        <v>835</v>
      </c>
      <c r="H1352" s="181" t="s">
        <v>299</v>
      </c>
      <c r="I1352" s="8">
        <f>(C13)</f>
        <v>85</v>
      </c>
      <c r="J1352" s="2" t="s">
        <v>835</v>
      </c>
      <c r="K1352" s="8">
        <f>(F1352*I1352)</f>
        <v>93.5</v>
      </c>
    </row>
    <row r="1353" spans="1:11" hidden="1">
      <c r="A1353" s="268"/>
      <c r="G1353" s="187" t="s">
        <v>419</v>
      </c>
      <c r="H1353" s="181" t="s">
        <v>420</v>
      </c>
      <c r="I1353" s="1" t="s">
        <v>940</v>
      </c>
      <c r="J1353" s="2" t="s">
        <v>419</v>
      </c>
      <c r="K1353" s="8">
        <v>0</v>
      </c>
    </row>
    <row r="1354" spans="1:11" hidden="1">
      <c r="A1354" s="268"/>
      <c r="I1354"/>
      <c r="J1354" s="4"/>
      <c r="K1354" s="5" t="s">
        <v>1530</v>
      </c>
    </row>
    <row r="1355" spans="1:11" hidden="1">
      <c r="A1355" s="268"/>
      <c r="H1355" s="181" t="s">
        <v>411</v>
      </c>
      <c r="I1355"/>
      <c r="J1355" s="4"/>
      <c r="K1355" s="8" t="e">
        <f>SUM(K1349:K1353)</f>
        <v>#REF!</v>
      </c>
    </row>
    <row r="1356" spans="1:11" hidden="1">
      <c r="A1356" s="268"/>
      <c r="I1356"/>
      <c r="J1356" s="4"/>
      <c r="K1356" s="5" t="s">
        <v>1530</v>
      </c>
    </row>
    <row r="1357" spans="1:11" hidden="1">
      <c r="A1357" s="268"/>
      <c r="H1357" s="181" t="s">
        <v>521</v>
      </c>
      <c r="I1357"/>
      <c r="J1357" s="4"/>
      <c r="K1357" s="8" t="e">
        <f>(K1355/10)</f>
        <v>#REF!</v>
      </c>
    </row>
    <row r="1358" spans="1:11" hidden="1">
      <c r="A1358" s="268"/>
      <c r="I1358"/>
      <c r="J1358" s="4"/>
      <c r="K1358" s="5" t="s">
        <v>1980</v>
      </c>
    </row>
    <row r="1359" spans="1:11" hidden="1">
      <c r="A1359" s="268"/>
      <c r="I1359"/>
      <c r="J1359" s="4"/>
      <c r="K1359"/>
    </row>
    <row r="1360" spans="1:11" hidden="1">
      <c r="A1360" s="268"/>
      <c r="G1360" s="187" t="s">
        <v>2167</v>
      </c>
      <c r="H1360" s="181" t="s">
        <v>809</v>
      </c>
      <c r="I1360"/>
      <c r="J1360" s="4"/>
      <c r="K1360"/>
    </row>
    <row r="1361" spans="1:11" hidden="1">
      <c r="A1361" s="268"/>
      <c r="H1361" s="181" t="s">
        <v>810</v>
      </c>
      <c r="I1361"/>
      <c r="J1361" s="4"/>
      <c r="K1361"/>
    </row>
    <row r="1362" spans="1:11" hidden="1">
      <c r="A1362" s="268"/>
      <c r="H1362" s="181" t="s">
        <v>811</v>
      </c>
      <c r="I1362"/>
      <c r="J1362" s="4"/>
      <c r="K1362"/>
    </row>
    <row r="1363" spans="1:11" hidden="1">
      <c r="A1363" s="268"/>
      <c r="H1363" s="185" t="s">
        <v>1530</v>
      </c>
      <c r="I1363"/>
      <c r="J1363" s="4"/>
      <c r="K1363"/>
    </row>
    <row r="1364" spans="1:11" hidden="1">
      <c r="A1364" s="268"/>
      <c r="F1364" s="188">
        <v>0.14000000000000001</v>
      </c>
      <c r="G1364" s="187" t="s">
        <v>836</v>
      </c>
      <c r="H1364" s="181" t="s">
        <v>1301</v>
      </c>
      <c r="I1364" s="8" t="e">
        <f>(K32)</f>
        <v>#REF!</v>
      </c>
      <c r="J1364" s="2" t="s">
        <v>836</v>
      </c>
      <c r="K1364" s="8" t="e">
        <f>(F1364*I1364)</f>
        <v>#REF!</v>
      </c>
    </row>
    <row r="1365" spans="1:11" hidden="1">
      <c r="A1365" s="268"/>
      <c r="F1365" s="188">
        <v>1.1000000000000001</v>
      </c>
      <c r="G1365" s="187" t="s">
        <v>835</v>
      </c>
      <c r="H1365" s="181" t="s">
        <v>1938</v>
      </c>
      <c r="I1365" s="8">
        <f>(C10)</f>
        <v>150</v>
      </c>
      <c r="J1365" s="2" t="s">
        <v>835</v>
      </c>
      <c r="K1365" s="8">
        <f>(F1365*I1365)</f>
        <v>165</v>
      </c>
    </row>
    <row r="1366" spans="1:11" hidden="1">
      <c r="A1366" s="268"/>
      <c r="F1366" s="188">
        <v>0.5</v>
      </c>
      <c r="G1366" s="187" t="s">
        <v>835</v>
      </c>
      <c r="H1366" s="181" t="s">
        <v>1836</v>
      </c>
      <c r="I1366" s="8">
        <f>(C12)</f>
        <v>95</v>
      </c>
      <c r="J1366" s="2" t="s">
        <v>835</v>
      </c>
      <c r="K1366" s="8">
        <f>(F1366*I1366)</f>
        <v>47.5</v>
      </c>
    </row>
    <row r="1367" spans="1:11" hidden="1">
      <c r="A1367" s="268"/>
      <c r="F1367" s="188">
        <v>1.1000000000000001</v>
      </c>
      <c r="G1367" s="187" t="s">
        <v>835</v>
      </c>
      <c r="H1367" s="181" t="s">
        <v>299</v>
      </c>
      <c r="I1367" s="8">
        <f>(C13)</f>
        <v>85</v>
      </c>
      <c r="J1367" s="2" t="s">
        <v>835</v>
      </c>
      <c r="K1367" s="8">
        <f>(F1367*I1367)</f>
        <v>93.5</v>
      </c>
    </row>
    <row r="1368" spans="1:11" hidden="1">
      <c r="A1368" s="268"/>
      <c r="F1368" s="188">
        <v>2</v>
      </c>
      <c r="G1368" s="187" t="s">
        <v>1591</v>
      </c>
      <c r="H1368" s="181" t="s">
        <v>812</v>
      </c>
      <c r="I1368" s="8">
        <f>(C631)</f>
        <v>30</v>
      </c>
      <c r="J1368" s="2" t="s">
        <v>1591</v>
      </c>
      <c r="K1368" s="8">
        <f>(F1368*I1368)</f>
        <v>60</v>
      </c>
    </row>
    <row r="1369" spans="1:11" hidden="1">
      <c r="A1369" s="268"/>
      <c r="G1369" s="187" t="s">
        <v>419</v>
      </c>
      <c r="H1369" s="181" t="s">
        <v>420</v>
      </c>
      <c r="I1369" s="1" t="s">
        <v>940</v>
      </c>
      <c r="J1369" s="2" t="s">
        <v>419</v>
      </c>
      <c r="K1369" s="8">
        <v>0</v>
      </c>
    </row>
    <row r="1370" spans="1:11" hidden="1">
      <c r="A1370" s="268"/>
      <c r="I1370"/>
      <c r="J1370" s="4"/>
      <c r="K1370" s="5" t="s">
        <v>1530</v>
      </c>
    </row>
    <row r="1371" spans="1:11" hidden="1">
      <c r="A1371" s="268"/>
      <c r="F1371" s="181" t="s">
        <v>940</v>
      </c>
      <c r="H1371" s="181" t="s">
        <v>411</v>
      </c>
      <c r="I1371"/>
      <c r="J1371" s="4"/>
      <c r="K1371" s="8" t="e">
        <f>SUM(K1364:K1369)</f>
        <v>#REF!</v>
      </c>
    </row>
    <row r="1372" spans="1:11" hidden="1">
      <c r="A1372" s="268"/>
      <c r="I1372"/>
      <c r="J1372" s="4"/>
      <c r="K1372" s="5" t="s">
        <v>1530</v>
      </c>
    </row>
    <row r="1373" spans="1:11" hidden="1">
      <c r="A1373" s="268"/>
      <c r="H1373" s="181" t="s">
        <v>521</v>
      </c>
      <c r="I1373"/>
      <c r="J1373" s="4"/>
      <c r="K1373" s="8" t="e">
        <f>(K1371/10)</f>
        <v>#REF!</v>
      </c>
    </row>
    <row r="1374" spans="1:11" hidden="1">
      <c r="A1374" s="268"/>
      <c r="I1374"/>
      <c r="J1374" s="4"/>
      <c r="K1374" s="5" t="s">
        <v>1980</v>
      </c>
    </row>
    <row r="1375" spans="1:11" hidden="1">
      <c r="A1375" s="268"/>
      <c r="H1375" s="181" t="s">
        <v>940</v>
      </c>
      <c r="I1375"/>
      <c r="J1375" s="4"/>
      <c r="K1375"/>
    </row>
    <row r="1376" spans="1:11" hidden="1">
      <c r="A1376" s="268"/>
      <c r="I1376"/>
      <c r="J1376" s="4"/>
      <c r="K1376"/>
    </row>
    <row r="1377" spans="1:11" hidden="1">
      <c r="A1377" s="268"/>
      <c r="F1377" s="236" t="s">
        <v>813</v>
      </c>
      <c r="G1377" s="187" t="s">
        <v>2167</v>
      </c>
      <c r="H1377" s="181" t="s">
        <v>814</v>
      </c>
      <c r="I1377"/>
      <c r="J1377" s="4"/>
      <c r="K1377"/>
    </row>
    <row r="1378" spans="1:11" hidden="1">
      <c r="A1378" s="268"/>
      <c r="H1378" s="181" t="s">
        <v>1308</v>
      </c>
      <c r="I1378"/>
      <c r="J1378" s="4"/>
      <c r="K1378"/>
    </row>
    <row r="1379" spans="1:11" hidden="1">
      <c r="A1379" s="268"/>
      <c r="H1379" s="181" t="s">
        <v>1309</v>
      </c>
      <c r="I1379"/>
      <c r="J1379" s="4"/>
      <c r="K1379"/>
    </row>
    <row r="1380" spans="1:11" hidden="1">
      <c r="A1380" s="268"/>
      <c r="H1380" s="181" t="s">
        <v>665</v>
      </c>
      <c r="I1380"/>
      <c r="J1380" s="4"/>
      <c r="K1380"/>
    </row>
    <row r="1381" spans="1:11" hidden="1">
      <c r="A1381" s="268"/>
      <c r="H1381" s="185" t="s">
        <v>1530</v>
      </c>
      <c r="I1381" s="5" t="s">
        <v>1530</v>
      </c>
      <c r="J1381" s="4"/>
      <c r="K1381"/>
    </row>
    <row r="1382" spans="1:11" hidden="1">
      <c r="A1382" s="268"/>
      <c r="G1382" s="187" t="s">
        <v>1840</v>
      </c>
      <c r="H1382" s="181" t="s">
        <v>666</v>
      </c>
      <c r="I1382"/>
      <c r="J1382" s="4"/>
      <c r="K1382"/>
    </row>
    <row r="1383" spans="1:11" hidden="1">
      <c r="A1383" s="268"/>
      <c r="G1383" s="187" t="s">
        <v>1530</v>
      </c>
      <c r="H1383" s="185" t="s">
        <v>1530</v>
      </c>
      <c r="I1383"/>
      <c r="J1383" s="4"/>
      <c r="K1383"/>
    </row>
    <row r="1384" spans="1:11" hidden="1">
      <c r="A1384" s="268"/>
      <c r="F1384" s="256">
        <v>1.4E-2</v>
      </c>
      <c r="G1384" s="187" t="s">
        <v>2070</v>
      </c>
      <c r="H1384" s="181" t="s">
        <v>667</v>
      </c>
      <c r="I1384" s="8" t="e">
        <f>K49</f>
        <v>#REF!</v>
      </c>
      <c r="J1384" s="2" t="s">
        <v>2070</v>
      </c>
      <c r="K1384" s="8" t="e">
        <f>(F1384*I1384)</f>
        <v>#REF!</v>
      </c>
    </row>
    <row r="1385" spans="1:11" hidden="1">
      <c r="A1385" s="268"/>
      <c r="F1385" s="188">
        <v>0.3</v>
      </c>
      <c r="G1385" s="187" t="s">
        <v>529</v>
      </c>
      <c r="H1385" s="181" t="s">
        <v>668</v>
      </c>
      <c r="I1385" s="8">
        <f>C10</f>
        <v>150</v>
      </c>
      <c r="J1385" s="2" t="s">
        <v>529</v>
      </c>
      <c r="K1385" s="8">
        <f>(F1385*I1385)</f>
        <v>45</v>
      </c>
    </row>
    <row r="1386" spans="1:11" hidden="1">
      <c r="A1386" s="268"/>
      <c r="F1386" s="188">
        <v>0.3</v>
      </c>
      <c r="G1386" s="187" t="s">
        <v>529</v>
      </c>
      <c r="H1386" s="181" t="s">
        <v>792</v>
      </c>
      <c r="I1386" s="8">
        <f>C12</f>
        <v>95</v>
      </c>
      <c r="J1386" s="2" t="s">
        <v>529</v>
      </c>
      <c r="K1386" s="8">
        <f>(F1386*I1386)</f>
        <v>28.5</v>
      </c>
    </row>
    <row r="1387" spans="1:11" hidden="1">
      <c r="A1387" s="268"/>
      <c r="G1387" s="187" t="s">
        <v>419</v>
      </c>
      <c r="H1387" s="181" t="s">
        <v>2187</v>
      </c>
      <c r="I1387"/>
      <c r="J1387" s="2" t="s">
        <v>419</v>
      </c>
      <c r="K1387">
        <v>0</v>
      </c>
    </row>
    <row r="1388" spans="1:11" hidden="1">
      <c r="A1388" s="268"/>
      <c r="I1388"/>
      <c r="J1388" s="4"/>
      <c r="K1388" s="5" t="s">
        <v>1530</v>
      </c>
    </row>
    <row r="1389" spans="1:11" hidden="1">
      <c r="A1389" s="268"/>
      <c r="H1389" s="236" t="s">
        <v>669</v>
      </c>
      <c r="I1389"/>
      <c r="J1389" s="4"/>
      <c r="K1389" s="8" t="e">
        <f>SUM(K1384:K1387)</f>
        <v>#REF!</v>
      </c>
    </row>
    <row r="1390" spans="1:11" hidden="1">
      <c r="A1390" s="268"/>
      <c r="I1390"/>
      <c r="J1390" s="4"/>
      <c r="K1390" s="5" t="s">
        <v>1530</v>
      </c>
    </row>
    <row r="1391" spans="1:11" hidden="1">
      <c r="A1391" s="268"/>
      <c r="H1391" s="236" t="s">
        <v>670</v>
      </c>
      <c r="I1391"/>
      <c r="J1391" s="4"/>
      <c r="K1391" s="8" t="e">
        <f>K1389/6.77</f>
        <v>#REF!</v>
      </c>
    </row>
    <row r="1392" spans="1:11" hidden="1">
      <c r="A1392" s="268"/>
      <c r="F1392" s="181" t="s">
        <v>940</v>
      </c>
      <c r="I1392"/>
      <c r="J1392" s="4"/>
      <c r="K1392"/>
    </row>
    <row r="1393" spans="1:11" hidden="1">
      <c r="A1393" s="268"/>
      <c r="I1393"/>
      <c r="J1393" s="4"/>
      <c r="K1393" s="5" t="s">
        <v>1980</v>
      </c>
    </row>
    <row r="1394" spans="1:11" hidden="1">
      <c r="A1394" s="268"/>
      <c r="G1394" s="187" t="s">
        <v>486</v>
      </c>
      <c r="H1394" s="181" t="s">
        <v>671</v>
      </c>
      <c r="I1394"/>
      <c r="J1394" s="4"/>
      <c r="K1394"/>
    </row>
    <row r="1395" spans="1:11" hidden="1">
      <c r="A1395" s="268"/>
      <c r="G1395" s="187" t="s">
        <v>1530</v>
      </c>
      <c r="H1395" s="185" t="s">
        <v>1530</v>
      </c>
      <c r="I1395"/>
      <c r="J1395" s="4"/>
      <c r="K1395"/>
    </row>
    <row r="1396" spans="1:11" hidden="1">
      <c r="A1396" s="268"/>
      <c r="F1396" s="256">
        <v>7.0000000000000001E-3</v>
      </c>
      <c r="G1396" s="187" t="s">
        <v>2070</v>
      </c>
      <c r="H1396" s="181" t="s">
        <v>667</v>
      </c>
      <c r="I1396" s="8" t="e">
        <f>K49</f>
        <v>#REF!</v>
      </c>
      <c r="J1396" s="2" t="s">
        <v>2070</v>
      </c>
      <c r="K1396" s="8" t="e">
        <f>(F1396*I1396)</f>
        <v>#REF!</v>
      </c>
    </row>
    <row r="1397" spans="1:11" hidden="1">
      <c r="A1397" s="268"/>
      <c r="F1397" s="188">
        <v>0.2</v>
      </c>
      <c r="G1397" s="187" t="s">
        <v>529</v>
      </c>
      <c r="H1397" s="181" t="s">
        <v>668</v>
      </c>
      <c r="I1397" s="8">
        <f>C10</f>
        <v>150</v>
      </c>
      <c r="J1397" s="2" t="s">
        <v>529</v>
      </c>
      <c r="K1397" s="8">
        <f>(F1397*I1397)</f>
        <v>30</v>
      </c>
    </row>
    <row r="1398" spans="1:11" hidden="1">
      <c r="A1398" s="268"/>
      <c r="F1398" s="188">
        <v>0.2</v>
      </c>
      <c r="G1398" s="187" t="s">
        <v>529</v>
      </c>
      <c r="H1398" s="181" t="s">
        <v>792</v>
      </c>
      <c r="I1398" s="8">
        <f>C12</f>
        <v>95</v>
      </c>
      <c r="J1398" s="2" t="s">
        <v>529</v>
      </c>
      <c r="K1398" s="8">
        <f>(F1398*I1398)</f>
        <v>19</v>
      </c>
    </row>
    <row r="1399" spans="1:11" hidden="1">
      <c r="A1399" s="268"/>
      <c r="H1399" s="181" t="s">
        <v>2187</v>
      </c>
      <c r="I1399"/>
      <c r="J1399" s="4"/>
      <c r="K1399">
        <v>0</v>
      </c>
    </row>
    <row r="1400" spans="1:11" hidden="1">
      <c r="A1400" s="268"/>
      <c r="I1400"/>
      <c r="J1400" s="4"/>
      <c r="K1400" s="5" t="s">
        <v>1530</v>
      </c>
    </row>
    <row r="1401" spans="1:11" hidden="1">
      <c r="A1401" s="268"/>
      <c r="H1401" s="236" t="s">
        <v>669</v>
      </c>
      <c r="I1401"/>
      <c r="J1401" s="4"/>
      <c r="K1401" s="8" t="e">
        <f>SUM(K1396:K1399)</f>
        <v>#REF!</v>
      </c>
    </row>
    <row r="1402" spans="1:11" hidden="1">
      <c r="A1402" s="268"/>
      <c r="I1402"/>
      <c r="J1402" s="4"/>
      <c r="K1402" s="5" t="s">
        <v>1530</v>
      </c>
    </row>
    <row r="1403" spans="1:11" hidden="1">
      <c r="A1403" s="268"/>
      <c r="H1403" s="236" t="s">
        <v>670</v>
      </c>
      <c r="I1403"/>
      <c r="J1403" s="4"/>
      <c r="K1403" s="8" t="e">
        <f>K1401/6.77</f>
        <v>#REF!</v>
      </c>
    </row>
    <row r="1404" spans="1:11" hidden="1">
      <c r="A1404" s="268"/>
      <c r="I1404"/>
      <c r="J1404" s="4"/>
      <c r="K1404" s="5" t="s">
        <v>1980</v>
      </c>
    </row>
    <row r="1405" spans="1:11" hidden="1">
      <c r="A1405" s="268"/>
      <c r="I1405"/>
      <c r="J1405" s="4"/>
      <c r="K1405" s="5"/>
    </row>
    <row r="1406" spans="1:11" hidden="1">
      <c r="A1406" s="268"/>
      <c r="I1406"/>
      <c r="J1406" s="4"/>
      <c r="K1406" s="5"/>
    </row>
    <row r="1407" spans="1:11" hidden="1">
      <c r="A1407" s="268"/>
      <c r="G1407" s="187" t="s">
        <v>295</v>
      </c>
      <c r="H1407" s="181" t="s">
        <v>902</v>
      </c>
      <c r="I1407"/>
      <c r="J1407" s="4"/>
      <c r="K1407" s="5"/>
    </row>
    <row r="1408" spans="1:11" hidden="1">
      <c r="A1408" s="268"/>
      <c r="G1408" s="187" t="s">
        <v>1530</v>
      </c>
      <c r="H1408" s="185" t="s">
        <v>1530</v>
      </c>
      <c r="I1408"/>
      <c r="J1408" s="4"/>
      <c r="K1408" s="5"/>
    </row>
    <row r="1409" spans="1:11" hidden="1">
      <c r="A1409" s="268"/>
      <c r="F1409" s="256">
        <v>4.7000000000000002E-3</v>
      </c>
      <c r="G1409" s="187" t="s">
        <v>2070</v>
      </c>
      <c r="H1409" s="181" t="s">
        <v>667</v>
      </c>
      <c r="I1409" t="e">
        <f>K49</f>
        <v>#REF!</v>
      </c>
      <c r="J1409" s="2" t="s">
        <v>2070</v>
      </c>
      <c r="K1409" s="8" t="e">
        <f>(F1409*I1409)</f>
        <v>#REF!</v>
      </c>
    </row>
    <row r="1410" spans="1:11" hidden="1">
      <c r="A1410" s="268"/>
      <c r="F1410" s="188">
        <v>0.15</v>
      </c>
      <c r="G1410" s="187" t="s">
        <v>529</v>
      </c>
      <c r="H1410" s="181" t="s">
        <v>668</v>
      </c>
      <c r="I1410">
        <f>C10</f>
        <v>150</v>
      </c>
      <c r="J1410" s="2" t="s">
        <v>529</v>
      </c>
      <c r="K1410" s="8">
        <f>(F1410*I1410)</f>
        <v>22.5</v>
      </c>
    </row>
    <row r="1411" spans="1:11" hidden="1">
      <c r="A1411" s="268"/>
      <c r="F1411" s="188">
        <v>0.15</v>
      </c>
      <c r="G1411" s="187" t="s">
        <v>529</v>
      </c>
      <c r="H1411" s="181" t="s">
        <v>792</v>
      </c>
      <c r="I1411">
        <f>C12</f>
        <v>95</v>
      </c>
      <c r="J1411" s="2" t="s">
        <v>529</v>
      </c>
      <c r="K1411" s="8">
        <f>(F1411*I1411)</f>
        <v>14.25</v>
      </c>
    </row>
    <row r="1412" spans="1:11" hidden="1">
      <c r="A1412" s="268"/>
      <c r="H1412" s="181" t="s">
        <v>2187</v>
      </c>
      <c r="I1412"/>
      <c r="J1412" s="4"/>
      <c r="K1412">
        <v>0</v>
      </c>
    </row>
    <row r="1413" spans="1:11" hidden="1">
      <c r="A1413" s="268"/>
      <c r="I1413"/>
      <c r="J1413" s="4"/>
      <c r="K1413" s="5" t="s">
        <v>1530</v>
      </c>
    </row>
    <row r="1414" spans="1:11" hidden="1">
      <c r="A1414" s="268"/>
      <c r="H1414" s="236" t="s">
        <v>669</v>
      </c>
      <c r="I1414"/>
      <c r="J1414" s="4"/>
      <c r="K1414" s="8" t="e">
        <f>SUM(K1409:K1412)</f>
        <v>#REF!</v>
      </c>
    </row>
    <row r="1415" spans="1:11" hidden="1">
      <c r="A1415" s="268"/>
      <c r="I1415"/>
      <c r="J1415" s="4"/>
      <c r="K1415" s="5" t="s">
        <v>1530</v>
      </c>
    </row>
    <row r="1416" spans="1:11" hidden="1">
      <c r="A1416" s="268"/>
      <c r="H1416" s="236" t="s">
        <v>670</v>
      </c>
      <c r="I1416"/>
      <c r="J1416" s="4"/>
      <c r="K1416" s="8" t="e">
        <f>K1414/6.77</f>
        <v>#REF!</v>
      </c>
    </row>
    <row r="1417" spans="1:11" hidden="1">
      <c r="A1417" s="268"/>
      <c r="I1417"/>
      <c r="J1417" s="4"/>
      <c r="K1417" s="5" t="s">
        <v>1980</v>
      </c>
    </row>
    <row r="1418" spans="1:11" hidden="1">
      <c r="A1418" s="268"/>
      <c r="I1418"/>
      <c r="J1418" s="4"/>
      <c r="K1418" s="5"/>
    </row>
    <row r="1419" spans="1:11" hidden="1">
      <c r="A1419" s="268"/>
      <c r="F1419" s="246">
        <v>37.1</v>
      </c>
      <c r="G1419" s="187" t="s">
        <v>2167</v>
      </c>
      <c r="H1419" s="181" t="s">
        <v>366</v>
      </c>
      <c r="I1419"/>
      <c r="J1419" s="4"/>
      <c r="K1419"/>
    </row>
    <row r="1420" spans="1:11" hidden="1">
      <c r="A1420" s="268"/>
      <c r="H1420" s="185" t="s">
        <v>1530</v>
      </c>
      <c r="I1420"/>
      <c r="J1420" s="4"/>
      <c r="K1420"/>
    </row>
    <row r="1421" spans="1:11" hidden="1">
      <c r="A1421" s="268"/>
      <c r="F1421" s="188">
        <v>0.09</v>
      </c>
      <c r="G1421" s="187" t="s">
        <v>836</v>
      </c>
      <c r="H1421" s="181" t="s">
        <v>1933</v>
      </c>
      <c r="I1421" s="8">
        <f>(C84)</f>
        <v>773</v>
      </c>
      <c r="J1421" s="2" t="s">
        <v>836</v>
      </c>
      <c r="K1421" s="8">
        <f>(F1421*I1421)</f>
        <v>69.569999999999993</v>
      </c>
    </row>
    <row r="1422" spans="1:11" hidden="1">
      <c r="A1422" s="268"/>
      <c r="F1422" s="188">
        <v>2.2000000000000002</v>
      </c>
      <c r="G1422" s="187" t="s">
        <v>835</v>
      </c>
      <c r="H1422" s="181" t="s">
        <v>1654</v>
      </c>
      <c r="I1422" s="8">
        <f>(C11)</f>
        <v>135</v>
      </c>
      <c r="J1422" s="2" t="s">
        <v>835</v>
      </c>
      <c r="K1422" s="8">
        <f>(F1422*I1422)</f>
        <v>297</v>
      </c>
    </row>
    <row r="1423" spans="1:11" hidden="1">
      <c r="A1423" s="268"/>
      <c r="F1423" s="188">
        <v>0.5</v>
      </c>
      <c r="G1423" s="187" t="s">
        <v>835</v>
      </c>
      <c r="H1423" s="181" t="s">
        <v>1836</v>
      </c>
      <c r="I1423" s="8">
        <f>(C12)</f>
        <v>95</v>
      </c>
      <c r="J1423" s="2" t="s">
        <v>835</v>
      </c>
      <c r="K1423" s="8">
        <f>(F1423*I1423)</f>
        <v>47.5</v>
      </c>
    </row>
    <row r="1424" spans="1:11" hidden="1">
      <c r="A1424" s="268"/>
      <c r="F1424" s="188">
        <v>3.8</v>
      </c>
      <c r="G1424" s="187" t="s">
        <v>835</v>
      </c>
      <c r="H1424" s="181" t="s">
        <v>299</v>
      </c>
      <c r="I1424" s="8">
        <f>(C13)</f>
        <v>85</v>
      </c>
      <c r="J1424" s="2" t="s">
        <v>835</v>
      </c>
      <c r="K1424" s="8">
        <f>(F1424*I1424)</f>
        <v>323</v>
      </c>
    </row>
    <row r="1425" spans="1:11" hidden="1">
      <c r="A1425" s="268"/>
      <c r="G1425" s="187" t="s">
        <v>419</v>
      </c>
      <c r="H1425" s="181" t="s">
        <v>470</v>
      </c>
      <c r="I1425" s="1" t="s">
        <v>940</v>
      </c>
      <c r="J1425" s="2" t="s">
        <v>419</v>
      </c>
      <c r="K1425" s="8">
        <v>1.5</v>
      </c>
    </row>
    <row r="1426" spans="1:11" hidden="1">
      <c r="A1426" s="268"/>
      <c r="I1426"/>
      <c r="J1426" s="4"/>
      <c r="K1426" s="5" t="s">
        <v>1530</v>
      </c>
    </row>
    <row r="1427" spans="1:11" hidden="1">
      <c r="A1427" s="268"/>
      <c r="H1427" s="181" t="s">
        <v>1773</v>
      </c>
      <c r="I1427"/>
      <c r="J1427" s="4"/>
      <c r="K1427" s="8">
        <f>SUM(K1420:K1425)</f>
        <v>738.57</v>
      </c>
    </row>
    <row r="1428" spans="1:11" hidden="1">
      <c r="A1428" s="268"/>
      <c r="I1428"/>
      <c r="J1428" s="4"/>
      <c r="K1428" s="5" t="s">
        <v>1530</v>
      </c>
    </row>
    <row r="1429" spans="1:11" hidden="1">
      <c r="A1429" s="268"/>
      <c r="H1429" s="181" t="s">
        <v>521</v>
      </c>
      <c r="I1429"/>
      <c r="J1429" s="4"/>
      <c r="K1429" s="8">
        <f>(K1427/100)</f>
        <v>7.39</v>
      </c>
    </row>
    <row r="1430" spans="1:11" hidden="1">
      <c r="A1430" s="268"/>
      <c r="I1430"/>
      <c r="J1430" s="4"/>
      <c r="K1430" s="5" t="s">
        <v>1980</v>
      </c>
    </row>
    <row r="1431" spans="1:11" hidden="1">
      <c r="A1431" s="268"/>
      <c r="F1431" s="236" t="s">
        <v>815</v>
      </c>
      <c r="G1431" s="187" t="s">
        <v>2167</v>
      </c>
      <c r="H1431" s="181" t="s">
        <v>964</v>
      </c>
      <c r="I1431"/>
      <c r="J1431" s="4"/>
      <c r="K1431"/>
    </row>
    <row r="1432" spans="1:11" hidden="1">
      <c r="A1432" s="268"/>
      <c r="H1432" s="181" t="s">
        <v>965</v>
      </c>
      <c r="I1432"/>
      <c r="J1432" s="4"/>
      <c r="K1432"/>
    </row>
    <row r="1433" spans="1:11" hidden="1">
      <c r="A1433" s="268"/>
      <c r="H1433" s="181" t="s">
        <v>966</v>
      </c>
      <c r="I1433"/>
      <c r="J1433" s="4"/>
      <c r="K1433"/>
    </row>
    <row r="1434" spans="1:11" hidden="1">
      <c r="A1434" s="268"/>
      <c r="H1434" s="181" t="s">
        <v>29</v>
      </c>
      <c r="I1434"/>
      <c r="J1434" s="4"/>
      <c r="K1434"/>
    </row>
    <row r="1435" spans="1:11" hidden="1">
      <c r="A1435" s="268"/>
      <c r="H1435" s="185" t="s">
        <v>1530</v>
      </c>
      <c r="I1435"/>
      <c r="J1435" s="4"/>
      <c r="K1435"/>
    </row>
    <row r="1436" spans="1:11" hidden="1">
      <c r="A1436" s="268"/>
      <c r="F1436" s="188">
        <v>4.8</v>
      </c>
      <c r="G1436" s="187" t="s">
        <v>1591</v>
      </c>
      <c r="H1436" s="181" t="s">
        <v>410</v>
      </c>
      <c r="I1436" s="8">
        <f>(C270)</f>
        <v>35</v>
      </c>
      <c r="J1436" s="2" t="s">
        <v>1591</v>
      </c>
      <c r="K1436" s="8">
        <f>(F1436*I1436)</f>
        <v>168</v>
      </c>
    </row>
    <row r="1437" spans="1:11" hidden="1">
      <c r="A1437" s="268"/>
      <c r="F1437" s="188">
        <v>0.75</v>
      </c>
      <c r="G1437" s="187" t="s">
        <v>835</v>
      </c>
      <c r="H1437" s="181" t="s">
        <v>30</v>
      </c>
      <c r="I1437" s="8">
        <f>(C14)</f>
        <v>120</v>
      </c>
      <c r="J1437" s="2" t="s">
        <v>835</v>
      </c>
      <c r="K1437" s="8">
        <f>(F1437*I1437)</f>
        <v>90</v>
      </c>
    </row>
    <row r="1438" spans="1:11" hidden="1">
      <c r="A1438" s="268"/>
      <c r="F1438" s="188">
        <v>0.75</v>
      </c>
      <c r="G1438" s="187" t="s">
        <v>835</v>
      </c>
      <c r="H1438" s="181" t="s">
        <v>897</v>
      </c>
      <c r="I1438" s="8">
        <f>(C12)</f>
        <v>95</v>
      </c>
      <c r="J1438" s="2" t="s">
        <v>835</v>
      </c>
      <c r="K1438" s="8">
        <f>(F1438*I1438)</f>
        <v>71.25</v>
      </c>
    </row>
    <row r="1439" spans="1:11" hidden="1">
      <c r="A1439" s="268"/>
      <c r="F1439" s="188">
        <v>1.2</v>
      </c>
      <c r="G1439" s="187" t="s">
        <v>835</v>
      </c>
      <c r="H1439" s="181" t="s">
        <v>299</v>
      </c>
      <c r="I1439" s="8">
        <f>(C13)</f>
        <v>85</v>
      </c>
      <c r="J1439" s="2" t="s">
        <v>835</v>
      </c>
      <c r="K1439" s="8">
        <f>(F1439*I1439)</f>
        <v>102</v>
      </c>
    </row>
    <row r="1440" spans="1:11" hidden="1">
      <c r="A1440" s="268"/>
      <c r="G1440" s="187" t="s">
        <v>419</v>
      </c>
      <c r="H1440" s="181" t="s">
        <v>1771</v>
      </c>
      <c r="I1440" s="1" t="s">
        <v>940</v>
      </c>
      <c r="J1440" s="2" t="s">
        <v>419</v>
      </c>
      <c r="K1440" s="8">
        <v>1.45</v>
      </c>
    </row>
    <row r="1441" spans="1:11" hidden="1">
      <c r="A1441" s="268"/>
      <c r="I1441"/>
      <c r="J1441" s="4"/>
      <c r="K1441" s="5" t="s">
        <v>1530</v>
      </c>
    </row>
    <row r="1442" spans="1:11" hidden="1">
      <c r="A1442" s="268"/>
      <c r="H1442" s="181" t="s">
        <v>411</v>
      </c>
      <c r="I1442"/>
      <c r="J1442" s="4"/>
      <c r="K1442" s="8">
        <f>SUM(K1436:K1440)</f>
        <v>432.7</v>
      </c>
    </row>
    <row r="1443" spans="1:11" hidden="1">
      <c r="A1443" s="268"/>
      <c r="I1443"/>
      <c r="J1443" s="4"/>
      <c r="K1443" s="5" t="s">
        <v>1530</v>
      </c>
    </row>
    <row r="1444" spans="1:11" hidden="1">
      <c r="A1444" s="268"/>
      <c r="H1444" s="181" t="s">
        <v>521</v>
      </c>
      <c r="I1444"/>
      <c r="J1444" s="4"/>
      <c r="K1444" s="8">
        <f>(K1442/10)</f>
        <v>43.27</v>
      </c>
    </row>
    <row r="1445" spans="1:11" hidden="1">
      <c r="A1445" s="268"/>
      <c r="I1445"/>
      <c r="J1445" s="4"/>
      <c r="K1445" s="5" t="s">
        <v>1980</v>
      </c>
    </row>
    <row r="1446" spans="1:11" hidden="1">
      <c r="A1446" s="268"/>
      <c r="F1446" s="236" t="s">
        <v>31</v>
      </c>
      <c r="G1446" s="187" t="s">
        <v>2167</v>
      </c>
      <c r="H1446" s="236" t="s">
        <v>32</v>
      </c>
      <c r="I1446"/>
      <c r="J1446" s="4"/>
      <c r="K1446"/>
    </row>
    <row r="1447" spans="1:11" hidden="1">
      <c r="A1447" s="268"/>
      <c r="H1447" s="236" t="s">
        <v>33</v>
      </c>
      <c r="I1447"/>
      <c r="J1447" s="4"/>
      <c r="K1447"/>
    </row>
    <row r="1448" spans="1:11" hidden="1">
      <c r="A1448" s="268"/>
      <c r="F1448" s="188">
        <v>3.08</v>
      </c>
      <c r="G1448" s="187" t="s">
        <v>1315</v>
      </c>
      <c r="H1448" s="181" t="s">
        <v>32</v>
      </c>
      <c r="I1448" s="8">
        <v>120</v>
      </c>
      <c r="J1448" s="2" t="s">
        <v>1315</v>
      </c>
      <c r="K1448" s="8">
        <f>(F1448*I1448)</f>
        <v>369.6</v>
      </c>
    </row>
    <row r="1449" spans="1:11" hidden="1">
      <c r="A1449" s="268"/>
      <c r="F1449" s="188">
        <v>0.5</v>
      </c>
      <c r="G1449" s="187" t="s">
        <v>529</v>
      </c>
      <c r="H1449" s="181" t="s">
        <v>1316</v>
      </c>
      <c r="I1449" s="8">
        <f>C14</f>
        <v>120</v>
      </c>
      <c r="J1449" s="2" t="s">
        <v>529</v>
      </c>
      <c r="K1449" s="8">
        <f>(F1449*I1449)</f>
        <v>60</v>
      </c>
    </row>
    <row r="1450" spans="1:11" hidden="1">
      <c r="A1450" s="268"/>
      <c r="F1450" s="188">
        <v>0.5</v>
      </c>
      <c r="G1450" s="187" t="s">
        <v>529</v>
      </c>
      <c r="H1450" s="181" t="s">
        <v>792</v>
      </c>
      <c r="I1450" s="8">
        <f>C12</f>
        <v>95</v>
      </c>
      <c r="J1450" s="2" t="s">
        <v>529</v>
      </c>
      <c r="K1450" s="8">
        <f>(F1450*I1450)</f>
        <v>47.5</v>
      </c>
    </row>
    <row r="1451" spans="1:11" hidden="1">
      <c r="A1451" s="268"/>
      <c r="F1451" s="188">
        <v>0.8</v>
      </c>
      <c r="G1451" s="187" t="s">
        <v>529</v>
      </c>
      <c r="H1451" s="181" t="s">
        <v>1317</v>
      </c>
      <c r="I1451" s="8">
        <f>C13</f>
        <v>85</v>
      </c>
      <c r="J1451" s="2" t="s">
        <v>529</v>
      </c>
      <c r="K1451" s="8">
        <f>(F1451*I1451)</f>
        <v>68</v>
      </c>
    </row>
    <row r="1452" spans="1:11" hidden="1">
      <c r="A1452" s="268"/>
      <c r="G1452" s="187" t="s">
        <v>419</v>
      </c>
      <c r="H1452" s="181" t="s">
        <v>1771</v>
      </c>
      <c r="I1452"/>
      <c r="J1452" s="2" t="s">
        <v>419</v>
      </c>
      <c r="K1452" s="8">
        <v>1.5</v>
      </c>
    </row>
    <row r="1453" spans="1:11" hidden="1">
      <c r="A1453" s="268"/>
      <c r="I1453"/>
      <c r="J1453" s="4"/>
      <c r="K1453"/>
    </row>
    <row r="1454" spans="1:11" hidden="1">
      <c r="A1454" s="268"/>
      <c r="I1454"/>
      <c r="J1454" s="4"/>
      <c r="K1454" s="5" t="s">
        <v>1530</v>
      </c>
    </row>
    <row r="1455" spans="1:11" hidden="1">
      <c r="A1455" s="268"/>
      <c r="H1455" s="236" t="s">
        <v>1318</v>
      </c>
      <c r="I1455"/>
      <c r="J1455" s="4"/>
      <c r="K1455" s="8">
        <f>SUM(K1448:K1452)</f>
        <v>546.6</v>
      </c>
    </row>
    <row r="1456" spans="1:11" hidden="1">
      <c r="A1456" s="268"/>
      <c r="I1456"/>
      <c r="J1456" s="4"/>
      <c r="K1456" s="5" t="s">
        <v>1530</v>
      </c>
    </row>
    <row r="1457" spans="1:11" hidden="1">
      <c r="A1457" s="268"/>
      <c r="F1457" s="181" t="s">
        <v>940</v>
      </c>
      <c r="G1457" s="187" t="s">
        <v>940</v>
      </c>
      <c r="H1457" s="236" t="s">
        <v>1641</v>
      </c>
      <c r="I1457" s="1" t="s">
        <v>940</v>
      </c>
      <c r="J1457" s="2" t="s">
        <v>940</v>
      </c>
      <c r="K1457" s="8">
        <f>K1455/10</f>
        <v>54.66</v>
      </c>
    </row>
    <row r="1458" spans="1:11" hidden="1">
      <c r="A1458" s="268"/>
      <c r="I1458"/>
      <c r="J1458" s="4"/>
      <c r="K1458" s="5" t="s">
        <v>1980</v>
      </c>
    </row>
    <row r="1459" spans="1:11" hidden="1">
      <c r="A1459" s="268"/>
      <c r="F1459" s="236" t="s">
        <v>1319</v>
      </c>
      <c r="G1459" s="187" t="s">
        <v>2167</v>
      </c>
      <c r="H1459" s="181" t="s">
        <v>1320</v>
      </c>
      <c r="I1459"/>
      <c r="J1459" s="4"/>
      <c r="K1459"/>
    </row>
    <row r="1460" spans="1:11" hidden="1">
      <c r="A1460" s="268"/>
      <c r="H1460" s="181" t="s">
        <v>1321</v>
      </c>
      <c r="I1460"/>
      <c r="J1460" s="4"/>
      <c r="K1460"/>
    </row>
    <row r="1461" spans="1:11" hidden="1">
      <c r="A1461" s="268"/>
      <c r="H1461" s="181" t="s">
        <v>1191</v>
      </c>
      <c r="I1461"/>
      <c r="J1461" s="4"/>
      <c r="K1461"/>
    </row>
    <row r="1462" spans="1:11" hidden="1">
      <c r="A1462" s="268"/>
      <c r="H1462" s="185" t="s">
        <v>1530</v>
      </c>
      <c r="I1462"/>
      <c r="J1462" s="4"/>
      <c r="K1462"/>
    </row>
    <row r="1463" spans="1:11" hidden="1">
      <c r="A1463" s="268"/>
      <c r="F1463" s="188">
        <v>1.44</v>
      </c>
      <c r="G1463" s="187" t="s">
        <v>1192</v>
      </c>
      <c r="H1463" s="181" t="s">
        <v>1139</v>
      </c>
      <c r="I1463" s="8">
        <f>(C195)</f>
        <v>100</v>
      </c>
      <c r="J1463" s="2" t="s">
        <v>1192</v>
      </c>
      <c r="K1463" s="8">
        <f>(F1463*I1463)</f>
        <v>144</v>
      </c>
    </row>
    <row r="1464" spans="1:11" hidden="1">
      <c r="A1464" s="268"/>
      <c r="F1464" s="188">
        <v>0.7</v>
      </c>
      <c r="G1464" s="187" t="s">
        <v>739</v>
      </c>
      <c r="H1464" s="181" t="s">
        <v>1140</v>
      </c>
      <c r="I1464" s="8">
        <f>(C14)</f>
        <v>120</v>
      </c>
      <c r="J1464" s="2" t="s">
        <v>739</v>
      </c>
      <c r="K1464" s="8">
        <f>(F1464*I1464)</f>
        <v>84</v>
      </c>
    </row>
    <row r="1465" spans="1:11" hidden="1">
      <c r="A1465" s="268"/>
      <c r="F1465" s="188">
        <v>2.5499999999999998</v>
      </c>
      <c r="G1465" s="187" t="s">
        <v>1192</v>
      </c>
      <c r="H1465" s="181" t="s">
        <v>1141</v>
      </c>
      <c r="I1465" s="8">
        <f>(C194)</f>
        <v>160</v>
      </c>
      <c r="J1465" s="2" t="s">
        <v>1192</v>
      </c>
      <c r="K1465" s="8">
        <f>(F1465*I1465)</f>
        <v>408</v>
      </c>
    </row>
    <row r="1466" spans="1:11" hidden="1">
      <c r="A1466" s="268"/>
      <c r="F1466" s="188">
        <v>1.2</v>
      </c>
      <c r="G1466" s="187" t="s">
        <v>739</v>
      </c>
      <c r="H1466" s="181" t="s">
        <v>1140</v>
      </c>
      <c r="I1466" s="8">
        <f>(C14)</f>
        <v>120</v>
      </c>
      <c r="J1466" s="2" t="s">
        <v>739</v>
      </c>
      <c r="K1466" s="8">
        <f>(F1466*I1466)</f>
        <v>144</v>
      </c>
    </row>
    <row r="1467" spans="1:11" hidden="1">
      <c r="A1467" s="268"/>
      <c r="G1467" s="187" t="s">
        <v>419</v>
      </c>
      <c r="H1467" s="181" t="s">
        <v>1142</v>
      </c>
      <c r="I1467" s="1" t="s">
        <v>940</v>
      </c>
      <c r="J1467" s="2" t="s">
        <v>419</v>
      </c>
      <c r="K1467" s="8">
        <v>1.5</v>
      </c>
    </row>
    <row r="1468" spans="1:11" hidden="1">
      <c r="A1468" s="268"/>
      <c r="I1468"/>
      <c r="J1468" s="4"/>
      <c r="K1468" s="5" t="s">
        <v>1530</v>
      </c>
    </row>
    <row r="1469" spans="1:11" hidden="1">
      <c r="A1469" s="268"/>
      <c r="H1469" s="181" t="s">
        <v>411</v>
      </c>
      <c r="I1469"/>
      <c r="J1469" s="4"/>
      <c r="K1469" s="8">
        <f>SUM(K1463:K1467)</f>
        <v>781.5</v>
      </c>
    </row>
    <row r="1470" spans="1:11" hidden="1">
      <c r="A1470" s="268"/>
      <c r="I1470"/>
      <c r="J1470" s="4"/>
      <c r="K1470" s="5" t="s">
        <v>1530</v>
      </c>
    </row>
    <row r="1471" spans="1:11" hidden="1">
      <c r="A1471" s="268"/>
      <c r="H1471" s="181" t="s">
        <v>521</v>
      </c>
      <c r="I1471"/>
      <c r="J1471" s="4"/>
      <c r="K1471" s="8">
        <f>(K1469/10)</f>
        <v>78.150000000000006</v>
      </c>
    </row>
    <row r="1472" spans="1:11" hidden="1">
      <c r="A1472" s="268"/>
      <c r="F1472" s="181" t="s">
        <v>940</v>
      </c>
      <c r="I1472"/>
      <c r="J1472" s="4"/>
      <c r="K1472"/>
    </row>
    <row r="1473" spans="1:11" hidden="1">
      <c r="A1473" s="268"/>
      <c r="I1473"/>
      <c r="J1473" s="4"/>
      <c r="K1473" s="5" t="s">
        <v>1980</v>
      </c>
    </row>
    <row r="1474" spans="1:11" hidden="1">
      <c r="A1474" s="268"/>
      <c r="F1474" s="242">
        <v>41</v>
      </c>
      <c r="G1474" s="187" t="s">
        <v>2167</v>
      </c>
      <c r="H1474" s="181" t="s">
        <v>1320</v>
      </c>
      <c r="I1474"/>
      <c r="J1474" s="4"/>
      <c r="K1474"/>
    </row>
    <row r="1475" spans="1:11" hidden="1">
      <c r="A1475" s="268"/>
      <c r="H1475" s="181" t="s">
        <v>1014</v>
      </c>
      <c r="I1475"/>
      <c r="J1475" s="4"/>
      <c r="K1475"/>
    </row>
    <row r="1476" spans="1:11" hidden="1">
      <c r="A1476" s="268"/>
      <c r="H1476" s="181" t="s">
        <v>1191</v>
      </c>
      <c r="I1476"/>
      <c r="J1476" s="4"/>
      <c r="K1476"/>
    </row>
    <row r="1477" spans="1:11" hidden="1">
      <c r="A1477" s="268"/>
      <c r="H1477" s="185" t="s">
        <v>1530</v>
      </c>
      <c r="I1477"/>
      <c r="J1477" s="4"/>
      <c r="K1477"/>
    </row>
    <row r="1478" spans="1:11" hidden="1">
      <c r="A1478" s="268"/>
      <c r="F1478" s="188">
        <v>2.2200000000000002</v>
      </c>
      <c r="G1478" s="187" t="s">
        <v>1192</v>
      </c>
      <c r="H1478" s="181" t="s">
        <v>1141</v>
      </c>
      <c r="I1478" s="8">
        <f>(C206)</f>
        <v>150</v>
      </c>
      <c r="J1478" s="2" t="s">
        <v>1192</v>
      </c>
      <c r="K1478" s="8">
        <f>(F1478*I1478)</f>
        <v>333</v>
      </c>
    </row>
    <row r="1479" spans="1:11" hidden="1">
      <c r="A1479" s="268"/>
      <c r="F1479" s="188">
        <v>1.1000000000000001</v>
      </c>
      <c r="G1479" s="187" t="s">
        <v>739</v>
      </c>
      <c r="H1479" s="181" t="s">
        <v>1140</v>
      </c>
      <c r="I1479" s="8">
        <f>(C14)</f>
        <v>120</v>
      </c>
      <c r="J1479" s="2" t="s">
        <v>739</v>
      </c>
      <c r="K1479" s="8">
        <f>(F1479*I1479)</f>
        <v>132</v>
      </c>
    </row>
    <row r="1480" spans="1:11" hidden="1">
      <c r="A1480" s="268"/>
      <c r="G1480" s="187" t="s">
        <v>419</v>
      </c>
      <c r="H1480" s="181" t="s">
        <v>1142</v>
      </c>
      <c r="I1480" s="1" t="s">
        <v>940</v>
      </c>
      <c r="J1480" s="2" t="s">
        <v>419</v>
      </c>
      <c r="K1480" s="8">
        <v>1.5</v>
      </c>
    </row>
    <row r="1481" spans="1:11" hidden="1">
      <c r="A1481" s="268"/>
      <c r="I1481"/>
      <c r="J1481" s="4"/>
      <c r="K1481" s="5" t="s">
        <v>1530</v>
      </c>
    </row>
    <row r="1482" spans="1:11" hidden="1">
      <c r="A1482" s="268"/>
      <c r="H1482" s="181" t="s">
        <v>411</v>
      </c>
      <c r="I1482"/>
      <c r="J1482" s="4"/>
      <c r="K1482" s="8">
        <f>SUM(K1478:K1480)</f>
        <v>466.5</v>
      </c>
    </row>
    <row r="1483" spans="1:11" hidden="1">
      <c r="A1483" s="268"/>
      <c r="I1483"/>
      <c r="J1483" s="4"/>
      <c r="K1483" s="5" t="s">
        <v>1530</v>
      </c>
    </row>
    <row r="1484" spans="1:11" hidden="1">
      <c r="A1484" s="268"/>
      <c r="H1484" s="181" t="s">
        <v>521</v>
      </c>
      <c r="I1484"/>
      <c r="J1484" s="4"/>
      <c r="K1484" s="8">
        <f>(K1482/10)</f>
        <v>46.65</v>
      </c>
    </row>
    <row r="1485" spans="1:11" hidden="1">
      <c r="A1485" s="268"/>
      <c r="H1485" s="181"/>
      <c r="I1485"/>
      <c r="J1485" s="4"/>
      <c r="K1485" s="8"/>
    </row>
    <row r="1486" spans="1:11" hidden="1">
      <c r="A1486" s="268"/>
      <c r="H1486" s="181"/>
      <c r="I1486"/>
      <c r="J1486" s="4"/>
      <c r="K1486" s="8"/>
    </row>
    <row r="1487" spans="1:11" hidden="1">
      <c r="A1487" s="268"/>
      <c r="F1487" s="242">
        <v>238</v>
      </c>
      <c r="G1487" s="187" t="s">
        <v>2167</v>
      </c>
      <c r="H1487" s="181" t="s">
        <v>555</v>
      </c>
      <c r="I1487"/>
      <c r="J1487" s="4"/>
      <c r="K1487"/>
    </row>
    <row r="1488" spans="1:11" hidden="1">
      <c r="A1488" s="268"/>
      <c r="H1488" s="181" t="s">
        <v>3061</v>
      </c>
      <c r="I1488"/>
      <c r="J1488" s="4"/>
      <c r="K1488"/>
    </row>
    <row r="1489" spans="1:11" hidden="1">
      <c r="A1489" s="268"/>
      <c r="H1489" s="185" t="s">
        <v>1530</v>
      </c>
      <c r="I1489"/>
      <c r="J1489" s="4"/>
      <c r="K1489"/>
    </row>
    <row r="1490" spans="1:11" hidden="1">
      <c r="A1490" s="268"/>
      <c r="F1490" s="188">
        <v>20</v>
      </c>
      <c r="G1490" s="187" t="s">
        <v>1192</v>
      </c>
      <c r="H1490" s="181" t="s">
        <v>556</v>
      </c>
      <c r="I1490" s="8">
        <f>D40</f>
        <v>105.45</v>
      </c>
      <c r="J1490" s="2" t="s">
        <v>1192</v>
      </c>
      <c r="K1490" s="8">
        <f>(F1490*I1490)</f>
        <v>2109</v>
      </c>
    </row>
    <row r="1491" spans="1:11" hidden="1">
      <c r="A1491" s="268"/>
      <c r="H1491" s="181" t="s">
        <v>557</v>
      </c>
      <c r="I1491"/>
      <c r="J1491" s="4"/>
      <c r="K1491" s="1" t="s">
        <v>940</v>
      </c>
    </row>
    <row r="1492" spans="1:11" hidden="1">
      <c r="A1492" s="268"/>
      <c r="F1492" s="188">
        <v>50</v>
      </c>
      <c r="G1492" s="187" t="s">
        <v>1591</v>
      </c>
      <c r="H1492" s="181" t="s">
        <v>829</v>
      </c>
      <c r="I1492" s="8">
        <f>C67/1000</f>
        <v>3.8</v>
      </c>
      <c r="J1492" s="2" t="s">
        <v>1591</v>
      </c>
      <c r="K1492" s="8">
        <f>(F1492*I1492)</f>
        <v>190</v>
      </c>
    </row>
    <row r="1493" spans="1:11" hidden="1">
      <c r="A1493" s="268"/>
      <c r="F1493" s="188">
        <v>1</v>
      </c>
      <c r="G1493" s="187" t="s">
        <v>419</v>
      </c>
      <c r="H1493" s="181" t="s">
        <v>558</v>
      </c>
      <c r="I1493" s="8">
        <v>75</v>
      </c>
      <c r="J1493" s="2" t="s">
        <v>419</v>
      </c>
      <c r="K1493" s="8">
        <f>(F1493*I1493)</f>
        <v>75</v>
      </c>
    </row>
    <row r="1494" spans="1:11" hidden="1">
      <c r="A1494" s="268"/>
      <c r="F1494" s="188">
        <v>1</v>
      </c>
      <c r="G1494" s="187" t="s">
        <v>419</v>
      </c>
      <c r="H1494" s="181" t="s">
        <v>559</v>
      </c>
      <c r="I1494" s="8">
        <f>C38</f>
        <v>40</v>
      </c>
      <c r="J1494" s="2" t="s">
        <v>419</v>
      </c>
      <c r="K1494" s="8">
        <f>(F1494*I1494)</f>
        <v>40</v>
      </c>
    </row>
    <row r="1495" spans="1:11" hidden="1">
      <c r="A1495" s="268"/>
      <c r="F1495" s="188">
        <v>2.5</v>
      </c>
      <c r="G1495" s="187" t="s">
        <v>419</v>
      </c>
      <c r="H1495" s="181" t="s">
        <v>560</v>
      </c>
      <c r="I1495" s="8">
        <f>D14</f>
        <v>110</v>
      </c>
      <c r="J1495" s="2" t="s">
        <v>419</v>
      </c>
      <c r="K1495" s="8">
        <f>(F1495*I1495)</f>
        <v>275</v>
      </c>
    </row>
    <row r="1496" spans="1:11" hidden="1">
      <c r="A1496" s="268"/>
      <c r="G1496" s="187" t="s">
        <v>419</v>
      </c>
      <c r="H1496" s="181" t="s">
        <v>471</v>
      </c>
      <c r="I1496"/>
      <c r="J1496" s="2" t="s">
        <v>419</v>
      </c>
      <c r="K1496" s="6">
        <v>1.5</v>
      </c>
    </row>
    <row r="1497" spans="1:11" hidden="1">
      <c r="A1497" s="268"/>
      <c r="I1497"/>
      <c r="J1497" s="4"/>
      <c r="K1497" s="5" t="s">
        <v>1530</v>
      </c>
    </row>
    <row r="1498" spans="1:11" hidden="1">
      <c r="A1498" s="268"/>
      <c r="H1498" s="181" t="s">
        <v>561</v>
      </c>
      <c r="I1498"/>
      <c r="J1498" s="4"/>
      <c r="K1498" s="8">
        <f>SUM(K1490:K1496)</f>
        <v>2690.5</v>
      </c>
    </row>
    <row r="1499" spans="1:11" hidden="1">
      <c r="A1499" s="268"/>
      <c r="H1499" s="181"/>
      <c r="I1499"/>
      <c r="J1499" s="4"/>
      <c r="K1499" s="5" t="s">
        <v>1530</v>
      </c>
    </row>
    <row r="1500" spans="1:11" hidden="1">
      <c r="A1500" s="268"/>
      <c r="I1500"/>
      <c r="J1500" s="4"/>
      <c r="K1500" s="5"/>
    </row>
    <row r="1501" spans="1:11" hidden="1">
      <c r="A1501" s="268"/>
      <c r="F1501" s="236" t="s">
        <v>1015</v>
      </c>
      <c r="G1501" s="187" t="s">
        <v>2167</v>
      </c>
      <c r="H1501" s="181" t="s">
        <v>520</v>
      </c>
      <c r="I1501"/>
      <c r="J1501" s="4"/>
      <c r="K1501"/>
    </row>
    <row r="1502" spans="1:11" hidden="1">
      <c r="A1502" s="268"/>
      <c r="H1502" s="181" t="s">
        <v>2053</v>
      </c>
      <c r="I1502"/>
      <c r="J1502" s="4"/>
      <c r="K1502"/>
    </row>
    <row r="1503" spans="1:11" hidden="1">
      <c r="A1503" s="268"/>
      <c r="H1503" s="185" t="s">
        <v>1530</v>
      </c>
      <c r="I1503"/>
      <c r="J1503" s="4"/>
      <c r="K1503"/>
    </row>
    <row r="1504" spans="1:11" hidden="1">
      <c r="A1504" s="268"/>
      <c r="F1504" s="188">
        <v>1</v>
      </c>
      <c r="G1504" s="187" t="s">
        <v>492</v>
      </c>
      <c r="H1504" s="181" t="s">
        <v>493</v>
      </c>
      <c r="I1504" s="8">
        <f>(C138)</f>
        <v>28000</v>
      </c>
      <c r="J1504" s="2" t="s">
        <v>494</v>
      </c>
      <c r="K1504" s="8">
        <f>(F1504*I1504)/10</f>
        <v>2800</v>
      </c>
    </row>
    <row r="1505" spans="1:15" hidden="1">
      <c r="A1505" s="268"/>
      <c r="F1505" s="245">
        <v>0.01</v>
      </c>
      <c r="G1505" s="187" t="s">
        <v>492</v>
      </c>
      <c r="H1505" s="181" t="s">
        <v>186</v>
      </c>
      <c r="I1505" s="8">
        <f>(C142)</f>
        <v>30000</v>
      </c>
      <c r="J1505" s="2" t="s">
        <v>494</v>
      </c>
      <c r="K1505" s="8">
        <f>(F1505*I1505)/10</f>
        <v>30</v>
      </c>
    </row>
    <row r="1506" spans="1:15" hidden="1">
      <c r="A1506" s="268"/>
      <c r="F1506" s="245">
        <v>3.5</v>
      </c>
      <c r="G1506" s="187" t="s">
        <v>739</v>
      </c>
      <c r="H1506" s="181" t="s">
        <v>495</v>
      </c>
      <c r="I1506" s="8">
        <f>(C17)</f>
        <v>130</v>
      </c>
      <c r="J1506" s="2" t="s">
        <v>1341</v>
      </c>
      <c r="K1506" s="8">
        <f>(F1506*I1506)</f>
        <v>455</v>
      </c>
      <c r="O1506" s="182">
        <f>92+18.4</f>
        <v>110.4</v>
      </c>
    </row>
    <row r="1507" spans="1:15" hidden="1">
      <c r="A1507" s="268"/>
      <c r="F1507" s="188">
        <v>1.3</v>
      </c>
      <c r="G1507" s="187" t="s">
        <v>1591</v>
      </c>
      <c r="H1507" s="181" t="s">
        <v>496</v>
      </c>
      <c r="I1507" s="8">
        <f>C67/1000</f>
        <v>3.8</v>
      </c>
      <c r="J1507" s="2" t="s">
        <v>1591</v>
      </c>
      <c r="K1507" s="8">
        <f>(F1507*I1507)</f>
        <v>4.9400000000000004</v>
      </c>
      <c r="O1507" s="182">
        <f>95+19</f>
        <v>114</v>
      </c>
    </row>
    <row r="1508" spans="1:15" hidden="1">
      <c r="A1508" s="268"/>
      <c r="F1508" s="188">
        <v>0.25</v>
      </c>
      <c r="G1508" s="187" t="s">
        <v>739</v>
      </c>
      <c r="H1508" s="181" t="s">
        <v>497</v>
      </c>
      <c r="I1508" s="8">
        <f>D14</f>
        <v>110</v>
      </c>
      <c r="J1508" s="2" t="s">
        <v>1341</v>
      </c>
      <c r="K1508" s="8">
        <f>(F1508*I1508)</f>
        <v>27.5</v>
      </c>
    </row>
    <row r="1509" spans="1:15" hidden="1">
      <c r="A1509" s="268"/>
      <c r="F1509" s="245"/>
      <c r="G1509" s="187" t="s">
        <v>419</v>
      </c>
      <c r="H1509" s="181" t="s">
        <v>420</v>
      </c>
      <c r="I1509"/>
      <c r="J1509" s="2" t="s">
        <v>419</v>
      </c>
      <c r="K1509" s="8">
        <f>(F1509*I1509)</f>
        <v>0</v>
      </c>
    </row>
    <row r="1510" spans="1:15" hidden="1">
      <c r="A1510" s="268"/>
      <c r="F1510" s="245"/>
      <c r="I1510"/>
      <c r="J1510" s="4"/>
      <c r="K1510" s="5" t="s">
        <v>1530</v>
      </c>
    </row>
    <row r="1511" spans="1:15" hidden="1">
      <c r="A1511" s="268"/>
      <c r="F1511" s="245"/>
      <c r="H1511" s="181" t="s">
        <v>498</v>
      </c>
      <c r="I1511"/>
      <c r="J1511" s="4"/>
      <c r="K1511" s="8">
        <f>SUM(K1504:K1509)</f>
        <v>3317.44</v>
      </c>
    </row>
    <row r="1512" spans="1:15" hidden="1">
      <c r="A1512" s="268"/>
      <c r="F1512" s="245"/>
      <c r="I1512"/>
      <c r="J1512" s="4"/>
      <c r="K1512" s="5" t="s">
        <v>1530</v>
      </c>
    </row>
    <row r="1513" spans="1:15" hidden="1">
      <c r="A1513" s="268"/>
      <c r="F1513" s="245"/>
      <c r="H1513" s="181" t="s">
        <v>499</v>
      </c>
      <c r="I1513"/>
      <c r="J1513" s="4"/>
      <c r="K1513" s="8">
        <f>(K1511*10)</f>
        <v>33174.400000000001</v>
      </c>
    </row>
    <row r="1514" spans="1:15" hidden="1">
      <c r="A1514" s="268"/>
      <c r="F1514" s="245"/>
      <c r="I1514"/>
      <c r="J1514" s="4"/>
      <c r="K1514" s="5" t="s">
        <v>1980</v>
      </c>
    </row>
    <row r="1515" spans="1:15" hidden="1">
      <c r="A1515" s="268"/>
      <c r="F1515" s="245"/>
      <c r="I1515"/>
      <c r="J1515" s="4"/>
      <c r="K1515" s="5"/>
    </row>
    <row r="1516" spans="1:15" hidden="1">
      <c r="A1516" s="268"/>
      <c r="F1516" s="245"/>
      <c r="H1516" s="273" t="s">
        <v>500</v>
      </c>
      <c r="I1516"/>
      <c r="J1516" s="4"/>
      <c r="K1516" s="5"/>
    </row>
    <row r="1517" spans="1:15" hidden="1">
      <c r="A1517" s="268"/>
      <c r="F1517" s="188">
        <v>1</v>
      </c>
      <c r="G1517" s="187" t="s">
        <v>492</v>
      </c>
      <c r="H1517" s="181" t="s">
        <v>501</v>
      </c>
      <c r="I1517">
        <f>C137</f>
        <v>26500</v>
      </c>
      <c r="J1517" s="2" t="s">
        <v>494</v>
      </c>
      <c r="K1517" s="8">
        <f>(F1517*I1517)/10</f>
        <v>2650</v>
      </c>
    </row>
    <row r="1518" spans="1:15" hidden="1">
      <c r="A1518" s="268"/>
      <c r="F1518" s="245">
        <v>0.01</v>
      </c>
      <c r="G1518" s="187" t="s">
        <v>492</v>
      </c>
      <c r="H1518" s="181" t="s">
        <v>186</v>
      </c>
      <c r="I1518">
        <f>C142</f>
        <v>30000</v>
      </c>
      <c r="J1518" s="2" t="s">
        <v>494</v>
      </c>
      <c r="K1518" s="8">
        <f>(F1518*I1518)/10</f>
        <v>30</v>
      </c>
    </row>
    <row r="1519" spans="1:15" hidden="1">
      <c r="A1519" s="268"/>
      <c r="F1519" s="245">
        <v>3.5</v>
      </c>
      <c r="G1519" s="187" t="s">
        <v>739</v>
      </c>
      <c r="H1519" s="181" t="s">
        <v>495</v>
      </c>
      <c r="I1519">
        <f>C17</f>
        <v>130</v>
      </c>
      <c r="J1519" s="2" t="s">
        <v>1341</v>
      </c>
      <c r="K1519" s="8">
        <f>(F1519*I1519)</f>
        <v>455</v>
      </c>
    </row>
    <row r="1520" spans="1:15" hidden="1">
      <c r="A1520" s="268"/>
      <c r="F1520" s="188">
        <v>1.3</v>
      </c>
      <c r="G1520" s="187" t="s">
        <v>1591</v>
      </c>
      <c r="H1520" s="181" t="s">
        <v>496</v>
      </c>
      <c r="I1520">
        <f>C67/1000</f>
        <v>3.8</v>
      </c>
      <c r="J1520" s="2" t="s">
        <v>1591</v>
      </c>
      <c r="K1520" s="8">
        <f>(F1520*I1520)</f>
        <v>4.9400000000000004</v>
      </c>
    </row>
    <row r="1521" spans="1:11" hidden="1">
      <c r="A1521" s="268"/>
      <c r="F1521" s="188">
        <v>0.25</v>
      </c>
      <c r="G1521" s="187" t="s">
        <v>739</v>
      </c>
      <c r="H1521" s="181" t="s">
        <v>497</v>
      </c>
      <c r="I1521">
        <f>D14</f>
        <v>110</v>
      </c>
      <c r="J1521" s="2" t="s">
        <v>1341</v>
      </c>
      <c r="K1521" s="8">
        <f>(F1521*I1521)</f>
        <v>27.5</v>
      </c>
    </row>
    <row r="1522" spans="1:11" hidden="1">
      <c r="A1522" s="268"/>
      <c r="F1522" s="245"/>
      <c r="G1522" s="187" t="s">
        <v>419</v>
      </c>
      <c r="H1522" s="181" t="s">
        <v>420</v>
      </c>
      <c r="I1522"/>
      <c r="J1522" s="2" t="s">
        <v>419</v>
      </c>
      <c r="K1522" s="8">
        <f>(F1522*I1522)</f>
        <v>0</v>
      </c>
    </row>
    <row r="1523" spans="1:11" hidden="1">
      <c r="A1523" s="268"/>
      <c r="F1523" s="245"/>
      <c r="I1523"/>
      <c r="J1523" s="4"/>
      <c r="K1523" s="5" t="s">
        <v>1530</v>
      </c>
    </row>
    <row r="1524" spans="1:11" hidden="1">
      <c r="A1524" s="268"/>
      <c r="F1524" s="245"/>
      <c r="H1524" s="181" t="s">
        <v>498</v>
      </c>
      <c r="I1524"/>
      <c r="J1524" s="4"/>
      <c r="K1524" s="8">
        <f>SUM(K1517:K1522)</f>
        <v>3167.44</v>
      </c>
    </row>
    <row r="1525" spans="1:11" hidden="1">
      <c r="A1525" s="268"/>
      <c r="F1525" s="245"/>
      <c r="I1525"/>
      <c r="J1525" s="4"/>
      <c r="K1525" s="5" t="s">
        <v>1530</v>
      </c>
    </row>
    <row r="1526" spans="1:11" hidden="1">
      <c r="A1526" s="268"/>
      <c r="F1526" s="245"/>
      <c r="H1526" s="181" t="s">
        <v>499</v>
      </c>
      <c r="I1526"/>
      <c r="J1526" s="4"/>
      <c r="K1526" s="8">
        <f>(K1524*10)</f>
        <v>31674.400000000001</v>
      </c>
    </row>
    <row r="1527" spans="1:11" hidden="1">
      <c r="A1527" s="268"/>
      <c r="F1527" s="245"/>
      <c r="I1527"/>
      <c r="J1527" s="4"/>
      <c r="K1527" s="5" t="s">
        <v>1980</v>
      </c>
    </row>
    <row r="1528" spans="1:11" hidden="1">
      <c r="A1528" s="268"/>
      <c r="F1528" s="245"/>
      <c r="H1528" s="181" t="s">
        <v>940</v>
      </c>
      <c r="I1528"/>
      <c r="J1528" s="4"/>
      <c r="K1528" s="1" t="s">
        <v>940</v>
      </c>
    </row>
    <row r="1529" spans="1:11" hidden="1">
      <c r="A1529" s="268"/>
      <c r="F1529" s="274" t="s">
        <v>502</v>
      </c>
      <c r="G1529" s="187" t="s">
        <v>1840</v>
      </c>
      <c r="H1529" s="181" t="s">
        <v>520</v>
      </c>
      <c r="I1529"/>
      <c r="J1529" s="4"/>
      <c r="K1529"/>
    </row>
    <row r="1530" spans="1:11" hidden="1">
      <c r="A1530" s="268"/>
      <c r="F1530" s="245"/>
      <c r="H1530" s="181" t="s">
        <v>503</v>
      </c>
      <c r="I1530"/>
      <c r="J1530" s="4"/>
      <c r="K1530"/>
    </row>
    <row r="1531" spans="1:11" hidden="1">
      <c r="A1531" s="268"/>
      <c r="F1531" s="245"/>
      <c r="H1531" s="185" t="s">
        <v>1530</v>
      </c>
      <c r="I1531"/>
      <c r="J1531" s="4"/>
      <c r="K1531"/>
    </row>
    <row r="1532" spans="1:11" hidden="1">
      <c r="A1532" s="268"/>
      <c r="F1532" s="188">
        <v>1</v>
      </c>
      <c r="G1532" s="187" t="s">
        <v>492</v>
      </c>
      <c r="H1532" s="181" t="s">
        <v>493</v>
      </c>
      <c r="I1532" s="8">
        <f>(C138)</f>
        <v>28000</v>
      </c>
      <c r="J1532" s="2" t="s">
        <v>494</v>
      </c>
      <c r="K1532" s="8">
        <f>(F1532*I1532)/10</f>
        <v>2800</v>
      </c>
    </row>
    <row r="1533" spans="1:11" hidden="1">
      <c r="A1533" s="268"/>
      <c r="F1533" s="245">
        <v>0.01</v>
      </c>
      <c r="G1533" s="187" t="s">
        <v>492</v>
      </c>
      <c r="H1533" s="181" t="s">
        <v>186</v>
      </c>
      <c r="I1533" s="8">
        <f>(C142)</f>
        <v>30000</v>
      </c>
      <c r="J1533" s="2" t="s">
        <v>494</v>
      </c>
      <c r="K1533" s="8">
        <f>(F1533*I1533)/10</f>
        <v>30</v>
      </c>
    </row>
    <row r="1534" spans="1:11" hidden="1">
      <c r="A1534" s="268"/>
      <c r="F1534" s="245">
        <v>3.5</v>
      </c>
      <c r="G1534" s="187" t="s">
        <v>739</v>
      </c>
      <c r="H1534" s="181" t="s">
        <v>495</v>
      </c>
      <c r="I1534" s="8">
        <f>(C17)</f>
        <v>130</v>
      </c>
      <c r="J1534" s="2" t="s">
        <v>739</v>
      </c>
      <c r="K1534" s="8">
        <f>(F1534*I1534)</f>
        <v>455</v>
      </c>
    </row>
    <row r="1535" spans="1:11" hidden="1">
      <c r="A1535" s="268"/>
      <c r="F1535" s="245"/>
      <c r="G1535" s="187" t="s">
        <v>419</v>
      </c>
      <c r="H1535" s="181" t="s">
        <v>420</v>
      </c>
      <c r="I1535"/>
      <c r="J1535" s="2" t="s">
        <v>419</v>
      </c>
      <c r="K1535" s="8">
        <v>0</v>
      </c>
    </row>
    <row r="1536" spans="1:11" hidden="1">
      <c r="A1536" s="268"/>
      <c r="I1536"/>
      <c r="J1536" s="4"/>
      <c r="K1536" s="5" t="s">
        <v>1530</v>
      </c>
    </row>
    <row r="1537" spans="1:11" hidden="1">
      <c r="A1537" s="268"/>
      <c r="H1537" s="181" t="s">
        <v>498</v>
      </c>
      <c r="I1537"/>
      <c r="J1537" s="4"/>
      <c r="K1537" s="8">
        <f>SUM(K1532:K1535)</f>
        <v>3285</v>
      </c>
    </row>
    <row r="1538" spans="1:11" hidden="1">
      <c r="A1538" s="268"/>
      <c r="I1538"/>
      <c r="J1538" s="4"/>
      <c r="K1538" s="5" t="s">
        <v>1530</v>
      </c>
    </row>
    <row r="1539" spans="1:11" hidden="1">
      <c r="A1539" s="268"/>
      <c r="H1539" s="181" t="s">
        <v>499</v>
      </c>
      <c r="I1539"/>
      <c r="J1539" s="4"/>
      <c r="K1539" s="8">
        <f>(K1537*10)</f>
        <v>32850</v>
      </c>
    </row>
    <row r="1540" spans="1:11" hidden="1">
      <c r="A1540" s="268"/>
      <c r="H1540" s="181" t="s">
        <v>940</v>
      </c>
      <c r="I1540"/>
      <c r="J1540" s="4"/>
      <c r="K1540" s="1" t="s">
        <v>940</v>
      </c>
    </row>
    <row r="1541" spans="1:11" hidden="1">
      <c r="A1541" s="268"/>
      <c r="G1541" s="180" t="s">
        <v>486</v>
      </c>
      <c r="H1541" s="181" t="s">
        <v>520</v>
      </c>
      <c r="I1541"/>
      <c r="J1541" s="4"/>
      <c r="K1541" s="1"/>
    </row>
    <row r="1542" spans="1:11" hidden="1">
      <c r="A1542" s="268"/>
      <c r="H1542" s="181" t="s">
        <v>1539</v>
      </c>
      <c r="I1542"/>
      <c r="J1542" s="4"/>
      <c r="K1542" s="1"/>
    </row>
    <row r="1543" spans="1:11" hidden="1">
      <c r="A1543" s="268"/>
      <c r="F1543" s="245"/>
      <c r="H1543" s="185" t="s">
        <v>1530</v>
      </c>
      <c r="I1543"/>
      <c r="J1543" s="4"/>
      <c r="K1543" s="1"/>
    </row>
    <row r="1544" spans="1:11" hidden="1">
      <c r="A1544" s="268"/>
      <c r="F1544" s="188">
        <v>1</v>
      </c>
      <c r="G1544" s="187" t="s">
        <v>492</v>
      </c>
      <c r="H1544" s="181" t="s">
        <v>501</v>
      </c>
      <c r="I1544">
        <f>C137</f>
        <v>26500</v>
      </c>
      <c r="J1544" s="2" t="s">
        <v>494</v>
      </c>
      <c r="K1544" s="8">
        <f>(F1544*I1544)/10</f>
        <v>2650</v>
      </c>
    </row>
    <row r="1545" spans="1:11" hidden="1">
      <c r="A1545" s="268"/>
      <c r="F1545" s="245">
        <v>0.01</v>
      </c>
      <c r="G1545" s="187" t="s">
        <v>492</v>
      </c>
      <c r="H1545" s="181" t="s">
        <v>186</v>
      </c>
      <c r="I1545">
        <f>C142</f>
        <v>30000</v>
      </c>
      <c r="J1545" s="2" t="s">
        <v>494</v>
      </c>
      <c r="K1545" s="8">
        <f>(F1545*I1545)/10</f>
        <v>30</v>
      </c>
    </row>
    <row r="1546" spans="1:11" hidden="1">
      <c r="A1546" s="268"/>
      <c r="F1546" s="245">
        <v>3.5</v>
      </c>
      <c r="G1546" s="187" t="s">
        <v>739</v>
      </c>
      <c r="H1546" s="181" t="s">
        <v>495</v>
      </c>
      <c r="I1546">
        <f>C17</f>
        <v>130</v>
      </c>
      <c r="J1546" s="2" t="s">
        <v>739</v>
      </c>
      <c r="K1546" s="8">
        <f>(F1546*I1546)</f>
        <v>455</v>
      </c>
    </row>
    <row r="1547" spans="1:11" hidden="1">
      <c r="A1547" s="268"/>
      <c r="F1547" s="245"/>
      <c r="G1547" s="187" t="s">
        <v>419</v>
      </c>
      <c r="H1547" s="181" t="s">
        <v>420</v>
      </c>
      <c r="I1547"/>
      <c r="J1547" s="2" t="s">
        <v>419</v>
      </c>
      <c r="K1547" s="8">
        <v>0</v>
      </c>
    </row>
    <row r="1548" spans="1:11" hidden="1">
      <c r="A1548" s="268"/>
      <c r="I1548"/>
      <c r="J1548" s="4"/>
      <c r="K1548" s="5" t="s">
        <v>1530</v>
      </c>
    </row>
    <row r="1549" spans="1:11" hidden="1">
      <c r="A1549" s="268"/>
      <c r="H1549" s="181" t="s">
        <v>498</v>
      </c>
      <c r="I1549"/>
      <c r="J1549" s="4"/>
      <c r="K1549" s="8">
        <f>SUM(K1544:K1547)</f>
        <v>3135</v>
      </c>
    </row>
    <row r="1550" spans="1:11" hidden="1">
      <c r="A1550" s="268"/>
      <c r="I1550"/>
      <c r="J1550" s="4"/>
      <c r="K1550" s="5" t="s">
        <v>1530</v>
      </c>
    </row>
    <row r="1551" spans="1:11" hidden="1">
      <c r="A1551" s="268"/>
      <c r="H1551" s="181" t="s">
        <v>499</v>
      </c>
      <c r="I1551"/>
      <c r="J1551" s="4"/>
      <c r="K1551" s="8">
        <f>(K1549*10)</f>
        <v>31350</v>
      </c>
    </row>
    <row r="1552" spans="1:11" hidden="1">
      <c r="A1552" s="268"/>
      <c r="H1552" s="181" t="s">
        <v>940</v>
      </c>
      <c r="I1552"/>
      <c r="J1552" s="4"/>
      <c r="K1552"/>
    </row>
    <row r="1553" spans="1:11" hidden="1">
      <c r="A1553" s="268"/>
      <c r="F1553" s="246">
        <v>44.1</v>
      </c>
      <c r="G1553" s="187" t="s">
        <v>2167</v>
      </c>
      <c r="H1553" s="181" t="s">
        <v>1540</v>
      </c>
      <c r="I1553"/>
      <c r="J1553" s="4"/>
      <c r="K1553"/>
    </row>
    <row r="1554" spans="1:11" hidden="1">
      <c r="A1554" s="268"/>
      <c r="H1554" s="181" t="s">
        <v>1541</v>
      </c>
      <c r="I1554"/>
      <c r="J1554" s="4"/>
      <c r="K1554"/>
    </row>
    <row r="1555" spans="1:11" hidden="1">
      <c r="A1555" s="268"/>
      <c r="H1555" s="181" t="s">
        <v>3062</v>
      </c>
      <c r="I1555"/>
      <c r="J1555" s="4"/>
      <c r="K1555"/>
    </row>
    <row r="1556" spans="1:11" hidden="1">
      <c r="A1556" s="268"/>
      <c r="H1556" s="185" t="s">
        <v>1530</v>
      </c>
      <c r="I1556"/>
      <c r="J1556" s="4"/>
      <c r="K1556"/>
    </row>
    <row r="1557" spans="1:11" hidden="1">
      <c r="A1557" s="268"/>
      <c r="F1557" s="188">
        <v>3</v>
      </c>
      <c r="G1557" s="187" t="s">
        <v>1714</v>
      </c>
      <c r="H1557" s="181" t="s">
        <v>1973</v>
      </c>
      <c r="I1557" s="8">
        <f>(C598)</f>
        <v>120</v>
      </c>
      <c r="J1557" s="2" t="s">
        <v>1714</v>
      </c>
      <c r="K1557" s="8">
        <f t="shared" ref="K1557:K1562" si="61">(F1557*I1557)</f>
        <v>360</v>
      </c>
    </row>
    <row r="1558" spans="1:11" hidden="1">
      <c r="A1558" s="268"/>
      <c r="F1558" s="188">
        <v>1</v>
      </c>
      <c r="G1558" s="187" t="s">
        <v>835</v>
      </c>
      <c r="H1558" s="181" t="s">
        <v>2020</v>
      </c>
      <c r="I1558" s="8">
        <f>(C601)</f>
        <v>65</v>
      </c>
      <c r="J1558" s="2" t="s">
        <v>835</v>
      </c>
      <c r="K1558" s="8">
        <f t="shared" si="61"/>
        <v>65</v>
      </c>
    </row>
    <row r="1559" spans="1:11" hidden="1">
      <c r="A1559" s="268"/>
      <c r="F1559" s="188">
        <v>1</v>
      </c>
      <c r="G1559" s="187" t="s">
        <v>835</v>
      </c>
      <c r="H1559" s="181" t="s">
        <v>2021</v>
      </c>
      <c r="I1559" s="8">
        <f>(C604)</f>
        <v>45</v>
      </c>
      <c r="J1559" s="2" t="s">
        <v>835</v>
      </c>
      <c r="K1559" s="8">
        <f t="shared" si="61"/>
        <v>45</v>
      </c>
    </row>
    <row r="1560" spans="1:11" hidden="1">
      <c r="A1560" s="268"/>
      <c r="F1560" s="188">
        <v>2</v>
      </c>
      <c r="G1560" s="187" t="s">
        <v>835</v>
      </c>
      <c r="H1560" s="181" t="s">
        <v>2022</v>
      </c>
      <c r="I1560" s="8">
        <f>C575</f>
        <v>16.440000000000001</v>
      </c>
      <c r="J1560" s="2" t="s">
        <v>835</v>
      </c>
      <c r="K1560" s="8">
        <f t="shared" si="61"/>
        <v>32.880000000000003</v>
      </c>
    </row>
    <row r="1561" spans="1:11" hidden="1">
      <c r="A1561" s="268"/>
      <c r="F1561" s="188">
        <v>1</v>
      </c>
      <c r="G1561" s="187" t="s">
        <v>835</v>
      </c>
      <c r="H1561" s="181" t="s">
        <v>2023</v>
      </c>
      <c r="I1561" s="8">
        <f>(C666)</f>
        <v>18</v>
      </c>
      <c r="J1561" s="2" t="s">
        <v>835</v>
      </c>
      <c r="K1561" s="8">
        <f t="shared" si="61"/>
        <v>18</v>
      </c>
    </row>
    <row r="1562" spans="1:11" hidden="1">
      <c r="A1562" s="268"/>
      <c r="F1562" s="188">
        <v>0.5</v>
      </c>
      <c r="G1562" s="187" t="s">
        <v>835</v>
      </c>
      <c r="H1562" s="181" t="s">
        <v>2024</v>
      </c>
      <c r="I1562" s="8">
        <f>(C15)</f>
        <v>130</v>
      </c>
      <c r="J1562" s="2" t="s">
        <v>835</v>
      </c>
      <c r="K1562" s="8">
        <f t="shared" si="61"/>
        <v>65</v>
      </c>
    </row>
    <row r="1563" spans="1:11" hidden="1">
      <c r="A1563" s="268"/>
      <c r="G1563" s="187" t="s">
        <v>419</v>
      </c>
      <c r="H1563" s="181" t="s">
        <v>574</v>
      </c>
      <c r="I1563"/>
      <c r="J1563" s="2" t="s">
        <v>419</v>
      </c>
      <c r="K1563" s="8">
        <v>0.75</v>
      </c>
    </row>
    <row r="1564" spans="1:11" hidden="1">
      <c r="A1564" s="268"/>
      <c r="H1564" s="181" t="s">
        <v>21</v>
      </c>
      <c r="I1564"/>
      <c r="J1564" s="4"/>
      <c r="K1564"/>
    </row>
    <row r="1565" spans="1:11" hidden="1">
      <c r="A1565" s="268"/>
      <c r="I1565"/>
      <c r="J1565" s="4"/>
      <c r="K1565" s="5" t="s">
        <v>1530</v>
      </c>
    </row>
    <row r="1566" spans="1:11" hidden="1">
      <c r="A1566" s="268"/>
      <c r="H1566" s="181" t="s">
        <v>1267</v>
      </c>
      <c r="I1566"/>
      <c r="J1566" s="4"/>
      <c r="K1566" s="8">
        <f>SUM(K1557:K1563)</f>
        <v>586.63</v>
      </c>
    </row>
    <row r="1567" spans="1:11" hidden="1">
      <c r="A1567" s="268"/>
      <c r="F1567" s="181" t="s">
        <v>940</v>
      </c>
      <c r="I1567"/>
      <c r="J1567" s="4"/>
      <c r="K1567"/>
    </row>
    <row r="1568" spans="1:11" hidden="1">
      <c r="A1568" s="268"/>
      <c r="I1568"/>
      <c r="J1568" s="4"/>
      <c r="K1568" s="5" t="s">
        <v>1530</v>
      </c>
    </row>
    <row r="1569" spans="1:11" hidden="1">
      <c r="A1569" s="268"/>
      <c r="H1569" s="181" t="s">
        <v>1490</v>
      </c>
      <c r="I1569"/>
      <c r="J1569" s="4"/>
      <c r="K1569" s="8">
        <f>(K1566/3)</f>
        <v>195.54</v>
      </c>
    </row>
    <row r="1570" spans="1:11" hidden="1">
      <c r="A1570" s="268"/>
      <c r="H1570" s="181"/>
      <c r="I1570"/>
      <c r="J1570" s="4"/>
      <c r="K1570" s="5" t="s">
        <v>1980</v>
      </c>
    </row>
    <row r="1571" spans="1:11" hidden="1">
      <c r="A1571" s="268"/>
      <c r="F1571" s="236" t="s">
        <v>1268</v>
      </c>
      <c r="H1571" s="181" t="s">
        <v>15</v>
      </c>
      <c r="I1571"/>
      <c r="J1571" s="4"/>
      <c r="K1571"/>
    </row>
    <row r="1572" spans="1:11" hidden="1">
      <c r="A1572" s="268"/>
      <c r="H1572" s="181" t="s">
        <v>16</v>
      </c>
      <c r="I1572"/>
      <c r="J1572" s="4"/>
      <c r="K1572"/>
    </row>
    <row r="1573" spans="1:11" hidden="1">
      <c r="A1573" s="268"/>
      <c r="H1573" s="181" t="s">
        <v>1963</v>
      </c>
      <c r="I1573"/>
      <c r="J1573" s="4"/>
      <c r="K1573"/>
    </row>
    <row r="1574" spans="1:11" hidden="1">
      <c r="A1574" s="268"/>
      <c r="H1574" s="185" t="s">
        <v>1530</v>
      </c>
      <c r="I1574"/>
      <c r="J1574" s="4"/>
      <c r="K1574"/>
    </row>
    <row r="1575" spans="1:11" hidden="1">
      <c r="A1575" s="268"/>
      <c r="F1575" s="188">
        <v>0.15</v>
      </c>
      <c r="G1575" s="187" t="s">
        <v>836</v>
      </c>
      <c r="H1575" s="181" t="s">
        <v>1964</v>
      </c>
      <c r="I1575" s="8" t="e">
        <f>(C70)</f>
        <v>#REF!</v>
      </c>
      <c r="J1575" s="2" t="s">
        <v>836</v>
      </c>
      <c r="K1575" s="8" t="e">
        <f>(F1575*I1575)</f>
        <v>#REF!</v>
      </c>
    </row>
    <row r="1576" spans="1:11" hidden="1">
      <c r="A1576" s="268"/>
      <c r="F1576" s="256">
        <v>8.6499999999999994E-2</v>
      </c>
      <c r="G1576" s="187" t="s">
        <v>828</v>
      </c>
      <c r="H1576" s="181" t="s">
        <v>829</v>
      </c>
      <c r="I1576" s="8">
        <f>(C67)</f>
        <v>3800</v>
      </c>
      <c r="J1576" s="2" t="s">
        <v>828</v>
      </c>
      <c r="K1576" s="8">
        <f>(F1576*I1576)</f>
        <v>328.7</v>
      </c>
    </row>
    <row r="1577" spans="1:11" hidden="1">
      <c r="A1577" s="268"/>
      <c r="F1577" s="188">
        <v>1.6</v>
      </c>
      <c r="G1577" s="187" t="s">
        <v>739</v>
      </c>
      <c r="H1577" s="181" t="s">
        <v>1938</v>
      </c>
      <c r="I1577" s="8">
        <f>(C10)</f>
        <v>150</v>
      </c>
      <c r="J1577" s="2" t="s">
        <v>739</v>
      </c>
      <c r="K1577" s="8">
        <f>(F1577*I1577)</f>
        <v>240</v>
      </c>
    </row>
    <row r="1578" spans="1:11" hidden="1">
      <c r="A1578" s="268"/>
      <c r="F1578" s="188">
        <v>0.5</v>
      </c>
      <c r="G1578" s="187" t="s">
        <v>739</v>
      </c>
      <c r="H1578" s="181" t="s">
        <v>1836</v>
      </c>
      <c r="I1578" s="8">
        <f>(C12)</f>
        <v>95</v>
      </c>
      <c r="J1578" s="2" t="s">
        <v>739</v>
      </c>
      <c r="K1578" s="8">
        <f>(F1578*I1578)</f>
        <v>47.5</v>
      </c>
    </row>
    <row r="1579" spans="1:11" hidden="1">
      <c r="A1579" s="268"/>
      <c r="F1579" s="188">
        <v>1.1000000000000001</v>
      </c>
      <c r="G1579" s="187" t="s">
        <v>739</v>
      </c>
      <c r="H1579" s="181" t="s">
        <v>299</v>
      </c>
      <c r="I1579" s="8">
        <f>(C13)</f>
        <v>85</v>
      </c>
      <c r="J1579" s="2" t="s">
        <v>739</v>
      </c>
      <c r="K1579" s="8">
        <f>(F1579*I1579)</f>
        <v>93.5</v>
      </c>
    </row>
    <row r="1580" spans="1:11" hidden="1">
      <c r="A1580" s="268"/>
      <c r="G1580" s="187" t="s">
        <v>419</v>
      </c>
      <c r="H1580" s="181" t="s">
        <v>420</v>
      </c>
      <c r="I1580" s="1" t="s">
        <v>940</v>
      </c>
      <c r="J1580" s="2" t="s">
        <v>419</v>
      </c>
      <c r="K1580" s="8">
        <v>0</v>
      </c>
    </row>
    <row r="1581" spans="1:11" hidden="1">
      <c r="A1581" s="268"/>
      <c r="I1581"/>
      <c r="J1581" s="4"/>
      <c r="K1581" s="5" t="s">
        <v>1530</v>
      </c>
    </row>
    <row r="1582" spans="1:11" hidden="1">
      <c r="A1582" s="268"/>
      <c r="H1582" s="181" t="s">
        <v>411</v>
      </c>
      <c r="I1582"/>
      <c r="J1582" s="4"/>
      <c r="K1582" s="8" t="e">
        <f>SUM(K1575:K1580)</f>
        <v>#REF!</v>
      </c>
    </row>
    <row r="1583" spans="1:11" hidden="1">
      <c r="A1583" s="268"/>
      <c r="I1583"/>
      <c r="J1583" s="4"/>
      <c r="K1583" s="5" t="s">
        <v>1530</v>
      </c>
    </row>
    <row r="1584" spans="1:11" hidden="1">
      <c r="A1584" s="268"/>
      <c r="H1584" s="181" t="s">
        <v>521</v>
      </c>
      <c r="I1584"/>
      <c r="J1584" s="4"/>
      <c r="K1584" s="8" t="e">
        <f>(K1582/10)</f>
        <v>#REF!</v>
      </c>
    </row>
    <row r="1585" spans="1:11" hidden="1">
      <c r="A1585" s="268"/>
      <c r="I1585"/>
      <c r="J1585" s="4"/>
      <c r="K1585" s="5" t="s">
        <v>1980</v>
      </c>
    </row>
    <row r="1586" spans="1:11" hidden="1">
      <c r="A1586" s="268"/>
      <c r="F1586" s="236" t="s">
        <v>1965</v>
      </c>
      <c r="G1586" s="187" t="s">
        <v>2167</v>
      </c>
      <c r="H1586" s="181" t="s">
        <v>1966</v>
      </c>
      <c r="I1586"/>
      <c r="J1586" s="4"/>
      <c r="K1586"/>
    </row>
    <row r="1587" spans="1:11" hidden="1">
      <c r="A1587" s="268"/>
      <c r="H1587" s="181" t="s">
        <v>1168</v>
      </c>
      <c r="I1587"/>
      <c r="J1587" s="4"/>
      <c r="K1587"/>
    </row>
    <row r="1588" spans="1:11" hidden="1">
      <c r="A1588" s="268"/>
      <c r="H1588" s="181" t="s">
        <v>1169</v>
      </c>
      <c r="I1588"/>
      <c r="J1588" s="2" t="s">
        <v>940</v>
      </c>
      <c r="K1588"/>
    </row>
    <row r="1589" spans="1:11" hidden="1">
      <c r="A1589" s="268"/>
      <c r="H1589" s="181" t="s">
        <v>1067</v>
      </c>
      <c r="I1589"/>
      <c r="J1589" s="4"/>
      <c r="K1589"/>
    </row>
    <row r="1590" spans="1:11" hidden="1">
      <c r="A1590" s="268"/>
      <c r="H1590" s="181" t="s">
        <v>992</v>
      </c>
      <c r="I1590"/>
      <c r="J1590" s="4"/>
      <c r="K1590"/>
    </row>
    <row r="1591" spans="1:11" hidden="1">
      <c r="A1591" s="268"/>
      <c r="H1591" s="181" t="s">
        <v>1748</v>
      </c>
      <c r="I1591"/>
      <c r="J1591" s="4"/>
      <c r="K1591"/>
    </row>
    <row r="1592" spans="1:11" hidden="1">
      <c r="A1592" s="268"/>
      <c r="H1592" s="181" t="s">
        <v>261</v>
      </c>
      <c r="I1592"/>
      <c r="J1592" s="4"/>
      <c r="K1592"/>
    </row>
    <row r="1593" spans="1:11" hidden="1">
      <c r="A1593" s="268"/>
      <c r="H1593" s="181" t="s">
        <v>262</v>
      </c>
      <c r="I1593"/>
      <c r="J1593" s="4"/>
      <c r="K1593"/>
    </row>
    <row r="1594" spans="1:11" hidden="1">
      <c r="A1594" s="268"/>
      <c r="H1594" s="181" t="s">
        <v>263</v>
      </c>
      <c r="I1594"/>
      <c r="J1594" s="4"/>
      <c r="K1594"/>
    </row>
    <row r="1595" spans="1:11" hidden="1">
      <c r="A1595" s="268"/>
      <c r="H1595" s="185" t="s">
        <v>1980</v>
      </c>
      <c r="I1595"/>
      <c r="J1595" s="4"/>
      <c r="K1595"/>
    </row>
    <row r="1596" spans="1:11" hidden="1">
      <c r="A1596" s="268"/>
      <c r="I1596"/>
      <c r="J1596" s="4"/>
      <c r="K1596"/>
    </row>
    <row r="1597" spans="1:11" hidden="1">
      <c r="A1597" s="268"/>
      <c r="F1597" s="188">
        <v>1</v>
      </c>
      <c r="G1597" s="187" t="s">
        <v>794</v>
      </c>
      <c r="H1597" s="181" t="s">
        <v>264</v>
      </c>
      <c r="I1597" s="8">
        <v>50</v>
      </c>
      <c r="J1597" s="2" t="s">
        <v>794</v>
      </c>
      <c r="K1597" s="8">
        <f>(F1597*I1597)</f>
        <v>50</v>
      </c>
    </row>
    <row r="1598" spans="1:11" hidden="1">
      <c r="A1598" s="268"/>
      <c r="F1598" s="188">
        <v>1</v>
      </c>
      <c r="G1598" s="187" t="s">
        <v>265</v>
      </c>
      <c r="H1598" s="181" t="s">
        <v>1116</v>
      </c>
      <c r="I1598" s="8">
        <v>9</v>
      </c>
      <c r="J1598" s="2" t="s">
        <v>265</v>
      </c>
      <c r="K1598" s="8">
        <f>(F1598*I1598)</f>
        <v>9</v>
      </c>
    </row>
    <row r="1599" spans="1:11" hidden="1">
      <c r="A1599" s="268"/>
      <c r="G1599" s="187" t="s">
        <v>419</v>
      </c>
      <c r="H1599" s="181" t="s">
        <v>472</v>
      </c>
      <c r="I1599"/>
      <c r="J1599" s="2" t="s">
        <v>419</v>
      </c>
      <c r="K1599" s="8">
        <v>7</v>
      </c>
    </row>
    <row r="1600" spans="1:11" hidden="1">
      <c r="A1600" s="268"/>
      <c r="I1600"/>
      <c r="J1600" s="4"/>
      <c r="K1600" s="5" t="s">
        <v>1530</v>
      </c>
    </row>
    <row r="1601" spans="1:11" hidden="1">
      <c r="A1601" s="268"/>
      <c r="H1601" s="236" t="s">
        <v>1585</v>
      </c>
      <c r="I1601"/>
      <c r="J1601" s="4"/>
      <c r="K1601" s="8">
        <f>SUM(K1597:K1599)</f>
        <v>66</v>
      </c>
    </row>
    <row r="1602" spans="1:11" hidden="1">
      <c r="A1602" s="268"/>
      <c r="I1602"/>
      <c r="J1602" s="4"/>
      <c r="K1602" s="5" t="s">
        <v>1980</v>
      </c>
    </row>
    <row r="1603" spans="1:11" hidden="1">
      <c r="A1603" s="268"/>
      <c r="F1603" s="236" t="s">
        <v>1586</v>
      </c>
      <c r="G1603" s="187" t="s">
        <v>2167</v>
      </c>
      <c r="H1603" s="181" t="s">
        <v>725</v>
      </c>
      <c r="I1603"/>
      <c r="J1603" s="4"/>
      <c r="K1603"/>
    </row>
    <row r="1604" spans="1:11" hidden="1">
      <c r="A1604" s="268"/>
      <c r="H1604" s="181" t="s">
        <v>373</v>
      </c>
      <c r="I1604"/>
      <c r="J1604" s="4"/>
      <c r="K1604"/>
    </row>
    <row r="1605" spans="1:11" hidden="1">
      <c r="A1605" s="268"/>
      <c r="H1605" s="181" t="s">
        <v>374</v>
      </c>
      <c r="I1605"/>
      <c r="J1605" s="4"/>
      <c r="K1605"/>
    </row>
    <row r="1606" spans="1:11" hidden="1">
      <c r="A1606" s="268"/>
      <c r="H1606" s="181" t="s">
        <v>371</v>
      </c>
      <c r="I1606"/>
      <c r="J1606" s="4"/>
      <c r="K1606"/>
    </row>
    <row r="1607" spans="1:11" hidden="1">
      <c r="A1607" s="268"/>
      <c r="H1607" s="181" t="s">
        <v>1702</v>
      </c>
      <c r="I1607"/>
      <c r="J1607" s="4"/>
      <c r="K1607"/>
    </row>
    <row r="1608" spans="1:11" hidden="1">
      <c r="A1608" s="268"/>
      <c r="H1608" s="185" t="s">
        <v>1530</v>
      </c>
      <c r="I1608" s="5" t="s">
        <v>1530</v>
      </c>
      <c r="J1608" s="4"/>
      <c r="K1608"/>
    </row>
    <row r="1609" spans="1:11" hidden="1">
      <c r="A1609" s="268"/>
      <c r="F1609" s="188">
        <v>1</v>
      </c>
      <c r="G1609" s="187" t="s">
        <v>1703</v>
      </c>
      <c r="H1609" s="181" t="s">
        <v>1497</v>
      </c>
      <c r="I1609" s="8">
        <v>27.3</v>
      </c>
      <c r="J1609" s="2" t="s">
        <v>1341</v>
      </c>
      <c r="K1609" s="8">
        <f>(F1609*I1609)</f>
        <v>27.3</v>
      </c>
    </row>
    <row r="1610" spans="1:11" hidden="1">
      <c r="A1610" s="268"/>
      <c r="G1610" s="187" t="s">
        <v>419</v>
      </c>
      <c r="H1610" s="181" t="s">
        <v>1498</v>
      </c>
      <c r="I1610"/>
      <c r="J1610" s="2" t="s">
        <v>419</v>
      </c>
      <c r="K1610" s="8">
        <v>7.5</v>
      </c>
    </row>
    <row r="1611" spans="1:11" hidden="1">
      <c r="A1611" s="268"/>
      <c r="G1611" s="187" t="s">
        <v>419</v>
      </c>
      <c r="H1611" s="181" t="s">
        <v>592</v>
      </c>
      <c r="I1611"/>
      <c r="J1611" s="2" t="s">
        <v>419</v>
      </c>
      <c r="K1611" s="8">
        <v>1.2</v>
      </c>
    </row>
    <row r="1612" spans="1:11" hidden="1">
      <c r="A1612" s="268"/>
      <c r="H1612" s="181" t="s">
        <v>593</v>
      </c>
      <c r="I1612"/>
      <c r="J1612" s="4"/>
      <c r="K1612" s="5" t="s">
        <v>1530</v>
      </c>
    </row>
    <row r="1613" spans="1:11" hidden="1">
      <c r="A1613" s="268"/>
      <c r="H1613" s="236" t="s">
        <v>1585</v>
      </c>
      <c r="I1613"/>
      <c r="J1613" s="4"/>
      <c r="K1613" s="8">
        <f>SUM(K1609:K1611)</f>
        <v>36</v>
      </c>
    </row>
    <row r="1614" spans="1:11" hidden="1">
      <c r="A1614" s="268"/>
      <c r="I1614"/>
      <c r="J1614" s="4"/>
      <c r="K1614" s="5" t="s">
        <v>1980</v>
      </c>
    </row>
    <row r="1615" spans="1:11" hidden="1">
      <c r="A1615" s="268"/>
      <c r="F1615" s="236" t="s">
        <v>594</v>
      </c>
      <c r="G1615" s="187" t="s">
        <v>2167</v>
      </c>
      <c r="H1615" s="181" t="s">
        <v>508</v>
      </c>
      <c r="I1615"/>
      <c r="J1615" s="4"/>
      <c r="K1615"/>
    </row>
    <row r="1616" spans="1:11" hidden="1">
      <c r="A1616" s="268"/>
      <c r="H1616" s="181" t="s">
        <v>595</v>
      </c>
      <c r="I1616"/>
      <c r="J1616" s="4"/>
      <c r="K1616" s="1" t="s">
        <v>940</v>
      </c>
    </row>
    <row r="1617" spans="1:11" hidden="1">
      <c r="A1617" s="268"/>
      <c r="H1617" s="185" t="s">
        <v>1530</v>
      </c>
      <c r="I1617"/>
      <c r="J1617" s="4"/>
      <c r="K1617"/>
    </row>
    <row r="1618" spans="1:11" hidden="1">
      <c r="A1618" s="268"/>
      <c r="F1618" s="188">
        <v>1</v>
      </c>
      <c r="G1618" s="187" t="s">
        <v>1703</v>
      </c>
      <c r="H1618" s="181" t="s">
        <v>596</v>
      </c>
      <c r="I1618" s="8">
        <v>20</v>
      </c>
      <c r="J1618" s="2" t="s">
        <v>1341</v>
      </c>
      <c r="K1618" s="8">
        <f>(F1618*I1618)</f>
        <v>20</v>
      </c>
    </row>
    <row r="1619" spans="1:11" hidden="1">
      <c r="A1619" s="268"/>
      <c r="G1619" s="187" t="s">
        <v>419</v>
      </c>
      <c r="H1619" s="181" t="s">
        <v>597</v>
      </c>
      <c r="I1619"/>
      <c r="J1619" s="2" t="s">
        <v>419</v>
      </c>
      <c r="K1619" s="8">
        <v>5</v>
      </c>
    </row>
    <row r="1620" spans="1:11" hidden="1">
      <c r="A1620" s="268"/>
      <c r="I1620"/>
      <c r="J1620" s="4"/>
      <c r="K1620" s="5" t="s">
        <v>1530</v>
      </c>
    </row>
    <row r="1621" spans="1:11" hidden="1">
      <c r="A1621" s="268"/>
      <c r="H1621" s="236" t="s">
        <v>598</v>
      </c>
      <c r="I1621"/>
      <c r="J1621" s="4"/>
      <c r="K1621" s="8">
        <f>SUM(K1617:K1619)</f>
        <v>25</v>
      </c>
    </row>
    <row r="1622" spans="1:11" hidden="1">
      <c r="A1622" s="268"/>
      <c r="I1622"/>
      <c r="J1622" s="4"/>
      <c r="K1622" s="5" t="s">
        <v>1980</v>
      </c>
    </row>
    <row r="1623" spans="1:11" hidden="1">
      <c r="A1623" s="268"/>
      <c r="F1623" s="236" t="s">
        <v>2067</v>
      </c>
      <c r="G1623" s="187" t="s">
        <v>2167</v>
      </c>
      <c r="H1623" s="181" t="s">
        <v>509</v>
      </c>
      <c r="I1623"/>
      <c r="J1623" s="4"/>
      <c r="K1623"/>
    </row>
    <row r="1624" spans="1:11" hidden="1">
      <c r="A1624" s="268"/>
      <c r="H1624" s="185" t="s">
        <v>1530</v>
      </c>
      <c r="I1624" s="5" t="s">
        <v>1530</v>
      </c>
      <c r="J1624" s="4"/>
      <c r="K1624"/>
    </row>
    <row r="1625" spans="1:11" hidden="1">
      <c r="A1625" s="268"/>
      <c r="F1625" s="188">
        <v>1</v>
      </c>
      <c r="G1625" s="187" t="s">
        <v>1703</v>
      </c>
      <c r="H1625" s="181" t="s">
        <v>2068</v>
      </c>
      <c r="I1625" s="8">
        <v>1</v>
      </c>
      <c r="J1625" s="2" t="s">
        <v>1341</v>
      </c>
      <c r="K1625" s="8">
        <f>(F1625*I1625)</f>
        <v>1</v>
      </c>
    </row>
    <row r="1626" spans="1:11" hidden="1">
      <c r="A1626" s="268"/>
      <c r="G1626" s="187" t="s">
        <v>419</v>
      </c>
      <c r="H1626" s="181" t="s">
        <v>597</v>
      </c>
      <c r="I1626"/>
      <c r="J1626" s="2" t="s">
        <v>419</v>
      </c>
      <c r="K1626" s="8">
        <v>0.25</v>
      </c>
    </row>
    <row r="1627" spans="1:11" hidden="1">
      <c r="A1627" s="268"/>
      <c r="I1627"/>
      <c r="J1627" s="4"/>
      <c r="K1627" s="5" t="s">
        <v>1530</v>
      </c>
    </row>
    <row r="1628" spans="1:11" hidden="1">
      <c r="A1628" s="268"/>
      <c r="H1628" s="236" t="s">
        <v>598</v>
      </c>
      <c r="I1628"/>
      <c r="J1628" s="4"/>
      <c r="K1628" s="8">
        <f>SUM(K1623:K1626)</f>
        <v>1.25</v>
      </c>
    </row>
    <row r="1629" spans="1:11" hidden="1">
      <c r="A1629" s="268"/>
      <c r="F1629" s="181" t="s">
        <v>940</v>
      </c>
      <c r="I1629"/>
      <c r="J1629" s="4"/>
      <c r="K1629" s="5" t="s">
        <v>1530</v>
      </c>
    </row>
    <row r="1630" spans="1:11" hidden="1">
      <c r="A1630" s="268"/>
      <c r="F1630" s="246">
        <v>50.1</v>
      </c>
      <c r="G1630" s="187" t="s">
        <v>2167</v>
      </c>
      <c r="H1630" s="181" t="s">
        <v>2084</v>
      </c>
      <c r="I1630"/>
      <c r="J1630" s="4"/>
      <c r="K1630"/>
    </row>
    <row r="1631" spans="1:11" hidden="1">
      <c r="A1631" s="268"/>
      <c r="H1631" s="181" t="s">
        <v>13</v>
      </c>
      <c r="I1631"/>
      <c r="J1631" s="4"/>
      <c r="K1631"/>
    </row>
    <row r="1632" spans="1:11" hidden="1">
      <c r="A1632" s="268"/>
      <c r="H1632" s="181" t="s">
        <v>40</v>
      </c>
      <c r="I1632"/>
      <c r="J1632" s="4"/>
      <c r="K1632"/>
    </row>
    <row r="1633" spans="1:11" hidden="1">
      <c r="A1633" s="268"/>
      <c r="H1633" s="181" t="s">
        <v>41</v>
      </c>
      <c r="I1633"/>
      <c r="J1633" s="4"/>
      <c r="K1633"/>
    </row>
    <row r="1634" spans="1:11" hidden="1">
      <c r="A1634" s="268"/>
      <c r="H1634" s="181" t="s">
        <v>42</v>
      </c>
      <c r="I1634"/>
      <c r="J1634" s="4"/>
      <c r="K1634"/>
    </row>
    <row r="1635" spans="1:11" hidden="1">
      <c r="A1635" s="268"/>
      <c r="H1635" s="185" t="s">
        <v>1530</v>
      </c>
      <c r="I1635" s="5" t="s">
        <v>1530</v>
      </c>
      <c r="J1635" s="4"/>
      <c r="K1635"/>
    </row>
    <row r="1636" spans="1:11" hidden="1">
      <c r="A1636" s="268"/>
      <c r="F1636" s="188">
        <v>9</v>
      </c>
      <c r="G1636" s="187" t="s">
        <v>2070</v>
      </c>
      <c r="H1636" s="181" t="s">
        <v>1519</v>
      </c>
      <c r="I1636" s="8" t="e">
        <f>C73</f>
        <v>#REF!</v>
      </c>
      <c r="J1636" s="2" t="s">
        <v>2070</v>
      </c>
      <c r="K1636" s="8" t="e">
        <f>(F1636*I1636)</f>
        <v>#REF!</v>
      </c>
    </row>
    <row r="1637" spans="1:11" hidden="1">
      <c r="A1637" s="268"/>
      <c r="F1637" s="188">
        <v>4.5</v>
      </c>
      <c r="G1637" s="187" t="s">
        <v>2070</v>
      </c>
      <c r="H1637" s="181" t="s">
        <v>1520</v>
      </c>
      <c r="I1637" s="8" t="e">
        <f>K32</f>
        <v>#REF!</v>
      </c>
      <c r="J1637" s="2" t="s">
        <v>2070</v>
      </c>
      <c r="K1637" s="8" t="e">
        <f>(F1637*I1637)</f>
        <v>#REF!</v>
      </c>
    </row>
    <row r="1638" spans="1:11" hidden="1">
      <c r="A1638" s="268"/>
      <c r="F1638" s="188">
        <v>1.8</v>
      </c>
      <c r="G1638" s="187" t="s">
        <v>529</v>
      </c>
      <c r="H1638" s="181" t="s">
        <v>1521</v>
      </c>
      <c r="I1638" s="8">
        <f>C11</f>
        <v>135</v>
      </c>
      <c r="J1638" s="2" t="s">
        <v>1341</v>
      </c>
      <c r="K1638" s="8">
        <f>(F1638*I1638)</f>
        <v>243</v>
      </c>
    </row>
    <row r="1639" spans="1:11" hidden="1">
      <c r="A1639" s="268"/>
      <c r="F1639" s="188">
        <v>17.7</v>
      </c>
      <c r="G1639" s="187" t="s">
        <v>529</v>
      </c>
      <c r="H1639" s="181" t="s">
        <v>792</v>
      </c>
      <c r="I1639" s="8">
        <f>C12</f>
        <v>95</v>
      </c>
      <c r="J1639" s="2" t="s">
        <v>1341</v>
      </c>
      <c r="K1639" s="8">
        <f>(F1639*I1639)</f>
        <v>1681.5</v>
      </c>
    </row>
    <row r="1640" spans="1:11" hidden="1">
      <c r="A1640" s="268"/>
      <c r="F1640" s="188">
        <v>14.1</v>
      </c>
      <c r="G1640" s="187" t="s">
        <v>529</v>
      </c>
      <c r="H1640" s="181" t="s">
        <v>1317</v>
      </c>
      <c r="I1640" s="8">
        <f>C13</f>
        <v>85</v>
      </c>
      <c r="J1640" s="2" t="s">
        <v>1341</v>
      </c>
      <c r="K1640" s="8">
        <f>(F1640*I1640)</f>
        <v>1198.5</v>
      </c>
    </row>
    <row r="1641" spans="1:11" hidden="1">
      <c r="A1641" s="268"/>
      <c r="I1641"/>
      <c r="J1641" s="4"/>
      <c r="K1641" s="5" t="s">
        <v>1530</v>
      </c>
    </row>
    <row r="1642" spans="1:11" hidden="1">
      <c r="A1642" s="268"/>
      <c r="H1642" s="236" t="s">
        <v>1522</v>
      </c>
      <c r="I1642"/>
      <c r="J1642" s="4"/>
      <c r="K1642" s="8" t="e">
        <f>SUM(K1636:K1640)</f>
        <v>#REF!</v>
      </c>
    </row>
    <row r="1643" spans="1:11" hidden="1">
      <c r="A1643" s="268"/>
      <c r="I1643"/>
      <c r="J1643" s="4"/>
      <c r="K1643" s="5" t="s">
        <v>1530</v>
      </c>
    </row>
    <row r="1644" spans="1:11" hidden="1">
      <c r="A1644" s="268"/>
      <c r="H1644" s="236" t="s">
        <v>1523</v>
      </c>
      <c r="I1644"/>
      <c r="J1644" s="4"/>
      <c r="K1644" s="8" t="e">
        <f>(K1642/10)</f>
        <v>#REF!</v>
      </c>
    </row>
    <row r="1645" spans="1:11" hidden="1">
      <c r="A1645" s="268"/>
      <c r="I1645"/>
      <c r="J1645" s="4"/>
      <c r="K1645" s="5" t="s">
        <v>1980</v>
      </c>
    </row>
    <row r="1646" spans="1:11" hidden="1">
      <c r="A1646" s="268"/>
      <c r="I1646"/>
      <c r="J1646" s="4"/>
      <c r="K1646"/>
    </row>
    <row r="1647" spans="1:11" hidden="1">
      <c r="A1647" s="268"/>
      <c r="G1647" s="187" t="s">
        <v>643</v>
      </c>
      <c r="H1647" s="181" t="s">
        <v>1108</v>
      </c>
      <c r="I1647"/>
      <c r="J1647" s="4"/>
      <c r="K1647"/>
    </row>
    <row r="1648" spans="1:11" hidden="1">
      <c r="A1648" s="268"/>
      <c r="H1648" s="181" t="s">
        <v>569</v>
      </c>
      <c r="I1648"/>
      <c r="J1648" s="4"/>
      <c r="K1648"/>
    </row>
    <row r="1649" spans="1:11" hidden="1">
      <c r="A1649" s="268"/>
      <c r="H1649" s="185" t="s">
        <v>1530</v>
      </c>
      <c r="I1649" s="5" t="s">
        <v>1530</v>
      </c>
      <c r="J1649" s="4"/>
      <c r="K1649"/>
    </row>
    <row r="1650" spans="1:11" hidden="1">
      <c r="A1650" s="268"/>
      <c r="I1650"/>
      <c r="J1650" s="4"/>
      <c r="K1650"/>
    </row>
    <row r="1651" spans="1:11" hidden="1">
      <c r="A1651" s="268"/>
      <c r="F1651" s="245">
        <v>0.314</v>
      </c>
      <c r="G1651" s="187" t="s">
        <v>2070</v>
      </c>
      <c r="H1651" s="181" t="s">
        <v>412</v>
      </c>
      <c r="I1651" s="8" t="e">
        <f>K1644</f>
        <v>#REF!</v>
      </c>
      <c r="J1651" s="2" t="s">
        <v>2070</v>
      </c>
      <c r="K1651" s="8" t="e">
        <f>(F1651*I1651)</f>
        <v>#REF!</v>
      </c>
    </row>
    <row r="1652" spans="1:11" hidden="1">
      <c r="A1652" s="268"/>
      <c r="F1652" s="188">
        <v>18</v>
      </c>
      <c r="G1652" s="187" t="s">
        <v>529</v>
      </c>
      <c r="H1652" s="181" t="s">
        <v>504</v>
      </c>
      <c r="I1652" s="8">
        <v>2</v>
      </c>
      <c r="J1652" s="2" t="s">
        <v>1341</v>
      </c>
      <c r="K1652" s="8">
        <f>(F1652*I1652)</f>
        <v>36</v>
      </c>
    </row>
    <row r="1653" spans="1:11" hidden="1">
      <c r="A1653" s="268"/>
      <c r="F1653" s="188">
        <v>18</v>
      </c>
      <c r="G1653" s="187" t="s">
        <v>529</v>
      </c>
      <c r="H1653" s="181" t="s">
        <v>505</v>
      </c>
      <c r="I1653" s="8">
        <v>1</v>
      </c>
      <c r="J1653" s="2" t="s">
        <v>1341</v>
      </c>
      <c r="K1653" s="8">
        <f>(F1653*I1653)</f>
        <v>18</v>
      </c>
    </row>
    <row r="1654" spans="1:11" hidden="1">
      <c r="A1654" s="268"/>
      <c r="F1654" s="188">
        <v>18</v>
      </c>
      <c r="G1654" s="187" t="s">
        <v>529</v>
      </c>
      <c r="H1654" s="181" t="s">
        <v>506</v>
      </c>
      <c r="I1654" s="8">
        <v>2</v>
      </c>
      <c r="J1654" s="2" t="s">
        <v>1341</v>
      </c>
      <c r="K1654" s="8">
        <f>(F1654*I1654)</f>
        <v>36</v>
      </c>
    </row>
    <row r="1655" spans="1:11" hidden="1">
      <c r="A1655" s="268"/>
      <c r="I1655"/>
      <c r="J1655" s="4"/>
      <c r="K1655" s="5" t="s">
        <v>1530</v>
      </c>
    </row>
    <row r="1656" spans="1:11" hidden="1">
      <c r="A1656" s="268"/>
      <c r="H1656" s="236" t="s">
        <v>1881</v>
      </c>
      <c r="I1656"/>
      <c r="J1656" s="4"/>
      <c r="K1656" s="8" t="e">
        <f>SUM(K1650:K1654)</f>
        <v>#REF!</v>
      </c>
    </row>
    <row r="1657" spans="1:11" hidden="1">
      <c r="A1657" s="268"/>
      <c r="I1657"/>
      <c r="J1657" s="4"/>
      <c r="K1657" s="5" t="s">
        <v>1530</v>
      </c>
    </row>
    <row r="1658" spans="1:11" hidden="1">
      <c r="A1658" s="268"/>
      <c r="H1658" s="236" t="s">
        <v>1882</v>
      </c>
      <c r="I1658"/>
      <c r="J1658" s="4"/>
      <c r="K1658" s="8" t="e">
        <f>(K1656/6.28)</f>
        <v>#REF!</v>
      </c>
    </row>
    <row r="1659" spans="1:11" hidden="1">
      <c r="A1659" s="268"/>
      <c r="I1659"/>
      <c r="J1659" s="4"/>
      <c r="K1659" s="5" t="s">
        <v>1980</v>
      </c>
    </row>
    <row r="1660" spans="1:11" hidden="1">
      <c r="A1660" s="268"/>
      <c r="F1660" s="181" t="s">
        <v>940</v>
      </c>
      <c r="H1660" s="181" t="s">
        <v>700</v>
      </c>
      <c r="I1660"/>
      <c r="J1660" s="4"/>
      <c r="K1660"/>
    </row>
    <row r="1661" spans="1:11" hidden="1">
      <c r="A1661" s="268"/>
      <c r="H1661" s="185" t="s">
        <v>1530</v>
      </c>
      <c r="I1661"/>
      <c r="J1661" s="4"/>
      <c r="K1661"/>
    </row>
    <row r="1662" spans="1:11" hidden="1">
      <c r="A1662" s="268"/>
      <c r="F1662" s="245">
        <v>0.01</v>
      </c>
      <c r="G1662" s="187" t="s">
        <v>2070</v>
      </c>
      <c r="H1662" s="181" t="s">
        <v>412</v>
      </c>
      <c r="I1662" s="8" t="e">
        <f>K1644</f>
        <v>#REF!</v>
      </c>
      <c r="J1662" s="2" t="s">
        <v>2070</v>
      </c>
      <c r="K1662" s="8" t="e">
        <f>(F1662*I1662)</f>
        <v>#REF!</v>
      </c>
    </row>
    <row r="1663" spans="1:11" hidden="1">
      <c r="A1663" s="268"/>
      <c r="F1663" s="188">
        <v>0.01</v>
      </c>
      <c r="G1663" s="187" t="s">
        <v>1289</v>
      </c>
      <c r="H1663" s="181" t="s">
        <v>701</v>
      </c>
      <c r="I1663" s="6" t="s">
        <v>625</v>
      </c>
      <c r="J1663" s="4"/>
      <c r="K1663" s="8">
        <v>1.2</v>
      </c>
    </row>
    <row r="1664" spans="1:11" hidden="1">
      <c r="A1664" s="268"/>
      <c r="I1664" s="33"/>
      <c r="J1664" s="4"/>
      <c r="K1664" s="5" t="s">
        <v>1530</v>
      </c>
    </row>
    <row r="1665" spans="1:11" hidden="1">
      <c r="A1665" s="268"/>
      <c r="H1665" s="236" t="s">
        <v>709</v>
      </c>
      <c r="I1665"/>
      <c r="J1665" s="4"/>
      <c r="K1665" s="8" t="e">
        <f>SUM(K1659:K1663)</f>
        <v>#REF!</v>
      </c>
    </row>
    <row r="1666" spans="1:11" hidden="1">
      <c r="A1666" s="268"/>
      <c r="I1666"/>
      <c r="J1666" s="4"/>
      <c r="K1666" s="5" t="s">
        <v>1530</v>
      </c>
    </row>
    <row r="1667" spans="1:11" hidden="1">
      <c r="A1667" s="268"/>
      <c r="H1667" s="236" t="s">
        <v>2093</v>
      </c>
      <c r="I1667"/>
      <c r="J1667" s="4"/>
      <c r="K1667" s="8" t="e">
        <f>K1665/0.01</f>
        <v>#REF!</v>
      </c>
    </row>
    <row r="1668" spans="1:11" hidden="1">
      <c r="A1668" s="268"/>
      <c r="I1668"/>
      <c r="J1668" s="4"/>
      <c r="K1668" s="5" t="s">
        <v>1980</v>
      </c>
    </row>
    <row r="1669" spans="1:11" hidden="1">
      <c r="A1669" s="268"/>
      <c r="F1669" s="236" t="s">
        <v>2094</v>
      </c>
      <c r="G1669" s="187" t="s">
        <v>643</v>
      </c>
      <c r="H1669" s="181" t="s">
        <v>1108</v>
      </c>
      <c r="I1669"/>
      <c r="J1669" s="4"/>
      <c r="K1669"/>
    </row>
    <row r="1670" spans="1:11" hidden="1">
      <c r="A1670" s="268"/>
      <c r="H1670" s="248" t="s">
        <v>570</v>
      </c>
      <c r="I1670"/>
      <c r="J1670" s="4"/>
      <c r="K1670"/>
    </row>
    <row r="1671" spans="1:11" hidden="1">
      <c r="A1671" s="268"/>
      <c r="H1671" s="185" t="s">
        <v>1530</v>
      </c>
      <c r="I1671" s="5" t="s">
        <v>1530</v>
      </c>
      <c r="J1671" s="4"/>
      <c r="K1671"/>
    </row>
    <row r="1672" spans="1:11" hidden="1">
      <c r="A1672" s="268"/>
      <c r="F1672" s="245">
        <v>0.40500000000000003</v>
      </c>
      <c r="G1672" s="187" t="s">
        <v>2070</v>
      </c>
      <c r="H1672" s="181" t="s">
        <v>412</v>
      </c>
      <c r="I1672" s="8" t="e">
        <f>K1667</f>
        <v>#REF!</v>
      </c>
      <c r="J1672" s="2" t="s">
        <v>2070</v>
      </c>
      <c r="K1672" s="8" t="e">
        <f>(F1672*I1672)</f>
        <v>#REF!</v>
      </c>
    </row>
    <row r="1673" spans="1:11" hidden="1">
      <c r="A1673" s="268"/>
      <c r="F1673" s="181" t="s">
        <v>940</v>
      </c>
      <c r="G1673" s="187" t="s">
        <v>940</v>
      </c>
      <c r="H1673" s="181" t="s">
        <v>1594</v>
      </c>
      <c r="I1673" s="6" t="s">
        <v>625</v>
      </c>
      <c r="J1673" s="4"/>
      <c r="K1673" s="1" t="s">
        <v>940</v>
      </c>
    </row>
    <row r="1674" spans="1:11" hidden="1">
      <c r="A1674" s="268"/>
      <c r="I1674"/>
      <c r="J1674" s="4"/>
      <c r="K1674" s="5" t="s">
        <v>1530</v>
      </c>
    </row>
    <row r="1675" spans="1:11" hidden="1">
      <c r="A1675" s="268"/>
      <c r="H1675" s="236" t="s">
        <v>1595</v>
      </c>
      <c r="I1675"/>
      <c r="J1675" s="4"/>
      <c r="K1675" s="8" t="e">
        <f>SUM(K1669:K1673)</f>
        <v>#REF!</v>
      </c>
    </row>
    <row r="1676" spans="1:11" hidden="1">
      <c r="A1676" s="268"/>
      <c r="I1676"/>
      <c r="J1676" s="4"/>
      <c r="K1676" s="5" t="s">
        <v>1530</v>
      </c>
    </row>
    <row r="1677" spans="1:11" hidden="1">
      <c r="A1677" s="268"/>
      <c r="H1677" s="236" t="s">
        <v>1596</v>
      </c>
      <c r="I1677"/>
      <c r="J1677" s="4"/>
      <c r="K1677" s="8" t="e">
        <f>K1675/9</f>
        <v>#REF!</v>
      </c>
    </row>
    <row r="1678" spans="1:11" hidden="1">
      <c r="A1678" s="268"/>
      <c r="I1678"/>
      <c r="J1678" s="4"/>
      <c r="K1678" s="5" t="s">
        <v>1980</v>
      </c>
    </row>
    <row r="1679" spans="1:11" hidden="1">
      <c r="A1679" s="268"/>
      <c r="F1679" s="236" t="s">
        <v>1348</v>
      </c>
      <c r="H1679" s="181" t="s">
        <v>439</v>
      </c>
      <c r="I1679"/>
      <c r="J1679" s="4"/>
      <c r="K1679"/>
    </row>
    <row r="1680" spans="1:11" hidden="1">
      <c r="A1680" s="268"/>
      <c r="H1680" s="185" t="s">
        <v>1530</v>
      </c>
      <c r="I1680"/>
      <c r="J1680" s="4"/>
      <c r="K1680"/>
    </row>
    <row r="1681" spans="1:11" hidden="1">
      <c r="A1681" s="268"/>
      <c r="F1681" s="188">
        <v>4.32</v>
      </c>
      <c r="G1681" s="187" t="s">
        <v>836</v>
      </c>
      <c r="H1681" s="181" t="s">
        <v>335</v>
      </c>
      <c r="I1681" s="8">
        <f>C61</f>
        <v>25</v>
      </c>
      <c r="J1681" s="2" t="s">
        <v>836</v>
      </c>
      <c r="K1681" s="8">
        <f t="shared" ref="K1681:K1688" si="62">(F1681*I1681)</f>
        <v>108</v>
      </c>
    </row>
    <row r="1682" spans="1:11" hidden="1">
      <c r="A1682" s="268"/>
      <c r="F1682" s="188">
        <v>1.44</v>
      </c>
      <c r="G1682" s="187" t="s">
        <v>836</v>
      </c>
      <c r="H1682" s="181" t="s">
        <v>440</v>
      </c>
      <c r="I1682" s="8">
        <v>60.5</v>
      </c>
      <c r="J1682" s="2" t="s">
        <v>836</v>
      </c>
      <c r="K1682" s="8">
        <f t="shared" si="62"/>
        <v>87.12</v>
      </c>
    </row>
    <row r="1683" spans="1:11" hidden="1">
      <c r="A1683" s="268"/>
      <c r="F1683" s="188">
        <v>1.44</v>
      </c>
      <c r="G1683" s="187" t="s">
        <v>836</v>
      </c>
      <c r="H1683" s="181" t="s">
        <v>441</v>
      </c>
      <c r="I1683" s="8">
        <f>C35</f>
        <v>169</v>
      </c>
      <c r="J1683" s="2" t="s">
        <v>836</v>
      </c>
      <c r="K1683" s="8">
        <f t="shared" si="62"/>
        <v>243.36</v>
      </c>
    </row>
    <row r="1684" spans="1:11" hidden="1">
      <c r="A1684" s="268"/>
      <c r="F1684" s="188">
        <v>1.44</v>
      </c>
      <c r="G1684" s="187" t="s">
        <v>836</v>
      </c>
      <c r="H1684" s="181" t="s">
        <v>442</v>
      </c>
      <c r="I1684" s="8" t="e">
        <f>C78</f>
        <v>#REF!</v>
      </c>
      <c r="J1684" s="2" t="s">
        <v>836</v>
      </c>
      <c r="K1684" s="8" t="e">
        <f t="shared" si="62"/>
        <v>#REF!</v>
      </c>
    </row>
    <row r="1685" spans="1:11" hidden="1">
      <c r="A1685" s="268"/>
      <c r="F1685" s="188">
        <v>2.88</v>
      </c>
      <c r="G1685" s="187" t="s">
        <v>836</v>
      </c>
      <c r="H1685" s="181" t="s">
        <v>443</v>
      </c>
      <c r="I1685" s="8">
        <v>10</v>
      </c>
      <c r="J1685" s="2" t="s">
        <v>836</v>
      </c>
      <c r="K1685" s="8">
        <f t="shared" si="62"/>
        <v>28.8</v>
      </c>
    </row>
    <row r="1686" spans="1:11" hidden="1">
      <c r="A1686" s="268"/>
      <c r="F1686" s="188">
        <v>20</v>
      </c>
      <c r="G1686" s="187" t="s">
        <v>244</v>
      </c>
      <c r="H1686" s="181" t="s">
        <v>1570</v>
      </c>
      <c r="I1686" s="8">
        <v>40</v>
      </c>
      <c r="J1686" s="2" t="s">
        <v>244</v>
      </c>
      <c r="K1686" s="8">
        <f t="shared" si="62"/>
        <v>800</v>
      </c>
    </row>
    <row r="1687" spans="1:11" hidden="1">
      <c r="A1687" s="268"/>
      <c r="F1687" s="188">
        <v>42</v>
      </c>
      <c r="G1687" s="187" t="s">
        <v>2114</v>
      </c>
      <c r="H1687" s="181" t="s">
        <v>3063</v>
      </c>
      <c r="I1687" s="8">
        <v>10</v>
      </c>
      <c r="J1687" s="2" t="s">
        <v>2114</v>
      </c>
      <c r="K1687" s="8">
        <f t="shared" si="62"/>
        <v>420</v>
      </c>
    </row>
    <row r="1688" spans="1:11" hidden="1">
      <c r="A1688" s="268"/>
      <c r="F1688" s="188">
        <v>4.32</v>
      </c>
      <c r="G1688" s="187" t="s">
        <v>836</v>
      </c>
      <c r="H1688" s="181" t="s">
        <v>1562</v>
      </c>
      <c r="I1688" s="8">
        <f>C27</f>
        <v>7.8</v>
      </c>
      <c r="J1688" s="2" t="s">
        <v>836</v>
      </c>
      <c r="K1688" s="8">
        <f t="shared" si="62"/>
        <v>33.700000000000003</v>
      </c>
    </row>
    <row r="1689" spans="1:11" hidden="1">
      <c r="A1689" s="268"/>
      <c r="F1689" s="236" t="s">
        <v>702</v>
      </c>
      <c r="H1689" s="181" t="s">
        <v>986</v>
      </c>
      <c r="I1689"/>
      <c r="J1689" s="4"/>
      <c r="K1689" s="8">
        <v>2000</v>
      </c>
    </row>
    <row r="1690" spans="1:11" hidden="1">
      <c r="A1690" s="268"/>
      <c r="I1690"/>
      <c r="J1690" s="4"/>
      <c r="K1690" s="5" t="s">
        <v>1530</v>
      </c>
    </row>
    <row r="1691" spans="1:11" hidden="1">
      <c r="A1691" s="268"/>
      <c r="H1691" s="181" t="s">
        <v>987</v>
      </c>
      <c r="I1691"/>
      <c r="J1691" s="4"/>
      <c r="K1691" s="8" t="e">
        <f>SUM(K1681:K1689)</f>
        <v>#REF!</v>
      </c>
    </row>
    <row r="1692" spans="1:11" hidden="1">
      <c r="A1692" s="268"/>
      <c r="I1692"/>
      <c r="J1692" s="4"/>
      <c r="K1692" s="5" t="s">
        <v>1530</v>
      </c>
    </row>
    <row r="1693" spans="1:11" hidden="1">
      <c r="A1693" s="268"/>
      <c r="H1693" s="181" t="s">
        <v>1344</v>
      </c>
      <c r="I1693"/>
      <c r="J1693" s="4"/>
      <c r="K1693" s="8" t="e">
        <f>K1691/20</f>
        <v>#REF!</v>
      </c>
    </row>
    <row r="1694" spans="1:11" hidden="1">
      <c r="A1694" s="268"/>
      <c r="I1694"/>
      <c r="J1694" s="4"/>
      <c r="K1694" s="5" t="s">
        <v>1980</v>
      </c>
    </row>
    <row r="1695" spans="1:11" hidden="1">
      <c r="A1695" s="268"/>
      <c r="I1695"/>
      <c r="J1695" s="4"/>
      <c r="K1695"/>
    </row>
    <row r="1696" spans="1:11" hidden="1">
      <c r="A1696" s="268"/>
      <c r="F1696" s="236" t="s">
        <v>988</v>
      </c>
      <c r="H1696" s="181" t="s">
        <v>1266</v>
      </c>
      <c r="I1696"/>
      <c r="J1696" s="4"/>
      <c r="K1696"/>
    </row>
    <row r="1697" spans="1:11" hidden="1">
      <c r="A1697" s="268"/>
      <c r="H1697" s="185" t="s">
        <v>1530</v>
      </c>
      <c r="I1697"/>
      <c r="J1697" s="4"/>
      <c r="K1697"/>
    </row>
    <row r="1698" spans="1:11" hidden="1">
      <c r="A1698" s="268"/>
      <c r="F1698" s="188">
        <v>0.1</v>
      </c>
      <c r="G1698" s="187" t="s">
        <v>836</v>
      </c>
      <c r="H1698" s="181" t="s">
        <v>335</v>
      </c>
      <c r="I1698" s="8">
        <f>K90</f>
        <v>50</v>
      </c>
      <c r="J1698" s="2" t="s">
        <v>836</v>
      </c>
      <c r="K1698" s="8">
        <f t="shared" ref="K1698:K1703" si="63">(F1698*I1698)</f>
        <v>5</v>
      </c>
    </row>
    <row r="1699" spans="1:11" hidden="1">
      <c r="A1699" s="268"/>
      <c r="F1699" s="188">
        <v>6.3</v>
      </c>
      <c r="G1699" s="187" t="s">
        <v>2114</v>
      </c>
      <c r="H1699" s="181" t="s">
        <v>603</v>
      </c>
      <c r="I1699" s="52">
        <v>21</v>
      </c>
      <c r="J1699" s="2" t="s">
        <v>2114</v>
      </c>
      <c r="K1699" s="8">
        <f t="shared" si="63"/>
        <v>132.30000000000001</v>
      </c>
    </row>
    <row r="1700" spans="1:11" hidden="1">
      <c r="A1700" s="268"/>
      <c r="F1700" s="188">
        <v>6.3</v>
      </c>
      <c r="G1700" s="187" t="s">
        <v>2114</v>
      </c>
      <c r="H1700" s="181" t="s">
        <v>3063</v>
      </c>
      <c r="I1700" s="8">
        <v>10</v>
      </c>
      <c r="J1700" s="2" t="s">
        <v>2114</v>
      </c>
      <c r="K1700" s="8">
        <f t="shared" si="63"/>
        <v>63</v>
      </c>
    </row>
    <row r="1701" spans="1:11" hidden="1">
      <c r="A1701" s="268"/>
      <c r="F1701" s="188">
        <v>3.15</v>
      </c>
      <c r="G1701" s="187" t="s">
        <v>222</v>
      </c>
      <c r="H1701" s="181" t="s">
        <v>604</v>
      </c>
      <c r="I1701" s="52">
        <v>22.6</v>
      </c>
      <c r="J1701" s="2" t="s">
        <v>222</v>
      </c>
      <c r="K1701" s="8">
        <f t="shared" si="63"/>
        <v>71.19</v>
      </c>
    </row>
    <row r="1702" spans="1:11" hidden="1">
      <c r="A1702" s="268"/>
      <c r="F1702" s="188">
        <v>0.25</v>
      </c>
      <c r="G1702" s="187" t="s">
        <v>1703</v>
      </c>
      <c r="H1702" s="181" t="s">
        <v>605</v>
      </c>
      <c r="I1702" s="8">
        <f>D16</f>
        <v>135</v>
      </c>
      <c r="J1702" s="2" t="s">
        <v>1703</v>
      </c>
      <c r="K1702" s="8">
        <f t="shared" si="63"/>
        <v>33.75</v>
      </c>
    </row>
    <row r="1703" spans="1:11" hidden="1">
      <c r="A1703" s="268"/>
      <c r="F1703" s="188">
        <v>0.2</v>
      </c>
      <c r="G1703" s="187" t="s">
        <v>1703</v>
      </c>
      <c r="H1703" s="181" t="s">
        <v>606</v>
      </c>
      <c r="I1703" s="8">
        <f>C17</f>
        <v>130</v>
      </c>
      <c r="J1703" s="2" t="s">
        <v>1703</v>
      </c>
      <c r="K1703" s="8">
        <f t="shared" si="63"/>
        <v>26</v>
      </c>
    </row>
    <row r="1704" spans="1:11" hidden="1">
      <c r="A1704" s="268"/>
      <c r="H1704" s="181" t="s">
        <v>473</v>
      </c>
      <c r="I1704" s="1" t="s">
        <v>940</v>
      </c>
      <c r="J1704" s="2" t="s">
        <v>940</v>
      </c>
      <c r="K1704" s="8">
        <v>0</v>
      </c>
    </row>
    <row r="1705" spans="1:11" hidden="1">
      <c r="A1705" s="268"/>
      <c r="I1705"/>
      <c r="J1705" s="2" t="s">
        <v>940</v>
      </c>
      <c r="K1705" s="5" t="s">
        <v>1530</v>
      </c>
    </row>
    <row r="1706" spans="1:11" hidden="1">
      <c r="A1706" s="268"/>
      <c r="F1706" s="181" t="s">
        <v>940</v>
      </c>
      <c r="G1706" s="187" t="s">
        <v>940</v>
      </c>
      <c r="H1706" s="181" t="s">
        <v>1344</v>
      </c>
      <c r="I1706"/>
      <c r="J1706" s="4"/>
      <c r="K1706" s="8">
        <f>SUM(K1698:K1704)</f>
        <v>331.24</v>
      </c>
    </row>
    <row r="1707" spans="1:11" hidden="1">
      <c r="A1707" s="268"/>
      <c r="H1707" s="181" t="s">
        <v>940</v>
      </c>
      <c r="I1707"/>
      <c r="J1707" s="4"/>
      <c r="K1707" s="5" t="s">
        <v>1530</v>
      </c>
    </row>
    <row r="1708" spans="1:11" hidden="1">
      <c r="A1708" s="268"/>
      <c r="I1708"/>
      <c r="J1708" s="4"/>
      <c r="K1708" s="5"/>
    </row>
    <row r="1709" spans="1:11" hidden="1">
      <c r="A1709" s="268"/>
      <c r="F1709" s="236" t="s">
        <v>562</v>
      </c>
      <c r="H1709" s="181" t="s">
        <v>893</v>
      </c>
      <c r="I1709"/>
      <c r="J1709" s="4"/>
      <c r="K1709"/>
    </row>
    <row r="1710" spans="1:11" hidden="1">
      <c r="A1710" s="268"/>
      <c r="H1710" s="185" t="s">
        <v>1530</v>
      </c>
      <c r="I1710"/>
      <c r="J1710" s="4"/>
      <c r="K1710"/>
    </row>
    <row r="1711" spans="1:11" hidden="1">
      <c r="A1711" s="268"/>
      <c r="F1711" s="256">
        <v>0.48599999999999999</v>
      </c>
      <c r="G1711" s="187" t="s">
        <v>1289</v>
      </c>
      <c r="H1711" s="181" t="s">
        <v>335</v>
      </c>
      <c r="I1711" s="8">
        <f>C61</f>
        <v>25</v>
      </c>
      <c r="J1711" s="2" t="s">
        <v>1289</v>
      </c>
      <c r="K1711" s="8">
        <f t="shared" ref="K1711:K1717" si="64">(F1711*I1711)</f>
        <v>12.15</v>
      </c>
    </row>
    <row r="1712" spans="1:11" hidden="1">
      <c r="A1712" s="268"/>
      <c r="F1712" s="256">
        <v>0.48599999999999999</v>
      </c>
      <c r="G1712" s="187" t="s">
        <v>1289</v>
      </c>
      <c r="H1712" s="181" t="s">
        <v>336</v>
      </c>
      <c r="I1712" s="8" t="e">
        <f>K203</f>
        <v>#REF!</v>
      </c>
      <c r="J1712" s="2" t="s">
        <v>1289</v>
      </c>
      <c r="K1712" s="8" t="e">
        <f t="shared" si="64"/>
        <v>#REF!</v>
      </c>
    </row>
    <row r="1713" spans="1:11" hidden="1">
      <c r="A1713" s="268"/>
      <c r="F1713" s="188">
        <v>81.75</v>
      </c>
      <c r="G1713" s="187" t="s">
        <v>337</v>
      </c>
      <c r="H1713" s="181" t="s">
        <v>338</v>
      </c>
      <c r="I1713" s="8">
        <v>30</v>
      </c>
      <c r="J1713" s="2" t="s">
        <v>337</v>
      </c>
      <c r="K1713" s="8">
        <f t="shared" si="64"/>
        <v>2452.5</v>
      </c>
    </row>
    <row r="1714" spans="1:11" hidden="1">
      <c r="A1714" s="268"/>
      <c r="F1714" s="188">
        <v>7.2</v>
      </c>
      <c r="G1714" s="187" t="s">
        <v>337</v>
      </c>
      <c r="H1714" s="181" t="s">
        <v>339</v>
      </c>
      <c r="I1714" s="8">
        <v>30</v>
      </c>
      <c r="J1714" s="2" t="s">
        <v>337</v>
      </c>
      <c r="K1714" s="8">
        <f t="shared" si="64"/>
        <v>216</v>
      </c>
    </row>
    <row r="1715" spans="1:11" hidden="1">
      <c r="A1715" s="268"/>
      <c r="F1715" s="188">
        <v>43.68</v>
      </c>
      <c r="G1715" s="187" t="s">
        <v>337</v>
      </c>
      <c r="H1715" s="181" t="s">
        <v>1501</v>
      </c>
      <c r="I1715" s="8">
        <f>I1713</f>
        <v>30</v>
      </c>
      <c r="J1715" s="2" t="s">
        <v>337</v>
      </c>
      <c r="K1715" s="8">
        <f t="shared" si="64"/>
        <v>1310.4000000000001</v>
      </c>
    </row>
    <row r="1716" spans="1:11" hidden="1">
      <c r="A1716" s="268"/>
      <c r="F1716" s="188">
        <v>132.63</v>
      </c>
      <c r="G1716" s="187" t="s">
        <v>337</v>
      </c>
      <c r="H1716" s="181" t="s">
        <v>1502</v>
      </c>
      <c r="I1716" s="52">
        <v>12.3</v>
      </c>
      <c r="J1716" s="2" t="s">
        <v>337</v>
      </c>
      <c r="K1716" s="8">
        <f t="shared" si="64"/>
        <v>1631.35</v>
      </c>
    </row>
    <row r="1717" spans="1:11" hidden="1">
      <c r="A1717" s="268"/>
      <c r="F1717" s="188">
        <v>2.2000000000000002</v>
      </c>
      <c r="G1717" s="187" t="s">
        <v>222</v>
      </c>
      <c r="H1717" s="181" t="s">
        <v>2336</v>
      </c>
      <c r="I1717" s="8">
        <v>360</v>
      </c>
      <c r="J1717" s="2" t="s">
        <v>222</v>
      </c>
      <c r="K1717" s="8">
        <f t="shared" si="64"/>
        <v>792</v>
      </c>
    </row>
    <row r="1718" spans="1:11" hidden="1">
      <c r="A1718" s="268"/>
      <c r="F1718" s="189" t="s">
        <v>625</v>
      </c>
      <c r="H1718" s="181" t="s">
        <v>1503</v>
      </c>
      <c r="I1718" s="6" t="s">
        <v>625</v>
      </c>
      <c r="J1718" s="4"/>
      <c r="K1718" s="8">
        <v>250</v>
      </c>
    </row>
    <row r="1719" spans="1:11" hidden="1">
      <c r="A1719" s="268"/>
      <c r="F1719" s="189" t="s">
        <v>625</v>
      </c>
      <c r="H1719" s="181" t="s">
        <v>1343</v>
      </c>
      <c r="I1719" s="6" t="s">
        <v>625</v>
      </c>
      <c r="J1719" s="4"/>
      <c r="K1719" s="8">
        <v>20</v>
      </c>
    </row>
    <row r="1720" spans="1:11" hidden="1">
      <c r="A1720" s="268"/>
      <c r="I1720"/>
      <c r="J1720" s="4"/>
      <c r="K1720" s="5" t="s">
        <v>1530</v>
      </c>
    </row>
    <row r="1721" spans="1:11" hidden="1">
      <c r="A1721" s="268"/>
      <c r="I1721"/>
      <c r="J1721" s="4"/>
      <c r="K1721" s="8" t="e">
        <f>SUM(K1711:K1720)</f>
        <v>#REF!</v>
      </c>
    </row>
    <row r="1722" spans="1:11" hidden="1">
      <c r="A1722" s="268"/>
      <c r="I1722"/>
      <c r="J1722" s="4"/>
      <c r="K1722" s="5" t="s">
        <v>1530</v>
      </c>
    </row>
    <row r="1723" spans="1:11" hidden="1">
      <c r="A1723" s="268"/>
      <c r="I1723"/>
      <c r="J1723" s="4"/>
      <c r="K1723" s="5"/>
    </row>
    <row r="1724" spans="1:11" hidden="1">
      <c r="A1724" s="268"/>
      <c r="F1724" s="242">
        <v>86</v>
      </c>
      <c r="H1724" s="181" t="s">
        <v>1982</v>
      </c>
      <c r="I1724"/>
      <c r="J1724" s="4"/>
      <c r="K1724" s="8">
        <f>C777</f>
        <v>30</v>
      </c>
    </row>
    <row r="1725" spans="1:11" hidden="1">
      <c r="A1725" s="268"/>
      <c r="F1725" s="246"/>
      <c r="H1725" s="181"/>
      <c r="I1725"/>
      <c r="J1725" s="4"/>
      <c r="K1725" s="8"/>
    </row>
    <row r="1726" spans="1:11" hidden="1">
      <c r="A1726" s="268"/>
      <c r="F1726" s="236" t="s">
        <v>1597</v>
      </c>
      <c r="H1726" s="181" t="s">
        <v>2191</v>
      </c>
      <c r="I1726"/>
      <c r="J1726" s="4"/>
      <c r="K1726" s="1">
        <v>3135</v>
      </c>
    </row>
    <row r="1727" spans="1:11" hidden="1">
      <c r="A1727" s="268"/>
      <c r="H1727" s="181" t="s">
        <v>2192</v>
      </c>
      <c r="I1727"/>
      <c r="J1727" s="4"/>
      <c r="K1727">
        <f>K1726</f>
        <v>3135</v>
      </c>
    </row>
    <row r="1728" spans="1:11" hidden="1">
      <c r="A1728" s="268"/>
      <c r="F1728" s="181" t="s">
        <v>940</v>
      </c>
      <c r="I1728"/>
      <c r="J1728" s="4"/>
      <c r="K1728"/>
    </row>
    <row r="1729" spans="1:11" hidden="1">
      <c r="A1729" s="268"/>
      <c r="F1729" s="246"/>
      <c r="G1729" s="187" t="s">
        <v>2167</v>
      </c>
      <c r="H1729" s="181" t="s">
        <v>1974</v>
      </c>
      <c r="I1729"/>
      <c r="J1729" s="4"/>
      <c r="K1729"/>
    </row>
    <row r="1730" spans="1:11" hidden="1">
      <c r="A1730" s="268"/>
      <c r="H1730" s="181" t="s">
        <v>2193</v>
      </c>
      <c r="I1730"/>
      <c r="J1730" s="4"/>
      <c r="K1730"/>
    </row>
    <row r="1731" spans="1:11" hidden="1">
      <c r="A1731" s="268"/>
      <c r="H1731" s="181" t="s">
        <v>913</v>
      </c>
      <c r="I1731"/>
      <c r="J1731" s="4"/>
      <c r="K1731"/>
    </row>
    <row r="1732" spans="1:11" hidden="1">
      <c r="A1732" s="268"/>
      <c r="H1732" s="185" t="s">
        <v>1530</v>
      </c>
      <c r="I1732"/>
      <c r="J1732" s="4"/>
      <c r="K1732"/>
    </row>
    <row r="1733" spans="1:11" hidden="1">
      <c r="A1733" s="268"/>
      <c r="G1733" s="187" t="s">
        <v>2194</v>
      </c>
      <c r="H1733" s="181" t="s">
        <v>913</v>
      </c>
      <c r="I1733"/>
      <c r="J1733" s="4"/>
      <c r="K1733" s="1" t="s">
        <v>1394</v>
      </c>
    </row>
    <row r="1734" spans="1:11" hidden="1">
      <c r="A1734" s="268"/>
      <c r="H1734" s="185" t="s">
        <v>1530</v>
      </c>
      <c r="I1734"/>
      <c r="J1734" s="4"/>
      <c r="K1734" s="5" t="s">
        <v>1980</v>
      </c>
    </row>
    <row r="1735" spans="1:11" hidden="1">
      <c r="A1735" s="268"/>
      <c r="F1735" s="188">
        <v>30</v>
      </c>
      <c r="G1735" s="187" t="s">
        <v>1714</v>
      </c>
      <c r="H1735" s="181" t="s">
        <v>1610</v>
      </c>
      <c r="I1735" s="8">
        <f>(C639)</f>
        <v>3</v>
      </c>
      <c r="J1735" s="2" t="s">
        <v>1714</v>
      </c>
      <c r="K1735" s="8">
        <f>(F1735*I1735)</f>
        <v>90</v>
      </c>
    </row>
    <row r="1736" spans="1:11" hidden="1">
      <c r="A1736" s="268"/>
      <c r="F1736" s="181" t="s">
        <v>940</v>
      </c>
      <c r="H1736" s="181" t="s">
        <v>1613</v>
      </c>
      <c r="I1736" s="1" t="s">
        <v>940</v>
      </c>
      <c r="J1736" s="4"/>
      <c r="K1736" s="1" t="s">
        <v>940</v>
      </c>
    </row>
    <row r="1737" spans="1:11" hidden="1">
      <c r="A1737" s="268"/>
      <c r="F1737" s="188">
        <v>8</v>
      </c>
      <c r="G1737" s="187" t="s">
        <v>835</v>
      </c>
      <c r="H1737" s="181" t="s">
        <v>2062</v>
      </c>
      <c r="I1737" s="8">
        <f>(C641)</f>
        <v>2.2000000000000002</v>
      </c>
      <c r="J1737" s="2" t="s">
        <v>835</v>
      </c>
      <c r="K1737" s="8">
        <f t="shared" ref="K1737:K1742" si="65">(F1737*I1737)</f>
        <v>17.600000000000001</v>
      </c>
    </row>
    <row r="1738" spans="1:11" hidden="1">
      <c r="A1738" s="268"/>
      <c r="F1738" s="188">
        <v>8</v>
      </c>
      <c r="G1738" s="187" t="s">
        <v>835</v>
      </c>
      <c r="H1738" s="181" t="s">
        <v>437</v>
      </c>
      <c r="I1738" s="8">
        <f>(C642)</f>
        <v>3.2</v>
      </c>
      <c r="J1738" s="2" t="s">
        <v>835</v>
      </c>
      <c r="K1738" s="8">
        <f t="shared" si="65"/>
        <v>25.6</v>
      </c>
    </row>
    <row r="1739" spans="1:11" hidden="1">
      <c r="A1739" s="268"/>
      <c r="F1739" s="188">
        <v>3</v>
      </c>
      <c r="G1739" s="187" t="s">
        <v>835</v>
      </c>
      <c r="H1739" s="181" t="s">
        <v>1779</v>
      </c>
      <c r="I1739" s="8">
        <f>(C41)</f>
        <v>110</v>
      </c>
      <c r="J1739" s="2" t="s">
        <v>835</v>
      </c>
      <c r="K1739" s="8">
        <f t="shared" si="65"/>
        <v>330</v>
      </c>
    </row>
    <row r="1740" spans="1:11" hidden="1">
      <c r="A1740" s="268"/>
      <c r="F1740" s="188">
        <v>1</v>
      </c>
      <c r="G1740" s="187" t="s">
        <v>835</v>
      </c>
      <c r="H1740" s="181" t="s">
        <v>1325</v>
      </c>
      <c r="I1740" s="8">
        <f>(C10)</f>
        <v>150</v>
      </c>
      <c r="J1740" s="2" t="s">
        <v>835</v>
      </c>
      <c r="K1740" s="8">
        <f t="shared" si="65"/>
        <v>150</v>
      </c>
    </row>
    <row r="1741" spans="1:11" hidden="1">
      <c r="A1741" s="268"/>
      <c r="F1741" s="188">
        <v>2</v>
      </c>
      <c r="G1741" s="187" t="s">
        <v>835</v>
      </c>
      <c r="H1741" s="181" t="s">
        <v>1836</v>
      </c>
      <c r="I1741" s="8">
        <f>(C12)</f>
        <v>95</v>
      </c>
      <c r="J1741" s="2" t="s">
        <v>835</v>
      </c>
      <c r="K1741" s="8">
        <f t="shared" si="65"/>
        <v>190</v>
      </c>
    </row>
    <row r="1742" spans="1:11" hidden="1">
      <c r="A1742" s="268"/>
      <c r="F1742" s="188">
        <v>1</v>
      </c>
      <c r="G1742" s="187" t="s">
        <v>835</v>
      </c>
      <c r="H1742" s="181" t="s">
        <v>299</v>
      </c>
      <c r="I1742" s="8">
        <f>(C13)</f>
        <v>85</v>
      </c>
      <c r="J1742" s="2" t="s">
        <v>835</v>
      </c>
      <c r="K1742" s="8">
        <f t="shared" si="65"/>
        <v>85</v>
      </c>
    </row>
    <row r="1743" spans="1:11" hidden="1">
      <c r="A1743" s="268"/>
      <c r="G1743" s="187" t="s">
        <v>419</v>
      </c>
      <c r="H1743" s="181" t="s">
        <v>1326</v>
      </c>
      <c r="I1743" s="1" t="s">
        <v>940</v>
      </c>
      <c r="J1743" s="2" t="s">
        <v>419</v>
      </c>
      <c r="K1743" s="8">
        <v>5</v>
      </c>
    </row>
    <row r="1744" spans="1:11" hidden="1">
      <c r="A1744" s="268"/>
      <c r="H1744" s="181" t="s">
        <v>895</v>
      </c>
      <c r="I1744" s="1" t="s">
        <v>940</v>
      </c>
      <c r="J1744" s="4"/>
      <c r="K1744" s="1" t="s">
        <v>940</v>
      </c>
    </row>
    <row r="1745" spans="1:11" hidden="1">
      <c r="A1745" s="268"/>
      <c r="G1745" s="187" t="s">
        <v>419</v>
      </c>
      <c r="H1745" s="181" t="s">
        <v>420</v>
      </c>
      <c r="I1745"/>
      <c r="J1745" s="2" t="s">
        <v>419</v>
      </c>
      <c r="K1745" s="8">
        <v>0</v>
      </c>
    </row>
    <row r="1746" spans="1:11" hidden="1">
      <c r="A1746" s="268"/>
      <c r="I1746"/>
      <c r="J1746" s="4"/>
      <c r="K1746" s="5" t="s">
        <v>1530</v>
      </c>
    </row>
    <row r="1747" spans="1:11" hidden="1">
      <c r="A1747" s="268"/>
      <c r="H1747" s="181" t="s">
        <v>1784</v>
      </c>
      <c r="I1747"/>
      <c r="J1747" s="4"/>
      <c r="K1747" s="8">
        <f>SUM(K1735:K1745)</f>
        <v>893.2</v>
      </c>
    </row>
    <row r="1748" spans="1:11" hidden="1">
      <c r="A1748" s="268"/>
      <c r="I1748"/>
      <c r="J1748" s="4"/>
      <c r="K1748" s="5" t="s">
        <v>1530</v>
      </c>
    </row>
    <row r="1749" spans="1:11" hidden="1">
      <c r="A1749" s="268"/>
      <c r="H1749" s="181" t="s">
        <v>1490</v>
      </c>
      <c r="I1749"/>
      <c r="J1749" s="4"/>
      <c r="K1749" s="8">
        <f>(K1747/30)</f>
        <v>29.77</v>
      </c>
    </row>
    <row r="1750" spans="1:11" hidden="1">
      <c r="A1750" s="268"/>
      <c r="I1750"/>
      <c r="J1750" s="4"/>
      <c r="K1750" s="5" t="s">
        <v>1530</v>
      </c>
    </row>
    <row r="1751" spans="1:11" hidden="1">
      <c r="A1751" s="268"/>
      <c r="G1751" s="187" t="s">
        <v>486</v>
      </c>
      <c r="H1751" s="181" t="s">
        <v>913</v>
      </c>
      <c r="I1751"/>
      <c r="J1751" s="4"/>
      <c r="K1751" s="1" t="s">
        <v>22</v>
      </c>
    </row>
    <row r="1752" spans="1:11" hidden="1">
      <c r="A1752" s="268"/>
      <c r="H1752" s="185" t="s">
        <v>1530</v>
      </c>
      <c r="I1752"/>
      <c r="J1752" s="4"/>
      <c r="K1752" s="5" t="s">
        <v>1980</v>
      </c>
    </row>
    <row r="1753" spans="1:11" hidden="1">
      <c r="A1753" s="268"/>
      <c r="F1753" s="188">
        <v>30</v>
      </c>
      <c r="G1753" s="187" t="s">
        <v>1714</v>
      </c>
      <c r="H1753" s="181" t="s">
        <v>1610</v>
      </c>
      <c r="I1753" s="8">
        <f>(C639)</f>
        <v>3</v>
      </c>
      <c r="J1753" s="2" t="s">
        <v>1714</v>
      </c>
      <c r="K1753" s="8">
        <f>(F1753*I1753)</f>
        <v>90</v>
      </c>
    </row>
    <row r="1754" spans="1:11" hidden="1">
      <c r="A1754" s="268"/>
      <c r="F1754" s="181" t="s">
        <v>940</v>
      </c>
      <c r="H1754" s="181" t="s">
        <v>1613</v>
      </c>
      <c r="I1754" s="1" t="s">
        <v>940</v>
      </c>
      <c r="J1754" s="4"/>
      <c r="K1754" s="1" t="s">
        <v>940</v>
      </c>
    </row>
    <row r="1755" spans="1:11" hidden="1">
      <c r="A1755" s="268"/>
      <c r="F1755" s="188">
        <v>8</v>
      </c>
      <c r="G1755" s="187" t="s">
        <v>835</v>
      </c>
      <c r="H1755" s="181" t="s">
        <v>2062</v>
      </c>
      <c r="I1755" s="8">
        <f>(C641)</f>
        <v>2.2000000000000002</v>
      </c>
      <c r="J1755" s="2" t="s">
        <v>835</v>
      </c>
      <c r="K1755" s="8">
        <f t="shared" ref="K1755:K1760" si="66">(F1755*I1755)</f>
        <v>17.600000000000001</v>
      </c>
    </row>
    <row r="1756" spans="1:11" hidden="1">
      <c r="A1756" s="268"/>
      <c r="F1756" s="188">
        <v>8</v>
      </c>
      <c r="G1756" s="187" t="s">
        <v>835</v>
      </c>
      <c r="H1756" s="181" t="s">
        <v>437</v>
      </c>
      <c r="I1756" s="8">
        <f>(D642)</f>
        <v>3.2</v>
      </c>
      <c r="J1756" s="2" t="s">
        <v>835</v>
      </c>
      <c r="K1756" s="8">
        <f t="shared" si="66"/>
        <v>25.6</v>
      </c>
    </row>
    <row r="1757" spans="1:11" hidden="1">
      <c r="A1757" s="268"/>
      <c r="F1757" s="188">
        <v>3</v>
      </c>
      <c r="G1757" s="187" t="s">
        <v>835</v>
      </c>
      <c r="H1757" s="181" t="s">
        <v>1779</v>
      </c>
      <c r="I1757" s="8">
        <f>(C41)</f>
        <v>110</v>
      </c>
      <c r="J1757" s="2" t="s">
        <v>835</v>
      </c>
      <c r="K1757" s="8">
        <f t="shared" si="66"/>
        <v>330</v>
      </c>
    </row>
    <row r="1758" spans="1:11" hidden="1">
      <c r="A1758" s="268"/>
      <c r="F1758" s="188">
        <v>1</v>
      </c>
      <c r="G1758" s="187" t="s">
        <v>835</v>
      </c>
      <c r="H1758" s="181" t="s">
        <v>1325</v>
      </c>
      <c r="I1758" s="8">
        <f>(C10)</f>
        <v>150</v>
      </c>
      <c r="J1758" s="2" t="s">
        <v>835</v>
      </c>
      <c r="K1758" s="8">
        <f t="shared" si="66"/>
        <v>150</v>
      </c>
    </row>
    <row r="1759" spans="1:11" hidden="1">
      <c r="A1759" s="268"/>
      <c r="F1759" s="188">
        <v>2</v>
      </c>
      <c r="G1759" s="187" t="s">
        <v>835</v>
      </c>
      <c r="H1759" s="181" t="s">
        <v>1836</v>
      </c>
      <c r="I1759" s="8">
        <f>(C12)</f>
        <v>95</v>
      </c>
      <c r="J1759" s="2" t="s">
        <v>835</v>
      </c>
      <c r="K1759" s="8">
        <f t="shared" si="66"/>
        <v>190</v>
      </c>
    </row>
    <row r="1760" spans="1:11" hidden="1">
      <c r="A1760" s="268"/>
      <c r="F1760" s="188">
        <v>1</v>
      </c>
      <c r="G1760" s="187" t="s">
        <v>835</v>
      </c>
      <c r="H1760" s="181" t="s">
        <v>299</v>
      </c>
      <c r="I1760" s="8">
        <f>(C13)</f>
        <v>85</v>
      </c>
      <c r="J1760" s="2" t="s">
        <v>835</v>
      </c>
      <c r="K1760" s="8">
        <f t="shared" si="66"/>
        <v>85</v>
      </c>
    </row>
    <row r="1761" spans="1:11" hidden="1">
      <c r="A1761" s="268"/>
      <c r="G1761" s="187" t="s">
        <v>419</v>
      </c>
      <c r="H1761" s="181" t="s">
        <v>1326</v>
      </c>
      <c r="I1761" s="1" t="s">
        <v>940</v>
      </c>
      <c r="J1761" s="2" t="s">
        <v>419</v>
      </c>
      <c r="K1761" s="8">
        <v>5</v>
      </c>
    </row>
    <row r="1762" spans="1:11" hidden="1">
      <c r="A1762" s="268"/>
      <c r="H1762" s="181" t="s">
        <v>895</v>
      </c>
      <c r="I1762" s="1" t="s">
        <v>940</v>
      </c>
      <c r="J1762" s="4"/>
      <c r="K1762" s="1" t="s">
        <v>940</v>
      </c>
    </row>
    <row r="1763" spans="1:11" hidden="1">
      <c r="A1763" s="268"/>
      <c r="G1763" s="187" t="s">
        <v>419</v>
      </c>
      <c r="H1763" s="181" t="s">
        <v>420</v>
      </c>
      <c r="I1763"/>
      <c r="J1763" s="2" t="s">
        <v>419</v>
      </c>
      <c r="K1763" s="8">
        <v>0</v>
      </c>
    </row>
    <row r="1764" spans="1:11" hidden="1">
      <c r="A1764" s="268"/>
      <c r="I1764"/>
      <c r="J1764" s="4"/>
      <c r="K1764" s="5" t="s">
        <v>1530</v>
      </c>
    </row>
    <row r="1765" spans="1:11" hidden="1">
      <c r="A1765" s="268"/>
      <c r="H1765" s="181" t="s">
        <v>1784</v>
      </c>
      <c r="I1765"/>
      <c r="J1765" s="4"/>
      <c r="K1765" s="8">
        <f>SUM(K1753:K1763)</f>
        <v>893.2</v>
      </c>
    </row>
    <row r="1766" spans="1:11" hidden="1">
      <c r="A1766" s="268"/>
      <c r="I1766"/>
      <c r="J1766" s="4"/>
      <c r="K1766" s="5" t="s">
        <v>1530</v>
      </c>
    </row>
    <row r="1767" spans="1:11" hidden="1">
      <c r="A1767" s="268"/>
      <c r="H1767" s="181" t="s">
        <v>1490</v>
      </c>
      <c r="I1767"/>
      <c r="J1767" s="4"/>
      <c r="K1767" s="8">
        <f>(K1765/30)</f>
        <v>29.77</v>
      </c>
    </row>
    <row r="1768" spans="1:11" hidden="1">
      <c r="A1768" s="268"/>
      <c r="I1768"/>
      <c r="J1768" s="4"/>
      <c r="K1768" s="5" t="s">
        <v>1530</v>
      </c>
    </row>
    <row r="1769" spans="1:11" hidden="1">
      <c r="A1769" s="268"/>
      <c r="G1769" s="187" t="s">
        <v>1840</v>
      </c>
      <c r="H1769" s="181" t="s">
        <v>913</v>
      </c>
      <c r="I1769"/>
      <c r="J1769" s="4"/>
      <c r="K1769" s="1" t="s">
        <v>23</v>
      </c>
    </row>
    <row r="1770" spans="1:11" hidden="1">
      <c r="A1770" s="268"/>
      <c r="H1770" s="185" t="s">
        <v>1530</v>
      </c>
      <c r="I1770"/>
      <c r="J1770" s="4"/>
      <c r="K1770" s="5" t="s">
        <v>1980</v>
      </c>
    </row>
    <row r="1771" spans="1:11" hidden="1">
      <c r="A1771" s="268"/>
      <c r="F1771" s="188">
        <v>30</v>
      </c>
      <c r="G1771" s="187" t="s">
        <v>1714</v>
      </c>
      <c r="H1771" s="181" t="s">
        <v>1610</v>
      </c>
      <c r="I1771" s="8">
        <f>(C639)</f>
        <v>3</v>
      </c>
      <c r="J1771" s="2" t="s">
        <v>1714</v>
      </c>
      <c r="K1771" s="8">
        <f>(F1771*I1771)</f>
        <v>90</v>
      </c>
    </row>
    <row r="1772" spans="1:11" hidden="1">
      <c r="A1772" s="268"/>
      <c r="F1772" s="181" t="s">
        <v>940</v>
      </c>
      <c r="H1772" s="181" t="s">
        <v>1613</v>
      </c>
      <c r="I1772" s="1" t="s">
        <v>940</v>
      </c>
      <c r="J1772" s="4"/>
      <c r="K1772" s="1" t="s">
        <v>940</v>
      </c>
    </row>
    <row r="1773" spans="1:11" hidden="1">
      <c r="A1773" s="268"/>
      <c r="F1773" s="188">
        <v>8</v>
      </c>
      <c r="G1773" s="187" t="s">
        <v>835</v>
      </c>
      <c r="H1773" s="181" t="s">
        <v>2062</v>
      </c>
      <c r="I1773" s="8">
        <f>(D641)</f>
        <v>2.7</v>
      </c>
      <c r="J1773" s="2" t="s">
        <v>835</v>
      </c>
      <c r="K1773" s="8">
        <f t="shared" ref="K1773:K1778" si="67">(F1773*I1773)</f>
        <v>21.6</v>
      </c>
    </row>
    <row r="1774" spans="1:11" hidden="1">
      <c r="A1774" s="268"/>
      <c r="F1774" s="188">
        <v>8</v>
      </c>
      <c r="G1774" s="187" t="s">
        <v>835</v>
      </c>
      <c r="H1774" s="181" t="s">
        <v>437</v>
      </c>
      <c r="I1774" s="8">
        <f>(C647)</f>
        <v>6.4</v>
      </c>
      <c r="J1774" s="2" t="s">
        <v>835</v>
      </c>
      <c r="K1774" s="8">
        <f t="shared" si="67"/>
        <v>51.2</v>
      </c>
    </row>
    <row r="1775" spans="1:11" hidden="1">
      <c r="A1775" s="268"/>
      <c r="F1775" s="188">
        <v>3</v>
      </c>
      <c r="G1775" s="187" t="s">
        <v>835</v>
      </c>
      <c r="H1775" s="181" t="s">
        <v>1779</v>
      </c>
      <c r="I1775" s="8">
        <f>(C41)</f>
        <v>110</v>
      </c>
      <c r="J1775" s="2" t="s">
        <v>835</v>
      </c>
      <c r="K1775" s="8">
        <f t="shared" si="67"/>
        <v>330</v>
      </c>
    </row>
    <row r="1776" spans="1:11" hidden="1">
      <c r="A1776" s="268"/>
      <c r="F1776" s="188">
        <v>1</v>
      </c>
      <c r="G1776" s="187" t="s">
        <v>835</v>
      </c>
      <c r="H1776" s="181" t="s">
        <v>1325</v>
      </c>
      <c r="I1776" s="8">
        <f>(C10)</f>
        <v>150</v>
      </c>
      <c r="J1776" s="2" t="s">
        <v>835</v>
      </c>
      <c r="K1776" s="8">
        <f t="shared" si="67"/>
        <v>150</v>
      </c>
    </row>
    <row r="1777" spans="1:11" hidden="1">
      <c r="A1777" s="268"/>
      <c r="F1777" s="188">
        <v>2</v>
      </c>
      <c r="G1777" s="187" t="s">
        <v>835</v>
      </c>
      <c r="H1777" s="181" t="s">
        <v>1836</v>
      </c>
      <c r="I1777" s="8">
        <f>(C12)</f>
        <v>95</v>
      </c>
      <c r="J1777" s="2" t="s">
        <v>835</v>
      </c>
      <c r="K1777" s="8">
        <f t="shared" si="67"/>
        <v>190</v>
      </c>
    </row>
    <row r="1778" spans="1:11" hidden="1">
      <c r="A1778" s="268"/>
      <c r="F1778" s="188">
        <v>1</v>
      </c>
      <c r="G1778" s="187" t="s">
        <v>835</v>
      </c>
      <c r="H1778" s="181" t="s">
        <v>299</v>
      </c>
      <c r="I1778" s="8">
        <f>(C13)</f>
        <v>85</v>
      </c>
      <c r="J1778" s="2" t="s">
        <v>835</v>
      </c>
      <c r="K1778" s="8">
        <f t="shared" si="67"/>
        <v>85</v>
      </c>
    </row>
    <row r="1779" spans="1:11" hidden="1">
      <c r="A1779" s="268"/>
      <c r="G1779" s="187" t="s">
        <v>419</v>
      </c>
      <c r="H1779" s="181" t="s">
        <v>1326</v>
      </c>
      <c r="I1779" s="1" t="s">
        <v>940</v>
      </c>
      <c r="J1779" s="2" t="s">
        <v>419</v>
      </c>
      <c r="K1779" s="8">
        <v>5</v>
      </c>
    </row>
    <row r="1780" spans="1:11" hidden="1">
      <c r="A1780" s="268"/>
      <c r="H1780" s="181" t="s">
        <v>895</v>
      </c>
      <c r="I1780" s="1" t="s">
        <v>940</v>
      </c>
      <c r="J1780" s="4"/>
      <c r="K1780" s="1" t="s">
        <v>940</v>
      </c>
    </row>
    <row r="1781" spans="1:11" hidden="1">
      <c r="A1781" s="268"/>
      <c r="G1781" s="187" t="s">
        <v>419</v>
      </c>
      <c r="H1781" s="181" t="s">
        <v>420</v>
      </c>
      <c r="I1781"/>
      <c r="J1781" s="2" t="s">
        <v>419</v>
      </c>
      <c r="K1781" s="8">
        <v>0</v>
      </c>
    </row>
    <row r="1782" spans="1:11" hidden="1">
      <c r="A1782" s="268"/>
      <c r="I1782"/>
      <c r="J1782" s="4"/>
      <c r="K1782" s="5" t="s">
        <v>1530</v>
      </c>
    </row>
    <row r="1783" spans="1:11" hidden="1">
      <c r="A1783" s="268"/>
      <c r="H1783" s="181" t="s">
        <v>1784</v>
      </c>
      <c r="I1783"/>
      <c r="J1783" s="4"/>
      <c r="K1783" s="8">
        <f>SUM(K1771:K1781)</f>
        <v>922.8</v>
      </c>
    </row>
    <row r="1784" spans="1:11" hidden="1">
      <c r="A1784" s="268"/>
      <c r="I1784"/>
      <c r="J1784" s="4"/>
      <c r="K1784" s="5" t="s">
        <v>1530</v>
      </c>
    </row>
    <row r="1785" spans="1:11" hidden="1">
      <c r="A1785" s="268"/>
      <c r="H1785" s="181" t="s">
        <v>1490</v>
      </c>
      <c r="I1785"/>
      <c r="J1785" s="4"/>
      <c r="K1785" s="8">
        <f>(K1783/30)</f>
        <v>30.76</v>
      </c>
    </row>
    <row r="1786" spans="1:11" hidden="1">
      <c r="A1786" s="268"/>
      <c r="I1786"/>
      <c r="J1786" s="4"/>
      <c r="K1786" s="5" t="s">
        <v>1530</v>
      </c>
    </row>
    <row r="1787" spans="1:11" hidden="1">
      <c r="A1787" s="268"/>
      <c r="I1787"/>
      <c r="J1787" s="4"/>
      <c r="K1787"/>
    </row>
    <row r="1788" spans="1:11" hidden="1">
      <c r="A1788" s="268"/>
      <c r="F1788" s="275">
        <v>52</v>
      </c>
      <c r="G1788" s="187" t="s">
        <v>2167</v>
      </c>
      <c r="H1788" s="181" t="s">
        <v>97</v>
      </c>
      <c r="I1788"/>
      <c r="J1788" s="4"/>
      <c r="K1788"/>
    </row>
    <row r="1789" spans="1:11" hidden="1">
      <c r="A1789" s="268"/>
      <c r="H1789" s="181" t="s">
        <v>2087</v>
      </c>
      <c r="I1789"/>
      <c r="J1789" s="4"/>
      <c r="K1789"/>
    </row>
    <row r="1790" spans="1:11" hidden="1">
      <c r="A1790" s="268"/>
      <c r="H1790" s="181" t="s">
        <v>2088</v>
      </c>
      <c r="I1790"/>
      <c r="J1790" s="4"/>
      <c r="K1790"/>
    </row>
    <row r="1791" spans="1:11" hidden="1">
      <c r="A1791" s="268"/>
      <c r="H1791" s="181" t="s">
        <v>1349</v>
      </c>
      <c r="I1791"/>
      <c r="J1791" s="4"/>
      <c r="K1791"/>
    </row>
    <row r="1792" spans="1:11" hidden="1">
      <c r="A1792" s="268"/>
      <c r="H1792" s="181" t="s">
        <v>1350</v>
      </c>
      <c r="I1792"/>
      <c r="J1792" s="4"/>
      <c r="K1792"/>
    </row>
    <row r="1793" spans="1:11" hidden="1">
      <c r="A1793" s="268"/>
      <c r="H1793" s="181" t="s">
        <v>1299</v>
      </c>
      <c r="I1793"/>
      <c r="J1793" s="4"/>
      <c r="K1793"/>
    </row>
    <row r="1794" spans="1:11" hidden="1">
      <c r="A1794" s="268"/>
      <c r="H1794" s="181" t="s">
        <v>1300</v>
      </c>
      <c r="I1794"/>
      <c r="J1794" s="4"/>
      <c r="K1794"/>
    </row>
    <row r="1795" spans="1:11" hidden="1">
      <c r="A1795" s="268"/>
      <c r="H1795" s="181" t="s">
        <v>677</v>
      </c>
      <c r="I1795"/>
      <c r="J1795" s="4"/>
      <c r="K1795"/>
    </row>
    <row r="1796" spans="1:11" hidden="1">
      <c r="A1796" s="268"/>
      <c r="H1796" s="185" t="s">
        <v>1980</v>
      </c>
      <c r="I1796" s="5" t="s">
        <v>1980</v>
      </c>
      <c r="J1796" s="4"/>
      <c r="K1796"/>
    </row>
    <row r="1797" spans="1:11" hidden="1">
      <c r="A1797" s="268"/>
      <c r="G1797" s="187" t="s">
        <v>2167</v>
      </c>
      <c r="H1797" s="181" t="s">
        <v>881</v>
      </c>
      <c r="I1797"/>
      <c r="J1797" s="4"/>
      <c r="K1797"/>
    </row>
    <row r="1798" spans="1:11" hidden="1">
      <c r="A1798" s="268"/>
      <c r="H1798" s="181" t="s">
        <v>776</v>
      </c>
      <c r="I1798"/>
      <c r="J1798" s="4"/>
      <c r="K1798"/>
    </row>
    <row r="1799" spans="1:11" hidden="1">
      <c r="A1799" s="268"/>
      <c r="G1799" s="187" t="s">
        <v>295</v>
      </c>
      <c r="H1799" s="181" t="s">
        <v>777</v>
      </c>
      <c r="I1799"/>
      <c r="J1799" s="4"/>
      <c r="K1799"/>
    </row>
    <row r="1800" spans="1:11" hidden="1">
      <c r="A1800" s="268"/>
      <c r="H1800" s="185" t="s">
        <v>1530</v>
      </c>
      <c r="I1800"/>
      <c r="J1800" s="4"/>
      <c r="K1800"/>
    </row>
    <row r="1801" spans="1:11" hidden="1">
      <c r="A1801" s="268"/>
      <c r="F1801" s="188">
        <v>1</v>
      </c>
      <c r="G1801" s="187" t="s">
        <v>794</v>
      </c>
      <c r="H1801" s="181" t="s">
        <v>587</v>
      </c>
      <c r="I1801" s="8">
        <f>C509</f>
        <v>32.9</v>
      </c>
      <c r="J1801" s="2" t="s">
        <v>794</v>
      </c>
      <c r="K1801" s="8">
        <f>(F1801*I1801)</f>
        <v>32.9</v>
      </c>
    </row>
    <row r="1802" spans="1:11" hidden="1">
      <c r="A1802" s="268"/>
      <c r="F1802" s="188">
        <v>1</v>
      </c>
      <c r="G1802" s="187" t="s">
        <v>419</v>
      </c>
      <c r="H1802" s="181" t="s">
        <v>1739</v>
      </c>
      <c r="I1802" s="8">
        <f>I1801*0.7</f>
        <v>23.03</v>
      </c>
      <c r="J1802" s="2" t="s">
        <v>419</v>
      </c>
      <c r="K1802" s="8">
        <f>(F1802*I1802)</f>
        <v>23.03</v>
      </c>
    </row>
    <row r="1803" spans="1:11" hidden="1">
      <c r="A1803" s="268"/>
      <c r="F1803" s="188">
        <v>1</v>
      </c>
      <c r="G1803" s="187" t="s">
        <v>794</v>
      </c>
      <c r="H1803" s="181" t="s">
        <v>159</v>
      </c>
      <c r="I1803" s="8">
        <f>K1749</f>
        <v>29.77</v>
      </c>
      <c r="J1803" s="2" t="s">
        <v>794</v>
      </c>
      <c r="K1803" s="8">
        <f>(F1803*I1803)</f>
        <v>29.77</v>
      </c>
    </row>
    <row r="1804" spans="1:11" hidden="1">
      <c r="A1804" s="268"/>
      <c r="I1804" s="1" t="s">
        <v>940</v>
      </c>
      <c r="J1804" s="4"/>
      <c r="K1804" s="5" t="s">
        <v>1530</v>
      </c>
    </row>
    <row r="1805" spans="1:11" hidden="1">
      <c r="A1805" s="268"/>
      <c r="H1805" s="181" t="s">
        <v>352</v>
      </c>
      <c r="I1805"/>
      <c r="J1805" s="4"/>
      <c r="K1805" s="8">
        <f>SUM(K1801:K1803)</f>
        <v>85.7</v>
      </c>
    </row>
    <row r="1806" spans="1:11" hidden="1">
      <c r="A1806" s="268"/>
      <c r="H1806" s="181" t="s">
        <v>940</v>
      </c>
      <c r="I1806" s="1" t="s">
        <v>940</v>
      </c>
      <c r="J1806" s="4"/>
      <c r="K1806" s="5" t="s">
        <v>1980</v>
      </c>
    </row>
    <row r="1807" spans="1:11" hidden="1">
      <c r="A1807" s="268"/>
      <c r="G1807" s="187" t="s">
        <v>486</v>
      </c>
      <c r="H1807" s="181" t="s">
        <v>711</v>
      </c>
      <c r="I1807"/>
      <c r="J1807" s="4"/>
      <c r="K1807"/>
    </row>
    <row r="1808" spans="1:11" hidden="1">
      <c r="A1808" s="268"/>
      <c r="H1808" s="185" t="s">
        <v>1530</v>
      </c>
      <c r="I1808"/>
      <c r="J1808" s="4"/>
      <c r="K1808"/>
    </row>
    <row r="1809" spans="1:11" hidden="1">
      <c r="A1809" s="268"/>
      <c r="F1809" s="188">
        <v>1</v>
      </c>
      <c r="G1809" s="187" t="s">
        <v>794</v>
      </c>
      <c r="H1809" s="181" t="s">
        <v>712</v>
      </c>
      <c r="I1809" s="8">
        <f>C510</f>
        <v>48.8</v>
      </c>
      <c r="J1809" s="2" t="s">
        <v>794</v>
      </c>
      <c r="K1809" s="8">
        <f>(F1809*I1809)</f>
        <v>48.8</v>
      </c>
    </row>
    <row r="1810" spans="1:11" hidden="1">
      <c r="A1810" s="268"/>
      <c r="F1810" s="188">
        <v>1</v>
      </c>
      <c r="G1810" s="187" t="s">
        <v>419</v>
      </c>
      <c r="H1810" s="181" t="s">
        <v>860</v>
      </c>
      <c r="I1810" s="8">
        <f>I1809*0.4</f>
        <v>19.52</v>
      </c>
      <c r="J1810" s="2" t="s">
        <v>419</v>
      </c>
      <c r="K1810" s="8">
        <f>(F1810*I1810)</f>
        <v>19.52</v>
      </c>
    </row>
    <row r="1811" spans="1:11" hidden="1">
      <c r="A1811" s="268"/>
      <c r="F1811" s="188">
        <v>1</v>
      </c>
      <c r="G1811" s="187" t="s">
        <v>794</v>
      </c>
      <c r="H1811" s="181" t="s">
        <v>159</v>
      </c>
      <c r="I1811" s="8">
        <f>K1767</f>
        <v>29.77</v>
      </c>
      <c r="J1811" s="2" t="s">
        <v>794</v>
      </c>
      <c r="K1811" s="8">
        <f>(F1811*I1811)</f>
        <v>29.77</v>
      </c>
    </row>
    <row r="1812" spans="1:11" hidden="1">
      <c r="A1812" s="268"/>
      <c r="I1812" s="1" t="s">
        <v>940</v>
      </c>
      <c r="J1812" s="4"/>
      <c r="K1812" s="5" t="s">
        <v>1530</v>
      </c>
    </row>
    <row r="1813" spans="1:11" hidden="1">
      <c r="A1813" s="268"/>
      <c r="H1813" s="181" t="s">
        <v>352</v>
      </c>
      <c r="I1813"/>
      <c r="J1813" s="4"/>
      <c r="K1813" s="8">
        <f>SUM(K1809:K1811)</f>
        <v>98.09</v>
      </c>
    </row>
    <row r="1814" spans="1:11" hidden="1">
      <c r="A1814" s="268"/>
      <c r="I1814" s="1" t="s">
        <v>940</v>
      </c>
      <c r="J1814" s="4"/>
      <c r="K1814" s="5" t="s">
        <v>1980</v>
      </c>
    </row>
    <row r="1815" spans="1:11" hidden="1">
      <c r="A1815" s="268"/>
      <c r="G1815" s="187" t="s">
        <v>1840</v>
      </c>
      <c r="H1815" s="181" t="s">
        <v>350</v>
      </c>
      <c r="I1815"/>
      <c r="J1815" s="4"/>
      <c r="K1815"/>
    </row>
    <row r="1816" spans="1:11" hidden="1">
      <c r="A1816" s="268"/>
      <c r="H1816" s="185" t="s">
        <v>1530</v>
      </c>
      <c r="I1816"/>
      <c r="J1816" s="4"/>
      <c r="K1816"/>
    </row>
    <row r="1817" spans="1:11" hidden="1">
      <c r="A1817" s="268"/>
      <c r="F1817" s="188">
        <v>1</v>
      </c>
      <c r="G1817" s="187" t="s">
        <v>794</v>
      </c>
      <c r="H1817" s="181" t="s">
        <v>1617</v>
      </c>
      <c r="I1817" s="8">
        <f>C511</f>
        <v>65.7</v>
      </c>
      <c r="J1817" s="2" t="s">
        <v>794</v>
      </c>
      <c r="K1817" s="8">
        <f>(F1817*I1817)</f>
        <v>65.7</v>
      </c>
    </row>
    <row r="1818" spans="1:11" hidden="1">
      <c r="A1818" s="268"/>
      <c r="F1818" s="188">
        <v>1</v>
      </c>
      <c r="G1818" s="187" t="s">
        <v>419</v>
      </c>
      <c r="H1818" s="181" t="s">
        <v>1618</v>
      </c>
      <c r="I1818" s="8">
        <f>I1817*0.2</f>
        <v>13.14</v>
      </c>
      <c r="J1818" s="2" t="s">
        <v>419</v>
      </c>
      <c r="K1818" s="8">
        <f>(F1818*I1818)</f>
        <v>13.14</v>
      </c>
    </row>
    <row r="1819" spans="1:11" hidden="1">
      <c r="A1819" s="268"/>
      <c r="F1819" s="188">
        <v>1</v>
      </c>
      <c r="G1819" s="187" t="s">
        <v>794</v>
      </c>
      <c r="H1819" s="181" t="s">
        <v>159</v>
      </c>
      <c r="I1819" s="8">
        <f>K1785</f>
        <v>30.76</v>
      </c>
      <c r="J1819" s="2" t="s">
        <v>794</v>
      </c>
      <c r="K1819" s="8">
        <f>(F1819*I1819)</f>
        <v>30.76</v>
      </c>
    </row>
    <row r="1820" spans="1:11" hidden="1">
      <c r="A1820" s="268"/>
      <c r="I1820" s="1" t="s">
        <v>940</v>
      </c>
      <c r="J1820" s="4"/>
      <c r="K1820" s="5" t="s">
        <v>1530</v>
      </c>
    </row>
    <row r="1821" spans="1:11" hidden="1">
      <c r="A1821" s="268"/>
      <c r="H1821" s="181" t="s">
        <v>352</v>
      </c>
      <c r="I1821"/>
      <c r="J1821" s="4"/>
      <c r="K1821" s="8">
        <f>SUM(K1817:K1819)</f>
        <v>109.6</v>
      </c>
    </row>
    <row r="1822" spans="1:11" hidden="1">
      <c r="A1822" s="268"/>
      <c r="I1822" s="1" t="s">
        <v>940</v>
      </c>
      <c r="J1822" s="4"/>
      <c r="K1822" s="5" t="s">
        <v>1980</v>
      </c>
    </row>
    <row r="1823" spans="1:11" hidden="1">
      <c r="A1823" s="268"/>
      <c r="I1823" s="1"/>
      <c r="J1823" s="4"/>
      <c r="K1823" s="5"/>
    </row>
    <row r="1824" spans="1:11" ht="31.5" hidden="1">
      <c r="A1824" s="268"/>
      <c r="F1824" s="254">
        <v>52.1</v>
      </c>
      <c r="H1824" s="276" t="s">
        <v>2119</v>
      </c>
      <c r="I1824" s="1"/>
      <c r="J1824" s="4"/>
      <c r="K1824" s="5"/>
    </row>
    <row r="1825" spans="1:11" hidden="1">
      <c r="A1825" s="268"/>
      <c r="I1825" s="1"/>
      <c r="J1825" s="4"/>
      <c r="K1825" s="5"/>
    </row>
    <row r="1826" spans="1:11" hidden="1">
      <c r="A1826" s="268"/>
      <c r="F1826" s="236"/>
      <c r="G1826" s="187"/>
      <c r="H1826" s="181" t="s">
        <v>1974</v>
      </c>
      <c r="I1826" s="1"/>
      <c r="J1826" s="4"/>
      <c r="K1826" s="5"/>
    </row>
    <row r="1827" spans="1:11" hidden="1">
      <c r="A1827" s="268"/>
      <c r="G1827" s="187"/>
      <c r="H1827" s="181" t="s">
        <v>2120</v>
      </c>
      <c r="I1827" s="1"/>
      <c r="J1827" s="4"/>
      <c r="K1827" s="5"/>
    </row>
    <row r="1828" spans="1:11" hidden="1">
      <c r="A1828" s="268"/>
      <c r="H1828" s="185" t="s">
        <v>1530</v>
      </c>
      <c r="I1828" s="1"/>
      <c r="J1828" s="4"/>
      <c r="K1828" s="5"/>
    </row>
    <row r="1829" spans="1:11" hidden="1">
      <c r="A1829" s="268"/>
      <c r="F1829" s="188">
        <v>30</v>
      </c>
      <c r="G1829" s="187" t="s">
        <v>1714</v>
      </c>
      <c r="H1829" s="181" t="s">
        <v>145</v>
      </c>
      <c r="I1829" s="6">
        <f>E639</f>
        <v>5</v>
      </c>
      <c r="J1829" s="2" t="s">
        <v>1714</v>
      </c>
      <c r="K1829" s="8">
        <f t="shared" ref="K1829:K1835" si="68">(F1829*I1829)</f>
        <v>150</v>
      </c>
    </row>
    <row r="1830" spans="1:11" hidden="1">
      <c r="A1830" s="268"/>
      <c r="F1830" s="188">
        <v>8</v>
      </c>
      <c r="G1830" s="187" t="s">
        <v>835</v>
      </c>
      <c r="H1830" s="181" t="s">
        <v>2062</v>
      </c>
      <c r="I1830" s="6">
        <f>I1737</f>
        <v>2.2000000000000002</v>
      </c>
      <c r="J1830" s="2" t="s">
        <v>835</v>
      </c>
      <c r="K1830" s="8">
        <f t="shared" si="68"/>
        <v>17.600000000000001</v>
      </c>
    </row>
    <row r="1831" spans="1:11" hidden="1">
      <c r="A1831" s="268"/>
      <c r="F1831" s="188">
        <v>8</v>
      </c>
      <c r="G1831" s="187" t="s">
        <v>835</v>
      </c>
      <c r="H1831" s="181" t="s">
        <v>437</v>
      </c>
      <c r="I1831" s="6">
        <f>I1738</f>
        <v>3.2</v>
      </c>
      <c r="J1831" s="2" t="s">
        <v>835</v>
      </c>
      <c r="K1831" s="8">
        <f t="shared" si="68"/>
        <v>25.6</v>
      </c>
    </row>
    <row r="1832" spans="1:11" hidden="1">
      <c r="A1832" s="268"/>
      <c r="F1832" s="188">
        <v>3</v>
      </c>
      <c r="G1832" s="187" t="s">
        <v>835</v>
      </c>
      <c r="H1832" s="181" t="s">
        <v>1779</v>
      </c>
      <c r="I1832" s="6">
        <f>C41</f>
        <v>110</v>
      </c>
      <c r="J1832" s="2" t="s">
        <v>835</v>
      </c>
      <c r="K1832" s="8">
        <f t="shared" si="68"/>
        <v>330</v>
      </c>
    </row>
    <row r="1833" spans="1:11" hidden="1">
      <c r="A1833" s="268"/>
      <c r="F1833" s="188">
        <v>1</v>
      </c>
      <c r="G1833" s="187" t="s">
        <v>835</v>
      </c>
      <c r="H1833" s="181" t="s">
        <v>1325</v>
      </c>
      <c r="I1833" s="6">
        <f>C10</f>
        <v>150</v>
      </c>
      <c r="J1833" s="2" t="s">
        <v>835</v>
      </c>
      <c r="K1833" s="8">
        <f t="shared" si="68"/>
        <v>150</v>
      </c>
    </row>
    <row r="1834" spans="1:11" hidden="1">
      <c r="A1834" s="268"/>
      <c r="F1834" s="188">
        <v>2</v>
      </c>
      <c r="G1834" s="187" t="s">
        <v>835</v>
      </c>
      <c r="H1834" s="181" t="s">
        <v>1836</v>
      </c>
      <c r="I1834" s="6">
        <f>C12</f>
        <v>95</v>
      </c>
      <c r="J1834" s="2" t="s">
        <v>835</v>
      </c>
      <c r="K1834" s="8">
        <f t="shared" si="68"/>
        <v>190</v>
      </c>
    </row>
    <row r="1835" spans="1:11" hidden="1">
      <c r="A1835" s="268"/>
      <c r="F1835" s="188">
        <v>1</v>
      </c>
      <c r="G1835" s="187" t="s">
        <v>835</v>
      </c>
      <c r="H1835" s="181" t="s">
        <v>299</v>
      </c>
      <c r="I1835" s="6">
        <f>C13</f>
        <v>85</v>
      </c>
      <c r="J1835" s="2" t="s">
        <v>835</v>
      </c>
      <c r="K1835" s="8">
        <f t="shared" si="68"/>
        <v>85</v>
      </c>
    </row>
    <row r="1836" spans="1:11" hidden="1">
      <c r="A1836" s="268"/>
      <c r="I1836"/>
      <c r="J1836" s="4"/>
      <c r="K1836" s="5" t="s">
        <v>1530</v>
      </c>
    </row>
    <row r="1837" spans="1:11" hidden="1">
      <c r="A1837" s="268"/>
      <c r="H1837" s="181" t="s">
        <v>1784</v>
      </c>
      <c r="I1837"/>
      <c r="J1837" s="4"/>
      <c r="K1837" s="8">
        <f>SUM(K1829:K1835)</f>
        <v>948.2</v>
      </c>
    </row>
    <row r="1838" spans="1:11" hidden="1">
      <c r="A1838" s="268"/>
      <c r="I1838"/>
      <c r="J1838" s="4"/>
      <c r="K1838" s="5" t="s">
        <v>1530</v>
      </c>
    </row>
    <row r="1839" spans="1:11" hidden="1">
      <c r="A1839" s="268"/>
      <c r="H1839" s="181" t="s">
        <v>1490</v>
      </c>
      <c r="I1839"/>
      <c r="J1839" s="4"/>
      <c r="K1839" s="8">
        <f>(K1837/30)</f>
        <v>31.61</v>
      </c>
    </row>
    <row r="1840" spans="1:11" hidden="1">
      <c r="A1840" s="268"/>
      <c r="I1840"/>
      <c r="J1840" s="4"/>
      <c r="K1840" s="5" t="s">
        <v>1530</v>
      </c>
    </row>
    <row r="1841" spans="1:11" hidden="1">
      <c r="A1841" s="268"/>
      <c r="I1841" s="1"/>
      <c r="J1841" s="4"/>
      <c r="K1841" s="5"/>
    </row>
    <row r="1842" spans="1:11" hidden="1">
      <c r="A1842" s="268"/>
      <c r="H1842" s="182" t="s">
        <v>316</v>
      </c>
      <c r="I1842" s="1"/>
      <c r="J1842" s="4"/>
      <c r="K1842" s="5"/>
    </row>
    <row r="1843" spans="1:11" hidden="1">
      <c r="A1843" s="268"/>
      <c r="H1843" s="185" t="s">
        <v>1530</v>
      </c>
      <c r="I1843" s="1"/>
      <c r="J1843" s="4"/>
      <c r="K1843" s="5"/>
    </row>
    <row r="1844" spans="1:11" hidden="1">
      <c r="A1844" s="268"/>
      <c r="F1844" s="188">
        <v>1</v>
      </c>
      <c r="G1844" s="187" t="s">
        <v>794</v>
      </c>
      <c r="H1844" s="181" t="s">
        <v>317</v>
      </c>
      <c r="I1844" s="6">
        <f>E509</f>
        <v>70</v>
      </c>
      <c r="J1844" s="2" t="s">
        <v>794</v>
      </c>
      <c r="K1844" s="8">
        <f>(F1844*I1844)</f>
        <v>70</v>
      </c>
    </row>
    <row r="1845" spans="1:11" hidden="1">
      <c r="A1845" s="268"/>
      <c r="F1845" s="188">
        <v>1</v>
      </c>
      <c r="G1845" s="187" t="s">
        <v>419</v>
      </c>
      <c r="H1845" s="181" t="s">
        <v>318</v>
      </c>
      <c r="I1845" s="6">
        <f>I1844*0.2</f>
        <v>14</v>
      </c>
      <c r="J1845" s="2" t="s">
        <v>419</v>
      </c>
      <c r="K1845" s="8">
        <f>(F1845*I1845)</f>
        <v>14</v>
      </c>
    </row>
    <row r="1846" spans="1:11" hidden="1">
      <c r="A1846" s="268"/>
      <c r="F1846" s="188">
        <v>1</v>
      </c>
      <c r="G1846" s="187" t="s">
        <v>794</v>
      </c>
      <c r="H1846" s="181" t="s">
        <v>159</v>
      </c>
      <c r="I1846" s="6">
        <f>K1839</f>
        <v>31.61</v>
      </c>
      <c r="J1846" s="2" t="s">
        <v>794</v>
      </c>
      <c r="K1846" s="8">
        <f>(F1846*I1846)</f>
        <v>31.61</v>
      </c>
    </row>
    <row r="1847" spans="1:11" ht="31.5" hidden="1">
      <c r="A1847" s="268"/>
      <c r="F1847" s="188"/>
      <c r="G1847" s="187"/>
      <c r="H1847" s="250" t="s">
        <v>1038</v>
      </c>
      <c r="I1847" s="6"/>
      <c r="J1847" s="2" t="s">
        <v>419</v>
      </c>
      <c r="K1847" s="8">
        <v>1.25</v>
      </c>
    </row>
    <row r="1848" spans="1:11" hidden="1">
      <c r="A1848" s="268"/>
      <c r="I1848" s="1"/>
      <c r="J1848" s="4"/>
      <c r="K1848" s="5" t="s">
        <v>1530</v>
      </c>
    </row>
    <row r="1849" spans="1:11" hidden="1">
      <c r="A1849" s="268"/>
      <c r="H1849" s="181" t="s">
        <v>352</v>
      </c>
      <c r="I1849" s="1"/>
      <c r="J1849" s="4"/>
      <c r="K1849" s="8">
        <f>SUM(K1844:K1847)</f>
        <v>116.86</v>
      </c>
    </row>
    <row r="1850" spans="1:11" hidden="1">
      <c r="A1850" s="268"/>
      <c r="I1850" s="1"/>
      <c r="J1850" s="4"/>
      <c r="K1850" s="5" t="s">
        <v>1980</v>
      </c>
    </row>
    <row r="1851" spans="1:11" hidden="1">
      <c r="A1851" s="268"/>
      <c r="I1851" s="1"/>
      <c r="J1851" s="4"/>
      <c r="K1851" s="5"/>
    </row>
    <row r="1852" spans="1:11" hidden="1">
      <c r="A1852" s="268"/>
      <c r="I1852" s="1"/>
      <c r="J1852" s="4"/>
      <c r="K1852" s="5"/>
    </row>
    <row r="1853" spans="1:11" hidden="1">
      <c r="A1853" s="268"/>
      <c r="F1853" s="246">
        <v>53.1</v>
      </c>
      <c r="G1853" s="187" t="s">
        <v>2167</v>
      </c>
      <c r="H1853" s="181" t="s">
        <v>2137</v>
      </c>
      <c r="I1853"/>
      <c r="J1853" s="4"/>
      <c r="K1853"/>
    </row>
    <row r="1854" spans="1:11" hidden="1">
      <c r="A1854" s="268"/>
      <c r="H1854" s="248" t="s">
        <v>1391</v>
      </c>
      <c r="I1854"/>
      <c r="J1854" s="4"/>
      <c r="K1854"/>
    </row>
    <row r="1855" spans="1:11" hidden="1">
      <c r="A1855" s="268"/>
      <c r="H1855" s="181" t="s">
        <v>1103</v>
      </c>
      <c r="I1855"/>
      <c r="J1855" s="4"/>
      <c r="K1855"/>
    </row>
    <row r="1856" spans="1:11" hidden="1">
      <c r="A1856" s="268"/>
      <c r="H1856" s="181" t="s">
        <v>1104</v>
      </c>
      <c r="I1856"/>
      <c r="J1856" s="4"/>
      <c r="K1856"/>
    </row>
    <row r="1857" spans="1:11" hidden="1">
      <c r="A1857" s="268"/>
      <c r="H1857" s="185" t="s">
        <v>1530</v>
      </c>
      <c r="I1857"/>
      <c r="J1857" s="4"/>
      <c r="K1857"/>
    </row>
    <row r="1858" spans="1:11" ht="57" hidden="1" customHeight="1">
      <c r="A1858" s="268"/>
      <c r="F1858" s="277">
        <v>1</v>
      </c>
      <c r="G1858" s="277" t="s">
        <v>835</v>
      </c>
      <c r="H1858" s="250" t="s">
        <v>2588</v>
      </c>
      <c r="I1858" s="22">
        <f>(C595)</f>
        <v>1050</v>
      </c>
      <c r="J1858" s="22" t="s">
        <v>835</v>
      </c>
      <c r="K1858" s="22">
        <f>(F1858*I1858)</f>
        <v>1050</v>
      </c>
    </row>
    <row r="1859" spans="1:11" hidden="1">
      <c r="A1859" s="268"/>
      <c r="F1859" s="188"/>
      <c r="G1859" s="187"/>
      <c r="H1859" s="181"/>
      <c r="I1859" s="8"/>
      <c r="J1859" s="2"/>
      <c r="K1859" s="8"/>
    </row>
    <row r="1860" spans="1:11" hidden="1">
      <c r="A1860" s="268"/>
      <c r="F1860" s="188"/>
      <c r="G1860" s="187"/>
      <c r="H1860" s="181"/>
      <c r="I1860" s="8"/>
      <c r="J1860" s="2"/>
      <c r="K1860" s="8"/>
    </row>
    <row r="1861" spans="1:11" hidden="1">
      <c r="A1861" s="268"/>
      <c r="F1861" s="188"/>
      <c r="G1861" s="187"/>
      <c r="H1861" s="181"/>
      <c r="I1861" s="8"/>
      <c r="J1861" s="2"/>
      <c r="K1861" s="8"/>
    </row>
    <row r="1862" spans="1:11" hidden="1">
      <c r="A1862" s="268"/>
      <c r="F1862" s="188"/>
      <c r="G1862" s="187"/>
      <c r="H1862" s="181"/>
      <c r="I1862" s="8"/>
      <c r="J1862" s="2"/>
      <c r="K1862" s="8"/>
    </row>
    <row r="1863" spans="1:11" hidden="1">
      <c r="A1863" s="268"/>
      <c r="F1863" s="188"/>
      <c r="G1863" s="187"/>
      <c r="H1863" s="181"/>
      <c r="I1863" s="8"/>
      <c r="J1863" s="2"/>
      <c r="K1863" s="8"/>
    </row>
    <row r="1864" spans="1:11" hidden="1">
      <c r="A1864" s="268"/>
      <c r="F1864" s="188"/>
      <c r="G1864" s="187"/>
      <c r="H1864" s="181"/>
      <c r="I1864" s="8"/>
      <c r="J1864" s="2"/>
      <c r="K1864" s="8"/>
    </row>
    <row r="1865" spans="1:11" hidden="1">
      <c r="A1865" s="268"/>
      <c r="F1865" s="188">
        <v>0.5</v>
      </c>
      <c r="G1865" s="187" t="s">
        <v>835</v>
      </c>
      <c r="H1865" s="181" t="s">
        <v>2024</v>
      </c>
      <c r="I1865" s="8">
        <f>(C15)</f>
        <v>130</v>
      </c>
      <c r="J1865" s="2" t="s">
        <v>835</v>
      </c>
      <c r="K1865" s="8">
        <f>(F1865*I1865)</f>
        <v>65</v>
      </c>
    </row>
    <row r="1866" spans="1:11" hidden="1">
      <c r="A1866" s="268"/>
      <c r="F1866" s="188">
        <v>1</v>
      </c>
      <c r="G1866" s="187" t="s">
        <v>835</v>
      </c>
      <c r="H1866" s="181" t="s">
        <v>1836</v>
      </c>
      <c r="I1866" s="8">
        <f>(C12)</f>
        <v>95</v>
      </c>
      <c r="J1866" s="2" t="s">
        <v>835</v>
      </c>
      <c r="K1866" s="8">
        <f>(F1866*I1866)</f>
        <v>95</v>
      </c>
    </row>
    <row r="1867" spans="1:11" hidden="1">
      <c r="A1867" s="268"/>
      <c r="F1867" s="188">
        <v>0.5</v>
      </c>
      <c r="G1867" s="187" t="s">
        <v>835</v>
      </c>
      <c r="H1867" s="181" t="s">
        <v>1938</v>
      </c>
      <c r="I1867" s="8">
        <f>(C10)</f>
        <v>150</v>
      </c>
      <c r="J1867" s="2" t="s">
        <v>835</v>
      </c>
      <c r="K1867" s="8">
        <f>(F1867*I1867)</f>
        <v>75</v>
      </c>
    </row>
    <row r="1868" spans="1:11" hidden="1">
      <c r="A1868" s="268"/>
      <c r="G1868" s="187" t="s">
        <v>419</v>
      </c>
      <c r="H1868" s="181" t="s">
        <v>1105</v>
      </c>
      <c r="I1868"/>
      <c r="J1868" s="2" t="s">
        <v>419</v>
      </c>
      <c r="K1868" s="8">
        <v>0.5</v>
      </c>
    </row>
    <row r="1869" spans="1:11" hidden="1">
      <c r="A1869" s="268"/>
      <c r="I1869"/>
      <c r="J1869" s="4"/>
      <c r="K1869" s="5" t="s">
        <v>1530</v>
      </c>
    </row>
    <row r="1870" spans="1:11" hidden="1">
      <c r="A1870" s="268"/>
      <c r="H1870" s="181" t="s">
        <v>1694</v>
      </c>
      <c r="I1870"/>
      <c r="J1870" s="4"/>
      <c r="K1870" s="8">
        <f>SUM(K1858:K1868)</f>
        <v>1285.5</v>
      </c>
    </row>
    <row r="1871" spans="1:11" hidden="1">
      <c r="A1871" s="268"/>
      <c r="I1871"/>
      <c r="J1871" s="4"/>
      <c r="K1871" s="5" t="s">
        <v>1530</v>
      </c>
    </row>
    <row r="1872" spans="1:11" hidden="1">
      <c r="A1872" s="268"/>
      <c r="F1872" s="236" t="s">
        <v>1345</v>
      </c>
      <c r="H1872" s="181" t="s">
        <v>1346</v>
      </c>
      <c r="I1872"/>
      <c r="J1872" s="4"/>
      <c r="K1872" s="1" t="s">
        <v>2589</v>
      </c>
    </row>
    <row r="1873" spans="1:11" hidden="1">
      <c r="A1873" s="268"/>
      <c r="I1873"/>
      <c r="J1873" s="4"/>
      <c r="K1873"/>
    </row>
    <row r="1874" spans="1:11" hidden="1">
      <c r="A1874" s="268"/>
      <c r="F1874" s="236" t="s">
        <v>1347</v>
      </c>
      <c r="H1874" s="181" t="s">
        <v>2590</v>
      </c>
      <c r="I1874"/>
      <c r="J1874" s="4"/>
      <c r="K1874" s="1" t="s">
        <v>2591</v>
      </c>
    </row>
    <row r="1875" spans="1:11" hidden="1">
      <c r="A1875" s="268"/>
      <c r="F1875" s="236"/>
      <c r="H1875" s="181"/>
      <c r="I1875"/>
      <c r="J1875" s="4"/>
      <c r="K1875" s="1"/>
    </row>
    <row r="1876" spans="1:11" hidden="1">
      <c r="A1876" s="268"/>
      <c r="F1876" s="242">
        <v>54</v>
      </c>
      <c r="G1876" s="187" t="s">
        <v>2167</v>
      </c>
      <c r="H1876" s="181" t="s">
        <v>1100</v>
      </c>
      <c r="I1876"/>
      <c r="J1876" s="2" t="s">
        <v>1341</v>
      </c>
      <c r="K1876" s="8">
        <v>140</v>
      </c>
    </row>
    <row r="1877" spans="1:11" hidden="1">
      <c r="A1877" s="268"/>
      <c r="I1877"/>
      <c r="J1877" s="4"/>
      <c r="K1877" s="5" t="s">
        <v>1980</v>
      </c>
    </row>
    <row r="1878" spans="1:11" hidden="1">
      <c r="A1878" s="268"/>
      <c r="I1878"/>
      <c r="J1878" s="4"/>
      <c r="K1878"/>
    </row>
    <row r="1879" spans="1:11" hidden="1">
      <c r="A1879" s="268"/>
      <c r="F1879" s="246">
        <v>54.1</v>
      </c>
      <c r="G1879" s="187" t="s">
        <v>2167</v>
      </c>
      <c r="H1879" s="181" t="s">
        <v>1246</v>
      </c>
      <c r="I1879"/>
      <c r="J1879" s="2" t="s">
        <v>1341</v>
      </c>
      <c r="K1879" s="8">
        <v>240</v>
      </c>
    </row>
    <row r="1880" spans="1:11" hidden="1">
      <c r="A1880" s="268"/>
      <c r="I1880"/>
      <c r="J1880" s="4"/>
      <c r="K1880" s="5" t="s">
        <v>1980</v>
      </c>
    </row>
    <row r="1881" spans="1:11" hidden="1">
      <c r="A1881" s="268"/>
      <c r="I1881"/>
      <c r="J1881" s="4"/>
      <c r="K1881"/>
    </row>
    <row r="1882" spans="1:11" hidden="1">
      <c r="A1882" s="268"/>
      <c r="F1882" s="246">
        <v>54.2</v>
      </c>
      <c r="G1882" s="187" t="s">
        <v>2167</v>
      </c>
      <c r="H1882" s="181" t="s">
        <v>901</v>
      </c>
      <c r="I1882"/>
      <c r="J1882" s="2" t="s">
        <v>1341</v>
      </c>
      <c r="K1882" s="8">
        <v>270</v>
      </c>
    </row>
    <row r="1883" spans="1:11" hidden="1">
      <c r="A1883" s="268"/>
      <c r="I1883"/>
      <c r="J1883" s="4"/>
      <c r="K1883" s="5" t="s">
        <v>1980</v>
      </c>
    </row>
    <row r="1884" spans="1:11" hidden="1">
      <c r="A1884" s="268"/>
      <c r="I1884"/>
      <c r="J1884" s="4"/>
      <c r="K1884"/>
    </row>
    <row r="1885" spans="1:11" hidden="1">
      <c r="A1885" s="268"/>
      <c r="F1885" s="236" t="s">
        <v>1101</v>
      </c>
      <c r="G1885" s="187" t="s">
        <v>2167</v>
      </c>
      <c r="H1885" s="181" t="s">
        <v>80</v>
      </c>
      <c r="I1885"/>
      <c r="J1885" s="4"/>
      <c r="K1885"/>
    </row>
    <row r="1886" spans="1:11" hidden="1">
      <c r="A1886" s="268"/>
      <c r="H1886" s="181" t="s">
        <v>1062</v>
      </c>
      <c r="I1886"/>
      <c r="J1886" s="4"/>
      <c r="K1886"/>
    </row>
    <row r="1887" spans="1:11" hidden="1">
      <c r="A1887" s="268"/>
      <c r="H1887" s="181" t="s">
        <v>1063</v>
      </c>
      <c r="I1887"/>
      <c r="J1887" s="4"/>
      <c r="K1887"/>
    </row>
    <row r="1888" spans="1:11" hidden="1">
      <c r="A1888" s="268"/>
      <c r="H1888" s="181" t="s">
        <v>1064</v>
      </c>
      <c r="I1888"/>
      <c r="J1888" s="4"/>
      <c r="K1888"/>
    </row>
    <row r="1889" spans="1:22" hidden="1">
      <c r="A1889" s="268"/>
      <c r="H1889" s="185" t="s">
        <v>1530</v>
      </c>
      <c r="I1889"/>
      <c r="J1889" s="4"/>
      <c r="K1889"/>
    </row>
    <row r="1890" spans="1:22" hidden="1">
      <c r="A1890" s="268"/>
      <c r="F1890" s="188">
        <v>1</v>
      </c>
      <c r="G1890" s="187" t="s">
        <v>835</v>
      </c>
      <c r="H1890" s="181" t="s">
        <v>679</v>
      </c>
      <c r="I1890" s="8">
        <f>(C200)</f>
        <v>750</v>
      </c>
      <c r="J1890" s="2" t="s">
        <v>835</v>
      </c>
      <c r="K1890" s="8">
        <f t="shared" ref="K1890:K1896" si="69">(F1890*I1890)</f>
        <v>750</v>
      </c>
    </row>
    <row r="1891" spans="1:22" hidden="1">
      <c r="A1891" s="268"/>
      <c r="F1891" s="188">
        <v>0.65</v>
      </c>
      <c r="G1891" s="187" t="s">
        <v>836</v>
      </c>
      <c r="H1891" s="181" t="s">
        <v>235</v>
      </c>
      <c r="I1891" s="8">
        <f>(C61*2)</f>
        <v>50</v>
      </c>
      <c r="J1891" s="2" t="s">
        <v>836</v>
      </c>
      <c r="K1891" s="8">
        <f t="shared" si="69"/>
        <v>32.5</v>
      </c>
    </row>
    <row r="1892" spans="1:22" hidden="1">
      <c r="A1892" s="268"/>
      <c r="F1892" s="188">
        <v>0.56999999999999995</v>
      </c>
      <c r="G1892" s="187" t="s">
        <v>836</v>
      </c>
      <c r="H1892" s="181" t="s">
        <v>236</v>
      </c>
      <c r="I1892" s="8">
        <f>(C26)</f>
        <v>8.8000000000000007</v>
      </c>
      <c r="J1892" s="2" t="s">
        <v>836</v>
      </c>
      <c r="K1892" s="8">
        <f t="shared" si="69"/>
        <v>5.0199999999999996</v>
      </c>
    </row>
    <row r="1893" spans="1:22" hidden="1">
      <c r="A1893" s="268"/>
      <c r="F1893" s="245">
        <v>8.1000000000000003E-2</v>
      </c>
      <c r="G1893" s="187" t="s">
        <v>836</v>
      </c>
      <c r="H1893" s="181" t="s">
        <v>237</v>
      </c>
      <c r="I1893" s="8" t="e">
        <f>(R60)</f>
        <v>#REF!</v>
      </c>
      <c r="J1893" s="2" t="s">
        <v>836</v>
      </c>
      <c r="K1893" s="8" t="e">
        <f t="shared" si="69"/>
        <v>#REF!</v>
      </c>
    </row>
    <row r="1894" spans="1:22" hidden="1">
      <c r="A1894" s="268"/>
      <c r="F1894" s="188">
        <v>1</v>
      </c>
      <c r="G1894" s="187" t="s">
        <v>835</v>
      </c>
      <c r="H1894" s="181" t="s">
        <v>2024</v>
      </c>
      <c r="I1894" s="8">
        <f>(C15)</f>
        <v>130</v>
      </c>
      <c r="J1894" s="2" t="s">
        <v>835</v>
      </c>
      <c r="K1894" s="8">
        <f t="shared" si="69"/>
        <v>130</v>
      </c>
    </row>
    <row r="1895" spans="1:22" hidden="1">
      <c r="A1895" s="268"/>
      <c r="F1895" s="188">
        <v>0.5</v>
      </c>
      <c r="G1895" s="187" t="s">
        <v>835</v>
      </c>
      <c r="H1895" s="181" t="s">
        <v>1654</v>
      </c>
      <c r="I1895" s="8">
        <f>(C11)</f>
        <v>135</v>
      </c>
      <c r="J1895" s="2" t="s">
        <v>835</v>
      </c>
      <c r="K1895" s="8">
        <f t="shared" si="69"/>
        <v>67.5</v>
      </c>
    </row>
    <row r="1896" spans="1:22" hidden="1">
      <c r="A1896" s="268"/>
      <c r="F1896" s="188">
        <v>0.5</v>
      </c>
      <c r="G1896" s="187" t="s">
        <v>835</v>
      </c>
      <c r="H1896" s="181" t="s">
        <v>1836</v>
      </c>
      <c r="I1896" s="8">
        <f>(C12)</f>
        <v>95</v>
      </c>
      <c r="J1896" s="2" t="s">
        <v>835</v>
      </c>
      <c r="K1896" s="8">
        <f t="shared" si="69"/>
        <v>47.5</v>
      </c>
    </row>
    <row r="1897" spans="1:22" hidden="1">
      <c r="A1897" s="268"/>
      <c r="G1897" s="187" t="s">
        <v>419</v>
      </c>
      <c r="H1897" s="181" t="s">
        <v>420</v>
      </c>
      <c r="I1897" s="1" t="s">
        <v>940</v>
      </c>
      <c r="J1897" s="2" t="s">
        <v>419</v>
      </c>
      <c r="K1897" s="8">
        <v>0</v>
      </c>
    </row>
    <row r="1898" spans="1:22" hidden="1">
      <c r="A1898" s="268"/>
      <c r="I1898"/>
      <c r="J1898" s="4"/>
      <c r="K1898" s="5" t="s">
        <v>1530</v>
      </c>
    </row>
    <row r="1899" spans="1:22" hidden="1">
      <c r="A1899" s="268"/>
      <c r="H1899" s="181" t="s">
        <v>1694</v>
      </c>
      <c r="I1899"/>
      <c r="J1899" s="4"/>
      <c r="K1899" s="8" t="e">
        <f>SUM(K1890:K1897)</f>
        <v>#REF!</v>
      </c>
    </row>
    <row r="1900" spans="1:22" hidden="1">
      <c r="A1900" s="268"/>
      <c r="I1900"/>
      <c r="J1900" s="4"/>
      <c r="K1900" s="5" t="s">
        <v>1980</v>
      </c>
    </row>
    <row r="1901" spans="1:22" hidden="1">
      <c r="A1901" s="268"/>
      <c r="G1901" s="187" t="s">
        <v>940</v>
      </c>
      <c r="H1901" s="181" t="s">
        <v>940</v>
      </c>
      <c r="I1901"/>
      <c r="J1901" s="4"/>
      <c r="K1901" s="1" t="s">
        <v>940</v>
      </c>
    </row>
    <row r="1902" spans="1:22" hidden="1">
      <c r="A1902" s="268"/>
      <c r="I1902"/>
      <c r="J1902" s="2" t="s">
        <v>940</v>
      </c>
      <c r="K1902" s="1" t="s">
        <v>940</v>
      </c>
    </row>
    <row r="1903" spans="1:22" hidden="1">
      <c r="A1903" s="268"/>
      <c r="F1903" s="236" t="s">
        <v>238</v>
      </c>
      <c r="G1903" s="187" t="s">
        <v>2167</v>
      </c>
      <c r="H1903" s="181" t="s">
        <v>80</v>
      </c>
      <c r="I1903"/>
      <c r="J1903" s="4"/>
      <c r="K1903"/>
    </row>
    <row r="1904" spans="1:22" hidden="1">
      <c r="A1904" s="268"/>
      <c r="H1904" s="181" t="s">
        <v>1062</v>
      </c>
      <c r="I1904"/>
      <c r="J1904" s="4"/>
      <c r="K1904"/>
      <c r="V1904" s="181" t="s">
        <v>1394</v>
      </c>
    </row>
    <row r="1905" spans="1:11" hidden="1">
      <c r="A1905" s="268"/>
      <c r="H1905" s="181" t="s">
        <v>1063</v>
      </c>
      <c r="I1905"/>
      <c r="J1905" s="4"/>
      <c r="K1905"/>
    </row>
    <row r="1906" spans="1:11" hidden="1">
      <c r="A1906" s="268"/>
      <c r="H1906" s="181" t="s">
        <v>239</v>
      </c>
      <c r="I1906"/>
      <c r="J1906" s="4"/>
      <c r="K1906"/>
    </row>
    <row r="1907" spans="1:11" hidden="1">
      <c r="A1907" s="268"/>
      <c r="H1907" s="185" t="s">
        <v>1530</v>
      </c>
      <c r="I1907"/>
      <c r="J1907" s="4"/>
      <c r="K1907"/>
    </row>
    <row r="1908" spans="1:11" hidden="1">
      <c r="A1908" s="268"/>
      <c r="F1908" s="188">
        <v>1</v>
      </c>
      <c r="G1908" s="187" t="s">
        <v>835</v>
      </c>
      <c r="H1908" s="181" t="s">
        <v>679</v>
      </c>
      <c r="I1908" s="8">
        <f>(C200)</f>
        <v>750</v>
      </c>
      <c r="J1908" s="2" t="s">
        <v>835</v>
      </c>
      <c r="K1908" s="8">
        <f>(F1908*I1908)</f>
        <v>750</v>
      </c>
    </row>
    <row r="1909" spans="1:11" hidden="1">
      <c r="A1909" s="268"/>
      <c r="F1909" s="245">
        <v>0.40500000000000003</v>
      </c>
      <c r="G1909" s="187" t="s">
        <v>836</v>
      </c>
      <c r="H1909" s="181" t="s">
        <v>2564</v>
      </c>
      <c r="I1909" s="8" t="e">
        <f>(K1262)</f>
        <v>#REF!</v>
      </c>
      <c r="J1909" s="2" t="s">
        <v>836</v>
      </c>
      <c r="K1909" s="8" t="e">
        <f>(F1909*I1909)</f>
        <v>#REF!</v>
      </c>
    </row>
    <row r="1910" spans="1:11" hidden="1">
      <c r="A1910" s="268"/>
      <c r="H1910" s="181" t="s">
        <v>1057</v>
      </c>
      <c r="I1910" s="1" t="s">
        <v>940</v>
      </c>
      <c r="J1910" s="4"/>
      <c r="K1910" s="1" t="s">
        <v>940</v>
      </c>
    </row>
    <row r="1911" spans="1:11" hidden="1">
      <c r="A1911" s="268"/>
      <c r="F1911" s="188">
        <v>1.89</v>
      </c>
      <c r="G1911" s="187" t="s">
        <v>578</v>
      </c>
      <c r="H1911" s="181" t="s">
        <v>250</v>
      </c>
      <c r="I1911" s="8" t="e">
        <f>(K1373)</f>
        <v>#REF!</v>
      </c>
      <c r="J1911" s="2" t="s">
        <v>578</v>
      </c>
      <c r="K1911" s="8" t="e">
        <f>(F1911*I1911)</f>
        <v>#REF!</v>
      </c>
    </row>
    <row r="1912" spans="1:11" hidden="1">
      <c r="A1912" s="268"/>
      <c r="H1912" s="181" t="s">
        <v>251</v>
      </c>
      <c r="I1912" s="1" t="s">
        <v>940</v>
      </c>
      <c r="J1912" s="4"/>
      <c r="K1912" s="1" t="s">
        <v>940</v>
      </c>
    </row>
    <row r="1913" spans="1:11" hidden="1">
      <c r="A1913" s="268"/>
      <c r="F1913" s="245">
        <v>8.1000000000000003E-2</v>
      </c>
      <c r="G1913" s="187" t="s">
        <v>836</v>
      </c>
      <c r="H1913" s="181" t="s">
        <v>252</v>
      </c>
      <c r="I1913" s="8" t="e">
        <f>(R60)</f>
        <v>#REF!</v>
      </c>
      <c r="J1913" s="2" t="s">
        <v>836</v>
      </c>
      <c r="K1913" s="8" t="e">
        <f>(F1913*I1913)</f>
        <v>#REF!</v>
      </c>
    </row>
    <row r="1914" spans="1:11" hidden="1">
      <c r="A1914" s="268"/>
      <c r="H1914" s="181" t="s">
        <v>253</v>
      </c>
      <c r="I1914"/>
      <c r="J1914" s="4"/>
      <c r="K1914"/>
    </row>
    <row r="1915" spans="1:11" hidden="1">
      <c r="A1915" s="268"/>
      <c r="F1915" s="188">
        <v>1</v>
      </c>
      <c r="G1915" s="187" t="s">
        <v>739</v>
      </c>
      <c r="H1915" s="181" t="s">
        <v>2024</v>
      </c>
      <c r="I1915" s="8">
        <f>(C15)</f>
        <v>130</v>
      </c>
      <c r="J1915" s="2" t="s">
        <v>739</v>
      </c>
      <c r="K1915" s="8">
        <f>(F1915*I1915)</f>
        <v>130</v>
      </c>
    </row>
    <row r="1916" spans="1:11" hidden="1">
      <c r="A1916" s="268"/>
      <c r="F1916" s="188">
        <v>0.5</v>
      </c>
      <c r="G1916" s="187" t="s">
        <v>835</v>
      </c>
      <c r="H1916" s="181" t="s">
        <v>1654</v>
      </c>
      <c r="I1916" s="8">
        <f>(C11)</f>
        <v>135</v>
      </c>
      <c r="J1916" s="2" t="s">
        <v>835</v>
      </c>
      <c r="K1916" s="8">
        <f>(F1916*I1916)</f>
        <v>67.5</v>
      </c>
    </row>
    <row r="1917" spans="1:11" hidden="1">
      <c r="A1917" s="268"/>
      <c r="F1917" s="188">
        <v>0.5</v>
      </c>
      <c r="G1917" s="187" t="s">
        <v>835</v>
      </c>
      <c r="H1917" s="181" t="s">
        <v>1836</v>
      </c>
      <c r="I1917" s="8">
        <f>(C12)</f>
        <v>95</v>
      </c>
      <c r="J1917" s="2" t="s">
        <v>835</v>
      </c>
      <c r="K1917" s="8">
        <f>(F1917*I1917)</f>
        <v>47.5</v>
      </c>
    </row>
    <row r="1918" spans="1:11" hidden="1">
      <c r="A1918" s="268"/>
      <c r="G1918" s="187" t="s">
        <v>419</v>
      </c>
      <c r="H1918" s="181" t="s">
        <v>420</v>
      </c>
      <c r="I1918" s="1" t="s">
        <v>940</v>
      </c>
      <c r="J1918" s="2" t="s">
        <v>419</v>
      </c>
      <c r="K1918" s="8">
        <v>0</v>
      </c>
    </row>
    <row r="1919" spans="1:11" hidden="1">
      <c r="A1919" s="268"/>
      <c r="H1919" s="181" t="s">
        <v>940</v>
      </c>
      <c r="I1919"/>
      <c r="J1919" s="4"/>
      <c r="K1919" s="5" t="s">
        <v>1530</v>
      </c>
    </row>
    <row r="1920" spans="1:11" hidden="1">
      <c r="A1920" s="268"/>
      <c r="H1920" s="181" t="s">
        <v>1694</v>
      </c>
      <c r="I1920"/>
      <c r="J1920" s="4"/>
      <c r="K1920" s="8" t="e">
        <f>SUM(K1908:K1918)</f>
        <v>#REF!</v>
      </c>
    </row>
    <row r="1921" spans="1:11" hidden="1">
      <c r="A1921" s="268"/>
      <c r="I1921"/>
      <c r="J1921" s="4"/>
      <c r="K1921" s="5" t="s">
        <v>1980</v>
      </c>
    </row>
    <row r="1922" spans="1:11" hidden="1">
      <c r="A1922" s="268"/>
      <c r="G1922" s="187" t="s">
        <v>940</v>
      </c>
      <c r="H1922" s="181" t="s">
        <v>940</v>
      </c>
      <c r="I1922"/>
      <c r="J1922" s="4"/>
      <c r="K1922" s="1" t="s">
        <v>940</v>
      </c>
    </row>
    <row r="1923" spans="1:11" hidden="1">
      <c r="A1923" s="268"/>
      <c r="I1923"/>
      <c r="J1923" s="2" t="s">
        <v>940</v>
      </c>
      <c r="K1923" s="1" t="s">
        <v>234</v>
      </c>
    </row>
    <row r="1924" spans="1:11" hidden="1">
      <c r="A1924" s="268"/>
      <c r="F1924" s="242">
        <v>57</v>
      </c>
      <c r="G1924" s="187" t="s">
        <v>2167</v>
      </c>
      <c r="H1924" s="181" t="s">
        <v>243</v>
      </c>
      <c r="I1924"/>
      <c r="J1924" s="4"/>
      <c r="K1924"/>
    </row>
    <row r="1925" spans="1:11" hidden="1">
      <c r="A1925" s="268"/>
      <c r="H1925" s="181" t="s">
        <v>194</v>
      </c>
      <c r="I1925"/>
      <c r="J1925" s="4"/>
      <c r="K1925"/>
    </row>
    <row r="1926" spans="1:11" hidden="1">
      <c r="A1926" s="268"/>
      <c r="H1926" s="181" t="s">
        <v>1715</v>
      </c>
      <c r="I1926"/>
      <c r="J1926" s="4"/>
      <c r="K1926"/>
    </row>
    <row r="1927" spans="1:11" hidden="1">
      <c r="A1927" s="268"/>
      <c r="H1927" s="185" t="s">
        <v>1530</v>
      </c>
      <c r="I1927"/>
      <c r="J1927" s="4"/>
      <c r="K1927"/>
    </row>
    <row r="1928" spans="1:11" ht="95.25" hidden="1" customHeight="1">
      <c r="A1928" s="268"/>
      <c r="F1928" s="277">
        <v>1</v>
      </c>
      <c r="G1928" s="277" t="s">
        <v>753</v>
      </c>
      <c r="H1928" s="250" t="s">
        <v>1082</v>
      </c>
      <c r="I1928" s="22">
        <f>C591</f>
        <v>1700</v>
      </c>
      <c r="J1928" s="278" t="s">
        <v>753</v>
      </c>
      <c r="K1928" s="22">
        <f>(F1928*I1928)</f>
        <v>1700</v>
      </c>
    </row>
    <row r="1929" spans="1:11" hidden="1">
      <c r="A1929" s="268"/>
      <c r="F1929" s="188"/>
      <c r="G1929" s="187"/>
      <c r="H1929" s="279" t="s">
        <v>1122</v>
      </c>
      <c r="I1929" s="8"/>
      <c r="J1929" s="2"/>
      <c r="K1929" s="8"/>
    </row>
    <row r="1930" spans="1:11" hidden="1">
      <c r="A1930" s="268"/>
      <c r="F1930" s="188">
        <v>1</v>
      </c>
      <c r="G1930" s="187" t="s">
        <v>835</v>
      </c>
      <c r="H1930" s="181" t="s">
        <v>1938</v>
      </c>
      <c r="I1930" s="8">
        <f>(C10)</f>
        <v>150</v>
      </c>
      <c r="J1930" s="2" t="s">
        <v>835</v>
      </c>
      <c r="K1930" s="8">
        <f>(F1930*I1930)</f>
        <v>150</v>
      </c>
    </row>
    <row r="1931" spans="1:11" hidden="1">
      <c r="A1931" s="268"/>
      <c r="F1931" s="188">
        <v>2</v>
      </c>
      <c r="G1931" s="187" t="s">
        <v>835</v>
      </c>
      <c r="H1931" s="181" t="s">
        <v>2024</v>
      </c>
      <c r="I1931" s="8">
        <f>(C15)</f>
        <v>130</v>
      </c>
      <c r="J1931" s="2" t="s">
        <v>835</v>
      </c>
      <c r="K1931" s="8">
        <f>(F1931*I1931)</f>
        <v>260</v>
      </c>
    </row>
    <row r="1932" spans="1:11" hidden="1">
      <c r="A1932" s="268"/>
      <c r="F1932" s="188">
        <v>1</v>
      </c>
      <c r="G1932" s="187" t="s">
        <v>835</v>
      </c>
      <c r="H1932" s="181" t="s">
        <v>299</v>
      </c>
      <c r="I1932" s="8">
        <f>(C13)</f>
        <v>85</v>
      </c>
      <c r="J1932" s="2" t="s">
        <v>835</v>
      </c>
      <c r="K1932" s="8">
        <f>(F1932*I1932)</f>
        <v>85</v>
      </c>
    </row>
    <row r="1933" spans="1:11" hidden="1">
      <c r="A1933" s="268"/>
      <c r="F1933" s="188"/>
      <c r="G1933" s="187"/>
      <c r="H1933" s="279" t="s">
        <v>680</v>
      </c>
      <c r="I1933" s="8"/>
      <c r="J1933" s="2"/>
      <c r="K1933" s="8"/>
    </row>
    <row r="1934" spans="1:11" hidden="1">
      <c r="A1934" s="268"/>
      <c r="F1934" s="188">
        <v>0.5</v>
      </c>
      <c r="G1934" s="187" t="s">
        <v>835</v>
      </c>
      <c r="H1934" s="181" t="s">
        <v>2024</v>
      </c>
      <c r="I1934" s="8">
        <f>(C15)</f>
        <v>130</v>
      </c>
      <c r="J1934" s="2" t="s">
        <v>835</v>
      </c>
      <c r="K1934" s="8">
        <f>(F1934*I1934)</f>
        <v>65</v>
      </c>
    </row>
    <row r="1935" spans="1:11" hidden="1">
      <c r="A1935" s="268"/>
      <c r="F1935" s="188">
        <v>0.5</v>
      </c>
      <c r="G1935" s="187" t="s">
        <v>835</v>
      </c>
      <c r="H1935" s="181" t="s">
        <v>1836</v>
      </c>
      <c r="I1935" s="8">
        <f>(C12)</f>
        <v>95</v>
      </c>
      <c r="J1935" s="2" t="s">
        <v>835</v>
      </c>
      <c r="K1935" s="8">
        <f>(F1935*I1935)</f>
        <v>47.5</v>
      </c>
    </row>
    <row r="1936" spans="1:11" hidden="1">
      <c r="A1936" s="268"/>
      <c r="G1936" s="187" t="s">
        <v>419</v>
      </c>
      <c r="H1936" s="181" t="s">
        <v>420</v>
      </c>
      <c r="I1936"/>
      <c r="J1936" s="2" t="s">
        <v>419</v>
      </c>
      <c r="K1936" s="8">
        <v>0</v>
      </c>
    </row>
    <row r="1937" spans="1:11" hidden="1">
      <c r="A1937" s="268"/>
      <c r="I1937"/>
      <c r="J1937" s="4"/>
      <c r="K1937" s="5" t="s">
        <v>1530</v>
      </c>
    </row>
    <row r="1938" spans="1:11" hidden="1">
      <c r="A1938" s="268"/>
      <c r="H1938" s="181" t="s">
        <v>1694</v>
      </c>
      <c r="I1938"/>
      <c r="J1938" s="4"/>
      <c r="K1938" s="8">
        <f>SUM(K1928:K1936)</f>
        <v>2307.5</v>
      </c>
    </row>
    <row r="1939" spans="1:11" hidden="1">
      <c r="A1939" s="268"/>
      <c r="F1939" s="181" t="s">
        <v>940</v>
      </c>
      <c r="I1939"/>
      <c r="J1939" s="4"/>
      <c r="K1939"/>
    </row>
    <row r="1940" spans="1:11" hidden="1">
      <c r="A1940" s="268"/>
      <c r="I1940"/>
      <c r="J1940" s="4"/>
      <c r="K1940" s="5" t="s">
        <v>1530</v>
      </c>
    </row>
    <row r="1941" spans="1:11" hidden="1">
      <c r="A1941" s="268"/>
      <c r="G1941" s="187" t="s">
        <v>940</v>
      </c>
      <c r="H1941" s="181" t="s">
        <v>940</v>
      </c>
      <c r="I1941"/>
      <c r="J1941" s="4"/>
      <c r="K1941" s="1" t="s">
        <v>940</v>
      </c>
    </row>
    <row r="1942" spans="1:11" hidden="1">
      <c r="A1942" s="268"/>
      <c r="H1942" s="181" t="s">
        <v>940</v>
      </c>
      <c r="I1942"/>
      <c r="J1942" s="4"/>
      <c r="K1942"/>
    </row>
    <row r="1943" spans="1:11" hidden="1">
      <c r="A1943" s="268"/>
      <c r="F1943" s="246">
        <v>57.1</v>
      </c>
      <c r="G1943" s="187" t="s">
        <v>2167</v>
      </c>
      <c r="H1943" s="181" t="s">
        <v>1504</v>
      </c>
      <c r="I1943"/>
      <c r="J1943" s="4"/>
      <c r="K1943"/>
    </row>
    <row r="1944" spans="1:11" hidden="1">
      <c r="A1944" s="268"/>
      <c r="H1944" s="181" t="s">
        <v>194</v>
      </c>
      <c r="I1944"/>
      <c r="J1944" s="4"/>
      <c r="K1944"/>
    </row>
    <row r="1945" spans="1:11" hidden="1">
      <c r="A1945" s="268"/>
      <c r="H1945" s="181" t="s">
        <v>1715</v>
      </c>
      <c r="I1945"/>
      <c r="J1945" s="4"/>
      <c r="K1945"/>
    </row>
    <row r="1946" spans="1:11" hidden="1">
      <c r="A1946" s="268"/>
      <c r="H1946" s="185" t="s">
        <v>1530</v>
      </c>
      <c r="I1946"/>
      <c r="J1946" s="4"/>
      <c r="K1946"/>
    </row>
    <row r="1947" spans="1:11" ht="78.75" hidden="1">
      <c r="A1947" s="268"/>
      <c r="F1947" s="277">
        <v>1</v>
      </c>
      <c r="G1947" s="277" t="s">
        <v>753</v>
      </c>
      <c r="H1947" s="250" t="s">
        <v>1082</v>
      </c>
      <c r="I1947">
        <f>E591</f>
        <v>2000</v>
      </c>
      <c r="J1947" s="278" t="s">
        <v>753</v>
      </c>
      <c r="K1947" s="22">
        <f>(F1947*I1947)</f>
        <v>2000</v>
      </c>
    </row>
    <row r="1948" spans="1:11" hidden="1">
      <c r="A1948" s="268"/>
      <c r="F1948" s="188"/>
      <c r="G1948" s="187"/>
      <c r="H1948" s="279" t="s">
        <v>1122</v>
      </c>
      <c r="I1948"/>
      <c r="J1948" s="2"/>
      <c r="K1948" s="8"/>
    </row>
    <row r="1949" spans="1:11" hidden="1">
      <c r="A1949" s="268"/>
      <c r="F1949" s="188">
        <v>1</v>
      </c>
      <c r="G1949" s="187" t="s">
        <v>835</v>
      </c>
      <c r="H1949" s="181" t="s">
        <v>1938</v>
      </c>
      <c r="I1949">
        <f>C10</f>
        <v>150</v>
      </c>
      <c r="J1949" s="2" t="s">
        <v>835</v>
      </c>
      <c r="K1949" s="8">
        <f>(F1949*I1949)</f>
        <v>150</v>
      </c>
    </row>
    <row r="1950" spans="1:11" hidden="1">
      <c r="A1950" s="268"/>
      <c r="F1950" s="188">
        <v>2</v>
      </c>
      <c r="G1950" s="187" t="s">
        <v>835</v>
      </c>
      <c r="H1950" s="181" t="s">
        <v>2024</v>
      </c>
      <c r="I1950">
        <f>C15</f>
        <v>130</v>
      </c>
      <c r="J1950" s="2" t="s">
        <v>835</v>
      </c>
      <c r="K1950" s="8">
        <f>(F1950*I1950)</f>
        <v>260</v>
      </c>
    </row>
    <row r="1951" spans="1:11" hidden="1">
      <c r="A1951" s="268"/>
      <c r="F1951" s="188">
        <v>1</v>
      </c>
      <c r="G1951" s="187" t="s">
        <v>835</v>
      </c>
      <c r="H1951" s="181" t="s">
        <v>299</v>
      </c>
      <c r="I1951">
        <f>C13</f>
        <v>85</v>
      </c>
      <c r="J1951" s="2" t="s">
        <v>835</v>
      </c>
      <c r="K1951" s="8">
        <f>(F1951*I1951)</f>
        <v>85</v>
      </c>
    </row>
    <row r="1952" spans="1:11" hidden="1">
      <c r="A1952" s="268"/>
      <c r="F1952" s="188"/>
      <c r="G1952" s="187"/>
      <c r="H1952" s="279" t="s">
        <v>680</v>
      </c>
      <c r="I1952"/>
      <c r="J1952" s="2"/>
      <c r="K1952" s="8"/>
    </row>
    <row r="1953" spans="1:11" hidden="1">
      <c r="A1953" s="268"/>
      <c r="F1953" s="188">
        <v>0.5</v>
      </c>
      <c r="G1953" s="187" t="s">
        <v>835</v>
      </c>
      <c r="H1953" s="181" t="s">
        <v>2024</v>
      </c>
      <c r="I1953">
        <f>C15</f>
        <v>130</v>
      </c>
      <c r="J1953" s="2" t="s">
        <v>835</v>
      </c>
      <c r="K1953" s="8">
        <f>(F1953*I1953)</f>
        <v>65</v>
      </c>
    </row>
    <row r="1954" spans="1:11" hidden="1">
      <c r="A1954" s="268"/>
      <c r="F1954" s="188">
        <v>0.5</v>
      </c>
      <c r="G1954" s="187" t="s">
        <v>835</v>
      </c>
      <c r="H1954" s="181" t="s">
        <v>1836</v>
      </c>
      <c r="I1954">
        <f>C12</f>
        <v>95</v>
      </c>
      <c r="J1954" s="2" t="s">
        <v>835</v>
      </c>
      <c r="K1954" s="8">
        <f>(F1954*I1954)</f>
        <v>47.5</v>
      </c>
    </row>
    <row r="1955" spans="1:11" hidden="1">
      <c r="A1955" s="268"/>
      <c r="G1955" s="187" t="s">
        <v>419</v>
      </c>
      <c r="H1955" s="181" t="s">
        <v>420</v>
      </c>
      <c r="I1955"/>
      <c r="J1955" s="2" t="s">
        <v>419</v>
      </c>
      <c r="K1955" s="8">
        <v>0</v>
      </c>
    </row>
    <row r="1956" spans="1:11" hidden="1">
      <c r="A1956" s="268"/>
      <c r="I1956"/>
      <c r="J1956" s="4"/>
      <c r="K1956" s="5" t="s">
        <v>1530</v>
      </c>
    </row>
    <row r="1957" spans="1:11" hidden="1">
      <c r="A1957" s="268"/>
      <c r="H1957" s="181" t="s">
        <v>1694</v>
      </c>
      <c r="I1957"/>
      <c r="J1957" s="4"/>
      <c r="K1957" s="8">
        <f>SUM(K1947:K1955)</f>
        <v>2607.5</v>
      </c>
    </row>
    <row r="1958" spans="1:11" hidden="1">
      <c r="A1958" s="268"/>
      <c r="H1958" s="181"/>
      <c r="I1958"/>
      <c r="J1958" s="4"/>
      <c r="K1958"/>
    </row>
    <row r="1959" spans="1:11" hidden="1">
      <c r="A1959" s="268"/>
      <c r="H1959" s="181"/>
      <c r="I1959"/>
      <c r="J1959" s="4"/>
      <c r="K1959" s="5" t="s">
        <v>1530</v>
      </c>
    </row>
    <row r="1960" spans="1:11" hidden="1">
      <c r="A1960" s="268"/>
      <c r="H1960" s="181"/>
      <c r="I1960"/>
      <c r="J1960" s="4"/>
      <c r="K1960"/>
    </row>
    <row r="1961" spans="1:11" hidden="1">
      <c r="A1961" s="268"/>
      <c r="F1961" s="236" t="s">
        <v>681</v>
      </c>
      <c r="G1961" s="187" t="s">
        <v>2167</v>
      </c>
      <c r="H1961" s="181" t="s">
        <v>778</v>
      </c>
      <c r="I1961"/>
      <c r="J1961" s="4"/>
      <c r="K1961"/>
    </row>
    <row r="1962" spans="1:11" hidden="1">
      <c r="A1962" s="268"/>
      <c r="H1962" s="181" t="s">
        <v>158</v>
      </c>
      <c r="I1962"/>
      <c r="J1962" s="4"/>
      <c r="K1962"/>
    </row>
    <row r="1963" spans="1:11" hidden="1">
      <c r="A1963" s="268"/>
      <c r="H1963" s="185" t="s">
        <v>1530</v>
      </c>
      <c r="I1963"/>
      <c r="J1963" s="4"/>
      <c r="K1963"/>
    </row>
    <row r="1964" spans="1:11" hidden="1">
      <c r="A1964" s="268"/>
      <c r="G1964" s="187" t="s">
        <v>657</v>
      </c>
      <c r="H1964" s="181" t="s">
        <v>39</v>
      </c>
      <c r="I1964"/>
      <c r="J1964" s="4"/>
      <c r="K1964"/>
    </row>
    <row r="1965" spans="1:11" hidden="1">
      <c r="A1965" s="268"/>
      <c r="H1965" s="181" t="s">
        <v>2565</v>
      </c>
      <c r="I1965"/>
      <c r="J1965" s="4"/>
      <c r="K1965"/>
    </row>
    <row r="1966" spans="1:11" hidden="1">
      <c r="A1966" s="268"/>
      <c r="H1966" s="181" t="s">
        <v>911</v>
      </c>
      <c r="I1966"/>
      <c r="J1966" s="4"/>
      <c r="K1966"/>
    </row>
    <row r="1967" spans="1:11" hidden="1">
      <c r="A1967" s="268"/>
      <c r="H1967" s="181" t="s">
        <v>912</v>
      </c>
      <c r="I1967"/>
      <c r="J1967" s="4"/>
      <c r="K1967"/>
    </row>
    <row r="1968" spans="1:11" hidden="1">
      <c r="A1968" s="268"/>
      <c r="H1968" s="181" t="s">
        <v>2025</v>
      </c>
      <c r="I1968"/>
      <c r="J1968" s="4"/>
      <c r="K1968"/>
    </row>
    <row r="1969" spans="1:11" hidden="1">
      <c r="A1969" s="268"/>
      <c r="H1969" s="181" t="s">
        <v>2026</v>
      </c>
      <c r="I1969"/>
      <c r="J1969" s="4"/>
      <c r="K1969"/>
    </row>
    <row r="1970" spans="1:11" hidden="1">
      <c r="A1970" s="268"/>
      <c r="H1970" s="181" t="s">
        <v>2566</v>
      </c>
      <c r="I1970"/>
      <c r="J1970" s="4"/>
      <c r="K1970"/>
    </row>
    <row r="1971" spans="1:11" hidden="1">
      <c r="A1971" s="268"/>
      <c r="H1971" s="185" t="s">
        <v>1530</v>
      </c>
      <c r="I1971"/>
      <c r="J1971" s="4"/>
      <c r="K1971"/>
    </row>
    <row r="1972" spans="1:11" hidden="1">
      <c r="A1972" s="268"/>
      <c r="F1972" s="188">
        <v>3</v>
      </c>
      <c r="G1972" s="187" t="s">
        <v>1714</v>
      </c>
      <c r="H1972" s="181" t="s">
        <v>2027</v>
      </c>
      <c r="I1972" s="8">
        <f>(C598)</f>
        <v>120</v>
      </c>
      <c r="J1972" s="2" t="s">
        <v>1714</v>
      </c>
      <c r="K1972" s="8">
        <f t="shared" ref="K1972:K1978" si="70">(F1972*I1972)</f>
        <v>360</v>
      </c>
    </row>
    <row r="1973" spans="1:11" hidden="1">
      <c r="A1973" s="268"/>
      <c r="F1973" s="188">
        <v>1</v>
      </c>
      <c r="G1973" s="187" t="s">
        <v>739</v>
      </c>
      <c r="H1973" s="181" t="s">
        <v>638</v>
      </c>
      <c r="I1973" s="8">
        <f>C601</f>
        <v>65</v>
      </c>
      <c r="J1973" s="2" t="s">
        <v>1658</v>
      </c>
      <c r="K1973" s="8">
        <f t="shared" si="70"/>
        <v>65</v>
      </c>
    </row>
    <row r="1974" spans="1:11" hidden="1">
      <c r="A1974" s="268"/>
      <c r="F1974" s="188">
        <v>1</v>
      </c>
      <c r="G1974" s="187" t="s">
        <v>739</v>
      </c>
      <c r="H1974" s="181" t="s">
        <v>639</v>
      </c>
      <c r="I1974" s="8">
        <f>C626</f>
        <v>12</v>
      </c>
      <c r="J1974" s="2" t="s">
        <v>1658</v>
      </c>
      <c r="K1974" s="8">
        <f t="shared" si="70"/>
        <v>12</v>
      </c>
    </row>
    <row r="1975" spans="1:11" hidden="1">
      <c r="A1975" s="268"/>
      <c r="F1975" s="188">
        <v>1</v>
      </c>
      <c r="G1975" s="187" t="s">
        <v>739</v>
      </c>
      <c r="H1975" s="181" t="s">
        <v>1465</v>
      </c>
      <c r="I1975" s="8">
        <f>C623</f>
        <v>110</v>
      </c>
      <c r="J1975" s="2" t="s">
        <v>1658</v>
      </c>
      <c r="K1975" s="8">
        <f t="shared" si="70"/>
        <v>110</v>
      </c>
    </row>
    <row r="1976" spans="1:11" hidden="1">
      <c r="A1976" s="268"/>
      <c r="F1976" s="188">
        <v>0.5</v>
      </c>
      <c r="G1976" s="187" t="s">
        <v>835</v>
      </c>
      <c r="H1976" s="181" t="s">
        <v>2024</v>
      </c>
      <c r="I1976" s="8">
        <f>(C15)</f>
        <v>130</v>
      </c>
      <c r="J1976" s="2" t="s">
        <v>1658</v>
      </c>
      <c r="K1976" s="8">
        <f t="shared" si="70"/>
        <v>65</v>
      </c>
    </row>
    <row r="1977" spans="1:11" hidden="1">
      <c r="A1977" s="268"/>
      <c r="F1977" s="188">
        <v>0.5</v>
      </c>
      <c r="G1977" s="187" t="s">
        <v>835</v>
      </c>
      <c r="H1977" s="181" t="s">
        <v>1654</v>
      </c>
      <c r="I1977" s="8">
        <f>(C11)</f>
        <v>135</v>
      </c>
      <c r="J1977" s="2" t="s">
        <v>1658</v>
      </c>
      <c r="K1977" s="8">
        <f t="shared" si="70"/>
        <v>67.5</v>
      </c>
    </row>
    <row r="1978" spans="1:11" hidden="1">
      <c r="A1978" s="268"/>
      <c r="F1978" s="188">
        <v>0.5</v>
      </c>
      <c r="G1978" s="187" t="s">
        <v>835</v>
      </c>
      <c r="H1978" s="181" t="s">
        <v>1836</v>
      </c>
      <c r="I1978" s="8">
        <f>(C12)</f>
        <v>95</v>
      </c>
      <c r="J1978" s="2" t="s">
        <v>1658</v>
      </c>
      <c r="K1978" s="8">
        <f t="shared" si="70"/>
        <v>47.5</v>
      </c>
    </row>
    <row r="1979" spans="1:11" hidden="1">
      <c r="A1979" s="268"/>
      <c r="G1979" s="187" t="s">
        <v>419</v>
      </c>
      <c r="H1979" s="181" t="s">
        <v>1466</v>
      </c>
      <c r="I1979" s="8">
        <v>2.79</v>
      </c>
      <c r="J1979" s="2" t="s">
        <v>419</v>
      </c>
      <c r="K1979" s="8">
        <v>2.79</v>
      </c>
    </row>
    <row r="1980" spans="1:11" hidden="1">
      <c r="A1980" s="268"/>
      <c r="H1980" s="181" t="s">
        <v>82</v>
      </c>
      <c r="I1980"/>
      <c r="J1980" s="4"/>
      <c r="K1980"/>
    </row>
    <row r="1981" spans="1:11" hidden="1">
      <c r="A1981" s="268"/>
      <c r="H1981" s="181" t="s">
        <v>184</v>
      </c>
      <c r="I1981"/>
      <c r="J1981" s="4"/>
      <c r="K1981"/>
    </row>
    <row r="1982" spans="1:11" hidden="1">
      <c r="A1982" s="268"/>
      <c r="H1982" s="181" t="s">
        <v>703</v>
      </c>
      <c r="I1982"/>
      <c r="J1982" s="2" t="s">
        <v>419</v>
      </c>
      <c r="K1982" s="8">
        <v>0</v>
      </c>
    </row>
    <row r="1983" spans="1:11" hidden="1">
      <c r="A1983" s="268"/>
      <c r="I1983"/>
      <c r="J1983" s="4"/>
      <c r="K1983" s="5" t="s">
        <v>1530</v>
      </c>
    </row>
    <row r="1984" spans="1:11" hidden="1">
      <c r="A1984" s="268"/>
      <c r="H1984" s="181" t="s">
        <v>1267</v>
      </c>
      <c r="I1984"/>
      <c r="J1984" s="4"/>
      <c r="K1984" s="8">
        <f>SUM(K1972:K1982)</f>
        <v>729.79</v>
      </c>
    </row>
    <row r="1985" spans="1:11" hidden="1">
      <c r="A1985" s="268"/>
      <c r="I1985"/>
      <c r="J1985" s="4"/>
      <c r="K1985" s="5" t="s">
        <v>1530</v>
      </c>
    </row>
    <row r="1986" spans="1:11" hidden="1">
      <c r="A1986" s="268"/>
      <c r="H1986" s="181" t="s">
        <v>1490</v>
      </c>
      <c r="I1986"/>
      <c r="J1986" s="4"/>
      <c r="K1986" s="8">
        <f>(K1984/3)</f>
        <v>243.26</v>
      </c>
    </row>
    <row r="1987" spans="1:11" hidden="1">
      <c r="A1987" s="268"/>
      <c r="I1987"/>
      <c r="J1987" s="4"/>
      <c r="K1987" s="5" t="s">
        <v>1530</v>
      </c>
    </row>
    <row r="1988" spans="1:11" hidden="1">
      <c r="A1988" s="268"/>
      <c r="F1988" s="236" t="s">
        <v>704</v>
      </c>
      <c r="G1988" s="187" t="s">
        <v>267</v>
      </c>
      <c r="H1988" s="181" t="s">
        <v>705</v>
      </c>
      <c r="I1988"/>
      <c r="J1988" s="4"/>
      <c r="K1988"/>
    </row>
    <row r="1989" spans="1:11" hidden="1">
      <c r="A1989" s="268"/>
      <c r="H1989" s="181" t="s">
        <v>3310</v>
      </c>
      <c r="I1989"/>
      <c r="J1989" s="4"/>
      <c r="K1989"/>
    </row>
    <row r="1990" spans="1:11" hidden="1">
      <c r="A1990" s="268"/>
      <c r="H1990" s="181" t="s">
        <v>911</v>
      </c>
      <c r="I1990"/>
      <c r="J1990" s="4"/>
      <c r="K1990"/>
    </row>
    <row r="1991" spans="1:11" hidden="1">
      <c r="A1991" s="268"/>
      <c r="H1991" s="181" t="s">
        <v>706</v>
      </c>
      <c r="I1991"/>
      <c r="J1991" s="4"/>
      <c r="K1991"/>
    </row>
    <row r="1992" spans="1:11" hidden="1">
      <c r="A1992" s="268"/>
      <c r="H1992" s="181" t="s">
        <v>507</v>
      </c>
      <c r="I1992"/>
      <c r="J1992" s="4"/>
      <c r="K1992"/>
    </row>
    <row r="1993" spans="1:11" hidden="1">
      <c r="A1993" s="268"/>
      <c r="H1993" s="181" t="s">
        <v>2026</v>
      </c>
      <c r="I1993"/>
      <c r="J1993" s="4"/>
      <c r="K1993"/>
    </row>
    <row r="1994" spans="1:11" hidden="1">
      <c r="A1994" s="268"/>
      <c r="H1994" s="181" t="s">
        <v>2566</v>
      </c>
      <c r="I1994"/>
      <c r="J1994" s="4"/>
      <c r="K1994"/>
    </row>
    <row r="1995" spans="1:11" hidden="1">
      <c r="A1995" s="268"/>
      <c r="H1995" s="185" t="s">
        <v>1530</v>
      </c>
      <c r="I1995"/>
      <c r="J1995" s="4"/>
      <c r="K1995"/>
    </row>
    <row r="1996" spans="1:11" hidden="1">
      <c r="A1996" s="268"/>
      <c r="F1996" s="188">
        <v>3</v>
      </c>
      <c r="G1996" s="187" t="s">
        <v>1714</v>
      </c>
      <c r="H1996" s="181" t="s">
        <v>969</v>
      </c>
      <c r="I1996" s="8">
        <f>(C599)</f>
        <v>80</v>
      </c>
      <c r="J1996" s="2" t="s">
        <v>1714</v>
      </c>
      <c r="K1996" s="8">
        <f t="shared" ref="K1996:K2002" si="71">(F1996*I1996)</f>
        <v>240</v>
      </c>
    </row>
    <row r="1997" spans="1:11" hidden="1">
      <c r="A1997" s="268"/>
      <c r="F1997" s="188">
        <v>1</v>
      </c>
      <c r="G1997" s="187" t="s">
        <v>739</v>
      </c>
      <c r="H1997" s="181" t="s">
        <v>970</v>
      </c>
      <c r="I1997" s="8">
        <f>C602</f>
        <v>40</v>
      </c>
      <c r="J1997" s="4" t="s">
        <v>739</v>
      </c>
      <c r="K1997" s="8">
        <f t="shared" si="71"/>
        <v>40</v>
      </c>
    </row>
    <row r="1998" spans="1:11" hidden="1">
      <c r="A1998" s="268"/>
      <c r="F1998" s="188">
        <v>1</v>
      </c>
      <c r="G1998" s="187" t="s">
        <v>739</v>
      </c>
      <c r="H1998" s="181" t="s">
        <v>971</v>
      </c>
      <c r="I1998" s="8">
        <f>C627</f>
        <v>7.5</v>
      </c>
      <c r="J1998" s="4" t="s">
        <v>739</v>
      </c>
      <c r="K1998" s="8">
        <f t="shared" si="71"/>
        <v>7.5</v>
      </c>
    </row>
    <row r="1999" spans="1:11" hidden="1">
      <c r="A1999" s="268"/>
      <c r="F1999" s="188">
        <v>1</v>
      </c>
      <c r="G1999" s="187" t="s">
        <v>739</v>
      </c>
      <c r="H1999" s="181" t="s">
        <v>83</v>
      </c>
      <c r="I1999" s="8">
        <f>C624</f>
        <v>70</v>
      </c>
      <c r="J1999" s="4" t="s">
        <v>739</v>
      </c>
      <c r="K1999" s="8">
        <f t="shared" si="71"/>
        <v>70</v>
      </c>
    </row>
    <row r="2000" spans="1:11" hidden="1">
      <c r="A2000" s="268"/>
      <c r="F2000" s="188">
        <v>0.5</v>
      </c>
      <c r="G2000" s="187" t="s">
        <v>835</v>
      </c>
      <c r="H2000" s="181" t="s">
        <v>2024</v>
      </c>
      <c r="I2000" s="8">
        <f>(C15)</f>
        <v>130</v>
      </c>
      <c r="J2000" s="2" t="s">
        <v>835</v>
      </c>
      <c r="K2000" s="8">
        <f t="shared" si="71"/>
        <v>65</v>
      </c>
    </row>
    <row r="2001" spans="1:11" hidden="1">
      <c r="A2001" s="268"/>
      <c r="F2001" s="188">
        <v>0.5</v>
      </c>
      <c r="G2001" s="187" t="s">
        <v>835</v>
      </c>
      <c r="H2001" s="181" t="s">
        <v>1654</v>
      </c>
      <c r="I2001" s="8">
        <f>(C11)</f>
        <v>135</v>
      </c>
      <c r="J2001" s="2" t="s">
        <v>835</v>
      </c>
      <c r="K2001" s="8">
        <f t="shared" si="71"/>
        <v>67.5</v>
      </c>
    </row>
    <row r="2002" spans="1:11" hidden="1">
      <c r="A2002" s="268"/>
      <c r="F2002" s="188">
        <v>0.5</v>
      </c>
      <c r="G2002" s="187" t="s">
        <v>835</v>
      </c>
      <c r="H2002" s="181" t="s">
        <v>1836</v>
      </c>
      <c r="I2002" s="8">
        <f>(C12)</f>
        <v>95</v>
      </c>
      <c r="J2002" s="2" t="s">
        <v>835</v>
      </c>
      <c r="K2002" s="8">
        <f t="shared" si="71"/>
        <v>47.5</v>
      </c>
    </row>
    <row r="2003" spans="1:11" hidden="1">
      <c r="A2003" s="268"/>
      <c r="G2003" s="187" t="s">
        <v>419</v>
      </c>
      <c r="H2003" s="181" t="s">
        <v>1466</v>
      </c>
      <c r="I2003" s="1" t="s">
        <v>940</v>
      </c>
      <c r="J2003" s="2" t="s">
        <v>419</v>
      </c>
      <c r="K2003" s="8">
        <v>2.73</v>
      </c>
    </row>
    <row r="2004" spans="1:11" hidden="1">
      <c r="A2004" s="268"/>
      <c r="H2004" s="181" t="s">
        <v>82</v>
      </c>
      <c r="I2004"/>
      <c r="J2004" s="4"/>
      <c r="K2004"/>
    </row>
    <row r="2005" spans="1:11" hidden="1">
      <c r="A2005" s="268"/>
      <c r="H2005" s="181" t="s">
        <v>184</v>
      </c>
      <c r="I2005"/>
      <c r="J2005" s="4"/>
      <c r="K2005"/>
    </row>
    <row r="2006" spans="1:11" hidden="1">
      <c r="A2006" s="268"/>
      <c r="H2006" s="181" t="s">
        <v>703</v>
      </c>
      <c r="I2006"/>
      <c r="J2006" s="2" t="s">
        <v>419</v>
      </c>
      <c r="K2006" s="8">
        <v>0</v>
      </c>
    </row>
    <row r="2007" spans="1:11" hidden="1">
      <c r="A2007" s="268"/>
      <c r="I2007"/>
      <c r="J2007" s="4"/>
      <c r="K2007" s="5" t="s">
        <v>1530</v>
      </c>
    </row>
    <row r="2008" spans="1:11" hidden="1">
      <c r="A2008" s="268"/>
      <c r="H2008" s="181" t="s">
        <v>1267</v>
      </c>
      <c r="I2008"/>
      <c r="J2008" s="4"/>
      <c r="K2008" s="8">
        <f>SUM(K1996:K2006)</f>
        <v>540.23</v>
      </c>
    </row>
    <row r="2009" spans="1:11" hidden="1">
      <c r="A2009" s="268"/>
      <c r="I2009"/>
      <c r="J2009" s="4"/>
      <c r="K2009" s="5" t="s">
        <v>1530</v>
      </c>
    </row>
    <row r="2010" spans="1:11" hidden="1">
      <c r="A2010" s="268"/>
      <c r="H2010" s="181" t="s">
        <v>1490</v>
      </c>
      <c r="I2010"/>
      <c r="J2010" s="4"/>
      <c r="K2010" s="8">
        <f>(K2008/3)</f>
        <v>180.08</v>
      </c>
    </row>
    <row r="2011" spans="1:11" hidden="1">
      <c r="A2011" s="268"/>
      <c r="I2011"/>
      <c r="J2011" s="4"/>
      <c r="K2011" s="5" t="s">
        <v>1530</v>
      </c>
    </row>
    <row r="2012" spans="1:11" hidden="1">
      <c r="A2012" s="268"/>
      <c r="F2012" s="236" t="s">
        <v>84</v>
      </c>
      <c r="H2012" s="181" t="s">
        <v>199</v>
      </c>
      <c r="I2012"/>
      <c r="J2012" s="4"/>
      <c r="K2012"/>
    </row>
    <row r="2013" spans="1:11" hidden="1">
      <c r="A2013" s="268"/>
      <c r="H2013" s="181" t="s">
        <v>1755</v>
      </c>
      <c r="I2013"/>
      <c r="J2013" s="4"/>
      <c r="K2013"/>
    </row>
    <row r="2014" spans="1:11" hidden="1">
      <c r="A2014" s="268"/>
      <c r="F2014" s="181" t="s">
        <v>940</v>
      </c>
      <c r="H2014" s="181" t="s">
        <v>2113</v>
      </c>
      <c r="I2014"/>
      <c r="J2014" s="4"/>
      <c r="K2014"/>
    </row>
    <row r="2015" spans="1:11" hidden="1">
      <c r="A2015" s="268"/>
      <c r="H2015" s="185" t="s">
        <v>1530</v>
      </c>
      <c r="I2015"/>
      <c r="J2015" s="4"/>
      <c r="K2015"/>
    </row>
    <row r="2016" spans="1:11" hidden="1">
      <c r="A2016" s="268"/>
      <c r="F2016" s="188">
        <v>3</v>
      </c>
      <c r="G2016" s="187" t="s">
        <v>2114</v>
      </c>
      <c r="H2016" s="181" t="s">
        <v>2115</v>
      </c>
      <c r="I2016" s="8">
        <v>108</v>
      </c>
      <c r="J2016" s="2" t="s">
        <v>2114</v>
      </c>
      <c r="K2016" s="8">
        <f>(F2016*I2016)</f>
        <v>324</v>
      </c>
    </row>
    <row r="2017" spans="1:11" hidden="1">
      <c r="A2017" s="268"/>
      <c r="F2017" s="188">
        <v>1</v>
      </c>
      <c r="G2017" s="187" t="s">
        <v>1703</v>
      </c>
      <c r="H2017" s="181" t="s">
        <v>2116</v>
      </c>
      <c r="I2017" s="8">
        <v>12</v>
      </c>
      <c r="J2017" s="2" t="s">
        <v>1703</v>
      </c>
      <c r="K2017" s="8">
        <f>(F2017*I2017)</f>
        <v>12</v>
      </c>
    </row>
    <row r="2018" spans="1:11" hidden="1">
      <c r="A2018" s="268"/>
      <c r="F2018" s="188">
        <v>1</v>
      </c>
      <c r="G2018" s="187" t="s">
        <v>1703</v>
      </c>
      <c r="H2018" s="181" t="s">
        <v>2117</v>
      </c>
      <c r="I2018" s="8">
        <v>8</v>
      </c>
      <c r="J2018" s="2" t="s">
        <v>1703</v>
      </c>
      <c r="K2018" s="8">
        <f>(F2018*I2018)</f>
        <v>8</v>
      </c>
    </row>
    <row r="2019" spans="1:11" hidden="1">
      <c r="A2019" s="268"/>
      <c r="F2019" s="236" t="s">
        <v>702</v>
      </c>
      <c r="H2019" s="181" t="s">
        <v>2118</v>
      </c>
      <c r="I2019" s="2" t="s">
        <v>702</v>
      </c>
      <c r="J2019" s="4"/>
      <c r="K2019" s="8">
        <v>1.21</v>
      </c>
    </row>
    <row r="2020" spans="1:11" hidden="1">
      <c r="A2020" s="268"/>
      <c r="I2020"/>
      <c r="J2020" s="4"/>
      <c r="K2020" s="5" t="s">
        <v>1530</v>
      </c>
    </row>
    <row r="2021" spans="1:11" hidden="1">
      <c r="A2021" s="268"/>
      <c r="H2021" s="181" t="s">
        <v>367</v>
      </c>
      <c r="I2021"/>
      <c r="J2021" s="4"/>
      <c r="K2021" s="8">
        <f>SUM(K2016:K2019)</f>
        <v>345.21</v>
      </c>
    </row>
    <row r="2022" spans="1:11" hidden="1">
      <c r="A2022" s="268"/>
      <c r="I2022"/>
      <c r="J2022" s="4"/>
      <c r="K2022" s="5" t="s">
        <v>1530</v>
      </c>
    </row>
    <row r="2023" spans="1:11" hidden="1">
      <c r="A2023" s="268"/>
      <c r="I2023"/>
      <c r="J2023" s="4"/>
      <c r="K2023"/>
    </row>
    <row r="2024" spans="1:11" hidden="1">
      <c r="A2024" s="268"/>
      <c r="F2024" s="236" t="s">
        <v>368</v>
      </c>
      <c r="G2024" s="187" t="s">
        <v>2167</v>
      </c>
      <c r="H2024" s="181" t="s">
        <v>1093</v>
      </c>
      <c r="I2024"/>
      <c r="J2024" s="4"/>
      <c r="K2024"/>
    </row>
    <row r="2025" spans="1:11" hidden="1">
      <c r="A2025" s="268"/>
      <c r="H2025" s="181" t="s">
        <v>276</v>
      </c>
      <c r="I2025"/>
      <c r="J2025" s="4"/>
      <c r="K2025"/>
    </row>
    <row r="2026" spans="1:11" hidden="1">
      <c r="A2026" s="268"/>
      <c r="H2026" s="185" t="s">
        <v>1530</v>
      </c>
      <c r="I2026"/>
      <c r="J2026" s="4"/>
      <c r="K2026"/>
    </row>
    <row r="2027" spans="1:11" hidden="1">
      <c r="A2027" s="268"/>
      <c r="F2027" s="188">
        <v>1</v>
      </c>
      <c r="G2027" s="187" t="s">
        <v>835</v>
      </c>
      <c r="H2027" s="181" t="s">
        <v>276</v>
      </c>
      <c r="I2027" s="8">
        <f>(C265)</f>
        <v>115</v>
      </c>
      <c r="J2027" s="2" t="s">
        <v>835</v>
      </c>
      <c r="K2027" s="8">
        <f>(F2027*I2027)</f>
        <v>115</v>
      </c>
    </row>
    <row r="2028" spans="1:11" hidden="1">
      <c r="A2028" s="268"/>
      <c r="F2028" s="188">
        <v>0.05</v>
      </c>
      <c r="G2028" s="187" t="s">
        <v>836</v>
      </c>
      <c r="H2028" s="181" t="s">
        <v>1136</v>
      </c>
      <c r="I2028" s="8" t="e">
        <f>(R60)</f>
        <v>#REF!</v>
      </c>
      <c r="J2028" s="2" t="s">
        <v>836</v>
      </c>
      <c r="K2028" s="8" t="e">
        <f>(F2028*I2028)</f>
        <v>#REF!</v>
      </c>
    </row>
    <row r="2029" spans="1:11" hidden="1">
      <c r="A2029" s="268"/>
      <c r="F2029" s="188">
        <v>0.5</v>
      </c>
      <c r="G2029" s="187" t="s">
        <v>835</v>
      </c>
      <c r="H2029" s="181" t="s">
        <v>2024</v>
      </c>
      <c r="I2029" s="8">
        <f>(C15)</f>
        <v>130</v>
      </c>
      <c r="J2029" s="2" t="s">
        <v>835</v>
      </c>
      <c r="K2029" s="8">
        <f>(F2029*I2029)</f>
        <v>65</v>
      </c>
    </row>
    <row r="2030" spans="1:11" hidden="1">
      <c r="A2030" s="268"/>
      <c r="F2030" s="188">
        <v>1</v>
      </c>
      <c r="G2030" s="187" t="s">
        <v>835</v>
      </c>
      <c r="H2030" s="181" t="s">
        <v>1836</v>
      </c>
      <c r="I2030" s="8">
        <f>(C12)</f>
        <v>95</v>
      </c>
      <c r="J2030" s="2" t="s">
        <v>835</v>
      </c>
      <c r="K2030" s="8">
        <f>(F2030*I2030)</f>
        <v>95</v>
      </c>
    </row>
    <row r="2031" spans="1:11" hidden="1">
      <c r="A2031" s="268"/>
      <c r="F2031" s="188">
        <v>1</v>
      </c>
      <c r="G2031" s="187" t="s">
        <v>835</v>
      </c>
      <c r="H2031" s="181" t="s">
        <v>299</v>
      </c>
      <c r="I2031" s="8">
        <f>(C13)</f>
        <v>85</v>
      </c>
      <c r="J2031" s="2" t="s">
        <v>835</v>
      </c>
      <c r="K2031" s="8">
        <f>(F2031*I2031)</f>
        <v>85</v>
      </c>
    </row>
    <row r="2032" spans="1:11" hidden="1">
      <c r="A2032" s="268"/>
      <c r="G2032" s="187" t="s">
        <v>419</v>
      </c>
      <c r="H2032" s="181" t="s">
        <v>420</v>
      </c>
      <c r="I2032" s="1" t="s">
        <v>940</v>
      </c>
      <c r="J2032" s="2" t="s">
        <v>419</v>
      </c>
      <c r="K2032" s="8">
        <v>0</v>
      </c>
    </row>
    <row r="2033" spans="1:11" hidden="1">
      <c r="A2033" s="268"/>
      <c r="H2033" s="181" t="s">
        <v>940</v>
      </c>
      <c r="I2033"/>
      <c r="J2033" s="4"/>
      <c r="K2033" s="5" t="s">
        <v>1530</v>
      </c>
    </row>
    <row r="2034" spans="1:11" hidden="1">
      <c r="A2034" s="268"/>
      <c r="H2034" s="181" t="s">
        <v>1694</v>
      </c>
      <c r="I2034"/>
      <c r="J2034" s="4"/>
      <c r="K2034" s="8" t="e">
        <f>SUM(K2027:K2032)</f>
        <v>#REF!</v>
      </c>
    </row>
    <row r="2035" spans="1:11" hidden="1">
      <c r="A2035" s="268"/>
      <c r="I2035"/>
      <c r="J2035" s="4"/>
      <c r="K2035" s="5" t="s">
        <v>1980</v>
      </c>
    </row>
    <row r="2036" spans="1:11" hidden="1">
      <c r="A2036" s="268"/>
      <c r="F2036" s="236" t="s">
        <v>1137</v>
      </c>
      <c r="G2036" s="187" t="s">
        <v>2167</v>
      </c>
      <c r="H2036" s="181" t="s">
        <v>2142</v>
      </c>
      <c r="I2036"/>
      <c r="J2036" s="4"/>
      <c r="K2036"/>
    </row>
    <row r="2037" spans="1:11" hidden="1">
      <c r="A2037" s="268"/>
      <c r="H2037" s="181" t="s">
        <v>2293</v>
      </c>
      <c r="I2037"/>
      <c r="J2037" s="4"/>
      <c r="K2037"/>
    </row>
    <row r="2038" spans="1:11" hidden="1">
      <c r="A2038" s="268"/>
      <c r="H2038" s="185" t="s">
        <v>1530</v>
      </c>
      <c r="I2038"/>
      <c r="J2038" s="4"/>
      <c r="K2038"/>
    </row>
    <row r="2039" spans="1:11" hidden="1">
      <c r="A2039" s="268"/>
      <c r="F2039" s="188">
        <v>1</v>
      </c>
      <c r="G2039" s="187" t="s">
        <v>835</v>
      </c>
      <c r="H2039" s="181" t="s">
        <v>2143</v>
      </c>
      <c r="I2039" s="8">
        <f>(D266)</f>
        <v>90</v>
      </c>
      <c r="J2039" s="2" t="s">
        <v>835</v>
      </c>
      <c r="K2039" s="8">
        <f>(F2039*I2039)</f>
        <v>90</v>
      </c>
    </row>
    <row r="2040" spans="1:11" hidden="1">
      <c r="A2040" s="268"/>
      <c r="G2040" s="187" t="s">
        <v>419</v>
      </c>
      <c r="H2040" s="181" t="s">
        <v>1632</v>
      </c>
      <c r="I2040"/>
      <c r="J2040" s="2" t="s">
        <v>419</v>
      </c>
      <c r="K2040" s="8">
        <v>4</v>
      </c>
    </row>
    <row r="2041" spans="1:11" hidden="1">
      <c r="A2041" s="268"/>
      <c r="I2041"/>
      <c r="J2041" s="2" t="s">
        <v>940</v>
      </c>
      <c r="K2041" s="5" t="s">
        <v>1530</v>
      </c>
    </row>
    <row r="2042" spans="1:11" hidden="1">
      <c r="A2042" s="268"/>
      <c r="H2042" s="181" t="s">
        <v>1694</v>
      </c>
      <c r="I2042"/>
      <c r="J2042" s="4"/>
      <c r="K2042" s="8">
        <f>SUM(K2039:K2041)</f>
        <v>94</v>
      </c>
    </row>
    <row r="2043" spans="1:11" hidden="1">
      <c r="A2043" s="268"/>
      <c r="I2043"/>
      <c r="J2043" s="4"/>
      <c r="K2043" s="5" t="s">
        <v>1530</v>
      </c>
    </row>
    <row r="2044" spans="1:11" hidden="1">
      <c r="A2044" s="268"/>
      <c r="F2044" s="236" t="s">
        <v>1633</v>
      </c>
      <c r="G2044" s="187" t="s">
        <v>2167</v>
      </c>
      <c r="H2044" s="181" t="s">
        <v>50</v>
      </c>
      <c r="I2044"/>
      <c r="J2044" s="4"/>
      <c r="K2044"/>
    </row>
    <row r="2045" spans="1:11" hidden="1">
      <c r="A2045" s="268"/>
      <c r="H2045" s="181" t="s">
        <v>51</v>
      </c>
      <c r="I2045"/>
      <c r="J2045" s="4"/>
      <c r="K2045"/>
    </row>
    <row r="2046" spans="1:11" hidden="1">
      <c r="A2046" s="268"/>
      <c r="H2046" s="185" t="s">
        <v>1530</v>
      </c>
      <c r="I2046"/>
      <c r="J2046" s="4"/>
      <c r="K2046"/>
    </row>
    <row r="2047" spans="1:11" hidden="1">
      <c r="A2047" s="268"/>
      <c r="F2047" s="188">
        <v>50</v>
      </c>
      <c r="G2047" s="187" t="s">
        <v>835</v>
      </c>
      <c r="H2047" s="181" t="s">
        <v>760</v>
      </c>
      <c r="I2047" s="8">
        <f>(C203)</f>
        <v>40</v>
      </c>
      <c r="J2047" s="2" t="s">
        <v>835</v>
      </c>
      <c r="K2047" s="8">
        <f t="shared" ref="K2047:K2056" si="72">(F2047*I2047)</f>
        <v>2000</v>
      </c>
    </row>
    <row r="2048" spans="1:11" hidden="1">
      <c r="A2048" s="268"/>
      <c r="F2048" s="188">
        <v>21.6</v>
      </c>
      <c r="G2048" s="187" t="s">
        <v>836</v>
      </c>
      <c r="H2048" s="181" t="s">
        <v>761</v>
      </c>
      <c r="I2048" s="8">
        <f>(C61*2)</f>
        <v>50</v>
      </c>
      <c r="J2048" s="2" t="s">
        <v>836</v>
      </c>
      <c r="K2048" s="8">
        <f t="shared" si="72"/>
        <v>1080</v>
      </c>
    </row>
    <row r="2049" spans="1:11" hidden="1">
      <c r="A2049" s="268"/>
      <c r="F2049" s="188">
        <v>21.6</v>
      </c>
      <c r="G2049" s="187" t="s">
        <v>836</v>
      </c>
      <c r="H2049" s="181" t="s">
        <v>236</v>
      </c>
      <c r="I2049" s="8">
        <f>(C26)</f>
        <v>8.8000000000000007</v>
      </c>
      <c r="J2049" s="2" t="s">
        <v>836</v>
      </c>
      <c r="K2049" s="8">
        <f t="shared" si="72"/>
        <v>190.08</v>
      </c>
    </row>
    <row r="2050" spans="1:11" hidden="1">
      <c r="A2050" s="268"/>
      <c r="F2050" s="188">
        <v>45</v>
      </c>
      <c r="G2050" s="187" t="s">
        <v>1591</v>
      </c>
      <c r="H2050" s="181" t="s">
        <v>829</v>
      </c>
      <c r="I2050" s="8">
        <f>(C67/1000)</f>
        <v>3.8</v>
      </c>
      <c r="J2050" s="2" t="s">
        <v>1591</v>
      </c>
      <c r="K2050" s="8">
        <f t="shared" si="72"/>
        <v>171</v>
      </c>
    </row>
    <row r="2051" spans="1:11" hidden="1">
      <c r="A2051" s="268"/>
      <c r="F2051" s="188">
        <v>0.04</v>
      </c>
      <c r="G2051" s="187" t="s">
        <v>836</v>
      </c>
      <c r="H2051" s="181" t="s">
        <v>837</v>
      </c>
      <c r="I2051" s="8" t="e">
        <f>(C78)</f>
        <v>#REF!</v>
      </c>
      <c r="J2051" s="2" t="s">
        <v>836</v>
      </c>
      <c r="K2051" s="8" t="e">
        <f t="shared" si="72"/>
        <v>#REF!</v>
      </c>
    </row>
    <row r="2052" spans="1:11" hidden="1">
      <c r="A2052" s="268"/>
      <c r="F2052" s="188">
        <v>3.63</v>
      </c>
      <c r="G2052" s="187" t="s">
        <v>1591</v>
      </c>
      <c r="H2052" s="181" t="s">
        <v>762</v>
      </c>
      <c r="I2052" s="8">
        <f>(C585)</f>
        <v>7</v>
      </c>
      <c r="J2052" s="2" t="s">
        <v>1591</v>
      </c>
      <c r="K2052" s="8">
        <f t="shared" si="72"/>
        <v>25.41</v>
      </c>
    </row>
    <row r="2053" spans="1:11" hidden="1">
      <c r="A2053" s="268"/>
      <c r="F2053" s="188">
        <v>2</v>
      </c>
      <c r="G2053" s="187" t="s">
        <v>835</v>
      </c>
      <c r="H2053" s="181" t="s">
        <v>1938</v>
      </c>
      <c r="I2053" s="8">
        <f>(C10)</f>
        <v>150</v>
      </c>
      <c r="J2053" s="2" t="s">
        <v>835</v>
      </c>
      <c r="K2053" s="8">
        <f t="shared" si="72"/>
        <v>300</v>
      </c>
    </row>
    <row r="2054" spans="1:11" hidden="1">
      <c r="A2054" s="268"/>
      <c r="F2054" s="188">
        <v>1</v>
      </c>
      <c r="G2054" s="187" t="s">
        <v>835</v>
      </c>
      <c r="H2054" s="181" t="s">
        <v>763</v>
      </c>
      <c r="I2054" s="8">
        <f>AE37</f>
        <v>120</v>
      </c>
      <c r="J2054" s="2" t="s">
        <v>835</v>
      </c>
      <c r="K2054" s="8">
        <f t="shared" si="72"/>
        <v>120</v>
      </c>
    </row>
    <row r="2055" spans="1:11" hidden="1">
      <c r="A2055" s="268"/>
      <c r="F2055" s="188">
        <v>5</v>
      </c>
      <c r="G2055" s="187" t="s">
        <v>835</v>
      </c>
      <c r="H2055" s="181" t="s">
        <v>1836</v>
      </c>
      <c r="I2055" s="8">
        <f>(C12)</f>
        <v>95</v>
      </c>
      <c r="J2055" s="2" t="s">
        <v>835</v>
      </c>
      <c r="K2055" s="8">
        <f t="shared" si="72"/>
        <v>475</v>
      </c>
    </row>
    <row r="2056" spans="1:11" hidden="1">
      <c r="A2056" s="268"/>
      <c r="F2056" s="188">
        <v>2</v>
      </c>
      <c r="G2056" s="187" t="s">
        <v>835</v>
      </c>
      <c r="H2056" s="181" t="s">
        <v>299</v>
      </c>
      <c r="I2056" s="8">
        <f>(C13)</f>
        <v>85</v>
      </c>
      <c r="J2056" s="2" t="s">
        <v>835</v>
      </c>
      <c r="K2056" s="8">
        <f t="shared" si="72"/>
        <v>170</v>
      </c>
    </row>
    <row r="2057" spans="1:11" hidden="1">
      <c r="A2057" s="268"/>
      <c r="G2057" s="187" t="s">
        <v>419</v>
      </c>
      <c r="H2057" s="181" t="s">
        <v>2055</v>
      </c>
      <c r="I2057"/>
      <c r="J2057" s="2" t="s">
        <v>419</v>
      </c>
      <c r="K2057" s="8">
        <f>SUM(K2053:K2056)/10</f>
        <v>106.5</v>
      </c>
    </row>
    <row r="2058" spans="1:11" hidden="1">
      <c r="A2058" s="268"/>
      <c r="I2058"/>
      <c r="J2058" s="4"/>
      <c r="K2058" s="5" t="s">
        <v>1530</v>
      </c>
    </row>
    <row r="2059" spans="1:11" hidden="1">
      <c r="A2059" s="268"/>
      <c r="H2059" s="181" t="s">
        <v>2056</v>
      </c>
      <c r="I2059"/>
      <c r="J2059" s="4"/>
      <c r="K2059" s="8" t="e">
        <f>SUM(K2047:K2057)</f>
        <v>#REF!</v>
      </c>
    </row>
    <row r="2060" spans="1:11" hidden="1">
      <c r="A2060" s="268"/>
      <c r="I2060"/>
      <c r="J2060" s="4"/>
      <c r="K2060" s="5" t="s">
        <v>1530</v>
      </c>
    </row>
    <row r="2061" spans="1:11" hidden="1">
      <c r="A2061" s="268"/>
      <c r="H2061" s="181" t="s">
        <v>1083</v>
      </c>
      <c r="I2061"/>
      <c r="J2061" s="4"/>
      <c r="K2061" s="8" t="e">
        <f>(K2059/30)</f>
        <v>#REF!</v>
      </c>
    </row>
    <row r="2062" spans="1:11" hidden="1">
      <c r="A2062" s="268"/>
      <c r="I2062"/>
      <c r="J2062" s="4"/>
      <c r="K2062" s="5" t="s">
        <v>1980</v>
      </c>
    </row>
    <row r="2063" spans="1:11" hidden="1">
      <c r="A2063" s="268"/>
      <c r="I2063"/>
      <c r="J2063" s="4"/>
      <c r="K2063"/>
    </row>
    <row r="2064" spans="1:11" hidden="1">
      <c r="A2064" s="268"/>
      <c r="F2064" s="236" t="s">
        <v>1084</v>
      </c>
      <c r="G2064" s="187" t="s">
        <v>2167</v>
      </c>
      <c r="H2064" s="181" t="s">
        <v>985</v>
      </c>
      <c r="I2064"/>
      <c r="J2064" s="4"/>
      <c r="K2064"/>
    </row>
    <row r="2065" spans="1:11" hidden="1">
      <c r="A2065" s="268"/>
      <c r="H2065" s="181" t="s">
        <v>51</v>
      </c>
      <c r="I2065"/>
      <c r="J2065" s="4"/>
      <c r="K2065"/>
    </row>
    <row r="2066" spans="1:11" hidden="1">
      <c r="A2066" s="268"/>
      <c r="H2066" s="185" t="s">
        <v>1530</v>
      </c>
      <c r="I2066"/>
      <c r="J2066" s="4"/>
      <c r="K2066"/>
    </row>
    <row r="2067" spans="1:11" hidden="1">
      <c r="A2067" s="268"/>
      <c r="F2067" s="188">
        <v>50</v>
      </c>
      <c r="G2067" s="187" t="s">
        <v>835</v>
      </c>
      <c r="H2067" s="181" t="s">
        <v>537</v>
      </c>
      <c r="I2067" s="8">
        <f>C204</f>
        <v>65</v>
      </c>
      <c r="J2067" s="2" t="s">
        <v>835</v>
      </c>
      <c r="K2067" s="8">
        <f t="shared" ref="K2067:K2076" si="73">(F2067*I2067)</f>
        <v>3250</v>
      </c>
    </row>
    <row r="2068" spans="1:11" hidden="1">
      <c r="A2068" s="268"/>
      <c r="F2068" s="188">
        <v>21.6</v>
      </c>
      <c r="G2068" s="187" t="s">
        <v>836</v>
      </c>
      <c r="H2068" s="181" t="s">
        <v>761</v>
      </c>
      <c r="I2068" s="8">
        <f>(C61*2)</f>
        <v>50</v>
      </c>
      <c r="J2068" s="2" t="s">
        <v>836</v>
      </c>
      <c r="K2068" s="8">
        <f t="shared" si="73"/>
        <v>1080</v>
      </c>
    </row>
    <row r="2069" spans="1:11" hidden="1">
      <c r="A2069" s="268"/>
      <c r="F2069" s="188">
        <v>21.6</v>
      </c>
      <c r="G2069" s="187" t="s">
        <v>836</v>
      </c>
      <c r="H2069" s="181" t="s">
        <v>236</v>
      </c>
      <c r="I2069" s="8">
        <f>(C26)</f>
        <v>8.8000000000000007</v>
      </c>
      <c r="J2069" s="2" t="s">
        <v>836</v>
      </c>
      <c r="K2069" s="8">
        <f t="shared" si="73"/>
        <v>190.08</v>
      </c>
    </row>
    <row r="2070" spans="1:11" hidden="1">
      <c r="A2070" s="268"/>
      <c r="F2070" s="188">
        <v>68</v>
      </c>
      <c r="G2070" s="187" t="s">
        <v>1591</v>
      </c>
      <c r="H2070" s="181" t="s">
        <v>829</v>
      </c>
      <c r="I2070" s="8">
        <f>(C67/1000)</f>
        <v>3.8</v>
      </c>
      <c r="J2070" s="2" t="s">
        <v>1591</v>
      </c>
      <c r="K2070" s="8">
        <f t="shared" si="73"/>
        <v>258.39999999999998</v>
      </c>
    </row>
    <row r="2071" spans="1:11" hidden="1">
      <c r="A2071" s="268"/>
      <c r="F2071" s="188">
        <v>7.0000000000000007E-2</v>
      </c>
      <c r="G2071" s="187" t="s">
        <v>836</v>
      </c>
      <c r="H2071" s="181" t="s">
        <v>837</v>
      </c>
      <c r="I2071" s="8" t="e">
        <f>(C78)</f>
        <v>#REF!</v>
      </c>
      <c r="J2071" s="2" t="s">
        <v>836</v>
      </c>
      <c r="K2071" s="8" t="e">
        <f t="shared" si="73"/>
        <v>#REF!</v>
      </c>
    </row>
    <row r="2072" spans="1:11" hidden="1">
      <c r="A2072" s="268"/>
      <c r="F2072" s="188">
        <v>5.45</v>
      </c>
      <c r="G2072" s="187" t="s">
        <v>1591</v>
      </c>
      <c r="H2072" s="181" t="s">
        <v>762</v>
      </c>
      <c r="I2072" s="8">
        <f>(C585)</f>
        <v>7</v>
      </c>
      <c r="J2072" s="2" t="s">
        <v>1591</v>
      </c>
      <c r="K2072" s="8">
        <f t="shared" si="73"/>
        <v>38.15</v>
      </c>
    </row>
    <row r="2073" spans="1:11" hidden="1">
      <c r="A2073" s="268"/>
      <c r="F2073" s="188">
        <v>3</v>
      </c>
      <c r="G2073" s="187" t="s">
        <v>835</v>
      </c>
      <c r="H2073" s="181" t="s">
        <v>1938</v>
      </c>
      <c r="I2073" s="8">
        <f>(C10)</f>
        <v>150</v>
      </c>
      <c r="J2073" s="2" t="s">
        <v>835</v>
      </c>
      <c r="K2073" s="8">
        <f t="shared" si="73"/>
        <v>450</v>
      </c>
    </row>
    <row r="2074" spans="1:11" hidden="1">
      <c r="A2074" s="268"/>
      <c r="F2074" s="188">
        <v>2</v>
      </c>
      <c r="G2074" s="187" t="s">
        <v>835</v>
      </c>
      <c r="H2074" s="181" t="s">
        <v>763</v>
      </c>
      <c r="I2074" s="8">
        <f>AE37</f>
        <v>120</v>
      </c>
      <c r="J2074" s="2" t="s">
        <v>835</v>
      </c>
      <c r="K2074" s="8">
        <f t="shared" si="73"/>
        <v>240</v>
      </c>
    </row>
    <row r="2075" spans="1:11" hidden="1">
      <c r="A2075" s="268"/>
      <c r="F2075" s="188">
        <v>6</v>
      </c>
      <c r="G2075" s="187" t="s">
        <v>835</v>
      </c>
      <c r="H2075" s="181" t="s">
        <v>1836</v>
      </c>
      <c r="I2075" s="8">
        <f>(C12)</f>
        <v>95</v>
      </c>
      <c r="J2075" s="2" t="s">
        <v>835</v>
      </c>
      <c r="K2075" s="8">
        <f t="shared" si="73"/>
        <v>570</v>
      </c>
    </row>
    <row r="2076" spans="1:11" hidden="1">
      <c r="A2076" s="268"/>
      <c r="F2076" s="188">
        <v>3</v>
      </c>
      <c r="G2076" s="187" t="s">
        <v>835</v>
      </c>
      <c r="H2076" s="181" t="s">
        <v>299</v>
      </c>
      <c r="I2076" s="8">
        <f>(C13)</f>
        <v>85</v>
      </c>
      <c r="J2076" s="2" t="s">
        <v>835</v>
      </c>
      <c r="K2076" s="8">
        <f t="shared" si="73"/>
        <v>255</v>
      </c>
    </row>
    <row r="2077" spans="1:11" hidden="1">
      <c r="A2077" s="268"/>
      <c r="G2077" s="187" t="s">
        <v>419</v>
      </c>
      <c r="H2077" s="181" t="s">
        <v>2055</v>
      </c>
      <c r="I2077"/>
      <c r="J2077" s="2" t="s">
        <v>419</v>
      </c>
      <c r="K2077" s="8">
        <f>SUM(K2073:K2076)/10</f>
        <v>151.5</v>
      </c>
    </row>
    <row r="2078" spans="1:11" hidden="1">
      <c r="A2078" s="268"/>
      <c r="I2078"/>
      <c r="J2078" s="4"/>
      <c r="K2078" s="5" t="s">
        <v>1530</v>
      </c>
    </row>
    <row r="2079" spans="1:11" hidden="1">
      <c r="A2079" s="268"/>
      <c r="H2079" s="181" t="s">
        <v>2056</v>
      </c>
      <c r="I2079"/>
      <c r="J2079" s="4"/>
      <c r="K2079" s="8" t="e">
        <f>SUM(K2067:K2077)</f>
        <v>#REF!</v>
      </c>
    </row>
    <row r="2080" spans="1:11" hidden="1">
      <c r="A2080" s="268"/>
      <c r="I2080"/>
      <c r="J2080" s="4"/>
      <c r="K2080" s="5" t="s">
        <v>1530</v>
      </c>
    </row>
    <row r="2081" spans="1:11" hidden="1">
      <c r="A2081" s="268"/>
      <c r="H2081" s="181" t="s">
        <v>1083</v>
      </c>
      <c r="I2081"/>
      <c r="J2081" s="4"/>
      <c r="K2081" s="8" t="e">
        <f>(K2079/30)</f>
        <v>#REF!</v>
      </c>
    </row>
    <row r="2082" spans="1:11" hidden="1">
      <c r="A2082" s="268"/>
      <c r="I2082"/>
      <c r="J2082" s="4"/>
      <c r="K2082" s="5" t="s">
        <v>1980</v>
      </c>
    </row>
    <row r="2083" spans="1:11" hidden="1">
      <c r="A2083" s="268"/>
      <c r="F2083" s="236" t="s">
        <v>538</v>
      </c>
      <c r="G2083" s="187" t="s">
        <v>2167</v>
      </c>
      <c r="H2083" s="181" t="s">
        <v>50</v>
      </c>
      <c r="I2083"/>
      <c r="J2083" s="4"/>
      <c r="K2083"/>
    </row>
    <row r="2084" spans="1:11" hidden="1">
      <c r="A2084" s="268"/>
      <c r="H2084" s="181" t="s">
        <v>212</v>
      </c>
      <c r="I2084"/>
      <c r="J2084" s="4"/>
      <c r="K2084"/>
    </row>
    <row r="2085" spans="1:11" hidden="1">
      <c r="A2085" s="268"/>
      <c r="H2085" s="185" t="s">
        <v>1530</v>
      </c>
      <c r="I2085"/>
      <c r="J2085" s="4"/>
      <c r="K2085"/>
    </row>
    <row r="2086" spans="1:11" hidden="1">
      <c r="A2086" s="268"/>
      <c r="F2086" s="188">
        <v>50</v>
      </c>
      <c r="G2086" s="187" t="s">
        <v>835</v>
      </c>
      <c r="H2086" s="181" t="s">
        <v>213</v>
      </c>
      <c r="I2086" s="8">
        <f>C203</f>
        <v>40</v>
      </c>
      <c r="J2086" s="2" t="s">
        <v>835</v>
      </c>
      <c r="K2086" s="8">
        <f>(F2086*I2086)</f>
        <v>2000</v>
      </c>
    </row>
    <row r="2087" spans="1:11" hidden="1">
      <c r="A2087" s="268"/>
      <c r="F2087" s="188">
        <v>1</v>
      </c>
      <c r="G2087" s="187" t="s">
        <v>835</v>
      </c>
      <c r="H2087" s="181" t="s">
        <v>763</v>
      </c>
      <c r="I2087" s="8">
        <f>AE37</f>
        <v>120</v>
      </c>
      <c r="J2087" s="2" t="s">
        <v>835</v>
      </c>
      <c r="K2087" s="8">
        <f>(F2087*I2087)</f>
        <v>120</v>
      </c>
    </row>
    <row r="2088" spans="1:11" hidden="1">
      <c r="A2088" s="268"/>
      <c r="F2088" s="188">
        <v>5</v>
      </c>
      <c r="G2088" s="187" t="s">
        <v>835</v>
      </c>
      <c r="H2088" s="181" t="s">
        <v>1836</v>
      </c>
      <c r="I2088" s="8">
        <f>C12</f>
        <v>95</v>
      </c>
      <c r="J2088" s="2" t="s">
        <v>835</v>
      </c>
      <c r="K2088" s="8">
        <f>(F2088*I2088)</f>
        <v>475</v>
      </c>
    </row>
    <row r="2089" spans="1:11" hidden="1">
      <c r="A2089" s="268"/>
      <c r="I2089"/>
      <c r="J2089" s="4"/>
      <c r="K2089" s="5" t="s">
        <v>1530</v>
      </c>
    </row>
    <row r="2090" spans="1:11" hidden="1">
      <c r="A2090" s="268"/>
      <c r="H2090" s="181" t="s">
        <v>2056</v>
      </c>
      <c r="I2090"/>
      <c r="J2090" s="4"/>
      <c r="K2090" s="8">
        <f>SUM(K2086:K2088)</f>
        <v>2595</v>
      </c>
    </row>
    <row r="2091" spans="1:11" hidden="1">
      <c r="A2091" s="268"/>
      <c r="F2091" s="181" t="s">
        <v>940</v>
      </c>
      <c r="I2091"/>
      <c r="J2091" s="4"/>
      <c r="K2091" s="5" t="s">
        <v>1530</v>
      </c>
    </row>
    <row r="2092" spans="1:11" hidden="1">
      <c r="A2092" s="268"/>
      <c r="H2092" s="181" t="s">
        <v>1083</v>
      </c>
      <c r="I2092"/>
      <c r="J2092" s="4"/>
      <c r="K2092" s="8">
        <f>(K2090/30)</f>
        <v>86.5</v>
      </c>
    </row>
    <row r="2093" spans="1:11" hidden="1">
      <c r="A2093" s="268"/>
      <c r="F2093" s="181" t="s">
        <v>940</v>
      </c>
      <c r="I2093"/>
      <c r="J2093" s="4"/>
      <c r="K2093"/>
    </row>
    <row r="2094" spans="1:11" hidden="1">
      <c r="A2094" s="268"/>
      <c r="F2094" s="181" t="s">
        <v>940</v>
      </c>
      <c r="I2094"/>
      <c r="J2094" s="4"/>
      <c r="K2094"/>
    </row>
    <row r="2095" spans="1:11" hidden="1">
      <c r="A2095" s="268"/>
      <c r="I2095"/>
      <c r="J2095" s="4"/>
      <c r="K2095" s="5" t="s">
        <v>1980</v>
      </c>
    </row>
    <row r="2096" spans="1:11" hidden="1">
      <c r="A2096" s="268"/>
      <c r="F2096" s="236" t="s">
        <v>1084</v>
      </c>
      <c r="G2096" s="187" t="s">
        <v>2167</v>
      </c>
      <c r="H2096" s="181" t="s">
        <v>985</v>
      </c>
      <c r="I2096"/>
      <c r="J2096" s="4"/>
      <c r="K2096"/>
    </row>
    <row r="2097" spans="1:11" hidden="1">
      <c r="A2097" s="268"/>
      <c r="H2097" s="188" t="str">
        <f>H2084</f>
        <v>DIA S.W.PIPE(LOOSE JOINTING)</v>
      </c>
      <c r="I2097"/>
      <c r="J2097" s="4"/>
      <c r="K2097"/>
    </row>
    <row r="2098" spans="1:11" hidden="1">
      <c r="A2098" s="268"/>
      <c r="H2098" s="185" t="s">
        <v>1530</v>
      </c>
      <c r="I2098"/>
      <c r="J2098" s="4"/>
      <c r="K2098"/>
    </row>
    <row r="2099" spans="1:11" hidden="1">
      <c r="A2099" s="268"/>
      <c r="F2099" s="188">
        <v>50</v>
      </c>
      <c r="G2099" s="187" t="s">
        <v>835</v>
      </c>
      <c r="H2099" s="181" t="s">
        <v>214</v>
      </c>
      <c r="I2099" s="8">
        <f>C204</f>
        <v>65</v>
      </c>
      <c r="J2099" s="2" t="s">
        <v>835</v>
      </c>
      <c r="K2099" s="8">
        <f>(F2099*I2099)</f>
        <v>3250</v>
      </c>
    </row>
    <row r="2100" spans="1:11" hidden="1">
      <c r="A2100" s="268"/>
      <c r="F2100" s="188">
        <v>2</v>
      </c>
      <c r="G2100" s="187" t="s">
        <v>835</v>
      </c>
      <c r="H2100" s="181" t="s">
        <v>763</v>
      </c>
      <c r="I2100" s="8">
        <f>AE37</f>
        <v>120</v>
      </c>
      <c r="J2100" s="2" t="s">
        <v>835</v>
      </c>
      <c r="K2100" s="8">
        <f>(F2100*I2100)</f>
        <v>240</v>
      </c>
    </row>
    <row r="2101" spans="1:11" hidden="1">
      <c r="A2101" s="268"/>
      <c r="F2101" s="188">
        <v>6</v>
      </c>
      <c r="G2101" s="187" t="s">
        <v>835</v>
      </c>
      <c r="H2101" s="181" t="s">
        <v>1836</v>
      </c>
      <c r="I2101" s="8">
        <f>C12</f>
        <v>95</v>
      </c>
      <c r="J2101" s="2" t="s">
        <v>835</v>
      </c>
      <c r="K2101" s="8">
        <f>(F2101*I2101)</f>
        <v>570</v>
      </c>
    </row>
    <row r="2102" spans="1:11" hidden="1">
      <c r="A2102" s="268"/>
      <c r="I2102"/>
      <c r="J2102" s="4"/>
      <c r="K2102" s="5" t="s">
        <v>1530</v>
      </c>
    </row>
    <row r="2103" spans="1:11" hidden="1">
      <c r="A2103" s="268"/>
      <c r="H2103" s="181" t="s">
        <v>2056</v>
      </c>
      <c r="I2103"/>
      <c r="J2103" s="4"/>
      <c r="K2103" s="8">
        <f>SUM(K2099:K2101)</f>
        <v>4060</v>
      </c>
    </row>
    <row r="2104" spans="1:11" hidden="1">
      <c r="A2104" s="268"/>
      <c r="I2104"/>
      <c r="J2104" s="4"/>
      <c r="K2104" s="5" t="s">
        <v>1530</v>
      </c>
    </row>
    <row r="2105" spans="1:11" hidden="1">
      <c r="A2105" s="268"/>
      <c r="H2105" s="181" t="s">
        <v>1083</v>
      </c>
      <c r="I2105"/>
      <c r="J2105" s="4"/>
      <c r="K2105" s="8">
        <f>(K2103/30)</f>
        <v>135.33000000000001</v>
      </c>
    </row>
    <row r="2106" spans="1:11" hidden="1">
      <c r="A2106" s="268"/>
      <c r="I2106"/>
      <c r="J2106" s="4"/>
      <c r="K2106" s="5" t="s">
        <v>1980</v>
      </c>
    </row>
    <row r="2107" spans="1:11" hidden="1">
      <c r="A2107" s="268"/>
      <c r="H2107" s="236" t="s">
        <v>215</v>
      </c>
      <c r="I2107"/>
      <c r="J2107" s="4"/>
      <c r="K2107" s="8">
        <f>SUM(K2104:K2105)</f>
        <v>135.33000000000001</v>
      </c>
    </row>
    <row r="2108" spans="1:11" hidden="1">
      <c r="A2108" s="268"/>
      <c r="I2108"/>
      <c r="J2108" s="4"/>
      <c r="K2108" s="5" t="s">
        <v>1980</v>
      </c>
    </row>
    <row r="2109" spans="1:11" hidden="1">
      <c r="A2109" s="268"/>
      <c r="F2109" s="236" t="s">
        <v>1803</v>
      </c>
      <c r="G2109" s="187" t="s">
        <v>2167</v>
      </c>
      <c r="H2109" s="181" t="s">
        <v>50</v>
      </c>
      <c r="I2109"/>
      <c r="J2109" s="4"/>
      <c r="K2109"/>
    </row>
    <row r="2110" spans="1:11" hidden="1">
      <c r="A2110" s="268"/>
      <c r="H2110" s="181" t="s">
        <v>55</v>
      </c>
      <c r="I2110"/>
      <c r="J2110" s="4"/>
      <c r="K2110"/>
    </row>
    <row r="2111" spans="1:11" hidden="1">
      <c r="A2111" s="268"/>
      <c r="H2111" s="185" t="s">
        <v>1530</v>
      </c>
      <c r="I2111"/>
      <c r="J2111" s="4"/>
      <c r="K2111"/>
    </row>
    <row r="2112" spans="1:11" hidden="1">
      <c r="A2112" s="268"/>
      <c r="F2112" s="188">
        <v>1</v>
      </c>
      <c r="G2112" s="187" t="s">
        <v>835</v>
      </c>
      <c r="H2112" s="181" t="s">
        <v>1049</v>
      </c>
      <c r="I2112" s="8">
        <f>C205</f>
        <v>65</v>
      </c>
      <c r="J2112" s="2" t="s">
        <v>835</v>
      </c>
      <c r="K2112" s="8">
        <f>(F2112*I2112)</f>
        <v>65</v>
      </c>
    </row>
    <row r="2113" spans="1:11" hidden="1">
      <c r="A2113" s="268"/>
      <c r="F2113" s="181" t="s">
        <v>940</v>
      </c>
      <c r="H2113" s="181" t="s">
        <v>56</v>
      </c>
      <c r="I2113"/>
      <c r="J2113" s="4"/>
      <c r="K2113"/>
    </row>
    <row r="2114" spans="1:11" hidden="1">
      <c r="A2114" s="268"/>
      <c r="F2114" s="181" t="s">
        <v>940</v>
      </c>
      <c r="H2114" s="181" t="s">
        <v>57</v>
      </c>
      <c r="I2114" s="2" t="s">
        <v>419</v>
      </c>
      <c r="J2114" s="4"/>
      <c r="K2114" s="8">
        <v>2.5</v>
      </c>
    </row>
    <row r="2115" spans="1:11" hidden="1">
      <c r="A2115" s="268"/>
      <c r="I2115"/>
      <c r="J2115" s="4"/>
      <c r="K2115" s="5" t="s">
        <v>1530</v>
      </c>
    </row>
    <row r="2116" spans="1:11" hidden="1">
      <c r="A2116" s="268"/>
      <c r="H2116" s="181" t="s">
        <v>2056</v>
      </c>
      <c r="I2116"/>
      <c r="J2116" s="4"/>
      <c r="K2116" s="8">
        <f>SUM(K2112:K2114)</f>
        <v>67.5</v>
      </c>
    </row>
    <row r="2117" spans="1:11" hidden="1">
      <c r="A2117" s="268"/>
      <c r="F2117" s="236" t="s">
        <v>1803</v>
      </c>
      <c r="G2117" s="187" t="s">
        <v>2167</v>
      </c>
      <c r="H2117" s="181" t="s">
        <v>985</v>
      </c>
      <c r="I2117"/>
      <c r="J2117" s="4"/>
      <c r="K2117" s="5" t="s">
        <v>1530</v>
      </c>
    </row>
    <row r="2118" spans="1:11" hidden="1">
      <c r="A2118" s="268"/>
      <c r="H2118" s="181" t="s">
        <v>55</v>
      </c>
      <c r="I2118"/>
      <c r="J2118" s="4"/>
      <c r="K2118" s="8"/>
    </row>
    <row r="2119" spans="1:11" hidden="1">
      <c r="A2119" s="268"/>
      <c r="H2119" s="185" t="s">
        <v>1530</v>
      </c>
      <c r="I2119"/>
      <c r="J2119" s="4"/>
      <c r="K2119" s="5" t="s">
        <v>1530</v>
      </c>
    </row>
    <row r="2120" spans="1:11" hidden="1">
      <c r="A2120" s="268"/>
      <c r="F2120" s="182">
        <v>1</v>
      </c>
      <c r="G2120" s="180" t="s">
        <v>739</v>
      </c>
      <c r="H2120" s="181" t="s">
        <v>1048</v>
      </c>
      <c r="I2120"/>
      <c r="J2120" s="4" t="s">
        <v>1337</v>
      </c>
      <c r="K2120" s="8">
        <v>92.5</v>
      </c>
    </row>
    <row r="2121" spans="1:11" hidden="1">
      <c r="A2121" s="268"/>
      <c r="I2121"/>
      <c r="J2121" s="4"/>
      <c r="K2121" s="5" t="s">
        <v>1530</v>
      </c>
    </row>
    <row r="2122" spans="1:11" hidden="1">
      <c r="A2122" s="268"/>
      <c r="F2122" s="236" t="s">
        <v>1217</v>
      </c>
      <c r="G2122" s="187" t="s">
        <v>2167</v>
      </c>
      <c r="H2122" s="181" t="s">
        <v>50</v>
      </c>
      <c r="I2122"/>
      <c r="J2122" s="4"/>
      <c r="K2122"/>
    </row>
    <row r="2123" spans="1:11" hidden="1">
      <c r="A2123" s="268"/>
      <c r="H2123" s="181" t="s">
        <v>1224</v>
      </c>
      <c r="I2123"/>
      <c r="J2123" s="4"/>
      <c r="K2123"/>
    </row>
    <row r="2124" spans="1:11" hidden="1">
      <c r="A2124" s="268"/>
      <c r="H2124" s="185" t="s">
        <v>1530</v>
      </c>
      <c r="I2124"/>
      <c r="J2124" s="4"/>
      <c r="K2124"/>
    </row>
    <row r="2125" spans="1:11" hidden="1">
      <c r="A2125" s="268"/>
      <c r="F2125" s="188">
        <v>1</v>
      </c>
      <c r="G2125" s="187" t="s">
        <v>835</v>
      </c>
      <c r="H2125" s="181" t="s">
        <v>1047</v>
      </c>
      <c r="I2125" s="8">
        <f>C202</f>
        <v>75</v>
      </c>
      <c r="J2125" s="2" t="s">
        <v>835</v>
      </c>
      <c r="K2125" s="8">
        <f>(F2125*I2125)</f>
        <v>75</v>
      </c>
    </row>
    <row r="2126" spans="1:11" hidden="1">
      <c r="A2126" s="268"/>
      <c r="F2126" s="181" t="s">
        <v>940</v>
      </c>
      <c r="H2126" s="181" t="s">
        <v>56</v>
      </c>
      <c r="I2126"/>
      <c r="J2126" s="4"/>
      <c r="K2126"/>
    </row>
    <row r="2127" spans="1:11" hidden="1">
      <c r="A2127" s="268"/>
      <c r="F2127" s="181" t="s">
        <v>940</v>
      </c>
      <c r="H2127" s="181" t="s">
        <v>57</v>
      </c>
      <c r="I2127" s="2" t="s">
        <v>419</v>
      </c>
      <c r="J2127" s="4"/>
      <c r="K2127" s="8">
        <v>3</v>
      </c>
    </row>
    <row r="2128" spans="1:11" hidden="1">
      <c r="A2128" s="268"/>
      <c r="I2128"/>
      <c r="J2128" s="4"/>
      <c r="K2128" s="5" t="s">
        <v>1530</v>
      </c>
    </row>
    <row r="2129" spans="1:11" hidden="1">
      <c r="A2129" s="268"/>
      <c r="H2129" s="181" t="s">
        <v>2056</v>
      </c>
      <c r="I2129"/>
      <c r="J2129" s="4"/>
      <c r="K2129" s="8">
        <f>SUM(K2125:K2127)</f>
        <v>78</v>
      </c>
    </row>
    <row r="2130" spans="1:11" hidden="1">
      <c r="A2130" s="268"/>
      <c r="I2130"/>
      <c r="J2130" s="4"/>
      <c r="K2130" s="5" t="s">
        <v>1530</v>
      </c>
    </row>
    <row r="2131" spans="1:11" hidden="1">
      <c r="A2131" s="268"/>
      <c r="I2131"/>
      <c r="J2131" s="4"/>
      <c r="K2131"/>
    </row>
    <row r="2132" spans="1:11" hidden="1">
      <c r="A2132" s="268"/>
      <c r="F2132" s="236" t="s">
        <v>1741</v>
      </c>
      <c r="G2132" s="187" t="s">
        <v>2167</v>
      </c>
      <c r="H2132" s="181" t="s">
        <v>985</v>
      </c>
      <c r="I2132"/>
      <c r="J2132" s="4"/>
      <c r="K2132"/>
    </row>
    <row r="2133" spans="1:11" hidden="1">
      <c r="A2133" s="268"/>
      <c r="H2133" s="181" t="s">
        <v>1224</v>
      </c>
      <c r="I2133"/>
      <c r="J2133" s="4"/>
      <c r="K2133"/>
    </row>
    <row r="2134" spans="1:11" hidden="1">
      <c r="A2134" s="268"/>
      <c r="H2134" s="185" t="s">
        <v>1530</v>
      </c>
      <c r="I2134"/>
      <c r="J2134" s="4"/>
      <c r="K2134"/>
    </row>
    <row r="2135" spans="1:11" hidden="1">
      <c r="A2135" s="268"/>
      <c r="F2135" s="188">
        <v>1</v>
      </c>
      <c r="G2135" s="187" t="s">
        <v>835</v>
      </c>
      <c r="H2135" s="181" t="s">
        <v>775</v>
      </c>
      <c r="I2135" s="8">
        <f>C207</f>
        <v>100</v>
      </c>
      <c r="J2135" s="2" t="s">
        <v>835</v>
      </c>
      <c r="K2135" s="8">
        <f>(F2135*I2135)</f>
        <v>100</v>
      </c>
    </row>
    <row r="2136" spans="1:11" hidden="1">
      <c r="A2136" s="268"/>
      <c r="F2136" s="181" t="s">
        <v>940</v>
      </c>
      <c r="H2136" s="181" t="s">
        <v>56</v>
      </c>
      <c r="I2136"/>
      <c r="J2136" s="4"/>
      <c r="K2136"/>
    </row>
    <row r="2137" spans="1:11" hidden="1">
      <c r="A2137" s="268"/>
      <c r="F2137" s="181" t="s">
        <v>940</v>
      </c>
      <c r="H2137" s="181" t="s">
        <v>57</v>
      </c>
      <c r="I2137" s="2" t="s">
        <v>419</v>
      </c>
      <c r="J2137" s="4"/>
      <c r="K2137" s="8">
        <v>3</v>
      </c>
    </row>
    <row r="2138" spans="1:11" hidden="1">
      <c r="A2138" s="268"/>
      <c r="I2138"/>
      <c r="J2138" s="4"/>
      <c r="K2138" s="5" t="s">
        <v>1530</v>
      </c>
    </row>
    <row r="2139" spans="1:11" hidden="1">
      <c r="A2139" s="268"/>
      <c r="H2139" s="181" t="s">
        <v>2056</v>
      </c>
      <c r="I2139"/>
      <c r="J2139" s="4"/>
      <c r="K2139" s="8">
        <f>SUM(K2135:K2137)</f>
        <v>103</v>
      </c>
    </row>
    <row r="2140" spans="1:11" hidden="1">
      <c r="A2140" s="268"/>
      <c r="I2140"/>
      <c r="J2140" s="4"/>
      <c r="K2140" s="5" t="s">
        <v>1530</v>
      </c>
    </row>
    <row r="2141" spans="1:11" hidden="1">
      <c r="A2141" s="268"/>
      <c r="F2141" s="236" t="s">
        <v>1485</v>
      </c>
      <c r="H2141" s="181" t="s">
        <v>1486</v>
      </c>
      <c r="I2141"/>
      <c r="J2141" s="4"/>
      <c r="K2141"/>
    </row>
    <row r="2142" spans="1:11" hidden="1">
      <c r="A2142" s="268"/>
      <c r="H2142" s="181" t="s">
        <v>1032</v>
      </c>
      <c r="I2142"/>
      <c r="J2142" s="4"/>
      <c r="K2142"/>
    </row>
    <row r="2143" spans="1:11" hidden="1">
      <c r="A2143" s="268"/>
      <c r="H2143" s="185" t="s">
        <v>1530</v>
      </c>
      <c r="I2143"/>
      <c r="J2143" s="4"/>
      <c r="K2143"/>
    </row>
    <row r="2144" spans="1:11" hidden="1">
      <c r="A2144" s="268"/>
      <c r="F2144" s="188">
        <v>2.5</v>
      </c>
      <c r="G2144" s="187" t="s">
        <v>1033</v>
      </c>
      <c r="H2144" s="181" t="s">
        <v>1486</v>
      </c>
      <c r="I2144" s="8">
        <f>C566</f>
        <v>28.5</v>
      </c>
      <c r="J2144" s="2">
        <v>2.5</v>
      </c>
      <c r="K2144" s="8">
        <f>(F2144*I2144)/F2144</f>
        <v>28.5</v>
      </c>
    </row>
    <row r="2145" spans="1:11" hidden="1">
      <c r="A2145" s="268"/>
      <c r="H2145" s="181" t="s">
        <v>1034</v>
      </c>
      <c r="I2145"/>
      <c r="J2145" s="2" t="s">
        <v>1033</v>
      </c>
      <c r="K2145"/>
    </row>
    <row r="2146" spans="1:11" hidden="1">
      <c r="A2146" s="268"/>
      <c r="G2146" s="187" t="s">
        <v>419</v>
      </c>
      <c r="H2146" s="181" t="s">
        <v>1035</v>
      </c>
      <c r="I2146"/>
      <c r="J2146" s="2" t="s">
        <v>419</v>
      </c>
      <c r="K2146" s="8">
        <v>1.5</v>
      </c>
    </row>
    <row r="2147" spans="1:11" hidden="1">
      <c r="A2147" s="268"/>
      <c r="I2147"/>
      <c r="J2147" s="4"/>
      <c r="K2147" s="5" t="s">
        <v>1530</v>
      </c>
    </row>
    <row r="2148" spans="1:11" hidden="1">
      <c r="A2148" s="268"/>
      <c r="H2148" s="236" t="s">
        <v>215</v>
      </c>
      <c r="I2148"/>
      <c r="J2148" s="4"/>
      <c r="K2148" s="8">
        <f>SUM(K2144:K2146)</f>
        <v>30</v>
      </c>
    </row>
    <row r="2149" spans="1:11" hidden="1">
      <c r="A2149" s="268"/>
      <c r="I2149"/>
      <c r="J2149" s="4"/>
      <c r="K2149" s="5" t="s">
        <v>1980</v>
      </c>
    </row>
    <row r="2150" spans="1:11" hidden="1">
      <c r="A2150" s="268"/>
      <c r="I2150"/>
      <c r="J2150" s="4"/>
      <c r="K2150"/>
    </row>
    <row r="2151" spans="1:11" hidden="1">
      <c r="A2151" s="268"/>
      <c r="F2151" s="236" t="s">
        <v>1036</v>
      </c>
      <c r="G2151" s="187" t="s">
        <v>2167</v>
      </c>
      <c r="H2151" s="181" t="s">
        <v>256</v>
      </c>
      <c r="I2151"/>
      <c r="J2151" s="4"/>
      <c r="K2151"/>
    </row>
    <row r="2152" spans="1:11" hidden="1">
      <c r="A2152" s="268"/>
      <c r="H2152" s="181" t="s">
        <v>61</v>
      </c>
      <c r="I2152"/>
      <c r="J2152" s="4"/>
      <c r="K2152"/>
    </row>
    <row r="2153" spans="1:11" hidden="1">
      <c r="A2153" s="268"/>
      <c r="H2153" s="181" t="s">
        <v>345</v>
      </c>
      <c r="I2153"/>
      <c r="J2153" s="4"/>
      <c r="K2153"/>
    </row>
    <row r="2154" spans="1:11" hidden="1">
      <c r="A2154" s="268"/>
      <c r="H2154" s="181" t="s">
        <v>329</v>
      </c>
      <c r="I2154"/>
      <c r="J2154" s="4"/>
      <c r="K2154"/>
    </row>
    <row r="2155" spans="1:11" hidden="1">
      <c r="A2155" s="268"/>
      <c r="H2155" s="181" t="s">
        <v>401</v>
      </c>
      <c r="I2155"/>
      <c r="J2155" s="4"/>
      <c r="K2155"/>
    </row>
    <row r="2156" spans="1:11" hidden="1">
      <c r="A2156" s="268"/>
      <c r="H2156" s="181" t="s">
        <v>1422</v>
      </c>
      <c r="I2156"/>
      <c r="J2156" s="4"/>
      <c r="K2156"/>
    </row>
    <row r="2157" spans="1:11" hidden="1">
      <c r="A2157" s="268"/>
      <c r="H2157" s="181" t="s">
        <v>1801</v>
      </c>
      <c r="I2157"/>
      <c r="J2157" s="4"/>
      <c r="K2157"/>
    </row>
    <row r="2158" spans="1:11" hidden="1">
      <c r="A2158" s="268"/>
      <c r="H2158" s="181" t="s">
        <v>2121</v>
      </c>
      <c r="I2158"/>
      <c r="J2158" s="4"/>
      <c r="K2158"/>
    </row>
    <row r="2159" spans="1:11" hidden="1">
      <c r="A2159" s="268"/>
      <c r="H2159" s="181" t="s">
        <v>535</v>
      </c>
      <c r="I2159"/>
      <c r="J2159" s="4"/>
      <c r="K2159"/>
    </row>
    <row r="2160" spans="1:11" hidden="1">
      <c r="A2160" s="268"/>
      <c r="H2160" s="181" t="s">
        <v>1227</v>
      </c>
      <c r="I2160"/>
      <c r="J2160" s="4"/>
      <c r="K2160"/>
    </row>
    <row r="2161" spans="1:11" hidden="1">
      <c r="A2161" s="268"/>
      <c r="H2161" s="181" t="s">
        <v>1228</v>
      </c>
      <c r="I2161"/>
      <c r="J2161" s="4"/>
      <c r="K2161"/>
    </row>
    <row r="2162" spans="1:11" hidden="1">
      <c r="A2162" s="268"/>
      <c r="H2162" s="181" t="s">
        <v>1229</v>
      </c>
      <c r="I2162"/>
      <c r="J2162" s="4"/>
      <c r="K2162"/>
    </row>
    <row r="2163" spans="1:11" hidden="1">
      <c r="A2163" s="268"/>
      <c r="H2163" s="185" t="s">
        <v>1530</v>
      </c>
      <c r="I2163" s="5" t="s">
        <v>1530</v>
      </c>
      <c r="J2163" s="4"/>
      <c r="K2163"/>
    </row>
    <row r="2164" spans="1:11" hidden="1">
      <c r="A2164" s="268"/>
      <c r="F2164" s="181" t="s">
        <v>940</v>
      </c>
      <c r="I2164"/>
      <c r="J2164" s="4"/>
      <c r="K2164"/>
    </row>
    <row r="2165" spans="1:11" hidden="1">
      <c r="A2165" s="268"/>
      <c r="F2165" s="256">
        <v>1.7399999999999999E-2</v>
      </c>
      <c r="G2165" s="187" t="s">
        <v>2070</v>
      </c>
      <c r="H2165" s="181" t="s">
        <v>1230</v>
      </c>
      <c r="I2165" s="8">
        <f>C86</f>
        <v>20605</v>
      </c>
      <c r="J2165" s="2" t="s">
        <v>2070</v>
      </c>
      <c r="K2165" s="8">
        <f t="shared" ref="K2165:K2172" si="74">F2165*I2165</f>
        <v>358.53</v>
      </c>
    </row>
    <row r="2166" spans="1:11" hidden="1">
      <c r="A2166" s="268"/>
      <c r="F2166" s="256">
        <v>2.93E-2</v>
      </c>
      <c r="G2166" s="187" t="s">
        <v>2070</v>
      </c>
      <c r="H2166" s="181" t="s">
        <v>1231</v>
      </c>
      <c r="I2166" s="8">
        <f>C87</f>
        <v>23685</v>
      </c>
      <c r="J2166" s="2" t="s">
        <v>2070</v>
      </c>
      <c r="K2166" s="8">
        <f t="shared" si="74"/>
        <v>693.97</v>
      </c>
    </row>
    <row r="2167" spans="1:11" hidden="1">
      <c r="A2167" s="268"/>
      <c r="F2167" s="256">
        <v>1.093</v>
      </c>
      <c r="G2167" s="187" t="s">
        <v>2199</v>
      </c>
      <c r="H2167" s="181" t="s">
        <v>1232</v>
      </c>
      <c r="I2167" s="52">
        <f>C198</f>
        <v>212</v>
      </c>
      <c r="J2167" s="2" t="s">
        <v>2199</v>
      </c>
      <c r="K2167" s="8">
        <f t="shared" si="74"/>
        <v>231.72</v>
      </c>
    </row>
    <row r="2168" spans="1:11" hidden="1">
      <c r="A2168" s="268"/>
      <c r="F2168" s="188">
        <v>6</v>
      </c>
      <c r="G2168" s="187" t="s">
        <v>529</v>
      </c>
      <c r="H2168" s="181" t="s">
        <v>2294</v>
      </c>
      <c r="I2168" s="8">
        <f>C296</f>
        <v>3.25</v>
      </c>
      <c r="J2168" s="2" t="s">
        <v>1341</v>
      </c>
      <c r="K2168" s="8">
        <f t="shared" si="74"/>
        <v>19.5</v>
      </c>
    </row>
    <row r="2169" spans="1:11" hidden="1">
      <c r="A2169" s="268"/>
      <c r="F2169" s="188">
        <v>1</v>
      </c>
      <c r="G2169" s="187" t="s">
        <v>529</v>
      </c>
      <c r="H2169" s="181" t="s">
        <v>2249</v>
      </c>
      <c r="I2169" s="8">
        <f>C286</f>
        <v>80</v>
      </c>
      <c r="J2169" s="2" t="s">
        <v>1341</v>
      </c>
      <c r="K2169" s="8">
        <f t="shared" si="74"/>
        <v>80</v>
      </c>
    </row>
    <row r="2170" spans="1:11" hidden="1">
      <c r="A2170" s="268"/>
      <c r="F2170" s="188">
        <v>2</v>
      </c>
      <c r="G2170" s="187" t="s">
        <v>529</v>
      </c>
      <c r="H2170" s="181" t="s">
        <v>1692</v>
      </c>
      <c r="I2170" s="8">
        <f>C307</f>
        <v>0.9</v>
      </c>
      <c r="J2170" s="2" t="s">
        <v>1341</v>
      </c>
      <c r="K2170" s="8">
        <f t="shared" si="74"/>
        <v>1.8</v>
      </c>
    </row>
    <row r="2171" spans="1:11" hidden="1">
      <c r="A2171" s="268"/>
      <c r="F2171" s="188">
        <v>6</v>
      </c>
      <c r="G2171" s="187" t="s">
        <v>529</v>
      </c>
      <c r="H2171" s="181" t="s">
        <v>137</v>
      </c>
      <c r="I2171" s="8">
        <v>8</v>
      </c>
      <c r="J2171" s="2" t="s">
        <v>1341</v>
      </c>
      <c r="K2171" s="8">
        <f t="shared" si="74"/>
        <v>48</v>
      </c>
    </row>
    <row r="2172" spans="1:11" hidden="1">
      <c r="A2172" s="268"/>
      <c r="F2172" s="245">
        <v>1.62</v>
      </c>
      <c r="G2172" s="187" t="s">
        <v>2199</v>
      </c>
      <c r="H2172" s="181" t="s">
        <v>138</v>
      </c>
      <c r="I2172" s="8">
        <f>D33</f>
        <v>240</v>
      </c>
      <c r="J2172" s="2" t="s">
        <v>2199</v>
      </c>
      <c r="K2172" s="8">
        <f t="shared" si="74"/>
        <v>388.8</v>
      </c>
    </row>
    <row r="2173" spans="1:11" hidden="1">
      <c r="A2173" s="268"/>
      <c r="G2173" s="187" t="s">
        <v>419</v>
      </c>
      <c r="H2173" s="181" t="s">
        <v>474</v>
      </c>
      <c r="I2173"/>
      <c r="J2173" s="2" t="s">
        <v>419</v>
      </c>
      <c r="K2173" s="8">
        <v>0.25</v>
      </c>
    </row>
    <row r="2174" spans="1:11" hidden="1">
      <c r="A2174" s="268"/>
      <c r="I2174"/>
      <c r="J2174" s="4"/>
      <c r="K2174" s="5" t="s">
        <v>1530</v>
      </c>
    </row>
    <row r="2175" spans="1:11" hidden="1">
      <c r="A2175" s="268"/>
      <c r="H2175" s="236" t="s">
        <v>139</v>
      </c>
      <c r="I2175"/>
      <c r="J2175" s="4"/>
      <c r="K2175" s="8">
        <f>SUM(K2165:K2173)</f>
        <v>1822.57</v>
      </c>
    </row>
    <row r="2176" spans="1:11" hidden="1">
      <c r="A2176" s="268"/>
      <c r="I2176"/>
      <c r="J2176" s="4"/>
      <c r="K2176" s="5" t="s">
        <v>1530</v>
      </c>
    </row>
    <row r="2177" spans="1:11" hidden="1">
      <c r="A2177" s="268"/>
      <c r="I2177"/>
      <c r="J2177" s="4"/>
      <c r="K2177"/>
    </row>
    <row r="2178" spans="1:11" hidden="1">
      <c r="A2178" s="268"/>
      <c r="H2178" s="236" t="s">
        <v>140</v>
      </c>
      <c r="I2178" s="1" t="s">
        <v>940</v>
      </c>
      <c r="J2178" s="4"/>
      <c r="K2178" s="8">
        <f>K2175/1.62</f>
        <v>1125.04</v>
      </c>
    </row>
    <row r="2179" spans="1:11" hidden="1">
      <c r="A2179" s="268"/>
      <c r="F2179" s="181" t="s">
        <v>940</v>
      </c>
      <c r="G2179" s="187" t="s">
        <v>940</v>
      </c>
      <c r="H2179" s="181" t="s">
        <v>940</v>
      </c>
      <c r="I2179" s="1" t="s">
        <v>940</v>
      </c>
      <c r="J2179" s="2" t="s">
        <v>940</v>
      </c>
      <c r="K2179"/>
    </row>
    <row r="2180" spans="1:11" hidden="1">
      <c r="A2180" s="268"/>
      <c r="I2180"/>
      <c r="J2180" s="4"/>
      <c r="K2180"/>
    </row>
    <row r="2181" spans="1:11" hidden="1">
      <c r="A2181" s="268"/>
      <c r="G2181" s="187" t="s">
        <v>1484</v>
      </c>
      <c r="H2181" s="181" t="s">
        <v>1336</v>
      </c>
      <c r="I2181"/>
      <c r="J2181" s="4"/>
      <c r="K2181"/>
    </row>
    <row r="2182" spans="1:11" hidden="1">
      <c r="A2182" s="268"/>
      <c r="H2182" s="181" t="s">
        <v>767</v>
      </c>
      <c r="I2182"/>
      <c r="J2182" s="4"/>
      <c r="K2182"/>
    </row>
    <row r="2183" spans="1:11" hidden="1">
      <c r="A2183" s="268"/>
      <c r="F2183" s="181" t="s">
        <v>940</v>
      </c>
      <c r="H2183" s="181" t="s">
        <v>768</v>
      </c>
      <c r="I2183"/>
      <c r="J2183" s="4"/>
      <c r="K2183"/>
    </row>
    <row r="2184" spans="1:11" hidden="1">
      <c r="A2184" s="268"/>
      <c r="F2184" s="236" t="s">
        <v>769</v>
      </c>
      <c r="H2184" s="181" t="s">
        <v>2096</v>
      </c>
      <c r="I2184"/>
      <c r="J2184" s="4"/>
      <c r="K2184" s="8">
        <f>K2860</f>
        <v>1493.17</v>
      </c>
    </row>
    <row r="2185" spans="1:11" hidden="1">
      <c r="A2185" s="268"/>
      <c r="F2185" s="236" t="s">
        <v>770</v>
      </c>
      <c r="H2185" s="236" t="s">
        <v>744</v>
      </c>
      <c r="I2185"/>
      <c r="J2185" s="4"/>
      <c r="K2185" s="8">
        <f>K2884</f>
        <v>1496.32</v>
      </c>
    </row>
    <row r="2186" spans="1:11" hidden="1">
      <c r="A2186" s="268"/>
      <c r="F2186" s="236" t="s">
        <v>771</v>
      </c>
      <c r="H2186" s="181" t="s">
        <v>1221</v>
      </c>
      <c r="I2186"/>
      <c r="J2186" s="4"/>
      <c r="K2186" s="8">
        <f>K2899</f>
        <v>1526.05</v>
      </c>
    </row>
    <row r="2187" spans="1:11" hidden="1">
      <c r="A2187" s="268"/>
      <c r="F2187" s="242">
        <v>65</v>
      </c>
      <c r="H2187" s="181" t="s">
        <v>746</v>
      </c>
      <c r="I2187"/>
      <c r="J2187" s="4"/>
      <c r="K2187" s="8">
        <f>K2921</f>
        <v>1547.18</v>
      </c>
    </row>
    <row r="2188" spans="1:11" hidden="1">
      <c r="A2188" s="268"/>
      <c r="F2188" s="242">
        <v>66</v>
      </c>
      <c r="H2188" s="181" t="s">
        <v>581</v>
      </c>
      <c r="I2188"/>
      <c r="J2188" s="4"/>
      <c r="K2188" s="8">
        <f>K2945</f>
        <v>2795.25</v>
      </c>
    </row>
    <row r="2189" spans="1:11" hidden="1">
      <c r="A2189" s="268"/>
      <c r="F2189" s="242">
        <v>67</v>
      </c>
      <c r="H2189" s="181" t="s">
        <v>539</v>
      </c>
      <c r="I2189"/>
      <c r="J2189" s="4"/>
      <c r="K2189" s="8">
        <f>K2977</f>
        <v>764.91</v>
      </c>
    </row>
    <row r="2190" spans="1:11" hidden="1">
      <c r="A2190" s="268"/>
      <c r="F2190" s="242">
        <v>68</v>
      </c>
      <c r="H2190" s="181" t="s">
        <v>806</v>
      </c>
      <c r="I2190"/>
      <c r="J2190" s="4"/>
      <c r="K2190" s="8">
        <f>K2965</f>
        <v>1037.46</v>
      </c>
    </row>
    <row r="2191" spans="1:11" hidden="1">
      <c r="A2191" s="268"/>
      <c r="F2191" s="242">
        <v>69</v>
      </c>
      <c r="H2191" s="181" t="s">
        <v>772</v>
      </c>
      <c r="I2191"/>
      <c r="J2191" s="4"/>
      <c r="K2191" s="8">
        <f>K2988</f>
        <v>133.5</v>
      </c>
    </row>
    <row r="2192" spans="1:11" hidden="1">
      <c r="A2192" s="268"/>
      <c r="F2192" s="242" t="s">
        <v>773</v>
      </c>
      <c r="H2192" s="181" t="s">
        <v>463</v>
      </c>
      <c r="I2192"/>
      <c r="J2192" s="4"/>
      <c r="K2192" s="8">
        <f>K3135</f>
        <v>473.93</v>
      </c>
    </row>
    <row r="2193" spans="1:11" hidden="1">
      <c r="A2193" s="268"/>
      <c r="F2193" s="242" t="s">
        <v>275</v>
      </c>
      <c r="H2193" s="181" t="s">
        <v>2250</v>
      </c>
      <c r="I2193"/>
      <c r="J2193" s="4"/>
      <c r="K2193" s="8"/>
    </row>
    <row r="2194" spans="1:11" hidden="1">
      <c r="A2194" s="268"/>
      <c r="F2194" s="242" t="s">
        <v>1875</v>
      </c>
      <c r="H2194" s="181" t="s">
        <v>1445</v>
      </c>
      <c r="I2194"/>
      <c r="J2194" s="4"/>
      <c r="K2194" s="8">
        <v>10</v>
      </c>
    </row>
    <row r="2195" spans="1:11" hidden="1">
      <c r="A2195" s="268"/>
      <c r="F2195" s="242" t="s">
        <v>1876</v>
      </c>
      <c r="H2195" s="181" t="s">
        <v>551</v>
      </c>
      <c r="I2195"/>
      <c r="J2195" s="4"/>
      <c r="K2195" s="8">
        <v>8</v>
      </c>
    </row>
    <row r="2196" spans="1:11" hidden="1">
      <c r="A2196" s="268"/>
      <c r="F2196" s="242">
        <v>71</v>
      </c>
      <c r="H2196" s="181" t="s">
        <v>1117</v>
      </c>
      <c r="I2196"/>
      <c r="J2196" s="4"/>
      <c r="K2196" s="8">
        <f>K3154</f>
        <v>746.5</v>
      </c>
    </row>
    <row r="2197" spans="1:11" hidden="1">
      <c r="A2197" s="268"/>
      <c r="F2197" s="242">
        <v>72</v>
      </c>
      <c r="H2197" s="181" t="s">
        <v>774</v>
      </c>
      <c r="I2197"/>
      <c r="J2197" s="4"/>
      <c r="K2197" s="8">
        <v>31</v>
      </c>
    </row>
    <row r="2198" spans="1:11" hidden="1">
      <c r="A2198" s="268"/>
      <c r="F2198" s="242" t="s">
        <v>552</v>
      </c>
      <c r="H2198" s="181" t="s">
        <v>258</v>
      </c>
      <c r="I2198"/>
      <c r="J2198" s="4"/>
      <c r="K2198" s="8">
        <f>K3233</f>
        <v>3995.67</v>
      </c>
    </row>
    <row r="2199" spans="1:11" hidden="1">
      <c r="A2199" s="268"/>
      <c r="F2199" s="242" t="s">
        <v>553</v>
      </c>
      <c r="H2199" s="181" t="s">
        <v>554</v>
      </c>
      <c r="I2199"/>
      <c r="J2199" s="4"/>
      <c r="K2199" s="8">
        <f>K3221</f>
        <v>3258.67</v>
      </c>
    </row>
    <row r="2200" spans="1:11" hidden="1">
      <c r="A2200" s="268"/>
      <c r="F2200" s="242">
        <v>74</v>
      </c>
      <c r="H2200" s="181" t="s">
        <v>160</v>
      </c>
      <c r="I2200"/>
      <c r="J2200" s="4"/>
      <c r="K2200" s="8">
        <f>K3277</f>
        <v>520.4</v>
      </c>
    </row>
    <row r="2201" spans="1:11" hidden="1">
      <c r="A2201" s="268"/>
      <c r="F2201" s="242" t="s">
        <v>601</v>
      </c>
      <c r="H2201" s="181" t="s">
        <v>1327</v>
      </c>
      <c r="I2201"/>
      <c r="J2201" s="4"/>
      <c r="K2201" s="8">
        <f>K3767</f>
        <v>1437.2</v>
      </c>
    </row>
    <row r="2202" spans="1:11" hidden="1">
      <c r="A2202" s="268"/>
      <c r="F2202" s="242" t="s">
        <v>602</v>
      </c>
      <c r="H2202" s="181" t="s">
        <v>129</v>
      </c>
      <c r="I2202"/>
      <c r="J2202" s="4"/>
      <c r="K2202" s="8">
        <v>0</v>
      </c>
    </row>
    <row r="2203" spans="1:11" hidden="1">
      <c r="A2203" s="268"/>
      <c r="F2203" s="242">
        <v>112</v>
      </c>
      <c r="H2203" s="181" t="s">
        <v>715</v>
      </c>
      <c r="I2203"/>
      <c r="J2203" s="4"/>
      <c r="K2203" s="8">
        <f>K3744</f>
        <v>1840.21</v>
      </c>
    </row>
    <row r="2204" spans="1:11" hidden="1">
      <c r="A2204" s="268"/>
      <c r="F2204" s="242">
        <v>76</v>
      </c>
      <c r="H2204" s="181" t="s">
        <v>1864</v>
      </c>
      <c r="I2204"/>
      <c r="J2204" s="4"/>
      <c r="K2204" s="8">
        <f>K3294</f>
        <v>22.69</v>
      </c>
    </row>
    <row r="2205" spans="1:11" hidden="1">
      <c r="A2205" s="268"/>
      <c r="F2205" s="242">
        <v>77</v>
      </c>
      <c r="H2205" s="181" t="s">
        <v>2184</v>
      </c>
      <c r="I2205"/>
      <c r="J2205" s="4"/>
      <c r="K2205" s="8">
        <f>K3080</f>
        <v>191.65</v>
      </c>
    </row>
    <row r="2206" spans="1:11" ht="31.5" hidden="1">
      <c r="A2206" s="268"/>
      <c r="F2206" s="280">
        <v>77.099999999999994</v>
      </c>
      <c r="H2206" s="250" t="s">
        <v>1744</v>
      </c>
      <c r="I2206"/>
      <c r="J2206" s="4"/>
      <c r="K2206" s="281">
        <f>K3105</f>
        <v>230.19</v>
      </c>
    </row>
    <row r="2207" spans="1:11" hidden="1">
      <c r="A2207" s="268"/>
      <c r="F2207" s="246">
        <v>77.2</v>
      </c>
      <c r="H2207" s="181" t="s">
        <v>1745</v>
      </c>
      <c r="I2207"/>
      <c r="J2207" s="4"/>
      <c r="K2207" s="8">
        <v>500</v>
      </c>
    </row>
    <row r="2208" spans="1:11" hidden="1">
      <c r="A2208" s="268"/>
      <c r="F2208" s="246">
        <v>77.3</v>
      </c>
      <c r="H2208" s="181" t="s">
        <v>1444</v>
      </c>
      <c r="I2208"/>
      <c r="J2208" s="4"/>
      <c r="K2208" s="8">
        <f>K3712</f>
        <v>76.680000000000007</v>
      </c>
    </row>
    <row r="2209" spans="1:11" hidden="1">
      <c r="A2209" s="268"/>
      <c r="F2209" s="242">
        <v>78</v>
      </c>
      <c r="H2209" s="181" t="s">
        <v>78</v>
      </c>
      <c r="I2209"/>
      <c r="J2209" s="4"/>
      <c r="K2209" s="8">
        <f>K3319</f>
        <v>2489.75</v>
      </c>
    </row>
    <row r="2210" spans="1:11" hidden="1">
      <c r="A2210" s="268"/>
      <c r="F2210" s="242">
        <v>80</v>
      </c>
      <c r="H2210" s="181" t="s">
        <v>2037</v>
      </c>
      <c r="I2210"/>
      <c r="J2210" s="4"/>
      <c r="K2210" s="8">
        <f>K3441</f>
        <v>775.5</v>
      </c>
    </row>
    <row r="2211" spans="1:11" hidden="1">
      <c r="A2211" s="268"/>
      <c r="F2211" s="242">
        <v>81</v>
      </c>
      <c r="H2211" s="181" t="s">
        <v>89</v>
      </c>
      <c r="I2211"/>
      <c r="J2211" s="4"/>
      <c r="K2211" s="8">
        <f>K2178</f>
        <v>1125.04</v>
      </c>
    </row>
    <row r="2212" spans="1:11" hidden="1">
      <c r="A2212" s="268"/>
      <c r="F2212" s="242">
        <v>82</v>
      </c>
      <c r="H2212" s="181" t="s">
        <v>1494</v>
      </c>
      <c r="I2212"/>
      <c r="J2212" s="4"/>
      <c r="K2212" s="8">
        <f>K3638</f>
        <v>2742.5</v>
      </c>
    </row>
    <row r="2213" spans="1:11" hidden="1">
      <c r="A2213" s="268"/>
      <c r="F2213" s="242">
        <v>87</v>
      </c>
      <c r="H2213" s="181" t="s">
        <v>1705</v>
      </c>
      <c r="I2213"/>
      <c r="J2213" s="4"/>
      <c r="K2213" s="8">
        <f>K3458</f>
        <v>2650</v>
      </c>
    </row>
    <row r="2214" spans="1:11" hidden="1">
      <c r="A2214" s="268"/>
      <c r="I2214"/>
      <c r="J2214" s="4"/>
      <c r="K2214"/>
    </row>
    <row r="2215" spans="1:11" hidden="1">
      <c r="A2215" s="268"/>
      <c r="I2215"/>
      <c r="J2215" s="4"/>
      <c r="K2215"/>
    </row>
    <row r="2216" spans="1:11" ht="31.5" hidden="1">
      <c r="A2216" s="268"/>
      <c r="F2216" s="282">
        <v>77.400000000000006</v>
      </c>
      <c r="H2216" s="253" t="s">
        <v>1663</v>
      </c>
      <c r="I2216"/>
      <c r="J2216" s="4"/>
      <c r="K2216"/>
    </row>
    <row r="2217" spans="1:11" hidden="1">
      <c r="A2217" s="268"/>
      <c r="H2217" s="181" t="s">
        <v>767</v>
      </c>
      <c r="I2217"/>
      <c r="J2217" s="4"/>
      <c r="K2217"/>
    </row>
    <row r="2218" spans="1:11" ht="31.5" hidden="1">
      <c r="A2218" s="268"/>
      <c r="F2218" s="182">
        <v>90</v>
      </c>
      <c r="G2218" s="180" t="s">
        <v>347</v>
      </c>
      <c r="H2218" s="276" t="s">
        <v>2132</v>
      </c>
      <c r="I2218">
        <v>16.95</v>
      </c>
      <c r="J2218" s="4" t="s">
        <v>347</v>
      </c>
      <c r="K2218">
        <f>I2218*F2218</f>
        <v>1525.5</v>
      </c>
    </row>
    <row r="2219" spans="1:11" hidden="1">
      <c r="A2219" s="268"/>
      <c r="F2219" s="182">
        <v>0.15</v>
      </c>
      <c r="G2219" s="180" t="s">
        <v>494</v>
      </c>
      <c r="H2219" s="182" t="s">
        <v>829</v>
      </c>
      <c r="I2219">
        <f>AC31</f>
        <v>3800</v>
      </c>
      <c r="J2219" s="4" t="s">
        <v>494</v>
      </c>
      <c r="K2219">
        <f>I2219*F2219</f>
        <v>570</v>
      </c>
    </row>
    <row r="2220" spans="1:11" hidden="1">
      <c r="A2220" s="268"/>
      <c r="F2220" s="182">
        <v>1</v>
      </c>
      <c r="G2220" s="180" t="s">
        <v>739</v>
      </c>
      <c r="H2220" s="182" t="s">
        <v>346</v>
      </c>
      <c r="I2220">
        <f>C780</f>
        <v>160</v>
      </c>
      <c r="J2220" s="4" t="s">
        <v>739</v>
      </c>
      <c r="K2220">
        <f>I2220*F2220</f>
        <v>160</v>
      </c>
    </row>
    <row r="2221" spans="1:11" hidden="1">
      <c r="A2221" s="268"/>
      <c r="F2221" s="182">
        <v>2</v>
      </c>
      <c r="G2221" s="180" t="s">
        <v>739</v>
      </c>
      <c r="H2221" s="182" t="s">
        <v>1654</v>
      </c>
      <c r="I2221">
        <f>AE10</f>
        <v>135</v>
      </c>
      <c r="J2221" s="4" t="s">
        <v>739</v>
      </c>
      <c r="K2221">
        <f>I2221*F2221</f>
        <v>270</v>
      </c>
    </row>
    <row r="2222" spans="1:11" hidden="1">
      <c r="A2222" s="268"/>
      <c r="F2222" s="182">
        <v>4</v>
      </c>
      <c r="G2222" s="180" t="s">
        <v>739</v>
      </c>
      <c r="H2222" s="182" t="s">
        <v>1237</v>
      </c>
      <c r="I2222">
        <f>C781</f>
        <v>110</v>
      </c>
      <c r="J2222" s="4" t="s">
        <v>739</v>
      </c>
      <c r="K2222">
        <f>I2222*F2222</f>
        <v>440</v>
      </c>
    </row>
    <row r="2223" spans="1:11" hidden="1">
      <c r="A2223" s="268"/>
      <c r="H2223" s="182" t="s">
        <v>348</v>
      </c>
      <c r="I2223"/>
      <c r="J2223" s="4"/>
      <c r="K2223">
        <v>8.5</v>
      </c>
    </row>
    <row r="2224" spans="1:11" hidden="1">
      <c r="A2224" s="268"/>
      <c r="I2224"/>
      <c r="J2224" s="4"/>
      <c r="K2224" s="5" t="s">
        <v>1530</v>
      </c>
    </row>
    <row r="2225" spans="1:11" hidden="1">
      <c r="A2225" s="268"/>
      <c r="H2225" s="181" t="s">
        <v>2183</v>
      </c>
      <c r="I2225"/>
      <c r="J2225" s="4"/>
      <c r="K2225" s="8">
        <f>SUM(K2218:K2223)</f>
        <v>2974</v>
      </c>
    </row>
    <row r="2226" spans="1:11" hidden="1">
      <c r="A2226" s="268"/>
      <c r="I2226"/>
      <c r="J2226" s="4"/>
      <c r="K2226" s="5" t="s">
        <v>1530</v>
      </c>
    </row>
    <row r="2227" spans="1:11" hidden="1">
      <c r="A2227" s="268"/>
      <c r="H2227" s="181" t="s">
        <v>1083</v>
      </c>
      <c r="I2227"/>
      <c r="J2227" s="4"/>
      <c r="K2227" s="8">
        <f>(K2225/90)</f>
        <v>33.04</v>
      </c>
    </row>
    <row r="2228" spans="1:11" hidden="1">
      <c r="A2228" s="268"/>
      <c r="I2228"/>
      <c r="J2228" s="4"/>
      <c r="K2228" s="5" t="s">
        <v>1980</v>
      </c>
    </row>
    <row r="2229" spans="1:11" hidden="1">
      <c r="A2229" s="268"/>
      <c r="I2229"/>
      <c r="J2229" s="4"/>
      <c r="K2229"/>
    </row>
    <row r="2230" spans="1:11" hidden="1">
      <c r="A2230" s="268"/>
      <c r="F2230" s="257">
        <v>78.099999999999994</v>
      </c>
      <c r="H2230" s="181" t="s">
        <v>1506</v>
      </c>
      <c r="I2230"/>
      <c r="J2230" s="4"/>
      <c r="K2230"/>
    </row>
    <row r="2231" spans="1:11" hidden="1">
      <c r="A2231" s="268"/>
      <c r="H2231" s="181" t="s">
        <v>767</v>
      </c>
      <c r="I2231"/>
      <c r="J2231" s="4"/>
      <c r="K2231"/>
    </row>
    <row r="2232" spans="1:11" hidden="1">
      <c r="A2232" s="268"/>
      <c r="F2232" s="182">
        <v>2.5</v>
      </c>
      <c r="G2232" s="180" t="s">
        <v>739</v>
      </c>
      <c r="H2232" s="182" t="s">
        <v>1507</v>
      </c>
      <c r="I2232">
        <v>120</v>
      </c>
      <c r="J2232" s="4" t="s">
        <v>739</v>
      </c>
      <c r="K2232">
        <f t="shared" ref="K2232:K2237" si="75">I2232*F2232</f>
        <v>300</v>
      </c>
    </row>
    <row r="2233" spans="1:11" hidden="1">
      <c r="A2233" s="268"/>
      <c r="F2233" s="182">
        <v>20</v>
      </c>
      <c r="G2233" s="180" t="s">
        <v>337</v>
      </c>
      <c r="H2233" s="182" t="s">
        <v>1508</v>
      </c>
      <c r="I2233">
        <v>4</v>
      </c>
      <c r="J2233" s="4" t="s">
        <v>337</v>
      </c>
      <c r="K2233">
        <f t="shared" si="75"/>
        <v>80</v>
      </c>
    </row>
    <row r="2234" spans="1:11" hidden="1">
      <c r="A2234" s="268"/>
      <c r="F2234" s="182">
        <v>9</v>
      </c>
      <c r="G2234" s="180" t="s">
        <v>337</v>
      </c>
      <c r="H2234" s="182" t="s">
        <v>1509</v>
      </c>
      <c r="I2234">
        <v>4</v>
      </c>
      <c r="J2234" s="4" t="s">
        <v>337</v>
      </c>
      <c r="K2234">
        <f t="shared" si="75"/>
        <v>36</v>
      </c>
    </row>
    <row r="2235" spans="1:11" hidden="1">
      <c r="A2235" s="268"/>
      <c r="F2235" s="182">
        <v>0.5</v>
      </c>
      <c r="G2235" s="180" t="s">
        <v>337</v>
      </c>
      <c r="H2235" s="182" t="s">
        <v>1235</v>
      </c>
      <c r="I2235">
        <v>30</v>
      </c>
      <c r="J2235" s="4" t="s">
        <v>337</v>
      </c>
      <c r="K2235">
        <f t="shared" si="75"/>
        <v>15</v>
      </c>
    </row>
    <row r="2236" spans="1:11" hidden="1">
      <c r="A2236" s="268"/>
      <c r="F2236" s="182">
        <v>0.5</v>
      </c>
      <c r="G2236" s="180" t="s">
        <v>739</v>
      </c>
      <c r="H2236" s="182" t="s">
        <v>1236</v>
      </c>
      <c r="I2236">
        <f>C780</f>
        <v>160</v>
      </c>
      <c r="J2236" s="4" t="s">
        <v>739</v>
      </c>
      <c r="K2236">
        <f t="shared" si="75"/>
        <v>80</v>
      </c>
    </row>
    <row r="2237" spans="1:11" hidden="1">
      <c r="A2237" s="268"/>
      <c r="F2237" s="182">
        <v>1</v>
      </c>
      <c r="G2237" s="180" t="s">
        <v>739</v>
      </c>
      <c r="H2237" s="182" t="s">
        <v>1237</v>
      </c>
      <c r="I2237">
        <f>C781</f>
        <v>110</v>
      </c>
      <c r="J2237" s="4" t="s">
        <v>739</v>
      </c>
      <c r="K2237">
        <f t="shared" si="75"/>
        <v>110</v>
      </c>
    </row>
    <row r="2238" spans="1:11" ht="31.5" hidden="1">
      <c r="A2238" s="268"/>
      <c r="G2238" s="180" t="s">
        <v>625</v>
      </c>
      <c r="H2238" s="276" t="s">
        <v>1238</v>
      </c>
      <c r="I2238"/>
      <c r="J2238" s="4" t="s">
        <v>625</v>
      </c>
      <c r="K2238">
        <v>165</v>
      </c>
    </row>
    <row r="2239" spans="1:11" hidden="1">
      <c r="A2239" s="268"/>
      <c r="G2239" s="180" t="s">
        <v>625</v>
      </c>
      <c r="H2239" s="182" t="s">
        <v>1167</v>
      </c>
      <c r="I2239"/>
      <c r="J2239" s="4" t="s">
        <v>625</v>
      </c>
      <c r="K2239">
        <v>9.5</v>
      </c>
    </row>
    <row r="2240" spans="1:11" hidden="1">
      <c r="A2240" s="268"/>
      <c r="I2240"/>
      <c r="J2240" s="4"/>
      <c r="K2240" s="5" t="s">
        <v>1530</v>
      </c>
    </row>
    <row r="2241" spans="1:11" hidden="1">
      <c r="A2241" s="268"/>
      <c r="H2241" s="182" t="s">
        <v>266</v>
      </c>
      <c r="I2241"/>
      <c r="J2241" s="4"/>
      <c r="K2241" s="8">
        <f>SUM(K2232:K2239)</f>
        <v>795.5</v>
      </c>
    </row>
    <row r="2242" spans="1:11" hidden="1">
      <c r="A2242" s="268"/>
      <c r="I2242"/>
      <c r="J2242" s="4"/>
      <c r="K2242" s="5" t="s">
        <v>1530</v>
      </c>
    </row>
    <row r="2243" spans="1:11" hidden="1">
      <c r="A2243" s="268"/>
    </row>
    <row r="2244" spans="1:11" ht="21.75" hidden="1">
      <c r="A2244" s="268"/>
      <c r="E2244" s="283"/>
      <c r="F2244" s="283"/>
      <c r="G2244" s="284"/>
      <c r="H2244" s="285" t="s">
        <v>2837</v>
      </c>
      <c r="I2244" s="283"/>
      <c r="J2244" s="286"/>
      <c r="K2244" s="287"/>
    </row>
    <row r="2245" spans="1:11" ht="17.25" hidden="1">
      <c r="A2245" s="268"/>
      <c r="E2245" s="283"/>
      <c r="F2245" s="284"/>
      <c r="G2245" s="283"/>
      <c r="H2245" s="283"/>
      <c r="I2245" s="286"/>
      <c r="J2245" s="283"/>
      <c r="K2245" s="283"/>
    </row>
    <row r="2246" spans="1:11" ht="17.25" hidden="1">
      <c r="A2246" s="268"/>
      <c r="E2246" s="283"/>
      <c r="F2246" s="284">
        <v>53.3</v>
      </c>
      <c r="G2246" s="283"/>
      <c r="H2246" s="283" t="s">
        <v>2838</v>
      </c>
      <c r="I2246" s="286"/>
      <c r="J2246" s="283"/>
      <c r="K2246" s="283">
        <v>957</v>
      </c>
    </row>
    <row r="2247" spans="1:11" ht="17.25" hidden="1">
      <c r="A2247" s="268"/>
      <c r="E2247" s="283"/>
      <c r="F2247" s="284"/>
      <c r="G2247" s="283"/>
      <c r="H2247" s="283"/>
      <c r="I2247" s="286"/>
      <c r="J2247" s="283"/>
      <c r="K2247" s="283"/>
    </row>
    <row r="2248" spans="1:11" ht="34.5" hidden="1">
      <c r="A2248" s="268"/>
      <c r="E2248" s="283"/>
      <c r="F2248" s="288" t="s">
        <v>2839</v>
      </c>
      <c r="G2248" s="283"/>
      <c r="H2248" s="289" t="s">
        <v>1928</v>
      </c>
      <c r="I2248" s="286"/>
      <c r="J2248" s="283"/>
      <c r="K2248" s="283"/>
    </row>
    <row r="2249" spans="1:11" ht="17.25" hidden="1">
      <c r="A2249" s="268"/>
      <c r="E2249" s="283"/>
      <c r="F2249" s="284"/>
      <c r="G2249" s="283"/>
      <c r="H2249" s="290" t="s">
        <v>1530</v>
      </c>
      <c r="I2249" s="290" t="s">
        <v>1530</v>
      </c>
      <c r="J2249" s="290" t="s">
        <v>1530</v>
      </c>
      <c r="K2249" s="283"/>
    </row>
    <row r="2250" spans="1:11" ht="17.25" hidden="1">
      <c r="A2250" s="268"/>
      <c r="E2250" s="283"/>
      <c r="F2250" s="284"/>
      <c r="G2250" s="283"/>
      <c r="H2250" s="283"/>
      <c r="I2250" s="286"/>
      <c r="J2250" s="283"/>
      <c r="K2250" s="283"/>
    </row>
    <row r="2251" spans="1:11" ht="17.25" hidden="1">
      <c r="A2251" s="268"/>
      <c r="E2251" s="283"/>
      <c r="F2251" s="284"/>
      <c r="G2251" s="283"/>
      <c r="H2251" s="283" t="s">
        <v>1929</v>
      </c>
      <c r="I2251" s="286"/>
      <c r="J2251" s="283"/>
      <c r="K2251" s="283"/>
    </row>
    <row r="2252" spans="1:11" ht="17.25" hidden="1">
      <c r="A2252" s="268"/>
      <c r="E2252" s="283"/>
      <c r="F2252" s="284"/>
      <c r="G2252" s="283"/>
      <c r="H2252" s="283" t="s">
        <v>1930</v>
      </c>
      <c r="I2252" s="286"/>
      <c r="J2252" s="283"/>
      <c r="K2252" s="283"/>
    </row>
    <row r="2253" spans="1:11" ht="17.25" hidden="1">
      <c r="A2253" s="268"/>
      <c r="E2253" s="283"/>
      <c r="F2253" s="284"/>
      <c r="G2253" s="283"/>
      <c r="H2253" s="283" t="s">
        <v>424</v>
      </c>
      <c r="I2253" s="286"/>
      <c r="J2253" s="283"/>
      <c r="K2253" s="283"/>
    </row>
    <row r="2254" spans="1:11" ht="17.25" hidden="1">
      <c r="A2254" s="268"/>
      <c r="E2254" s="283"/>
      <c r="F2254" s="284"/>
      <c r="G2254" s="283"/>
      <c r="H2254" s="283" t="s">
        <v>425</v>
      </c>
      <c r="I2254" s="286"/>
      <c r="J2254" s="283"/>
      <c r="K2254" s="283"/>
    </row>
    <row r="2255" spans="1:11" ht="17.25" hidden="1">
      <c r="A2255" s="268"/>
      <c r="E2255" s="283"/>
      <c r="F2255" s="284"/>
      <c r="G2255" s="283"/>
      <c r="H2255" s="283" t="s">
        <v>426</v>
      </c>
      <c r="I2255" s="286"/>
      <c r="J2255" s="283"/>
      <c r="K2255" s="283"/>
    </row>
    <row r="2256" spans="1:11" ht="17.25" hidden="1">
      <c r="A2256" s="268"/>
      <c r="E2256" s="283"/>
      <c r="F2256" s="284"/>
      <c r="G2256" s="283"/>
      <c r="H2256" s="283" t="s">
        <v>2840</v>
      </c>
      <c r="I2256" s="286"/>
      <c r="J2256" s="283" t="s">
        <v>940</v>
      </c>
      <c r="K2256" s="283">
        <v>3.32E-2</v>
      </c>
    </row>
    <row r="2257" spans="1:11" ht="17.25" hidden="1">
      <c r="A2257" s="268"/>
      <c r="E2257" s="283"/>
      <c r="F2257" s="284"/>
      <c r="G2257" s="283"/>
      <c r="H2257" s="283" t="s">
        <v>2841</v>
      </c>
      <c r="I2257" s="286"/>
      <c r="J2257" s="283" t="s">
        <v>940</v>
      </c>
      <c r="K2257" s="283" t="s">
        <v>940</v>
      </c>
    </row>
    <row r="2258" spans="1:11" ht="17.25" hidden="1">
      <c r="A2258" s="268"/>
      <c r="E2258" s="283"/>
      <c r="F2258" s="284"/>
      <c r="G2258" s="283"/>
      <c r="H2258" s="283" t="s">
        <v>1765</v>
      </c>
      <c r="I2258" s="286"/>
      <c r="J2258" s="283"/>
      <c r="K2258" s="283" t="s">
        <v>940</v>
      </c>
    </row>
    <row r="2259" spans="1:11" ht="17.25" hidden="1">
      <c r="A2259" s="268"/>
      <c r="E2259" s="283"/>
      <c r="F2259" s="284"/>
      <c r="G2259" s="283"/>
      <c r="H2259" s="283"/>
      <c r="I2259" s="286"/>
      <c r="J2259" s="283"/>
      <c r="K2259" s="283"/>
    </row>
    <row r="2260" spans="1:11" ht="17.25" hidden="1">
      <c r="A2260" s="268"/>
      <c r="E2260" s="283"/>
      <c r="F2260" s="291">
        <v>1.18E-2</v>
      </c>
      <c r="G2260" s="283" t="s">
        <v>836</v>
      </c>
      <c r="H2260" s="283" t="s">
        <v>660</v>
      </c>
      <c r="I2260" s="286">
        <f>I1083</f>
        <v>65420</v>
      </c>
      <c r="J2260" s="283" t="s">
        <v>836</v>
      </c>
      <c r="K2260" s="283">
        <f t="shared" ref="K2260:K2269" si="76">I2260*F2260</f>
        <v>771.96</v>
      </c>
    </row>
    <row r="2261" spans="1:11" ht="17.25" hidden="1">
      <c r="A2261" s="268"/>
      <c r="E2261" s="283"/>
      <c r="F2261" s="291">
        <v>3.7699999999999997E-2</v>
      </c>
      <c r="G2261" s="283" t="s">
        <v>836</v>
      </c>
      <c r="H2261" s="283" t="s">
        <v>661</v>
      </c>
      <c r="I2261" s="286">
        <f>I1084</f>
        <v>57165</v>
      </c>
      <c r="J2261" s="283" t="s">
        <v>836</v>
      </c>
      <c r="K2261" s="283">
        <f t="shared" si="76"/>
        <v>2155.12</v>
      </c>
    </row>
    <row r="2262" spans="1:11" ht="17.25" hidden="1">
      <c r="A2262" s="268"/>
      <c r="E2262" s="283"/>
      <c r="F2262" s="291">
        <v>1.8550000000000001E-2</v>
      </c>
      <c r="G2262" s="283" t="s">
        <v>836</v>
      </c>
      <c r="H2262" s="283" t="s">
        <v>853</v>
      </c>
      <c r="I2262" s="286">
        <f>I1085</f>
        <v>3035</v>
      </c>
      <c r="J2262" s="283" t="s">
        <v>836</v>
      </c>
      <c r="K2262" s="283">
        <f t="shared" si="76"/>
        <v>56.3</v>
      </c>
    </row>
    <row r="2263" spans="1:11" ht="17.25" hidden="1">
      <c r="A2263" s="268"/>
      <c r="E2263" s="283"/>
      <c r="F2263" s="291">
        <v>1.36</v>
      </c>
      <c r="G2263" s="283" t="s">
        <v>578</v>
      </c>
      <c r="H2263" s="283" t="s">
        <v>854</v>
      </c>
      <c r="I2263" s="286">
        <v>385.89</v>
      </c>
      <c r="J2263" s="283" t="s">
        <v>578</v>
      </c>
      <c r="K2263" s="283">
        <f t="shared" si="76"/>
        <v>524.80999999999995</v>
      </c>
    </row>
    <row r="2264" spans="1:11" ht="17.25" hidden="1">
      <c r="A2264" s="268"/>
      <c r="E2264" s="283"/>
      <c r="F2264" s="291">
        <v>2.0499999999999998</v>
      </c>
      <c r="G2264" s="283" t="s">
        <v>578</v>
      </c>
      <c r="H2264" s="283" t="s">
        <v>1449</v>
      </c>
      <c r="I2264" s="286">
        <f>I1087</f>
        <v>287</v>
      </c>
      <c r="J2264" s="283" t="s">
        <v>578</v>
      </c>
      <c r="K2264" s="283">
        <f t="shared" si="76"/>
        <v>588.35</v>
      </c>
    </row>
    <row r="2265" spans="1:11" ht="17.25" hidden="1">
      <c r="A2265" s="268"/>
      <c r="E2265" s="283"/>
      <c r="F2265" s="292">
        <v>2</v>
      </c>
      <c r="G2265" s="283" t="s">
        <v>835</v>
      </c>
      <c r="H2265" s="283" t="s">
        <v>1332</v>
      </c>
      <c r="I2265" s="286">
        <v>25</v>
      </c>
      <c r="J2265" s="283" t="s">
        <v>835</v>
      </c>
      <c r="K2265" s="283">
        <f t="shared" si="76"/>
        <v>50</v>
      </c>
    </row>
    <row r="2266" spans="1:11" ht="17.25" hidden="1">
      <c r="A2266" s="268"/>
      <c r="E2266" s="283"/>
      <c r="F2266" s="292">
        <v>6</v>
      </c>
      <c r="G2266" s="283" t="s">
        <v>835</v>
      </c>
      <c r="H2266" s="283" t="s">
        <v>1291</v>
      </c>
      <c r="I2266" s="286">
        <v>25</v>
      </c>
      <c r="J2266" s="283" t="s">
        <v>835</v>
      </c>
      <c r="K2266" s="283">
        <f t="shared" si="76"/>
        <v>150</v>
      </c>
    </row>
    <row r="2267" spans="1:11" ht="17.25" hidden="1">
      <c r="A2267" s="268"/>
      <c r="E2267" s="283"/>
      <c r="F2267" s="292">
        <v>2</v>
      </c>
      <c r="G2267" s="283" t="s">
        <v>835</v>
      </c>
      <c r="H2267" s="283" t="s">
        <v>2339</v>
      </c>
      <c r="I2267" s="286">
        <v>35</v>
      </c>
      <c r="J2267" s="283" t="s">
        <v>835</v>
      </c>
      <c r="K2267" s="283">
        <f t="shared" si="76"/>
        <v>70</v>
      </c>
    </row>
    <row r="2268" spans="1:11" ht="17.25" hidden="1">
      <c r="A2268" s="268"/>
      <c r="E2268" s="283"/>
      <c r="F2268" s="292">
        <v>1</v>
      </c>
      <c r="G2268" s="283" t="s">
        <v>835</v>
      </c>
      <c r="H2268" s="283" t="s">
        <v>1360</v>
      </c>
      <c r="I2268" s="286">
        <v>60</v>
      </c>
      <c r="J2268" s="283" t="s">
        <v>835</v>
      </c>
      <c r="K2268" s="283">
        <f t="shared" si="76"/>
        <v>60</v>
      </c>
    </row>
    <row r="2269" spans="1:11" ht="17.25" hidden="1">
      <c r="A2269" s="268"/>
      <c r="E2269" s="283"/>
      <c r="F2269" s="291">
        <v>2.52</v>
      </c>
      <c r="G2269" s="283" t="s">
        <v>578</v>
      </c>
      <c r="H2269" s="283" t="s">
        <v>1655</v>
      </c>
      <c r="I2269" s="286">
        <f>K1122</f>
        <v>51.25</v>
      </c>
      <c r="J2269" s="283" t="s">
        <v>578</v>
      </c>
      <c r="K2269" s="283">
        <f t="shared" si="76"/>
        <v>129.15</v>
      </c>
    </row>
    <row r="2270" spans="1:11" ht="17.25" hidden="1">
      <c r="A2270" s="268"/>
      <c r="E2270" s="283"/>
      <c r="F2270" s="284"/>
      <c r="G2270" s="283"/>
      <c r="H2270" s="283" t="s">
        <v>1357</v>
      </c>
      <c r="I2270" s="286" t="s">
        <v>419</v>
      </c>
      <c r="J2270" s="283"/>
      <c r="K2270" s="283">
        <v>0.28000000000000003</v>
      </c>
    </row>
    <row r="2271" spans="1:11" ht="17.25" hidden="1">
      <c r="A2271" s="268"/>
      <c r="E2271" s="283"/>
      <c r="F2271" s="284"/>
      <c r="G2271" s="283"/>
      <c r="H2271" s="283"/>
      <c r="I2271" s="286"/>
      <c r="J2271" s="283"/>
      <c r="K2271" s="293" t="s">
        <v>1530</v>
      </c>
    </row>
    <row r="2272" spans="1:11" ht="17.25" hidden="1">
      <c r="A2272" s="268"/>
      <c r="E2272" s="283"/>
      <c r="F2272" s="284"/>
      <c r="G2272" s="283"/>
      <c r="H2272" s="283" t="s">
        <v>1358</v>
      </c>
      <c r="I2272" s="286"/>
      <c r="J2272" s="283"/>
      <c r="K2272" s="283">
        <f>SUM(K2260:K2271)</f>
        <v>4555.97</v>
      </c>
    </row>
    <row r="2273" spans="1:11" ht="17.25" hidden="1">
      <c r="A2273" s="268"/>
      <c r="E2273" s="283"/>
      <c r="F2273" s="284"/>
      <c r="G2273" s="283" t="s">
        <v>940</v>
      </c>
      <c r="H2273" s="283"/>
      <c r="I2273" s="286"/>
      <c r="J2273" s="283"/>
      <c r="K2273" s="293" t="s">
        <v>1530</v>
      </c>
    </row>
    <row r="2274" spans="1:11" ht="17.25" hidden="1">
      <c r="A2274" s="268"/>
      <c r="E2274" s="283"/>
      <c r="F2274" s="284"/>
      <c r="G2274" s="283"/>
      <c r="H2274" s="283" t="s">
        <v>521</v>
      </c>
      <c r="I2274" s="286"/>
      <c r="J2274" s="283"/>
      <c r="K2274" s="283">
        <f>K2272/F2269</f>
        <v>1807.92</v>
      </c>
    </row>
    <row r="2275" spans="1:11" ht="17.25" hidden="1">
      <c r="A2275" s="268"/>
      <c r="E2275" s="283"/>
      <c r="F2275" s="284"/>
      <c r="G2275" s="283"/>
      <c r="H2275" s="283"/>
      <c r="I2275" s="286"/>
      <c r="J2275" s="283"/>
      <c r="K2275" s="283"/>
    </row>
    <row r="2276" spans="1:11" ht="17.25" hidden="1">
      <c r="A2276" s="268"/>
      <c r="E2276" s="283"/>
      <c r="F2276" s="283"/>
      <c r="G2276" s="284"/>
      <c r="H2276" s="283"/>
      <c r="I2276" s="283"/>
      <c r="J2276" s="286"/>
      <c r="K2276" s="283"/>
    </row>
    <row r="2277" spans="1:11" ht="17.25" hidden="1">
      <c r="A2277" s="268"/>
      <c r="E2277" s="283"/>
      <c r="F2277" s="283"/>
      <c r="G2277" s="284"/>
      <c r="H2277" s="283"/>
      <c r="I2277" s="283"/>
      <c r="J2277" s="286"/>
      <c r="K2277" s="283"/>
    </row>
    <row r="2278" spans="1:11" ht="34.5" hidden="1">
      <c r="A2278" s="268"/>
      <c r="E2278" s="283"/>
      <c r="F2278" s="283"/>
      <c r="G2278" s="284"/>
      <c r="H2278" s="290" t="s">
        <v>3393</v>
      </c>
      <c r="I2278" s="283"/>
      <c r="J2278" s="286" t="s">
        <v>1341</v>
      </c>
      <c r="K2278" s="283">
        <v>600</v>
      </c>
    </row>
    <row r="2279" spans="1:11" ht="17.25" hidden="1">
      <c r="A2279" s="268"/>
      <c r="E2279" s="283"/>
      <c r="F2279" s="283"/>
      <c r="G2279" s="284"/>
      <c r="H2279" s="283"/>
      <c r="I2279" s="283"/>
      <c r="J2279" s="286"/>
      <c r="K2279" s="283"/>
    </row>
    <row r="2280" spans="1:11" ht="17.25" hidden="1">
      <c r="A2280" s="268"/>
      <c r="E2280" s="283"/>
      <c r="F2280" s="283"/>
      <c r="G2280" s="284"/>
      <c r="H2280" s="283"/>
      <c r="I2280" s="283"/>
      <c r="J2280" s="286"/>
      <c r="K2280" s="283"/>
    </row>
    <row r="2281" spans="1:11" ht="17.25" hidden="1">
      <c r="A2281" s="268"/>
      <c r="E2281" s="283"/>
      <c r="F2281" s="283"/>
      <c r="G2281" s="284"/>
      <c r="H2281" s="290" t="s">
        <v>2324</v>
      </c>
      <c r="I2281" s="283"/>
      <c r="J2281" s="286" t="s">
        <v>1341</v>
      </c>
      <c r="K2281" s="283">
        <v>300</v>
      </c>
    </row>
    <row r="2282" spans="1:11" ht="17.25" hidden="1">
      <c r="A2282" s="268"/>
      <c r="E2282" s="283"/>
      <c r="F2282" s="283"/>
      <c r="G2282" s="284"/>
      <c r="H2282" s="283"/>
      <c r="I2282" s="283"/>
      <c r="J2282" s="286"/>
      <c r="K2282" s="283"/>
    </row>
    <row r="2283" spans="1:11" ht="17.25" hidden="1">
      <c r="A2283" s="268"/>
      <c r="E2283" s="283"/>
      <c r="F2283" s="283"/>
      <c r="G2283" s="284"/>
      <c r="H2283" s="283"/>
      <c r="I2283" s="283"/>
      <c r="J2283" s="286"/>
      <c r="K2283" s="283"/>
    </row>
    <row r="2284" spans="1:11" ht="17.25" hidden="1">
      <c r="A2284" s="268"/>
      <c r="E2284" s="283"/>
      <c r="F2284" s="283"/>
      <c r="G2284" s="284"/>
      <c r="H2284" s="283"/>
      <c r="I2284" s="283"/>
      <c r="J2284" s="286"/>
      <c r="K2284" s="283"/>
    </row>
    <row r="2285" spans="1:11" ht="17.25" hidden="1">
      <c r="A2285" s="268"/>
      <c r="E2285" s="283"/>
      <c r="F2285" s="283"/>
      <c r="G2285" s="284"/>
      <c r="H2285" s="290" t="s">
        <v>2325</v>
      </c>
      <c r="I2285" s="283"/>
      <c r="J2285" s="286" t="s">
        <v>1341</v>
      </c>
      <c r="K2285" s="283">
        <v>260</v>
      </c>
    </row>
    <row r="2286" spans="1:11" ht="17.25" hidden="1">
      <c r="A2286" s="268"/>
      <c r="E2286" s="283"/>
      <c r="F2286" s="283"/>
      <c r="G2286" s="284"/>
      <c r="H2286" s="283"/>
      <c r="I2286" s="283"/>
      <c r="J2286" s="286"/>
      <c r="K2286" s="283"/>
    </row>
    <row r="2287" spans="1:11" ht="17.25" hidden="1">
      <c r="A2287" s="268"/>
      <c r="E2287" s="283"/>
      <c r="F2287" s="283"/>
      <c r="G2287" s="284"/>
      <c r="H2287" s="283"/>
      <c r="I2287" s="283"/>
      <c r="J2287" s="286"/>
      <c r="K2287" s="283"/>
    </row>
    <row r="2288" spans="1:11" ht="17.25" hidden="1">
      <c r="A2288" s="268"/>
      <c r="E2288" s="283"/>
      <c r="F2288" s="283"/>
      <c r="G2288" s="284"/>
      <c r="H2288" s="283"/>
      <c r="I2288" s="283"/>
      <c r="J2288" s="286"/>
      <c r="K2288" s="283"/>
    </row>
    <row r="2289" spans="1:11" ht="34.5" hidden="1">
      <c r="A2289" s="268"/>
      <c r="E2289" s="283"/>
      <c r="F2289" s="283"/>
      <c r="G2289" s="284"/>
      <c r="H2289" s="290" t="s">
        <v>2326</v>
      </c>
      <c r="I2289" s="283"/>
      <c r="J2289" s="286" t="s">
        <v>1341</v>
      </c>
      <c r="K2289" s="283">
        <v>650</v>
      </c>
    </row>
    <row r="2290" spans="1:11" ht="17.25" hidden="1">
      <c r="A2290" s="268"/>
      <c r="E2290" s="283"/>
      <c r="F2290" s="283"/>
      <c r="G2290" s="284"/>
      <c r="H2290" s="283"/>
      <c r="I2290" s="283"/>
      <c r="J2290" s="286"/>
      <c r="K2290" s="283"/>
    </row>
    <row r="2291" spans="1:11" ht="17.25" hidden="1">
      <c r="A2291" s="268"/>
      <c r="E2291" s="283"/>
      <c r="F2291" s="283"/>
      <c r="G2291" s="284"/>
      <c r="H2291" s="283"/>
      <c r="I2291" s="283"/>
      <c r="J2291" s="286"/>
      <c r="K2291" s="283"/>
    </row>
    <row r="2292" spans="1:11" ht="17.25" hidden="1">
      <c r="A2292" s="268"/>
      <c r="E2292" s="283"/>
      <c r="F2292" s="283"/>
      <c r="G2292" s="284"/>
      <c r="H2292" s="283" t="s">
        <v>3349</v>
      </c>
      <c r="I2292" s="283"/>
      <c r="J2292" s="286" t="s">
        <v>1341</v>
      </c>
      <c r="K2292" s="283">
        <v>436</v>
      </c>
    </row>
    <row r="2293" spans="1:11" ht="17.25" hidden="1">
      <c r="A2293" s="268"/>
      <c r="E2293" s="283"/>
      <c r="F2293" s="283"/>
      <c r="G2293" s="284"/>
      <c r="H2293" s="283"/>
      <c r="I2293" s="283"/>
      <c r="J2293" s="286"/>
      <c r="K2293" s="283"/>
    </row>
    <row r="2294" spans="1:11" ht="17.25" hidden="1">
      <c r="A2294" s="268"/>
      <c r="E2294" s="283"/>
      <c r="F2294" s="283"/>
      <c r="G2294" s="284"/>
      <c r="H2294" s="283"/>
      <c r="I2294" s="283"/>
      <c r="J2294" s="286"/>
      <c r="K2294" s="283"/>
    </row>
    <row r="2295" spans="1:11" ht="17.25" hidden="1">
      <c r="A2295" s="268"/>
      <c r="E2295" s="283"/>
      <c r="F2295" s="283"/>
      <c r="G2295" s="284"/>
      <c r="H2295" s="283" t="s">
        <v>3350</v>
      </c>
      <c r="I2295" s="283"/>
      <c r="J2295" s="286" t="s">
        <v>1341</v>
      </c>
      <c r="K2295" s="283">
        <v>518</v>
      </c>
    </row>
    <row r="2296" spans="1:11" ht="17.25" hidden="1">
      <c r="A2296" s="268"/>
      <c r="E2296" s="283"/>
      <c r="F2296" s="283"/>
      <c r="G2296" s="284"/>
      <c r="H2296" s="283"/>
      <c r="I2296" s="283"/>
      <c r="J2296" s="286"/>
      <c r="K2296" s="283"/>
    </row>
    <row r="2297" spans="1:11" ht="17.25" hidden="1">
      <c r="A2297" s="268"/>
      <c r="E2297" s="283"/>
      <c r="F2297" s="283"/>
      <c r="G2297" s="284"/>
      <c r="H2297" s="283"/>
      <c r="I2297" s="283"/>
      <c r="J2297" s="286"/>
      <c r="K2297" s="283"/>
    </row>
    <row r="2298" spans="1:11" ht="17.25" hidden="1">
      <c r="A2298" s="268"/>
      <c r="E2298" s="283"/>
      <c r="F2298" s="283"/>
      <c r="G2298" s="284"/>
      <c r="H2298" s="283"/>
      <c r="I2298" s="283"/>
      <c r="J2298" s="286"/>
      <c r="K2298" s="283"/>
    </row>
    <row r="2299" spans="1:11" ht="34.5" hidden="1">
      <c r="A2299" s="268"/>
      <c r="E2299" s="283"/>
      <c r="F2299" s="283"/>
      <c r="G2299" s="284"/>
      <c r="H2299" s="290" t="s">
        <v>3351</v>
      </c>
      <c r="I2299" s="283"/>
      <c r="J2299" s="286"/>
      <c r="K2299" s="283"/>
    </row>
    <row r="2300" spans="1:11" ht="17.25" hidden="1">
      <c r="A2300" s="268"/>
      <c r="E2300" s="283"/>
      <c r="F2300" s="283"/>
      <c r="G2300" s="284"/>
      <c r="H2300" s="283"/>
      <c r="I2300" s="283"/>
      <c r="J2300" s="286"/>
      <c r="K2300" s="283"/>
    </row>
    <row r="2301" spans="1:11" ht="17.25" hidden="1">
      <c r="A2301" s="268"/>
      <c r="E2301" s="283"/>
      <c r="F2301" s="283"/>
      <c r="G2301" s="284"/>
      <c r="H2301" s="283" t="s">
        <v>3352</v>
      </c>
      <c r="I2301" s="283"/>
      <c r="J2301" s="286"/>
      <c r="K2301" s="283"/>
    </row>
    <row r="2302" spans="1:11" ht="17.25" hidden="1">
      <c r="A2302" s="268"/>
      <c r="E2302" s="283"/>
      <c r="F2302" s="283"/>
      <c r="G2302" s="284"/>
      <c r="H2302" s="283" t="s">
        <v>3353</v>
      </c>
      <c r="I2302" s="283"/>
      <c r="J2302" s="286"/>
      <c r="K2302" s="283"/>
    </row>
    <row r="2303" spans="1:11" ht="17.25" hidden="1">
      <c r="A2303" s="268"/>
      <c r="E2303" s="283"/>
      <c r="F2303" s="283"/>
      <c r="G2303" s="284"/>
      <c r="H2303" s="283"/>
      <c r="I2303" s="283"/>
      <c r="J2303" s="286"/>
      <c r="K2303" s="283"/>
    </row>
    <row r="2304" spans="1:11" ht="17.25" hidden="1">
      <c r="A2304" s="268"/>
      <c r="E2304" s="283"/>
      <c r="F2304" s="283"/>
      <c r="G2304" s="284"/>
      <c r="H2304" s="283"/>
      <c r="I2304" s="283"/>
      <c r="J2304" s="286"/>
      <c r="K2304" s="283"/>
    </row>
    <row r="2305" spans="1:11" ht="17.25" hidden="1">
      <c r="A2305" s="268"/>
      <c r="E2305" s="283"/>
      <c r="F2305" s="283"/>
      <c r="G2305" s="284"/>
      <c r="H2305" s="283"/>
      <c r="I2305" s="283"/>
      <c r="J2305" s="286"/>
      <c r="K2305" s="283"/>
    </row>
    <row r="2306" spans="1:11" ht="17.25" hidden="1">
      <c r="A2306" s="268"/>
      <c r="E2306" s="283"/>
      <c r="F2306" s="283">
        <v>1.96</v>
      </c>
      <c r="G2306" s="284" t="s">
        <v>2070</v>
      </c>
      <c r="H2306" s="283" t="s">
        <v>3354</v>
      </c>
      <c r="I2306" s="283" t="e">
        <f>K1644</f>
        <v>#REF!</v>
      </c>
      <c r="J2306" s="286" t="s">
        <v>2070</v>
      </c>
      <c r="K2306" s="283" t="e">
        <f t="shared" ref="K2306:K2311" si="77">I2306*F2306</f>
        <v>#REF!</v>
      </c>
    </row>
    <row r="2307" spans="1:11" ht="17.25" hidden="1">
      <c r="A2307" s="268"/>
      <c r="E2307" s="283"/>
      <c r="F2307" s="283">
        <v>2</v>
      </c>
      <c r="G2307" s="284" t="s">
        <v>1337</v>
      </c>
      <c r="H2307" s="283" t="s">
        <v>3355</v>
      </c>
      <c r="I2307" s="283">
        <f>C10</f>
        <v>150</v>
      </c>
      <c r="J2307" s="286" t="s">
        <v>1337</v>
      </c>
      <c r="K2307" s="283">
        <f t="shared" si="77"/>
        <v>300</v>
      </c>
    </row>
    <row r="2308" spans="1:11" ht="17.25" hidden="1">
      <c r="A2308" s="268"/>
      <c r="E2308" s="283"/>
      <c r="F2308" s="283">
        <v>2</v>
      </c>
      <c r="G2308" s="284" t="s">
        <v>1337</v>
      </c>
      <c r="H2308" s="283" t="s">
        <v>3356</v>
      </c>
      <c r="I2308" s="283">
        <f>C13</f>
        <v>85</v>
      </c>
      <c r="J2308" s="286" t="s">
        <v>1337</v>
      </c>
      <c r="K2308" s="283">
        <f t="shared" si="77"/>
        <v>170</v>
      </c>
    </row>
    <row r="2309" spans="1:11" ht="17.25" hidden="1">
      <c r="A2309" s="268"/>
      <c r="E2309" s="283"/>
      <c r="F2309" s="283">
        <v>500</v>
      </c>
      <c r="G2309" s="284" t="s">
        <v>1337</v>
      </c>
      <c r="H2309" s="283" t="s">
        <v>3357</v>
      </c>
      <c r="I2309" s="283">
        <v>2</v>
      </c>
      <c r="J2309" s="286" t="s">
        <v>1337</v>
      </c>
      <c r="K2309" s="283">
        <f t="shared" si="77"/>
        <v>1000</v>
      </c>
    </row>
    <row r="2310" spans="1:11" ht="17.25" hidden="1">
      <c r="A2310" s="268"/>
      <c r="E2310" s="283"/>
      <c r="F2310" s="283">
        <v>8.5</v>
      </c>
      <c r="G2310" s="284" t="s">
        <v>2065</v>
      </c>
      <c r="H2310" s="283" t="s">
        <v>3358</v>
      </c>
      <c r="I2310" s="283">
        <v>25</v>
      </c>
      <c r="J2310" s="286" t="s">
        <v>2065</v>
      </c>
      <c r="K2310" s="283">
        <f t="shared" si="77"/>
        <v>212.5</v>
      </c>
    </row>
    <row r="2311" spans="1:11" ht="17.25" hidden="1">
      <c r="A2311" s="268"/>
      <c r="E2311" s="283"/>
      <c r="F2311" s="283">
        <v>0.28000000000000003</v>
      </c>
      <c r="G2311" s="284" t="s">
        <v>2199</v>
      </c>
      <c r="H2311" s="283" t="s">
        <v>3359</v>
      </c>
      <c r="I2311" s="283">
        <f>K2448</f>
        <v>168.13</v>
      </c>
      <c r="J2311" s="286" t="s">
        <v>2199</v>
      </c>
      <c r="K2311" s="283">
        <f t="shared" si="77"/>
        <v>47.08</v>
      </c>
    </row>
    <row r="2312" spans="1:11" ht="17.25" hidden="1">
      <c r="A2312" s="268"/>
      <c r="E2312" s="283"/>
      <c r="F2312" s="283"/>
      <c r="G2312" s="284"/>
      <c r="H2312" s="283"/>
      <c r="I2312" s="283"/>
      <c r="J2312" s="286"/>
      <c r="K2312" s="283" t="s">
        <v>3360</v>
      </c>
    </row>
    <row r="2313" spans="1:11" ht="17.25" hidden="1">
      <c r="A2313" s="268"/>
      <c r="E2313" s="283"/>
      <c r="F2313" s="283"/>
      <c r="G2313" s="284"/>
      <c r="H2313" s="283"/>
      <c r="I2313" s="283" t="s">
        <v>3361</v>
      </c>
      <c r="J2313" s="286">
        <v>39.200000000000003</v>
      </c>
      <c r="K2313" s="283" t="e">
        <f>SUM(K2306:K2312)</f>
        <v>#REF!</v>
      </c>
    </row>
    <row r="2314" spans="1:11" ht="17.25" hidden="1">
      <c r="A2314" s="268"/>
      <c r="E2314" s="283"/>
      <c r="F2314" s="283"/>
      <c r="G2314" s="284"/>
      <c r="H2314" s="283"/>
      <c r="I2314" s="283"/>
      <c r="J2314" s="286"/>
      <c r="K2314" s="283" t="s">
        <v>3362</v>
      </c>
    </row>
    <row r="2315" spans="1:11" ht="17.25" hidden="1">
      <c r="A2315" s="268"/>
      <c r="E2315" s="283"/>
      <c r="F2315" s="283"/>
      <c r="G2315" s="284"/>
      <c r="H2315" s="283"/>
      <c r="I2315" s="283"/>
      <c r="J2315" s="286"/>
      <c r="K2315" s="283"/>
    </row>
    <row r="2316" spans="1:11" ht="17.25" hidden="1">
      <c r="A2316" s="268"/>
      <c r="E2316" s="283"/>
      <c r="F2316" s="283"/>
      <c r="G2316" s="284"/>
      <c r="H2316" s="283"/>
      <c r="I2316" s="283" t="s">
        <v>3363</v>
      </c>
      <c r="J2316" s="286"/>
      <c r="K2316" s="294" t="e">
        <f>K2313/J2313</f>
        <v>#REF!</v>
      </c>
    </row>
    <row r="2317" spans="1:11" ht="17.25" hidden="1">
      <c r="A2317" s="268"/>
      <c r="E2317" s="283"/>
      <c r="F2317" s="283"/>
      <c r="G2317" s="284"/>
      <c r="H2317" s="283"/>
      <c r="I2317" s="283"/>
      <c r="J2317" s="286"/>
      <c r="K2317" s="293" t="s">
        <v>1980</v>
      </c>
    </row>
    <row r="2318" spans="1:11" ht="17.25" hidden="1">
      <c r="A2318" s="268"/>
      <c r="E2318" s="283"/>
      <c r="F2318" s="283"/>
      <c r="G2318" s="284"/>
      <c r="H2318" s="283"/>
      <c r="I2318" s="283"/>
      <c r="J2318" s="286"/>
      <c r="K2318" s="283"/>
    </row>
    <row r="2319" spans="1:11" ht="34.5" hidden="1">
      <c r="A2319" s="268"/>
      <c r="E2319" s="283"/>
      <c r="F2319" s="283"/>
      <c r="G2319" s="284"/>
      <c r="H2319" s="290" t="s">
        <v>3364</v>
      </c>
      <c r="I2319" s="283"/>
      <c r="J2319" s="286"/>
      <c r="K2319" s="283"/>
    </row>
    <row r="2320" spans="1:11" ht="17.25" hidden="1">
      <c r="A2320" s="268"/>
      <c r="E2320" s="283"/>
      <c r="F2320" s="283"/>
      <c r="G2320" s="284"/>
      <c r="H2320" s="283"/>
      <c r="I2320" s="283"/>
      <c r="J2320" s="286"/>
      <c r="K2320" s="283"/>
    </row>
    <row r="2321" spans="1:11" ht="17.25" hidden="1">
      <c r="A2321" s="268"/>
      <c r="E2321" s="283"/>
      <c r="F2321" s="283">
        <v>4</v>
      </c>
      <c r="G2321" s="284" t="s">
        <v>794</v>
      </c>
      <c r="H2321" s="283" t="s">
        <v>3394</v>
      </c>
      <c r="I2321" s="283">
        <v>110</v>
      </c>
      <c r="J2321" s="286" t="s">
        <v>794</v>
      </c>
      <c r="K2321" s="283">
        <f t="shared" ref="K2321:K2328" si="78">I2321*F2321</f>
        <v>440</v>
      </c>
    </row>
    <row r="2322" spans="1:11" ht="17.25" hidden="1">
      <c r="A2322" s="268"/>
      <c r="E2322" s="283"/>
      <c r="F2322" s="283">
        <v>2.52</v>
      </c>
      <c r="G2322" s="284" t="s">
        <v>1591</v>
      </c>
      <c r="H2322" s="283" t="s">
        <v>2708</v>
      </c>
      <c r="I2322" s="283">
        <v>30</v>
      </c>
      <c r="J2322" s="286" t="s">
        <v>1591</v>
      </c>
      <c r="K2322" s="283">
        <f t="shared" si="78"/>
        <v>75.599999999999994</v>
      </c>
    </row>
    <row r="2323" spans="1:11" ht="17.25" hidden="1">
      <c r="A2323" s="268"/>
      <c r="E2323" s="283"/>
      <c r="F2323" s="283">
        <v>1.1299999999999999</v>
      </c>
      <c r="G2323" s="284" t="s">
        <v>1591</v>
      </c>
      <c r="H2323" s="283" t="s">
        <v>2709</v>
      </c>
      <c r="I2323" s="283">
        <v>30</v>
      </c>
      <c r="J2323" s="286" t="s">
        <v>1591</v>
      </c>
      <c r="K2323" s="283">
        <f t="shared" si="78"/>
        <v>33.9</v>
      </c>
    </row>
    <row r="2324" spans="1:11" ht="17.25" hidden="1">
      <c r="A2324" s="268"/>
      <c r="E2324" s="283"/>
      <c r="F2324" s="283">
        <v>0.35</v>
      </c>
      <c r="G2324" s="284" t="s">
        <v>1591</v>
      </c>
      <c r="H2324" s="283" t="s">
        <v>2710</v>
      </c>
      <c r="I2324" s="283">
        <v>30</v>
      </c>
      <c r="J2324" s="286" t="s">
        <v>1591</v>
      </c>
      <c r="K2324" s="283">
        <f t="shared" si="78"/>
        <v>10.5</v>
      </c>
    </row>
    <row r="2325" spans="1:11" ht="17.25" hidden="1">
      <c r="A2325" s="268"/>
      <c r="E2325" s="283"/>
      <c r="F2325" s="283">
        <v>4</v>
      </c>
      <c r="G2325" s="284" t="s">
        <v>1591</v>
      </c>
      <c r="H2325" s="283" t="s">
        <v>104</v>
      </c>
      <c r="I2325" s="283">
        <v>12.25</v>
      </c>
      <c r="J2325" s="286" t="s">
        <v>1591</v>
      </c>
      <c r="K2325" s="283">
        <f t="shared" si="78"/>
        <v>49</v>
      </c>
    </row>
    <row r="2326" spans="1:11" ht="17.25" hidden="1">
      <c r="A2326" s="268"/>
      <c r="E2326" s="283"/>
      <c r="F2326" s="283">
        <v>6</v>
      </c>
      <c r="G2326" s="284" t="s">
        <v>1375</v>
      </c>
      <c r="H2326" s="283" t="s">
        <v>2711</v>
      </c>
      <c r="I2326" s="283">
        <v>1</v>
      </c>
      <c r="J2326" s="286" t="s">
        <v>1341</v>
      </c>
      <c r="K2326" s="283">
        <f t="shared" si="78"/>
        <v>6</v>
      </c>
    </row>
    <row r="2327" spans="1:11" ht="17.25" hidden="1">
      <c r="A2327" s="268"/>
      <c r="E2327" s="283"/>
      <c r="F2327" s="283">
        <v>0.5</v>
      </c>
      <c r="G2327" s="284" t="s">
        <v>1375</v>
      </c>
      <c r="H2327" s="283" t="s">
        <v>2712</v>
      </c>
      <c r="I2327" s="283">
        <f>C12</f>
        <v>95</v>
      </c>
      <c r="J2327" s="286" t="s">
        <v>1341</v>
      </c>
      <c r="K2327" s="283">
        <f t="shared" si="78"/>
        <v>47.5</v>
      </c>
    </row>
    <row r="2328" spans="1:11" ht="17.25" hidden="1">
      <c r="A2328" s="268"/>
      <c r="E2328" s="283"/>
      <c r="F2328" s="283">
        <v>0.5</v>
      </c>
      <c r="G2328" s="284" t="s">
        <v>1375</v>
      </c>
      <c r="H2328" s="283" t="s">
        <v>2713</v>
      </c>
      <c r="I2328" s="283">
        <f>C13</f>
        <v>85</v>
      </c>
      <c r="J2328" s="286" t="s">
        <v>1341</v>
      </c>
      <c r="K2328" s="283">
        <f t="shared" si="78"/>
        <v>42.5</v>
      </c>
    </row>
    <row r="2329" spans="1:11" ht="17.25" hidden="1">
      <c r="A2329" s="268"/>
      <c r="E2329" s="283"/>
      <c r="F2329" s="288" t="s">
        <v>419</v>
      </c>
      <c r="G2329" s="284"/>
      <c r="H2329" s="283" t="s">
        <v>2714</v>
      </c>
      <c r="I2329" s="283"/>
      <c r="J2329" s="286" t="s">
        <v>419</v>
      </c>
      <c r="K2329" s="283">
        <v>19.22</v>
      </c>
    </row>
    <row r="2330" spans="1:11" ht="17.25" hidden="1">
      <c r="A2330" s="268"/>
      <c r="E2330" s="283"/>
      <c r="F2330" s="283"/>
      <c r="G2330" s="284"/>
      <c r="H2330" s="283"/>
      <c r="I2330" s="283"/>
      <c r="J2330" s="286"/>
      <c r="K2330" s="283"/>
    </row>
    <row r="2331" spans="1:11" ht="17.25" hidden="1">
      <c r="A2331" s="268"/>
      <c r="E2331" s="283"/>
      <c r="F2331" s="283"/>
      <c r="G2331" s="284"/>
      <c r="H2331" s="283"/>
      <c r="I2331" s="283"/>
      <c r="J2331" s="286"/>
      <c r="K2331" s="283" t="s">
        <v>2715</v>
      </c>
    </row>
    <row r="2332" spans="1:11" ht="17.25" hidden="1">
      <c r="A2332" s="268"/>
      <c r="E2332" s="283"/>
      <c r="F2332" s="283"/>
      <c r="G2332" s="284"/>
      <c r="H2332" s="283"/>
      <c r="I2332" s="283" t="s">
        <v>2716</v>
      </c>
      <c r="J2332" s="286" t="s">
        <v>2717</v>
      </c>
      <c r="K2332" s="283">
        <f>SUM(K2321:K2331)</f>
        <v>724.22</v>
      </c>
    </row>
    <row r="2333" spans="1:11" ht="17.25" hidden="1">
      <c r="A2333" s="268"/>
      <c r="E2333" s="283"/>
      <c r="F2333" s="283"/>
      <c r="G2333" s="284"/>
      <c r="H2333" s="283"/>
      <c r="I2333" s="283">
        <v>2</v>
      </c>
      <c r="J2333" s="295" t="s">
        <v>1375</v>
      </c>
      <c r="K2333" s="283" t="s">
        <v>3362</v>
      </c>
    </row>
    <row r="2334" spans="1:11" ht="17.25" hidden="1">
      <c r="A2334" s="268"/>
      <c r="E2334" s="283"/>
      <c r="F2334" s="283"/>
      <c r="G2334" s="284"/>
      <c r="H2334" s="283"/>
      <c r="I2334" s="290"/>
      <c r="J2334" s="286"/>
      <c r="K2334" s="283"/>
    </row>
    <row r="2335" spans="1:11" ht="17.25" hidden="1">
      <c r="A2335" s="268"/>
      <c r="E2335" s="283"/>
      <c r="F2335" s="283"/>
      <c r="G2335" s="284"/>
      <c r="H2335" s="283"/>
      <c r="I2335" s="283"/>
      <c r="J2335" s="286"/>
      <c r="K2335" s="283"/>
    </row>
    <row r="2336" spans="1:11" ht="17.25" hidden="1">
      <c r="A2336" s="268"/>
      <c r="E2336" s="283"/>
      <c r="F2336" s="283"/>
      <c r="G2336" s="284"/>
      <c r="H2336" s="283"/>
      <c r="I2336" s="283" t="s">
        <v>2718</v>
      </c>
      <c r="J2336" s="286"/>
      <c r="K2336" s="294">
        <f>K2332/I2333</f>
        <v>362.11</v>
      </c>
    </row>
    <row r="2337" spans="1:12" ht="17.25" hidden="1">
      <c r="A2337" s="268"/>
      <c r="E2337" s="283"/>
      <c r="F2337" s="283"/>
      <c r="G2337" s="284"/>
      <c r="H2337" s="283"/>
      <c r="I2337" s="283"/>
      <c r="J2337" s="286"/>
      <c r="K2337" s="293" t="s">
        <v>1980</v>
      </c>
    </row>
    <row r="2338" spans="1:12" ht="17.25" hidden="1">
      <c r="A2338" s="268"/>
      <c r="E2338" s="283"/>
      <c r="F2338" s="283"/>
      <c r="G2338" s="284"/>
      <c r="H2338" s="283"/>
      <c r="I2338" s="283"/>
      <c r="J2338" s="286"/>
      <c r="K2338" s="283"/>
    </row>
    <row r="2339" spans="1:12" ht="19.5" hidden="1">
      <c r="A2339" s="268"/>
      <c r="E2339" s="283"/>
      <c r="F2339" s="296"/>
      <c r="G2339" s="296"/>
      <c r="H2339" s="296"/>
      <c r="I2339" s="296"/>
      <c r="J2339" s="296"/>
      <c r="K2339" s="296"/>
      <c r="L2339" s="297"/>
    </row>
    <row r="2340" spans="1:12" ht="17.25" hidden="1">
      <c r="A2340" s="268"/>
      <c r="E2340" s="283"/>
      <c r="F2340" s="283"/>
      <c r="G2340" s="283"/>
      <c r="H2340" s="283"/>
      <c r="I2340" s="283"/>
      <c r="J2340" s="283"/>
      <c r="K2340" s="283"/>
    </row>
    <row r="2341" spans="1:12" ht="18" hidden="1">
      <c r="A2341" s="268"/>
      <c r="E2341" s="1479" t="s">
        <v>2719</v>
      </c>
      <c r="F2341" s="1479"/>
      <c r="G2341" s="1479"/>
      <c r="H2341" s="1479"/>
      <c r="I2341" s="1479"/>
      <c r="J2341" s="1479"/>
      <c r="K2341" s="1479"/>
      <c r="L2341" s="298"/>
    </row>
    <row r="2342" spans="1:12" ht="18" hidden="1">
      <c r="A2342" s="268"/>
      <c r="E2342" s="144"/>
      <c r="F2342" s="144"/>
      <c r="G2342" s="144"/>
      <c r="H2342" s="144"/>
      <c r="I2342" s="144"/>
      <c r="J2342" s="144"/>
      <c r="K2342" s="144"/>
      <c r="L2342" s="299"/>
    </row>
    <row r="2343" spans="1:12" ht="18" hidden="1">
      <c r="A2343" s="268"/>
      <c r="E2343" s="300"/>
      <c r="F2343" s="298" t="s">
        <v>1007</v>
      </c>
      <c r="G2343" s="297"/>
      <c r="H2343" s="301" t="s">
        <v>1720</v>
      </c>
      <c r="I2343" s="298" t="s">
        <v>95</v>
      </c>
      <c r="J2343" s="301" t="s">
        <v>2720</v>
      </c>
      <c r="K2343" s="298" t="s">
        <v>939</v>
      </c>
      <c r="L2343" s="302"/>
    </row>
    <row r="2344" spans="1:12" ht="18" hidden="1">
      <c r="A2344" s="268"/>
      <c r="E2344" s="303">
        <v>18.100000000000001</v>
      </c>
      <c r="F2344" s="304" t="s">
        <v>2721</v>
      </c>
      <c r="G2344" s="144"/>
      <c r="H2344" s="305" t="s">
        <v>2341</v>
      </c>
      <c r="I2344" s="299"/>
      <c r="J2344" s="299"/>
      <c r="K2344" s="299"/>
      <c r="L2344" s="302"/>
    </row>
    <row r="2345" spans="1:12" ht="18" hidden="1">
      <c r="A2345" s="268"/>
      <c r="E2345" s="300"/>
      <c r="F2345" s="302"/>
      <c r="G2345" s="300"/>
      <c r="H2345" s="306" t="s">
        <v>2722</v>
      </c>
      <c r="I2345" s="302"/>
      <c r="J2345" s="300"/>
      <c r="K2345" s="302"/>
      <c r="L2345" s="302"/>
    </row>
    <row r="2346" spans="1:12" ht="21" hidden="1">
      <c r="A2346" s="268"/>
      <c r="E2346" s="300"/>
      <c r="F2346" s="302"/>
      <c r="G2346" s="300"/>
      <c r="H2346" s="306" t="s">
        <v>2342</v>
      </c>
      <c r="I2346" s="302"/>
      <c r="J2346" s="300"/>
      <c r="K2346" s="302"/>
      <c r="L2346" s="302"/>
    </row>
    <row r="2347" spans="1:12" ht="21" hidden="1">
      <c r="A2347" s="268"/>
      <c r="E2347" s="300"/>
      <c r="F2347" s="302"/>
      <c r="G2347" s="300"/>
      <c r="H2347" s="306" t="s">
        <v>2343</v>
      </c>
      <c r="I2347" s="302"/>
      <c r="J2347" s="300"/>
      <c r="K2347" s="302"/>
      <c r="L2347" s="302"/>
    </row>
    <row r="2348" spans="1:12" ht="18" hidden="1">
      <c r="A2348" s="268"/>
      <c r="E2348" s="300"/>
      <c r="F2348" s="302"/>
      <c r="G2348" s="300"/>
      <c r="H2348" s="306" t="s">
        <v>2723</v>
      </c>
      <c r="I2348" s="302"/>
      <c r="J2348" s="300"/>
      <c r="K2348" s="302"/>
      <c r="L2348" s="302"/>
    </row>
    <row r="2349" spans="1:12" ht="39" hidden="1">
      <c r="A2349" s="268"/>
      <c r="E2349" s="300"/>
      <c r="F2349" s="302"/>
      <c r="G2349" s="300"/>
      <c r="H2349" s="306" t="s">
        <v>2344</v>
      </c>
      <c r="I2349" s="302"/>
      <c r="J2349" s="300"/>
      <c r="K2349" s="302"/>
      <c r="L2349" s="302"/>
    </row>
    <row r="2350" spans="1:12" ht="72" hidden="1">
      <c r="A2350" s="268"/>
      <c r="E2350" s="300"/>
      <c r="F2350" s="302"/>
      <c r="G2350" s="300"/>
      <c r="H2350" s="306" t="s">
        <v>2724</v>
      </c>
      <c r="I2350" s="302"/>
      <c r="J2350" s="300"/>
      <c r="K2350" s="302"/>
      <c r="L2350" s="302"/>
    </row>
    <row r="2351" spans="1:12" ht="36" hidden="1">
      <c r="A2351" s="268"/>
      <c r="E2351" s="300"/>
      <c r="F2351" s="302"/>
      <c r="G2351" s="300"/>
      <c r="H2351" s="306" t="s">
        <v>2725</v>
      </c>
      <c r="I2351" s="302"/>
      <c r="J2351" s="300"/>
      <c r="K2351" s="302"/>
      <c r="L2351" s="302"/>
    </row>
    <row r="2352" spans="1:12" ht="39" hidden="1">
      <c r="A2352" s="268"/>
      <c r="E2352" s="300"/>
      <c r="F2352" s="302"/>
      <c r="G2352" s="300"/>
      <c r="H2352" s="306" t="s">
        <v>2345</v>
      </c>
      <c r="I2352" s="302"/>
      <c r="J2352" s="300"/>
      <c r="K2352" s="302"/>
      <c r="L2352" s="302"/>
    </row>
    <row r="2353" spans="1:12" ht="18" hidden="1">
      <c r="A2353" s="268"/>
      <c r="E2353" s="300"/>
      <c r="F2353" s="302"/>
      <c r="G2353" s="300"/>
      <c r="H2353" s="300"/>
      <c r="I2353" s="302"/>
      <c r="J2353" s="300"/>
      <c r="K2353" s="302"/>
      <c r="L2353" s="302"/>
    </row>
    <row r="2354" spans="1:12" ht="21" hidden="1">
      <c r="A2354" s="268"/>
      <c r="E2354" s="300"/>
      <c r="F2354" s="307">
        <v>62</v>
      </c>
      <c r="G2354" s="308" t="s">
        <v>2346</v>
      </c>
      <c r="H2354" s="309" t="s">
        <v>3139</v>
      </c>
      <c r="I2354" s="307">
        <f>K2378</f>
        <v>217.41</v>
      </c>
      <c r="J2354" s="308" t="s">
        <v>2346</v>
      </c>
      <c r="K2354" s="302">
        <f>I2354*F2354</f>
        <v>13479.42</v>
      </c>
      <c r="L2354" s="302"/>
    </row>
    <row r="2355" spans="1:12" ht="21" hidden="1">
      <c r="A2355" s="268"/>
      <c r="E2355" s="300"/>
      <c r="F2355" s="307">
        <v>121.64</v>
      </c>
      <c r="G2355" s="308" t="s">
        <v>2346</v>
      </c>
      <c r="H2355" s="309" t="s">
        <v>3140</v>
      </c>
      <c r="I2355" s="307">
        <f>I2383</f>
        <v>168.13</v>
      </c>
      <c r="J2355" s="308" t="s">
        <v>2347</v>
      </c>
      <c r="K2355" s="302">
        <f>I2355*F2355</f>
        <v>20451.330000000002</v>
      </c>
      <c r="L2355" s="310"/>
    </row>
    <row r="2356" spans="1:12" ht="21" hidden="1">
      <c r="A2356" s="268"/>
      <c r="E2356" s="300"/>
      <c r="F2356" s="302"/>
      <c r="G2356" s="300"/>
      <c r="H2356" s="309" t="s">
        <v>2654</v>
      </c>
      <c r="I2356" s="302"/>
      <c r="J2356" s="300"/>
      <c r="K2356" s="302">
        <f>SUM(K2354:K2355)</f>
        <v>33930.75</v>
      </c>
      <c r="L2356" s="311"/>
    </row>
    <row r="2357" spans="1:12" ht="21" hidden="1">
      <c r="A2357" s="268"/>
      <c r="E2357" s="300"/>
      <c r="F2357" s="302"/>
      <c r="G2357" s="300"/>
      <c r="H2357" s="309" t="s">
        <v>2655</v>
      </c>
      <c r="I2357" s="302"/>
      <c r="J2357" s="300"/>
      <c r="K2357" s="310">
        <f>K2356/F2354</f>
        <v>547.27</v>
      </c>
      <c r="L2357" s="302"/>
    </row>
    <row r="2358" spans="1:12" ht="18" hidden="1">
      <c r="A2358" s="268"/>
      <c r="E2358" s="300"/>
      <c r="F2358" s="302"/>
      <c r="G2358" s="300"/>
      <c r="H2358" s="308"/>
      <c r="I2358" s="302"/>
      <c r="J2358" s="300"/>
      <c r="K2358" s="311"/>
      <c r="L2358" s="302"/>
    </row>
    <row r="2359" spans="1:12" ht="36" hidden="1">
      <c r="A2359" s="268"/>
      <c r="E2359" s="312">
        <v>18.100000000000001</v>
      </c>
      <c r="F2359" s="304" t="s">
        <v>3141</v>
      </c>
      <c r="G2359" s="300"/>
      <c r="H2359" s="313" t="s">
        <v>2670</v>
      </c>
      <c r="I2359" s="302"/>
      <c r="J2359" s="300"/>
      <c r="K2359" s="302"/>
      <c r="L2359" s="302"/>
    </row>
    <row r="2360" spans="1:12" ht="18" hidden="1">
      <c r="A2360" s="268"/>
      <c r="E2360" s="300"/>
      <c r="F2360" s="302"/>
      <c r="G2360" s="300"/>
      <c r="H2360" s="300"/>
      <c r="I2360" s="302"/>
      <c r="J2360" s="300"/>
      <c r="K2360" s="302"/>
      <c r="L2360" s="302"/>
    </row>
    <row r="2361" spans="1:12" ht="18" hidden="1">
      <c r="A2361" s="268"/>
      <c r="E2361" s="300"/>
      <c r="F2361" s="307">
        <v>13.46</v>
      </c>
      <c r="G2361" s="308" t="s">
        <v>1591</v>
      </c>
      <c r="H2361" s="306" t="s">
        <v>2671</v>
      </c>
      <c r="I2361" s="307">
        <f>I706</f>
        <v>30</v>
      </c>
      <c r="J2361" s="308" t="s">
        <v>1591</v>
      </c>
      <c r="K2361" s="302">
        <f>I2361*F2361</f>
        <v>403.8</v>
      </c>
      <c r="L2361" s="302"/>
    </row>
    <row r="2362" spans="1:12" ht="18" hidden="1">
      <c r="A2362" s="268"/>
      <c r="E2362" s="300"/>
      <c r="F2362" s="307">
        <v>4</v>
      </c>
      <c r="G2362" s="308" t="s">
        <v>1591</v>
      </c>
      <c r="H2362" s="306" t="s">
        <v>2672</v>
      </c>
      <c r="I2362" s="307">
        <f>I708</f>
        <v>30</v>
      </c>
      <c r="J2362" s="308" t="s">
        <v>1591</v>
      </c>
      <c r="K2362" s="302">
        <f>I2362*F2362</f>
        <v>120</v>
      </c>
      <c r="L2362" s="314"/>
    </row>
    <row r="2363" spans="1:12" ht="36" hidden="1">
      <c r="A2363" s="268"/>
      <c r="E2363" s="300"/>
      <c r="F2363" s="307">
        <v>1</v>
      </c>
      <c r="G2363" s="308" t="s">
        <v>2673</v>
      </c>
      <c r="H2363" s="306" t="s">
        <v>3386</v>
      </c>
      <c r="I2363" s="307">
        <v>40</v>
      </c>
      <c r="J2363" s="308" t="s">
        <v>419</v>
      </c>
      <c r="K2363" s="302">
        <f>I2363*F2363</f>
        <v>40</v>
      </c>
      <c r="L2363" s="302"/>
    </row>
    <row r="2364" spans="1:12" ht="18" hidden="1">
      <c r="A2364" s="268"/>
      <c r="E2364" s="300"/>
      <c r="F2364" s="302"/>
      <c r="G2364" s="300"/>
      <c r="H2364" s="315" t="s">
        <v>3387</v>
      </c>
      <c r="I2364" s="302"/>
      <c r="J2364" s="300"/>
      <c r="K2364" s="314">
        <f>SUM(K2361:K2363)</f>
        <v>563.79999999999995</v>
      </c>
      <c r="L2364" s="302"/>
    </row>
    <row r="2365" spans="1:12" ht="18" hidden="1">
      <c r="A2365" s="268"/>
      <c r="E2365" s="300"/>
      <c r="F2365" s="302"/>
      <c r="G2365" s="300"/>
      <c r="H2365" s="315" t="s">
        <v>3388</v>
      </c>
      <c r="I2365" s="311">
        <f>K2364/40</f>
        <v>14.1</v>
      </c>
      <c r="J2365" s="300"/>
      <c r="K2365" s="302"/>
      <c r="L2365" s="302"/>
    </row>
    <row r="2366" spans="1:12" ht="18" hidden="1">
      <c r="A2366" s="268"/>
      <c r="E2366" s="300"/>
      <c r="F2366" s="302"/>
      <c r="G2366" s="300"/>
      <c r="H2366" s="300"/>
      <c r="I2366" s="302"/>
      <c r="J2366" s="300"/>
      <c r="K2366" s="302"/>
      <c r="L2366" s="302"/>
    </row>
    <row r="2367" spans="1:12" ht="18" hidden="1">
      <c r="A2367" s="268"/>
      <c r="E2367" s="300"/>
      <c r="F2367" s="307">
        <v>19</v>
      </c>
      <c r="G2367" s="308" t="s">
        <v>1337</v>
      </c>
      <c r="H2367" s="300" t="s">
        <v>3389</v>
      </c>
      <c r="I2367" s="307">
        <f>I2365</f>
        <v>14.1</v>
      </c>
      <c r="J2367" s="308" t="s">
        <v>1703</v>
      </c>
      <c r="K2367" s="302">
        <f>I2367*F2367</f>
        <v>267.89999999999998</v>
      </c>
      <c r="L2367" s="302"/>
    </row>
    <row r="2368" spans="1:12" ht="18" hidden="1">
      <c r="A2368" s="268"/>
      <c r="E2368" s="300"/>
      <c r="F2368" s="307">
        <v>0.12</v>
      </c>
      <c r="G2368" s="308" t="s">
        <v>342</v>
      </c>
      <c r="H2368" s="300" t="s">
        <v>3390</v>
      </c>
      <c r="I2368" s="307">
        <f>C268/5</f>
        <v>1879</v>
      </c>
      <c r="J2368" s="308" t="s">
        <v>342</v>
      </c>
      <c r="K2368" s="302">
        <f>I2368*F2368</f>
        <v>225.48</v>
      </c>
      <c r="L2368" s="302"/>
    </row>
    <row r="2369" spans="1:12" ht="18" hidden="1">
      <c r="A2369" s="268"/>
      <c r="E2369" s="300"/>
      <c r="F2369" s="307">
        <v>98.5</v>
      </c>
      <c r="G2369" s="308" t="s">
        <v>3391</v>
      </c>
      <c r="H2369" s="300" t="s">
        <v>2528</v>
      </c>
      <c r="I2369" s="307">
        <f>C269/5</f>
        <v>3</v>
      </c>
      <c r="J2369" s="308" t="s">
        <v>3391</v>
      </c>
      <c r="K2369" s="302">
        <f>I2369*F2369</f>
        <v>295.5</v>
      </c>
      <c r="L2369" s="316"/>
    </row>
    <row r="2370" spans="1:12" ht="18" hidden="1">
      <c r="A2370" s="268"/>
      <c r="E2370" s="300"/>
      <c r="F2370" s="1480" t="s">
        <v>419</v>
      </c>
      <c r="G2370" s="1480"/>
      <c r="H2370" s="300" t="s">
        <v>2529</v>
      </c>
      <c r="I2370" s="307">
        <v>11</v>
      </c>
      <c r="J2370" s="308" t="s">
        <v>419</v>
      </c>
      <c r="K2370" s="302">
        <f>I2370</f>
        <v>11</v>
      </c>
      <c r="L2370" s="316"/>
    </row>
    <row r="2371" spans="1:12" ht="21" hidden="1">
      <c r="A2371" s="268"/>
      <c r="E2371" s="300"/>
      <c r="F2371" s="307">
        <v>3.8</v>
      </c>
      <c r="G2371" s="308" t="s">
        <v>1337</v>
      </c>
      <c r="H2371" s="300" t="s">
        <v>2656</v>
      </c>
      <c r="I2371" s="307">
        <f>C16</f>
        <v>150</v>
      </c>
      <c r="J2371" s="308" t="s">
        <v>1337</v>
      </c>
      <c r="K2371" s="316">
        <f>I2371*F2371</f>
        <v>570</v>
      </c>
      <c r="L2371" s="316"/>
    </row>
    <row r="2372" spans="1:12" ht="21" hidden="1">
      <c r="A2372" s="268"/>
      <c r="E2372" s="300"/>
      <c r="F2372" s="307">
        <v>5.4</v>
      </c>
      <c r="G2372" s="308" t="s">
        <v>1337</v>
      </c>
      <c r="H2372" s="300" t="s">
        <v>2657</v>
      </c>
      <c r="I2372" s="307">
        <f>C12</f>
        <v>95</v>
      </c>
      <c r="J2372" s="308" t="s">
        <v>1337</v>
      </c>
      <c r="K2372" s="316">
        <f>I2372*F2372</f>
        <v>513</v>
      </c>
      <c r="L2372" s="302"/>
    </row>
    <row r="2373" spans="1:12" ht="21" hidden="1">
      <c r="A2373" s="268"/>
      <c r="E2373" s="300"/>
      <c r="F2373" s="307">
        <v>1</v>
      </c>
      <c r="G2373" s="308" t="s">
        <v>1337</v>
      </c>
      <c r="H2373" s="300" t="s">
        <v>2658</v>
      </c>
      <c r="I2373" s="307">
        <f>D17</f>
        <v>120</v>
      </c>
      <c r="J2373" s="308" t="s">
        <v>1337</v>
      </c>
      <c r="K2373" s="316">
        <f>I2373*F2373</f>
        <v>120</v>
      </c>
      <c r="L2373" s="317"/>
    </row>
    <row r="2374" spans="1:12" ht="18" hidden="1">
      <c r="A2374" s="268"/>
      <c r="E2374" s="300"/>
      <c r="F2374" s="1480" t="s">
        <v>419</v>
      </c>
      <c r="G2374" s="1480"/>
      <c r="H2374" s="300" t="s">
        <v>2530</v>
      </c>
      <c r="I2374" s="1480" t="s">
        <v>419</v>
      </c>
      <c r="J2374" s="1480"/>
      <c r="K2374" s="302">
        <v>10</v>
      </c>
      <c r="L2374" s="311"/>
    </row>
    <row r="2375" spans="1:12" ht="18" hidden="1">
      <c r="A2375" s="268"/>
      <c r="E2375" s="300"/>
      <c r="F2375" s="307">
        <v>19</v>
      </c>
      <c r="G2375" s="308" t="s">
        <v>1703</v>
      </c>
      <c r="H2375" s="300" t="s">
        <v>2531</v>
      </c>
      <c r="I2375" s="307">
        <v>2</v>
      </c>
      <c r="J2375" s="308" t="s">
        <v>419</v>
      </c>
      <c r="K2375" s="317">
        <f>I2375*F2375</f>
        <v>38</v>
      </c>
      <c r="L2375" s="302"/>
    </row>
    <row r="2376" spans="1:12" ht="18" hidden="1">
      <c r="A2376" s="268"/>
      <c r="E2376" s="300"/>
      <c r="F2376" s="302"/>
      <c r="G2376" s="300"/>
      <c r="H2376" s="300"/>
      <c r="I2376" s="302"/>
      <c r="J2376" s="300"/>
      <c r="K2376" s="311">
        <f>SUM(K2367:K2375)</f>
        <v>2050.88</v>
      </c>
      <c r="L2376" s="311"/>
    </row>
    <row r="2377" spans="1:12" ht="21" hidden="1">
      <c r="A2377" s="268"/>
      <c r="E2377" s="300"/>
      <c r="F2377" s="302"/>
      <c r="G2377" s="300"/>
      <c r="H2377" s="315" t="s">
        <v>2659</v>
      </c>
      <c r="I2377" s="311">
        <f>K2376/10</f>
        <v>205.09</v>
      </c>
      <c r="J2377" s="300"/>
      <c r="K2377" s="302"/>
      <c r="L2377" s="302"/>
    </row>
    <row r="2378" spans="1:12" ht="18" hidden="1">
      <c r="A2378" s="268"/>
      <c r="E2378" s="300"/>
      <c r="F2378" s="302"/>
      <c r="G2378" s="300"/>
      <c r="H2378" s="301" t="s">
        <v>2532</v>
      </c>
      <c r="I2378" s="311">
        <f>I2377</f>
        <v>205.09</v>
      </c>
      <c r="J2378" s="318">
        <f>I2393</f>
        <v>12.32</v>
      </c>
      <c r="K2378" s="311">
        <f>I2378+J2378</f>
        <v>217.41</v>
      </c>
      <c r="L2378" s="302"/>
    </row>
    <row r="2379" spans="1:12" ht="36" hidden="1">
      <c r="A2379" s="268"/>
      <c r="E2379" s="312">
        <v>18.100000000000001</v>
      </c>
      <c r="F2379" s="304" t="s">
        <v>2533</v>
      </c>
      <c r="G2379" s="300"/>
      <c r="H2379" s="319" t="s">
        <v>3318</v>
      </c>
      <c r="I2379" s="302"/>
      <c r="J2379" s="300"/>
      <c r="K2379" s="302"/>
      <c r="L2379" s="302"/>
    </row>
    <row r="2380" spans="1:12" ht="18" hidden="1">
      <c r="A2380" s="268"/>
      <c r="E2380" s="300"/>
      <c r="F2380" s="302"/>
      <c r="G2380" s="300"/>
      <c r="H2380" s="300" t="s">
        <v>3319</v>
      </c>
      <c r="I2380" s="307">
        <f>K2376</f>
        <v>2050.88</v>
      </c>
      <c r="J2380" s="300"/>
      <c r="K2380" s="302"/>
      <c r="L2380" s="302"/>
    </row>
    <row r="2381" spans="1:12" ht="18" hidden="1">
      <c r="A2381" s="268"/>
      <c r="E2381" s="300"/>
      <c r="F2381" s="302"/>
      <c r="G2381" s="300"/>
      <c r="H2381" s="300" t="s">
        <v>2528</v>
      </c>
      <c r="I2381" s="307">
        <f>K2391</f>
        <v>369.6</v>
      </c>
      <c r="J2381" s="312" t="s">
        <v>3320</v>
      </c>
      <c r="K2381" s="302"/>
      <c r="L2381" s="302"/>
    </row>
    <row r="2382" spans="1:12" ht="18" hidden="1">
      <c r="A2382" s="268"/>
      <c r="E2382" s="300"/>
      <c r="F2382" s="302"/>
      <c r="G2382" s="300"/>
      <c r="H2382" s="300"/>
      <c r="I2382" s="304">
        <f>I2380-I2381</f>
        <v>1681.28</v>
      </c>
      <c r="J2382" s="300"/>
      <c r="K2382" s="302"/>
      <c r="L2382" s="302"/>
    </row>
    <row r="2383" spans="1:12" ht="21" hidden="1">
      <c r="A2383" s="268"/>
      <c r="E2383" s="300"/>
      <c r="F2383" s="302"/>
      <c r="G2383" s="300"/>
      <c r="H2383" s="315" t="s">
        <v>2659</v>
      </c>
      <c r="I2383" s="304">
        <f>I2382/10</f>
        <v>168.13</v>
      </c>
      <c r="J2383" s="300"/>
      <c r="K2383" s="302"/>
      <c r="L2383" s="302"/>
    </row>
    <row r="2384" spans="1:12" ht="18" hidden="1">
      <c r="A2384" s="268"/>
      <c r="E2384" s="300"/>
      <c r="F2384" s="302"/>
      <c r="G2384" s="300"/>
      <c r="H2384" s="300"/>
      <c r="I2384" s="302"/>
      <c r="J2384" s="300"/>
      <c r="K2384" s="302"/>
      <c r="L2384" s="302"/>
    </row>
    <row r="2385" spans="1:12" ht="18" hidden="1">
      <c r="A2385" s="268"/>
      <c r="E2385" s="300"/>
      <c r="F2385" s="302"/>
      <c r="G2385" s="300"/>
      <c r="H2385" s="312" t="s">
        <v>3321</v>
      </c>
      <c r="I2385" s="302"/>
      <c r="J2385" s="300"/>
      <c r="K2385" s="302"/>
      <c r="L2385" s="307"/>
    </row>
    <row r="2386" spans="1:12" ht="36" hidden="1">
      <c r="A2386" s="268"/>
      <c r="E2386" s="300"/>
      <c r="F2386" s="302"/>
      <c r="G2386" s="300"/>
      <c r="H2386" s="319" t="s">
        <v>2275</v>
      </c>
      <c r="I2386" s="302"/>
      <c r="J2386" s="300"/>
      <c r="K2386" s="302"/>
      <c r="L2386" s="307"/>
    </row>
    <row r="2387" spans="1:12" ht="36" hidden="1">
      <c r="A2387" s="268"/>
      <c r="E2387" s="300"/>
      <c r="F2387" s="307">
        <v>98.5</v>
      </c>
      <c r="G2387" s="308" t="s">
        <v>3391</v>
      </c>
      <c r="H2387" s="320" t="s">
        <v>2276</v>
      </c>
      <c r="I2387" s="307">
        <f>I2369</f>
        <v>3</v>
      </c>
      <c r="J2387" s="308" t="s">
        <v>3391</v>
      </c>
      <c r="K2387" s="307">
        <f>I2387*F2387</f>
        <v>295.5</v>
      </c>
      <c r="L2387" s="307"/>
    </row>
    <row r="2388" spans="1:12" ht="21" hidden="1">
      <c r="A2388" s="268"/>
      <c r="E2388" s="300"/>
      <c r="F2388" s="307">
        <v>0.3</v>
      </c>
      <c r="G2388" s="308" t="s">
        <v>1703</v>
      </c>
      <c r="H2388" s="320" t="s">
        <v>2660</v>
      </c>
      <c r="I2388" s="307">
        <f>I2371</f>
        <v>150</v>
      </c>
      <c r="J2388" s="308" t="s">
        <v>1703</v>
      </c>
      <c r="K2388" s="307">
        <f>I2388*F2388</f>
        <v>45</v>
      </c>
      <c r="L2388" s="307"/>
    </row>
    <row r="2389" spans="1:12" ht="21" hidden="1">
      <c r="A2389" s="268"/>
      <c r="E2389" s="300"/>
      <c r="F2389" s="307">
        <v>0.3</v>
      </c>
      <c r="G2389" s="308" t="s">
        <v>1703</v>
      </c>
      <c r="H2389" s="320" t="s">
        <v>2661</v>
      </c>
      <c r="I2389" s="307">
        <f>I2372</f>
        <v>95</v>
      </c>
      <c r="J2389" s="308" t="s">
        <v>1703</v>
      </c>
      <c r="K2389" s="307">
        <f>I2389*F2389</f>
        <v>28.5</v>
      </c>
      <c r="L2389" s="304"/>
    </row>
    <row r="2390" spans="1:12" ht="18" hidden="1">
      <c r="A2390" s="268"/>
      <c r="E2390" s="300"/>
      <c r="F2390" s="302"/>
      <c r="G2390" s="300"/>
      <c r="H2390" s="321" t="s">
        <v>2277</v>
      </c>
      <c r="I2390" s="1481" t="s">
        <v>419</v>
      </c>
      <c r="J2390" s="1481"/>
      <c r="K2390" s="307">
        <v>0.6</v>
      </c>
      <c r="L2390" s="302"/>
    </row>
    <row r="2391" spans="1:12" ht="21" hidden="1">
      <c r="A2391" s="268"/>
      <c r="E2391" s="300"/>
      <c r="F2391" s="302"/>
      <c r="G2391" s="300"/>
      <c r="H2391" s="321" t="s">
        <v>2662</v>
      </c>
      <c r="I2391" s="302"/>
      <c r="J2391" s="300"/>
      <c r="K2391" s="304">
        <f>SUM(K2387:K2390)</f>
        <v>369.6</v>
      </c>
      <c r="L2391" s="302"/>
    </row>
    <row r="2392" spans="1:12" ht="21" hidden="1">
      <c r="A2392" s="268"/>
      <c r="E2392" s="300"/>
      <c r="F2392" s="302"/>
      <c r="G2392" s="300"/>
      <c r="H2392" s="321" t="s">
        <v>2663</v>
      </c>
      <c r="I2392" s="311">
        <f>K2391/10</f>
        <v>36.96</v>
      </c>
      <c r="J2392" s="300"/>
      <c r="K2392" s="302"/>
      <c r="L2392" s="302"/>
    </row>
    <row r="2393" spans="1:12" ht="18" hidden="1">
      <c r="A2393" s="268"/>
      <c r="E2393" s="300"/>
      <c r="F2393" s="302"/>
      <c r="G2393" s="300"/>
      <c r="H2393" s="321" t="s">
        <v>2278</v>
      </c>
      <c r="I2393" s="311">
        <f>I2392/3</f>
        <v>12.32</v>
      </c>
      <c r="J2393" s="300"/>
      <c r="K2393" s="302"/>
      <c r="L2393" s="302"/>
    </row>
    <row r="2394" spans="1:12" ht="18" hidden="1">
      <c r="A2394" s="268"/>
      <c r="E2394" s="300"/>
      <c r="F2394" s="302"/>
      <c r="G2394" s="300"/>
      <c r="H2394" s="320"/>
      <c r="I2394" s="302"/>
      <c r="J2394" s="300"/>
      <c r="K2394" s="302"/>
      <c r="L2394" s="302"/>
    </row>
    <row r="2395" spans="1:12" ht="54" hidden="1">
      <c r="A2395" s="268"/>
      <c r="E2395" s="312">
        <v>18.100000000000001</v>
      </c>
      <c r="F2395" s="304" t="s">
        <v>2194</v>
      </c>
      <c r="G2395" s="300"/>
      <c r="H2395" s="322" t="s">
        <v>2954</v>
      </c>
      <c r="I2395" s="304">
        <f>I2377*1.2</f>
        <v>246.11</v>
      </c>
      <c r="J2395" s="300"/>
      <c r="K2395" s="302"/>
    </row>
    <row r="2396" spans="1:12" ht="36" hidden="1">
      <c r="A2396" s="268"/>
      <c r="E2396" s="303">
        <v>18.100000000000001</v>
      </c>
      <c r="F2396" s="304" t="s">
        <v>2955</v>
      </c>
      <c r="G2396" s="300"/>
      <c r="H2396" s="323" t="s">
        <v>2956</v>
      </c>
      <c r="I2396" s="304">
        <f>I2377*1.1</f>
        <v>225.6</v>
      </c>
      <c r="J2396" s="300"/>
      <c r="K2396" s="302"/>
    </row>
    <row r="2397" spans="1:12" hidden="1">
      <c r="A2397" s="268"/>
      <c r="E2397" s="144"/>
      <c r="F2397" s="144"/>
      <c r="G2397" s="145"/>
      <c r="H2397" s="144"/>
      <c r="I2397" s="144"/>
      <c r="J2397" s="146"/>
      <c r="K2397" s="144"/>
    </row>
    <row r="2398" spans="1:12" hidden="1">
      <c r="A2398" s="268"/>
      <c r="E2398" s="144"/>
      <c r="F2398" s="144"/>
      <c r="G2398" s="145"/>
      <c r="H2398" s="144"/>
      <c r="I2398" s="144"/>
      <c r="J2398" s="146"/>
      <c r="K2398" s="144"/>
    </row>
    <row r="2399" spans="1:12" ht="23.25" hidden="1">
      <c r="A2399" s="268"/>
      <c r="E2399" s="144"/>
      <c r="F2399"/>
      <c r="G2399" s="3"/>
      <c r="H2399" s="324" t="s">
        <v>2301</v>
      </c>
      <c r="I2399"/>
      <c r="J2399" s="4"/>
      <c r="K2399" s="8"/>
    </row>
    <row r="2400" spans="1:12" hidden="1">
      <c r="A2400" s="268"/>
      <c r="E2400" s="144"/>
      <c r="F2400" s="325">
        <v>18.100000000000001</v>
      </c>
      <c r="G2400" s="7" t="s">
        <v>2167</v>
      </c>
      <c r="H2400" s="1" t="s">
        <v>10</v>
      </c>
      <c r="I2400"/>
      <c r="J2400" s="4"/>
      <c r="K2400"/>
    </row>
    <row r="2401" spans="1:11" hidden="1">
      <c r="A2401" s="268"/>
      <c r="E2401" s="144"/>
      <c r="F2401"/>
      <c r="G2401" s="3"/>
      <c r="H2401" s="1" t="s">
        <v>617</v>
      </c>
      <c r="I2401"/>
      <c r="J2401" s="4"/>
      <c r="K2401"/>
    </row>
    <row r="2402" spans="1:11" hidden="1">
      <c r="A2402" s="268"/>
      <c r="E2402" s="144"/>
      <c r="F2402"/>
      <c r="G2402" s="3"/>
      <c r="H2402" s="1" t="s">
        <v>619</v>
      </c>
      <c r="I2402"/>
      <c r="J2402" s="4"/>
      <c r="K2402"/>
    </row>
    <row r="2403" spans="1:11" hidden="1">
      <c r="A2403" s="268"/>
      <c r="E2403" s="144"/>
      <c r="F2403"/>
      <c r="G2403" s="3"/>
      <c r="H2403" s="1" t="s">
        <v>483</v>
      </c>
      <c r="I2403"/>
      <c r="J2403" s="4"/>
      <c r="K2403"/>
    </row>
    <row r="2404" spans="1:11" hidden="1">
      <c r="A2404" s="268"/>
      <c r="E2404" s="144"/>
      <c r="F2404"/>
      <c r="G2404" s="3"/>
      <c r="H2404" s="1" t="s">
        <v>485</v>
      </c>
      <c r="I2404"/>
      <c r="J2404" s="4"/>
      <c r="K2404"/>
    </row>
    <row r="2405" spans="1:11" hidden="1">
      <c r="A2405" s="268"/>
      <c r="E2405" s="144"/>
      <c r="F2405"/>
      <c r="G2405" s="3"/>
      <c r="H2405" s="1" t="s">
        <v>1</v>
      </c>
      <c r="I2405"/>
      <c r="J2405" s="4"/>
      <c r="K2405"/>
    </row>
    <row r="2406" spans="1:11" hidden="1">
      <c r="A2406" s="268"/>
      <c r="E2406" s="144"/>
      <c r="F2406"/>
      <c r="G2406" s="3"/>
      <c r="H2406" s="1" t="s">
        <v>1180</v>
      </c>
      <c r="I2406"/>
      <c r="J2406" s="4"/>
      <c r="K2406"/>
    </row>
    <row r="2407" spans="1:11" hidden="1">
      <c r="A2407" s="268"/>
      <c r="E2407" s="144"/>
      <c r="F2407"/>
      <c r="G2407" s="3"/>
      <c r="H2407" s="5" t="s">
        <v>1530</v>
      </c>
      <c r="I2407" s="5" t="s">
        <v>1530</v>
      </c>
      <c r="J2407" s="2" t="s">
        <v>1530</v>
      </c>
      <c r="K2407"/>
    </row>
    <row r="2408" spans="1:11" hidden="1">
      <c r="A2408" s="268"/>
      <c r="E2408" s="144"/>
      <c r="F2408" s="8">
        <v>13.46</v>
      </c>
      <c r="G2408" s="7" t="s">
        <v>254</v>
      </c>
      <c r="H2408" s="1" t="s">
        <v>255</v>
      </c>
      <c r="I2408" s="8">
        <f>I2361</f>
        <v>30</v>
      </c>
      <c r="J2408" s="2" t="s">
        <v>254</v>
      </c>
      <c r="K2408" s="8">
        <f>(F2408*I2408)</f>
        <v>403.8</v>
      </c>
    </row>
    <row r="2409" spans="1:11" hidden="1">
      <c r="A2409" s="268"/>
      <c r="E2409" s="144"/>
      <c r="F2409"/>
      <c r="G2409" s="3"/>
      <c r="H2409" s="1" t="s">
        <v>944</v>
      </c>
      <c r="I2409"/>
      <c r="J2409" s="4"/>
      <c r="K2409"/>
    </row>
    <row r="2410" spans="1:11" hidden="1">
      <c r="A2410" s="268"/>
      <c r="E2410" s="144"/>
      <c r="F2410" s="8">
        <v>4</v>
      </c>
      <c r="G2410" s="7" t="s">
        <v>254</v>
      </c>
      <c r="H2410" s="1" t="s">
        <v>946</v>
      </c>
      <c r="I2410" s="8">
        <f>I2362</f>
        <v>30</v>
      </c>
      <c r="J2410" s="2" t="s">
        <v>254</v>
      </c>
      <c r="K2410" s="8">
        <f>(F2410*I2410)</f>
        <v>120</v>
      </c>
    </row>
    <row r="2411" spans="1:11" hidden="1">
      <c r="A2411" s="268"/>
      <c r="E2411" s="144"/>
      <c r="F2411"/>
      <c r="G2411" s="3"/>
      <c r="H2411" s="1" t="s">
        <v>997</v>
      </c>
      <c r="I2411"/>
      <c r="J2411" s="4"/>
      <c r="K2411"/>
    </row>
    <row r="2412" spans="1:11" hidden="1">
      <c r="A2412" s="268"/>
      <c r="E2412" s="144"/>
      <c r="F2412" s="8"/>
      <c r="G2412" s="7" t="s">
        <v>419</v>
      </c>
      <c r="H2412" s="1" t="s">
        <v>1602</v>
      </c>
      <c r="I2412"/>
      <c r="J2412" s="2" t="s">
        <v>419</v>
      </c>
      <c r="K2412" s="8">
        <v>40</v>
      </c>
    </row>
    <row r="2413" spans="1:11" hidden="1">
      <c r="A2413" s="268"/>
      <c r="E2413" s="144"/>
      <c r="F2413"/>
      <c r="G2413" s="3"/>
      <c r="H2413" s="1" t="s">
        <v>1604</v>
      </c>
      <c r="I2413"/>
      <c r="J2413" s="4"/>
      <c r="K2413" s="5" t="s">
        <v>1530</v>
      </c>
    </row>
    <row r="2414" spans="1:11" hidden="1">
      <c r="A2414" s="268"/>
      <c r="E2414" s="144"/>
      <c r="F2414"/>
      <c r="G2414" s="3"/>
      <c r="H2414" s="2" t="s">
        <v>24</v>
      </c>
      <c r="I2414"/>
      <c r="J2414" s="4"/>
      <c r="K2414" s="8">
        <f>SUM(K2408:K2412)</f>
        <v>563.79999999999995</v>
      </c>
    </row>
    <row r="2415" spans="1:11" ht="17.25" hidden="1">
      <c r="A2415" s="268"/>
      <c r="E2415" s="283"/>
      <c r="F2415"/>
      <c r="G2415" s="3"/>
      <c r="H2415"/>
      <c r="I2415"/>
      <c r="J2415" s="4"/>
      <c r="K2415" s="5" t="s">
        <v>1530</v>
      </c>
    </row>
    <row r="2416" spans="1:11" ht="17.25" hidden="1">
      <c r="A2416" s="268"/>
      <c r="E2416" s="283"/>
      <c r="F2416"/>
      <c r="G2416" s="3"/>
      <c r="H2416" s="2" t="s">
        <v>28</v>
      </c>
      <c r="I2416"/>
      <c r="J2416" s="4"/>
      <c r="K2416" s="8">
        <f>K2414/40</f>
        <v>14.1</v>
      </c>
    </row>
    <row r="2417" spans="1:11" ht="17.25" hidden="1">
      <c r="A2417" s="268"/>
      <c r="E2417" s="283"/>
      <c r="F2417"/>
      <c r="G2417" s="3"/>
      <c r="H2417"/>
      <c r="I2417"/>
      <c r="J2417" s="4"/>
      <c r="K2417" s="5" t="s">
        <v>1530</v>
      </c>
    </row>
    <row r="2418" spans="1:11" ht="17.25" hidden="1">
      <c r="A2418" s="268"/>
      <c r="E2418" s="283"/>
      <c r="F2418"/>
      <c r="G2418" s="3"/>
      <c r="H2418" s="1" t="s">
        <v>864</v>
      </c>
      <c r="I2418"/>
      <c r="J2418" s="4"/>
      <c r="K2418"/>
    </row>
    <row r="2419" spans="1:11" ht="17.25" hidden="1">
      <c r="A2419" s="268"/>
      <c r="E2419" s="283"/>
      <c r="F2419"/>
      <c r="G2419" s="3"/>
      <c r="H2419" s="1" t="s">
        <v>292</v>
      </c>
      <c r="I2419"/>
      <c r="J2419" s="4"/>
      <c r="K2419"/>
    </row>
    <row r="2420" spans="1:11" ht="17.25" hidden="1">
      <c r="A2420" s="268"/>
      <c r="E2420" s="283"/>
      <c r="F2420"/>
      <c r="G2420" s="3"/>
      <c r="H2420" s="1" t="s">
        <v>294</v>
      </c>
      <c r="I2420"/>
      <c r="J2420" s="4"/>
      <c r="K2420"/>
    </row>
    <row r="2421" spans="1:11" ht="17.25" hidden="1">
      <c r="A2421" s="268"/>
      <c r="E2421" s="283"/>
      <c r="F2421"/>
      <c r="G2421" s="3"/>
      <c r="H2421"/>
      <c r="I2421"/>
      <c r="J2421" s="4"/>
      <c r="K2421"/>
    </row>
    <row r="2422" spans="1:11" ht="17.25" hidden="1">
      <c r="A2422" s="268"/>
      <c r="E2422" s="283"/>
      <c r="F2422" s="8">
        <v>19</v>
      </c>
      <c r="G2422" s="7" t="s">
        <v>1375</v>
      </c>
      <c r="H2422" s="1" t="s">
        <v>67</v>
      </c>
      <c r="I2422" s="8">
        <f>K2416</f>
        <v>14.1</v>
      </c>
      <c r="J2422" s="2" t="s">
        <v>245</v>
      </c>
      <c r="K2422" s="8">
        <f>(F2422*I2422)</f>
        <v>267.89999999999998</v>
      </c>
    </row>
    <row r="2423" spans="1:11" ht="17.25" hidden="1">
      <c r="A2423" s="268"/>
      <c r="E2423" s="283"/>
      <c r="F2423"/>
      <c r="G2423" s="3"/>
      <c r="H2423" s="1" t="s">
        <v>1606</v>
      </c>
      <c r="I2423"/>
      <c r="J2423" s="4"/>
      <c r="K2423" s="8"/>
    </row>
    <row r="2424" spans="1:11" ht="17.25" hidden="1">
      <c r="A2424" s="268"/>
      <c r="E2424" s="283"/>
      <c r="F2424" s="8">
        <v>0.12</v>
      </c>
      <c r="G2424" s="7" t="s">
        <v>2070</v>
      </c>
      <c r="H2424" s="1" t="s">
        <v>2875</v>
      </c>
      <c r="I2424" s="8">
        <f>9395/5</f>
        <v>1879</v>
      </c>
      <c r="J2424" s="2" t="s">
        <v>245</v>
      </c>
      <c r="K2424" s="8">
        <f t="shared" ref="K2424:K2431" si="79">(F2424*I2424)</f>
        <v>225.48</v>
      </c>
    </row>
    <row r="2425" spans="1:11" ht="17.25" hidden="1">
      <c r="A2425" s="268"/>
      <c r="E2425" s="283"/>
      <c r="F2425" s="8">
        <v>98.5</v>
      </c>
      <c r="G2425" s="7" t="s">
        <v>794</v>
      </c>
      <c r="H2425" s="1" t="s">
        <v>795</v>
      </c>
      <c r="I2425" s="8">
        <f>I2369</f>
        <v>3</v>
      </c>
      <c r="J2425" s="2" t="s">
        <v>245</v>
      </c>
      <c r="K2425" s="8">
        <f t="shared" si="79"/>
        <v>295.5</v>
      </c>
    </row>
    <row r="2426" spans="1:11" ht="17.25" hidden="1">
      <c r="A2426" s="268"/>
      <c r="E2426" s="283"/>
      <c r="F2426" s="8">
        <v>1</v>
      </c>
      <c r="G2426" s="7" t="s">
        <v>419</v>
      </c>
      <c r="H2426" s="1" t="s">
        <v>1334</v>
      </c>
      <c r="I2426" s="8">
        <v>11</v>
      </c>
      <c r="J2426" s="2" t="s">
        <v>419</v>
      </c>
      <c r="K2426" s="8">
        <f t="shared" si="79"/>
        <v>11</v>
      </c>
    </row>
    <row r="2427" spans="1:11" ht="17.25" hidden="1">
      <c r="A2427" s="268"/>
      <c r="E2427" s="283"/>
      <c r="F2427" s="8">
        <v>3.8</v>
      </c>
      <c r="G2427" s="7" t="s">
        <v>1337</v>
      </c>
      <c r="H2427" s="1" t="s">
        <v>1338</v>
      </c>
      <c r="I2427" s="8">
        <f>C16</f>
        <v>150</v>
      </c>
      <c r="J2427" s="2" t="s">
        <v>1341</v>
      </c>
      <c r="K2427" s="8">
        <f t="shared" si="79"/>
        <v>570</v>
      </c>
    </row>
    <row r="2428" spans="1:11" ht="17.25" hidden="1">
      <c r="A2428" s="268"/>
      <c r="E2428" s="283"/>
      <c r="F2428" s="8">
        <v>5.4</v>
      </c>
      <c r="G2428" s="7" t="s">
        <v>1337</v>
      </c>
      <c r="H2428" s="1" t="s">
        <v>792</v>
      </c>
      <c r="I2428" s="8">
        <f>C12</f>
        <v>95</v>
      </c>
      <c r="J2428" s="2" t="s">
        <v>1341</v>
      </c>
      <c r="K2428" s="8">
        <f t="shared" si="79"/>
        <v>513</v>
      </c>
    </row>
    <row r="2429" spans="1:11" ht="17.25" hidden="1">
      <c r="A2429" s="268"/>
      <c r="E2429" s="283"/>
      <c r="F2429" s="8">
        <v>1</v>
      </c>
      <c r="G2429" s="7" t="s">
        <v>1337</v>
      </c>
      <c r="H2429" s="1" t="s">
        <v>2202</v>
      </c>
      <c r="I2429" s="8">
        <f>D17</f>
        <v>120</v>
      </c>
      <c r="J2429" s="2" t="s">
        <v>1341</v>
      </c>
      <c r="K2429" s="8">
        <f t="shared" si="79"/>
        <v>120</v>
      </c>
    </row>
    <row r="2430" spans="1:11" ht="17.25" hidden="1">
      <c r="A2430" s="268"/>
      <c r="E2430" s="283"/>
      <c r="F2430" s="8">
        <v>1</v>
      </c>
      <c r="G2430" s="7" t="s">
        <v>419</v>
      </c>
      <c r="H2430" s="1" t="s">
        <v>745</v>
      </c>
      <c r="I2430" s="8">
        <v>10</v>
      </c>
      <c r="J2430" s="2" t="s">
        <v>419</v>
      </c>
      <c r="K2430" s="8">
        <f t="shared" si="79"/>
        <v>10</v>
      </c>
    </row>
    <row r="2431" spans="1:11" ht="17.25" hidden="1">
      <c r="A2431" s="268"/>
      <c r="E2431" s="283"/>
      <c r="F2431" s="8">
        <v>19</v>
      </c>
      <c r="G2431" s="7" t="s">
        <v>1375</v>
      </c>
      <c r="H2431" s="1" t="s">
        <v>747</v>
      </c>
      <c r="I2431" s="8">
        <v>2</v>
      </c>
      <c r="J2431" s="2" t="s">
        <v>1375</v>
      </c>
      <c r="K2431" s="8">
        <f t="shared" si="79"/>
        <v>38</v>
      </c>
    </row>
    <row r="2432" spans="1:11" ht="17.25" hidden="1">
      <c r="A2432" s="268"/>
      <c r="E2432" s="283"/>
      <c r="F2432"/>
      <c r="G2432" s="3"/>
      <c r="H2432" s="1" t="s">
        <v>469</v>
      </c>
      <c r="I2432"/>
      <c r="J2432" s="4"/>
      <c r="K2432" s="5" t="s">
        <v>1530</v>
      </c>
    </row>
    <row r="2433" spans="1:11" ht="17.25" hidden="1">
      <c r="A2433" s="268"/>
      <c r="E2433" s="283"/>
      <c r="F2433"/>
      <c r="G2433" s="3"/>
      <c r="H2433" s="2" t="s">
        <v>411</v>
      </c>
      <c r="I2433"/>
      <c r="J2433" s="4"/>
      <c r="K2433" s="8">
        <f>SUM(K2422:K2431)</f>
        <v>2050.88</v>
      </c>
    </row>
    <row r="2434" spans="1:11" ht="17.25" hidden="1">
      <c r="A2434" s="268"/>
      <c r="E2434" s="283"/>
      <c r="F2434"/>
      <c r="G2434" s="3"/>
      <c r="H2434"/>
      <c r="I2434"/>
      <c r="J2434" s="4"/>
      <c r="K2434" s="5" t="s">
        <v>1530</v>
      </c>
    </row>
    <row r="2435" spans="1:11" ht="17.25" hidden="1">
      <c r="A2435" s="268"/>
      <c r="E2435" s="283"/>
      <c r="F2435"/>
      <c r="G2435" s="3"/>
      <c r="H2435" s="2" t="s">
        <v>521</v>
      </c>
      <c r="I2435"/>
      <c r="J2435" s="4"/>
      <c r="K2435" s="8">
        <f>(K2433/10)</f>
        <v>205.09</v>
      </c>
    </row>
    <row r="2436" spans="1:11" ht="17.25" hidden="1">
      <c r="A2436" s="268"/>
      <c r="E2436" s="283"/>
      <c r="F2436" s="1" t="s">
        <v>940</v>
      </c>
      <c r="G2436" s="3"/>
      <c r="H2436"/>
      <c r="I2436"/>
      <c r="J2436" s="4"/>
      <c r="K2436"/>
    </row>
    <row r="2437" spans="1:11" ht="17.25" hidden="1">
      <c r="A2437" s="268"/>
      <c r="E2437" s="283"/>
      <c r="F2437"/>
      <c r="G2437" s="3"/>
      <c r="H2437"/>
      <c r="I2437"/>
      <c r="J2437" s="4"/>
      <c r="K2437" s="5" t="s">
        <v>1980</v>
      </c>
    </row>
    <row r="2438" spans="1:11" ht="30" hidden="1">
      <c r="A2438" s="268"/>
      <c r="E2438" s="283"/>
      <c r="F2438" s="326" t="s">
        <v>2533</v>
      </c>
      <c r="G2438" s="33"/>
      <c r="H2438" s="327" t="s">
        <v>3395</v>
      </c>
      <c r="I2438"/>
      <c r="J2438" s="4"/>
      <c r="K2438"/>
    </row>
    <row r="2439" spans="1:11" ht="17.25" hidden="1">
      <c r="A2439" s="268"/>
      <c r="E2439" s="283"/>
      <c r="F2439" s="33"/>
      <c r="G2439" s="3"/>
      <c r="H2439"/>
      <c r="I2439"/>
      <c r="J2439" s="4"/>
      <c r="K2439" s="56"/>
    </row>
    <row r="2440" spans="1:11" ht="17.25" hidden="1">
      <c r="A2440" s="268"/>
      <c r="E2440" s="283"/>
      <c r="F2440">
        <v>98.5</v>
      </c>
      <c r="G2440" s="3" t="s">
        <v>794</v>
      </c>
      <c r="H2440" s="1" t="s">
        <v>795</v>
      </c>
      <c r="I2440" s="8">
        <f>I2425</f>
        <v>3</v>
      </c>
      <c r="J2440" s="2" t="s">
        <v>245</v>
      </c>
      <c r="K2440">
        <f>(F2440*I2440)</f>
        <v>295.5</v>
      </c>
    </row>
    <row r="2441" spans="1:11" ht="17.25" hidden="1">
      <c r="A2441" s="268"/>
      <c r="E2441" s="283"/>
      <c r="F2441">
        <v>0.3</v>
      </c>
      <c r="G2441" s="3" t="s">
        <v>1337</v>
      </c>
      <c r="H2441" s="1" t="s">
        <v>1338</v>
      </c>
      <c r="I2441" s="8">
        <f>I2427</f>
        <v>150</v>
      </c>
      <c r="J2441" s="2" t="s">
        <v>1341</v>
      </c>
      <c r="K2441">
        <f>(F2441*I2441)</f>
        <v>45</v>
      </c>
    </row>
    <row r="2442" spans="1:11" ht="17.25" hidden="1">
      <c r="A2442" s="268"/>
      <c r="E2442" s="283"/>
      <c r="F2442">
        <v>0.3</v>
      </c>
      <c r="G2442" s="3" t="s">
        <v>1337</v>
      </c>
      <c r="H2442" s="1" t="s">
        <v>792</v>
      </c>
      <c r="I2442" s="8">
        <f>I2428</f>
        <v>95</v>
      </c>
      <c r="J2442" s="2" t="s">
        <v>1341</v>
      </c>
      <c r="K2442">
        <f>(F2442*I2442)</f>
        <v>28.5</v>
      </c>
    </row>
    <row r="2443" spans="1:11" ht="17.25" hidden="1">
      <c r="A2443" s="268"/>
      <c r="E2443" s="283"/>
      <c r="F2443"/>
      <c r="G2443" s="3"/>
      <c r="H2443" s="1" t="s">
        <v>2187</v>
      </c>
      <c r="I2443"/>
      <c r="J2443" s="4" t="s">
        <v>66</v>
      </c>
      <c r="K2443" s="56">
        <v>0.6</v>
      </c>
    </row>
    <row r="2444" spans="1:11" ht="17.25" hidden="1">
      <c r="A2444" s="268"/>
      <c r="E2444" s="283"/>
      <c r="F2444"/>
      <c r="G2444" s="3"/>
      <c r="H2444" s="2" t="s">
        <v>411</v>
      </c>
      <c r="I2444"/>
      <c r="J2444" s="4"/>
      <c r="K2444">
        <f>SUM(K2440:K2443)</f>
        <v>369.6</v>
      </c>
    </row>
    <row r="2445" spans="1:11" ht="17.25" hidden="1">
      <c r="A2445" s="268"/>
      <c r="E2445" s="283"/>
      <c r="F2445"/>
      <c r="G2445" s="3"/>
      <c r="H2445" s="1"/>
      <c r="I2445"/>
      <c r="J2445" s="4"/>
      <c r="K2445" s="56" t="s">
        <v>398</v>
      </c>
    </row>
    <row r="2446" spans="1:11" ht="17.25" hidden="1">
      <c r="A2446" s="268"/>
      <c r="E2446" s="283"/>
      <c r="F2446"/>
      <c r="G2446" s="3"/>
      <c r="H2446" s="2" t="s">
        <v>521</v>
      </c>
      <c r="I2446"/>
      <c r="J2446" s="4"/>
      <c r="K2446">
        <f>K2444/10</f>
        <v>36.96</v>
      </c>
    </row>
    <row r="2447" spans="1:11" ht="17.25" hidden="1">
      <c r="A2447" s="268"/>
      <c r="E2447" s="283"/>
      <c r="F2447"/>
      <c r="G2447" s="3"/>
      <c r="H2447" s="2"/>
      <c r="I2447"/>
      <c r="J2447" s="4"/>
      <c r="K2447"/>
    </row>
    <row r="2448" spans="1:11" ht="32.25" hidden="1">
      <c r="A2448" s="268"/>
      <c r="E2448" s="283"/>
      <c r="F2448"/>
      <c r="G2448" s="3"/>
      <c r="H2448" s="23" t="s">
        <v>3396</v>
      </c>
      <c r="I2448"/>
      <c r="J2448" s="4" t="s">
        <v>3397</v>
      </c>
      <c r="K2448">
        <f>K2435-K2446</f>
        <v>168.13</v>
      </c>
    </row>
    <row r="2449" spans="1:11" ht="17.25" hidden="1">
      <c r="A2449" s="268"/>
      <c r="E2449" s="283"/>
      <c r="F2449"/>
      <c r="G2449" s="3"/>
      <c r="H2449" s="1"/>
      <c r="I2449"/>
      <c r="J2449" s="4"/>
      <c r="K2449" s="56" t="s">
        <v>33</v>
      </c>
    </row>
    <row r="2450" spans="1:11" ht="17.25" hidden="1">
      <c r="A2450" s="268"/>
      <c r="E2450" s="283"/>
      <c r="F2450"/>
      <c r="G2450" s="3"/>
      <c r="H2450"/>
      <c r="I2450"/>
      <c r="J2450" s="4"/>
      <c r="K2450"/>
    </row>
    <row r="2451" spans="1:11" ht="45" hidden="1">
      <c r="A2451" s="268"/>
      <c r="E2451" s="283"/>
      <c r="F2451" s="326" t="s">
        <v>3141</v>
      </c>
      <c r="G2451" s="3"/>
      <c r="H2451" s="327" t="s">
        <v>2957</v>
      </c>
      <c r="I2451"/>
      <c r="J2451" s="4" t="s">
        <v>3397</v>
      </c>
      <c r="K2451">
        <f>K2435</f>
        <v>205.09</v>
      </c>
    </row>
    <row r="2452" spans="1:11" ht="17.25" hidden="1">
      <c r="A2452" s="268"/>
      <c r="E2452" s="283"/>
      <c r="F2452"/>
      <c r="H2452" s="181"/>
      <c r="I2452"/>
      <c r="J2452" s="4"/>
      <c r="K2452" s="56" t="s">
        <v>33</v>
      </c>
    </row>
    <row r="2453" spans="1:11" ht="30" hidden="1">
      <c r="A2453" s="268"/>
      <c r="E2453" s="283"/>
      <c r="F2453" s="326" t="s">
        <v>2194</v>
      </c>
      <c r="H2453" s="327" t="s">
        <v>2954</v>
      </c>
      <c r="I2453"/>
      <c r="J2453" s="4" t="s">
        <v>3397</v>
      </c>
      <c r="K2453" s="56">
        <f>K2451*1.2</f>
        <v>246.11</v>
      </c>
    </row>
    <row r="2454" spans="1:11" ht="17.25" hidden="1">
      <c r="A2454" s="268"/>
      <c r="E2454" s="283"/>
      <c r="F2454"/>
      <c r="I2454"/>
      <c r="J2454" s="4"/>
      <c r="K2454" s="56" t="s">
        <v>1178</v>
      </c>
    </row>
    <row r="2455" spans="1:11" ht="19.5" hidden="1">
      <c r="A2455" s="268"/>
      <c r="E2455" s="283"/>
      <c r="F2455" s="326" t="s">
        <v>2955</v>
      </c>
      <c r="H2455" s="327" t="s">
        <v>2956</v>
      </c>
      <c r="I2455"/>
      <c r="J2455" s="4" t="s">
        <v>3397</v>
      </c>
      <c r="K2455">
        <f>K2451*1.1</f>
        <v>225.6</v>
      </c>
    </row>
    <row r="2456" spans="1:11" ht="17.25" hidden="1">
      <c r="A2456" s="268"/>
      <c r="E2456" s="283"/>
      <c r="F2456"/>
      <c r="G2456" s="3"/>
      <c r="H2456"/>
      <c r="I2456"/>
      <c r="J2456" s="4"/>
      <c r="K2456" s="56" t="s">
        <v>1178</v>
      </c>
    </row>
    <row r="2457" spans="1:11" ht="17.25" hidden="1">
      <c r="A2457" s="268"/>
      <c r="E2457" s="283"/>
      <c r="F2457"/>
      <c r="G2457" s="3"/>
      <c r="H2457"/>
      <c r="I2457"/>
      <c r="J2457" s="4"/>
      <c r="K2457"/>
    </row>
    <row r="2458" spans="1:11" ht="17.25" hidden="1">
      <c r="A2458" s="268"/>
      <c r="E2458" s="283"/>
      <c r="F2458">
        <v>50.6</v>
      </c>
      <c r="G2458" s="7" t="s">
        <v>643</v>
      </c>
      <c r="H2458" s="1" t="s">
        <v>1108</v>
      </c>
      <c r="I2458"/>
      <c r="J2458" s="4"/>
      <c r="K2458"/>
    </row>
    <row r="2459" spans="1:11" ht="32.25" hidden="1">
      <c r="A2459" s="268"/>
      <c r="E2459" s="283"/>
      <c r="F2459"/>
      <c r="G2459" s="3"/>
      <c r="H2459" s="23" t="s">
        <v>2664</v>
      </c>
      <c r="I2459"/>
      <c r="J2459" s="4"/>
      <c r="K2459"/>
    </row>
    <row r="2460" spans="1:11" ht="17.25" hidden="1">
      <c r="A2460" s="268"/>
      <c r="E2460" s="283"/>
      <c r="F2460"/>
      <c r="G2460" s="3"/>
      <c r="H2460" s="5" t="s">
        <v>1530</v>
      </c>
      <c r="I2460" s="5" t="s">
        <v>1530</v>
      </c>
      <c r="J2460" s="4"/>
      <c r="K2460"/>
    </row>
    <row r="2461" spans="1:11" ht="18.75" hidden="1">
      <c r="A2461" s="268"/>
      <c r="E2461" s="283"/>
      <c r="F2461"/>
      <c r="G2461" s="3"/>
      <c r="H2461" s="5" t="s">
        <v>2665</v>
      </c>
      <c r="I2461" s="5"/>
      <c r="J2461" s="4"/>
      <c r="K2461"/>
    </row>
    <row r="2462" spans="1:11" ht="18.75" hidden="1">
      <c r="A2462" s="268"/>
      <c r="E2462" s="283"/>
      <c r="F2462"/>
      <c r="G2462" s="3"/>
      <c r="H2462" s="5" t="s">
        <v>2995</v>
      </c>
      <c r="I2462" s="5"/>
      <c r="J2462" s="4"/>
      <c r="K2462"/>
    </row>
    <row r="2463" spans="1:11" ht="17.25" hidden="1">
      <c r="A2463" s="268"/>
      <c r="E2463" s="283"/>
      <c r="F2463"/>
      <c r="G2463" s="3"/>
      <c r="H2463" s="5"/>
      <c r="I2463" s="5"/>
      <c r="J2463" s="4"/>
      <c r="K2463"/>
    </row>
    <row r="2464" spans="1:11" ht="17.25" hidden="1">
      <c r="A2464" s="268"/>
      <c r="E2464" s="283"/>
      <c r="F2464"/>
      <c r="G2464" s="3"/>
      <c r="H2464"/>
      <c r="I2464"/>
      <c r="J2464" s="4"/>
      <c r="K2464"/>
    </row>
    <row r="2465" spans="1:11" ht="17.25" hidden="1">
      <c r="A2465" s="268"/>
      <c r="E2465" s="283"/>
      <c r="F2465" s="13">
        <v>1.96</v>
      </c>
      <c r="G2465" s="7" t="s">
        <v>2070</v>
      </c>
      <c r="H2465" s="1" t="s">
        <v>412</v>
      </c>
      <c r="I2465" s="8" t="e">
        <f>K1644</f>
        <v>#REF!</v>
      </c>
      <c r="J2465" s="2" t="s">
        <v>2070</v>
      </c>
      <c r="K2465" s="8" t="e">
        <f t="shared" ref="K2465:K2470" si="80">(F2465*I2465)</f>
        <v>#REF!</v>
      </c>
    </row>
    <row r="2466" spans="1:11" ht="17.25" hidden="1">
      <c r="A2466" s="268"/>
      <c r="E2466" s="283"/>
      <c r="F2466" s="8">
        <v>2</v>
      </c>
      <c r="G2466" s="7" t="s">
        <v>529</v>
      </c>
      <c r="H2466" s="1" t="s">
        <v>332</v>
      </c>
      <c r="I2466" s="8">
        <f>C10</f>
        <v>150</v>
      </c>
      <c r="J2466" s="2" t="s">
        <v>1341</v>
      </c>
      <c r="K2466" s="8">
        <f t="shared" si="80"/>
        <v>300</v>
      </c>
    </row>
    <row r="2467" spans="1:11" ht="17.25" hidden="1">
      <c r="A2467" s="268"/>
      <c r="E2467" s="283"/>
      <c r="F2467" s="8">
        <v>2</v>
      </c>
      <c r="G2467" s="7" t="s">
        <v>529</v>
      </c>
      <c r="H2467" s="1" t="s">
        <v>333</v>
      </c>
      <c r="I2467" s="8">
        <f>C13</f>
        <v>85</v>
      </c>
      <c r="J2467" s="2" t="s">
        <v>1341</v>
      </c>
      <c r="K2467" s="8">
        <f t="shared" si="80"/>
        <v>170</v>
      </c>
    </row>
    <row r="2468" spans="1:11" ht="17.25" hidden="1">
      <c r="A2468" s="268"/>
      <c r="E2468" s="283"/>
      <c r="F2468" s="8">
        <v>0.28000000000000003</v>
      </c>
      <c r="G2468" s="7" t="s">
        <v>2199</v>
      </c>
      <c r="H2468" s="1" t="s">
        <v>2958</v>
      </c>
      <c r="I2468" s="8">
        <f>K2448</f>
        <v>168.13</v>
      </c>
      <c r="J2468" s="2" t="s">
        <v>2199</v>
      </c>
      <c r="K2468" s="8">
        <f t="shared" si="80"/>
        <v>47.08</v>
      </c>
    </row>
    <row r="2469" spans="1:11" ht="17.25" hidden="1">
      <c r="A2469" s="268"/>
      <c r="E2469" s="283"/>
      <c r="F2469" s="8">
        <v>500</v>
      </c>
      <c r="G2469" s="7" t="s">
        <v>1375</v>
      </c>
      <c r="H2469" s="1" t="s">
        <v>2959</v>
      </c>
      <c r="I2469">
        <v>2</v>
      </c>
      <c r="J2469" s="4" t="s">
        <v>1341</v>
      </c>
      <c r="K2469" s="8">
        <f t="shared" si="80"/>
        <v>1000</v>
      </c>
    </row>
    <row r="2470" spans="1:11" ht="17.25" hidden="1">
      <c r="A2470" s="268"/>
      <c r="E2470" s="283"/>
      <c r="F2470" s="8">
        <v>8.5</v>
      </c>
      <c r="G2470" s="7" t="s">
        <v>3170</v>
      </c>
      <c r="H2470" s="1" t="s">
        <v>3171</v>
      </c>
      <c r="I2470">
        <v>25</v>
      </c>
      <c r="J2470" s="4" t="s">
        <v>2065</v>
      </c>
      <c r="K2470" s="8">
        <f t="shared" si="80"/>
        <v>212.5</v>
      </c>
    </row>
    <row r="2471" spans="1:11" ht="17.25" hidden="1">
      <c r="A2471" s="268"/>
      <c r="E2471" s="283"/>
      <c r="F2471"/>
      <c r="G2471" s="3"/>
      <c r="H2471"/>
      <c r="I2471"/>
      <c r="J2471" s="4"/>
      <c r="K2471" s="5" t="s">
        <v>1530</v>
      </c>
    </row>
    <row r="2472" spans="1:11" ht="17.25" hidden="1">
      <c r="A2472" s="268"/>
      <c r="E2472" s="283"/>
      <c r="F2472"/>
      <c r="G2472" s="3"/>
      <c r="H2472" s="2" t="s">
        <v>3172</v>
      </c>
      <c r="I2472"/>
      <c r="J2472" s="4"/>
      <c r="K2472" s="8" t="e">
        <f>SUM(K2465:K2471)</f>
        <v>#REF!</v>
      </c>
    </row>
    <row r="2473" spans="1:11" ht="17.25" hidden="1">
      <c r="A2473" s="268"/>
      <c r="E2473" s="283"/>
      <c r="F2473"/>
      <c r="G2473" s="3"/>
      <c r="H2473"/>
      <c r="I2473"/>
      <c r="J2473" s="4"/>
      <c r="K2473" s="69" t="s">
        <v>3173</v>
      </c>
    </row>
    <row r="2474" spans="1:11" ht="17.25" hidden="1">
      <c r="A2474" s="268"/>
      <c r="E2474" s="283"/>
      <c r="F2474"/>
      <c r="G2474" s="3"/>
      <c r="H2474" s="2" t="s">
        <v>3174</v>
      </c>
      <c r="I2474"/>
      <c r="J2474" s="4"/>
      <c r="K2474" t="e">
        <f>K2472/39.2</f>
        <v>#REF!</v>
      </c>
    </row>
    <row r="2475" spans="1:11" ht="17.25" hidden="1">
      <c r="A2475" s="268"/>
      <c r="E2475" s="283"/>
      <c r="F2475"/>
      <c r="G2475" s="3"/>
      <c r="H2475"/>
      <c r="I2475"/>
      <c r="J2475" s="4"/>
      <c r="K2475" s="56" t="s">
        <v>1178</v>
      </c>
    </row>
    <row r="2476" spans="1:11" ht="17.25" hidden="1">
      <c r="A2476" s="268"/>
      <c r="E2476" s="283"/>
      <c r="F2476"/>
      <c r="G2476" s="3"/>
      <c r="H2476" s="328" t="s">
        <v>3165</v>
      </c>
      <c r="I2476"/>
      <c r="J2476" s="4"/>
      <c r="K2476"/>
    </row>
    <row r="2477" spans="1:11" ht="17.25" hidden="1">
      <c r="A2477" s="268"/>
      <c r="E2477" s="283"/>
      <c r="F2477"/>
      <c r="G2477" s="3"/>
      <c r="H2477" t="s">
        <v>3166</v>
      </c>
      <c r="I2477" t="s">
        <v>3197</v>
      </c>
      <c r="J2477" s="4"/>
      <c r="K2477"/>
    </row>
    <row r="2478" spans="1:11" ht="17.25" hidden="1">
      <c r="A2478" s="268"/>
      <c r="E2478" s="283"/>
      <c r="F2478"/>
      <c r="G2478" s="3"/>
      <c r="H2478"/>
      <c r="I2478" s="56" t="s">
        <v>3198</v>
      </c>
      <c r="J2478" s="4" t="s">
        <v>3199</v>
      </c>
      <c r="K2478"/>
    </row>
    <row r="2479" spans="1:11" ht="17.25" hidden="1">
      <c r="A2479" s="268"/>
      <c r="E2479" s="283"/>
      <c r="F2479"/>
      <c r="G2479" s="3"/>
      <c r="H2479" t="s">
        <v>3200</v>
      </c>
      <c r="I2479" t="s">
        <v>3201</v>
      </c>
      <c r="J2479" s="4"/>
      <c r="K2479"/>
    </row>
    <row r="2480" spans="1:11" ht="17.25" hidden="1">
      <c r="A2480" s="268"/>
      <c r="E2480" s="283"/>
      <c r="F2480"/>
      <c r="G2480" s="3"/>
      <c r="H2480"/>
      <c r="I2480"/>
      <c r="J2480" s="4"/>
      <c r="K2480"/>
    </row>
    <row r="2481" spans="1:11" ht="17.25" hidden="1">
      <c r="A2481" s="268"/>
      <c r="E2481" s="283"/>
      <c r="F2481"/>
      <c r="G2481" s="3"/>
      <c r="H2481" t="s">
        <v>3202</v>
      </c>
      <c r="I2481"/>
      <c r="J2481" s="4"/>
      <c r="K2481"/>
    </row>
    <row r="2482" spans="1:11" ht="17.25" hidden="1">
      <c r="A2482" s="268"/>
      <c r="E2482" s="283"/>
      <c r="F2482"/>
      <c r="G2482" s="3"/>
      <c r="H2482" t="s">
        <v>3203</v>
      </c>
      <c r="I2482" t="s">
        <v>3204</v>
      </c>
      <c r="J2482" s="4"/>
      <c r="K2482"/>
    </row>
    <row r="2483" spans="1:11" ht="17.25" hidden="1">
      <c r="A2483" s="268"/>
      <c r="E2483" s="283"/>
      <c r="F2483"/>
      <c r="G2483" s="3"/>
      <c r="H2483" t="s">
        <v>3205</v>
      </c>
      <c r="I2483" t="s">
        <v>3206</v>
      </c>
      <c r="J2483" s="4"/>
      <c r="K2483"/>
    </row>
    <row r="2484" spans="1:11" ht="17.25" hidden="1">
      <c r="A2484" s="268"/>
      <c r="E2484" s="283"/>
      <c r="F2484"/>
      <c r="G2484" s="3"/>
      <c r="H2484" t="s">
        <v>3252</v>
      </c>
      <c r="I2484"/>
      <c r="J2484" s="4"/>
      <c r="K2484"/>
    </row>
    <row r="2485" spans="1:11" ht="17.25" hidden="1">
      <c r="A2485" s="268"/>
      <c r="E2485" s="283"/>
      <c r="F2485"/>
      <c r="G2485" s="3"/>
      <c r="H2485"/>
      <c r="I2485"/>
      <c r="J2485" s="4"/>
      <c r="K2485"/>
    </row>
    <row r="2486" spans="1:11" ht="17.25" hidden="1">
      <c r="A2486" s="268"/>
      <c r="E2486" s="283"/>
      <c r="F2486"/>
      <c r="G2486" s="3"/>
      <c r="H2486"/>
      <c r="I2486"/>
      <c r="J2486" s="4"/>
      <c r="K2486"/>
    </row>
    <row r="2487" spans="1:11" ht="17.25" hidden="1">
      <c r="A2487" s="268"/>
      <c r="E2487" s="283"/>
      <c r="F2487"/>
      <c r="G2487" s="3"/>
      <c r="H2487"/>
      <c r="I2487"/>
      <c r="J2487" s="4"/>
      <c r="K2487"/>
    </row>
    <row r="2488" spans="1:11" ht="48" hidden="1">
      <c r="A2488" s="268"/>
      <c r="E2488" s="283"/>
      <c r="F2488" s="329">
        <v>83</v>
      </c>
      <c r="G2488" s="3"/>
      <c r="H2488" s="28" t="s">
        <v>3253</v>
      </c>
      <c r="I2488"/>
      <c r="J2488" s="4"/>
      <c r="K2488"/>
    </row>
    <row r="2489" spans="1:11" ht="17.25" hidden="1">
      <c r="A2489" s="268"/>
      <c r="E2489" s="283"/>
      <c r="F2489"/>
      <c r="G2489" s="3"/>
      <c r="H2489" s="56" t="s">
        <v>3287</v>
      </c>
      <c r="I2489"/>
      <c r="J2489" s="4"/>
      <c r="K2489"/>
    </row>
    <row r="2490" spans="1:11" ht="63" hidden="1">
      <c r="A2490" s="268"/>
      <c r="E2490" s="283"/>
      <c r="F2490" s="229">
        <v>3.25</v>
      </c>
      <c r="G2490" s="330" t="s">
        <v>3288</v>
      </c>
      <c r="H2490" s="330" t="s">
        <v>3289</v>
      </c>
      <c r="I2490" s="330">
        <v>27</v>
      </c>
      <c r="J2490" s="330" t="s">
        <v>1591</v>
      </c>
      <c r="K2490" s="330">
        <f>I2490*F2490</f>
        <v>87.75</v>
      </c>
    </row>
    <row r="2491" spans="1:11" ht="17.25" hidden="1">
      <c r="A2491" s="268"/>
      <c r="E2491" s="283"/>
      <c r="F2491"/>
      <c r="G2491" s="3"/>
      <c r="H2491" t="s">
        <v>1148</v>
      </c>
      <c r="I2491"/>
      <c r="J2491" s="4"/>
      <c r="K2491">
        <v>0.25</v>
      </c>
    </row>
    <row r="2492" spans="1:11" ht="17.25" hidden="1">
      <c r="A2492" s="268"/>
      <c r="E2492" s="283"/>
      <c r="F2492"/>
      <c r="G2492" s="3"/>
      <c r="H2492"/>
      <c r="I2492"/>
      <c r="J2492" s="4"/>
      <c r="K2492" s="331" t="s">
        <v>1530</v>
      </c>
    </row>
    <row r="2493" spans="1:11" ht="17.25" hidden="1">
      <c r="A2493" s="268"/>
      <c r="E2493" s="283"/>
      <c r="F2493"/>
      <c r="G2493" s="3"/>
      <c r="H2493" t="s">
        <v>3290</v>
      </c>
      <c r="I2493"/>
      <c r="J2493" s="4"/>
      <c r="K2493">
        <f>SUM(K2490:K2492)</f>
        <v>88</v>
      </c>
    </row>
    <row r="2494" spans="1:11" ht="17.25" hidden="1">
      <c r="A2494" s="268"/>
      <c r="E2494" s="283"/>
      <c r="F2494"/>
      <c r="G2494" s="3"/>
      <c r="H2494"/>
      <c r="I2494"/>
      <c r="J2494" s="4"/>
      <c r="K2494" s="331" t="s">
        <v>1980</v>
      </c>
    </row>
    <row r="2495" spans="1:11" ht="19.5" hidden="1">
      <c r="A2495" s="268"/>
      <c r="E2495" s="283"/>
      <c r="F2495" s="332">
        <v>79.099999999999994</v>
      </c>
      <c r="G2495" s="3"/>
      <c r="H2495" t="s">
        <v>3291</v>
      </c>
      <c r="I2495"/>
      <c r="J2495" s="4"/>
      <c r="K2495"/>
    </row>
    <row r="2496" spans="1:11" ht="17.25" hidden="1">
      <c r="A2496" s="268"/>
      <c r="E2496" s="283"/>
      <c r="F2496"/>
      <c r="G2496" s="3"/>
      <c r="H2496" s="56" t="s">
        <v>3292</v>
      </c>
      <c r="I2496"/>
      <c r="J2496" s="4"/>
      <c r="K2496"/>
    </row>
    <row r="2497" spans="1:11" ht="17.25" hidden="1">
      <c r="A2497" s="268"/>
      <c r="E2497" s="283"/>
      <c r="F2497">
        <v>1</v>
      </c>
      <c r="G2497" s="3" t="s">
        <v>1337</v>
      </c>
      <c r="H2497" t="s">
        <v>3293</v>
      </c>
      <c r="I2497">
        <v>75</v>
      </c>
      <c r="J2497" s="4" t="s">
        <v>1341</v>
      </c>
      <c r="K2497">
        <f>I2497*F2497</f>
        <v>75</v>
      </c>
    </row>
    <row r="2498" spans="1:11" ht="17.25" hidden="1">
      <c r="A2498" s="268"/>
      <c r="E2498" s="283"/>
      <c r="F2498">
        <v>1</v>
      </c>
      <c r="G2498" s="3" t="s">
        <v>1337</v>
      </c>
      <c r="H2498" t="s">
        <v>3294</v>
      </c>
      <c r="I2498">
        <v>17.75</v>
      </c>
      <c r="J2498" s="4" t="s">
        <v>1341</v>
      </c>
      <c r="K2498">
        <f>I2498*F2498</f>
        <v>17.75</v>
      </c>
    </row>
    <row r="2499" spans="1:11" ht="17.25" hidden="1">
      <c r="A2499" s="268"/>
      <c r="E2499" s="283"/>
      <c r="F2499">
        <v>1</v>
      </c>
      <c r="G2499" s="3" t="s">
        <v>1337</v>
      </c>
      <c r="H2499" t="s">
        <v>138</v>
      </c>
      <c r="I2499">
        <f>K2510</f>
        <v>65.13</v>
      </c>
      <c r="J2499" s="4" t="s">
        <v>1341</v>
      </c>
      <c r="K2499">
        <f>I2499*F2499</f>
        <v>65.13</v>
      </c>
    </row>
    <row r="2500" spans="1:11" ht="17.25" hidden="1">
      <c r="A2500" s="268"/>
      <c r="E2500" s="283"/>
      <c r="F2500"/>
      <c r="G2500" s="3"/>
      <c r="H2500" t="s">
        <v>2242</v>
      </c>
      <c r="I2500"/>
      <c r="J2500" s="4" t="s">
        <v>419</v>
      </c>
      <c r="K2500">
        <v>3.12</v>
      </c>
    </row>
    <row r="2501" spans="1:11" ht="17.25" hidden="1">
      <c r="A2501" s="268"/>
      <c r="E2501" s="283"/>
      <c r="F2501"/>
      <c r="G2501" s="3"/>
      <c r="H2501"/>
      <c r="I2501"/>
      <c r="J2501" s="4"/>
      <c r="K2501" s="56" t="s">
        <v>2243</v>
      </c>
    </row>
    <row r="2502" spans="1:11" ht="17.25" hidden="1">
      <c r="A2502" s="268"/>
      <c r="E2502" s="283"/>
      <c r="F2502"/>
      <c r="G2502" s="3"/>
      <c r="H2502"/>
      <c r="I2502"/>
      <c r="J2502" s="4"/>
      <c r="K2502">
        <f>SUM(K2497:K2501)</f>
        <v>161</v>
      </c>
    </row>
    <row r="2503" spans="1:11" ht="17.25" hidden="1">
      <c r="A2503" s="268"/>
      <c r="E2503" s="283"/>
      <c r="F2503"/>
      <c r="G2503" s="3"/>
      <c r="H2503"/>
      <c r="I2503"/>
      <c r="J2503" s="4"/>
      <c r="K2503" s="56" t="s">
        <v>144</v>
      </c>
    </row>
    <row r="2504" spans="1:11" ht="17.25" hidden="1">
      <c r="A2504" s="268"/>
      <c r="E2504" s="283"/>
      <c r="F2504" t="s">
        <v>138</v>
      </c>
      <c r="G2504" s="3"/>
      <c r="H2504"/>
      <c r="I2504"/>
      <c r="J2504" s="4"/>
      <c r="K2504"/>
    </row>
    <row r="2505" spans="1:11" ht="17.25" hidden="1">
      <c r="A2505" s="268"/>
      <c r="E2505" s="283"/>
      <c r="F2505">
        <v>1</v>
      </c>
      <c r="G2505" s="3" t="s">
        <v>1337</v>
      </c>
      <c r="H2505" t="s">
        <v>2244</v>
      </c>
      <c r="I2505">
        <v>131</v>
      </c>
      <c r="J2505" s="4" t="s">
        <v>1341</v>
      </c>
      <c r="K2505">
        <f>I2505*F2505</f>
        <v>131</v>
      </c>
    </row>
    <row r="2506" spans="1:11" ht="17.25" hidden="1">
      <c r="A2506" s="268"/>
      <c r="E2506" s="283"/>
      <c r="F2506">
        <v>1</v>
      </c>
      <c r="G2506" s="3" t="s">
        <v>1337</v>
      </c>
      <c r="H2506" t="s">
        <v>2245</v>
      </c>
      <c r="I2506">
        <v>117</v>
      </c>
      <c r="J2506" s="4" t="s">
        <v>1341</v>
      </c>
      <c r="K2506">
        <f>I2506*F2506</f>
        <v>117</v>
      </c>
    </row>
    <row r="2507" spans="1:11" ht="17.25" hidden="1">
      <c r="A2507" s="268"/>
      <c r="E2507" s="283"/>
      <c r="F2507">
        <v>3</v>
      </c>
      <c r="G2507" s="3" t="s">
        <v>1375</v>
      </c>
      <c r="H2507" t="s">
        <v>2246</v>
      </c>
      <c r="I2507">
        <v>91</v>
      </c>
      <c r="J2507" s="4" t="s">
        <v>1341</v>
      </c>
      <c r="K2507">
        <f>I2507*F2507</f>
        <v>273</v>
      </c>
    </row>
    <row r="2508" spans="1:11" ht="17.25" hidden="1">
      <c r="A2508" s="268"/>
      <c r="E2508" s="283"/>
      <c r="F2508"/>
      <c r="G2508" s="3"/>
      <c r="H2508"/>
      <c r="I2508"/>
      <c r="J2508" s="4"/>
      <c r="K2508" s="56" t="s">
        <v>398</v>
      </c>
    </row>
    <row r="2509" spans="1:11" ht="17.25" hidden="1">
      <c r="A2509" s="268"/>
      <c r="E2509" s="283"/>
      <c r="F2509"/>
      <c r="G2509" s="3"/>
      <c r="H2509" t="s">
        <v>2247</v>
      </c>
      <c r="I2509"/>
      <c r="J2509" s="4"/>
      <c r="K2509">
        <f>SUM(K2505:K2508)</f>
        <v>521</v>
      </c>
    </row>
    <row r="2510" spans="1:11" ht="17.25" hidden="1">
      <c r="A2510" s="268"/>
      <c r="E2510" s="283"/>
      <c r="F2510"/>
      <c r="G2510" s="3"/>
      <c r="H2510" t="s">
        <v>2248</v>
      </c>
      <c r="I2510"/>
      <c r="J2510" s="4"/>
      <c r="K2510">
        <f>K2509/8</f>
        <v>65.13</v>
      </c>
    </row>
    <row r="2511" spans="1:11" ht="17.25" hidden="1">
      <c r="A2511" s="268"/>
      <c r="E2511" s="283"/>
      <c r="F2511"/>
      <c r="G2511" s="3"/>
      <c r="H2511"/>
      <c r="I2511"/>
      <c r="J2511" s="4"/>
      <c r="K2511"/>
    </row>
    <row r="2512" spans="1:11" ht="17.25" hidden="1">
      <c r="A2512" s="268"/>
      <c r="E2512" s="283"/>
      <c r="F2512"/>
      <c r="G2512" s="3"/>
      <c r="H2512"/>
      <c r="I2512"/>
      <c r="J2512" s="4"/>
      <c r="K2512" s="56"/>
    </row>
    <row r="2513" spans="1:11" ht="17.25" hidden="1">
      <c r="A2513" s="268"/>
      <c r="E2513" s="283"/>
      <c r="F2513" s="2" t="s">
        <v>3259</v>
      </c>
      <c r="G2513" s="7" t="s">
        <v>2167</v>
      </c>
      <c r="H2513" s="1" t="s">
        <v>2095</v>
      </c>
      <c r="I2513"/>
      <c r="J2513" s="4"/>
      <c r="K2513"/>
    </row>
    <row r="2514" spans="1:11" ht="17.25" hidden="1">
      <c r="A2514" s="268"/>
      <c r="E2514" s="283"/>
      <c r="F2514"/>
      <c r="G2514" s="3"/>
      <c r="H2514" s="1" t="s">
        <v>2097</v>
      </c>
      <c r="I2514"/>
      <c r="J2514" s="4"/>
      <c r="K2514"/>
    </row>
    <row r="2515" spans="1:11" ht="17.25" hidden="1">
      <c r="A2515" s="268"/>
      <c r="E2515" s="283"/>
      <c r="F2515"/>
      <c r="G2515" s="3"/>
      <c r="H2515" s="1" t="s">
        <v>2098</v>
      </c>
      <c r="I2515"/>
      <c r="J2515" s="4"/>
      <c r="K2515"/>
    </row>
    <row r="2516" spans="1:11" ht="17.25" hidden="1">
      <c r="A2516" s="268"/>
      <c r="E2516" s="283"/>
      <c r="F2516"/>
      <c r="G2516" s="3"/>
      <c r="H2516" s="1" t="s">
        <v>2099</v>
      </c>
      <c r="I2516"/>
      <c r="J2516" s="4"/>
      <c r="K2516"/>
    </row>
    <row r="2517" spans="1:11" ht="17.25" hidden="1">
      <c r="A2517" s="268"/>
      <c r="E2517" s="283"/>
      <c r="F2517"/>
      <c r="G2517" s="3"/>
      <c r="H2517" s="1" t="s">
        <v>2100</v>
      </c>
      <c r="I2517"/>
      <c r="J2517" s="4"/>
      <c r="K2517"/>
    </row>
    <row r="2518" spans="1:11" ht="17.25" hidden="1">
      <c r="A2518" s="268"/>
      <c r="E2518" s="283"/>
      <c r="F2518"/>
      <c r="G2518" s="3"/>
      <c r="H2518" s="1" t="s">
        <v>2101</v>
      </c>
      <c r="I2518"/>
      <c r="J2518" s="4"/>
      <c r="K2518"/>
    </row>
    <row r="2519" spans="1:11" ht="17.25" hidden="1">
      <c r="A2519" s="268"/>
      <c r="E2519" s="283"/>
      <c r="F2519"/>
      <c r="G2519" s="3"/>
      <c r="H2519" s="5" t="s">
        <v>1530</v>
      </c>
      <c r="I2519"/>
      <c r="J2519" s="4"/>
      <c r="K2519"/>
    </row>
    <row r="2520" spans="1:11" ht="17.25" hidden="1">
      <c r="A2520" s="268"/>
      <c r="E2520" s="283"/>
      <c r="F2520" s="2"/>
      <c r="G2520" s="7"/>
      <c r="H2520" s="1" t="s">
        <v>1750</v>
      </c>
      <c r="I2520"/>
      <c r="J2520" s="4"/>
      <c r="K2520" s="1" t="s">
        <v>940</v>
      </c>
    </row>
    <row r="2521" spans="1:11" ht="17.25" hidden="1">
      <c r="A2521" s="268"/>
      <c r="E2521" s="283"/>
      <c r="F2521"/>
      <c r="G2521" s="3"/>
      <c r="H2521" s="5" t="s">
        <v>1530</v>
      </c>
      <c r="I2521"/>
      <c r="J2521" s="4"/>
      <c r="K2521"/>
    </row>
    <row r="2522" spans="1:11" ht="17.25" hidden="1">
      <c r="A2522" s="268"/>
      <c r="E2522" s="283"/>
      <c r="F2522" s="19">
        <v>1.153E-2</v>
      </c>
      <c r="G2522" s="7" t="s">
        <v>836</v>
      </c>
      <c r="H2522" s="1" t="s">
        <v>660</v>
      </c>
      <c r="I2522" s="8">
        <f t="shared" ref="I2522:I2531" si="81">I1011</f>
        <v>65420</v>
      </c>
      <c r="J2522" s="2" t="s">
        <v>836</v>
      </c>
      <c r="K2522" s="8">
        <f t="shared" ref="K2522:K2531" si="82">(F2522*I2522)</f>
        <v>754.29</v>
      </c>
    </row>
    <row r="2523" spans="1:11" ht="17.25" hidden="1">
      <c r="A2523" s="268"/>
      <c r="E2523" s="283"/>
      <c r="F2523" s="19">
        <v>1.52E-2</v>
      </c>
      <c r="G2523" s="7" t="s">
        <v>836</v>
      </c>
      <c r="H2523" s="1" t="s">
        <v>661</v>
      </c>
      <c r="I2523" s="8">
        <f t="shared" si="81"/>
        <v>57165</v>
      </c>
      <c r="J2523" s="2" t="s">
        <v>836</v>
      </c>
      <c r="K2523" s="8">
        <f t="shared" si="82"/>
        <v>868.91</v>
      </c>
    </row>
    <row r="2524" spans="1:11" hidden="1">
      <c r="A2524" s="268"/>
      <c r="F2524" s="19">
        <v>1.2787999999999999</v>
      </c>
      <c r="G2524" s="7" t="s">
        <v>578</v>
      </c>
      <c r="H2524" s="1" t="s">
        <v>2011</v>
      </c>
      <c r="I2524" s="8">
        <f t="shared" si="81"/>
        <v>381.37</v>
      </c>
      <c r="J2524" s="2" t="s">
        <v>578</v>
      </c>
      <c r="K2524" s="8">
        <f t="shared" si="82"/>
        <v>487.7</v>
      </c>
    </row>
    <row r="2525" spans="1:11" hidden="1">
      <c r="A2525" s="268"/>
      <c r="F2525" s="19">
        <v>1.845</v>
      </c>
      <c r="G2525" s="7" t="s">
        <v>578</v>
      </c>
      <c r="H2525" s="1" t="s">
        <v>2012</v>
      </c>
      <c r="I2525" s="8">
        <f t="shared" si="81"/>
        <v>287</v>
      </c>
      <c r="J2525" s="2" t="s">
        <v>578</v>
      </c>
      <c r="K2525" s="8">
        <f t="shared" si="82"/>
        <v>529.52</v>
      </c>
    </row>
    <row r="2526" spans="1:11" hidden="1">
      <c r="A2526" s="268"/>
      <c r="F2526" s="8">
        <v>2</v>
      </c>
      <c r="G2526" s="7" t="s">
        <v>835</v>
      </c>
      <c r="H2526" s="1" t="s">
        <v>2013</v>
      </c>
      <c r="I2526" s="8">
        <f t="shared" si="81"/>
        <v>30</v>
      </c>
      <c r="J2526" s="2" t="s">
        <v>835</v>
      </c>
      <c r="K2526" s="8">
        <f t="shared" si="82"/>
        <v>60</v>
      </c>
    </row>
    <row r="2527" spans="1:11" hidden="1">
      <c r="A2527" s="268"/>
      <c r="F2527" s="8">
        <v>3</v>
      </c>
      <c r="G2527" s="7" t="s">
        <v>835</v>
      </c>
      <c r="H2527" s="1" t="s">
        <v>1460</v>
      </c>
      <c r="I2527" s="8">
        <f t="shared" si="81"/>
        <v>45</v>
      </c>
      <c r="J2527" s="2" t="s">
        <v>835</v>
      </c>
      <c r="K2527" s="8">
        <f t="shared" si="82"/>
        <v>135</v>
      </c>
    </row>
    <row r="2528" spans="1:11" hidden="1">
      <c r="A2528" s="268"/>
      <c r="F2528" s="8">
        <v>1</v>
      </c>
      <c r="G2528" s="7" t="s">
        <v>835</v>
      </c>
      <c r="H2528" s="1" t="s">
        <v>1910</v>
      </c>
      <c r="I2528" s="8">
        <f t="shared" si="81"/>
        <v>95</v>
      </c>
      <c r="J2528" s="2" t="s">
        <v>835</v>
      </c>
      <c r="K2528" s="8">
        <f t="shared" si="82"/>
        <v>95</v>
      </c>
    </row>
    <row r="2529" spans="1:11" hidden="1">
      <c r="A2529" s="268"/>
      <c r="F2529" s="8">
        <v>1</v>
      </c>
      <c r="G2529" s="7" t="s">
        <v>835</v>
      </c>
      <c r="H2529" s="1" t="s">
        <v>1911</v>
      </c>
      <c r="I2529" s="8">
        <f t="shared" si="81"/>
        <v>8</v>
      </c>
      <c r="J2529" s="2" t="s">
        <v>835</v>
      </c>
      <c r="K2529" s="8">
        <f t="shared" si="82"/>
        <v>8</v>
      </c>
    </row>
    <row r="2530" spans="1:11" hidden="1">
      <c r="A2530" s="268"/>
      <c r="F2530" s="8">
        <v>1</v>
      </c>
      <c r="G2530" s="7" t="s">
        <v>835</v>
      </c>
      <c r="H2530" s="1" t="s">
        <v>1912</v>
      </c>
      <c r="I2530" s="8">
        <f t="shared" si="81"/>
        <v>30</v>
      </c>
      <c r="J2530" s="2" t="s">
        <v>835</v>
      </c>
      <c r="K2530" s="8">
        <f t="shared" si="82"/>
        <v>30</v>
      </c>
    </row>
    <row r="2531" spans="1:11" hidden="1">
      <c r="A2531" s="268"/>
      <c r="F2531" s="8">
        <v>1</v>
      </c>
      <c r="G2531" s="7" t="s">
        <v>835</v>
      </c>
      <c r="H2531" s="1" t="s">
        <v>1913</v>
      </c>
      <c r="I2531" s="8">
        <f t="shared" si="81"/>
        <v>25</v>
      </c>
      <c r="J2531" s="2" t="s">
        <v>835</v>
      </c>
      <c r="K2531" s="8">
        <f t="shared" si="82"/>
        <v>25</v>
      </c>
    </row>
    <row r="2532" spans="1:11" hidden="1">
      <c r="A2532" s="268"/>
      <c r="F2532"/>
      <c r="G2532" s="3"/>
      <c r="H2532"/>
      <c r="I2532"/>
      <c r="J2532" s="4"/>
      <c r="K2532" s="5" t="s">
        <v>1530</v>
      </c>
    </row>
    <row r="2533" spans="1:11" hidden="1">
      <c r="A2533" s="268"/>
      <c r="F2533"/>
      <c r="G2533" s="3"/>
      <c r="H2533" s="2" t="s">
        <v>427</v>
      </c>
      <c r="I2533"/>
      <c r="J2533" s="4"/>
      <c r="K2533" s="8">
        <f>SUM(K2522:K2532)</f>
        <v>2993.42</v>
      </c>
    </row>
    <row r="2534" spans="1:11" hidden="1">
      <c r="A2534" s="268"/>
      <c r="F2534"/>
      <c r="G2534" s="7" t="s">
        <v>940</v>
      </c>
      <c r="H2534"/>
      <c r="I2534"/>
      <c r="J2534" s="4"/>
      <c r="K2534" s="5" t="s">
        <v>1530</v>
      </c>
    </row>
    <row r="2535" spans="1:11" hidden="1">
      <c r="A2535" s="268"/>
      <c r="F2535"/>
      <c r="G2535" s="3"/>
      <c r="H2535" s="2" t="s">
        <v>521</v>
      </c>
      <c r="I2535"/>
      <c r="J2535" s="4"/>
      <c r="K2535" s="8">
        <f>K2533/F2525</f>
        <v>1622.45</v>
      </c>
    </row>
    <row r="2536" spans="1:11" hidden="1">
      <c r="A2536" s="268"/>
      <c r="F2536"/>
      <c r="G2536" s="3"/>
      <c r="H2536"/>
      <c r="I2536"/>
      <c r="J2536" s="4"/>
      <c r="K2536" s="5" t="s">
        <v>1980</v>
      </c>
    </row>
    <row r="2537" spans="1:11" hidden="1">
      <c r="A2537" s="268"/>
      <c r="F2537" s="25">
        <v>98.1</v>
      </c>
      <c r="G2537" s="7" t="s">
        <v>2167</v>
      </c>
      <c r="H2537" s="1" t="s">
        <v>3260</v>
      </c>
      <c r="I2537"/>
      <c r="J2537" s="4"/>
      <c r="K2537"/>
    </row>
    <row r="2538" spans="1:11" hidden="1">
      <c r="A2538" s="268"/>
      <c r="F2538"/>
      <c r="G2538" s="3"/>
      <c r="H2538" s="1" t="s">
        <v>241</v>
      </c>
      <c r="I2538"/>
      <c r="J2538" s="4"/>
      <c r="K2538"/>
    </row>
    <row r="2539" spans="1:11" hidden="1">
      <c r="A2539" s="268"/>
      <c r="F2539"/>
      <c r="G2539" s="3"/>
      <c r="H2539" s="34" t="s">
        <v>2215</v>
      </c>
      <c r="I2539"/>
      <c r="J2539" s="4"/>
      <c r="K2539"/>
    </row>
    <row r="2540" spans="1:11" hidden="1">
      <c r="A2540" s="268"/>
      <c r="F2540"/>
      <c r="G2540" s="3"/>
      <c r="H2540" s="5" t="s">
        <v>1530</v>
      </c>
      <c r="I2540"/>
      <c r="J2540" s="4"/>
      <c r="K2540"/>
    </row>
    <row r="2541" spans="1:11" hidden="1">
      <c r="A2541" s="268"/>
      <c r="F2541"/>
      <c r="G2541" s="3"/>
      <c r="H2541" s="1" t="s">
        <v>2216</v>
      </c>
      <c r="I2541"/>
      <c r="J2541" s="333"/>
      <c r="K2541"/>
    </row>
    <row r="2542" spans="1:11" hidden="1">
      <c r="A2542" s="268"/>
      <c r="F2542"/>
      <c r="G2542" s="3"/>
      <c r="H2542" s="1" t="s">
        <v>2217</v>
      </c>
      <c r="I2542"/>
      <c r="J2542" s="4"/>
      <c r="K2542"/>
    </row>
    <row r="2543" spans="1:11" hidden="1">
      <c r="A2543" s="268"/>
      <c r="F2543"/>
      <c r="G2543" s="3"/>
      <c r="H2543"/>
      <c r="I2543"/>
      <c r="J2543" s="2" t="s">
        <v>1530</v>
      </c>
      <c r="K2543"/>
    </row>
    <row r="2544" spans="1:11" hidden="1">
      <c r="A2544" s="268"/>
      <c r="F2544"/>
      <c r="G2544" s="3"/>
      <c r="H2544" s="1" t="s">
        <v>2218</v>
      </c>
      <c r="I2544"/>
      <c r="J2544" s="4"/>
      <c r="K2544"/>
    </row>
    <row r="2545" spans="1:11" hidden="1">
      <c r="A2545" s="268"/>
      <c r="F2545"/>
      <c r="G2545" s="3"/>
      <c r="H2545" s="1" t="s">
        <v>2595</v>
      </c>
      <c r="I2545"/>
      <c r="J2545" s="4"/>
      <c r="K2545" s="15">
        <v>3.5400000000000001E-2</v>
      </c>
    </row>
    <row r="2546" spans="1:11" hidden="1">
      <c r="A2546" s="268"/>
      <c r="F2546"/>
      <c r="G2546" s="3"/>
      <c r="H2546"/>
      <c r="I2546"/>
      <c r="J2546" s="2" t="s">
        <v>940</v>
      </c>
      <c r="K2546" s="5" t="s">
        <v>1530</v>
      </c>
    </row>
    <row r="2547" spans="1:11" hidden="1">
      <c r="A2547" s="268"/>
      <c r="F2547"/>
      <c r="G2547" s="3"/>
      <c r="H2547" s="1" t="s">
        <v>2596</v>
      </c>
      <c r="I2547"/>
      <c r="J2547" s="271" t="s">
        <v>940</v>
      </c>
      <c r="K2547" s="15">
        <v>2.5899999999999999E-2</v>
      </c>
    </row>
    <row r="2548" spans="1:11" hidden="1">
      <c r="A2548" s="268"/>
      <c r="F2548"/>
      <c r="G2548" s="3"/>
      <c r="H2548" s="1" t="s">
        <v>2597</v>
      </c>
      <c r="I2548"/>
      <c r="J2548" s="2" t="s">
        <v>940</v>
      </c>
      <c r="K2548" s="15">
        <v>6.4999999999999997E-3</v>
      </c>
    </row>
    <row r="2549" spans="1:11" hidden="1">
      <c r="A2549" s="268"/>
      <c r="F2549"/>
      <c r="G2549" s="3"/>
      <c r="H2549"/>
      <c r="I2549"/>
      <c r="J2549" s="4"/>
      <c r="K2549" s="5" t="s">
        <v>1530</v>
      </c>
    </row>
    <row r="2550" spans="1:11" hidden="1">
      <c r="A2550" s="268"/>
      <c r="F2550"/>
      <c r="G2550" s="3"/>
      <c r="H2550"/>
      <c r="I2550"/>
      <c r="J2550" s="4"/>
      <c r="K2550" s="15">
        <v>3.2300000000000002E-2</v>
      </c>
    </row>
    <row r="2551" spans="1:11" hidden="1">
      <c r="A2551" s="268"/>
      <c r="F2551"/>
      <c r="G2551" s="3"/>
      <c r="H2551"/>
      <c r="I2551"/>
      <c r="J2551" s="4"/>
      <c r="K2551" s="5" t="s">
        <v>1530</v>
      </c>
    </row>
    <row r="2552" spans="1:11" hidden="1">
      <c r="A2552" s="268"/>
      <c r="F2552"/>
      <c r="G2552" s="3"/>
      <c r="H2552"/>
      <c r="I2552"/>
      <c r="J2552" s="4"/>
      <c r="K2552"/>
    </row>
    <row r="2553" spans="1:11" hidden="1">
      <c r="A2553" s="268"/>
      <c r="F2553"/>
      <c r="G2553" s="3"/>
      <c r="H2553"/>
      <c r="I2553"/>
      <c r="J2553" s="4"/>
      <c r="K2553"/>
    </row>
    <row r="2554" spans="1:11" hidden="1">
      <c r="A2554" s="268"/>
      <c r="F2554" s="15">
        <v>2.2800000000000001E-2</v>
      </c>
      <c r="G2554" s="7" t="s">
        <v>836</v>
      </c>
      <c r="H2554" s="1" t="s">
        <v>287</v>
      </c>
      <c r="I2554" s="8">
        <f>I910</f>
        <v>65420</v>
      </c>
      <c r="J2554" s="2" t="s">
        <v>836</v>
      </c>
      <c r="K2554" s="8">
        <f t="shared" ref="K2554:K2564" si="83">(F2554*I2554)</f>
        <v>1491.58</v>
      </c>
    </row>
    <row r="2555" spans="1:11" hidden="1">
      <c r="A2555" s="268"/>
      <c r="F2555" s="15">
        <v>3.5400000000000001E-2</v>
      </c>
      <c r="G2555" s="7" t="s">
        <v>836</v>
      </c>
      <c r="H2555" s="1" t="s">
        <v>288</v>
      </c>
      <c r="I2555" s="8">
        <f>I911</f>
        <v>57165</v>
      </c>
      <c r="J2555" s="2" t="s">
        <v>836</v>
      </c>
      <c r="K2555" s="8">
        <f t="shared" si="83"/>
        <v>2023.64</v>
      </c>
    </row>
    <row r="2556" spans="1:11" hidden="1">
      <c r="A2556" s="268"/>
      <c r="F2556" s="15">
        <v>3.2300000000000002E-2</v>
      </c>
      <c r="G2556" s="7" t="s">
        <v>836</v>
      </c>
      <c r="H2556" s="1" t="s">
        <v>289</v>
      </c>
      <c r="I2556" s="8">
        <f>I912</f>
        <v>63870</v>
      </c>
      <c r="J2556" s="2" t="s">
        <v>836</v>
      </c>
      <c r="K2556" s="8">
        <f t="shared" si="83"/>
        <v>2063</v>
      </c>
    </row>
    <row r="2557" spans="1:11" hidden="1">
      <c r="A2557" s="268"/>
      <c r="F2557" s="16"/>
      <c r="G2557" s="3"/>
      <c r="H2557" s="1" t="s">
        <v>909</v>
      </c>
      <c r="I2557" s="8"/>
      <c r="J2557" s="4"/>
      <c r="K2557" s="8">
        <f t="shared" si="83"/>
        <v>0</v>
      </c>
    </row>
    <row r="2558" spans="1:11" hidden="1">
      <c r="A2558" s="268"/>
      <c r="F2558" s="16">
        <v>2.835</v>
      </c>
      <c r="G2558" s="7" t="s">
        <v>578</v>
      </c>
      <c r="H2558" s="1" t="s">
        <v>417</v>
      </c>
      <c r="I2558" s="8">
        <f t="shared" ref="I2558:I2564" si="84">I914</f>
        <v>342</v>
      </c>
      <c r="J2558" s="2" t="s">
        <v>578</v>
      </c>
      <c r="K2558" s="8">
        <f t="shared" si="83"/>
        <v>969.57</v>
      </c>
    </row>
    <row r="2559" spans="1:11" hidden="1">
      <c r="A2559" s="268"/>
      <c r="F2559" s="8">
        <v>2</v>
      </c>
      <c r="G2559" s="7" t="s">
        <v>739</v>
      </c>
      <c r="H2559" s="1" t="s">
        <v>1406</v>
      </c>
      <c r="I2559" s="8">
        <f t="shared" si="84"/>
        <v>30</v>
      </c>
      <c r="J2559" s="2" t="s">
        <v>835</v>
      </c>
      <c r="K2559" s="8">
        <f t="shared" si="83"/>
        <v>60</v>
      </c>
    </row>
    <row r="2560" spans="1:11" hidden="1">
      <c r="A2560" s="268"/>
      <c r="F2560" s="8">
        <v>6</v>
      </c>
      <c r="G2560" s="7" t="s">
        <v>835</v>
      </c>
      <c r="H2560" s="1" t="s">
        <v>1407</v>
      </c>
      <c r="I2560" s="8">
        <f t="shared" si="84"/>
        <v>45</v>
      </c>
      <c r="J2560" s="2" t="s">
        <v>835</v>
      </c>
      <c r="K2560" s="8">
        <f t="shared" si="83"/>
        <v>270</v>
      </c>
    </row>
    <row r="2561" spans="1:11" hidden="1">
      <c r="A2561" s="268"/>
      <c r="F2561" s="8">
        <v>4</v>
      </c>
      <c r="G2561" s="7" t="s">
        <v>835</v>
      </c>
      <c r="H2561" s="1" t="s">
        <v>1408</v>
      </c>
      <c r="I2561" s="8">
        <f t="shared" si="84"/>
        <v>30</v>
      </c>
      <c r="J2561" s="2" t="s">
        <v>835</v>
      </c>
      <c r="K2561" s="8">
        <f t="shared" si="83"/>
        <v>120</v>
      </c>
    </row>
    <row r="2562" spans="1:11" hidden="1">
      <c r="A2562" s="268"/>
      <c r="F2562" s="8">
        <v>1</v>
      </c>
      <c r="G2562" s="7" t="s">
        <v>835</v>
      </c>
      <c r="H2562" s="1" t="s">
        <v>1409</v>
      </c>
      <c r="I2562" s="8">
        <f t="shared" si="84"/>
        <v>95</v>
      </c>
      <c r="J2562" s="2" t="s">
        <v>835</v>
      </c>
      <c r="K2562" s="8">
        <f t="shared" si="83"/>
        <v>95</v>
      </c>
    </row>
    <row r="2563" spans="1:11" hidden="1">
      <c r="A2563" s="268"/>
      <c r="F2563" s="8">
        <v>2</v>
      </c>
      <c r="G2563" s="7" t="s">
        <v>835</v>
      </c>
      <c r="H2563" s="1" t="s">
        <v>1410</v>
      </c>
      <c r="I2563" s="8">
        <f t="shared" si="84"/>
        <v>8</v>
      </c>
      <c r="J2563" s="2" t="s">
        <v>835</v>
      </c>
      <c r="K2563" s="8">
        <f t="shared" si="83"/>
        <v>16</v>
      </c>
    </row>
    <row r="2564" spans="1:11" hidden="1">
      <c r="A2564" s="268"/>
      <c r="F2564" s="8">
        <v>2</v>
      </c>
      <c r="G2564" s="7" t="s">
        <v>835</v>
      </c>
      <c r="H2564" s="1" t="s">
        <v>1913</v>
      </c>
      <c r="I2564" s="8">
        <f t="shared" si="84"/>
        <v>25</v>
      </c>
      <c r="J2564" s="2" t="s">
        <v>835</v>
      </c>
      <c r="K2564" s="8">
        <f t="shared" si="83"/>
        <v>50</v>
      </c>
    </row>
    <row r="2565" spans="1:11" hidden="1">
      <c r="A2565" s="268"/>
      <c r="F2565"/>
      <c r="G2565" s="3"/>
      <c r="H2565"/>
      <c r="I2565"/>
      <c r="J2565" s="4"/>
      <c r="K2565" s="5" t="s">
        <v>1530</v>
      </c>
    </row>
    <row r="2566" spans="1:11" hidden="1">
      <c r="A2566" s="268"/>
      <c r="F2566"/>
      <c r="G2566" s="3"/>
      <c r="H2566" s="1" t="s">
        <v>3261</v>
      </c>
      <c r="I2566"/>
      <c r="J2566" s="4"/>
      <c r="K2566" s="8">
        <f>SUM(K2554:K2564)</f>
        <v>7158.79</v>
      </c>
    </row>
    <row r="2567" spans="1:11" hidden="1">
      <c r="A2567" s="268"/>
      <c r="F2567"/>
      <c r="G2567" s="3"/>
      <c r="H2567"/>
      <c r="I2567"/>
      <c r="J2567" s="4"/>
      <c r="K2567" s="5" t="s">
        <v>1530</v>
      </c>
    </row>
    <row r="2568" spans="1:11" hidden="1">
      <c r="A2568" s="268"/>
      <c r="F2568"/>
      <c r="G2568" s="3"/>
      <c r="H2568" s="1" t="s">
        <v>521</v>
      </c>
      <c r="I2568"/>
      <c r="J2568" s="4"/>
      <c r="K2568" s="8">
        <f>K2566/F2558</f>
        <v>2525.15</v>
      </c>
    </row>
    <row r="2569" spans="1:11" hidden="1">
      <c r="A2569" s="268"/>
      <c r="F2569"/>
      <c r="G2569" s="3"/>
      <c r="H2569" s="1"/>
      <c r="I2569"/>
      <c r="J2569" s="4"/>
      <c r="K2569" s="5" t="s">
        <v>1980</v>
      </c>
    </row>
    <row r="2570" spans="1:11" hidden="1">
      <c r="A2570" s="268"/>
      <c r="F2570"/>
      <c r="G2570" s="3"/>
      <c r="H2570" s="34" t="s">
        <v>675</v>
      </c>
      <c r="I2570"/>
      <c r="J2570" s="4"/>
      <c r="K2570"/>
    </row>
    <row r="2571" spans="1:11" hidden="1">
      <c r="A2571" s="268"/>
      <c r="F2571"/>
      <c r="G2571" s="3"/>
      <c r="H2571" s="5" t="s">
        <v>1530</v>
      </c>
      <c r="I2571"/>
      <c r="J2571" s="4"/>
      <c r="K2571"/>
    </row>
    <row r="2572" spans="1:11" hidden="1">
      <c r="A2572" s="268"/>
      <c r="F2572"/>
      <c r="G2572" s="3"/>
      <c r="H2572" s="1" t="s">
        <v>392</v>
      </c>
      <c r="I2572"/>
      <c r="J2572" s="333"/>
      <c r="K2572"/>
    </row>
    <row r="2573" spans="1:11" hidden="1">
      <c r="A2573" s="268"/>
      <c r="F2573"/>
      <c r="G2573" s="3"/>
      <c r="H2573" s="1" t="s">
        <v>2217</v>
      </c>
      <c r="I2573"/>
      <c r="J2573" s="4"/>
      <c r="K2573"/>
    </row>
    <row r="2574" spans="1:11" hidden="1">
      <c r="A2574" s="268"/>
      <c r="F2574"/>
      <c r="G2574" s="3"/>
      <c r="H2574"/>
      <c r="I2574"/>
      <c r="J2574" s="2" t="s">
        <v>1530</v>
      </c>
      <c r="K2574"/>
    </row>
    <row r="2575" spans="1:11" hidden="1">
      <c r="A2575" s="268"/>
      <c r="F2575"/>
      <c r="G2575" s="3"/>
      <c r="H2575" s="1" t="s">
        <v>3262</v>
      </c>
      <c r="I2575"/>
      <c r="J2575" s="4"/>
      <c r="K2575"/>
    </row>
    <row r="2576" spans="1:11" hidden="1">
      <c r="A2576" s="268"/>
      <c r="F2576"/>
      <c r="G2576" s="3"/>
      <c r="H2576" s="1" t="s">
        <v>3263</v>
      </c>
      <c r="I2576"/>
      <c r="J2576" s="4"/>
      <c r="K2576" s="15">
        <v>2.5000000000000001E-2</v>
      </c>
    </row>
    <row r="2577" spans="1:11" hidden="1">
      <c r="A2577" s="268"/>
      <c r="F2577"/>
      <c r="G2577" s="3"/>
      <c r="H2577"/>
      <c r="I2577"/>
      <c r="J2577" s="2" t="s">
        <v>940</v>
      </c>
      <c r="K2577" s="5" t="s">
        <v>1530</v>
      </c>
    </row>
    <row r="2578" spans="1:11" hidden="1">
      <c r="A2578" s="268"/>
      <c r="F2578"/>
      <c r="G2578" s="3"/>
      <c r="H2578" s="1" t="s">
        <v>3264</v>
      </c>
      <c r="I2578"/>
      <c r="J2578" s="271" t="s">
        <v>940</v>
      </c>
      <c r="K2578" s="15">
        <v>1.7850000000000001E-2</v>
      </c>
    </row>
    <row r="2579" spans="1:11" hidden="1">
      <c r="A2579" s="268"/>
      <c r="F2579"/>
      <c r="G2579" s="3"/>
      <c r="H2579" s="1" t="s">
        <v>2996</v>
      </c>
      <c r="I2579"/>
      <c r="J2579" s="2" t="s">
        <v>940</v>
      </c>
      <c r="K2579" s="15">
        <v>1.4500000000000001E-2</v>
      </c>
    </row>
    <row r="2580" spans="1:11" hidden="1">
      <c r="A2580" s="268"/>
      <c r="F2580"/>
      <c r="G2580" s="3"/>
      <c r="H2580"/>
      <c r="I2580"/>
      <c r="J2580" s="4"/>
      <c r="K2580" s="5" t="s">
        <v>1530</v>
      </c>
    </row>
    <row r="2581" spans="1:11" hidden="1">
      <c r="A2581" s="268"/>
      <c r="F2581"/>
      <c r="G2581" s="3"/>
      <c r="H2581"/>
      <c r="I2581"/>
      <c r="J2581" s="4"/>
      <c r="K2581" s="15">
        <v>2.23E-2</v>
      </c>
    </row>
    <row r="2582" spans="1:11" hidden="1">
      <c r="A2582" s="268"/>
      <c r="F2582"/>
      <c r="G2582" s="3"/>
      <c r="H2582"/>
      <c r="I2582"/>
      <c r="J2582" s="4"/>
      <c r="K2582" s="5" t="s">
        <v>1530</v>
      </c>
    </row>
    <row r="2583" spans="1:11" hidden="1">
      <c r="A2583" s="268"/>
      <c r="F2583"/>
      <c r="G2583" s="3"/>
      <c r="H2583"/>
      <c r="I2583"/>
      <c r="J2583" s="4"/>
      <c r="K2583"/>
    </row>
    <row r="2584" spans="1:11" hidden="1">
      <c r="A2584" s="268"/>
      <c r="F2584"/>
      <c r="G2584" s="3"/>
      <c r="H2584"/>
      <c r="I2584"/>
      <c r="J2584" s="4"/>
      <c r="K2584"/>
    </row>
    <row r="2585" spans="1:11" hidden="1">
      <c r="A2585" s="268"/>
      <c r="F2585" s="15">
        <v>2.2800000000000001E-2</v>
      </c>
      <c r="G2585" s="7" t="s">
        <v>836</v>
      </c>
      <c r="H2585" s="1" t="s">
        <v>287</v>
      </c>
      <c r="I2585" s="8">
        <f>I2554</f>
        <v>65420</v>
      </c>
      <c r="J2585" s="2" t="s">
        <v>836</v>
      </c>
      <c r="K2585" s="8">
        <f>(F2585*I2585)</f>
        <v>1491.58</v>
      </c>
    </row>
    <row r="2586" spans="1:11" hidden="1">
      <c r="A2586" s="268"/>
      <c r="F2586" s="15">
        <v>2.5000000000000001E-2</v>
      </c>
      <c r="G2586" s="7" t="s">
        <v>836</v>
      </c>
      <c r="H2586" s="1" t="s">
        <v>288</v>
      </c>
      <c r="I2586" s="8">
        <f>I2555</f>
        <v>57165</v>
      </c>
      <c r="J2586" s="2" t="s">
        <v>836</v>
      </c>
      <c r="K2586" s="8">
        <f>(F2586*I2586)</f>
        <v>1429.13</v>
      </c>
    </row>
    <row r="2587" spans="1:11" hidden="1">
      <c r="A2587" s="268"/>
      <c r="F2587" s="15">
        <v>2.23E-2</v>
      </c>
      <c r="G2587" s="7" t="s">
        <v>836</v>
      </c>
      <c r="H2587" s="1" t="s">
        <v>289</v>
      </c>
      <c r="I2587" s="8">
        <f>I2556</f>
        <v>63870</v>
      </c>
      <c r="J2587" s="2" t="s">
        <v>836</v>
      </c>
      <c r="K2587" s="8">
        <f>(F2587*I2587)</f>
        <v>1424.3</v>
      </c>
    </row>
    <row r="2588" spans="1:11" hidden="1">
      <c r="A2588" s="268"/>
      <c r="F2588" s="16"/>
      <c r="G2588" s="3"/>
      <c r="H2588" s="1" t="s">
        <v>909</v>
      </c>
      <c r="I2588" s="8"/>
      <c r="J2588" s="4"/>
      <c r="K2588" s="1" t="s">
        <v>940</v>
      </c>
    </row>
    <row r="2589" spans="1:11" hidden="1">
      <c r="A2589" s="268"/>
      <c r="F2589" s="16">
        <v>2.2275</v>
      </c>
      <c r="G2589" s="7" t="s">
        <v>578</v>
      </c>
      <c r="H2589" s="1" t="s">
        <v>417</v>
      </c>
      <c r="I2589" s="8">
        <f t="shared" ref="I2589:I2595" si="85">I2558</f>
        <v>342</v>
      </c>
      <c r="J2589" s="2" t="s">
        <v>578</v>
      </c>
      <c r="K2589" s="8">
        <f t="shared" ref="K2589:K2595" si="86">(F2589*I2589)</f>
        <v>761.81</v>
      </c>
    </row>
    <row r="2590" spans="1:11" hidden="1">
      <c r="A2590" s="268"/>
      <c r="F2590" s="8">
        <v>2</v>
      </c>
      <c r="G2590" s="7" t="s">
        <v>739</v>
      </c>
      <c r="H2590" s="1" t="s">
        <v>1406</v>
      </c>
      <c r="I2590" s="8">
        <f t="shared" si="85"/>
        <v>30</v>
      </c>
      <c r="J2590" s="2" t="s">
        <v>835</v>
      </c>
      <c r="K2590" s="8">
        <f t="shared" si="86"/>
        <v>60</v>
      </c>
    </row>
    <row r="2591" spans="1:11" hidden="1">
      <c r="A2591" s="268"/>
      <c r="F2591" s="8">
        <v>6</v>
      </c>
      <c r="G2591" s="7" t="s">
        <v>835</v>
      </c>
      <c r="H2591" s="1" t="s">
        <v>1407</v>
      </c>
      <c r="I2591" s="8">
        <f t="shared" si="85"/>
        <v>45</v>
      </c>
      <c r="J2591" s="2" t="s">
        <v>835</v>
      </c>
      <c r="K2591" s="8">
        <f t="shared" si="86"/>
        <v>270</v>
      </c>
    </row>
    <row r="2592" spans="1:11" hidden="1">
      <c r="A2592" s="268"/>
      <c r="F2592" s="8">
        <v>4</v>
      </c>
      <c r="G2592" s="7" t="s">
        <v>835</v>
      </c>
      <c r="H2592" s="1" t="s">
        <v>1408</v>
      </c>
      <c r="I2592" s="8">
        <f t="shared" si="85"/>
        <v>30</v>
      </c>
      <c r="J2592" s="2" t="s">
        <v>835</v>
      </c>
      <c r="K2592" s="8">
        <f t="shared" si="86"/>
        <v>120</v>
      </c>
    </row>
    <row r="2593" spans="1:11" hidden="1">
      <c r="A2593" s="268"/>
      <c r="F2593" s="8">
        <v>1</v>
      </c>
      <c r="G2593" s="7" t="s">
        <v>835</v>
      </c>
      <c r="H2593" s="1" t="s">
        <v>1409</v>
      </c>
      <c r="I2593" s="8">
        <f t="shared" si="85"/>
        <v>95</v>
      </c>
      <c r="J2593" s="2" t="s">
        <v>835</v>
      </c>
      <c r="K2593" s="8">
        <f t="shared" si="86"/>
        <v>95</v>
      </c>
    </row>
    <row r="2594" spans="1:11" hidden="1">
      <c r="A2594" s="268"/>
      <c r="F2594" s="8">
        <v>2</v>
      </c>
      <c r="G2594" s="7" t="s">
        <v>835</v>
      </c>
      <c r="H2594" s="1" t="s">
        <v>1410</v>
      </c>
      <c r="I2594" s="8">
        <f t="shared" si="85"/>
        <v>8</v>
      </c>
      <c r="J2594" s="2" t="s">
        <v>835</v>
      </c>
      <c r="K2594" s="8">
        <f t="shared" si="86"/>
        <v>16</v>
      </c>
    </row>
    <row r="2595" spans="1:11" hidden="1">
      <c r="A2595" s="268"/>
      <c r="F2595" s="8">
        <v>2</v>
      </c>
      <c r="G2595" s="7" t="s">
        <v>835</v>
      </c>
      <c r="H2595" s="1" t="s">
        <v>1913</v>
      </c>
      <c r="I2595" s="8">
        <f t="shared" si="85"/>
        <v>25</v>
      </c>
      <c r="J2595" s="2" t="s">
        <v>835</v>
      </c>
      <c r="K2595" s="8">
        <f t="shared" si="86"/>
        <v>50</v>
      </c>
    </row>
    <row r="2596" spans="1:11" hidden="1">
      <c r="A2596" s="268"/>
      <c r="F2596"/>
      <c r="G2596" s="3"/>
      <c r="H2596"/>
      <c r="I2596"/>
      <c r="J2596" s="4"/>
      <c r="K2596" s="5" t="s">
        <v>1530</v>
      </c>
    </row>
    <row r="2597" spans="1:11" hidden="1">
      <c r="A2597" s="268"/>
      <c r="F2597"/>
      <c r="G2597" s="3"/>
      <c r="H2597" s="1" t="s">
        <v>728</v>
      </c>
      <c r="I2597"/>
      <c r="J2597" s="4"/>
      <c r="K2597" s="8">
        <f>SUM(K2585:K2595)</f>
        <v>5717.82</v>
      </c>
    </row>
    <row r="2598" spans="1:11" hidden="1">
      <c r="A2598" s="268"/>
      <c r="F2598"/>
      <c r="G2598" s="3"/>
      <c r="H2598"/>
      <c r="I2598"/>
      <c r="J2598" s="4"/>
      <c r="K2598" s="5" t="s">
        <v>1530</v>
      </c>
    </row>
    <row r="2599" spans="1:11" hidden="1">
      <c r="A2599" s="268"/>
      <c r="F2599"/>
      <c r="G2599" s="3"/>
      <c r="H2599" s="1" t="s">
        <v>521</v>
      </c>
      <c r="I2599"/>
      <c r="J2599" s="4"/>
      <c r="K2599" s="8">
        <f>K2597/F2589</f>
        <v>2566.92</v>
      </c>
    </row>
    <row r="2600" spans="1:11" hidden="1">
      <c r="A2600" s="268"/>
      <c r="F2600"/>
      <c r="G2600" s="3"/>
      <c r="H2600" s="1"/>
      <c r="I2600"/>
      <c r="J2600" s="4"/>
      <c r="K2600" s="5" t="s">
        <v>1980</v>
      </c>
    </row>
    <row r="2601" spans="1:11" hidden="1">
      <c r="A2601" s="268"/>
      <c r="F2601"/>
      <c r="G2601" s="3"/>
      <c r="H2601"/>
      <c r="I2601"/>
      <c r="J2601" s="4"/>
      <c r="K2601"/>
    </row>
    <row r="2602" spans="1:11" hidden="1">
      <c r="A2602" s="268"/>
      <c r="F2602">
        <v>55.2</v>
      </c>
      <c r="G2602" s="3"/>
      <c r="H2602" s="4" t="s">
        <v>2997</v>
      </c>
      <c r="I2602"/>
      <c r="J2602" s="4"/>
      <c r="K2602"/>
    </row>
    <row r="2603" spans="1:11" hidden="1">
      <c r="A2603" s="268"/>
      <c r="F2603"/>
      <c r="G2603" s="3"/>
      <c r="H2603" s="334" t="s">
        <v>1530</v>
      </c>
      <c r="I2603"/>
      <c r="J2603" s="4"/>
      <c r="K2603"/>
    </row>
    <row r="2604" spans="1:11" hidden="1">
      <c r="A2604" s="268"/>
      <c r="F2604">
        <v>1</v>
      </c>
      <c r="G2604" s="3" t="s">
        <v>1337</v>
      </c>
      <c r="H2604" t="s">
        <v>2998</v>
      </c>
      <c r="I2604">
        <v>650</v>
      </c>
      <c r="J2604" s="4" t="s">
        <v>1337</v>
      </c>
      <c r="K2604">
        <f>F2604*I2604</f>
        <v>650</v>
      </c>
    </row>
    <row r="2605" spans="1:11" hidden="1">
      <c r="A2605" s="268"/>
      <c r="F2605">
        <v>0.5</v>
      </c>
      <c r="G2605" s="3" t="s">
        <v>1337</v>
      </c>
      <c r="H2605" t="s">
        <v>1983</v>
      </c>
      <c r="I2605">
        <f>C15</f>
        <v>130</v>
      </c>
      <c r="J2605" s="4" t="s">
        <v>1337</v>
      </c>
      <c r="K2605">
        <f>F2605*I2605</f>
        <v>65</v>
      </c>
    </row>
    <row r="2606" spans="1:11" hidden="1">
      <c r="A2606" s="268"/>
      <c r="F2606">
        <v>0.5</v>
      </c>
      <c r="G2606" s="3" t="s">
        <v>1337</v>
      </c>
      <c r="H2606" t="s">
        <v>2999</v>
      </c>
      <c r="I2606">
        <f>C10</f>
        <v>150</v>
      </c>
      <c r="J2606" s="4" t="s">
        <v>1337</v>
      </c>
      <c r="K2606">
        <f>F2606*I2606</f>
        <v>75</v>
      </c>
    </row>
    <row r="2607" spans="1:11" hidden="1">
      <c r="A2607" s="268"/>
      <c r="F2607">
        <v>0.5</v>
      </c>
      <c r="G2607" s="3" t="s">
        <v>1337</v>
      </c>
      <c r="H2607" t="s">
        <v>2712</v>
      </c>
      <c r="I2607">
        <f>C12</f>
        <v>95</v>
      </c>
      <c r="J2607" s="4" t="s">
        <v>1337</v>
      </c>
      <c r="K2607">
        <f>F2607*I2607</f>
        <v>47.5</v>
      </c>
    </row>
    <row r="2608" spans="1:11" hidden="1">
      <c r="A2608" s="268"/>
      <c r="F2608"/>
      <c r="G2608" s="3"/>
      <c r="H2608"/>
      <c r="I2608"/>
      <c r="J2608" s="4"/>
      <c r="K2608" s="331" t="s">
        <v>1530</v>
      </c>
    </row>
    <row r="2609" spans="1:11" hidden="1">
      <c r="A2609" s="268"/>
      <c r="F2609"/>
      <c r="G2609" s="3"/>
      <c r="H2609"/>
      <c r="I2609"/>
      <c r="J2609" s="4"/>
      <c r="K2609">
        <f>SUM(K2604:K2608)</f>
        <v>837.5</v>
      </c>
    </row>
    <row r="2610" spans="1:11" hidden="1">
      <c r="A2610" s="268"/>
      <c r="F2610"/>
      <c r="G2610" s="3"/>
      <c r="H2610"/>
      <c r="I2610"/>
      <c r="J2610" s="4"/>
      <c r="K2610" s="331" t="s">
        <v>1980</v>
      </c>
    </row>
    <row r="2611" spans="1:11" hidden="1">
      <c r="A2611" s="268"/>
      <c r="F2611">
        <v>44.2</v>
      </c>
      <c r="G2611" s="3" t="s">
        <v>2167</v>
      </c>
      <c r="H2611" t="s">
        <v>3000</v>
      </c>
      <c r="I2611"/>
      <c r="J2611" s="4"/>
      <c r="K2611"/>
    </row>
    <row r="2612" spans="1:11" hidden="1">
      <c r="A2612" s="268"/>
      <c r="F2612"/>
      <c r="G2612" s="3"/>
      <c r="H2612" s="56" t="s">
        <v>3292</v>
      </c>
      <c r="I2612"/>
      <c r="J2612" s="4"/>
      <c r="K2612"/>
    </row>
    <row r="2613" spans="1:11" hidden="1">
      <c r="A2613" s="268"/>
      <c r="F2613">
        <v>0.47</v>
      </c>
      <c r="G2613" s="3" t="s">
        <v>1289</v>
      </c>
      <c r="H2613" t="s">
        <v>335</v>
      </c>
      <c r="I2613">
        <f>K88</f>
        <v>52.93</v>
      </c>
      <c r="J2613" s="4" t="s">
        <v>2070</v>
      </c>
      <c r="K2613">
        <f>I2613*F2613</f>
        <v>24.88</v>
      </c>
    </row>
    <row r="2614" spans="1:11" hidden="1">
      <c r="A2614" s="268"/>
      <c r="F2614">
        <v>4.9000000000000004</v>
      </c>
      <c r="G2614" s="3" t="s">
        <v>794</v>
      </c>
      <c r="H2614" t="s">
        <v>3001</v>
      </c>
      <c r="I2614">
        <f>K2629</f>
        <v>50.58</v>
      </c>
      <c r="J2614" s="4" t="s">
        <v>794</v>
      </c>
      <c r="K2614">
        <f>I2614*F2614</f>
        <v>247.84</v>
      </c>
    </row>
    <row r="2615" spans="1:11" hidden="1">
      <c r="A2615" s="268"/>
      <c r="F2615">
        <v>0.59</v>
      </c>
      <c r="G2615" s="3" t="s">
        <v>1289</v>
      </c>
      <c r="H2615" t="s">
        <v>1128</v>
      </c>
      <c r="I2615" t="e">
        <f>AC15</f>
        <v>#REF!</v>
      </c>
      <c r="J2615" s="4" t="s">
        <v>2070</v>
      </c>
      <c r="K2615" t="e">
        <f>I2615*F2615</f>
        <v>#REF!</v>
      </c>
    </row>
    <row r="2616" spans="1:11" hidden="1">
      <c r="A2616" s="268"/>
      <c r="F2616">
        <v>0.79</v>
      </c>
      <c r="G2616" s="3" t="s">
        <v>2199</v>
      </c>
      <c r="H2616" t="s">
        <v>1129</v>
      </c>
      <c r="I2616" t="e">
        <f>K630</f>
        <v>#REF!</v>
      </c>
      <c r="J2616" s="4" t="s">
        <v>2199</v>
      </c>
      <c r="K2616" t="e">
        <f>I2616*F2616</f>
        <v>#REF!</v>
      </c>
    </row>
    <row r="2617" spans="1:11" hidden="1">
      <c r="A2617" s="268"/>
      <c r="F2617">
        <v>0.24</v>
      </c>
      <c r="G2617" s="3" t="s">
        <v>1289</v>
      </c>
      <c r="H2617" t="s">
        <v>875</v>
      </c>
      <c r="I2617" t="e">
        <f>AC17</f>
        <v>#REF!</v>
      </c>
      <c r="J2617" s="4" t="s">
        <v>2070</v>
      </c>
      <c r="K2617" t="e">
        <f>I2617*F2617</f>
        <v>#REF!</v>
      </c>
    </row>
    <row r="2618" spans="1:11" hidden="1">
      <c r="A2618" s="268"/>
      <c r="F2618"/>
      <c r="G2618" s="3"/>
      <c r="H2618" t="s">
        <v>2187</v>
      </c>
      <c r="I2618"/>
      <c r="J2618" s="4"/>
      <c r="K2618"/>
    </row>
    <row r="2619" spans="1:11" hidden="1">
      <c r="A2619" s="268"/>
      <c r="F2619"/>
      <c r="G2619" s="3"/>
      <c r="H2619"/>
      <c r="I2619"/>
      <c r="J2619" s="4"/>
      <c r="K2619" s="56" t="s">
        <v>3002</v>
      </c>
    </row>
    <row r="2620" spans="1:11" hidden="1">
      <c r="A2620" s="268"/>
      <c r="F2620"/>
      <c r="G2620" s="3"/>
      <c r="H2620"/>
      <c r="I2620"/>
      <c r="J2620" s="4"/>
      <c r="K2620" t="e">
        <f>SUM(K2613:K2619)</f>
        <v>#REF!</v>
      </c>
    </row>
    <row r="2621" spans="1:11" hidden="1">
      <c r="A2621" s="268"/>
      <c r="F2621"/>
      <c r="G2621" s="3"/>
      <c r="H2621"/>
      <c r="I2621"/>
      <c r="J2621" s="4"/>
      <c r="K2621" s="56" t="s">
        <v>33</v>
      </c>
    </row>
    <row r="2622" spans="1:11" hidden="1">
      <c r="A2622" s="268"/>
      <c r="F2622"/>
      <c r="G2622" s="3"/>
      <c r="H2622" s="196" t="s">
        <v>3003</v>
      </c>
      <c r="I2622"/>
      <c r="J2622" s="4"/>
      <c r="K2622"/>
    </row>
    <row r="2623" spans="1:11" hidden="1">
      <c r="A2623" s="268"/>
      <c r="F2623"/>
      <c r="G2623" s="3"/>
      <c r="H2623"/>
      <c r="I2623"/>
      <c r="J2623" s="4"/>
      <c r="K2623"/>
    </row>
    <row r="2624" spans="1:11" hidden="1">
      <c r="A2624" s="268"/>
      <c r="F2624">
        <v>0.25</v>
      </c>
      <c r="G2624" s="3" t="s">
        <v>1337</v>
      </c>
      <c r="H2624" t="s">
        <v>435</v>
      </c>
      <c r="I2624">
        <f>C11</f>
        <v>135</v>
      </c>
      <c r="J2624" s="4" t="s">
        <v>1341</v>
      </c>
      <c r="K2624">
        <f>I2624*F2624</f>
        <v>33.75</v>
      </c>
    </row>
    <row r="2625" spans="1:11" hidden="1">
      <c r="A2625" s="268"/>
      <c r="F2625">
        <v>1</v>
      </c>
      <c r="G2625" s="3" t="s">
        <v>1337</v>
      </c>
      <c r="H2625" t="s">
        <v>326</v>
      </c>
      <c r="I2625">
        <f>C12</f>
        <v>95</v>
      </c>
      <c r="J2625" s="4" t="s">
        <v>1341</v>
      </c>
      <c r="K2625">
        <f>I2625*F2625</f>
        <v>95</v>
      </c>
    </row>
    <row r="2626" spans="1:11" hidden="1">
      <c r="A2626" s="268"/>
      <c r="F2626">
        <v>1</v>
      </c>
      <c r="G2626" s="3"/>
      <c r="H2626" t="s">
        <v>3004</v>
      </c>
      <c r="I2626">
        <v>23</v>
      </c>
      <c r="J2626" s="4" t="s">
        <v>419</v>
      </c>
      <c r="K2626">
        <f>I2626*F2626</f>
        <v>23</v>
      </c>
    </row>
    <row r="2627" spans="1:11" hidden="1">
      <c r="A2627" s="268"/>
      <c r="F2627"/>
      <c r="G2627" s="3"/>
      <c r="H2627"/>
      <c r="I2627"/>
      <c r="J2627" s="4"/>
      <c r="K2627" s="56" t="s">
        <v>3002</v>
      </c>
    </row>
    <row r="2628" spans="1:11" hidden="1">
      <c r="A2628" s="268"/>
      <c r="F2628"/>
      <c r="G2628" s="3"/>
      <c r="H2628" t="s">
        <v>3005</v>
      </c>
      <c r="I2628"/>
      <c r="J2628" s="4"/>
      <c r="K2628">
        <f>SUM(K2624:K2627)</f>
        <v>151.75</v>
      </c>
    </row>
    <row r="2629" spans="1:11" hidden="1">
      <c r="A2629" s="268"/>
      <c r="F2629"/>
      <c r="G2629" s="3"/>
      <c r="H2629" t="s">
        <v>3006</v>
      </c>
      <c r="I2629"/>
      <c r="J2629" s="4"/>
      <c r="K2629">
        <f>K2628/3</f>
        <v>50.58</v>
      </c>
    </row>
    <row r="2630" spans="1:11" hidden="1">
      <c r="A2630" s="268"/>
      <c r="F2630"/>
      <c r="G2630" s="3"/>
      <c r="H2630"/>
      <c r="I2630"/>
      <c r="J2630" s="4"/>
      <c r="K2630" s="331" t="s">
        <v>1530</v>
      </c>
    </row>
    <row r="2631" spans="1:11" ht="40.5" hidden="1" customHeight="1">
      <c r="A2631" s="268"/>
      <c r="F2631">
        <v>84</v>
      </c>
      <c r="G2631" s="3"/>
      <c r="H2631" s="330" t="s">
        <v>3007</v>
      </c>
      <c r="I2631"/>
      <c r="J2631" s="4"/>
      <c r="K2631"/>
    </row>
    <row r="2632" spans="1:11" hidden="1">
      <c r="A2632" s="268"/>
      <c r="F2632"/>
      <c r="G2632" s="3"/>
      <c r="H2632" s="331" t="s">
        <v>1530</v>
      </c>
      <c r="I2632"/>
      <c r="J2632" s="4"/>
      <c r="K2632"/>
    </row>
    <row r="2633" spans="1:11" ht="31.5" hidden="1">
      <c r="A2633" s="268"/>
      <c r="F2633" s="330">
        <v>180</v>
      </c>
      <c r="G2633" s="330" t="s">
        <v>794</v>
      </c>
      <c r="H2633" s="330" t="s">
        <v>3008</v>
      </c>
      <c r="I2633" s="330">
        <v>15.6</v>
      </c>
      <c r="J2633" s="330" t="s">
        <v>794</v>
      </c>
      <c r="K2633" s="330">
        <f t="shared" ref="K2633:K2640" si="87">I2633*F2633</f>
        <v>2808</v>
      </c>
    </row>
    <row r="2634" spans="1:11" hidden="1">
      <c r="A2634" s="268"/>
      <c r="F2634" s="330">
        <v>4</v>
      </c>
      <c r="G2634" s="330" t="s">
        <v>1591</v>
      </c>
      <c r="H2634" s="330" t="s">
        <v>3272</v>
      </c>
      <c r="I2634" s="330">
        <v>37</v>
      </c>
      <c r="J2634" s="330" t="s">
        <v>1591</v>
      </c>
      <c r="K2634" s="330">
        <f t="shared" si="87"/>
        <v>148</v>
      </c>
    </row>
    <row r="2635" spans="1:11" hidden="1">
      <c r="A2635" s="268"/>
      <c r="F2635" s="330">
        <v>180</v>
      </c>
      <c r="G2635" s="330" t="s">
        <v>1375</v>
      </c>
      <c r="H2635" s="330" t="s">
        <v>3273</v>
      </c>
      <c r="I2635" s="330">
        <v>0.25</v>
      </c>
      <c r="J2635" s="330" t="s">
        <v>1341</v>
      </c>
      <c r="K2635" s="330">
        <f t="shared" si="87"/>
        <v>45</v>
      </c>
    </row>
    <row r="2636" spans="1:11" hidden="1">
      <c r="A2636" s="268"/>
      <c r="F2636" s="330">
        <v>1</v>
      </c>
      <c r="G2636" s="330" t="s">
        <v>1591</v>
      </c>
      <c r="H2636" s="330" t="s">
        <v>3274</v>
      </c>
      <c r="I2636" s="330">
        <v>37</v>
      </c>
      <c r="J2636" s="330" t="s">
        <v>1591</v>
      </c>
      <c r="K2636" s="330">
        <f t="shared" si="87"/>
        <v>37</v>
      </c>
    </row>
    <row r="2637" spans="1:11" hidden="1">
      <c r="A2637" s="268"/>
      <c r="F2637" s="330">
        <v>1</v>
      </c>
      <c r="G2637" s="330" t="s">
        <v>1375</v>
      </c>
      <c r="H2637" s="330" t="s">
        <v>3275</v>
      </c>
      <c r="I2637" s="330">
        <v>148</v>
      </c>
      <c r="J2637" s="330" t="s">
        <v>1341</v>
      </c>
      <c r="K2637" s="330">
        <f t="shared" si="87"/>
        <v>148</v>
      </c>
    </row>
    <row r="2638" spans="1:11" hidden="1">
      <c r="A2638" s="268"/>
      <c r="F2638" s="330">
        <v>2</v>
      </c>
      <c r="G2638" s="330" t="s">
        <v>1375</v>
      </c>
      <c r="H2638" s="330" t="s">
        <v>3276</v>
      </c>
      <c r="I2638" s="330">
        <v>131</v>
      </c>
      <c r="J2638" s="330" t="s">
        <v>1341</v>
      </c>
      <c r="K2638" s="330">
        <f t="shared" si="87"/>
        <v>262</v>
      </c>
    </row>
    <row r="2639" spans="1:11" hidden="1">
      <c r="A2639" s="268"/>
      <c r="F2639" s="330">
        <v>2</v>
      </c>
      <c r="G2639" s="330" t="s">
        <v>1375</v>
      </c>
      <c r="H2639" s="330" t="s">
        <v>3277</v>
      </c>
      <c r="I2639" s="330">
        <v>117</v>
      </c>
      <c r="J2639" s="330" t="s">
        <v>1341</v>
      </c>
      <c r="K2639" s="330">
        <f t="shared" si="87"/>
        <v>234</v>
      </c>
    </row>
    <row r="2640" spans="1:11" hidden="1">
      <c r="A2640" s="268"/>
      <c r="F2640" s="330">
        <v>3</v>
      </c>
      <c r="G2640" s="330" t="s">
        <v>1375</v>
      </c>
      <c r="H2640" s="330" t="s">
        <v>2246</v>
      </c>
      <c r="I2640" s="330">
        <v>91</v>
      </c>
      <c r="J2640" s="330" t="s">
        <v>1341</v>
      </c>
      <c r="K2640" s="330">
        <f t="shared" si="87"/>
        <v>273</v>
      </c>
    </row>
    <row r="2641" spans="1:11" hidden="1">
      <c r="A2641" s="268"/>
      <c r="F2641" s="330"/>
      <c r="G2641" s="330"/>
      <c r="H2641" s="330" t="s">
        <v>3278</v>
      </c>
      <c r="I2641" s="330"/>
      <c r="J2641" s="330"/>
      <c r="K2641" s="330">
        <v>5</v>
      </c>
    </row>
    <row r="2642" spans="1:11" hidden="1">
      <c r="A2642" s="268"/>
      <c r="F2642" s="330"/>
      <c r="G2642" s="330"/>
      <c r="H2642" s="330"/>
      <c r="I2642" s="330"/>
      <c r="J2642" s="330"/>
      <c r="K2642" s="335" t="s">
        <v>1530</v>
      </c>
    </row>
    <row r="2643" spans="1:11" hidden="1">
      <c r="A2643" s="268"/>
      <c r="F2643" s="330"/>
      <c r="G2643" s="330"/>
      <c r="H2643" s="330" t="s">
        <v>3279</v>
      </c>
      <c r="I2643" s="330"/>
      <c r="J2643" s="330"/>
      <c r="K2643" s="330">
        <f>SUM(K2633:K2642)</f>
        <v>3960</v>
      </c>
    </row>
    <row r="2644" spans="1:11" hidden="1">
      <c r="A2644" s="268"/>
      <c r="F2644" s="330"/>
      <c r="G2644" s="330"/>
      <c r="H2644" s="330"/>
      <c r="I2644" s="330"/>
      <c r="J2644" s="330"/>
      <c r="K2644" s="335" t="s">
        <v>1530</v>
      </c>
    </row>
    <row r="2645" spans="1:11" hidden="1">
      <c r="A2645" s="268"/>
      <c r="F2645" s="330"/>
      <c r="G2645" s="330"/>
      <c r="H2645" s="330" t="s">
        <v>3280</v>
      </c>
      <c r="I2645" s="330"/>
      <c r="J2645" s="330"/>
      <c r="K2645" s="330">
        <f>K2643/90</f>
        <v>44</v>
      </c>
    </row>
    <row r="2646" spans="1:11" hidden="1">
      <c r="A2646" s="268"/>
      <c r="F2646" s="330"/>
      <c r="G2646" s="330"/>
      <c r="H2646" s="330"/>
      <c r="I2646" s="330"/>
      <c r="J2646" s="330"/>
      <c r="K2646" s="335" t="s">
        <v>1980</v>
      </c>
    </row>
    <row r="2647" spans="1:11" hidden="1">
      <c r="A2647" s="268"/>
      <c r="F2647" s="25"/>
      <c r="G2647" s="3"/>
      <c r="H2647" s="1" t="s">
        <v>1928</v>
      </c>
      <c r="I2647"/>
      <c r="J2647" s="4"/>
      <c r="K2647"/>
    </row>
    <row r="2648" spans="1:11" hidden="1">
      <c r="A2648" s="268"/>
      <c r="F2648"/>
      <c r="G2648" s="3"/>
      <c r="H2648" s="5" t="s">
        <v>1530</v>
      </c>
      <c r="I2648" s="5" t="s">
        <v>1530</v>
      </c>
      <c r="J2648" s="2" t="s">
        <v>1530</v>
      </c>
      <c r="K2648"/>
    </row>
    <row r="2649" spans="1:11" hidden="1">
      <c r="A2649" s="268"/>
      <c r="F2649"/>
      <c r="G2649" s="3"/>
      <c r="H2649"/>
      <c r="I2649"/>
      <c r="J2649" s="4"/>
      <c r="K2649"/>
    </row>
    <row r="2650" spans="1:11" hidden="1">
      <c r="A2650" s="268"/>
      <c r="F2650" s="29">
        <v>22.5</v>
      </c>
      <c r="G2650" s="3"/>
      <c r="H2650" s="1" t="s">
        <v>1929</v>
      </c>
      <c r="I2650"/>
      <c r="J2650" s="4"/>
      <c r="K2650"/>
    </row>
    <row r="2651" spans="1:11" hidden="1">
      <c r="A2651" s="268"/>
      <c r="F2651"/>
      <c r="G2651" s="3"/>
      <c r="H2651" s="1"/>
      <c r="I2651"/>
      <c r="J2651" s="4"/>
      <c r="K2651"/>
    </row>
    <row r="2652" spans="1:11" hidden="1">
      <c r="A2652" s="268"/>
      <c r="F2652"/>
      <c r="G2652" s="3"/>
      <c r="H2652" s="1" t="s">
        <v>1930</v>
      </c>
      <c r="I2652"/>
      <c r="J2652" s="4"/>
      <c r="K2652"/>
    </row>
    <row r="2653" spans="1:11" hidden="1">
      <c r="A2653" s="268"/>
      <c r="F2653"/>
      <c r="G2653" s="3"/>
      <c r="H2653" s="1" t="s">
        <v>424</v>
      </c>
      <c r="I2653"/>
      <c r="J2653" s="4"/>
      <c r="K2653"/>
    </row>
    <row r="2654" spans="1:11" hidden="1">
      <c r="A2654" s="268"/>
      <c r="F2654"/>
      <c r="G2654" s="3"/>
      <c r="H2654" s="1" t="s">
        <v>425</v>
      </c>
      <c r="I2654"/>
      <c r="J2654" s="4"/>
      <c r="K2654"/>
    </row>
    <row r="2655" spans="1:11" hidden="1">
      <c r="A2655" s="268"/>
      <c r="F2655"/>
      <c r="G2655" s="3"/>
      <c r="H2655" s="1" t="s">
        <v>426</v>
      </c>
      <c r="I2655"/>
      <c r="J2655" s="4"/>
      <c r="K2655"/>
    </row>
    <row r="2656" spans="1:11" hidden="1">
      <c r="A2656" s="268"/>
      <c r="F2656"/>
      <c r="G2656" s="3"/>
      <c r="H2656" s="1" t="s">
        <v>848</v>
      </c>
      <c r="I2656"/>
      <c r="J2656" s="2" t="s">
        <v>940</v>
      </c>
      <c r="K2656" s="15">
        <v>3.7699999999999997E-2</v>
      </c>
    </row>
    <row r="2657" spans="1:11" hidden="1">
      <c r="A2657" s="268"/>
      <c r="F2657"/>
      <c r="G2657" s="3"/>
      <c r="H2657" s="1" t="s">
        <v>663</v>
      </c>
      <c r="I2657"/>
      <c r="J2657" s="271" t="s">
        <v>940</v>
      </c>
      <c r="K2657" s="18" t="s">
        <v>940</v>
      </c>
    </row>
    <row r="2658" spans="1:11" hidden="1">
      <c r="A2658" s="268"/>
      <c r="F2658"/>
      <c r="G2658" s="3"/>
      <c r="H2658" s="1" t="s">
        <v>1765</v>
      </c>
      <c r="I2658"/>
      <c r="J2658" s="4"/>
      <c r="K2658" s="18" t="s">
        <v>940</v>
      </c>
    </row>
    <row r="2659" spans="1:11" hidden="1">
      <c r="A2659" s="268"/>
      <c r="F2659"/>
      <c r="G2659" s="3"/>
      <c r="H2659" s="1"/>
      <c r="I2659"/>
      <c r="J2659" s="4"/>
      <c r="K2659" s="18"/>
    </row>
    <row r="2660" spans="1:11" hidden="1">
      <c r="A2660" s="268"/>
      <c r="F2660"/>
      <c r="G2660" s="3"/>
      <c r="H2660" s="1"/>
      <c r="I2660"/>
      <c r="J2660" s="4"/>
      <c r="K2660" s="18"/>
    </row>
    <row r="2661" spans="1:11" hidden="1">
      <c r="A2661" s="268"/>
      <c r="F2661"/>
      <c r="G2661" s="3"/>
      <c r="H2661"/>
      <c r="I2661"/>
      <c r="J2661" s="4"/>
      <c r="K2661"/>
    </row>
    <row r="2662" spans="1:11" hidden="1">
      <c r="A2662" s="268"/>
      <c r="F2662" s="19">
        <v>1.18E-2</v>
      </c>
      <c r="G2662" s="7" t="s">
        <v>836</v>
      </c>
      <c r="H2662" s="1" t="s">
        <v>660</v>
      </c>
      <c r="I2662" s="8">
        <f t="shared" ref="I2662:I2671" si="88">I2260</f>
        <v>65420</v>
      </c>
      <c r="J2662" s="2" t="s">
        <v>836</v>
      </c>
      <c r="K2662" s="8">
        <f t="shared" ref="K2662:K2671" si="89">(F2662*I2662)</f>
        <v>771.96</v>
      </c>
    </row>
    <row r="2663" spans="1:11" hidden="1">
      <c r="A2663" s="268"/>
      <c r="F2663" s="19">
        <v>3.7699999999999997E-2</v>
      </c>
      <c r="G2663" s="7" t="s">
        <v>836</v>
      </c>
      <c r="H2663" s="1" t="s">
        <v>661</v>
      </c>
      <c r="I2663" s="8">
        <f t="shared" si="88"/>
        <v>57165</v>
      </c>
      <c r="J2663" s="2" t="s">
        <v>836</v>
      </c>
      <c r="K2663" s="8">
        <f t="shared" si="89"/>
        <v>2155.12</v>
      </c>
    </row>
    <row r="2664" spans="1:11" hidden="1">
      <c r="A2664" s="268"/>
      <c r="F2664" s="19">
        <v>1.8550000000000001E-2</v>
      </c>
      <c r="G2664" s="7" t="s">
        <v>836</v>
      </c>
      <c r="H2664" s="1" t="s">
        <v>853</v>
      </c>
      <c r="I2664" s="8">
        <f t="shared" si="88"/>
        <v>3035</v>
      </c>
      <c r="J2664" s="2" t="s">
        <v>836</v>
      </c>
      <c r="K2664" s="8">
        <f t="shared" si="89"/>
        <v>56.3</v>
      </c>
    </row>
    <row r="2665" spans="1:11" hidden="1">
      <c r="A2665" s="268"/>
      <c r="F2665" s="19">
        <v>1.36</v>
      </c>
      <c r="G2665" s="7" t="s">
        <v>578</v>
      </c>
      <c r="H2665" s="1" t="s">
        <v>854</v>
      </c>
      <c r="I2665" s="8">
        <f t="shared" si="88"/>
        <v>385.89</v>
      </c>
      <c r="J2665" s="2" t="s">
        <v>578</v>
      </c>
      <c r="K2665" s="8">
        <f t="shared" si="89"/>
        <v>524.80999999999995</v>
      </c>
    </row>
    <row r="2666" spans="1:11" hidden="1">
      <c r="A2666" s="268"/>
      <c r="F2666" s="19">
        <v>2.0499999999999998</v>
      </c>
      <c r="G2666" s="7" t="s">
        <v>578</v>
      </c>
      <c r="H2666" s="1" t="s">
        <v>1449</v>
      </c>
      <c r="I2666" s="8">
        <f t="shared" si="88"/>
        <v>287</v>
      </c>
      <c r="J2666" s="2" t="s">
        <v>578</v>
      </c>
      <c r="K2666" s="8">
        <f t="shared" si="89"/>
        <v>588.35</v>
      </c>
    </row>
    <row r="2667" spans="1:11" hidden="1">
      <c r="A2667" s="268"/>
      <c r="F2667" s="8">
        <v>2</v>
      </c>
      <c r="G2667" s="7" t="s">
        <v>835</v>
      </c>
      <c r="H2667" s="1" t="s">
        <v>1332</v>
      </c>
      <c r="I2667" s="8">
        <f t="shared" si="88"/>
        <v>25</v>
      </c>
      <c r="J2667" s="2" t="s">
        <v>835</v>
      </c>
      <c r="K2667" s="8">
        <f t="shared" si="89"/>
        <v>50</v>
      </c>
    </row>
    <row r="2668" spans="1:11" hidden="1">
      <c r="A2668" s="268"/>
      <c r="F2668" s="8">
        <v>6</v>
      </c>
      <c r="G2668" s="7" t="s">
        <v>835</v>
      </c>
      <c r="H2668" s="1" t="s">
        <v>1291</v>
      </c>
      <c r="I2668" s="8">
        <f t="shared" si="88"/>
        <v>25</v>
      </c>
      <c r="J2668" s="2" t="s">
        <v>835</v>
      </c>
      <c r="K2668" s="8">
        <f t="shared" si="89"/>
        <v>150</v>
      </c>
    </row>
    <row r="2669" spans="1:11" hidden="1">
      <c r="A2669" s="268"/>
      <c r="F2669" s="8">
        <v>2</v>
      </c>
      <c r="G2669" s="7" t="s">
        <v>835</v>
      </c>
      <c r="H2669" s="1" t="s">
        <v>1333</v>
      </c>
      <c r="I2669" s="8">
        <f t="shared" si="88"/>
        <v>35</v>
      </c>
      <c r="J2669" s="2" t="s">
        <v>835</v>
      </c>
      <c r="K2669" s="8">
        <f t="shared" si="89"/>
        <v>70</v>
      </c>
    </row>
    <row r="2670" spans="1:11" hidden="1">
      <c r="A2670" s="268"/>
      <c r="F2670" s="8">
        <v>1</v>
      </c>
      <c r="G2670" s="7" t="s">
        <v>835</v>
      </c>
      <c r="H2670" s="1" t="s">
        <v>1360</v>
      </c>
      <c r="I2670" s="8">
        <f t="shared" si="88"/>
        <v>60</v>
      </c>
      <c r="J2670" s="2" t="s">
        <v>835</v>
      </c>
      <c r="K2670" s="8">
        <f t="shared" si="89"/>
        <v>60</v>
      </c>
    </row>
    <row r="2671" spans="1:11" hidden="1">
      <c r="A2671" s="268"/>
      <c r="F2671" s="8">
        <v>2.52</v>
      </c>
      <c r="G2671" s="7" t="s">
        <v>578</v>
      </c>
      <c r="H2671" s="1" t="s">
        <v>1655</v>
      </c>
      <c r="I2671" s="8">
        <f t="shared" si="88"/>
        <v>51.25</v>
      </c>
      <c r="J2671" s="2" t="s">
        <v>578</v>
      </c>
      <c r="K2671" s="8">
        <f t="shared" si="89"/>
        <v>129.15</v>
      </c>
    </row>
    <row r="2672" spans="1:11" hidden="1">
      <c r="A2672" s="268"/>
      <c r="F2672"/>
      <c r="G2672" s="3"/>
      <c r="H2672" s="1" t="s">
        <v>1357</v>
      </c>
      <c r="I2672" s="2" t="s">
        <v>419</v>
      </c>
      <c r="J2672" s="4"/>
      <c r="K2672" s="8">
        <v>0.28000000000000003</v>
      </c>
    </row>
    <row r="2673" spans="1:11" hidden="1">
      <c r="A2673" s="268"/>
      <c r="F2673"/>
      <c r="G2673" s="3"/>
      <c r="H2673"/>
      <c r="I2673"/>
      <c r="J2673" s="4"/>
      <c r="K2673" s="5" t="s">
        <v>1530</v>
      </c>
    </row>
    <row r="2674" spans="1:11" hidden="1">
      <c r="A2674" s="268"/>
      <c r="F2674"/>
      <c r="G2674" s="3"/>
      <c r="H2674" s="2" t="s">
        <v>1358</v>
      </c>
      <c r="I2674"/>
      <c r="J2674" s="4"/>
      <c r="K2674" s="8">
        <f>SUM(K2662:K2672)</f>
        <v>4555.97</v>
      </c>
    </row>
    <row r="2675" spans="1:11" hidden="1">
      <c r="A2675" s="268"/>
      <c r="F2675"/>
      <c r="G2675" s="7" t="s">
        <v>940</v>
      </c>
      <c r="H2675"/>
      <c r="I2675"/>
      <c r="J2675" s="4"/>
      <c r="K2675" s="5" t="s">
        <v>1530</v>
      </c>
    </row>
    <row r="2676" spans="1:11" hidden="1">
      <c r="A2676" s="268"/>
      <c r="F2676"/>
      <c r="G2676" s="3"/>
      <c r="H2676" s="2" t="s">
        <v>521</v>
      </c>
      <c r="I2676"/>
      <c r="J2676" s="4"/>
      <c r="K2676" s="8">
        <f>K2674/F2671</f>
        <v>1807.92</v>
      </c>
    </row>
    <row r="2677" spans="1:11" hidden="1">
      <c r="A2677" s="268"/>
      <c r="F2677"/>
      <c r="G2677" s="3"/>
      <c r="H2677"/>
      <c r="I2677"/>
      <c r="J2677" s="4"/>
      <c r="K2677" s="5" t="s">
        <v>1980</v>
      </c>
    </row>
    <row r="2678" spans="1:11" hidden="1">
      <c r="A2678" s="268"/>
      <c r="F2678" s="330">
        <v>44.4</v>
      </c>
      <c r="G2678" s="330"/>
      <c r="H2678" s="330" t="s">
        <v>3281</v>
      </c>
      <c r="I2678" s="330"/>
      <c r="J2678" s="330"/>
      <c r="K2678" s="330"/>
    </row>
    <row r="2679" spans="1:11" hidden="1">
      <c r="A2679" s="268"/>
      <c r="F2679" s="330"/>
      <c r="G2679" s="330"/>
      <c r="H2679" s="331" t="s">
        <v>1530</v>
      </c>
      <c r="I2679" s="330"/>
      <c r="J2679" s="330"/>
      <c r="K2679" s="330"/>
    </row>
    <row r="2680" spans="1:11" hidden="1">
      <c r="A2680" s="268"/>
      <c r="F2680" s="330">
        <v>4.9000000000000004</v>
      </c>
      <c r="G2680" s="330" t="s">
        <v>794</v>
      </c>
      <c r="H2680" s="330" t="s">
        <v>3282</v>
      </c>
      <c r="I2680" s="330">
        <v>49.01</v>
      </c>
      <c r="J2680" s="330" t="s">
        <v>794</v>
      </c>
      <c r="K2680" s="330">
        <f>F2680*I2680</f>
        <v>240.15</v>
      </c>
    </row>
    <row r="2681" spans="1:11" hidden="1">
      <c r="A2681" s="268"/>
      <c r="F2681" s="330">
        <v>0.12</v>
      </c>
      <c r="G2681" s="330" t="s">
        <v>836</v>
      </c>
      <c r="H2681" s="330" t="s">
        <v>3283</v>
      </c>
      <c r="I2681" s="330" t="e">
        <f>AC15</f>
        <v>#REF!</v>
      </c>
      <c r="J2681" s="330" t="s">
        <v>836</v>
      </c>
      <c r="K2681" s="330" t="e">
        <f>F2681*I2681</f>
        <v>#REF!</v>
      </c>
    </row>
    <row r="2682" spans="1:11" hidden="1">
      <c r="A2682" s="268"/>
      <c r="F2682" s="336">
        <v>0.18</v>
      </c>
      <c r="G2682" s="330" t="s">
        <v>836</v>
      </c>
      <c r="H2682" s="330" t="s">
        <v>3284</v>
      </c>
      <c r="I2682" s="330" t="e">
        <f>AC14</f>
        <v>#REF!</v>
      </c>
      <c r="J2682" s="330" t="s">
        <v>836</v>
      </c>
      <c r="K2682" s="330" t="e">
        <f>F2682*I2682</f>
        <v>#REF!</v>
      </c>
    </row>
    <row r="2683" spans="1:11" hidden="1">
      <c r="A2683" s="268"/>
      <c r="F2683" s="330">
        <v>0.05</v>
      </c>
      <c r="G2683" s="330" t="s">
        <v>836</v>
      </c>
      <c r="H2683" s="330" t="s">
        <v>3285</v>
      </c>
      <c r="I2683" s="330" t="e">
        <f>AC16</f>
        <v>#REF!</v>
      </c>
      <c r="J2683" s="330" t="s">
        <v>836</v>
      </c>
      <c r="K2683" s="330" t="e">
        <f>F2683*I2683</f>
        <v>#REF!</v>
      </c>
    </row>
    <row r="2684" spans="1:11" hidden="1">
      <c r="A2684" s="268"/>
      <c r="F2684" s="330"/>
      <c r="G2684" s="330"/>
      <c r="H2684" s="330"/>
      <c r="I2684" s="330"/>
      <c r="J2684" s="330"/>
      <c r="K2684" s="335" t="s">
        <v>1530</v>
      </c>
    </row>
    <row r="2685" spans="1:11" hidden="1">
      <c r="A2685" s="268"/>
      <c r="F2685" s="330"/>
      <c r="G2685" s="330"/>
      <c r="H2685" s="330" t="s">
        <v>3031</v>
      </c>
      <c r="I2685" s="330"/>
      <c r="J2685" s="330"/>
      <c r="K2685" s="330" t="e">
        <f>SUM(K2680:K2684)</f>
        <v>#REF!</v>
      </c>
    </row>
    <row r="2686" spans="1:11" hidden="1">
      <c r="A2686" s="268"/>
      <c r="F2686" s="330"/>
      <c r="G2686" s="330"/>
      <c r="H2686" s="330"/>
      <c r="I2686" s="330"/>
      <c r="J2686" s="330"/>
      <c r="K2686" s="335" t="s">
        <v>1530</v>
      </c>
    </row>
    <row r="2687" spans="1:11" hidden="1">
      <c r="A2687" s="268"/>
      <c r="F2687" s="330"/>
      <c r="G2687" s="330"/>
      <c r="H2687" s="330" t="s">
        <v>3032</v>
      </c>
      <c r="I2687" s="330"/>
      <c r="J2687" s="330"/>
      <c r="K2687" s="330" t="e">
        <f>K2685/F2680</f>
        <v>#REF!</v>
      </c>
    </row>
    <row r="2688" spans="1:11" hidden="1">
      <c r="A2688" s="268"/>
      <c r="F2688" s="330"/>
      <c r="G2688" s="330"/>
      <c r="H2688" s="330"/>
      <c r="I2688" s="330"/>
      <c r="J2688" s="330"/>
      <c r="K2688" s="335" t="s">
        <v>1980</v>
      </c>
    </row>
    <row r="2689" spans="1:11" ht="63" hidden="1">
      <c r="A2689" s="268"/>
      <c r="F2689" s="330">
        <v>44.5</v>
      </c>
      <c r="G2689" s="330"/>
      <c r="H2689" s="330" t="s">
        <v>3295</v>
      </c>
      <c r="I2689" s="330"/>
      <c r="J2689" s="330"/>
      <c r="K2689" s="330"/>
    </row>
    <row r="2690" spans="1:11" hidden="1">
      <c r="A2690" s="268"/>
      <c r="F2690" s="330"/>
      <c r="G2690" s="330"/>
      <c r="H2690" s="331" t="s">
        <v>1530</v>
      </c>
      <c r="I2690" s="330"/>
      <c r="J2690" s="330"/>
      <c r="K2690" s="330"/>
    </row>
    <row r="2691" spans="1:11" hidden="1">
      <c r="A2691" s="268"/>
      <c r="F2691" s="330">
        <v>0.38</v>
      </c>
      <c r="G2691" s="330" t="s">
        <v>2070</v>
      </c>
      <c r="H2691" s="330" t="s">
        <v>335</v>
      </c>
      <c r="I2691" s="330">
        <f>I2613</f>
        <v>52.93</v>
      </c>
      <c r="J2691" s="330" t="s">
        <v>836</v>
      </c>
      <c r="K2691" s="330">
        <f>I2691*F2691</f>
        <v>20.11</v>
      </c>
    </row>
    <row r="2692" spans="1:11" hidden="1">
      <c r="A2692" s="268"/>
      <c r="F2692" s="330">
        <v>0.38</v>
      </c>
      <c r="G2692" s="330" t="s">
        <v>2070</v>
      </c>
      <c r="H2692" s="330" t="s">
        <v>3296</v>
      </c>
      <c r="I2692" s="330" t="e">
        <f>AC15</f>
        <v>#REF!</v>
      </c>
      <c r="J2692" s="330" t="s">
        <v>836</v>
      </c>
      <c r="K2692" s="330" t="e">
        <f>I2692*F2692</f>
        <v>#REF!</v>
      </c>
    </row>
    <row r="2693" spans="1:11" hidden="1">
      <c r="A2693" s="268"/>
      <c r="F2693" s="330">
        <v>0.12</v>
      </c>
      <c r="G2693" s="3" t="s">
        <v>2070</v>
      </c>
      <c r="H2693" s="330" t="s">
        <v>3297</v>
      </c>
      <c r="I2693" t="e">
        <f>K614</f>
        <v>#REF!</v>
      </c>
      <c r="J2693" s="330" t="s">
        <v>836</v>
      </c>
      <c r="K2693" s="330" t="e">
        <f>I2693*F2693</f>
        <v>#REF!</v>
      </c>
    </row>
    <row r="2694" spans="1:11" hidden="1">
      <c r="A2694" s="268"/>
      <c r="F2694" s="330">
        <v>9.6</v>
      </c>
      <c r="G2694" s="330" t="s">
        <v>1591</v>
      </c>
      <c r="H2694" s="330" t="s">
        <v>3298</v>
      </c>
      <c r="I2694">
        <f>AC32</f>
        <v>28000</v>
      </c>
      <c r="J2694" s="330" t="s">
        <v>494</v>
      </c>
      <c r="K2694" s="330">
        <f>I2694*F2694/1000</f>
        <v>268.8</v>
      </c>
    </row>
    <row r="2695" spans="1:11" hidden="1">
      <c r="A2695" s="268"/>
      <c r="F2695"/>
      <c r="G2695" s="3"/>
      <c r="H2695"/>
      <c r="I2695"/>
      <c r="J2695" s="4"/>
      <c r="K2695" s="331" t="s">
        <v>1530</v>
      </c>
    </row>
    <row r="2696" spans="1:11" hidden="1">
      <c r="A2696" s="268"/>
      <c r="F2696"/>
      <c r="G2696" s="3"/>
      <c r="H2696" s="330" t="s">
        <v>3299</v>
      </c>
      <c r="I2696"/>
      <c r="J2696" s="4"/>
      <c r="K2696" t="e">
        <f>SUM(K2691:K2695)</f>
        <v>#REF!</v>
      </c>
    </row>
    <row r="2697" spans="1:11" hidden="1">
      <c r="A2697" s="268"/>
      <c r="F2697"/>
      <c r="G2697" s="3"/>
      <c r="H2697"/>
      <c r="I2697"/>
      <c r="J2697" s="4"/>
      <c r="K2697" s="331" t="s">
        <v>1980</v>
      </c>
    </row>
    <row r="2698" spans="1:11" ht="63" hidden="1">
      <c r="A2698" s="268"/>
      <c r="F2698" s="337">
        <v>71.3</v>
      </c>
      <c r="G2698" s="338"/>
      <c r="H2698" s="339" t="s">
        <v>3300</v>
      </c>
      <c r="I2698" s="223"/>
      <c r="J2698" s="340"/>
      <c r="K2698" s="223"/>
    </row>
    <row r="2699" spans="1:11" hidden="1">
      <c r="A2699" s="268"/>
      <c r="F2699" s="223"/>
      <c r="G2699" s="338"/>
      <c r="H2699" s="341" t="s">
        <v>2295</v>
      </c>
      <c r="I2699" s="223"/>
      <c r="J2699" s="340"/>
      <c r="K2699" s="223"/>
    </row>
    <row r="2700" spans="1:11" hidden="1">
      <c r="A2700" s="268"/>
      <c r="F2700" s="223">
        <v>1</v>
      </c>
      <c r="G2700" s="338" t="s">
        <v>1337</v>
      </c>
      <c r="H2700" s="223" t="s">
        <v>3009</v>
      </c>
      <c r="I2700" s="223"/>
      <c r="J2700" s="340">
        <v>1880</v>
      </c>
      <c r="K2700" s="223">
        <f>J2700*F2700</f>
        <v>1880</v>
      </c>
    </row>
    <row r="2701" spans="1:11" hidden="1">
      <c r="A2701" s="268"/>
      <c r="F2701" s="223">
        <v>1</v>
      </c>
      <c r="G2701" s="338" t="s">
        <v>1337</v>
      </c>
      <c r="H2701" s="223" t="s">
        <v>3010</v>
      </c>
      <c r="I2701" s="223"/>
      <c r="J2701" s="340">
        <v>480</v>
      </c>
      <c r="K2701" s="223">
        <f>J2701*F2701</f>
        <v>480</v>
      </c>
    </row>
    <row r="2702" spans="1:11" hidden="1">
      <c r="A2702" s="268"/>
      <c r="F2702" s="223"/>
      <c r="G2702" s="338"/>
      <c r="H2702" s="223" t="s">
        <v>3011</v>
      </c>
      <c r="I2702" s="223"/>
      <c r="J2702" s="340"/>
      <c r="K2702" s="223">
        <v>35.67</v>
      </c>
    </row>
    <row r="2703" spans="1:11" hidden="1">
      <c r="A2703" s="268"/>
      <c r="F2703" s="223"/>
      <c r="G2703" s="338"/>
      <c r="H2703" s="223" t="s">
        <v>1758</v>
      </c>
      <c r="I2703" s="223"/>
      <c r="J2703" s="340"/>
      <c r="K2703" s="223">
        <f>K2711</f>
        <v>104.33</v>
      </c>
    </row>
    <row r="2704" spans="1:11" hidden="1">
      <c r="A2704" s="268"/>
      <c r="F2704" s="223"/>
      <c r="G2704" s="338"/>
      <c r="H2704" s="223"/>
      <c r="I2704" s="223"/>
      <c r="J2704" s="340"/>
      <c r="K2704" s="342" t="s">
        <v>3002</v>
      </c>
    </row>
    <row r="2705" spans="1:11" hidden="1">
      <c r="A2705" s="268"/>
      <c r="F2705" s="223"/>
      <c r="G2705" s="338"/>
      <c r="H2705" s="223"/>
      <c r="I2705" s="223"/>
      <c r="J2705" s="340"/>
      <c r="K2705" s="223">
        <f>SUM(K2700:K2704)</f>
        <v>2500</v>
      </c>
    </row>
    <row r="2706" spans="1:11" hidden="1">
      <c r="A2706" s="268"/>
      <c r="F2706" s="223"/>
      <c r="G2706" s="338"/>
      <c r="H2706" s="223" t="s">
        <v>878</v>
      </c>
      <c r="I2706" s="223"/>
      <c r="J2706" s="340"/>
      <c r="K2706" s="342" t="s">
        <v>33</v>
      </c>
    </row>
    <row r="2707" spans="1:11" hidden="1">
      <c r="A2707" s="268"/>
      <c r="F2707" s="223">
        <v>1</v>
      </c>
      <c r="G2707" s="338" t="s">
        <v>1337</v>
      </c>
      <c r="H2707" s="223" t="s">
        <v>3012</v>
      </c>
      <c r="I2707" s="223">
        <v>131</v>
      </c>
      <c r="J2707" s="340" t="s">
        <v>1341</v>
      </c>
      <c r="K2707" s="223">
        <f>I2707*F2707</f>
        <v>131</v>
      </c>
    </row>
    <row r="2708" spans="1:11" hidden="1">
      <c r="A2708" s="268"/>
      <c r="F2708" s="223">
        <v>2</v>
      </c>
      <c r="G2708" s="338" t="s">
        <v>1375</v>
      </c>
      <c r="H2708" s="223" t="s">
        <v>3013</v>
      </c>
      <c r="I2708" s="223">
        <v>91</v>
      </c>
      <c r="J2708" s="340" t="s">
        <v>1341</v>
      </c>
      <c r="K2708" s="223">
        <f>I2708*F2708</f>
        <v>182</v>
      </c>
    </row>
    <row r="2709" spans="1:11" hidden="1">
      <c r="A2709" s="268"/>
      <c r="F2709" s="223"/>
      <c r="G2709" s="338"/>
      <c r="H2709" s="223"/>
      <c r="I2709" s="223"/>
      <c r="J2709" s="340"/>
      <c r="K2709" s="342" t="s">
        <v>3014</v>
      </c>
    </row>
    <row r="2710" spans="1:11" hidden="1">
      <c r="A2710" s="268"/>
      <c r="F2710" s="223"/>
      <c r="G2710" s="338"/>
      <c r="H2710" s="338" t="s">
        <v>3015</v>
      </c>
      <c r="I2710" s="223"/>
      <c r="J2710" s="340"/>
      <c r="K2710" s="223">
        <f>SUM(K2707:K2709)</f>
        <v>313</v>
      </c>
    </row>
    <row r="2711" spans="1:11" hidden="1">
      <c r="A2711" s="268"/>
      <c r="F2711" s="223"/>
      <c r="G2711" s="338"/>
      <c r="H2711" s="338" t="s">
        <v>3016</v>
      </c>
      <c r="I2711" s="223"/>
      <c r="J2711" s="340"/>
      <c r="K2711" s="223">
        <f>K2710/3</f>
        <v>104.33</v>
      </c>
    </row>
    <row r="2712" spans="1:11" hidden="1">
      <c r="A2712" s="268"/>
      <c r="F2712"/>
      <c r="G2712" s="3"/>
      <c r="H2712"/>
      <c r="I2712"/>
      <c r="J2712" s="4"/>
      <c r="K2712"/>
    </row>
    <row r="2713" spans="1:11" ht="15.75" hidden="1" customHeight="1">
      <c r="A2713" s="268"/>
      <c r="F2713" s="343">
        <v>79.400000000000006</v>
      </c>
      <c r="G2713" s="54"/>
      <c r="H2713" s="1482" t="s">
        <v>2641</v>
      </c>
      <c r="I2713" s="1482"/>
      <c r="J2713" s="345"/>
      <c r="K2713" s="55"/>
    </row>
    <row r="2714" spans="1:11" hidden="1">
      <c r="A2714" s="268"/>
      <c r="F2714" s="346"/>
      <c r="G2714" s="54"/>
      <c r="H2714" s="344"/>
      <c r="I2714" s="344"/>
      <c r="J2714" s="345"/>
      <c r="K2714" s="55"/>
    </row>
    <row r="2715" spans="1:11" hidden="1">
      <c r="A2715" s="268"/>
      <c r="F2715" s="55">
        <v>3</v>
      </c>
      <c r="G2715" s="54" t="s">
        <v>1375</v>
      </c>
      <c r="H2715" s="55" t="s">
        <v>2642</v>
      </c>
      <c r="I2715" s="106">
        <v>190</v>
      </c>
      <c r="J2715" s="345" t="s">
        <v>1341</v>
      </c>
      <c r="K2715" s="55">
        <f>I2715*F2715</f>
        <v>570</v>
      </c>
    </row>
    <row r="2716" spans="1:11" hidden="1">
      <c r="A2716" s="268"/>
      <c r="F2716" s="55">
        <v>1</v>
      </c>
      <c r="G2716" s="54" t="s">
        <v>1337</v>
      </c>
      <c r="H2716" s="55" t="s">
        <v>2643</v>
      </c>
      <c r="I2716" s="55">
        <v>223.63</v>
      </c>
      <c r="J2716" s="345" t="s">
        <v>1341</v>
      </c>
      <c r="K2716" s="55">
        <f>I2716*F2716</f>
        <v>223.63</v>
      </c>
    </row>
    <row r="2717" spans="1:11" hidden="1">
      <c r="A2717" s="268"/>
      <c r="F2717" s="55"/>
      <c r="G2717" s="54"/>
      <c r="H2717" s="55" t="s">
        <v>878</v>
      </c>
      <c r="I2717" s="55"/>
      <c r="J2717" s="345"/>
      <c r="K2717" s="55">
        <f>K2728</f>
        <v>76.5</v>
      </c>
    </row>
    <row r="2718" spans="1:11" hidden="1">
      <c r="A2718" s="268"/>
      <c r="F2718" s="55"/>
      <c r="G2718" s="54"/>
      <c r="H2718" s="55" t="s">
        <v>2644</v>
      </c>
      <c r="I2718" s="55"/>
      <c r="J2718" s="345"/>
      <c r="K2718" s="55">
        <v>4.87</v>
      </c>
    </row>
    <row r="2719" spans="1:11" hidden="1">
      <c r="A2719" s="268"/>
      <c r="F2719" s="55"/>
      <c r="G2719" s="54"/>
      <c r="H2719" s="55"/>
      <c r="I2719" s="55"/>
      <c r="J2719" s="345"/>
      <c r="K2719" s="57" t="s">
        <v>398</v>
      </c>
    </row>
    <row r="2720" spans="1:11" hidden="1">
      <c r="A2720" s="268"/>
      <c r="F2720" s="55"/>
      <c r="G2720" s="54"/>
      <c r="H2720" s="55"/>
      <c r="I2720" s="55"/>
      <c r="J2720" s="345"/>
      <c r="K2720" s="55">
        <f>SUM(K2715:K2719)</f>
        <v>875</v>
      </c>
    </row>
    <row r="2721" spans="1:11" hidden="1">
      <c r="A2721" s="268"/>
      <c r="F2721" s="55"/>
      <c r="G2721" s="54"/>
      <c r="H2721" s="55"/>
      <c r="I2721" s="55"/>
      <c r="J2721" s="345"/>
      <c r="K2721" s="57" t="s">
        <v>144</v>
      </c>
    </row>
    <row r="2722" spans="1:11" hidden="1">
      <c r="A2722" s="268"/>
      <c r="F2722" s="55"/>
      <c r="G2722" s="54"/>
      <c r="H2722" s="55" t="s">
        <v>878</v>
      </c>
      <c r="I2722" s="55"/>
      <c r="J2722" s="345"/>
      <c r="K2722" s="55"/>
    </row>
    <row r="2723" spans="1:11" hidden="1">
      <c r="A2723" s="268"/>
      <c r="F2723" s="55">
        <v>1</v>
      </c>
      <c r="G2723" s="54" t="s">
        <v>1337</v>
      </c>
      <c r="H2723" s="55" t="s">
        <v>2645</v>
      </c>
      <c r="I2723" s="55">
        <v>131</v>
      </c>
      <c r="J2723" s="345" t="s">
        <v>1341</v>
      </c>
      <c r="K2723" s="55">
        <f>I2723*F2723</f>
        <v>131</v>
      </c>
    </row>
    <row r="2724" spans="1:11" hidden="1">
      <c r="A2724" s="268"/>
      <c r="F2724" s="55">
        <v>1</v>
      </c>
      <c r="G2724" s="54" t="s">
        <v>1337</v>
      </c>
      <c r="H2724" s="55" t="s">
        <v>2646</v>
      </c>
      <c r="I2724" s="55">
        <v>117</v>
      </c>
      <c r="J2724" s="345" t="s">
        <v>1341</v>
      </c>
      <c r="K2724" s="55">
        <f>I2724*F2724</f>
        <v>117</v>
      </c>
    </row>
    <row r="2725" spans="1:11" hidden="1">
      <c r="A2725" s="268"/>
      <c r="F2725" s="55">
        <v>4</v>
      </c>
      <c r="G2725" s="54" t="s">
        <v>1375</v>
      </c>
      <c r="H2725" s="55" t="s">
        <v>3013</v>
      </c>
      <c r="I2725" s="55">
        <v>91</v>
      </c>
      <c r="J2725" s="345" t="s">
        <v>1341</v>
      </c>
      <c r="K2725" s="55">
        <f>I2725*F2725</f>
        <v>364</v>
      </c>
    </row>
    <row r="2726" spans="1:11" hidden="1">
      <c r="A2726" s="268"/>
      <c r="F2726" s="55"/>
      <c r="G2726" s="54"/>
      <c r="H2726" s="55"/>
      <c r="I2726" s="55"/>
      <c r="J2726" s="345"/>
      <c r="K2726" s="57" t="s">
        <v>3255</v>
      </c>
    </row>
    <row r="2727" spans="1:11" hidden="1">
      <c r="A2727" s="268"/>
      <c r="F2727" s="55"/>
      <c r="G2727" s="54"/>
      <c r="H2727" s="55" t="s">
        <v>3256</v>
      </c>
      <c r="I2727" s="55"/>
      <c r="J2727" s="345"/>
      <c r="K2727" s="55">
        <f>SUM(K2723:K2726)</f>
        <v>612</v>
      </c>
    </row>
    <row r="2728" spans="1:11" hidden="1">
      <c r="A2728" s="268"/>
      <c r="F2728" s="55"/>
      <c r="G2728" s="54"/>
      <c r="H2728" s="55" t="s">
        <v>3257</v>
      </c>
      <c r="I2728" s="55"/>
      <c r="J2728" s="345"/>
      <c r="K2728" s="55">
        <f>K2727/8</f>
        <v>76.5</v>
      </c>
    </row>
    <row r="2729" spans="1:11" hidden="1">
      <c r="A2729" s="268"/>
      <c r="F2729"/>
      <c r="G2729" s="3"/>
      <c r="H2729"/>
      <c r="I2729"/>
      <c r="J2729" s="4"/>
      <c r="K2729"/>
    </row>
    <row r="2730" spans="1:11" ht="31.5" hidden="1">
      <c r="A2730" s="268"/>
      <c r="F2730" s="347">
        <v>170</v>
      </c>
      <c r="G2730" s="3"/>
      <c r="H2730" s="28" t="s">
        <v>3258</v>
      </c>
      <c r="I2730"/>
      <c r="J2730" s="4"/>
      <c r="K2730"/>
    </row>
    <row r="2731" spans="1:11" hidden="1">
      <c r="A2731" s="268"/>
      <c r="F2731"/>
      <c r="G2731" s="3"/>
      <c r="H2731" s="331" t="s">
        <v>1530</v>
      </c>
      <c r="I2731"/>
      <c r="J2731" s="4"/>
      <c r="K2731"/>
    </row>
    <row r="2732" spans="1:11" hidden="1">
      <c r="A2732" s="268"/>
      <c r="F2732">
        <v>1</v>
      </c>
      <c r="G2732" s="3" t="s">
        <v>1337</v>
      </c>
      <c r="H2732" t="s">
        <v>2371</v>
      </c>
      <c r="I2732">
        <v>2400</v>
      </c>
      <c r="J2732" s="4" t="s">
        <v>1341</v>
      </c>
      <c r="K2732">
        <f>I2732*F2732</f>
        <v>2400</v>
      </c>
    </row>
    <row r="2733" spans="1:11" hidden="1">
      <c r="A2733" s="268"/>
      <c r="F2733">
        <v>1</v>
      </c>
      <c r="G2733" s="3" t="s">
        <v>1337</v>
      </c>
      <c r="H2733" t="s">
        <v>2947</v>
      </c>
      <c r="I2733">
        <v>485</v>
      </c>
      <c r="J2733" s="4" t="s">
        <v>1341</v>
      </c>
      <c r="K2733">
        <f>I2733*F2733</f>
        <v>485</v>
      </c>
    </row>
    <row r="2734" spans="1:11" hidden="1">
      <c r="A2734" s="268"/>
      <c r="F2734">
        <v>4</v>
      </c>
      <c r="G2734" s="3" t="s">
        <v>1375</v>
      </c>
      <c r="H2734" t="s">
        <v>2948</v>
      </c>
      <c r="I2734">
        <v>525</v>
      </c>
      <c r="J2734" s="4" t="s">
        <v>1341</v>
      </c>
      <c r="K2734">
        <f>I2734*F2734</f>
        <v>2100</v>
      </c>
    </row>
    <row r="2735" spans="1:11" hidden="1">
      <c r="A2735" s="268"/>
      <c r="F2735">
        <v>4.5</v>
      </c>
      <c r="G2735" s="3" t="s">
        <v>1591</v>
      </c>
      <c r="H2735" t="s">
        <v>2949</v>
      </c>
      <c r="I2735">
        <v>27</v>
      </c>
      <c r="J2735" s="4" t="s">
        <v>1591</v>
      </c>
      <c r="K2735">
        <f>I2735*F2735</f>
        <v>121.5</v>
      </c>
    </row>
    <row r="2736" spans="1:11" hidden="1">
      <c r="A2736" s="268"/>
      <c r="F2736"/>
      <c r="G2736" s="3"/>
      <c r="H2736" t="s">
        <v>2950</v>
      </c>
      <c r="I2736"/>
      <c r="J2736" s="4"/>
      <c r="K2736">
        <f>SUM(K2732:K2735)*1%-0.57</f>
        <v>50.5</v>
      </c>
    </row>
    <row r="2737" spans="1:11" hidden="1">
      <c r="A2737" s="268"/>
      <c r="F2737"/>
      <c r="G2737" s="3"/>
      <c r="H2737" t="s">
        <v>138</v>
      </c>
      <c r="I2737"/>
      <c r="J2737" s="4"/>
      <c r="K2737">
        <v>298</v>
      </c>
    </row>
    <row r="2738" spans="1:11" hidden="1">
      <c r="A2738" s="268"/>
      <c r="F2738"/>
      <c r="G2738" s="3"/>
      <c r="H2738"/>
      <c r="I2738"/>
      <c r="J2738" s="4"/>
      <c r="K2738" s="331" t="s">
        <v>1530</v>
      </c>
    </row>
    <row r="2739" spans="1:11" hidden="1">
      <c r="A2739" s="268"/>
      <c r="F2739"/>
      <c r="G2739" s="3"/>
      <c r="H2739"/>
      <c r="I2739"/>
      <c r="J2739" s="4"/>
      <c r="K2739">
        <f>SUM(K2732:K2738)</f>
        <v>5455</v>
      </c>
    </row>
    <row r="2740" spans="1:11" hidden="1">
      <c r="A2740" s="268"/>
      <c r="F2740"/>
      <c r="G2740" s="3"/>
      <c r="H2740"/>
      <c r="I2740"/>
      <c r="J2740" s="4"/>
      <c r="K2740" s="331" t="s">
        <v>1980</v>
      </c>
    </row>
    <row r="2741" spans="1:11" hidden="1">
      <c r="A2741" s="268"/>
      <c r="F2741" s="347">
        <v>180</v>
      </c>
      <c r="G2741" s="3"/>
      <c r="H2741" t="s">
        <v>2951</v>
      </c>
      <c r="I2741"/>
      <c r="J2741" s="4"/>
      <c r="K2741"/>
    </row>
    <row r="2742" spans="1:11" hidden="1">
      <c r="A2742" s="268"/>
      <c r="F2742"/>
      <c r="G2742" s="3"/>
      <c r="H2742" s="331" t="s">
        <v>1530</v>
      </c>
      <c r="I2742"/>
      <c r="J2742" s="4"/>
      <c r="K2742"/>
    </row>
    <row r="2743" spans="1:11" hidden="1">
      <c r="A2743" s="268"/>
      <c r="F2743">
        <v>0.8</v>
      </c>
      <c r="G2743" s="3" t="s">
        <v>1591</v>
      </c>
      <c r="H2743" t="s">
        <v>2952</v>
      </c>
      <c r="I2743">
        <v>230</v>
      </c>
      <c r="J2743" s="4" t="s">
        <v>1591</v>
      </c>
      <c r="K2743">
        <f>I2743*F2743</f>
        <v>184</v>
      </c>
    </row>
    <row r="2744" spans="1:11" hidden="1">
      <c r="A2744" s="268"/>
      <c r="F2744">
        <v>3</v>
      </c>
      <c r="G2744" s="3" t="s">
        <v>1375</v>
      </c>
      <c r="H2744" t="s">
        <v>2953</v>
      </c>
      <c r="I2744">
        <v>20</v>
      </c>
      <c r="J2744" s="4" t="s">
        <v>1341</v>
      </c>
      <c r="K2744">
        <f>I2744*F2744</f>
        <v>60</v>
      </c>
    </row>
    <row r="2745" spans="1:11" hidden="1">
      <c r="A2745" s="268"/>
      <c r="F2745"/>
      <c r="G2745" s="3"/>
      <c r="H2745" t="s">
        <v>2950</v>
      </c>
      <c r="I2745"/>
      <c r="J2745" s="4"/>
      <c r="K2745">
        <f>SUM(K2743:K2744)*1%+1.16</f>
        <v>3.6</v>
      </c>
    </row>
    <row r="2746" spans="1:11" hidden="1">
      <c r="A2746" s="268"/>
      <c r="F2746"/>
      <c r="G2746" s="3"/>
      <c r="H2746" t="s">
        <v>138</v>
      </c>
      <c r="I2746"/>
      <c r="J2746" s="4"/>
      <c r="K2746">
        <v>32.4</v>
      </c>
    </row>
    <row r="2747" spans="1:11" hidden="1">
      <c r="A2747" s="268"/>
      <c r="F2747"/>
      <c r="G2747" s="3"/>
      <c r="H2747"/>
      <c r="I2747"/>
      <c r="J2747" s="4"/>
      <c r="K2747" s="331" t="s">
        <v>1530</v>
      </c>
    </row>
    <row r="2748" spans="1:11" hidden="1">
      <c r="A2748" s="268"/>
      <c r="F2748"/>
      <c r="G2748" s="3"/>
      <c r="H2748"/>
      <c r="I2748"/>
      <c r="J2748" s="4"/>
      <c r="K2748">
        <f>SUM(K2743:K2747)</f>
        <v>280</v>
      </c>
    </row>
    <row r="2749" spans="1:11" hidden="1">
      <c r="A2749" s="268"/>
      <c r="F2749"/>
      <c r="G2749" s="3"/>
      <c r="H2749"/>
      <c r="I2749"/>
      <c r="J2749" s="4"/>
      <c r="K2749" s="331" t="s">
        <v>1980</v>
      </c>
    </row>
    <row r="2750" spans="1:11" ht="31.5" hidden="1">
      <c r="A2750" s="268"/>
      <c r="F2750" s="347">
        <v>184</v>
      </c>
      <c r="G2750" s="3"/>
      <c r="H2750" s="28" t="s">
        <v>3160</v>
      </c>
      <c r="I2750"/>
      <c r="J2750" s="4"/>
      <c r="K2750"/>
    </row>
    <row r="2751" spans="1:11" hidden="1">
      <c r="A2751" s="268"/>
      <c r="F2751"/>
      <c r="G2751" s="3"/>
      <c r="H2751" s="331" t="s">
        <v>1530</v>
      </c>
      <c r="I2751"/>
      <c r="J2751" s="4"/>
      <c r="K2751"/>
    </row>
    <row r="2752" spans="1:11" hidden="1">
      <c r="A2752" s="268"/>
      <c r="F2752">
        <v>1</v>
      </c>
      <c r="G2752" s="3" t="s">
        <v>1337</v>
      </c>
      <c r="H2752" t="s">
        <v>3161</v>
      </c>
      <c r="I2752">
        <v>1860</v>
      </c>
      <c r="J2752" s="4" t="s">
        <v>1341</v>
      </c>
      <c r="K2752">
        <f t="shared" ref="K2752:K2760" si="90">I2752*F2752</f>
        <v>1860</v>
      </c>
    </row>
    <row r="2753" spans="1:11" hidden="1">
      <c r="A2753" s="268"/>
      <c r="F2753">
        <v>2</v>
      </c>
      <c r="G2753" s="3" t="s">
        <v>1337</v>
      </c>
      <c r="H2753" t="s">
        <v>3162</v>
      </c>
      <c r="I2753">
        <v>46</v>
      </c>
      <c r="J2753" s="4" t="s">
        <v>1341</v>
      </c>
      <c r="K2753">
        <f t="shared" si="90"/>
        <v>92</v>
      </c>
    </row>
    <row r="2754" spans="1:11" hidden="1">
      <c r="A2754" s="268"/>
      <c r="F2754">
        <v>1.5</v>
      </c>
      <c r="G2754" s="3" t="s">
        <v>794</v>
      </c>
      <c r="H2754" t="s">
        <v>3163</v>
      </c>
      <c r="I2754">
        <v>31</v>
      </c>
      <c r="J2754" s="4" t="s">
        <v>794</v>
      </c>
      <c r="K2754">
        <f t="shared" si="90"/>
        <v>46.5</v>
      </c>
    </row>
    <row r="2755" spans="1:11" hidden="1">
      <c r="A2755" s="268"/>
      <c r="F2755">
        <v>2</v>
      </c>
      <c r="G2755" s="3" t="s">
        <v>1337</v>
      </c>
      <c r="H2755" t="s">
        <v>2734</v>
      </c>
      <c r="I2755">
        <v>6</v>
      </c>
      <c r="J2755" s="4" t="s">
        <v>1341</v>
      </c>
      <c r="K2755">
        <f t="shared" si="90"/>
        <v>12</v>
      </c>
    </row>
    <row r="2756" spans="1:11" hidden="1">
      <c r="A2756" s="268"/>
      <c r="F2756">
        <v>2</v>
      </c>
      <c r="G2756" s="3" t="s">
        <v>1337</v>
      </c>
      <c r="H2756" t="s">
        <v>2735</v>
      </c>
      <c r="I2756">
        <v>12</v>
      </c>
      <c r="J2756" s="4" t="s">
        <v>1341</v>
      </c>
      <c r="K2756">
        <f t="shared" si="90"/>
        <v>24</v>
      </c>
    </row>
    <row r="2757" spans="1:11" hidden="1">
      <c r="A2757" s="268"/>
      <c r="F2757">
        <v>2</v>
      </c>
      <c r="G2757" s="3" t="s">
        <v>794</v>
      </c>
      <c r="H2757" t="s">
        <v>2736</v>
      </c>
      <c r="I2757">
        <v>7.8</v>
      </c>
      <c r="J2757" s="4" t="s">
        <v>794</v>
      </c>
      <c r="K2757">
        <f t="shared" si="90"/>
        <v>15.6</v>
      </c>
    </row>
    <row r="2758" spans="1:11" hidden="1">
      <c r="A2758" s="268"/>
      <c r="F2758">
        <v>0.1</v>
      </c>
      <c r="G2758" s="3" t="s">
        <v>1337</v>
      </c>
      <c r="H2758" t="s">
        <v>2645</v>
      </c>
      <c r="I2758">
        <f>I2867</f>
        <v>712</v>
      </c>
      <c r="J2758" s="4" t="s">
        <v>1341</v>
      </c>
      <c r="K2758">
        <f t="shared" si="90"/>
        <v>71.2</v>
      </c>
    </row>
    <row r="2759" spans="1:11" hidden="1">
      <c r="A2759" s="268"/>
      <c r="F2759">
        <v>0.2</v>
      </c>
      <c r="G2759" s="3" t="s">
        <v>1337</v>
      </c>
      <c r="H2759" t="s">
        <v>2646</v>
      </c>
      <c r="I2759">
        <f>I2868</f>
        <v>708</v>
      </c>
      <c r="J2759" s="4" t="s">
        <v>1341</v>
      </c>
      <c r="K2759">
        <f t="shared" si="90"/>
        <v>141.6</v>
      </c>
    </row>
    <row r="2760" spans="1:11" hidden="1">
      <c r="A2760" s="268"/>
      <c r="F2760">
        <v>0.3</v>
      </c>
      <c r="G2760" s="3" t="s">
        <v>1337</v>
      </c>
      <c r="H2760" t="s">
        <v>2246</v>
      </c>
      <c r="I2760">
        <f>I2869</f>
        <v>556</v>
      </c>
      <c r="J2760" s="4" t="s">
        <v>1341</v>
      </c>
      <c r="K2760">
        <f t="shared" si="90"/>
        <v>166.8</v>
      </c>
    </row>
    <row r="2761" spans="1:11" hidden="1">
      <c r="A2761" s="268"/>
      <c r="F2761"/>
      <c r="G2761" s="3"/>
      <c r="H2761" t="s">
        <v>2950</v>
      </c>
      <c r="I2761"/>
      <c r="J2761" s="4"/>
      <c r="K2761">
        <f>SUM(K2752:K2760)*1%-0.63</f>
        <v>23.67</v>
      </c>
    </row>
    <row r="2762" spans="1:11" hidden="1">
      <c r="A2762" s="268"/>
      <c r="F2762"/>
      <c r="G2762" s="3"/>
      <c r="H2762"/>
      <c r="I2762"/>
      <c r="J2762" s="4"/>
      <c r="K2762"/>
    </row>
    <row r="2763" spans="1:11" hidden="1">
      <c r="A2763" s="268"/>
      <c r="F2763"/>
      <c r="G2763" s="3"/>
      <c r="H2763"/>
      <c r="I2763"/>
      <c r="J2763" s="4"/>
      <c r="K2763" s="331" t="s">
        <v>1530</v>
      </c>
    </row>
    <row r="2764" spans="1:11" hidden="1">
      <c r="A2764" s="268"/>
      <c r="F2764"/>
      <c r="G2764" s="3"/>
      <c r="H2764"/>
      <c r="I2764"/>
      <c r="J2764" s="4"/>
      <c r="K2764">
        <f>SUM(K2752:K2763)</f>
        <v>2453.37</v>
      </c>
    </row>
    <row r="2765" spans="1:11" hidden="1">
      <c r="A2765" s="268"/>
      <c r="F2765"/>
      <c r="G2765" s="3"/>
      <c r="H2765"/>
      <c r="I2765"/>
      <c r="J2765" s="4"/>
      <c r="K2765" s="331" t="s">
        <v>1980</v>
      </c>
    </row>
    <row r="2766" spans="1:11" hidden="1">
      <c r="A2766" s="268"/>
      <c r="F2766" s="29">
        <v>53.4</v>
      </c>
      <c r="G2766" s="3"/>
      <c r="H2766" s="1" t="s">
        <v>2838</v>
      </c>
      <c r="I2766"/>
      <c r="J2766" s="4" t="s">
        <v>1341</v>
      </c>
      <c r="K2766">
        <v>957</v>
      </c>
    </row>
    <row r="2767" spans="1:11" hidden="1">
      <c r="A2767" s="268"/>
      <c r="F2767"/>
      <c r="G2767" s="3"/>
      <c r="H2767"/>
      <c r="I2767"/>
      <c r="J2767" s="4"/>
      <c r="K2767"/>
    </row>
    <row r="2768" spans="1:11" ht="31.5" hidden="1">
      <c r="A2768" s="268"/>
      <c r="F2768" s="348">
        <v>383</v>
      </c>
      <c r="G2768" s="3"/>
      <c r="H2768" s="28" t="s">
        <v>3393</v>
      </c>
      <c r="I2768"/>
      <c r="J2768" s="4" t="s">
        <v>1341</v>
      </c>
      <c r="K2768">
        <v>600</v>
      </c>
    </row>
    <row r="2769" spans="1:11" hidden="1">
      <c r="A2769" s="268"/>
      <c r="F2769"/>
      <c r="G2769" s="3"/>
      <c r="H2769"/>
      <c r="I2769"/>
      <c r="J2769" s="4"/>
      <c r="K2769"/>
    </row>
    <row r="2770" spans="1:11" hidden="1">
      <c r="A2770" s="268"/>
      <c r="F2770"/>
      <c r="G2770" s="3"/>
      <c r="H2770"/>
      <c r="I2770"/>
      <c r="J2770" s="4"/>
      <c r="K2770"/>
    </row>
    <row r="2771" spans="1:11" hidden="1">
      <c r="A2771" s="268"/>
      <c r="F2771" s="349">
        <v>344.2</v>
      </c>
      <c r="G2771" s="3"/>
      <c r="H2771" s="28" t="s">
        <v>2324</v>
      </c>
      <c r="I2771"/>
      <c r="J2771" s="4" t="s">
        <v>1341</v>
      </c>
      <c r="K2771">
        <v>300</v>
      </c>
    </row>
    <row r="2772" spans="1:11" hidden="1">
      <c r="A2772" s="268"/>
      <c r="F2772" s="348"/>
      <c r="G2772" s="3"/>
      <c r="H2772"/>
      <c r="I2772"/>
      <c r="J2772" s="4"/>
      <c r="K2772"/>
    </row>
    <row r="2773" spans="1:11" hidden="1">
      <c r="A2773" s="268"/>
      <c r="F2773" s="348"/>
      <c r="G2773" s="3"/>
      <c r="H2773"/>
      <c r="I2773"/>
      <c r="J2773" s="4"/>
      <c r="K2773"/>
    </row>
    <row r="2774" spans="1:11" hidden="1">
      <c r="A2774" s="268"/>
      <c r="F2774" s="348"/>
      <c r="G2774" s="3"/>
      <c r="H2774"/>
      <c r="I2774"/>
      <c r="J2774" s="4"/>
      <c r="K2774"/>
    </row>
    <row r="2775" spans="1:11" hidden="1">
      <c r="A2775" s="268"/>
      <c r="F2775" s="349">
        <v>344.1</v>
      </c>
      <c r="G2775" s="3"/>
      <c r="H2775" s="28" t="s">
        <v>2325</v>
      </c>
      <c r="I2775"/>
      <c r="J2775" s="4" t="s">
        <v>1341</v>
      </c>
      <c r="K2775">
        <v>260</v>
      </c>
    </row>
    <row r="2776" spans="1:11" hidden="1">
      <c r="A2776" s="268"/>
      <c r="F2776" s="229"/>
      <c r="G2776" s="3"/>
      <c r="H2776"/>
      <c r="I2776"/>
      <c r="J2776" s="4"/>
      <c r="K2776"/>
    </row>
    <row r="2777" spans="1:11" hidden="1">
      <c r="A2777" s="268"/>
      <c r="F2777" s="229"/>
      <c r="G2777" s="3"/>
      <c r="H2777"/>
      <c r="I2777"/>
      <c r="J2777" s="4"/>
      <c r="K2777"/>
    </row>
    <row r="2778" spans="1:11" hidden="1">
      <c r="A2778" s="268"/>
      <c r="F2778">
        <v>384</v>
      </c>
      <c r="G2778" s="3"/>
      <c r="H2778"/>
      <c r="I2778"/>
      <c r="J2778" s="4"/>
      <c r="K2778"/>
    </row>
    <row r="2779" spans="1:11" hidden="1">
      <c r="A2779" s="268"/>
      <c r="F2779"/>
      <c r="G2779" s="3"/>
      <c r="H2779" s="28" t="s">
        <v>2326</v>
      </c>
      <c r="I2779"/>
      <c r="J2779" s="4" t="s">
        <v>1341</v>
      </c>
      <c r="K2779">
        <v>650</v>
      </c>
    </row>
    <row r="2780" spans="1:11" hidden="1">
      <c r="A2780" s="268"/>
      <c r="F2780"/>
      <c r="G2780" s="3"/>
      <c r="H2780"/>
      <c r="I2780"/>
      <c r="J2780" s="4"/>
      <c r="K2780"/>
    </row>
    <row r="2781" spans="1:11" ht="19.5" hidden="1">
      <c r="A2781" s="268"/>
      <c r="F2781" s="350">
        <v>385</v>
      </c>
      <c r="G2781" s="3"/>
      <c r="H2781" t="s">
        <v>2737</v>
      </c>
      <c r="I2781"/>
      <c r="J2781" s="4"/>
      <c r="K2781"/>
    </row>
    <row r="2782" spans="1:11" hidden="1">
      <c r="A2782" s="268"/>
      <c r="F2782"/>
      <c r="G2782" s="3"/>
      <c r="H2782" s="56" t="s">
        <v>2738</v>
      </c>
      <c r="I2782"/>
      <c r="J2782" s="4"/>
      <c r="K2782"/>
    </row>
    <row r="2783" spans="1:11" hidden="1">
      <c r="A2783" s="268"/>
      <c r="F2783">
        <v>4</v>
      </c>
      <c r="G2783" s="3" t="s">
        <v>794</v>
      </c>
      <c r="H2783" t="s">
        <v>3155</v>
      </c>
      <c r="I2783">
        <v>110</v>
      </c>
      <c r="J2783" s="3" t="s">
        <v>794</v>
      </c>
      <c r="K2783">
        <f t="shared" ref="K2783:K2790" si="91">I2783*F2783</f>
        <v>440</v>
      </c>
    </row>
    <row r="2784" spans="1:11" hidden="1">
      <c r="A2784" s="268"/>
      <c r="F2784">
        <v>2.52</v>
      </c>
      <c r="G2784" s="3" t="s">
        <v>1591</v>
      </c>
      <c r="H2784" t="s">
        <v>3156</v>
      </c>
      <c r="I2784">
        <v>30</v>
      </c>
      <c r="J2784" s="3" t="s">
        <v>1591</v>
      </c>
      <c r="K2784">
        <f t="shared" si="91"/>
        <v>75.599999999999994</v>
      </c>
    </row>
    <row r="2785" spans="1:11" hidden="1">
      <c r="A2785" s="268"/>
      <c r="F2785">
        <v>1.1299999999999999</v>
      </c>
      <c r="G2785" s="3" t="s">
        <v>1591</v>
      </c>
      <c r="H2785" t="s">
        <v>3034</v>
      </c>
      <c r="I2785">
        <v>30</v>
      </c>
      <c r="J2785" s="3" t="s">
        <v>1591</v>
      </c>
      <c r="K2785">
        <f t="shared" si="91"/>
        <v>33.9</v>
      </c>
    </row>
    <row r="2786" spans="1:11" hidden="1">
      <c r="A2786" s="268"/>
      <c r="F2786">
        <v>0.35</v>
      </c>
      <c r="G2786" s="3" t="s">
        <v>1591</v>
      </c>
      <c r="H2786" t="s">
        <v>3035</v>
      </c>
      <c r="I2786">
        <v>30</v>
      </c>
      <c r="J2786" s="3" t="s">
        <v>1591</v>
      </c>
      <c r="K2786">
        <f t="shared" si="91"/>
        <v>10.5</v>
      </c>
    </row>
    <row r="2787" spans="1:11" hidden="1">
      <c r="A2787" s="268"/>
      <c r="F2787">
        <v>4</v>
      </c>
      <c r="G2787" s="3" t="s">
        <v>1591</v>
      </c>
      <c r="H2787" t="s">
        <v>3036</v>
      </c>
      <c r="I2787">
        <v>12.25</v>
      </c>
      <c r="J2787" s="3" t="s">
        <v>1591</v>
      </c>
      <c r="K2787">
        <f t="shared" si="91"/>
        <v>49</v>
      </c>
    </row>
    <row r="2788" spans="1:11" hidden="1">
      <c r="A2788" s="268"/>
      <c r="F2788">
        <v>6</v>
      </c>
      <c r="G2788" s="3" t="s">
        <v>1375</v>
      </c>
      <c r="H2788" t="s">
        <v>3037</v>
      </c>
      <c r="I2788">
        <v>1</v>
      </c>
      <c r="J2788" s="3" t="s">
        <v>1375</v>
      </c>
      <c r="K2788">
        <f t="shared" si="91"/>
        <v>6</v>
      </c>
    </row>
    <row r="2789" spans="1:11" hidden="1">
      <c r="A2789" s="268"/>
      <c r="F2789">
        <v>0.5</v>
      </c>
      <c r="G2789" s="3" t="s">
        <v>1375</v>
      </c>
      <c r="H2789" t="s">
        <v>326</v>
      </c>
      <c r="I2789">
        <f>C12</f>
        <v>95</v>
      </c>
      <c r="J2789" s="3" t="s">
        <v>1341</v>
      </c>
      <c r="K2789">
        <f t="shared" si="91"/>
        <v>47.5</v>
      </c>
    </row>
    <row r="2790" spans="1:11" hidden="1">
      <c r="A2790" s="268"/>
      <c r="F2790">
        <v>0.5</v>
      </c>
      <c r="G2790" s="3" t="s">
        <v>1375</v>
      </c>
      <c r="H2790" t="s">
        <v>1177</v>
      </c>
      <c r="I2790">
        <f>C13</f>
        <v>85</v>
      </c>
      <c r="J2790" s="3" t="s">
        <v>1341</v>
      </c>
      <c r="K2790">
        <f t="shared" si="91"/>
        <v>42.5</v>
      </c>
    </row>
    <row r="2791" spans="1:11" hidden="1">
      <c r="A2791" s="268"/>
      <c r="F2791"/>
      <c r="G2791" s="3"/>
      <c r="H2791"/>
      <c r="I2791"/>
      <c r="J2791" s="3"/>
      <c r="K2791" s="56" t="s">
        <v>3255</v>
      </c>
    </row>
    <row r="2792" spans="1:11" hidden="1">
      <c r="A2792" s="268"/>
      <c r="F2792"/>
      <c r="G2792" s="3"/>
      <c r="H2792" t="s">
        <v>3038</v>
      </c>
      <c r="I2792"/>
      <c r="J2792" s="4"/>
      <c r="K2792">
        <f>SUM(K2783:K2791)</f>
        <v>705</v>
      </c>
    </row>
    <row r="2793" spans="1:11" hidden="1">
      <c r="A2793" s="268"/>
      <c r="F2793"/>
      <c r="G2793" s="3"/>
      <c r="H2793"/>
      <c r="I2793"/>
      <c r="J2793" s="4"/>
      <c r="K2793" s="56" t="s">
        <v>3002</v>
      </c>
    </row>
    <row r="2794" spans="1:11" hidden="1">
      <c r="A2794" s="268"/>
      <c r="F2794"/>
      <c r="G2794" s="3"/>
      <c r="H2794" t="s">
        <v>2718</v>
      </c>
      <c r="I2794"/>
      <c r="J2794" s="4"/>
      <c r="K2794">
        <f>K2792/2</f>
        <v>352.5</v>
      </c>
    </row>
    <row r="2795" spans="1:11" hidden="1">
      <c r="A2795" s="268"/>
      <c r="F2795"/>
      <c r="G2795" s="3"/>
      <c r="H2795"/>
      <c r="I2795"/>
      <c r="J2795" s="4"/>
      <c r="K2795" s="56" t="s">
        <v>33</v>
      </c>
    </row>
    <row r="2796" spans="1:11" ht="19.5" hidden="1">
      <c r="A2796" s="268"/>
      <c r="F2796" s="332">
        <v>112.1</v>
      </c>
      <c r="G2796" s="3"/>
      <c r="H2796" s="351" t="s">
        <v>2385</v>
      </c>
      <c r="I2796"/>
      <c r="J2796" s="4"/>
      <c r="K2796"/>
    </row>
    <row r="2797" spans="1:11" hidden="1">
      <c r="A2797" s="268"/>
      <c r="F2797"/>
      <c r="G2797" s="3"/>
      <c r="H2797" s="56" t="s">
        <v>2386</v>
      </c>
      <c r="I2797"/>
      <c r="J2797" s="4"/>
      <c r="K2797"/>
    </row>
    <row r="2798" spans="1:11" hidden="1">
      <c r="A2798" s="268"/>
      <c r="F2798">
        <v>1</v>
      </c>
      <c r="G2798" s="3" t="s">
        <v>1337</v>
      </c>
      <c r="H2798" s="28" t="s">
        <v>2385</v>
      </c>
      <c r="I2798" s="166">
        <v>1059</v>
      </c>
      <c r="J2798" s="4" t="s">
        <v>1341</v>
      </c>
      <c r="K2798">
        <f>I2798*F2798</f>
        <v>1059</v>
      </c>
    </row>
    <row r="2799" spans="1:11" hidden="1">
      <c r="A2799" s="268"/>
      <c r="F2799">
        <v>1</v>
      </c>
      <c r="G2799" s="3" t="s">
        <v>1337</v>
      </c>
      <c r="H2799" s="28" t="s">
        <v>2387</v>
      </c>
      <c r="I2799">
        <v>95</v>
      </c>
      <c r="J2799" s="4" t="s">
        <v>1341</v>
      </c>
      <c r="K2799">
        <f>I2799*F2799</f>
        <v>95</v>
      </c>
    </row>
    <row r="2800" spans="1:11" ht="31.5" hidden="1">
      <c r="A2800" s="268"/>
      <c r="F2800" t="s">
        <v>419</v>
      </c>
      <c r="G2800" s="3"/>
      <c r="H2800" s="28" t="s">
        <v>2422</v>
      </c>
      <c r="I2800"/>
      <c r="J2800" s="4" t="s">
        <v>419</v>
      </c>
      <c r="K2800">
        <v>16.64</v>
      </c>
    </row>
    <row r="2801" spans="1:11" hidden="1">
      <c r="A2801" s="268"/>
      <c r="F2801"/>
      <c r="G2801" s="3"/>
      <c r="H2801" t="s">
        <v>2423</v>
      </c>
      <c r="I2801"/>
      <c r="J2801" s="4"/>
      <c r="K2801">
        <v>10.11</v>
      </c>
    </row>
    <row r="2802" spans="1:11" hidden="1">
      <c r="A2802" s="268"/>
      <c r="F2802"/>
      <c r="G2802" s="3"/>
      <c r="H2802" t="s">
        <v>1443</v>
      </c>
      <c r="I2802"/>
      <c r="J2802" s="4" t="s">
        <v>1341</v>
      </c>
      <c r="K2802">
        <f>K2811</f>
        <v>78.25</v>
      </c>
    </row>
    <row r="2803" spans="1:11" hidden="1">
      <c r="A2803" s="268"/>
      <c r="F2803"/>
      <c r="G2803" s="3"/>
      <c r="H2803"/>
      <c r="I2803"/>
      <c r="J2803" s="4"/>
      <c r="K2803" s="56" t="s">
        <v>2243</v>
      </c>
    </row>
    <row r="2804" spans="1:11" hidden="1">
      <c r="A2804" s="268"/>
      <c r="F2804"/>
      <c r="G2804" s="3"/>
      <c r="H2804"/>
      <c r="I2804"/>
      <c r="J2804" s="4"/>
      <c r="K2804">
        <f>SUM(K2798:K2803)</f>
        <v>1259</v>
      </c>
    </row>
    <row r="2805" spans="1:11" hidden="1">
      <c r="A2805" s="268"/>
      <c r="F2805"/>
      <c r="G2805" s="3"/>
      <c r="H2805"/>
      <c r="I2805"/>
      <c r="J2805" s="4"/>
      <c r="K2805" s="56" t="s">
        <v>846</v>
      </c>
    </row>
    <row r="2806" spans="1:11" hidden="1">
      <c r="A2806" s="268"/>
      <c r="F2806" t="s">
        <v>138</v>
      </c>
      <c r="G2806" s="3"/>
      <c r="H2806"/>
      <c r="I2806"/>
      <c r="J2806" s="4"/>
      <c r="K2806"/>
    </row>
    <row r="2807" spans="1:11" hidden="1">
      <c r="A2807" s="268"/>
      <c r="F2807">
        <v>1</v>
      </c>
      <c r="G2807" s="3" t="s">
        <v>1337</v>
      </c>
      <c r="H2807" t="s">
        <v>2424</v>
      </c>
      <c r="I2807">
        <v>131</v>
      </c>
      <c r="J2807" s="4" t="s">
        <v>1341</v>
      </c>
      <c r="K2807">
        <f>I2807*F2807</f>
        <v>131</v>
      </c>
    </row>
    <row r="2808" spans="1:11" hidden="1">
      <c r="A2808" s="268"/>
      <c r="F2808">
        <v>2</v>
      </c>
      <c r="G2808" s="3" t="s">
        <v>1375</v>
      </c>
      <c r="H2808" t="s">
        <v>2246</v>
      </c>
      <c r="I2808">
        <v>91</v>
      </c>
      <c r="J2808" s="4" t="s">
        <v>1341</v>
      </c>
      <c r="K2808">
        <f>I2808*F2808</f>
        <v>182</v>
      </c>
    </row>
    <row r="2809" spans="1:11" hidden="1">
      <c r="A2809" s="268"/>
      <c r="F2809"/>
      <c r="G2809" s="3"/>
      <c r="H2809"/>
      <c r="I2809"/>
      <c r="J2809" s="4"/>
      <c r="K2809" s="56" t="s">
        <v>2243</v>
      </c>
    </row>
    <row r="2810" spans="1:11" hidden="1">
      <c r="A2810" s="268"/>
      <c r="F2810"/>
      <c r="G2810" s="3"/>
      <c r="H2810" t="s">
        <v>2425</v>
      </c>
      <c r="I2810"/>
      <c r="J2810" s="4"/>
      <c r="K2810">
        <f>SUM(K2807:K2809)</f>
        <v>313</v>
      </c>
    </row>
    <row r="2811" spans="1:11" hidden="1">
      <c r="A2811" s="268"/>
      <c r="F2811"/>
      <c r="G2811" s="3"/>
      <c r="H2811" t="s">
        <v>2426</v>
      </c>
      <c r="I2811"/>
      <c r="J2811" s="4"/>
      <c r="K2811">
        <f>K2810/4</f>
        <v>78.25</v>
      </c>
    </row>
    <row r="2812" spans="1:11" hidden="1">
      <c r="A2812" s="268"/>
      <c r="F2812"/>
      <c r="G2812" s="3"/>
      <c r="H2812" s="6"/>
      <c r="I2812"/>
      <c r="J2812" s="4"/>
      <c r="K2812" s="8"/>
    </row>
    <row r="2813" spans="1:11" hidden="1">
      <c r="A2813" s="268"/>
      <c r="F2813">
        <v>70.5</v>
      </c>
      <c r="G2813" s="3"/>
      <c r="H2813" t="s">
        <v>2427</v>
      </c>
      <c r="I2813"/>
      <c r="J2813" s="4"/>
      <c r="K2813"/>
    </row>
    <row r="2814" spans="1:11" hidden="1">
      <c r="A2814" s="268"/>
      <c r="F2814"/>
      <c r="G2814" s="3"/>
      <c r="H2814" s="331" t="s">
        <v>1530</v>
      </c>
      <c r="I2814"/>
      <c r="J2814" s="4"/>
      <c r="K2814"/>
    </row>
    <row r="2815" spans="1:11" ht="47.25" hidden="1">
      <c r="A2815" s="268"/>
      <c r="F2815" s="330">
        <v>1</v>
      </c>
      <c r="G2815" s="330" t="s">
        <v>1337</v>
      </c>
      <c r="H2815" s="330" t="s">
        <v>2808</v>
      </c>
      <c r="I2815">
        <v>322</v>
      </c>
      <c r="J2815" s="4" t="s">
        <v>1341</v>
      </c>
      <c r="K2815">
        <f>F2815*I2815</f>
        <v>322</v>
      </c>
    </row>
    <row r="2816" spans="1:11" hidden="1">
      <c r="A2816" s="268"/>
      <c r="F2816" s="330">
        <v>1</v>
      </c>
      <c r="G2816" s="330" t="s">
        <v>1337</v>
      </c>
      <c r="H2816" t="s">
        <v>2809</v>
      </c>
      <c r="I2816" s="166">
        <v>37</v>
      </c>
      <c r="J2816" s="4" t="s">
        <v>1341</v>
      </c>
      <c r="K2816">
        <f>F2816*I2816</f>
        <v>37</v>
      </c>
    </row>
    <row r="2817" spans="1:11" hidden="1">
      <c r="A2817" s="268"/>
      <c r="F2817" s="330">
        <v>2</v>
      </c>
      <c r="G2817" s="330" t="s">
        <v>1337</v>
      </c>
      <c r="H2817" t="s">
        <v>2810</v>
      </c>
      <c r="I2817">
        <v>600</v>
      </c>
      <c r="J2817" s="4" t="s">
        <v>2811</v>
      </c>
      <c r="K2817">
        <f>(F2817*I2817)/100</f>
        <v>12</v>
      </c>
    </row>
    <row r="2818" spans="1:11" hidden="1">
      <c r="A2818" s="268"/>
      <c r="F2818" s="330">
        <v>2</v>
      </c>
      <c r="G2818" s="330" t="s">
        <v>1337</v>
      </c>
      <c r="H2818" t="s">
        <v>2812</v>
      </c>
      <c r="I2818">
        <v>914.1</v>
      </c>
      <c r="J2818" s="4" t="s">
        <v>2813</v>
      </c>
      <c r="K2818">
        <f>(F2818*I2818)/100</f>
        <v>18.28</v>
      </c>
    </row>
    <row r="2819" spans="1:11" hidden="1">
      <c r="A2819" s="268"/>
      <c r="F2819" s="330"/>
      <c r="G2819" s="330"/>
      <c r="H2819" t="s">
        <v>2814</v>
      </c>
      <c r="I2819">
        <f>K2830</f>
        <v>49.25</v>
      </c>
      <c r="J2819" s="4" t="s">
        <v>419</v>
      </c>
      <c r="K2819">
        <f>I2819</f>
        <v>49.25</v>
      </c>
    </row>
    <row r="2820" spans="1:11" hidden="1">
      <c r="A2820" s="268"/>
      <c r="F2820"/>
      <c r="G2820" s="3"/>
      <c r="H2820" t="s">
        <v>2815</v>
      </c>
      <c r="I2820"/>
      <c r="J2820" s="4" t="s">
        <v>419</v>
      </c>
      <c r="K2820">
        <v>1.84</v>
      </c>
    </row>
    <row r="2821" spans="1:11" hidden="1">
      <c r="A2821" s="268"/>
      <c r="F2821"/>
      <c r="G2821" s="3"/>
      <c r="H2821"/>
      <c r="I2821"/>
      <c r="J2821" s="4"/>
      <c r="K2821" s="331" t="s">
        <v>1530</v>
      </c>
    </row>
    <row r="2822" spans="1:11" hidden="1">
      <c r="A2822" s="268"/>
      <c r="F2822"/>
      <c r="G2822" s="3"/>
      <c r="H2822" t="s">
        <v>2161</v>
      </c>
      <c r="I2822"/>
      <c r="J2822" s="4"/>
      <c r="K2822">
        <f>SUM(K2815:K2821)</f>
        <v>440.37</v>
      </c>
    </row>
    <row r="2823" spans="1:11" hidden="1">
      <c r="A2823" s="268"/>
      <c r="F2823"/>
      <c r="G2823" s="3"/>
      <c r="H2823"/>
      <c r="I2823"/>
      <c r="J2823" s="4"/>
      <c r="K2823" s="331" t="s">
        <v>1980</v>
      </c>
    </row>
    <row r="2824" spans="1:11" hidden="1">
      <c r="A2824" s="268"/>
      <c r="F2824"/>
      <c r="G2824" s="3"/>
      <c r="H2824" t="s">
        <v>2816</v>
      </c>
      <c r="I2824"/>
      <c r="J2824" s="4"/>
      <c r="K2824"/>
    </row>
    <row r="2825" spans="1:11" hidden="1">
      <c r="A2825" s="268"/>
      <c r="F2825">
        <v>1</v>
      </c>
      <c r="G2825" s="3" t="s">
        <v>1337</v>
      </c>
      <c r="H2825" t="s">
        <v>3276</v>
      </c>
      <c r="I2825">
        <v>160</v>
      </c>
      <c r="J2825" s="4" t="s">
        <v>1341</v>
      </c>
      <c r="K2825">
        <f>F2825*I2825</f>
        <v>160</v>
      </c>
    </row>
    <row r="2826" spans="1:11" hidden="1">
      <c r="A2826" s="268"/>
      <c r="F2826">
        <v>2</v>
      </c>
      <c r="G2826" s="3" t="s">
        <v>1337</v>
      </c>
      <c r="H2826" t="s">
        <v>3277</v>
      </c>
      <c r="I2826">
        <v>149</v>
      </c>
      <c r="J2826" s="4" t="s">
        <v>1341</v>
      </c>
      <c r="K2826">
        <f>F2826*I2826</f>
        <v>298</v>
      </c>
    </row>
    <row r="2827" spans="1:11" hidden="1">
      <c r="A2827" s="268"/>
      <c r="F2827">
        <v>3</v>
      </c>
      <c r="G2827" s="3" t="s">
        <v>1337</v>
      </c>
      <c r="H2827" t="s">
        <v>2246</v>
      </c>
      <c r="I2827">
        <v>110</v>
      </c>
      <c r="J2827" s="4" t="s">
        <v>1341</v>
      </c>
      <c r="K2827">
        <f>F2827*I2827</f>
        <v>330</v>
      </c>
    </row>
    <row r="2828" spans="1:11" hidden="1">
      <c r="A2828" s="268"/>
      <c r="F2828"/>
      <c r="G2828" s="3"/>
      <c r="H2828"/>
      <c r="I2828"/>
      <c r="J2828" s="4"/>
      <c r="K2828" s="331" t="s">
        <v>1530</v>
      </c>
    </row>
    <row r="2829" spans="1:11" hidden="1">
      <c r="A2829" s="268"/>
      <c r="F2829"/>
      <c r="G2829" s="3"/>
      <c r="H2829" t="s">
        <v>2817</v>
      </c>
      <c r="I2829"/>
      <c r="J2829" s="4"/>
      <c r="K2829">
        <f>SUM(K2825:K2828)</f>
        <v>788</v>
      </c>
    </row>
    <row r="2830" spans="1:11" hidden="1">
      <c r="A2830" s="268"/>
      <c r="F2830"/>
      <c r="G2830" s="3"/>
      <c r="H2830" t="s">
        <v>2818</v>
      </c>
      <c r="I2830"/>
      <c r="J2830" s="4"/>
      <c r="K2830">
        <f>K2829/16</f>
        <v>49.25</v>
      </c>
    </row>
    <row r="2831" spans="1:11" hidden="1">
      <c r="A2831" s="268"/>
      <c r="F2831"/>
      <c r="G2831" s="3"/>
      <c r="H2831"/>
      <c r="I2831"/>
      <c r="J2831" s="4"/>
      <c r="K2831" s="331" t="s">
        <v>1530</v>
      </c>
    </row>
    <row r="2832" spans="1:11" ht="9" customHeight="1">
      <c r="A2832" s="268"/>
    </row>
    <row r="2833" spans="1:18" ht="19.5">
      <c r="A2833" s="268"/>
      <c r="H2833" s="467" t="s">
        <v>3619</v>
      </c>
    </row>
    <row r="2834" spans="1:18">
      <c r="A2834" s="268"/>
      <c r="H2834" s="352" t="s">
        <v>3810</v>
      </c>
    </row>
    <row r="2835" spans="1:18" ht="9" customHeight="1">
      <c r="A2835" s="268"/>
    </row>
    <row r="2836" spans="1:18" ht="20.25" customHeight="1">
      <c r="A2836" s="268"/>
      <c r="H2836" s="466" t="s">
        <v>2819</v>
      </c>
    </row>
    <row r="2837" spans="1:18" ht="20.25" customHeight="1">
      <c r="A2837" s="268"/>
      <c r="H2837" s="464" t="s">
        <v>2820</v>
      </c>
      <c r="O2837" s="353" t="s">
        <v>2821</v>
      </c>
    </row>
    <row r="2838" spans="1:18" ht="16.5" customHeight="1">
      <c r="A2838" s="268"/>
      <c r="H2838" s="464" t="s">
        <v>2822</v>
      </c>
    </row>
    <row r="2839" spans="1:18">
      <c r="A2839" s="268"/>
      <c r="H2839" s="465"/>
    </row>
    <row r="2840" spans="1:18" ht="25.5" customHeight="1">
      <c r="A2840" s="268"/>
      <c r="H2840" s="464" t="s">
        <v>2823</v>
      </c>
    </row>
    <row r="2841" spans="1:18" ht="1.5" customHeight="1">
      <c r="A2841" s="268"/>
    </row>
    <row r="2842" spans="1:18" ht="167.25" customHeight="1">
      <c r="A2842" s="268"/>
      <c r="H2842" s="354" t="s">
        <v>2300</v>
      </c>
      <c r="M2842" s="355"/>
      <c r="N2842" s="355"/>
      <c r="O2842" s="354" t="s">
        <v>2767</v>
      </c>
      <c r="P2842" s="355"/>
      <c r="Q2842" s="355"/>
      <c r="R2842" s="355"/>
    </row>
    <row r="2843" spans="1:18" ht="36.75" customHeight="1">
      <c r="A2843" s="268"/>
      <c r="F2843" s="355">
        <v>90</v>
      </c>
      <c r="G2843" s="355" t="s">
        <v>794</v>
      </c>
      <c r="H2843" s="463" t="s">
        <v>3787</v>
      </c>
      <c r="I2843" s="356">
        <f>Elec.Data!I2843</f>
        <v>15.5</v>
      </c>
      <c r="J2843" s="355" t="s">
        <v>2464</v>
      </c>
      <c r="K2843" s="355">
        <f>F2843*I2843</f>
        <v>1395</v>
      </c>
      <c r="M2843" s="355"/>
      <c r="N2843" s="355"/>
      <c r="O2843" s="353"/>
      <c r="P2843" s="355"/>
      <c r="Q2843" s="355"/>
      <c r="R2843" s="355"/>
    </row>
    <row r="2844" spans="1:18" ht="42.75" customHeight="1">
      <c r="A2844" s="268"/>
      <c r="E2844" s="355"/>
      <c r="F2844" s="355">
        <v>45</v>
      </c>
      <c r="G2844" s="355" t="s">
        <v>794</v>
      </c>
      <c r="H2844" s="354" t="s">
        <v>3782</v>
      </c>
      <c r="I2844" s="356">
        <f>Elec.Data!I2844</f>
        <v>19.100000000000001</v>
      </c>
      <c r="J2844" s="355" t="s">
        <v>2280</v>
      </c>
      <c r="K2844" s="355">
        <f>F2844*I2844</f>
        <v>859.5</v>
      </c>
      <c r="L2844" s="355"/>
      <c r="M2844" s="355"/>
      <c r="N2844" s="355"/>
      <c r="P2844" s="355" t="s">
        <v>940</v>
      </c>
      <c r="Q2844" s="355"/>
      <c r="R2844" s="355"/>
    </row>
    <row r="2845" spans="1:18" ht="24.95" customHeight="1">
      <c r="A2845" s="268"/>
      <c r="E2845" s="355"/>
      <c r="F2845" s="355">
        <v>20</v>
      </c>
      <c r="G2845" s="355" t="s">
        <v>1337</v>
      </c>
      <c r="H2845" s="355" t="s">
        <v>3781</v>
      </c>
      <c r="I2845" s="356">
        <f>Elec.Data!I2845</f>
        <v>3</v>
      </c>
      <c r="J2845" s="355" t="s">
        <v>1337</v>
      </c>
      <c r="K2845" s="355">
        <f>F2845*I2845</f>
        <v>60</v>
      </c>
      <c r="L2845" s="355"/>
      <c r="M2845" s="355"/>
      <c r="N2845" s="355"/>
      <c r="O2845" s="355"/>
      <c r="P2845" s="355"/>
      <c r="Q2845" s="355"/>
      <c r="R2845" s="355"/>
    </row>
    <row r="2846" spans="1:18" ht="19.5" customHeight="1">
      <c r="A2846" s="268"/>
      <c r="E2846" s="355"/>
      <c r="F2846" s="355">
        <v>10</v>
      </c>
      <c r="G2846" s="355" t="s">
        <v>1337</v>
      </c>
      <c r="H2846" s="355" t="s">
        <v>3789</v>
      </c>
      <c r="I2846" s="356">
        <f>Elec.Data!I2846</f>
        <v>1.28</v>
      </c>
      <c r="J2846" s="355" t="s">
        <v>1337</v>
      </c>
      <c r="K2846" s="355">
        <f>F2846*I2846</f>
        <v>12.8</v>
      </c>
      <c r="L2846" s="355"/>
      <c r="M2846" s="355">
        <v>90</v>
      </c>
      <c r="N2846" s="355" t="s">
        <v>794</v>
      </c>
      <c r="O2846" s="276" t="s">
        <v>2463</v>
      </c>
      <c r="P2846" s="355">
        <f>I2856</f>
        <v>15.5</v>
      </c>
      <c r="Q2846" s="355" t="s">
        <v>794</v>
      </c>
      <c r="R2846" s="355">
        <f>M2846*P2846</f>
        <v>1395</v>
      </c>
    </row>
    <row r="2847" spans="1:18" ht="42.75" customHeight="1">
      <c r="A2847" s="268"/>
      <c r="E2847" s="355"/>
      <c r="F2847" s="355">
        <v>1</v>
      </c>
      <c r="G2847" s="355" t="s">
        <v>1337</v>
      </c>
      <c r="H2847" s="363" t="s">
        <v>3755</v>
      </c>
      <c r="I2847" s="357">
        <v>58</v>
      </c>
      <c r="J2847" s="355" t="s">
        <v>1337</v>
      </c>
      <c r="K2847" s="355">
        <f>F2847*I2847</f>
        <v>58</v>
      </c>
      <c r="L2847" s="355"/>
      <c r="M2847" s="355">
        <v>45</v>
      </c>
      <c r="N2847" s="355" t="s">
        <v>794</v>
      </c>
      <c r="O2847" s="354" t="s">
        <v>2279</v>
      </c>
      <c r="P2847" s="355">
        <f>I2844</f>
        <v>19.100000000000001</v>
      </c>
      <c r="Q2847" s="355" t="s">
        <v>2280</v>
      </c>
      <c r="R2847" s="355">
        <f>M2847*P2847</f>
        <v>859.5</v>
      </c>
    </row>
    <row r="2848" spans="1:18" hidden="1">
      <c r="A2848" s="268"/>
      <c r="E2848" s="355"/>
      <c r="F2848" s="355"/>
      <c r="G2848" s="355"/>
      <c r="H2848" s="355"/>
      <c r="I2848" s="355"/>
      <c r="J2848" s="355"/>
      <c r="K2848" s="355"/>
      <c r="L2848" s="355"/>
      <c r="M2848" s="355">
        <v>75</v>
      </c>
      <c r="N2848" s="355" t="s">
        <v>1337</v>
      </c>
      <c r="O2848" s="355" t="s">
        <v>3662</v>
      </c>
      <c r="P2848" s="425">
        <v>3.85</v>
      </c>
      <c r="Q2848" s="355" t="s">
        <v>3326</v>
      </c>
      <c r="R2848" s="355">
        <f>M2848*P2848/12</f>
        <v>24.06</v>
      </c>
    </row>
    <row r="2849" spans="1:20" ht="34.5" customHeight="1">
      <c r="A2849" s="268"/>
      <c r="E2849" s="355"/>
      <c r="F2849" s="358">
        <v>1.4999999999999999E-2</v>
      </c>
      <c r="G2849" s="355" t="s">
        <v>2199</v>
      </c>
      <c r="H2849" s="355" t="s">
        <v>3783</v>
      </c>
      <c r="I2849" s="356">
        <f>Elec.Data!I2849</f>
        <v>630</v>
      </c>
      <c r="J2849" s="355" t="s">
        <v>2199</v>
      </c>
      <c r="K2849" s="355">
        <f t="shared" ref="K2849:K2856" si="92">F2849*I2849</f>
        <v>9.4499999999999993</v>
      </c>
      <c r="L2849" s="355"/>
      <c r="M2849" s="355">
        <v>12</v>
      </c>
      <c r="N2849" s="355" t="s">
        <v>1337</v>
      </c>
      <c r="O2849" s="355" t="s">
        <v>2281</v>
      </c>
      <c r="P2849" s="355">
        <f>I2845</f>
        <v>3</v>
      </c>
      <c r="Q2849" s="355" t="s">
        <v>1337</v>
      </c>
      <c r="R2849" s="355">
        <f>M2849*P2849</f>
        <v>36</v>
      </c>
    </row>
    <row r="2850" spans="1:20" ht="24.95" customHeight="1">
      <c r="A2850" s="268"/>
      <c r="E2850" s="355"/>
      <c r="F2850" s="355">
        <v>10</v>
      </c>
      <c r="G2850" s="355" t="s">
        <v>1337</v>
      </c>
      <c r="H2850" s="355" t="s">
        <v>3784</v>
      </c>
      <c r="I2850" s="356">
        <f>Elec.Data!I2850</f>
        <v>16.05</v>
      </c>
      <c r="J2850" s="355" t="s">
        <v>1337</v>
      </c>
      <c r="K2850" s="355">
        <f t="shared" si="92"/>
        <v>160.5</v>
      </c>
      <c r="L2850" s="355"/>
      <c r="M2850" s="355">
        <v>6</v>
      </c>
      <c r="N2850" s="355" t="s">
        <v>1337</v>
      </c>
      <c r="O2850" s="355" t="s">
        <v>3323</v>
      </c>
      <c r="P2850" s="355">
        <f>I2846</f>
        <v>1.28</v>
      </c>
      <c r="Q2850" s="355" t="s">
        <v>1337</v>
      </c>
      <c r="R2850" s="355">
        <f>M2850*P2850</f>
        <v>7.68</v>
      </c>
    </row>
    <row r="2851" spans="1:20" ht="24.95" customHeight="1">
      <c r="A2851" s="268"/>
      <c r="E2851" s="355"/>
      <c r="F2851" s="355">
        <v>10</v>
      </c>
      <c r="G2851" s="355" t="s">
        <v>1337</v>
      </c>
      <c r="H2851" s="355" t="s">
        <v>3785</v>
      </c>
      <c r="I2851" s="356">
        <f>Elec.Data!I2851</f>
        <v>13.6</v>
      </c>
      <c r="J2851" s="355" t="s">
        <v>1337</v>
      </c>
      <c r="K2851" s="355">
        <f t="shared" si="92"/>
        <v>136</v>
      </c>
      <c r="L2851" s="355"/>
      <c r="M2851" s="355">
        <v>150</v>
      </c>
      <c r="N2851" s="355" t="s">
        <v>1375</v>
      </c>
      <c r="O2851" s="355" t="s">
        <v>2554</v>
      </c>
      <c r="P2851" s="355">
        <f>Elec.Data!P2851</f>
        <v>287</v>
      </c>
      <c r="Q2851" s="355">
        <v>1000</v>
      </c>
      <c r="R2851" s="355">
        <f>(M2851*P2851)/1000</f>
        <v>43.05</v>
      </c>
    </row>
    <row r="2852" spans="1:20" ht="24.95" customHeight="1">
      <c r="A2852" s="268"/>
      <c r="E2852" s="355"/>
      <c r="F2852" s="355">
        <v>10</v>
      </c>
      <c r="G2852" s="355" t="s">
        <v>1337</v>
      </c>
      <c r="H2852" s="355" t="s">
        <v>3786</v>
      </c>
      <c r="I2852" s="356">
        <f>Elec.Data!I2852</f>
        <v>3.43</v>
      </c>
      <c r="J2852" s="355" t="s">
        <v>1337</v>
      </c>
      <c r="K2852" s="355">
        <f t="shared" si="92"/>
        <v>34.299999999999997</v>
      </c>
      <c r="L2852" s="355"/>
      <c r="M2852" s="358">
        <v>7</v>
      </c>
      <c r="N2852" s="355" t="s">
        <v>1375</v>
      </c>
      <c r="O2852" s="355" t="s">
        <v>2556</v>
      </c>
      <c r="P2852" s="355">
        <f>I2852</f>
        <v>3.43</v>
      </c>
      <c r="Q2852" s="355" t="s">
        <v>1337</v>
      </c>
      <c r="R2852" s="355">
        <f>M2852*P2852</f>
        <v>24.01</v>
      </c>
    </row>
    <row r="2853" spans="1:20" ht="24.95" customHeight="1">
      <c r="A2853" s="268"/>
      <c r="E2853" s="355"/>
      <c r="F2853" s="355">
        <v>1.25</v>
      </c>
      <c r="G2853" s="355" t="s">
        <v>2557</v>
      </c>
      <c r="H2853" s="355" t="s">
        <v>364</v>
      </c>
      <c r="I2853" s="356">
        <f>Elec.Data!I2853</f>
        <v>298</v>
      </c>
      <c r="J2853" s="355" t="s">
        <v>2557</v>
      </c>
      <c r="K2853" s="355">
        <f t="shared" si="92"/>
        <v>372.5</v>
      </c>
      <c r="L2853" s="355"/>
      <c r="M2853" s="355">
        <v>6</v>
      </c>
      <c r="N2853" s="355" t="s">
        <v>1337</v>
      </c>
      <c r="O2853" s="355" t="s">
        <v>2553</v>
      </c>
      <c r="P2853" s="355">
        <f>I2851</f>
        <v>13.6</v>
      </c>
      <c r="Q2853" s="355" t="s">
        <v>1341</v>
      </c>
      <c r="R2853" s="355">
        <f>M2853*P2853</f>
        <v>81.599999999999994</v>
      </c>
    </row>
    <row r="2854" spans="1:20" ht="24.95" customHeight="1">
      <c r="A2854" s="268"/>
      <c r="E2854" s="355"/>
      <c r="F2854" s="355">
        <v>10</v>
      </c>
      <c r="G2854" s="355" t="s">
        <v>1337</v>
      </c>
      <c r="H2854" s="363" t="s">
        <v>3755</v>
      </c>
      <c r="I2854" s="357">
        <f>I2847</f>
        <v>58</v>
      </c>
      <c r="J2854" s="355" t="s">
        <v>1337</v>
      </c>
      <c r="K2854" s="355">
        <f t="shared" si="92"/>
        <v>580</v>
      </c>
      <c r="L2854" s="355"/>
      <c r="M2854" s="355">
        <v>6</v>
      </c>
      <c r="N2854" s="355" t="s">
        <v>1337</v>
      </c>
      <c r="O2854" s="355" t="s">
        <v>2559</v>
      </c>
      <c r="P2854" s="355">
        <f>Elec.Data!P2854</f>
        <v>16.05</v>
      </c>
      <c r="Q2854" s="355" t="s">
        <v>3326</v>
      </c>
      <c r="R2854" s="355">
        <f>(M2854*P2854)/12</f>
        <v>8.0299999999999994</v>
      </c>
    </row>
    <row r="2855" spans="1:20" ht="24.95" customHeight="1">
      <c r="A2855" s="268"/>
      <c r="E2855" s="355"/>
      <c r="F2855" s="355">
        <v>0.15</v>
      </c>
      <c r="G2855" s="355" t="s">
        <v>2199</v>
      </c>
      <c r="H2855" s="355" t="s">
        <v>3783</v>
      </c>
      <c r="I2855" s="356">
        <f>Elec.Data!I2855</f>
        <v>630</v>
      </c>
      <c r="J2855" s="355" t="s">
        <v>2199</v>
      </c>
      <c r="K2855" s="355">
        <f t="shared" si="92"/>
        <v>94.5</v>
      </c>
      <c r="L2855" s="355"/>
      <c r="M2855" s="355">
        <v>1</v>
      </c>
      <c r="N2855" s="355" t="s">
        <v>2561</v>
      </c>
      <c r="O2855" s="355" t="s">
        <v>2562</v>
      </c>
      <c r="P2855" s="355">
        <v>84.1</v>
      </c>
      <c r="Q2855" s="355" t="s">
        <v>2561</v>
      </c>
      <c r="R2855" s="355">
        <f>(M2855*P2855)</f>
        <v>84.1</v>
      </c>
    </row>
    <row r="2856" spans="1:20" ht="44.25" customHeight="1">
      <c r="A2856" s="268"/>
      <c r="E2856" s="355"/>
      <c r="F2856" s="355">
        <v>45</v>
      </c>
      <c r="G2856" s="355" t="s">
        <v>794</v>
      </c>
      <c r="H2856" s="463" t="s">
        <v>3788</v>
      </c>
      <c r="I2856" s="356">
        <f>Elec.Data!I2856</f>
        <v>15.5</v>
      </c>
      <c r="J2856" s="355" t="s">
        <v>3239</v>
      </c>
      <c r="K2856" s="355">
        <f t="shared" si="92"/>
        <v>697.5</v>
      </c>
      <c r="L2856" s="355"/>
      <c r="M2856" s="355">
        <v>6</v>
      </c>
      <c r="N2856" s="355" t="s">
        <v>1375</v>
      </c>
      <c r="O2856" s="354" t="s">
        <v>3240</v>
      </c>
      <c r="P2856" s="355">
        <v>168.95</v>
      </c>
      <c r="Q2856" s="355" t="s">
        <v>2557</v>
      </c>
      <c r="R2856" s="355">
        <f>M2856*P2856</f>
        <v>1013.7</v>
      </c>
    </row>
    <row r="2857" spans="1:20" ht="24.95" customHeight="1">
      <c r="A2857" s="268"/>
      <c r="E2857" s="355"/>
      <c r="F2857" s="355" t="s">
        <v>625</v>
      </c>
      <c r="G2857" s="355"/>
      <c r="H2857" s="355" t="s">
        <v>878</v>
      </c>
      <c r="I2857" s="355"/>
      <c r="J2857" s="355" t="s">
        <v>625</v>
      </c>
      <c r="K2857" s="355">
        <f>K2873</f>
        <v>10421</v>
      </c>
      <c r="L2857" s="355"/>
      <c r="M2857" s="359">
        <v>0.16666666666666666</v>
      </c>
      <c r="N2857" s="355" t="s">
        <v>3241</v>
      </c>
      <c r="O2857" s="355" t="s">
        <v>364</v>
      </c>
      <c r="P2857" s="425">
        <f>I2853</f>
        <v>298</v>
      </c>
      <c r="Q2857" s="355" t="s">
        <v>3241</v>
      </c>
      <c r="R2857" s="355">
        <f>M2857*P2857</f>
        <v>49.67</v>
      </c>
    </row>
    <row r="2858" spans="1:20" ht="20.25" customHeight="1">
      <c r="A2858" s="268"/>
      <c r="E2858" s="355"/>
      <c r="F2858" s="355" t="s">
        <v>625</v>
      </c>
      <c r="G2858" s="355"/>
      <c r="H2858" s="355" t="s">
        <v>2187</v>
      </c>
      <c r="I2858" s="355"/>
      <c r="J2858" s="355" t="s">
        <v>625</v>
      </c>
      <c r="K2858" s="355">
        <v>40.6</v>
      </c>
      <c r="L2858" s="355"/>
      <c r="M2858" s="355">
        <v>45</v>
      </c>
      <c r="N2858" s="355" t="s">
        <v>3391</v>
      </c>
      <c r="O2858" s="276" t="s">
        <v>2563</v>
      </c>
      <c r="P2858" s="355">
        <f>P2846</f>
        <v>15.5</v>
      </c>
      <c r="Q2858" s="355" t="s">
        <v>2199</v>
      </c>
      <c r="R2858" s="355">
        <f>M2858*P2858</f>
        <v>697.5</v>
      </c>
    </row>
    <row r="2859" spans="1:20" ht="24.95" customHeight="1">
      <c r="A2859" s="268"/>
      <c r="E2859" s="355"/>
      <c r="F2859" s="355"/>
      <c r="G2859" s="355"/>
      <c r="H2859" s="360" t="s">
        <v>3242</v>
      </c>
      <c r="I2859" s="355"/>
      <c r="J2859" s="355"/>
      <c r="K2859" s="361">
        <f>SUM(K2843:K2858)</f>
        <v>14931.65</v>
      </c>
      <c r="L2859" s="355"/>
      <c r="M2859" s="355">
        <v>6</v>
      </c>
      <c r="N2859" s="355" t="s">
        <v>3243</v>
      </c>
      <c r="O2859" s="355" t="s">
        <v>878</v>
      </c>
      <c r="P2859" s="355">
        <f>R2877</f>
        <v>1098.17</v>
      </c>
      <c r="Q2859" s="355" t="s">
        <v>3243</v>
      </c>
      <c r="R2859" s="355">
        <f>M2859*P2859</f>
        <v>6589.02</v>
      </c>
    </row>
    <row r="2860" spans="1:20" ht="21.75" customHeight="1">
      <c r="A2860" s="268"/>
      <c r="E2860" s="355"/>
      <c r="F2860" s="355"/>
      <c r="G2860" s="355"/>
      <c r="H2860" s="362" t="s">
        <v>3244</v>
      </c>
      <c r="I2860" s="355"/>
      <c r="J2860" s="355"/>
      <c r="K2860" s="363">
        <f>K2859/10</f>
        <v>1493.17</v>
      </c>
      <c r="L2860" s="355">
        <f>1206*10</f>
        <v>12060</v>
      </c>
      <c r="M2860" s="355"/>
      <c r="N2860" s="355" t="s">
        <v>66</v>
      </c>
      <c r="O2860" s="355" t="s">
        <v>3245</v>
      </c>
      <c r="P2860" s="355"/>
      <c r="Q2860" s="355"/>
      <c r="R2860" s="355">
        <f>18.56+1.91</f>
        <v>20.47</v>
      </c>
    </row>
    <row r="2861" spans="1:20" ht="21" customHeight="1">
      <c r="A2861" s="268"/>
      <c r="E2861" s="355"/>
      <c r="F2861" s="355"/>
      <c r="G2861" s="355"/>
      <c r="H2861" s="355"/>
      <c r="I2861" s="355"/>
      <c r="J2861" s="355"/>
      <c r="K2861" s="355"/>
      <c r="L2861" s="355">
        <f>L2860-K2859</f>
        <v>-2871.65</v>
      </c>
      <c r="M2861" s="355"/>
      <c r="N2861" s="355"/>
      <c r="P2861" s="355"/>
      <c r="Q2861" s="355"/>
      <c r="R2861" s="355"/>
    </row>
    <row r="2862" spans="1:20" ht="16.5" customHeight="1">
      <c r="A2862" s="268"/>
      <c r="E2862" s="355"/>
      <c r="F2862" s="355"/>
      <c r="G2862" s="355"/>
      <c r="H2862" s="363" t="s">
        <v>3246</v>
      </c>
      <c r="I2862" s="355"/>
      <c r="J2862" s="355"/>
      <c r="K2862" s="355"/>
      <c r="L2862" s="355">
        <f>L2860-K2859</f>
        <v>-2871.65</v>
      </c>
      <c r="M2862" s="355"/>
      <c r="N2862" s="355"/>
      <c r="O2862" s="360" t="s">
        <v>3247</v>
      </c>
      <c r="P2862" s="355"/>
      <c r="Q2862" s="355"/>
      <c r="R2862" s="361">
        <f>SUM(R2846:R2861)</f>
        <v>10933.39</v>
      </c>
    </row>
    <row r="2863" spans="1:20" ht="15.75" customHeight="1">
      <c r="A2863" s="268"/>
      <c r="E2863" s="355"/>
      <c r="F2863" s="355"/>
      <c r="G2863" s="355"/>
      <c r="H2863" s="355"/>
      <c r="I2863" s="355"/>
      <c r="J2863" s="355"/>
      <c r="K2863" s="355"/>
      <c r="L2863" s="355"/>
      <c r="M2863" s="355"/>
      <c r="N2863" s="355"/>
      <c r="O2863" s="362" t="s">
        <v>3244</v>
      </c>
      <c r="P2863" s="355"/>
      <c r="Q2863" s="355"/>
      <c r="R2863" s="363">
        <f>R2862/6</f>
        <v>1822.23</v>
      </c>
      <c r="T2863" s="182">
        <f>1382*6</f>
        <v>8292</v>
      </c>
    </row>
    <row r="2864" spans="1:20" ht="19.5" customHeight="1">
      <c r="A2864" s="268"/>
      <c r="E2864" s="355"/>
      <c r="F2864" s="355"/>
      <c r="G2864" s="355"/>
      <c r="H2864" s="363" t="s">
        <v>3321</v>
      </c>
      <c r="I2864" s="355"/>
      <c r="J2864" s="355"/>
      <c r="K2864" s="355"/>
      <c r="L2864" s="355"/>
      <c r="M2864" s="355"/>
      <c r="N2864" s="355"/>
      <c r="O2864" s="355"/>
      <c r="P2864" s="355"/>
      <c r="Q2864" s="355"/>
      <c r="R2864" s="355"/>
      <c r="T2864" s="182">
        <f>T2863-R2862</f>
        <v>-2641.39</v>
      </c>
    </row>
    <row r="2865" spans="1:18" ht="6.75" customHeight="1">
      <c r="A2865" s="268"/>
      <c r="E2865" s="355"/>
      <c r="F2865" s="355"/>
      <c r="G2865" s="355"/>
      <c r="H2865" s="355"/>
      <c r="I2865" s="355"/>
      <c r="J2865" s="355"/>
      <c r="K2865" s="355"/>
      <c r="L2865" s="355"/>
      <c r="M2865" s="355"/>
    </row>
    <row r="2866" spans="1:18" ht="20.25" customHeight="1">
      <c r="A2866" s="268"/>
      <c r="E2866" s="355"/>
      <c r="F2866" s="355">
        <v>1</v>
      </c>
      <c r="G2866" s="355" t="s">
        <v>1337</v>
      </c>
      <c r="H2866" s="355" t="s">
        <v>3248</v>
      </c>
      <c r="I2866" s="425">
        <f>Elec.Data!I2866</f>
        <v>817</v>
      </c>
      <c r="J2866" s="355" t="s">
        <v>1337</v>
      </c>
      <c r="K2866" s="355">
        <f>F2866*I2866</f>
        <v>817</v>
      </c>
      <c r="L2866" s="355"/>
      <c r="M2866" s="355"/>
      <c r="N2866" s="363" t="s">
        <v>3246</v>
      </c>
      <c r="O2866" s="355"/>
      <c r="P2866" s="355"/>
      <c r="Q2866" s="355"/>
    </row>
    <row r="2867" spans="1:18" ht="20.25" customHeight="1">
      <c r="A2867" s="268"/>
      <c r="E2867" s="355"/>
      <c r="F2867" s="355">
        <v>2</v>
      </c>
      <c r="G2867" s="355" t="s">
        <v>1337</v>
      </c>
      <c r="H2867" s="355" t="s">
        <v>3249</v>
      </c>
      <c r="I2867" s="425">
        <f>Elec.Data!I2867</f>
        <v>712</v>
      </c>
      <c r="J2867" s="355" t="s">
        <v>1337</v>
      </c>
      <c r="K2867" s="355">
        <f>F2867*I2867</f>
        <v>1424</v>
      </c>
      <c r="L2867" s="355"/>
      <c r="M2867" s="355"/>
      <c r="N2867" s="355"/>
      <c r="O2867" s="355"/>
      <c r="P2867" s="355"/>
      <c r="Q2867" s="355"/>
    </row>
    <row r="2868" spans="1:18" ht="20.25" customHeight="1">
      <c r="A2868" s="268"/>
      <c r="E2868" s="355"/>
      <c r="F2868" s="355">
        <v>3</v>
      </c>
      <c r="G2868" s="355" t="s">
        <v>1337</v>
      </c>
      <c r="H2868" s="355" t="s">
        <v>3250</v>
      </c>
      <c r="I2868" s="425">
        <f>Elec.Data!I2868</f>
        <v>708</v>
      </c>
      <c r="J2868" s="355" t="s">
        <v>1337</v>
      </c>
      <c r="K2868" s="355">
        <f>F2868*I2868</f>
        <v>2124</v>
      </c>
      <c r="L2868" s="355"/>
      <c r="M2868" s="355"/>
      <c r="N2868" s="363" t="s">
        <v>3321</v>
      </c>
      <c r="O2868" s="355"/>
      <c r="P2868" s="355"/>
      <c r="Q2868" s="355"/>
    </row>
    <row r="2869" spans="1:18" ht="20.25" customHeight="1">
      <c r="A2869" s="268"/>
      <c r="E2869" s="355"/>
      <c r="F2869" s="355">
        <v>4</v>
      </c>
      <c r="G2869" s="355" t="s">
        <v>1337</v>
      </c>
      <c r="H2869" s="355" t="s">
        <v>2246</v>
      </c>
      <c r="I2869" s="425">
        <f>Elec.Data!I2869</f>
        <v>556</v>
      </c>
      <c r="J2869" s="355" t="s">
        <v>1337</v>
      </c>
      <c r="K2869" s="355">
        <f>F2869*I2869</f>
        <v>2224</v>
      </c>
      <c r="L2869" s="355"/>
      <c r="M2869" s="355"/>
      <c r="N2869" s="355"/>
      <c r="O2869" s="355"/>
      <c r="P2869" s="355"/>
      <c r="Q2869" s="355"/>
    </row>
    <row r="2870" spans="1:18" ht="24.95" customHeight="1">
      <c r="A2870" s="268"/>
      <c r="E2870" s="355"/>
      <c r="F2870" s="355"/>
      <c r="G2870" s="355"/>
      <c r="H2870" s="363" t="s">
        <v>3026</v>
      </c>
      <c r="I2870" s="425">
        <f>Elec.Data!I2870</f>
        <v>0</v>
      </c>
      <c r="J2870" s="355"/>
      <c r="K2870" s="355"/>
      <c r="M2870" s="355">
        <v>1</v>
      </c>
      <c r="N2870" s="355" t="s">
        <v>1337</v>
      </c>
      <c r="O2870" s="355" t="s">
        <v>3248</v>
      </c>
      <c r="P2870" s="355">
        <f>I2866</f>
        <v>817</v>
      </c>
      <c r="Q2870" s="355" t="s">
        <v>1337</v>
      </c>
      <c r="R2870" s="355">
        <f>M2870*P2870</f>
        <v>817</v>
      </c>
    </row>
    <row r="2871" spans="1:18" ht="24.95" customHeight="1">
      <c r="A2871" s="268"/>
      <c r="E2871" s="355"/>
      <c r="F2871" s="355">
        <v>2</v>
      </c>
      <c r="G2871" s="355" t="s">
        <v>1337</v>
      </c>
      <c r="H2871" s="355" t="s">
        <v>2768</v>
      </c>
      <c r="I2871" s="425">
        <f>Elec.Data!I2871</f>
        <v>804</v>
      </c>
      <c r="J2871" s="355" t="s">
        <v>1337</v>
      </c>
      <c r="K2871" s="355">
        <f>F2871*I2871</f>
        <v>1608</v>
      </c>
      <c r="M2871" s="355">
        <v>2</v>
      </c>
      <c r="N2871" s="355" t="s">
        <v>1337</v>
      </c>
      <c r="O2871" s="355" t="s">
        <v>3249</v>
      </c>
      <c r="P2871" s="355">
        <f>I2867</f>
        <v>712</v>
      </c>
      <c r="Q2871" s="355" t="s">
        <v>1337</v>
      </c>
      <c r="R2871" s="355">
        <f>M2871*P2871</f>
        <v>1424</v>
      </c>
    </row>
    <row r="2872" spans="1:18" ht="24.95" customHeight="1">
      <c r="A2872" s="268"/>
      <c r="E2872" s="355"/>
      <c r="F2872" s="355">
        <v>4</v>
      </c>
      <c r="G2872" s="355" t="s">
        <v>1337</v>
      </c>
      <c r="H2872" s="355" t="s">
        <v>3013</v>
      </c>
      <c r="I2872" s="425">
        <f>Elec.Data!I2872</f>
        <v>556</v>
      </c>
      <c r="J2872" s="355" t="s">
        <v>1337</v>
      </c>
      <c r="K2872" s="355">
        <f>F2872*I2872</f>
        <v>2224</v>
      </c>
      <c r="M2872" s="355">
        <v>3</v>
      </c>
      <c r="N2872" s="355" t="s">
        <v>1337</v>
      </c>
      <c r="O2872" s="355" t="s">
        <v>3250</v>
      </c>
      <c r="P2872" s="355">
        <f>I2868</f>
        <v>708</v>
      </c>
      <c r="Q2872" s="355" t="s">
        <v>1337</v>
      </c>
      <c r="R2872" s="355">
        <f>M2872*P2872</f>
        <v>2124</v>
      </c>
    </row>
    <row r="2873" spans="1:18" ht="20.25" customHeight="1">
      <c r="A2873" s="268"/>
      <c r="E2873" s="355"/>
      <c r="F2873" s="355"/>
      <c r="G2873" s="355"/>
      <c r="H2873" s="355"/>
      <c r="I2873" s="355"/>
      <c r="J2873" s="355"/>
      <c r="K2873" s="370">
        <f>SUM(K2866:K2872)</f>
        <v>10421</v>
      </c>
      <c r="M2873" s="355">
        <v>4</v>
      </c>
      <c r="N2873" s="355" t="s">
        <v>1337</v>
      </c>
      <c r="O2873" s="355" t="s">
        <v>2246</v>
      </c>
      <c r="P2873" s="355">
        <f>I2869</f>
        <v>556</v>
      </c>
      <c r="Q2873" s="355" t="s">
        <v>1337</v>
      </c>
      <c r="R2873" s="355">
        <f>M2873*P2873</f>
        <v>2224</v>
      </c>
    </row>
    <row r="2874" spans="1:18" ht="5.25" hidden="1" customHeight="1">
      <c r="A2874" s="268"/>
      <c r="E2874" s="355"/>
      <c r="F2874" s="355"/>
      <c r="G2874" s="355"/>
      <c r="H2874" s="355"/>
      <c r="I2874" s="355"/>
      <c r="J2874" s="355"/>
      <c r="K2874" s="361"/>
      <c r="M2874" s="355"/>
      <c r="N2874" s="355"/>
      <c r="O2874" s="355"/>
      <c r="P2874" s="355"/>
      <c r="Q2874" s="355"/>
      <c r="R2874" s="355"/>
    </row>
    <row r="2875" spans="1:18" ht="39.950000000000003" customHeight="1">
      <c r="A2875" s="268"/>
      <c r="E2875" s="355"/>
      <c r="F2875" s="355"/>
      <c r="G2875" s="355"/>
      <c r="H2875" s="191" t="s">
        <v>3027</v>
      </c>
      <c r="I2875" s="355"/>
      <c r="J2875" s="355"/>
      <c r="K2875" s="355"/>
      <c r="L2875" s="355"/>
      <c r="M2875" s="355"/>
      <c r="O2875" s="365" t="s">
        <v>2769</v>
      </c>
      <c r="R2875" s="366">
        <f>SUM(R2870:R2873)</f>
        <v>6589</v>
      </c>
    </row>
    <row r="2876" spans="1:18" ht="30.75" customHeight="1">
      <c r="A2876" s="268"/>
      <c r="E2876" s="355"/>
      <c r="F2876" s="355"/>
      <c r="G2876" s="355"/>
      <c r="H2876" s="191" t="s">
        <v>3332</v>
      </c>
      <c r="I2876" s="355"/>
      <c r="J2876" s="355"/>
      <c r="K2876" s="355"/>
      <c r="L2876" s="355"/>
      <c r="M2876" s="355"/>
    </row>
    <row r="2877" spans="1:18">
      <c r="A2877" s="268"/>
      <c r="E2877" s="355"/>
      <c r="F2877" s="355"/>
      <c r="G2877" s="355"/>
      <c r="H2877" s="355"/>
      <c r="I2877" s="355"/>
      <c r="J2877" s="355"/>
      <c r="K2877" s="355"/>
      <c r="L2877" s="355"/>
      <c r="M2877" s="355"/>
      <c r="Q2877" s="367" t="s">
        <v>3333</v>
      </c>
      <c r="R2877" s="192">
        <f>R2875/6</f>
        <v>1098.17</v>
      </c>
    </row>
    <row r="2878" spans="1:18" ht="186.75" customHeight="1">
      <c r="A2878" s="268"/>
      <c r="E2878" s="355"/>
      <c r="F2878" s="355"/>
      <c r="G2878" s="355"/>
      <c r="H2878" s="354" t="s">
        <v>2406</v>
      </c>
      <c r="I2878" s="355"/>
      <c r="J2878" s="355"/>
      <c r="K2878" s="355"/>
      <c r="L2878" s="355"/>
      <c r="M2878" s="355"/>
      <c r="O2878" s="354" t="s">
        <v>2368</v>
      </c>
    </row>
    <row r="2879" spans="1:18" ht="30" customHeight="1">
      <c r="A2879" s="268"/>
      <c r="E2879" s="355"/>
      <c r="F2879" s="355"/>
      <c r="G2879" s="355"/>
      <c r="H2879" s="355" t="s">
        <v>2369</v>
      </c>
      <c r="I2879" s="355"/>
      <c r="J2879" s="355"/>
      <c r="K2879" s="355">
        <f>K2859-K2858</f>
        <v>14891.05</v>
      </c>
      <c r="L2879" s="355"/>
      <c r="M2879" s="355">
        <v>90</v>
      </c>
      <c r="N2879" s="355" t="s">
        <v>794</v>
      </c>
      <c r="O2879" s="276" t="s">
        <v>2463</v>
      </c>
      <c r="P2879" s="355">
        <f t="shared" ref="P2879:P2887" si="93">P2846</f>
        <v>15.5</v>
      </c>
      <c r="Q2879" s="355" t="s">
        <v>794</v>
      </c>
      <c r="R2879" s="355">
        <f>M2879*P2879</f>
        <v>1395</v>
      </c>
    </row>
    <row r="2880" spans="1:18" ht="30" customHeight="1">
      <c r="A2880" s="268"/>
      <c r="E2880" s="355"/>
      <c r="F2880" s="355"/>
      <c r="G2880" s="355"/>
      <c r="H2880" s="355" t="s">
        <v>2370</v>
      </c>
      <c r="I2880" s="355"/>
      <c r="J2880" s="355"/>
      <c r="K2880" s="355">
        <f>K2851</f>
        <v>136</v>
      </c>
      <c r="L2880" s="355"/>
      <c r="M2880" s="355">
        <v>45</v>
      </c>
      <c r="N2880" s="355" t="s">
        <v>794</v>
      </c>
      <c r="O2880" s="354" t="s">
        <v>2279</v>
      </c>
      <c r="P2880" s="355">
        <f t="shared" si="93"/>
        <v>19.100000000000001</v>
      </c>
      <c r="Q2880" s="355" t="s">
        <v>2280</v>
      </c>
      <c r="R2880" s="355">
        <f>M2880*P2880</f>
        <v>859.5</v>
      </c>
    </row>
    <row r="2881" spans="1:19" ht="30" customHeight="1">
      <c r="A2881" s="268"/>
      <c r="E2881" s="355"/>
      <c r="F2881" s="355"/>
      <c r="G2881" s="355"/>
      <c r="H2881" s="425" t="s">
        <v>3618</v>
      </c>
      <c r="I2881" s="425"/>
      <c r="J2881" s="425"/>
      <c r="K2881" s="425">
        <f>Elec.Data!K2881</f>
        <v>165</v>
      </c>
      <c r="L2881" s="355"/>
      <c r="M2881" s="355">
        <v>75</v>
      </c>
      <c r="N2881" s="355" t="s">
        <v>1337</v>
      </c>
      <c r="O2881" s="355" t="s">
        <v>3325</v>
      </c>
      <c r="P2881" s="355">
        <f t="shared" si="93"/>
        <v>3.85</v>
      </c>
      <c r="Q2881" s="355" t="s">
        <v>3326</v>
      </c>
      <c r="R2881" s="355">
        <f>M2881*P2881/12</f>
        <v>24.06</v>
      </c>
    </row>
    <row r="2882" spans="1:19" ht="30" customHeight="1">
      <c r="A2882" s="268"/>
      <c r="E2882" s="355"/>
      <c r="F2882" s="355"/>
      <c r="G2882" s="355"/>
      <c r="H2882" s="355" t="s">
        <v>2187</v>
      </c>
      <c r="I2882" s="355"/>
      <c r="J2882" s="355"/>
      <c r="K2882" s="355">
        <v>43.1</v>
      </c>
      <c r="L2882" s="355"/>
      <c r="M2882" s="355">
        <v>12</v>
      </c>
      <c r="N2882" s="355" t="s">
        <v>1337</v>
      </c>
      <c r="O2882" s="355" t="s">
        <v>2281</v>
      </c>
      <c r="P2882" s="355">
        <f t="shared" si="93"/>
        <v>3</v>
      </c>
      <c r="Q2882" s="355" t="s">
        <v>1337</v>
      </c>
      <c r="R2882" s="355">
        <f>M2882*P2882</f>
        <v>36</v>
      </c>
    </row>
    <row r="2883" spans="1:19" ht="39.950000000000003" customHeight="1">
      <c r="A2883" s="268"/>
      <c r="E2883" s="355"/>
      <c r="F2883" s="355"/>
      <c r="G2883" s="355"/>
      <c r="H2883" s="360" t="s">
        <v>2348</v>
      </c>
      <c r="I2883" s="355"/>
      <c r="J2883" s="355"/>
      <c r="K2883" s="361">
        <f>K2879-K2880+K2881+K2882</f>
        <v>14963.15</v>
      </c>
      <c r="L2883" s="355"/>
      <c r="M2883" s="355">
        <v>6</v>
      </c>
      <c r="N2883" s="355" t="s">
        <v>1337</v>
      </c>
      <c r="O2883" s="355" t="s">
        <v>3323</v>
      </c>
      <c r="P2883" s="355">
        <f t="shared" si="93"/>
        <v>1.28</v>
      </c>
      <c r="Q2883" s="355" t="s">
        <v>1337</v>
      </c>
      <c r="R2883" s="355">
        <f>M2883*P2883</f>
        <v>7.68</v>
      </c>
    </row>
    <row r="2884" spans="1:19" ht="25.5" customHeight="1">
      <c r="A2884" s="268"/>
      <c r="E2884" s="355"/>
      <c r="F2884" s="355"/>
      <c r="G2884" s="355"/>
      <c r="H2884" s="362" t="s">
        <v>2349</v>
      </c>
      <c r="I2884" s="355"/>
      <c r="J2884" s="355"/>
      <c r="K2884" s="363">
        <f>K2883/10</f>
        <v>1496.32</v>
      </c>
      <c r="L2884" s="355">
        <f>1078*10</f>
        <v>10780</v>
      </c>
      <c r="M2884" s="355">
        <v>150</v>
      </c>
      <c r="N2884" s="355" t="s">
        <v>1375</v>
      </c>
      <c r="O2884" s="355" t="s">
        <v>2554</v>
      </c>
      <c r="P2884" s="355">
        <f t="shared" si="93"/>
        <v>287</v>
      </c>
      <c r="Q2884" s="355">
        <v>1000</v>
      </c>
      <c r="R2884" s="355">
        <f>(M2884*P2884)/1000</f>
        <v>43.05</v>
      </c>
    </row>
    <row r="2885" spans="1:19">
      <c r="A2885" s="268"/>
      <c r="E2885" s="355"/>
      <c r="F2885" s="355"/>
      <c r="G2885" s="355"/>
      <c r="H2885" s="355"/>
      <c r="I2885" s="355"/>
      <c r="J2885" s="355"/>
      <c r="K2885" s="355"/>
      <c r="L2885" s="355">
        <f>L2884-K2883</f>
        <v>-4183.1499999999996</v>
      </c>
      <c r="M2885" s="358">
        <v>7</v>
      </c>
      <c r="N2885" s="355" t="s">
        <v>1375</v>
      </c>
      <c r="O2885" s="355" t="s">
        <v>2556</v>
      </c>
      <c r="P2885" s="355">
        <f t="shared" si="93"/>
        <v>3.43</v>
      </c>
      <c r="Q2885" s="355" t="s">
        <v>1337</v>
      </c>
      <c r="R2885" s="355">
        <f>M2885*P2885</f>
        <v>24.01</v>
      </c>
    </row>
    <row r="2886" spans="1:19" ht="24.95" customHeight="1">
      <c r="A2886" s="268"/>
      <c r="E2886" s="355"/>
      <c r="F2886" s="355"/>
      <c r="G2886" s="355"/>
      <c r="H2886" s="363" t="s">
        <v>2944</v>
      </c>
      <c r="I2886" s="355"/>
      <c r="J2886" s="355"/>
      <c r="K2886" s="355"/>
      <c r="L2886" s="355"/>
      <c r="M2886" s="355">
        <v>6</v>
      </c>
      <c r="N2886" s="355" t="s">
        <v>1337</v>
      </c>
      <c r="O2886" s="355" t="s">
        <v>2553</v>
      </c>
      <c r="P2886" s="355">
        <f t="shared" si="93"/>
        <v>13.6</v>
      </c>
      <c r="Q2886" s="355" t="s">
        <v>1341</v>
      </c>
      <c r="R2886" s="355">
        <f>M2886*P2886</f>
        <v>81.599999999999994</v>
      </c>
    </row>
    <row r="2887" spans="1:19" ht="56.25" customHeight="1">
      <c r="A2887" s="268"/>
      <c r="E2887" s="355"/>
      <c r="F2887" s="355"/>
      <c r="G2887" s="355"/>
      <c r="H2887" s="353" t="s">
        <v>2945</v>
      </c>
      <c r="I2887" s="355"/>
      <c r="J2887" s="355"/>
      <c r="K2887" s="355"/>
      <c r="L2887" s="355"/>
      <c r="M2887" s="355">
        <v>6</v>
      </c>
      <c r="N2887" s="355" t="s">
        <v>1337</v>
      </c>
      <c r="O2887" s="355" t="s">
        <v>2559</v>
      </c>
      <c r="P2887" s="355">
        <f t="shared" si="93"/>
        <v>16.05</v>
      </c>
      <c r="Q2887" s="355" t="s">
        <v>3326</v>
      </c>
      <c r="R2887" s="355">
        <f>(M2887*P2887)/12</f>
        <v>8.0299999999999994</v>
      </c>
    </row>
    <row r="2888" spans="1:19">
      <c r="A2888" s="268"/>
      <c r="E2888" s="355"/>
      <c r="F2888" s="355"/>
      <c r="G2888" s="355"/>
      <c r="H2888" s="355"/>
      <c r="I2888" s="355"/>
      <c r="J2888" s="355"/>
      <c r="K2888" s="355"/>
      <c r="L2888" s="355"/>
      <c r="M2888" s="355">
        <v>1</v>
      </c>
      <c r="N2888" s="355" t="s">
        <v>2561</v>
      </c>
      <c r="O2888" s="355" t="s">
        <v>2562</v>
      </c>
      <c r="P2888" s="355">
        <f>P2855</f>
        <v>84.1</v>
      </c>
      <c r="Q2888" s="355" t="s">
        <v>2561</v>
      </c>
      <c r="R2888" s="355">
        <f>(M2888*P2888)</f>
        <v>84.1</v>
      </c>
    </row>
    <row r="2889" spans="1:19" ht="186" customHeight="1">
      <c r="A2889" s="268"/>
      <c r="E2889" s="355"/>
      <c r="F2889" s="355"/>
      <c r="G2889" s="355"/>
      <c r="H2889" s="354" t="s">
        <v>3407</v>
      </c>
      <c r="I2889" s="355"/>
      <c r="J2889" s="355"/>
      <c r="K2889" s="355"/>
      <c r="L2889" s="355"/>
      <c r="M2889" s="355">
        <v>6</v>
      </c>
      <c r="N2889" s="355" t="s">
        <v>1375</v>
      </c>
      <c r="O2889" s="354" t="s">
        <v>3330</v>
      </c>
      <c r="P2889" s="355">
        <v>42.25</v>
      </c>
      <c r="Q2889" s="355" t="s">
        <v>2557</v>
      </c>
      <c r="R2889" s="355">
        <f>M2889*P2889</f>
        <v>253.5</v>
      </c>
    </row>
    <row r="2890" spans="1:19" ht="21.75" customHeight="1">
      <c r="A2890" s="268"/>
      <c r="E2890" s="355"/>
      <c r="F2890" s="355"/>
      <c r="G2890" s="355"/>
      <c r="H2890" s="355" t="s">
        <v>3331</v>
      </c>
      <c r="I2890" s="355"/>
      <c r="J2890" s="355"/>
      <c r="K2890" s="355">
        <f>K2879</f>
        <v>14891.05</v>
      </c>
      <c r="L2890" s="355"/>
      <c r="M2890" s="359">
        <v>0.16666666666666666</v>
      </c>
      <c r="N2890" s="355" t="s">
        <v>3241</v>
      </c>
      <c r="O2890" s="355" t="s">
        <v>364</v>
      </c>
      <c r="P2890" s="355">
        <f>P2857</f>
        <v>298</v>
      </c>
      <c r="Q2890" s="355" t="s">
        <v>3241</v>
      </c>
      <c r="R2890" s="355">
        <f>M2890*P2890</f>
        <v>49.67</v>
      </c>
    </row>
    <row r="2891" spans="1:19" ht="30" customHeight="1">
      <c r="A2891" s="268"/>
      <c r="E2891" s="355"/>
      <c r="F2891" s="355"/>
      <c r="G2891" s="355"/>
      <c r="H2891" s="355" t="s">
        <v>2919</v>
      </c>
      <c r="I2891" s="355"/>
      <c r="J2891" s="355"/>
      <c r="K2891" s="355">
        <f>K2880</f>
        <v>136</v>
      </c>
      <c r="L2891" s="355"/>
      <c r="M2891" s="355"/>
      <c r="N2891" s="355"/>
      <c r="O2891" s="276"/>
      <c r="P2891" s="355"/>
      <c r="Q2891" s="355"/>
      <c r="R2891" s="355"/>
    </row>
    <row r="2892" spans="1:19" ht="30" customHeight="1">
      <c r="A2892" s="268"/>
      <c r="E2892" s="355"/>
      <c r="F2892" s="355"/>
      <c r="G2892" s="355"/>
      <c r="H2892" s="355" t="s">
        <v>2920</v>
      </c>
      <c r="I2892" s="355"/>
      <c r="J2892" s="355"/>
      <c r="K2892" s="355">
        <f>K2852</f>
        <v>34.299999999999997</v>
      </c>
      <c r="L2892" s="355"/>
      <c r="M2892" s="355">
        <v>6</v>
      </c>
      <c r="N2892" s="355" t="s">
        <v>3243</v>
      </c>
      <c r="O2892" s="355" t="s">
        <v>878</v>
      </c>
      <c r="P2892" s="355">
        <f>R2877</f>
        <v>1098.17</v>
      </c>
      <c r="Q2892" s="355" t="s">
        <v>3243</v>
      </c>
      <c r="R2892" s="355">
        <f>M2892*P2892</f>
        <v>6589.02</v>
      </c>
    </row>
    <row r="2893" spans="1:19" ht="30" customHeight="1">
      <c r="A2893" s="268"/>
      <c r="E2893" s="355"/>
      <c r="F2893" s="355"/>
      <c r="G2893" s="355"/>
      <c r="H2893" s="355" t="s">
        <v>2921</v>
      </c>
      <c r="I2893" s="355"/>
      <c r="J2893" s="355"/>
      <c r="K2893" s="355">
        <f>K2850</f>
        <v>160.5</v>
      </c>
      <c r="L2893" s="355"/>
      <c r="M2893" s="355"/>
      <c r="N2893" s="355" t="s">
        <v>66</v>
      </c>
      <c r="O2893" s="355" t="s">
        <v>3245</v>
      </c>
      <c r="P2893" s="355"/>
      <c r="Q2893" s="355"/>
      <c r="R2893" s="355">
        <v>13.68</v>
      </c>
    </row>
    <row r="2894" spans="1:19" ht="30" customHeight="1">
      <c r="A2894" s="268"/>
      <c r="E2894" s="355"/>
      <c r="F2894" s="355"/>
      <c r="G2894" s="355"/>
      <c r="H2894" s="355" t="s">
        <v>3614</v>
      </c>
      <c r="I2894" s="355"/>
      <c r="J2894" s="355"/>
      <c r="K2894" s="356">
        <f>Elec.Data!K2894</f>
        <v>413</v>
      </c>
      <c r="L2894" s="355"/>
      <c r="M2894" s="355"/>
      <c r="N2894" s="355"/>
      <c r="P2894" s="355"/>
      <c r="Q2894" s="355"/>
      <c r="R2894" s="355"/>
    </row>
    <row r="2895" spans="1:19" ht="30" customHeight="1">
      <c r="A2895" s="268"/>
      <c r="E2895" s="355"/>
      <c r="F2895" s="355"/>
      <c r="G2895" s="355"/>
      <c r="H2895" s="355" t="s">
        <v>2922</v>
      </c>
      <c r="I2895" s="355"/>
      <c r="J2895" s="355"/>
      <c r="K2895" s="355">
        <f>10*9</f>
        <v>90</v>
      </c>
      <c r="L2895" s="355"/>
      <c r="M2895" s="355"/>
      <c r="N2895" s="355"/>
      <c r="O2895" s="360" t="s">
        <v>3247</v>
      </c>
      <c r="P2895" s="355"/>
      <c r="Q2895" s="355"/>
      <c r="R2895" s="361">
        <f>SUM(R2879:R2894)</f>
        <v>9468.9</v>
      </c>
    </row>
    <row r="2896" spans="1:19" ht="30" customHeight="1">
      <c r="A2896" s="268"/>
      <c r="E2896" s="355"/>
      <c r="F2896" s="355"/>
      <c r="G2896" s="355"/>
      <c r="H2896" s="355" t="s">
        <v>3615</v>
      </c>
      <c r="I2896" s="355"/>
      <c r="J2896" s="355"/>
      <c r="K2896" s="356">
        <f>Elec.Data!K2896</f>
        <v>165</v>
      </c>
      <c r="L2896" s="355"/>
      <c r="M2896" s="355"/>
      <c r="N2896" s="355"/>
      <c r="O2896" s="362" t="s">
        <v>3244</v>
      </c>
      <c r="P2896" s="355"/>
      <c r="Q2896" s="355"/>
      <c r="R2896" s="363">
        <f>R2895/6</f>
        <v>1578.15</v>
      </c>
      <c r="S2896" s="182">
        <f>1199*6</f>
        <v>7194</v>
      </c>
    </row>
    <row r="2897" spans="1:19" ht="30" customHeight="1">
      <c r="A2897" s="268"/>
      <c r="E2897" s="355"/>
      <c r="F2897" s="355"/>
      <c r="G2897" s="355"/>
      <c r="H2897" s="355" t="s">
        <v>2187</v>
      </c>
      <c r="I2897" s="355"/>
      <c r="J2897" s="355"/>
      <c r="K2897" s="355">
        <v>32.200000000000003</v>
      </c>
      <c r="L2897" s="355"/>
      <c r="M2897" s="355"/>
      <c r="S2897" s="182">
        <f>S2896-R2895</f>
        <v>-2274.9</v>
      </c>
    </row>
    <row r="2898" spans="1:19" ht="25.5" customHeight="1">
      <c r="A2898" s="268"/>
      <c r="E2898" s="355"/>
      <c r="F2898" s="355"/>
      <c r="G2898" s="355"/>
      <c r="H2898" s="360" t="s">
        <v>2348</v>
      </c>
      <c r="I2898" s="355"/>
      <c r="J2898" s="355"/>
      <c r="K2898" s="361">
        <f>(K2890-K2891-K2892-K2893)+(K2894+K2895+K2896+K2897)</f>
        <v>15260.45</v>
      </c>
      <c r="L2898" s="355"/>
      <c r="M2898" s="355"/>
    </row>
    <row r="2899" spans="1:19" ht="27.75" customHeight="1">
      <c r="A2899" s="268"/>
      <c r="E2899" s="355"/>
      <c r="F2899" s="355"/>
      <c r="G2899" s="355"/>
      <c r="H2899" s="362" t="s">
        <v>3096</v>
      </c>
      <c r="I2899" s="355"/>
      <c r="J2899" s="355"/>
      <c r="K2899" s="363">
        <f>K2898/10</f>
        <v>1526.05</v>
      </c>
      <c r="L2899" s="355">
        <f>1107*10</f>
        <v>11070</v>
      </c>
      <c r="M2899" s="355"/>
    </row>
    <row r="2900" spans="1:19">
      <c r="A2900" s="268"/>
      <c r="E2900" s="355"/>
      <c r="F2900" s="355"/>
      <c r="G2900" s="355"/>
      <c r="H2900" s="355"/>
      <c r="I2900" s="355"/>
      <c r="J2900" s="355"/>
      <c r="K2900" s="355"/>
      <c r="L2900" s="355">
        <f>L2899-K2898</f>
        <v>-4190.45</v>
      </c>
      <c r="M2900" s="355"/>
    </row>
    <row r="2901" spans="1:19">
      <c r="A2901" s="268"/>
      <c r="E2901" s="355"/>
      <c r="F2901" s="355"/>
      <c r="G2901" s="355"/>
      <c r="H2901" s="363" t="s">
        <v>3097</v>
      </c>
      <c r="I2901" s="355"/>
      <c r="J2901" s="355"/>
      <c r="K2901" s="355"/>
      <c r="L2901" s="355"/>
      <c r="M2901" s="355"/>
    </row>
    <row r="2902" spans="1:19">
      <c r="A2902" s="268"/>
      <c r="E2902" s="355"/>
      <c r="F2902" s="355"/>
      <c r="G2902" s="355"/>
      <c r="H2902" s="363" t="s">
        <v>3098</v>
      </c>
      <c r="I2902" s="355"/>
      <c r="J2902" s="355"/>
      <c r="K2902" s="355"/>
      <c r="L2902" s="355"/>
      <c r="M2902" s="355"/>
    </row>
    <row r="2903" spans="1:19" ht="157.5">
      <c r="A2903" s="268"/>
      <c r="E2903" s="355"/>
      <c r="F2903" s="355"/>
      <c r="G2903" s="355"/>
      <c r="H2903" s="354" t="s">
        <v>2707</v>
      </c>
      <c r="I2903" s="355"/>
      <c r="J2903" s="355"/>
      <c r="K2903" s="355"/>
      <c r="L2903" s="355"/>
      <c r="M2903" s="355"/>
    </row>
    <row r="2904" spans="1:19">
      <c r="A2904" s="268"/>
      <c r="E2904" s="355"/>
      <c r="F2904" s="355"/>
      <c r="G2904" s="355"/>
      <c r="H2904" s="355"/>
      <c r="I2904" s="355"/>
      <c r="J2904" s="355"/>
      <c r="K2904" s="355"/>
      <c r="L2904" s="355"/>
      <c r="M2904" s="355"/>
    </row>
    <row r="2905" spans="1:19" ht="31.5">
      <c r="A2905" s="268"/>
      <c r="E2905" s="355"/>
      <c r="F2905" s="355">
        <v>90</v>
      </c>
      <c r="G2905" s="355" t="s">
        <v>794</v>
      </c>
      <c r="H2905" s="276" t="str">
        <f>H2843</f>
        <v>1.5 sqmm copper PVC insulated unsheathed single core cable (P-79 it-2/b)</v>
      </c>
      <c r="I2905" s="355">
        <f>I2843</f>
        <v>15.5</v>
      </c>
      <c r="J2905" s="355" t="s">
        <v>3239</v>
      </c>
      <c r="K2905" s="355">
        <f t="shared" ref="K2905:K2917" si="94">F2905*I2905</f>
        <v>1395</v>
      </c>
      <c r="L2905" s="355"/>
      <c r="M2905" s="355"/>
    </row>
    <row r="2906" spans="1:19" ht="31.5">
      <c r="A2906" s="268"/>
      <c r="E2906" s="355"/>
      <c r="F2906" s="355">
        <v>45</v>
      </c>
      <c r="G2906" s="355" t="s">
        <v>794</v>
      </c>
      <c r="H2906" s="354" t="s">
        <v>3782</v>
      </c>
      <c r="I2906" s="355">
        <f>I2844</f>
        <v>19.100000000000001</v>
      </c>
      <c r="J2906" s="355" t="s">
        <v>794</v>
      </c>
      <c r="K2906" s="355">
        <f t="shared" si="94"/>
        <v>859.5</v>
      </c>
      <c r="L2906" s="355"/>
      <c r="M2906" s="355"/>
    </row>
    <row r="2907" spans="1:19">
      <c r="A2907" s="268"/>
      <c r="E2907" s="355"/>
      <c r="F2907" s="355">
        <v>20</v>
      </c>
      <c r="G2907" s="355" t="s">
        <v>1337</v>
      </c>
      <c r="H2907" s="355" t="s">
        <v>3781</v>
      </c>
      <c r="I2907" s="355">
        <f>I2845</f>
        <v>3</v>
      </c>
      <c r="J2907" s="355" t="s">
        <v>1337</v>
      </c>
      <c r="K2907" s="355">
        <f t="shared" si="94"/>
        <v>60</v>
      </c>
      <c r="L2907" s="355"/>
      <c r="M2907" s="355"/>
    </row>
    <row r="2908" spans="1:19">
      <c r="A2908" s="268"/>
      <c r="E2908" s="355"/>
      <c r="F2908" s="355">
        <v>10</v>
      </c>
      <c r="G2908" s="355" t="s">
        <v>1337</v>
      </c>
      <c r="H2908" s="355" t="s">
        <v>3789</v>
      </c>
      <c r="I2908" s="355">
        <f>I2846</f>
        <v>1.28</v>
      </c>
      <c r="J2908" s="355" t="s">
        <v>1337</v>
      </c>
      <c r="K2908" s="355">
        <f t="shared" si="94"/>
        <v>12.8</v>
      </c>
      <c r="L2908" s="355"/>
      <c r="M2908" s="355"/>
    </row>
    <row r="2909" spans="1:19">
      <c r="A2909" s="268"/>
      <c r="E2909" s="355"/>
      <c r="F2909" s="355">
        <v>10</v>
      </c>
      <c r="G2909" s="355" t="s">
        <v>1337</v>
      </c>
      <c r="H2909" s="355" t="str">
        <f>H2852</f>
        <v>19 mm PVC junction box  ( p-83,6-b( 44.8/12=3.73)</v>
      </c>
      <c r="I2909" s="355">
        <f>I2852</f>
        <v>3.43</v>
      </c>
      <c r="J2909" s="355" t="s">
        <v>1337</v>
      </c>
      <c r="K2909" s="355">
        <f t="shared" si="94"/>
        <v>34.299999999999997</v>
      </c>
      <c r="L2909" s="355"/>
      <c r="M2909" s="355"/>
    </row>
    <row r="2910" spans="1:19">
      <c r="A2910" s="268"/>
      <c r="E2910" s="355"/>
      <c r="F2910" s="355">
        <v>10</v>
      </c>
      <c r="G2910" s="355" t="s">
        <v>1337</v>
      </c>
      <c r="H2910" s="355" t="str">
        <f>H2851</f>
        <v>Ceiling rose p-70 it-23</v>
      </c>
      <c r="I2910" s="355">
        <f>I2851</f>
        <v>13.6</v>
      </c>
      <c r="J2910" s="355" t="s">
        <v>1337</v>
      </c>
      <c r="K2910" s="355">
        <f t="shared" si="94"/>
        <v>136</v>
      </c>
      <c r="L2910" s="355"/>
      <c r="M2910" s="355"/>
    </row>
    <row r="2911" spans="1:19">
      <c r="A2911" s="268"/>
      <c r="E2911" s="355"/>
      <c r="F2911" s="355">
        <v>10</v>
      </c>
      <c r="G2911" s="355" t="s">
        <v>1337</v>
      </c>
      <c r="H2911" s="355" t="str">
        <f>H2850</f>
        <v>5 amps flush type switch p-72, Part-C,1 a ( 207/12=17.25)</v>
      </c>
      <c r="I2911" s="355">
        <f>I2850</f>
        <v>16.05</v>
      </c>
      <c r="J2911" s="355" t="s">
        <v>1337</v>
      </c>
      <c r="K2911" s="355">
        <f t="shared" si="94"/>
        <v>160.5</v>
      </c>
      <c r="L2911" s="355"/>
      <c r="M2911" s="355"/>
    </row>
    <row r="2912" spans="1:19">
      <c r="A2912" s="268"/>
      <c r="E2912" s="355"/>
      <c r="F2912" s="355">
        <v>10</v>
      </c>
      <c r="G2912" s="355" t="s">
        <v>1337</v>
      </c>
      <c r="H2912" s="363" t="s">
        <v>3751</v>
      </c>
      <c r="I2912" s="374">
        <v>85</v>
      </c>
      <c r="J2912" s="355" t="s">
        <v>1337</v>
      </c>
      <c r="K2912" s="355">
        <f t="shared" si="94"/>
        <v>850</v>
      </c>
      <c r="L2912" s="355"/>
      <c r="M2912" s="355"/>
    </row>
    <row r="2913" spans="1:13">
      <c r="A2913" s="268"/>
      <c r="E2913" s="355"/>
      <c r="F2913" s="355">
        <v>0.6</v>
      </c>
      <c r="G2913" s="355" t="s">
        <v>2199</v>
      </c>
      <c r="H2913" s="355" t="s">
        <v>2560</v>
      </c>
      <c r="I2913" s="355">
        <f>I2849</f>
        <v>630</v>
      </c>
      <c r="J2913" s="355" t="s">
        <v>2199</v>
      </c>
      <c r="K2913" s="355">
        <f t="shared" si="94"/>
        <v>378</v>
      </c>
      <c r="L2913" s="355"/>
      <c r="M2913" s="355"/>
    </row>
    <row r="2914" spans="1:13">
      <c r="A2914" s="268"/>
      <c r="E2914" s="355"/>
      <c r="F2914" s="355">
        <v>1</v>
      </c>
      <c r="G2914" s="355" t="s">
        <v>1337</v>
      </c>
      <c r="H2914" s="363" t="s">
        <v>3755</v>
      </c>
      <c r="I2914" s="529">
        <f>I2854</f>
        <v>58</v>
      </c>
      <c r="J2914" s="355" t="s">
        <v>1337</v>
      </c>
      <c r="K2914" s="355">
        <f t="shared" si="94"/>
        <v>58</v>
      </c>
      <c r="L2914" s="355"/>
      <c r="M2914" s="355"/>
    </row>
    <row r="2915" spans="1:13">
      <c r="A2915" s="268"/>
      <c r="E2915" s="355"/>
      <c r="F2915" s="358">
        <v>1.4999999999999999E-2</v>
      </c>
      <c r="G2915" s="355" t="s">
        <v>2199</v>
      </c>
      <c r="H2915" s="355" t="s">
        <v>3783</v>
      </c>
      <c r="I2915" s="355">
        <f>I2913</f>
        <v>630</v>
      </c>
      <c r="J2915" s="355" t="s">
        <v>2199</v>
      </c>
      <c r="K2915" s="355">
        <f t="shared" si="94"/>
        <v>9.4499999999999993</v>
      </c>
      <c r="L2915" s="355"/>
      <c r="M2915" s="355"/>
    </row>
    <row r="2916" spans="1:13">
      <c r="A2916" s="268"/>
      <c r="E2916" s="355"/>
      <c r="F2916" s="355">
        <v>1.25</v>
      </c>
      <c r="G2916" s="355" t="s">
        <v>2557</v>
      </c>
      <c r="H2916" s="355" t="s">
        <v>364</v>
      </c>
      <c r="I2916" s="355">
        <f>I2853</f>
        <v>298</v>
      </c>
      <c r="J2916" s="355" t="s">
        <v>2557</v>
      </c>
      <c r="K2916" s="355">
        <f t="shared" si="94"/>
        <v>372.5</v>
      </c>
      <c r="L2916" s="355"/>
      <c r="M2916" s="355"/>
    </row>
    <row r="2917" spans="1:13" ht="31.5">
      <c r="A2917" s="268"/>
      <c r="E2917" s="355"/>
      <c r="F2917" s="355">
        <v>45</v>
      </c>
      <c r="G2917" s="355" t="s">
        <v>794</v>
      </c>
      <c r="H2917" s="463" t="s">
        <v>3788</v>
      </c>
      <c r="I2917" s="355">
        <f>I2843</f>
        <v>15.5</v>
      </c>
      <c r="J2917" s="355" t="s">
        <v>3239</v>
      </c>
      <c r="K2917" s="355">
        <f t="shared" si="94"/>
        <v>697.5</v>
      </c>
      <c r="L2917" s="355"/>
      <c r="M2917" s="355"/>
    </row>
    <row r="2918" spans="1:13">
      <c r="A2918" s="268"/>
      <c r="E2918" s="355"/>
      <c r="F2918" s="355" t="s">
        <v>625</v>
      </c>
      <c r="G2918" s="355"/>
      <c r="H2918" s="355" t="s">
        <v>878</v>
      </c>
      <c r="I2918" s="355"/>
      <c r="J2918" s="355"/>
      <c r="K2918" s="355">
        <f>K2873</f>
        <v>10421</v>
      </c>
      <c r="L2918" s="355"/>
      <c r="M2918" s="355"/>
    </row>
    <row r="2919" spans="1:13">
      <c r="A2919" s="268"/>
      <c r="E2919" s="355"/>
      <c r="F2919" s="355" t="s">
        <v>625</v>
      </c>
      <c r="G2919" s="355"/>
      <c r="H2919" s="355" t="s">
        <v>2187</v>
      </c>
      <c r="I2919" s="355"/>
      <c r="J2919" s="355"/>
      <c r="K2919" s="355">
        <v>27.25</v>
      </c>
      <c r="L2919" s="355"/>
      <c r="M2919" s="355"/>
    </row>
    <row r="2920" spans="1:13">
      <c r="A2920" s="268"/>
      <c r="E2920" s="355"/>
      <c r="F2920" s="355"/>
      <c r="G2920" s="355"/>
      <c r="H2920" s="360" t="s">
        <v>2348</v>
      </c>
      <c r="I2920" s="355"/>
      <c r="J2920" s="355"/>
      <c r="K2920" s="361">
        <f>SUM(K2905:K2919)</f>
        <v>15471.8</v>
      </c>
      <c r="L2920" s="355"/>
      <c r="M2920" s="355"/>
    </row>
    <row r="2921" spans="1:13">
      <c r="A2921" s="268"/>
      <c r="E2921" s="355"/>
      <c r="F2921" s="355"/>
      <c r="G2921" s="355"/>
      <c r="H2921" s="362" t="s">
        <v>3096</v>
      </c>
      <c r="I2921" s="355"/>
      <c r="J2921" s="355"/>
      <c r="K2921" s="363">
        <f>K2920/10</f>
        <v>1547.18</v>
      </c>
      <c r="L2921" s="355">
        <f>1257*10</f>
        <v>12570</v>
      </c>
      <c r="M2921" s="355"/>
    </row>
    <row r="2922" spans="1:13" hidden="1">
      <c r="A2922" s="268"/>
      <c r="E2922" s="355"/>
      <c r="F2922" s="355"/>
      <c r="G2922" s="355"/>
      <c r="H2922" s="363" t="s">
        <v>3406</v>
      </c>
      <c r="I2922" s="355"/>
      <c r="J2922" s="355"/>
      <c r="K2922" s="363"/>
      <c r="L2922" s="355"/>
      <c r="M2922" s="355"/>
    </row>
    <row r="2923" spans="1:13" hidden="1">
      <c r="A2923" s="268"/>
      <c r="E2923" s="355"/>
      <c r="F2923" s="355"/>
      <c r="G2923" s="355"/>
      <c r="H2923" s="368" t="s">
        <v>2757</v>
      </c>
      <c r="I2923" s="355">
        <f>90</f>
        <v>90</v>
      </c>
      <c r="J2923" s="355"/>
      <c r="K2923" s="363"/>
      <c r="L2923" s="355"/>
      <c r="M2923" s="355"/>
    </row>
    <row r="2924" spans="1:13" hidden="1">
      <c r="A2924" s="268"/>
      <c r="E2924" s="355"/>
      <c r="F2924" s="355"/>
      <c r="G2924" s="355"/>
      <c r="H2924" s="368" t="s">
        <v>2758</v>
      </c>
      <c r="I2924" s="369">
        <v>8.2500000000000004E-2</v>
      </c>
      <c r="J2924" s="355"/>
      <c r="K2924" s="363"/>
      <c r="L2924" s="355"/>
      <c r="M2924" s="355"/>
    </row>
    <row r="2925" spans="1:13" ht="18" hidden="1">
      <c r="A2925" s="268"/>
      <c r="E2925" s="355"/>
      <c r="F2925" s="355"/>
      <c r="G2925" s="355"/>
      <c r="H2925" s="368" t="s">
        <v>2770</v>
      </c>
      <c r="I2925" s="358">
        <v>0.13500000000000001</v>
      </c>
      <c r="J2925" s="355"/>
      <c r="K2925" s="363">
        <f>I2923*I2925/I2924</f>
        <v>147.27000000000001</v>
      </c>
      <c r="L2925" s="355"/>
      <c r="M2925" s="355"/>
    </row>
    <row r="2926" spans="1:13">
      <c r="A2926" s="268"/>
      <c r="E2926" s="355"/>
      <c r="F2926" s="355"/>
      <c r="G2926" s="355"/>
      <c r="H2926" s="362"/>
      <c r="I2926" s="355"/>
      <c r="J2926" s="355"/>
      <c r="K2926" s="363"/>
      <c r="L2926" s="355">
        <f>L2921-K2920</f>
        <v>-2901.8</v>
      </c>
      <c r="M2926" s="355"/>
    </row>
    <row r="2927" spans="1:13" ht="6" customHeight="1">
      <c r="A2927" s="268"/>
      <c r="E2927" s="355"/>
      <c r="F2927" s="355"/>
      <c r="G2927" s="355"/>
      <c r="H2927" s="355"/>
      <c r="I2927" s="355"/>
      <c r="J2927" s="355"/>
      <c r="K2927" s="355"/>
      <c r="L2927" s="355"/>
      <c r="M2927" s="355"/>
    </row>
    <row r="2928" spans="1:13" ht="24.75" customHeight="1">
      <c r="A2928" s="268"/>
      <c r="E2928" s="355"/>
      <c r="F2928" s="355"/>
      <c r="G2928" s="355"/>
      <c r="H2928" s="363" t="s">
        <v>2759</v>
      </c>
      <c r="I2928" s="355"/>
      <c r="J2928" s="355"/>
      <c r="K2928" s="355"/>
      <c r="L2928" s="355"/>
      <c r="M2928" s="355"/>
    </row>
    <row r="2929" spans="1:13" ht="29.25" customHeight="1">
      <c r="A2929" s="268"/>
      <c r="E2929" s="355"/>
      <c r="F2929" s="355"/>
      <c r="G2929" s="355"/>
      <c r="H2929" s="363" t="s">
        <v>2760</v>
      </c>
      <c r="I2929" s="355"/>
      <c r="J2929" s="355"/>
      <c r="K2929" s="355"/>
      <c r="L2929" s="355"/>
      <c r="M2929" s="355"/>
    </row>
    <row r="2930" spans="1:13" ht="177.75" customHeight="1">
      <c r="A2930" s="268"/>
      <c r="E2930" s="355"/>
      <c r="F2930" s="355"/>
      <c r="G2930" s="355"/>
      <c r="H2930" s="354" t="s">
        <v>2365</v>
      </c>
      <c r="I2930" s="355"/>
      <c r="J2930" s="355"/>
      <c r="K2930" s="355"/>
      <c r="L2930" s="355"/>
      <c r="M2930" s="355"/>
    </row>
    <row r="2931" spans="1:13" ht="31.5">
      <c r="A2931" s="268"/>
      <c r="E2931" s="355"/>
      <c r="F2931" s="355">
        <v>90</v>
      </c>
      <c r="G2931" s="355" t="s">
        <v>794</v>
      </c>
      <c r="H2931" s="463" t="s">
        <v>3787</v>
      </c>
      <c r="I2931" s="355">
        <f>I2843</f>
        <v>15.5</v>
      </c>
      <c r="J2931" s="355" t="s">
        <v>2464</v>
      </c>
      <c r="K2931" s="355">
        <f t="shared" ref="K2931:K2941" si="95">F2931*I2931</f>
        <v>1395</v>
      </c>
      <c r="L2931" s="355"/>
      <c r="M2931" s="355"/>
    </row>
    <row r="2932" spans="1:13" ht="31.5">
      <c r="A2932" s="268"/>
      <c r="E2932" s="355"/>
      <c r="F2932" s="355">
        <v>30</v>
      </c>
      <c r="G2932" s="355" t="s">
        <v>794</v>
      </c>
      <c r="H2932" s="354" t="s">
        <v>3782</v>
      </c>
      <c r="I2932" s="355">
        <f>I2906</f>
        <v>19.100000000000001</v>
      </c>
      <c r="J2932" s="355" t="s">
        <v>794</v>
      </c>
      <c r="K2932" s="355">
        <f t="shared" si="95"/>
        <v>573</v>
      </c>
      <c r="L2932" s="355"/>
      <c r="M2932" s="355"/>
    </row>
    <row r="2933" spans="1:13">
      <c r="A2933" s="268"/>
      <c r="E2933" s="355"/>
      <c r="F2933" s="355">
        <v>10</v>
      </c>
      <c r="G2933" s="355" t="s">
        <v>1337</v>
      </c>
      <c r="H2933" s="355" t="s">
        <v>3781</v>
      </c>
      <c r="I2933" s="355">
        <f>I2907</f>
        <v>3</v>
      </c>
      <c r="J2933" s="355" t="s">
        <v>1337</v>
      </c>
      <c r="K2933" s="355">
        <f t="shared" si="95"/>
        <v>30</v>
      </c>
      <c r="L2933" s="355"/>
      <c r="M2933" s="355"/>
    </row>
    <row r="2934" spans="1:13">
      <c r="A2934" s="268"/>
      <c r="E2934" s="355"/>
      <c r="F2934" s="355">
        <v>5</v>
      </c>
      <c r="G2934" s="355" t="s">
        <v>1337</v>
      </c>
      <c r="H2934" s="355" t="s">
        <v>3789</v>
      </c>
      <c r="I2934" s="355">
        <f>I2908</f>
        <v>1.28</v>
      </c>
      <c r="J2934" s="355" t="s">
        <v>1337</v>
      </c>
      <c r="K2934" s="355">
        <f t="shared" si="95"/>
        <v>6.4</v>
      </c>
      <c r="L2934" s="355"/>
      <c r="M2934" s="355"/>
    </row>
    <row r="2935" spans="1:13">
      <c r="A2935" s="268"/>
      <c r="E2935" s="355"/>
      <c r="F2935" s="355">
        <v>10</v>
      </c>
      <c r="G2935" s="355" t="s">
        <v>1337</v>
      </c>
      <c r="H2935" s="355" t="s">
        <v>3790</v>
      </c>
      <c r="I2935" s="425">
        <f>Elec.Data!I2935</f>
        <v>19.920000000000002</v>
      </c>
      <c r="J2935" s="355" t="s">
        <v>1337</v>
      </c>
      <c r="K2935" s="355">
        <f t="shared" si="95"/>
        <v>199.2</v>
      </c>
      <c r="L2935" s="355"/>
      <c r="M2935" s="355">
        <f>253/12</f>
        <v>21.08</v>
      </c>
    </row>
    <row r="2936" spans="1:13">
      <c r="A2936" s="268"/>
      <c r="E2936" s="355"/>
      <c r="F2936" s="355">
        <v>5</v>
      </c>
      <c r="G2936" s="355" t="s">
        <v>1337</v>
      </c>
      <c r="H2936" s="355" t="str">
        <f>H2910</f>
        <v>Ceiling rose p-70 it-23</v>
      </c>
      <c r="I2936" s="355">
        <f>I2910</f>
        <v>13.6</v>
      </c>
      <c r="J2936" s="355" t="s">
        <v>1337</v>
      </c>
      <c r="K2936" s="355">
        <f t="shared" si="95"/>
        <v>68</v>
      </c>
      <c r="L2936" s="355"/>
      <c r="M2936" s="355"/>
    </row>
    <row r="2937" spans="1:13">
      <c r="A2937" s="268"/>
      <c r="E2937" s="355"/>
      <c r="F2937" s="355">
        <v>5</v>
      </c>
      <c r="G2937" s="355" t="s">
        <v>1337</v>
      </c>
      <c r="H2937" s="355" t="str">
        <f>H2909</f>
        <v>19 mm PVC junction box  ( p-83,6-b( 44.8/12=3.73)</v>
      </c>
      <c r="I2937" s="355">
        <f>I2909</f>
        <v>3.43</v>
      </c>
      <c r="J2937" s="355" t="s">
        <v>1337</v>
      </c>
      <c r="K2937" s="355">
        <f t="shared" si="95"/>
        <v>17.149999999999999</v>
      </c>
      <c r="L2937" s="355"/>
      <c r="M2937" s="355"/>
    </row>
    <row r="2938" spans="1:13">
      <c r="A2938" s="268"/>
      <c r="E2938" s="355"/>
      <c r="F2938" s="355">
        <v>6</v>
      </c>
      <c r="G2938" s="355" t="s">
        <v>1337</v>
      </c>
      <c r="H2938" s="363" t="s">
        <v>3755</v>
      </c>
      <c r="I2938" s="363">
        <f>I2914</f>
        <v>58</v>
      </c>
      <c r="J2938" s="355" t="s">
        <v>1337</v>
      </c>
      <c r="K2938" s="355">
        <f t="shared" si="95"/>
        <v>348</v>
      </c>
      <c r="L2938" s="355"/>
      <c r="M2938" s="355"/>
    </row>
    <row r="2939" spans="1:13">
      <c r="A2939" s="268"/>
      <c r="E2939" s="355"/>
      <c r="F2939" s="355">
        <v>0.09</v>
      </c>
      <c r="G2939" s="355" t="s">
        <v>2199</v>
      </c>
      <c r="H2939" s="355" t="s">
        <v>3783</v>
      </c>
      <c r="I2939" s="355">
        <f>I2913</f>
        <v>630</v>
      </c>
      <c r="J2939" s="355" t="s">
        <v>2199</v>
      </c>
      <c r="K2939" s="355">
        <f t="shared" si="95"/>
        <v>56.7</v>
      </c>
      <c r="L2939" s="355"/>
      <c r="M2939" s="355"/>
    </row>
    <row r="2940" spans="1:13">
      <c r="A2940" s="268"/>
      <c r="E2940" s="355"/>
      <c r="F2940" s="355">
        <v>1.25</v>
      </c>
      <c r="G2940" s="355" t="s">
        <v>2557</v>
      </c>
      <c r="H2940" s="355" t="s">
        <v>364</v>
      </c>
      <c r="I2940" s="355">
        <f>I2916</f>
        <v>298</v>
      </c>
      <c r="J2940" s="355" t="s">
        <v>2557</v>
      </c>
      <c r="K2940" s="355">
        <f t="shared" si="95"/>
        <v>372.5</v>
      </c>
      <c r="L2940" s="355"/>
      <c r="M2940" s="355"/>
    </row>
    <row r="2941" spans="1:13" ht="31.5">
      <c r="A2941" s="268"/>
      <c r="E2941" s="355"/>
      <c r="F2941" s="355">
        <v>30</v>
      </c>
      <c r="G2941" s="355" t="s">
        <v>794</v>
      </c>
      <c r="H2941" s="463" t="s">
        <v>3788</v>
      </c>
      <c r="I2941" s="355">
        <f>I2931</f>
        <v>15.5</v>
      </c>
      <c r="J2941" s="355" t="s">
        <v>3239</v>
      </c>
      <c r="K2941" s="355">
        <f t="shared" si="95"/>
        <v>465</v>
      </c>
      <c r="L2941" s="355"/>
      <c r="M2941" s="355"/>
    </row>
    <row r="2942" spans="1:13">
      <c r="A2942" s="268"/>
      <c r="E2942" s="355"/>
      <c r="F2942" s="355"/>
      <c r="G2942" s="355"/>
      <c r="H2942" s="355" t="s">
        <v>878</v>
      </c>
      <c r="I2942" s="355"/>
      <c r="J2942" s="355"/>
      <c r="K2942" s="355">
        <f>K2873</f>
        <v>10421</v>
      </c>
      <c r="L2942" s="355"/>
      <c r="M2942" s="355"/>
    </row>
    <row r="2943" spans="1:13">
      <c r="A2943" s="268"/>
      <c r="E2943" s="355"/>
      <c r="F2943" s="355"/>
      <c r="G2943" s="355"/>
      <c r="H2943" s="355" t="s">
        <v>2187</v>
      </c>
      <c r="I2943" s="355"/>
      <c r="J2943" s="355"/>
      <c r="K2943" s="364">
        <v>24.28</v>
      </c>
      <c r="L2943" s="355"/>
      <c r="M2943" s="355"/>
    </row>
    <row r="2944" spans="1:13">
      <c r="A2944" s="268"/>
      <c r="E2944" s="355"/>
      <c r="F2944" s="355"/>
      <c r="G2944" s="355"/>
      <c r="H2944" s="360" t="s">
        <v>2477</v>
      </c>
      <c r="I2944" s="355"/>
      <c r="J2944" s="355"/>
      <c r="K2944" s="361">
        <f>SUM(K2931:K2943)</f>
        <v>13976.23</v>
      </c>
      <c r="L2944" s="355"/>
      <c r="M2944" s="355"/>
    </row>
    <row r="2945" spans="1:14">
      <c r="A2945" s="268"/>
      <c r="E2945" s="355"/>
      <c r="F2945" s="355"/>
      <c r="G2945" s="355"/>
      <c r="H2945" s="362" t="s">
        <v>3096</v>
      </c>
      <c r="I2945" s="355"/>
      <c r="J2945" s="355"/>
      <c r="K2945" s="363">
        <f>K2944/5</f>
        <v>2795.25</v>
      </c>
      <c r="L2945" s="355">
        <f>1983*5</f>
        <v>9915</v>
      </c>
      <c r="M2945" s="355"/>
    </row>
    <row r="2946" spans="1:14">
      <c r="A2946" s="268"/>
      <c r="E2946" s="355"/>
      <c r="F2946" s="355"/>
      <c r="G2946" s="355"/>
      <c r="H2946" s="355"/>
      <c r="I2946" s="355"/>
      <c r="J2946" s="355"/>
      <c r="K2946" s="355"/>
      <c r="L2946" s="355">
        <f>L2945-K2944</f>
        <v>-4061.23</v>
      </c>
      <c r="M2946" s="355"/>
    </row>
    <row r="2947" spans="1:14">
      <c r="A2947" s="268"/>
      <c r="E2947" s="355"/>
      <c r="F2947" s="355"/>
      <c r="G2947" s="355"/>
      <c r="H2947" s="363" t="s">
        <v>2478</v>
      </c>
      <c r="I2947" s="355"/>
      <c r="J2947" s="355"/>
      <c r="K2947" s="355"/>
      <c r="L2947" s="355"/>
      <c r="M2947" s="355"/>
    </row>
    <row r="2948" spans="1:14">
      <c r="A2948" s="268"/>
      <c r="E2948" s="355"/>
      <c r="F2948" s="355"/>
      <c r="G2948" s="355"/>
      <c r="H2948" s="363" t="s">
        <v>2479</v>
      </c>
      <c r="I2948" s="355"/>
      <c r="J2948" s="355"/>
      <c r="K2948" s="355"/>
      <c r="L2948" s="355"/>
      <c r="M2948" s="355"/>
    </row>
    <row r="2949" spans="1:14" ht="6.75" customHeight="1">
      <c r="A2949" s="268"/>
      <c r="E2949" s="355"/>
      <c r="F2949" s="355"/>
      <c r="G2949" s="355"/>
      <c r="H2949" s="355"/>
      <c r="I2949" s="355"/>
      <c r="J2949" s="355"/>
      <c r="K2949" s="355"/>
      <c r="L2949" s="355"/>
      <c r="M2949" s="355"/>
    </row>
    <row r="2950" spans="1:14" ht="147.75" customHeight="1">
      <c r="A2950" s="268"/>
      <c r="E2950" s="355"/>
      <c r="F2950" s="355"/>
      <c r="G2950" s="355"/>
      <c r="H2950" s="354" t="s">
        <v>2647</v>
      </c>
      <c r="I2950" s="355"/>
      <c r="J2950" s="355"/>
      <c r="K2950" s="355"/>
      <c r="L2950" s="355"/>
      <c r="M2950" s="355"/>
    </row>
    <row r="2951" spans="1:14" ht="31.5">
      <c r="A2951" s="268"/>
      <c r="E2951" s="355"/>
      <c r="F2951" s="355">
        <v>90</v>
      </c>
      <c r="G2951" s="355" t="s">
        <v>794</v>
      </c>
      <c r="H2951" s="276" t="s">
        <v>2463</v>
      </c>
      <c r="I2951" s="355">
        <f>I2931</f>
        <v>15.5</v>
      </c>
      <c r="J2951" s="355" t="s">
        <v>3239</v>
      </c>
      <c r="K2951" s="355">
        <f t="shared" ref="K2951:K2961" si="96">F2951*I2951</f>
        <v>1395</v>
      </c>
      <c r="L2951" s="355"/>
      <c r="M2951" s="355"/>
    </row>
    <row r="2952" spans="1:14" ht="31.5">
      <c r="E2952" s="355"/>
      <c r="F2952" s="355">
        <v>45</v>
      </c>
      <c r="G2952" s="355" t="s">
        <v>794</v>
      </c>
      <c r="H2952" s="354" t="s">
        <v>2279</v>
      </c>
      <c r="I2952" s="355">
        <f>I2932</f>
        <v>19.100000000000001</v>
      </c>
      <c r="J2952" s="355" t="s">
        <v>794</v>
      </c>
      <c r="K2952" s="355">
        <f t="shared" si="96"/>
        <v>859.5</v>
      </c>
      <c r="L2952" s="355"/>
      <c r="M2952" s="355"/>
    </row>
    <row r="2953" spans="1:14" ht="20.100000000000001" customHeight="1">
      <c r="E2953" s="355"/>
      <c r="F2953" s="355">
        <v>20</v>
      </c>
      <c r="G2953" s="355" t="s">
        <v>1337</v>
      </c>
      <c r="H2953" s="355" t="s">
        <v>2281</v>
      </c>
      <c r="I2953" s="355">
        <f>I2933</f>
        <v>3</v>
      </c>
      <c r="J2953" s="355" t="s">
        <v>3326</v>
      </c>
      <c r="K2953" s="355">
        <f t="shared" si="96"/>
        <v>60</v>
      </c>
      <c r="L2953" s="355"/>
      <c r="M2953" s="355"/>
    </row>
    <row r="2954" spans="1:14" ht="20.100000000000001" customHeight="1">
      <c r="E2954" s="355"/>
      <c r="F2954" s="355">
        <v>10</v>
      </c>
      <c r="G2954" s="355" t="s">
        <v>1337</v>
      </c>
      <c r="H2954" s="355" t="s">
        <v>3323</v>
      </c>
      <c r="I2954" s="355">
        <f>I2934</f>
        <v>1.28</v>
      </c>
      <c r="J2954" s="355" t="s">
        <v>3326</v>
      </c>
      <c r="K2954" s="355">
        <f t="shared" si="96"/>
        <v>12.8</v>
      </c>
      <c r="L2954" s="355"/>
      <c r="M2954" s="355"/>
    </row>
    <row r="2955" spans="1:14" ht="20.100000000000001" customHeight="1">
      <c r="E2955" s="355"/>
      <c r="F2955" s="355">
        <v>1</v>
      </c>
      <c r="G2955" s="355" t="s">
        <v>1337</v>
      </c>
      <c r="H2955" s="363" t="s">
        <v>3755</v>
      </c>
      <c r="I2955" s="363">
        <f>I2938</f>
        <v>58</v>
      </c>
      <c r="J2955" s="355" t="s">
        <v>1337</v>
      </c>
      <c r="K2955" s="355">
        <f t="shared" si="96"/>
        <v>58</v>
      </c>
      <c r="L2955" s="355"/>
      <c r="M2955" s="355"/>
    </row>
    <row r="2956" spans="1:14" ht="20.100000000000001" customHeight="1">
      <c r="E2956" s="355"/>
      <c r="F2956" s="358">
        <v>1.4999999999999999E-2</v>
      </c>
      <c r="G2956" s="355" t="s">
        <v>2199</v>
      </c>
      <c r="H2956" s="355" t="s">
        <v>2476</v>
      </c>
      <c r="I2956" s="355">
        <f>I2849</f>
        <v>630</v>
      </c>
      <c r="J2956" s="355" t="s">
        <v>2199</v>
      </c>
      <c r="K2956" s="355">
        <f t="shared" si="96"/>
        <v>9.4499999999999993</v>
      </c>
      <c r="L2956" s="355"/>
      <c r="M2956" s="355"/>
    </row>
    <row r="2957" spans="1:14" ht="31.5" customHeight="1">
      <c r="E2957" s="355"/>
      <c r="F2957" s="355">
        <v>15</v>
      </c>
      <c r="G2957" s="355" t="s">
        <v>1337</v>
      </c>
      <c r="H2957" s="354" t="s">
        <v>3616</v>
      </c>
      <c r="I2957" s="425">
        <f>Elec.Data!I2957</f>
        <v>39.950000000000003</v>
      </c>
      <c r="J2957" s="355" t="s">
        <v>1337</v>
      </c>
      <c r="K2957" s="355">
        <f t="shared" si="96"/>
        <v>599.25</v>
      </c>
      <c r="L2957" s="468">
        <f>185+230</f>
        <v>415</v>
      </c>
      <c r="M2957" s="355">
        <f>L2957/12</f>
        <v>34.58</v>
      </c>
      <c r="N2957" s="182">
        <f>M2957/12</f>
        <v>2.88</v>
      </c>
    </row>
    <row r="2958" spans="1:14" ht="20.100000000000001" customHeight="1">
      <c r="E2958" s="355"/>
      <c r="F2958" s="355">
        <v>15</v>
      </c>
      <c r="G2958" s="355" t="s">
        <v>1337</v>
      </c>
      <c r="H2958" s="363" t="s">
        <v>3755</v>
      </c>
      <c r="I2958" s="355">
        <f>I2955</f>
        <v>58</v>
      </c>
      <c r="J2958" s="355" t="s">
        <v>1337</v>
      </c>
      <c r="K2958" s="355">
        <f t="shared" si="96"/>
        <v>870</v>
      </c>
      <c r="L2958" s="355"/>
      <c r="M2958" s="355"/>
    </row>
    <row r="2959" spans="1:14" ht="20.100000000000001" customHeight="1">
      <c r="E2959" s="355"/>
      <c r="F2959" s="358">
        <v>0.22500000000000001</v>
      </c>
      <c r="G2959" s="355" t="s">
        <v>2199</v>
      </c>
      <c r="H2959" s="355" t="s">
        <v>3783</v>
      </c>
      <c r="I2959" s="355">
        <f>I2956</f>
        <v>630</v>
      </c>
      <c r="J2959" s="355" t="s">
        <v>2649</v>
      </c>
      <c r="K2959" s="355">
        <f t="shared" si="96"/>
        <v>141.75</v>
      </c>
      <c r="L2959" s="355"/>
      <c r="M2959" s="355"/>
    </row>
    <row r="2960" spans="1:14" ht="20.100000000000001" customHeight="1">
      <c r="E2960" s="355"/>
      <c r="F2960" s="355">
        <v>1.25</v>
      </c>
      <c r="G2960" s="355" t="s">
        <v>2557</v>
      </c>
      <c r="H2960" s="355" t="s">
        <v>364</v>
      </c>
      <c r="I2960" s="355">
        <f>I2940</f>
        <v>298</v>
      </c>
      <c r="J2960" s="355" t="s">
        <v>2557</v>
      </c>
      <c r="K2960" s="355">
        <f t="shared" si="96"/>
        <v>372.5</v>
      </c>
      <c r="L2960" s="355"/>
      <c r="M2960" s="355"/>
    </row>
    <row r="2961" spans="5:13" ht="31.5">
      <c r="E2961" s="355"/>
      <c r="F2961" s="355">
        <v>45</v>
      </c>
      <c r="G2961" s="355" t="s">
        <v>2199</v>
      </c>
      <c r="H2961" s="463" t="s">
        <v>3788</v>
      </c>
      <c r="I2961" s="355">
        <f>I2951</f>
        <v>15.5</v>
      </c>
      <c r="J2961" s="355" t="s">
        <v>3239</v>
      </c>
      <c r="K2961" s="355">
        <f t="shared" si="96"/>
        <v>697.5</v>
      </c>
      <c r="L2961" s="355"/>
      <c r="M2961" s="355"/>
    </row>
    <row r="2962" spans="5:13" ht="15.75" customHeight="1">
      <c r="E2962" s="355"/>
      <c r="F2962" s="355"/>
      <c r="G2962" s="355"/>
      <c r="H2962" s="355" t="s">
        <v>878</v>
      </c>
      <c r="I2962" s="355"/>
      <c r="J2962" s="355"/>
      <c r="K2962" s="355">
        <f>K2918</f>
        <v>10421</v>
      </c>
      <c r="L2962" s="355"/>
      <c r="M2962" s="355"/>
    </row>
    <row r="2963" spans="5:13" ht="17.25" customHeight="1">
      <c r="E2963" s="355"/>
      <c r="F2963" s="355"/>
      <c r="G2963" s="355"/>
      <c r="H2963" s="355" t="s">
        <v>2187</v>
      </c>
      <c r="I2963" s="355"/>
      <c r="J2963" s="355"/>
      <c r="K2963" s="355">
        <v>65.12</v>
      </c>
      <c r="L2963" s="355"/>
      <c r="M2963" s="355"/>
    </row>
    <row r="2964" spans="5:13">
      <c r="E2964" s="355"/>
      <c r="F2964" s="355"/>
      <c r="G2964" s="355"/>
      <c r="H2964" s="360" t="s">
        <v>2650</v>
      </c>
      <c r="I2964" s="355"/>
      <c r="J2964" s="355"/>
      <c r="K2964" s="361">
        <f>SUM(K2951:K2963)</f>
        <v>15561.87</v>
      </c>
      <c r="L2964" s="355"/>
      <c r="M2964" s="355"/>
    </row>
    <row r="2965" spans="5:13">
      <c r="E2965" s="355"/>
      <c r="F2965" s="355"/>
      <c r="G2965" s="355"/>
      <c r="H2965" s="362" t="s">
        <v>3096</v>
      </c>
      <c r="I2965" s="355"/>
      <c r="J2965" s="355"/>
      <c r="K2965" s="363">
        <f>K2964/15</f>
        <v>1037.46</v>
      </c>
      <c r="L2965" s="355">
        <f>846*15</f>
        <v>12690</v>
      </c>
      <c r="M2965" s="355"/>
    </row>
    <row r="2966" spans="5:13" ht="16.5" customHeight="1">
      <c r="E2966" s="355"/>
      <c r="F2966" s="355"/>
      <c r="G2966" s="355"/>
      <c r="H2966" s="355"/>
      <c r="I2966" s="355"/>
      <c r="J2966" s="355"/>
      <c r="K2966" s="355"/>
      <c r="L2966" s="355">
        <f>L2965-K2964</f>
        <v>-2871.87</v>
      </c>
      <c r="M2966" s="355"/>
    </row>
    <row r="2967" spans="5:13">
      <c r="E2967" s="355"/>
      <c r="F2967" s="355"/>
      <c r="G2967" s="355"/>
      <c r="H2967" s="363" t="s">
        <v>2651</v>
      </c>
      <c r="I2967" s="355"/>
      <c r="J2967" s="355"/>
      <c r="K2967" s="355"/>
      <c r="L2967" s="355"/>
      <c r="M2967" s="355"/>
    </row>
    <row r="2968" spans="5:13">
      <c r="E2968" s="355"/>
      <c r="F2968" s="355"/>
      <c r="G2968" s="355"/>
      <c r="H2968" s="363" t="s">
        <v>2652</v>
      </c>
      <c r="I2968" s="355"/>
      <c r="J2968" s="355"/>
      <c r="K2968" s="355"/>
      <c r="L2968" s="355"/>
      <c r="M2968" s="355"/>
    </row>
    <row r="2969" spans="5:13" ht="3.75" customHeight="1">
      <c r="E2969" s="355"/>
      <c r="F2969" s="355"/>
      <c r="G2969" s="355"/>
      <c r="H2969" s="355"/>
      <c r="I2969" s="355"/>
      <c r="J2969" s="355"/>
      <c r="K2969" s="355"/>
      <c r="L2969" s="355"/>
      <c r="M2969" s="355"/>
    </row>
    <row r="2970" spans="5:13" ht="147.75" customHeight="1">
      <c r="E2970" s="355"/>
      <c r="F2970" s="355"/>
      <c r="G2970" s="355"/>
      <c r="H2970" s="354" t="s">
        <v>2454</v>
      </c>
      <c r="I2970" s="355"/>
      <c r="J2970" s="355"/>
      <c r="K2970" s="355"/>
      <c r="L2970" s="355"/>
      <c r="M2970" s="355"/>
    </row>
    <row r="2971" spans="5:13" ht="2.25" hidden="1" customHeight="1">
      <c r="E2971" s="355"/>
      <c r="F2971" s="355"/>
      <c r="G2971" s="355"/>
      <c r="H2971" s="355"/>
      <c r="I2971" s="355"/>
      <c r="J2971" s="355"/>
      <c r="K2971" s="355"/>
      <c r="L2971" s="355"/>
      <c r="M2971" s="355"/>
    </row>
    <row r="2972" spans="5:13" ht="31.5">
      <c r="E2972" s="355"/>
      <c r="F2972" s="355">
        <v>5</v>
      </c>
      <c r="G2972" s="355" t="s">
        <v>794</v>
      </c>
      <c r="H2972" s="276" t="s">
        <v>2463</v>
      </c>
      <c r="I2972" s="355">
        <f>I2951</f>
        <v>15.5</v>
      </c>
      <c r="J2972" s="355" t="s">
        <v>2280</v>
      </c>
      <c r="K2972" s="355">
        <f>F2972*I2972</f>
        <v>77.5</v>
      </c>
      <c r="L2972" s="355"/>
      <c r="M2972" s="355"/>
    </row>
    <row r="2973" spans="5:13" ht="24.75" customHeight="1">
      <c r="E2973" s="355"/>
      <c r="F2973" s="355">
        <v>2.5</v>
      </c>
      <c r="G2973" s="355" t="s">
        <v>794</v>
      </c>
      <c r="H2973" s="354" t="s">
        <v>2279</v>
      </c>
      <c r="I2973" s="355">
        <f>I2952</f>
        <v>19.100000000000001</v>
      </c>
      <c r="J2973" s="355" t="s">
        <v>794</v>
      </c>
      <c r="K2973" s="355">
        <f>F2973*I2973</f>
        <v>47.75</v>
      </c>
      <c r="L2973" s="355"/>
      <c r="M2973" s="355"/>
    </row>
    <row r="2974" spans="5:13" ht="39.75" customHeight="1">
      <c r="E2974" s="355"/>
      <c r="F2974" s="355">
        <v>1</v>
      </c>
      <c r="G2974" s="355" t="s">
        <v>1337</v>
      </c>
      <c r="H2974" s="354" t="s">
        <v>3791</v>
      </c>
      <c r="I2974" s="356">
        <f>I2957</f>
        <v>39.950000000000003</v>
      </c>
      <c r="J2974" s="355" t="s">
        <v>1337</v>
      </c>
      <c r="K2974" s="355">
        <f>F2974*I2974</f>
        <v>39.950000000000003</v>
      </c>
      <c r="L2974" s="355"/>
      <c r="M2974" s="355"/>
    </row>
    <row r="2975" spans="5:13">
      <c r="E2975" s="355"/>
      <c r="F2975" s="355"/>
      <c r="G2975" s="355"/>
      <c r="H2975" s="355" t="s">
        <v>878</v>
      </c>
      <c r="I2975" s="355"/>
      <c r="J2975" s="355"/>
      <c r="K2975" s="355">
        <f>ROUND(K2873*5/90,2)</f>
        <v>578.94000000000005</v>
      </c>
      <c r="L2975" s="355"/>
      <c r="M2975" s="355"/>
    </row>
    <row r="2976" spans="5:13">
      <c r="E2976" s="355"/>
      <c r="F2976" s="355"/>
      <c r="G2976" s="355"/>
      <c r="H2976" s="355" t="s">
        <v>2187</v>
      </c>
      <c r="I2976" s="355"/>
      <c r="J2976" s="355"/>
      <c r="K2976" s="355">
        <v>20.77</v>
      </c>
      <c r="L2976" s="355"/>
      <c r="M2976" s="355"/>
    </row>
    <row r="2977" spans="5:13" ht="16.5" customHeight="1">
      <c r="E2977" s="355"/>
      <c r="F2977" s="355"/>
      <c r="G2977" s="355"/>
      <c r="H2977" s="362" t="s">
        <v>3096</v>
      </c>
      <c r="I2977" s="355"/>
      <c r="J2977" s="355"/>
      <c r="K2977" s="370">
        <f>SUM(K2972:K2976)</f>
        <v>764.91</v>
      </c>
      <c r="L2977" s="355">
        <f>612-K2977</f>
        <v>-152.91</v>
      </c>
      <c r="M2977" s="355"/>
    </row>
    <row r="2978" spans="5:13" ht="0.75" customHeight="1">
      <c r="E2978" s="355"/>
      <c r="F2978" s="355"/>
      <c r="G2978" s="355"/>
      <c r="H2978" s="355"/>
      <c r="I2978" s="355"/>
      <c r="J2978" s="355"/>
      <c r="K2978" s="355"/>
      <c r="L2978" s="355"/>
      <c r="M2978" s="355"/>
    </row>
    <row r="2979" spans="5:13">
      <c r="E2979" s="355"/>
      <c r="F2979" s="355"/>
      <c r="G2979" s="355"/>
      <c r="H2979" s="363" t="s">
        <v>2455</v>
      </c>
      <c r="I2979" s="355"/>
      <c r="J2979" s="355"/>
      <c r="K2979" s="355"/>
      <c r="L2979" s="355"/>
      <c r="M2979" s="355"/>
    </row>
    <row r="2980" spans="5:13" ht="14.25" customHeight="1">
      <c r="E2980" s="355"/>
      <c r="F2980" s="355"/>
      <c r="G2980" s="355"/>
      <c r="H2980" s="363" t="s">
        <v>2456</v>
      </c>
      <c r="I2980" s="355"/>
      <c r="J2980" s="355"/>
      <c r="K2980" s="355"/>
      <c r="L2980" s="355"/>
      <c r="M2980" s="355"/>
    </row>
    <row r="2981" spans="5:13" ht="1.5" customHeight="1">
      <c r="E2981" s="355"/>
      <c r="F2981" s="355"/>
      <c r="G2981" s="355"/>
      <c r="H2981" s="355"/>
      <c r="I2981" s="355"/>
      <c r="J2981" s="355"/>
      <c r="K2981" s="355"/>
      <c r="L2981" s="355"/>
      <c r="M2981" s="355"/>
    </row>
    <row r="2982" spans="5:13" ht="65.25" customHeight="1">
      <c r="E2982" s="355"/>
      <c r="F2982" s="355"/>
      <c r="G2982" s="355"/>
      <c r="H2982" s="354" t="s">
        <v>2771</v>
      </c>
      <c r="I2982" s="355"/>
      <c r="J2982" s="355"/>
      <c r="K2982" s="355"/>
      <c r="L2982" s="355"/>
      <c r="M2982" s="355"/>
    </row>
    <row r="2983" spans="5:13" ht="2.25" customHeight="1">
      <c r="E2983" s="355"/>
      <c r="F2983" s="355"/>
      <c r="G2983" s="355"/>
      <c r="H2983" s="355"/>
      <c r="I2983" s="355"/>
      <c r="J2983" s="355"/>
      <c r="K2983" s="355"/>
      <c r="L2983" s="355"/>
      <c r="M2983" s="355"/>
    </row>
    <row r="2984" spans="5:13" ht="17.25" customHeight="1">
      <c r="E2984" s="355"/>
      <c r="F2984" s="355">
        <v>1</v>
      </c>
      <c r="G2984" s="355" t="s">
        <v>1337</v>
      </c>
      <c r="H2984" s="355" t="s">
        <v>3077</v>
      </c>
      <c r="I2984" s="425">
        <f>Elec.Data!I2984</f>
        <v>54</v>
      </c>
      <c r="J2984" s="355" t="s">
        <v>1337</v>
      </c>
      <c r="K2984" s="355">
        <f>F2984*I2984</f>
        <v>54</v>
      </c>
      <c r="L2984" s="355"/>
      <c r="M2984" s="355"/>
    </row>
    <row r="2985" spans="5:13" ht="14.25" customHeight="1">
      <c r="E2985" s="355"/>
      <c r="F2985" s="355">
        <v>1</v>
      </c>
      <c r="G2985" s="355" t="s">
        <v>1337</v>
      </c>
      <c r="H2985" s="363" t="s">
        <v>3755</v>
      </c>
      <c r="I2985" s="355">
        <f>I2955</f>
        <v>58</v>
      </c>
      <c r="J2985" s="355" t="s">
        <v>1337</v>
      </c>
      <c r="K2985" s="355">
        <f>F2985*I2985</f>
        <v>58</v>
      </c>
      <c r="L2985" s="355"/>
      <c r="M2985" s="355"/>
    </row>
    <row r="2986" spans="5:13" ht="13.5" customHeight="1">
      <c r="E2986" s="355"/>
      <c r="F2986" s="358">
        <v>1.4999999999999999E-2</v>
      </c>
      <c r="G2986" s="355" t="s">
        <v>2199</v>
      </c>
      <c r="H2986" s="355" t="s">
        <v>3079</v>
      </c>
      <c r="I2986" s="355">
        <f>I2956</f>
        <v>630</v>
      </c>
      <c r="J2986" s="355" t="s">
        <v>2199</v>
      </c>
      <c r="K2986" s="355">
        <f>F2986*I2986</f>
        <v>9.4499999999999993</v>
      </c>
      <c r="L2986" s="355"/>
      <c r="M2986" s="355"/>
    </row>
    <row r="2987" spans="5:13" ht="17.25" customHeight="1">
      <c r="E2987" s="355"/>
      <c r="F2987" s="355" t="s">
        <v>625</v>
      </c>
      <c r="G2987" s="355"/>
      <c r="H2987" s="355" t="s">
        <v>3080</v>
      </c>
      <c r="I2987" s="355"/>
      <c r="J2987" s="355"/>
      <c r="K2987" s="355">
        <v>12.05</v>
      </c>
      <c r="L2987" s="355"/>
      <c r="M2987" s="355"/>
    </row>
    <row r="2988" spans="5:13" ht="20.25" customHeight="1">
      <c r="E2988" s="355"/>
      <c r="F2988" s="355"/>
      <c r="G2988" s="355"/>
      <c r="H2988" s="362" t="s">
        <v>1024</v>
      </c>
      <c r="I2988" s="355"/>
      <c r="J2988" s="355"/>
      <c r="K2988" s="370">
        <f>SUM(K2984:K2987)</f>
        <v>133.5</v>
      </c>
      <c r="L2988" s="355">
        <f>131-K2988</f>
        <v>-2.5</v>
      </c>
      <c r="M2988" s="355"/>
    </row>
    <row r="2989" spans="5:13">
      <c r="E2989" s="355"/>
      <c r="F2989" s="355"/>
      <c r="G2989" s="355"/>
      <c r="H2989" s="355"/>
      <c r="I2989" s="355"/>
      <c r="J2989" s="355"/>
      <c r="K2989" s="355"/>
      <c r="L2989" s="355"/>
      <c r="M2989" s="355"/>
    </row>
    <row r="2990" spans="5:13">
      <c r="E2990" s="355"/>
      <c r="F2990" s="355"/>
      <c r="G2990" s="355"/>
      <c r="H2990" s="363" t="s">
        <v>3081</v>
      </c>
      <c r="I2990" s="355"/>
      <c r="J2990" s="355"/>
      <c r="K2990" s="355"/>
      <c r="L2990" s="355"/>
      <c r="M2990" s="355"/>
    </row>
    <row r="2991" spans="5:13" ht="47.25">
      <c r="E2991" s="355"/>
      <c r="F2991" s="355"/>
      <c r="G2991" s="355"/>
      <c r="H2991" s="353" t="s">
        <v>3082</v>
      </c>
      <c r="I2991" s="355"/>
      <c r="J2991" s="355"/>
      <c r="K2991" s="355"/>
      <c r="L2991" s="355"/>
      <c r="M2991" s="355"/>
    </row>
    <row r="2992" spans="5:13">
      <c r="E2992" s="355"/>
      <c r="F2992" s="355"/>
      <c r="G2992" s="355"/>
      <c r="H2992" s="353"/>
      <c r="I2992" s="355"/>
      <c r="J2992" s="355"/>
      <c r="K2992" s="355"/>
      <c r="L2992" s="355"/>
      <c r="M2992" s="355"/>
    </row>
    <row r="2993" spans="5:13" ht="210.75" customHeight="1">
      <c r="E2993" s="355"/>
      <c r="F2993" s="355"/>
      <c r="G2993" s="355"/>
      <c r="H2993" s="354" t="s">
        <v>2350</v>
      </c>
      <c r="I2993" s="355"/>
      <c r="J2993" s="355"/>
      <c r="K2993" s="355"/>
      <c r="L2993" s="355"/>
      <c r="M2993" s="355"/>
    </row>
    <row r="2994" spans="5:13">
      <c r="E2994" s="355"/>
      <c r="F2994" s="355"/>
      <c r="G2994" s="355"/>
      <c r="H2994" s="355"/>
      <c r="I2994" s="355"/>
      <c r="J2994" s="355"/>
      <c r="K2994" s="355"/>
      <c r="L2994" s="355"/>
      <c r="M2994" s="355"/>
    </row>
    <row r="2995" spans="5:13" ht="31.5">
      <c r="E2995" s="355"/>
      <c r="F2995" s="355">
        <v>90</v>
      </c>
      <c r="G2995" s="355" t="s">
        <v>794</v>
      </c>
      <c r="H2995" s="276" t="s">
        <v>2463</v>
      </c>
      <c r="I2995" s="355">
        <f>I2843</f>
        <v>15.5</v>
      </c>
      <c r="J2995" s="355" t="s">
        <v>794</v>
      </c>
      <c r="K2995" s="355">
        <f t="shared" ref="K2995:K3007" si="97">F2995*I2995</f>
        <v>1395</v>
      </c>
      <c r="L2995" s="355"/>
      <c r="M2995" s="355"/>
    </row>
    <row r="2996" spans="5:13" ht="31.5">
      <c r="E2996" s="355"/>
      <c r="F2996" s="355">
        <v>45</v>
      </c>
      <c r="G2996" s="355" t="s">
        <v>794</v>
      </c>
      <c r="H2996" s="354" t="s">
        <v>2279</v>
      </c>
      <c r="I2996" s="355">
        <f>I2844</f>
        <v>19.100000000000001</v>
      </c>
      <c r="J2996" s="355" t="s">
        <v>2280</v>
      </c>
      <c r="K2996" s="355">
        <f t="shared" si="97"/>
        <v>859.5</v>
      </c>
      <c r="L2996" s="355"/>
      <c r="M2996" s="355"/>
    </row>
    <row r="2997" spans="5:13">
      <c r="E2997" s="355"/>
      <c r="F2997" s="355">
        <v>12</v>
      </c>
      <c r="G2997" s="355" t="s">
        <v>1337</v>
      </c>
      <c r="H2997" s="355" t="s">
        <v>2281</v>
      </c>
      <c r="I2997" s="355">
        <f>I2845</f>
        <v>3</v>
      </c>
      <c r="J2997" s="355" t="s">
        <v>1337</v>
      </c>
      <c r="K2997" s="355">
        <f t="shared" si="97"/>
        <v>36</v>
      </c>
      <c r="L2997" s="355"/>
      <c r="M2997" s="355"/>
    </row>
    <row r="2998" spans="5:13">
      <c r="E2998" s="355"/>
      <c r="F2998" s="355">
        <v>6</v>
      </c>
      <c r="G2998" s="355" t="s">
        <v>1337</v>
      </c>
      <c r="H2998" s="355" t="s">
        <v>3323</v>
      </c>
      <c r="I2998" s="355">
        <f>I2846</f>
        <v>1.28</v>
      </c>
      <c r="J2998" s="355" t="s">
        <v>1337</v>
      </c>
      <c r="K2998" s="355">
        <f t="shared" si="97"/>
        <v>7.68</v>
      </c>
      <c r="L2998" s="355"/>
      <c r="M2998" s="355"/>
    </row>
    <row r="2999" spans="5:13">
      <c r="E2999" s="355"/>
      <c r="F2999" s="355">
        <v>1</v>
      </c>
      <c r="G2999" s="355" t="s">
        <v>1337</v>
      </c>
      <c r="H2999" s="363" t="s">
        <v>3755</v>
      </c>
      <c r="I2999" s="529">
        <f>I2847</f>
        <v>58</v>
      </c>
      <c r="J2999" s="355" t="s">
        <v>1337</v>
      </c>
      <c r="K2999" s="355">
        <f t="shared" si="97"/>
        <v>58</v>
      </c>
      <c r="L2999" s="355"/>
      <c r="M2999" s="355"/>
    </row>
    <row r="3000" spans="5:13">
      <c r="E3000" s="355"/>
      <c r="F3000" s="358">
        <v>1.4999999999999999E-2</v>
      </c>
      <c r="G3000" s="355" t="s">
        <v>2199</v>
      </c>
      <c r="H3000" s="355" t="s">
        <v>3195</v>
      </c>
      <c r="I3000" s="355">
        <f t="shared" ref="I3000:I3007" si="98">I2849</f>
        <v>630</v>
      </c>
      <c r="J3000" s="355" t="s">
        <v>2199</v>
      </c>
      <c r="K3000" s="355">
        <f t="shared" si="97"/>
        <v>9.4499999999999993</v>
      </c>
      <c r="L3000" s="355"/>
      <c r="M3000" s="355"/>
    </row>
    <row r="3001" spans="5:13">
      <c r="E3001" s="355"/>
      <c r="F3001" s="355">
        <v>6</v>
      </c>
      <c r="G3001" s="355" t="s">
        <v>1337</v>
      </c>
      <c r="H3001" s="355" t="s">
        <v>3196</v>
      </c>
      <c r="I3001" s="355">
        <f t="shared" si="98"/>
        <v>16.05</v>
      </c>
      <c r="J3001" s="355" t="s">
        <v>3326</v>
      </c>
      <c r="K3001" s="355">
        <f t="shared" si="97"/>
        <v>96.3</v>
      </c>
      <c r="L3001" s="355"/>
      <c r="M3001" s="355"/>
    </row>
    <row r="3002" spans="5:13">
      <c r="E3002" s="355"/>
      <c r="F3002" s="355">
        <v>6</v>
      </c>
      <c r="G3002" s="355" t="s">
        <v>1337</v>
      </c>
      <c r="H3002" s="355" t="s">
        <v>2553</v>
      </c>
      <c r="I3002" s="355">
        <f t="shared" si="98"/>
        <v>13.6</v>
      </c>
      <c r="J3002" s="355" t="s">
        <v>1337</v>
      </c>
      <c r="K3002" s="355">
        <f t="shared" si="97"/>
        <v>81.599999999999994</v>
      </c>
      <c r="L3002" s="355"/>
      <c r="M3002" s="355"/>
    </row>
    <row r="3003" spans="5:13">
      <c r="E3003" s="355"/>
      <c r="F3003" s="355">
        <v>6</v>
      </c>
      <c r="G3003" s="355" t="s">
        <v>1337</v>
      </c>
      <c r="H3003" s="355" t="s">
        <v>2555</v>
      </c>
      <c r="I3003" s="355">
        <f t="shared" si="98"/>
        <v>3.43</v>
      </c>
      <c r="J3003" s="355" t="s">
        <v>1337</v>
      </c>
      <c r="K3003" s="355">
        <f t="shared" si="97"/>
        <v>20.58</v>
      </c>
      <c r="L3003" s="355"/>
      <c r="M3003" s="355"/>
    </row>
    <row r="3004" spans="5:13">
      <c r="E3004" s="355"/>
      <c r="F3004" s="355">
        <v>1.25</v>
      </c>
      <c r="G3004" s="355" t="s">
        <v>2557</v>
      </c>
      <c r="H3004" s="355" t="s">
        <v>364</v>
      </c>
      <c r="I3004" s="355">
        <f t="shared" si="98"/>
        <v>298</v>
      </c>
      <c r="J3004" s="355" t="s">
        <v>2557</v>
      </c>
      <c r="K3004" s="355">
        <f t="shared" si="97"/>
        <v>372.5</v>
      </c>
      <c r="L3004" s="355"/>
      <c r="M3004" s="355"/>
    </row>
    <row r="3005" spans="5:13">
      <c r="E3005" s="355"/>
      <c r="F3005" s="355">
        <v>6</v>
      </c>
      <c r="G3005" s="355" t="s">
        <v>1337</v>
      </c>
      <c r="H3005" s="363" t="s">
        <v>3755</v>
      </c>
      <c r="I3005" s="529">
        <f t="shared" si="98"/>
        <v>58</v>
      </c>
      <c r="J3005" s="355" t="s">
        <v>1337</v>
      </c>
      <c r="K3005" s="355">
        <f t="shared" si="97"/>
        <v>348</v>
      </c>
      <c r="L3005" s="355"/>
      <c r="M3005" s="355"/>
    </row>
    <row r="3006" spans="5:13">
      <c r="E3006" s="355"/>
      <c r="F3006" s="355">
        <v>0.09</v>
      </c>
      <c r="G3006" s="355" t="s">
        <v>2199</v>
      </c>
      <c r="H3006" s="355" t="s">
        <v>2560</v>
      </c>
      <c r="I3006" s="355">
        <f t="shared" si="98"/>
        <v>630</v>
      </c>
      <c r="J3006" s="355" t="s">
        <v>2199</v>
      </c>
      <c r="K3006" s="355">
        <f t="shared" si="97"/>
        <v>56.7</v>
      </c>
      <c r="L3006" s="355"/>
      <c r="M3006" s="355"/>
    </row>
    <row r="3007" spans="5:13" ht="31.5">
      <c r="E3007" s="355"/>
      <c r="F3007" s="355">
        <v>45</v>
      </c>
      <c r="G3007" s="355"/>
      <c r="H3007" s="276" t="s">
        <v>2563</v>
      </c>
      <c r="I3007" s="355">
        <f t="shared" si="98"/>
        <v>15.5</v>
      </c>
      <c r="J3007" s="355" t="s">
        <v>3239</v>
      </c>
      <c r="K3007" s="355">
        <f t="shared" si="97"/>
        <v>697.5</v>
      </c>
      <c r="L3007" s="355"/>
      <c r="M3007" s="355"/>
    </row>
    <row r="3008" spans="5:13">
      <c r="E3008" s="355"/>
      <c r="F3008" s="355"/>
      <c r="G3008" s="355"/>
      <c r="H3008" s="355" t="s">
        <v>878</v>
      </c>
      <c r="I3008" s="355"/>
      <c r="J3008" s="355" t="s">
        <v>625</v>
      </c>
      <c r="K3008" s="355">
        <f>K2857</f>
        <v>10421</v>
      </c>
      <c r="L3008" s="355"/>
      <c r="M3008" s="355"/>
    </row>
    <row r="3009" spans="5:14">
      <c r="E3009" s="355"/>
      <c r="F3009" s="355"/>
      <c r="G3009" s="355"/>
      <c r="H3009" s="355" t="s">
        <v>2187</v>
      </c>
      <c r="I3009" s="355"/>
      <c r="J3009" s="355" t="s">
        <v>625</v>
      </c>
      <c r="K3009" s="355">
        <v>46.78</v>
      </c>
      <c r="L3009" s="355"/>
      <c r="M3009" s="355"/>
    </row>
    <row r="3010" spans="5:14" ht="30" customHeight="1">
      <c r="E3010" s="355"/>
      <c r="F3010" s="355"/>
      <c r="G3010" s="355"/>
      <c r="H3010" s="360" t="s">
        <v>3247</v>
      </c>
      <c r="I3010" s="355"/>
      <c r="J3010" s="355"/>
      <c r="K3010" s="361">
        <f>SUM(K2995:K3009)</f>
        <v>14506.59</v>
      </c>
      <c r="L3010" s="355"/>
      <c r="M3010" s="355"/>
    </row>
    <row r="3011" spans="5:14" ht="30" customHeight="1">
      <c r="E3011" s="355"/>
      <c r="F3011" s="355"/>
      <c r="G3011" s="355"/>
      <c r="H3011" s="362" t="s">
        <v>3244</v>
      </c>
      <c r="I3011" s="355"/>
      <c r="J3011" s="355"/>
      <c r="K3011" s="363">
        <f>K3010/6</f>
        <v>2417.77</v>
      </c>
      <c r="L3011" s="355">
        <f>1724*6</f>
        <v>10344</v>
      </c>
      <c r="M3011" s="355"/>
    </row>
    <row r="3012" spans="5:14">
      <c r="E3012" s="355"/>
      <c r="F3012" s="355"/>
      <c r="G3012" s="355"/>
      <c r="H3012" s="355"/>
      <c r="I3012" s="355"/>
      <c r="J3012" s="355"/>
      <c r="K3012" s="355"/>
      <c r="L3012" s="355">
        <f>L3011-K3010</f>
        <v>-4162.59</v>
      </c>
      <c r="M3012" s="355"/>
    </row>
    <row r="3013" spans="5:14" ht="30" customHeight="1">
      <c r="E3013" s="355"/>
      <c r="F3013" s="355"/>
      <c r="G3013" s="355"/>
      <c r="H3013" s="363" t="s">
        <v>2351</v>
      </c>
      <c r="I3013" s="355"/>
      <c r="J3013" s="355"/>
      <c r="K3013" s="355"/>
      <c r="L3013" s="355"/>
      <c r="M3013" s="355"/>
    </row>
    <row r="3014" spans="5:14" ht="47.25">
      <c r="E3014" s="355"/>
      <c r="F3014" s="355"/>
      <c r="G3014" s="355"/>
      <c r="H3014" s="353" t="s">
        <v>2352</v>
      </c>
      <c r="I3014" s="355"/>
      <c r="J3014" s="355"/>
      <c r="K3014" s="355"/>
      <c r="L3014" s="355"/>
      <c r="M3014" s="355"/>
    </row>
    <row r="3015" spans="5:14">
      <c r="E3015" s="355"/>
      <c r="F3015" s="355"/>
      <c r="G3015" s="355"/>
      <c r="H3015" s="355"/>
      <c r="I3015" s="355"/>
      <c r="J3015" s="355"/>
      <c r="K3015" s="355"/>
      <c r="L3015" s="355"/>
      <c r="M3015" s="355"/>
    </row>
    <row r="3016" spans="5:14" ht="194.25" customHeight="1">
      <c r="E3016" s="355"/>
      <c r="F3016" s="355"/>
      <c r="G3016" s="355"/>
      <c r="H3016" s="354" t="s">
        <v>2219</v>
      </c>
      <c r="I3016" s="355"/>
      <c r="J3016" s="355"/>
      <c r="K3016" s="355"/>
      <c r="L3016" s="355"/>
      <c r="M3016" s="355"/>
    </row>
    <row r="3017" spans="5:14" hidden="1">
      <c r="E3017" s="355"/>
      <c r="F3017" s="355"/>
      <c r="G3017" s="355"/>
      <c r="H3017" s="355"/>
      <c r="I3017" s="355"/>
      <c r="J3017" s="355"/>
      <c r="K3017" s="355"/>
      <c r="L3017" s="355"/>
      <c r="M3017" s="355"/>
    </row>
    <row r="3018" spans="5:14" ht="15.75" customHeight="1">
      <c r="E3018" s="355"/>
      <c r="F3018" s="355"/>
      <c r="G3018" s="355"/>
      <c r="H3018" s="355" t="s">
        <v>2220</v>
      </c>
      <c r="I3018" s="355"/>
      <c r="J3018" s="355"/>
      <c r="K3018" s="355">
        <f>K3010-K3009</f>
        <v>14459.81</v>
      </c>
      <c r="L3018" s="355">
        <f>K3010-K3009</f>
        <v>14459.81</v>
      </c>
      <c r="M3018" s="355"/>
    </row>
    <row r="3019" spans="5:14" ht="19.5" customHeight="1">
      <c r="E3019" s="355"/>
      <c r="F3019" s="355"/>
      <c r="G3019" s="355"/>
      <c r="H3019" s="355" t="s">
        <v>2777</v>
      </c>
      <c r="I3019" s="355"/>
      <c r="J3019" s="355"/>
      <c r="K3019" s="355">
        <f>K3002</f>
        <v>81.599999999999994</v>
      </c>
      <c r="L3019" s="355"/>
      <c r="M3019" s="355"/>
    </row>
    <row r="3020" spans="5:14" ht="21.75" customHeight="1">
      <c r="E3020" s="355"/>
      <c r="F3020" s="355"/>
      <c r="G3020" s="355"/>
      <c r="H3020" s="355" t="s">
        <v>4600</v>
      </c>
      <c r="I3020" s="355"/>
      <c r="J3020" s="355"/>
      <c r="K3020" s="425">
        <f>16.35*6</f>
        <v>98.1</v>
      </c>
      <c r="L3020" s="355"/>
      <c r="M3020" s="355"/>
    </row>
    <row r="3021" spans="5:14" ht="16.5" customHeight="1">
      <c r="E3021" s="355"/>
      <c r="F3021" s="355"/>
      <c r="G3021" s="355"/>
      <c r="H3021" s="355" t="s">
        <v>2187</v>
      </c>
      <c r="I3021" s="355"/>
      <c r="J3021" s="355"/>
      <c r="K3021" s="355">
        <v>36.28</v>
      </c>
      <c r="L3021" s="355"/>
      <c r="M3021" s="355"/>
    </row>
    <row r="3022" spans="5:14" ht="15.75" customHeight="1">
      <c r="E3022" s="355"/>
      <c r="F3022" s="355"/>
      <c r="G3022" s="355"/>
      <c r="H3022" s="360" t="s">
        <v>2778</v>
      </c>
      <c r="I3022" s="355"/>
      <c r="J3022" s="355"/>
      <c r="K3022" s="361">
        <f>(K3018-K3019)+K3020+K3021</f>
        <v>14512.59</v>
      </c>
      <c r="L3022" s="355"/>
      <c r="M3022" s="355"/>
    </row>
    <row r="3023" spans="5:14" ht="24" customHeight="1">
      <c r="E3023" s="355"/>
      <c r="F3023" s="355"/>
      <c r="G3023" s="355"/>
      <c r="H3023" s="362" t="s">
        <v>2779</v>
      </c>
      <c r="I3023" s="355"/>
      <c r="J3023" s="355"/>
      <c r="K3023" s="363">
        <f>K3022/6</f>
        <v>2418.77</v>
      </c>
      <c r="L3023" s="355"/>
      <c r="M3023" s="355">
        <f>1726*6</f>
        <v>10356</v>
      </c>
      <c r="N3023" s="182">
        <f>M3023-K3022</f>
        <v>-4156.59</v>
      </c>
    </row>
    <row r="3024" spans="5:14">
      <c r="E3024" s="355"/>
      <c r="F3024" s="355"/>
      <c r="G3024" s="355"/>
      <c r="H3024" s="355"/>
      <c r="I3024" s="355"/>
      <c r="J3024" s="355"/>
      <c r="K3024" s="355"/>
      <c r="L3024" s="355"/>
      <c r="M3024" s="355">
        <f>M3023-K3022</f>
        <v>-4156.59</v>
      </c>
    </row>
    <row r="3025" spans="5:13">
      <c r="E3025" s="355"/>
      <c r="F3025" s="355"/>
      <c r="G3025" s="355"/>
      <c r="H3025" s="363" t="s">
        <v>2780</v>
      </c>
      <c r="I3025" s="355"/>
      <c r="J3025" s="355"/>
      <c r="K3025" s="355"/>
      <c r="L3025" s="355"/>
      <c r="M3025" s="355"/>
    </row>
    <row r="3026" spans="5:13" ht="30.75" customHeight="1">
      <c r="E3026" s="355"/>
      <c r="F3026" s="355"/>
      <c r="G3026" s="355"/>
      <c r="H3026" s="353" t="s">
        <v>2821</v>
      </c>
      <c r="I3026" s="355"/>
      <c r="J3026" s="355"/>
      <c r="K3026" s="355"/>
      <c r="L3026" s="355"/>
      <c r="M3026" s="355"/>
    </row>
    <row r="3027" spans="5:13" ht="173.25">
      <c r="E3027" s="355"/>
      <c r="F3027" s="355"/>
      <c r="G3027" s="355"/>
      <c r="H3027" s="354" t="s">
        <v>2851</v>
      </c>
      <c r="I3027" s="355"/>
      <c r="J3027" s="355"/>
      <c r="K3027" s="355"/>
      <c r="L3027" s="355"/>
      <c r="M3027" s="355"/>
    </row>
    <row r="3028" spans="5:13" ht="30.75" customHeight="1">
      <c r="E3028" s="355"/>
      <c r="F3028" s="355">
        <v>90</v>
      </c>
      <c r="G3028" s="355" t="s">
        <v>794</v>
      </c>
      <c r="H3028" s="276" t="s">
        <v>2463</v>
      </c>
      <c r="I3028" s="355">
        <f t="shared" ref="I3028:I3040" si="99">I2905</f>
        <v>15.5</v>
      </c>
      <c r="J3028" s="355" t="s">
        <v>2464</v>
      </c>
      <c r="K3028" s="355">
        <f t="shared" ref="K3028:K3040" si="100">F3028*I3028</f>
        <v>1395</v>
      </c>
      <c r="L3028" s="355"/>
      <c r="M3028" s="355"/>
    </row>
    <row r="3029" spans="5:13" ht="27.75" customHeight="1">
      <c r="E3029" s="355"/>
      <c r="F3029" s="355">
        <v>45</v>
      </c>
      <c r="G3029" s="355" t="s">
        <v>794</v>
      </c>
      <c r="H3029" s="354" t="s">
        <v>2279</v>
      </c>
      <c r="I3029" s="355">
        <f t="shared" si="99"/>
        <v>19.100000000000001</v>
      </c>
      <c r="J3029" s="355" t="s">
        <v>794</v>
      </c>
      <c r="K3029" s="355">
        <f t="shared" si="100"/>
        <v>859.5</v>
      </c>
      <c r="L3029" s="355"/>
      <c r="M3029" s="355"/>
    </row>
    <row r="3030" spans="5:13">
      <c r="E3030" s="355"/>
      <c r="F3030" s="355">
        <v>12</v>
      </c>
      <c r="G3030" s="355" t="s">
        <v>1337</v>
      </c>
      <c r="H3030" s="355" t="s">
        <v>2281</v>
      </c>
      <c r="I3030" s="355">
        <f t="shared" si="99"/>
        <v>3</v>
      </c>
      <c r="J3030" s="355" t="s">
        <v>1337</v>
      </c>
      <c r="K3030" s="355">
        <f t="shared" si="100"/>
        <v>36</v>
      </c>
      <c r="L3030" s="355"/>
      <c r="M3030" s="355"/>
    </row>
    <row r="3031" spans="5:13">
      <c r="E3031" s="355"/>
      <c r="F3031" s="355">
        <v>6</v>
      </c>
      <c r="G3031" s="355" t="s">
        <v>1337</v>
      </c>
      <c r="H3031" s="355" t="s">
        <v>3323</v>
      </c>
      <c r="I3031" s="355">
        <f t="shared" si="99"/>
        <v>1.28</v>
      </c>
      <c r="J3031" s="355" t="s">
        <v>1337</v>
      </c>
      <c r="K3031" s="355">
        <f t="shared" si="100"/>
        <v>7.68</v>
      </c>
      <c r="L3031" s="355"/>
      <c r="M3031" s="355"/>
    </row>
    <row r="3032" spans="5:13">
      <c r="E3032" s="355"/>
      <c r="F3032" s="355">
        <v>6</v>
      </c>
      <c r="G3032" s="355" t="s">
        <v>1337</v>
      </c>
      <c r="H3032" s="355" t="s">
        <v>3405</v>
      </c>
      <c r="I3032" s="355">
        <f t="shared" si="99"/>
        <v>3.43</v>
      </c>
      <c r="J3032" s="355" t="s">
        <v>1337</v>
      </c>
      <c r="K3032" s="355">
        <f t="shared" si="100"/>
        <v>20.58</v>
      </c>
      <c r="L3032" s="355"/>
      <c r="M3032" s="355"/>
    </row>
    <row r="3033" spans="5:13">
      <c r="E3033" s="355"/>
      <c r="F3033" s="355">
        <v>6</v>
      </c>
      <c r="G3033" s="355" t="s">
        <v>1337</v>
      </c>
      <c r="H3033" s="355" t="s">
        <v>2553</v>
      </c>
      <c r="I3033" s="355">
        <f t="shared" si="99"/>
        <v>13.6</v>
      </c>
      <c r="J3033" s="355" t="s">
        <v>1337</v>
      </c>
      <c r="K3033" s="355">
        <f t="shared" si="100"/>
        <v>81.599999999999994</v>
      </c>
      <c r="L3033" s="355"/>
      <c r="M3033" s="355"/>
    </row>
    <row r="3034" spans="5:13">
      <c r="E3034" s="355"/>
      <c r="F3034" s="355">
        <v>6</v>
      </c>
      <c r="G3034" s="355" t="s">
        <v>1337</v>
      </c>
      <c r="H3034" s="355" t="s">
        <v>3196</v>
      </c>
      <c r="I3034" s="355">
        <f t="shared" si="99"/>
        <v>16.05</v>
      </c>
      <c r="J3034" s="355" t="s">
        <v>3326</v>
      </c>
      <c r="K3034" s="355">
        <f>F3034*I3034</f>
        <v>96.3</v>
      </c>
      <c r="L3034" s="355"/>
      <c r="M3034" s="355"/>
    </row>
    <row r="3035" spans="5:13">
      <c r="E3035" s="355"/>
      <c r="F3035" s="355">
        <v>6</v>
      </c>
      <c r="G3035" s="355" t="s">
        <v>1337</v>
      </c>
      <c r="H3035" s="363" t="s">
        <v>3751</v>
      </c>
      <c r="I3035" s="355">
        <f t="shared" si="99"/>
        <v>85</v>
      </c>
      <c r="J3035" s="355" t="s">
        <v>1337</v>
      </c>
      <c r="K3035" s="355">
        <f t="shared" si="100"/>
        <v>510</v>
      </c>
      <c r="L3035" s="355"/>
      <c r="M3035" s="355"/>
    </row>
    <row r="3036" spans="5:13">
      <c r="E3036" s="355"/>
      <c r="F3036" s="355">
        <v>0.36</v>
      </c>
      <c r="G3036" s="355" t="s">
        <v>2199</v>
      </c>
      <c r="H3036" s="355" t="s">
        <v>2560</v>
      </c>
      <c r="I3036" s="355">
        <f t="shared" si="99"/>
        <v>630</v>
      </c>
      <c r="J3036" s="355" t="s">
        <v>2199</v>
      </c>
      <c r="K3036" s="355">
        <f t="shared" si="100"/>
        <v>226.8</v>
      </c>
      <c r="L3036" s="355"/>
      <c r="M3036" s="355"/>
    </row>
    <row r="3037" spans="5:13">
      <c r="E3037" s="355"/>
      <c r="F3037" s="355">
        <v>1</v>
      </c>
      <c r="G3037" s="355" t="s">
        <v>1337</v>
      </c>
      <c r="H3037" s="363" t="s">
        <v>3755</v>
      </c>
      <c r="I3037" s="355">
        <f t="shared" si="99"/>
        <v>58</v>
      </c>
      <c r="J3037" s="355" t="s">
        <v>1337</v>
      </c>
      <c r="K3037" s="355">
        <f t="shared" si="100"/>
        <v>58</v>
      </c>
      <c r="L3037" s="355"/>
      <c r="M3037" s="355"/>
    </row>
    <row r="3038" spans="5:13">
      <c r="E3038" s="355"/>
      <c r="F3038" s="358">
        <v>1.4999999999999999E-2</v>
      </c>
      <c r="G3038" s="355" t="s">
        <v>2199</v>
      </c>
      <c r="H3038" s="355" t="s">
        <v>3783</v>
      </c>
      <c r="I3038" s="355">
        <f t="shared" si="99"/>
        <v>630</v>
      </c>
      <c r="J3038" s="355" t="s">
        <v>2199</v>
      </c>
      <c r="K3038" s="355">
        <f t="shared" si="100"/>
        <v>9.4499999999999993</v>
      </c>
      <c r="L3038" s="355"/>
      <c r="M3038" s="355"/>
    </row>
    <row r="3039" spans="5:13">
      <c r="E3039" s="355"/>
      <c r="F3039" s="355">
        <v>1.25</v>
      </c>
      <c r="G3039" s="355" t="s">
        <v>2557</v>
      </c>
      <c r="H3039" s="355" t="s">
        <v>364</v>
      </c>
      <c r="I3039" s="355">
        <f t="shared" si="99"/>
        <v>298</v>
      </c>
      <c r="J3039" s="355" t="s">
        <v>2557</v>
      </c>
      <c r="K3039" s="355">
        <f t="shared" si="100"/>
        <v>372.5</v>
      </c>
      <c r="L3039" s="355"/>
      <c r="M3039" s="355"/>
    </row>
    <row r="3040" spans="5:13" ht="31.5">
      <c r="E3040" s="355"/>
      <c r="F3040" s="355">
        <v>45</v>
      </c>
      <c r="G3040" s="355" t="s">
        <v>794</v>
      </c>
      <c r="H3040" s="463" t="s">
        <v>3788</v>
      </c>
      <c r="I3040" s="355">
        <f t="shared" si="99"/>
        <v>15.5</v>
      </c>
      <c r="J3040" s="355" t="s">
        <v>2464</v>
      </c>
      <c r="K3040" s="355">
        <f t="shared" si="100"/>
        <v>697.5</v>
      </c>
      <c r="L3040" s="355"/>
      <c r="M3040" s="355"/>
    </row>
    <row r="3041" spans="5:13">
      <c r="E3041" s="355"/>
      <c r="F3041" s="355"/>
      <c r="G3041" s="355"/>
      <c r="H3041" s="355" t="s">
        <v>878</v>
      </c>
      <c r="I3041" s="355"/>
      <c r="J3041" s="355"/>
      <c r="K3041" s="355">
        <f>K2918</f>
        <v>10421</v>
      </c>
      <c r="L3041" s="355"/>
      <c r="M3041" s="355"/>
    </row>
    <row r="3042" spans="5:13">
      <c r="E3042" s="355"/>
      <c r="F3042" s="355"/>
      <c r="G3042" s="355"/>
      <c r="H3042" s="355" t="s">
        <v>2187</v>
      </c>
      <c r="I3042" s="355"/>
      <c r="J3042" s="355"/>
      <c r="K3042" s="355">
        <v>38.75</v>
      </c>
      <c r="L3042" s="355"/>
      <c r="M3042" s="355"/>
    </row>
    <row r="3043" spans="5:13">
      <c r="E3043" s="355"/>
      <c r="F3043" s="355"/>
      <c r="G3043" s="355"/>
      <c r="H3043" s="360" t="s">
        <v>2778</v>
      </c>
      <c r="I3043" s="355"/>
      <c r="J3043" s="355"/>
      <c r="K3043" s="361">
        <f>SUM(K3028:K3042)</f>
        <v>14830.66</v>
      </c>
      <c r="L3043" s="355"/>
      <c r="M3043" s="355"/>
    </row>
    <row r="3044" spans="5:13">
      <c r="E3044" s="355"/>
      <c r="F3044" s="355"/>
      <c r="G3044" s="355"/>
      <c r="H3044" s="362" t="s">
        <v>3096</v>
      </c>
      <c r="I3044" s="355"/>
      <c r="J3044" s="355"/>
      <c r="K3044" s="363">
        <f>K3043/6</f>
        <v>2471.7800000000002</v>
      </c>
      <c r="L3044" s="355">
        <f>1774*6</f>
        <v>10644</v>
      </c>
      <c r="M3044" s="355"/>
    </row>
    <row r="3045" spans="5:13" ht="21.75" customHeight="1">
      <c r="E3045" s="355"/>
      <c r="F3045" s="355"/>
      <c r="G3045" s="355"/>
      <c r="H3045" s="355"/>
      <c r="I3045" s="355"/>
      <c r="J3045" s="355"/>
      <c r="K3045" s="355"/>
      <c r="L3045" s="355">
        <f>L3044-K3043</f>
        <v>-4186.66</v>
      </c>
      <c r="M3045" s="355"/>
    </row>
    <row r="3046" spans="5:13">
      <c r="E3046" s="355"/>
      <c r="F3046" s="355"/>
      <c r="G3046" s="355"/>
      <c r="H3046" s="363" t="s">
        <v>2852</v>
      </c>
      <c r="I3046" s="355"/>
      <c r="J3046" s="355"/>
      <c r="K3046" s="355"/>
      <c r="L3046" s="355"/>
      <c r="M3046" s="355"/>
    </row>
    <row r="3047" spans="5:13" ht="34.5" customHeight="1">
      <c r="E3047" s="355"/>
      <c r="F3047" s="355"/>
      <c r="G3047" s="355"/>
      <c r="H3047" s="353" t="s">
        <v>2305</v>
      </c>
      <c r="I3047" s="355"/>
      <c r="J3047" s="355"/>
      <c r="K3047" s="355"/>
      <c r="L3047" s="355"/>
      <c r="M3047" s="355"/>
    </row>
    <row r="3048" spans="5:13" ht="192.75" customHeight="1">
      <c r="E3048" s="355"/>
      <c r="F3048" s="355"/>
      <c r="G3048" s="355"/>
      <c r="H3048" s="354" t="s">
        <v>2886</v>
      </c>
      <c r="I3048" s="355"/>
      <c r="J3048" s="355"/>
      <c r="K3048" s="355"/>
      <c r="L3048" s="355"/>
      <c r="M3048" s="355"/>
    </row>
    <row r="3049" spans="5:13" ht="30" customHeight="1">
      <c r="E3049" s="355"/>
      <c r="F3049" s="355">
        <v>90</v>
      </c>
      <c r="G3049" s="355" t="s">
        <v>794</v>
      </c>
      <c r="H3049" s="276" t="s">
        <v>2463</v>
      </c>
      <c r="I3049" s="355">
        <f t="shared" ref="I3049:I3059" si="101">I2931</f>
        <v>15.5</v>
      </c>
      <c r="J3049" s="355" t="s">
        <v>2464</v>
      </c>
      <c r="K3049" s="355">
        <f t="shared" ref="K3049:K3059" si="102">F3049*I3049</f>
        <v>1395</v>
      </c>
      <c r="L3049" s="355"/>
      <c r="M3049" s="355"/>
    </row>
    <row r="3050" spans="5:13" ht="27.75" customHeight="1">
      <c r="E3050" s="355"/>
      <c r="F3050" s="355">
        <v>30</v>
      </c>
      <c r="G3050" s="355" t="s">
        <v>794</v>
      </c>
      <c r="H3050" s="354" t="s">
        <v>2279</v>
      </c>
      <c r="I3050" s="355">
        <f t="shared" si="101"/>
        <v>19.100000000000001</v>
      </c>
      <c r="J3050" s="355" t="s">
        <v>794</v>
      </c>
      <c r="K3050" s="355">
        <f t="shared" si="102"/>
        <v>573</v>
      </c>
      <c r="L3050" s="355"/>
      <c r="M3050" s="355"/>
    </row>
    <row r="3051" spans="5:13">
      <c r="E3051" s="355"/>
      <c r="F3051" s="355">
        <v>6</v>
      </c>
      <c r="G3051" s="355" t="s">
        <v>1337</v>
      </c>
      <c r="H3051" s="355" t="s">
        <v>2281</v>
      </c>
      <c r="I3051" s="355">
        <f t="shared" si="101"/>
        <v>3</v>
      </c>
      <c r="J3051" s="355" t="s">
        <v>1337</v>
      </c>
      <c r="K3051" s="355">
        <f t="shared" si="102"/>
        <v>18</v>
      </c>
      <c r="L3051" s="355"/>
      <c r="M3051" s="355"/>
    </row>
    <row r="3052" spans="5:13">
      <c r="E3052" s="355"/>
      <c r="F3052" s="355">
        <v>3</v>
      </c>
      <c r="G3052" s="355" t="s">
        <v>1337</v>
      </c>
      <c r="H3052" s="355" t="s">
        <v>3323</v>
      </c>
      <c r="I3052" s="355">
        <f t="shared" si="101"/>
        <v>1.28</v>
      </c>
      <c r="J3052" s="355" t="s">
        <v>1337</v>
      </c>
      <c r="K3052" s="355">
        <f t="shared" si="102"/>
        <v>3.84</v>
      </c>
      <c r="L3052" s="355"/>
      <c r="M3052" s="355"/>
    </row>
    <row r="3053" spans="5:13">
      <c r="E3053" s="355"/>
      <c r="F3053" s="355">
        <v>6</v>
      </c>
      <c r="G3053" s="355" t="s">
        <v>1337</v>
      </c>
      <c r="H3053" s="355" t="s">
        <v>2366</v>
      </c>
      <c r="I3053" s="355">
        <f t="shared" si="101"/>
        <v>19.920000000000002</v>
      </c>
      <c r="J3053" s="355" t="s">
        <v>1337</v>
      </c>
      <c r="K3053" s="355">
        <f t="shared" si="102"/>
        <v>119.52</v>
      </c>
      <c r="L3053" s="355"/>
      <c r="M3053" s="355"/>
    </row>
    <row r="3054" spans="5:13">
      <c r="E3054" s="355"/>
      <c r="F3054" s="355">
        <v>3</v>
      </c>
      <c r="G3054" s="355" t="s">
        <v>1337</v>
      </c>
      <c r="H3054" s="355" t="s">
        <v>2553</v>
      </c>
      <c r="I3054" s="355">
        <f t="shared" si="101"/>
        <v>13.6</v>
      </c>
      <c r="J3054" s="355" t="s">
        <v>1337</v>
      </c>
      <c r="K3054" s="355">
        <f t="shared" si="102"/>
        <v>40.799999999999997</v>
      </c>
      <c r="L3054" s="355"/>
      <c r="M3054" s="355"/>
    </row>
    <row r="3055" spans="5:13">
      <c r="E3055" s="355"/>
      <c r="F3055" s="355">
        <v>3</v>
      </c>
      <c r="G3055" s="355" t="s">
        <v>1337</v>
      </c>
      <c r="H3055" s="355" t="s">
        <v>2555</v>
      </c>
      <c r="I3055" s="355">
        <f t="shared" si="101"/>
        <v>3.43</v>
      </c>
      <c r="J3055" s="355" t="s">
        <v>1337</v>
      </c>
      <c r="K3055" s="355">
        <f t="shared" si="102"/>
        <v>10.29</v>
      </c>
      <c r="L3055" s="355"/>
      <c r="M3055" s="355"/>
    </row>
    <row r="3056" spans="5:13">
      <c r="E3056" s="355"/>
      <c r="F3056" s="355">
        <v>3</v>
      </c>
      <c r="G3056" s="355" t="s">
        <v>1337</v>
      </c>
      <c r="H3056" s="363" t="s">
        <v>3755</v>
      </c>
      <c r="I3056" s="355">
        <f t="shared" si="101"/>
        <v>58</v>
      </c>
      <c r="J3056" s="355" t="s">
        <v>1337</v>
      </c>
      <c r="K3056" s="355">
        <f t="shared" si="102"/>
        <v>174</v>
      </c>
      <c r="L3056" s="355"/>
      <c r="M3056" s="355"/>
    </row>
    <row r="3057" spans="5:18">
      <c r="E3057" s="355"/>
      <c r="F3057" s="358">
        <v>5.3999999999999999E-2</v>
      </c>
      <c r="G3057" s="355" t="s">
        <v>2199</v>
      </c>
      <c r="H3057" s="355" t="s">
        <v>3783</v>
      </c>
      <c r="I3057" s="355">
        <f t="shared" si="101"/>
        <v>630</v>
      </c>
      <c r="J3057" s="355" t="s">
        <v>2199</v>
      </c>
      <c r="K3057" s="355">
        <f t="shared" si="102"/>
        <v>34.020000000000003</v>
      </c>
      <c r="L3057" s="355"/>
      <c r="M3057" s="355"/>
    </row>
    <row r="3058" spans="5:18">
      <c r="E3058" s="355"/>
      <c r="F3058" s="355">
        <v>1.25</v>
      </c>
      <c r="G3058" s="355" t="s">
        <v>2557</v>
      </c>
      <c r="H3058" s="355" t="s">
        <v>364</v>
      </c>
      <c r="I3058" s="355">
        <f t="shared" si="101"/>
        <v>298</v>
      </c>
      <c r="J3058" s="355" t="s">
        <v>2557</v>
      </c>
      <c r="K3058" s="355">
        <f t="shared" si="102"/>
        <v>372.5</v>
      </c>
      <c r="L3058" s="355"/>
      <c r="M3058" s="355"/>
    </row>
    <row r="3059" spans="5:18" ht="35.25" customHeight="1">
      <c r="E3059" s="355"/>
      <c r="F3059" s="355">
        <v>30</v>
      </c>
      <c r="G3059" s="355" t="s">
        <v>794</v>
      </c>
      <c r="H3059" s="463" t="s">
        <v>3788</v>
      </c>
      <c r="I3059" s="355">
        <f t="shared" si="101"/>
        <v>15.5</v>
      </c>
      <c r="J3059" s="355" t="s">
        <v>2464</v>
      </c>
      <c r="K3059" s="355">
        <f t="shared" si="102"/>
        <v>465</v>
      </c>
      <c r="L3059" s="355"/>
      <c r="M3059" s="355"/>
    </row>
    <row r="3060" spans="5:18">
      <c r="E3060" s="355"/>
      <c r="F3060" s="355"/>
      <c r="G3060" s="355"/>
      <c r="H3060" s="355" t="s">
        <v>878</v>
      </c>
      <c r="I3060" s="355"/>
      <c r="J3060" s="355"/>
      <c r="K3060" s="355">
        <f>K2942</f>
        <v>10421</v>
      </c>
      <c r="L3060" s="355"/>
      <c r="M3060" s="355"/>
    </row>
    <row r="3061" spans="5:18">
      <c r="E3061" s="355"/>
      <c r="F3061" s="355"/>
      <c r="G3061" s="355"/>
      <c r="H3061" s="355" t="s">
        <v>2187</v>
      </c>
      <c r="I3061" s="355"/>
      <c r="J3061" s="355"/>
      <c r="K3061" s="355">
        <v>20.97</v>
      </c>
      <c r="L3061" s="355"/>
      <c r="M3061" s="355"/>
    </row>
    <row r="3062" spans="5:18">
      <c r="E3062" s="355"/>
      <c r="F3062" s="355"/>
      <c r="G3062" s="355"/>
      <c r="H3062" s="360" t="s">
        <v>2887</v>
      </c>
      <c r="I3062" s="355"/>
      <c r="J3062" s="355"/>
      <c r="K3062" s="361">
        <f>SUM(K3049:K3061)</f>
        <v>13647.94</v>
      </c>
      <c r="L3062" s="355"/>
      <c r="M3062" s="355"/>
    </row>
    <row r="3063" spans="5:18">
      <c r="E3063" s="355"/>
      <c r="F3063" s="355"/>
      <c r="G3063" s="355"/>
      <c r="H3063" s="362" t="s">
        <v>3096</v>
      </c>
      <c r="I3063" s="355"/>
      <c r="J3063" s="355"/>
      <c r="K3063" s="363">
        <f>K3062/3</f>
        <v>4549.3100000000004</v>
      </c>
      <c r="L3063" s="355">
        <f>3196*3</f>
        <v>9588</v>
      </c>
      <c r="M3063" s="355"/>
    </row>
    <row r="3064" spans="5:18">
      <c r="E3064" s="355"/>
      <c r="F3064" s="355"/>
      <c r="G3064" s="355"/>
      <c r="H3064" s="355"/>
      <c r="I3064" s="355"/>
      <c r="J3064" s="355"/>
      <c r="K3064" s="355"/>
      <c r="L3064" s="355">
        <f>L3063-K3062</f>
        <v>-4059.94</v>
      </c>
      <c r="M3064" s="355"/>
    </row>
    <row r="3065" spans="5:18" ht="22.5" customHeight="1">
      <c r="E3065" s="355"/>
      <c r="F3065" s="355"/>
      <c r="G3065" s="355"/>
      <c r="H3065" s="371" t="s">
        <v>2888</v>
      </c>
      <c r="I3065" s="355"/>
      <c r="J3065" s="355"/>
      <c r="K3065" s="355"/>
      <c r="L3065" s="355"/>
      <c r="M3065" s="355"/>
    </row>
    <row r="3066" spans="5:18">
      <c r="E3066" s="355"/>
      <c r="F3066" s="355"/>
      <c r="G3066" s="355"/>
      <c r="H3066" s="355"/>
      <c r="I3066" s="355"/>
      <c r="J3066" s="355"/>
      <c r="K3066" s="355"/>
      <c r="L3066" s="355"/>
      <c r="M3066" s="355"/>
    </row>
    <row r="3067" spans="5:18" ht="24.75" customHeight="1">
      <c r="E3067" s="355"/>
      <c r="F3067" s="355"/>
      <c r="G3067" s="355"/>
      <c r="H3067" s="363" t="s">
        <v>2889</v>
      </c>
      <c r="I3067" s="355"/>
      <c r="J3067" s="355"/>
      <c r="K3067" s="355"/>
      <c r="L3067" s="355"/>
      <c r="M3067" s="355"/>
      <c r="N3067" s="355"/>
      <c r="O3067" s="363" t="s">
        <v>2893</v>
      </c>
      <c r="P3067" s="355"/>
      <c r="Q3067" s="355"/>
      <c r="R3067" s="355"/>
    </row>
    <row r="3068" spans="5:18" ht="23.25" customHeight="1">
      <c r="E3068" s="355"/>
      <c r="F3068" s="355"/>
      <c r="G3068" s="355"/>
      <c r="H3068" s="363" t="s">
        <v>2306</v>
      </c>
      <c r="I3068" s="355"/>
      <c r="J3068" s="355"/>
      <c r="K3068" s="355"/>
      <c r="L3068" s="355"/>
      <c r="M3068" s="355"/>
      <c r="N3068" s="355"/>
      <c r="O3068" s="363" t="s">
        <v>3547</v>
      </c>
      <c r="P3068" s="355"/>
      <c r="Q3068" s="355"/>
      <c r="R3068" s="355"/>
    </row>
    <row r="3069" spans="5:18">
      <c r="E3069" s="355"/>
      <c r="F3069" s="355"/>
      <c r="G3069" s="355"/>
      <c r="H3069" s="355"/>
      <c r="I3069" s="355"/>
      <c r="J3069" s="355"/>
      <c r="K3069" s="355"/>
      <c r="L3069" s="355"/>
      <c r="M3069" s="355"/>
      <c r="N3069" s="355"/>
      <c r="O3069" s="355"/>
      <c r="P3069" s="355"/>
      <c r="Q3069" s="355"/>
      <c r="R3069" s="355"/>
    </row>
    <row r="3070" spans="5:18" ht="114.75" customHeight="1">
      <c r="E3070" s="355"/>
      <c r="F3070" s="355"/>
      <c r="G3070" s="355"/>
      <c r="H3070" s="354" t="s">
        <v>2307</v>
      </c>
      <c r="I3070" s="355"/>
      <c r="J3070" s="355"/>
      <c r="K3070" s="355"/>
      <c r="L3070" s="355"/>
      <c r="M3070" s="355"/>
      <c r="N3070" s="355"/>
      <c r="O3070" s="354" t="s">
        <v>3121</v>
      </c>
      <c r="P3070" s="355"/>
      <c r="Q3070" s="355"/>
      <c r="R3070" s="355"/>
    </row>
    <row r="3071" spans="5:18" ht="31.5">
      <c r="E3071" s="355"/>
      <c r="F3071" s="355"/>
      <c r="G3071" s="355"/>
      <c r="H3071" s="355"/>
      <c r="I3071" s="355"/>
      <c r="J3071" s="355"/>
      <c r="K3071" s="355"/>
      <c r="L3071" s="355"/>
      <c r="M3071" s="355">
        <v>180</v>
      </c>
      <c r="N3071" s="355" t="s">
        <v>794</v>
      </c>
      <c r="O3071" s="276" t="s">
        <v>3701</v>
      </c>
      <c r="P3071" s="425">
        <v>53.75</v>
      </c>
      <c r="Q3071" s="355" t="s">
        <v>2464</v>
      </c>
      <c r="R3071" s="355">
        <f>M3071*P3071</f>
        <v>9675</v>
      </c>
    </row>
    <row r="3072" spans="5:18" ht="38.25" customHeight="1">
      <c r="E3072" s="355"/>
      <c r="F3072" s="355">
        <v>180</v>
      </c>
      <c r="G3072" s="355" t="s">
        <v>794</v>
      </c>
      <c r="H3072" s="463" t="s">
        <v>2463</v>
      </c>
      <c r="I3072" s="355">
        <f>I3049</f>
        <v>15.5</v>
      </c>
      <c r="J3072" s="355" t="s">
        <v>794</v>
      </c>
      <c r="K3072" s="355">
        <f>F3072*I3072</f>
        <v>2790</v>
      </c>
      <c r="L3072" s="355"/>
      <c r="M3072" s="355">
        <v>90</v>
      </c>
      <c r="N3072" s="355" t="s">
        <v>794</v>
      </c>
      <c r="O3072" s="354" t="s">
        <v>2279</v>
      </c>
      <c r="P3072" s="425">
        <f>I3099</f>
        <v>19.100000000000001</v>
      </c>
      <c r="Q3072" s="355" t="s">
        <v>794</v>
      </c>
      <c r="R3072" s="355">
        <f>M3072*P3072</f>
        <v>1719</v>
      </c>
    </row>
    <row r="3073" spans="5:18" ht="37.5" customHeight="1">
      <c r="E3073" s="355"/>
      <c r="F3073" s="355">
        <v>90</v>
      </c>
      <c r="G3073" s="355" t="s">
        <v>794</v>
      </c>
      <c r="H3073" s="354" t="s">
        <v>2279</v>
      </c>
      <c r="I3073" s="355">
        <f>I3050</f>
        <v>19.100000000000001</v>
      </c>
      <c r="J3073" s="355" t="s">
        <v>794</v>
      </c>
      <c r="K3073" s="355">
        <f>F3073*I3073</f>
        <v>1719</v>
      </c>
      <c r="L3073" s="355"/>
      <c r="M3073" s="355">
        <v>3</v>
      </c>
      <c r="N3073" s="355" t="s">
        <v>2557</v>
      </c>
      <c r="O3073" s="355" t="s">
        <v>364</v>
      </c>
      <c r="P3073" s="425">
        <f>I3100</f>
        <v>298</v>
      </c>
      <c r="Q3073" s="355" t="s">
        <v>2557</v>
      </c>
      <c r="R3073" s="355">
        <f>M3073*P3073</f>
        <v>894</v>
      </c>
    </row>
    <row r="3074" spans="5:18" ht="35.25" customHeight="1">
      <c r="E3074" s="355"/>
      <c r="F3074" s="355">
        <v>3</v>
      </c>
      <c r="G3074" s="355" t="s">
        <v>2557</v>
      </c>
      <c r="H3074" s="355" t="s">
        <v>364</v>
      </c>
      <c r="I3074" s="355">
        <f>I3058</f>
        <v>298</v>
      </c>
      <c r="J3074" s="355" t="s">
        <v>2557</v>
      </c>
      <c r="K3074" s="355">
        <f>F3074*I3074</f>
        <v>894</v>
      </c>
      <c r="L3074" s="355"/>
      <c r="M3074" s="355">
        <v>90</v>
      </c>
      <c r="N3074" s="355" t="s">
        <v>794</v>
      </c>
      <c r="O3074" s="276" t="s">
        <v>3122</v>
      </c>
      <c r="P3074" s="425">
        <f>I3101</f>
        <v>20.3</v>
      </c>
      <c r="Q3074" s="355" t="s">
        <v>2464</v>
      </c>
      <c r="R3074" s="355">
        <f>M3074*P3074</f>
        <v>1827</v>
      </c>
    </row>
    <row r="3075" spans="5:18" ht="39.75" customHeight="1">
      <c r="E3075" s="355"/>
      <c r="F3075" s="355">
        <v>90</v>
      </c>
      <c r="G3075" s="355" t="s">
        <v>794</v>
      </c>
      <c r="H3075" s="463" t="s">
        <v>2563</v>
      </c>
      <c r="I3075" s="355">
        <f>I3072</f>
        <v>15.5</v>
      </c>
      <c r="J3075" s="355" t="s">
        <v>2464</v>
      </c>
      <c r="K3075" s="355">
        <f>F3075*I3075</f>
        <v>1395</v>
      </c>
      <c r="L3075" s="355"/>
      <c r="M3075" s="355"/>
      <c r="N3075" s="355"/>
      <c r="O3075" s="355" t="s">
        <v>878</v>
      </c>
      <c r="P3075" s="355"/>
      <c r="Q3075" s="355"/>
      <c r="R3075" s="355">
        <f>K3102</f>
        <v>10421</v>
      </c>
    </row>
    <row r="3076" spans="5:18" ht="20.25" customHeight="1">
      <c r="E3076" s="355"/>
      <c r="F3076" s="355"/>
      <c r="G3076" s="355"/>
      <c r="H3076" s="355" t="s">
        <v>878</v>
      </c>
      <c r="I3076" s="355"/>
      <c r="J3076" s="355"/>
      <c r="K3076" s="355">
        <f>K3060</f>
        <v>10421</v>
      </c>
      <c r="L3076" s="355"/>
      <c r="M3076" s="355"/>
      <c r="N3076" s="355"/>
      <c r="O3076" s="355" t="s">
        <v>2187</v>
      </c>
      <c r="P3076" s="355"/>
      <c r="Q3076" s="355"/>
      <c r="R3076" s="355">
        <v>24</v>
      </c>
    </row>
    <row r="3077" spans="5:18">
      <c r="E3077" s="355"/>
      <c r="F3077" s="355"/>
      <c r="G3077" s="355"/>
      <c r="H3077" s="355"/>
      <c r="I3077" s="355"/>
      <c r="J3077" s="355"/>
      <c r="K3077" s="355">
        <f>SUM(K3072:K3076)</f>
        <v>17219</v>
      </c>
      <c r="L3077" s="355"/>
      <c r="M3077" s="355"/>
      <c r="N3077" s="355"/>
      <c r="O3077" s="360" t="s">
        <v>2308</v>
      </c>
      <c r="P3077" s="355"/>
      <c r="Q3077" s="355"/>
      <c r="R3077" s="361">
        <f>SUM(R3071:R3076)</f>
        <v>24560</v>
      </c>
    </row>
    <row r="3078" spans="5:18" ht="20.25" customHeight="1">
      <c r="E3078" s="355"/>
      <c r="F3078" s="355"/>
      <c r="G3078" s="355"/>
      <c r="H3078" s="355" t="s">
        <v>2187</v>
      </c>
      <c r="I3078" s="355"/>
      <c r="J3078" s="355"/>
      <c r="K3078" s="355">
        <f>29.99-0.59</f>
        <v>29.4</v>
      </c>
      <c r="L3078" s="355"/>
      <c r="M3078" s="355"/>
      <c r="N3078" s="355"/>
      <c r="O3078" s="362" t="s">
        <v>2309</v>
      </c>
      <c r="P3078" s="355"/>
      <c r="Q3078" s="355"/>
      <c r="R3078" s="363">
        <f>R3077/90</f>
        <v>272.89</v>
      </c>
    </row>
    <row r="3079" spans="5:18">
      <c r="E3079" s="355"/>
      <c r="F3079" s="355"/>
      <c r="G3079" s="355"/>
      <c r="H3079" s="360" t="s">
        <v>2308</v>
      </c>
      <c r="I3079" s="355"/>
      <c r="J3079" s="355"/>
      <c r="K3079" s="361">
        <f>SUM(K3077:K3078)</f>
        <v>17248.400000000001</v>
      </c>
      <c r="L3079" s="355"/>
      <c r="M3079" s="355"/>
      <c r="N3079" s="355"/>
      <c r="O3079" s="355"/>
      <c r="P3079" s="355"/>
      <c r="Q3079" s="355"/>
      <c r="R3079" s="355"/>
    </row>
    <row r="3080" spans="5:18" ht="21.75" customHeight="1">
      <c r="E3080" s="355"/>
      <c r="F3080" s="355"/>
      <c r="G3080" s="355"/>
      <c r="H3080" s="362" t="s">
        <v>2309</v>
      </c>
      <c r="I3080" s="355"/>
      <c r="J3080" s="355"/>
      <c r="K3080" s="363">
        <f>K3079/90</f>
        <v>191.65</v>
      </c>
      <c r="L3080" s="355">
        <f>131*90</f>
        <v>11790</v>
      </c>
      <c r="M3080" s="355"/>
    </row>
    <row r="3081" spans="5:18">
      <c r="E3081" s="355"/>
      <c r="F3081" s="355"/>
      <c r="G3081" s="355"/>
      <c r="H3081" s="355"/>
      <c r="I3081" s="355"/>
      <c r="J3081" s="355"/>
      <c r="K3081" s="355"/>
      <c r="L3081" s="355">
        <f>K3079-L3080</f>
        <v>5458.4</v>
      </c>
      <c r="M3081" s="355"/>
    </row>
    <row r="3082" spans="5:18">
      <c r="E3082" s="355"/>
      <c r="F3082" s="355"/>
      <c r="G3082" s="355"/>
      <c r="H3082" s="363" t="s">
        <v>2310</v>
      </c>
      <c r="I3082" s="355"/>
      <c r="J3082" s="355"/>
      <c r="K3082" s="355"/>
      <c r="L3082" s="355"/>
      <c r="M3082" s="355"/>
    </row>
    <row r="3083" spans="5:18">
      <c r="E3083" s="355"/>
      <c r="F3083" s="355"/>
      <c r="G3083" s="355"/>
      <c r="H3083" s="363" t="s">
        <v>2311</v>
      </c>
      <c r="I3083" s="355"/>
      <c r="J3083" s="355"/>
      <c r="K3083" s="355"/>
      <c r="L3083" s="355"/>
      <c r="M3083" s="355"/>
    </row>
    <row r="3084" spans="5:18">
      <c r="E3084" s="355"/>
      <c r="F3084" s="355"/>
      <c r="G3084" s="355"/>
      <c r="H3084" s="355"/>
      <c r="I3084" s="355"/>
      <c r="J3084" s="355"/>
      <c r="K3084" s="355"/>
      <c r="L3084" s="355"/>
      <c r="M3084" s="355"/>
    </row>
    <row r="3085" spans="5:18" ht="113.25" customHeight="1">
      <c r="E3085" s="355"/>
      <c r="F3085" s="355"/>
      <c r="G3085" s="355"/>
      <c r="H3085" s="354" t="s">
        <v>2942</v>
      </c>
      <c r="I3085" s="355"/>
      <c r="J3085" s="355"/>
      <c r="K3085" s="355"/>
      <c r="L3085" s="355"/>
      <c r="M3085" s="355"/>
    </row>
    <row r="3086" spans="5:18">
      <c r="E3086" s="355"/>
      <c r="F3086" s="355"/>
      <c r="G3086" s="355"/>
      <c r="H3086" s="355"/>
      <c r="I3086" s="355"/>
      <c r="J3086" s="355"/>
      <c r="K3086" s="355"/>
      <c r="L3086" s="355"/>
      <c r="M3086" s="355"/>
    </row>
    <row r="3087" spans="5:18">
      <c r="E3087" s="355"/>
      <c r="F3087" s="355"/>
      <c r="G3087" s="355"/>
      <c r="H3087" s="355" t="s">
        <v>2943</v>
      </c>
      <c r="I3087" s="355"/>
      <c r="J3087" s="355"/>
      <c r="K3087" s="355">
        <f>K3077</f>
        <v>17219</v>
      </c>
      <c r="L3087" s="355"/>
      <c r="M3087" s="355"/>
    </row>
    <row r="3088" spans="5:18" ht="34.5" customHeight="1">
      <c r="E3088" s="355"/>
      <c r="F3088" s="355">
        <v>180</v>
      </c>
      <c r="G3088" s="355" t="s">
        <v>794</v>
      </c>
      <c r="H3088" s="354" t="s">
        <v>4182</v>
      </c>
      <c r="I3088" s="425">
        <v>20.3</v>
      </c>
      <c r="J3088" s="355" t="s">
        <v>794</v>
      </c>
      <c r="K3088" s="355">
        <f>F3088*I3088</f>
        <v>3654</v>
      </c>
      <c r="L3088" s="355"/>
      <c r="M3088" s="355"/>
    </row>
    <row r="3089" spans="5:18" ht="36.75" customHeight="1">
      <c r="E3089" s="355"/>
      <c r="F3089" s="355">
        <v>180</v>
      </c>
      <c r="G3089" s="355" t="s">
        <v>794</v>
      </c>
      <c r="H3089" s="354" t="s">
        <v>2891</v>
      </c>
      <c r="I3089" s="355">
        <f>I3075</f>
        <v>15.5</v>
      </c>
      <c r="J3089" s="355" t="s">
        <v>2464</v>
      </c>
      <c r="K3089" s="355">
        <f>F3089*I3089</f>
        <v>2790</v>
      </c>
      <c r="L3089" s="355"/>
      <c r="M3089" s="355"/>
    </row>
    <row r="3090" spans="5:18" ht="25.5" customHeight="1">
      <c r="E3090" s="355"/>
      <c r="F3090" s="355"/>
      <c r="G3090" s="355"/>
      <c r="H3090" s="355" t="s">
        <v>2187</v>
      </c>
      <c r="I3090" s="355"/>
      <c r="J3090" s="355"/>
      <c r="K3090" s="355">
        <f>47.4+13.1</f>
        <v>60.5</v>
      </c>
      <c r="L3090" s="355"/>
      <c r="M3090" s="355"/>
    </row>
    <row r="3091" spans="5:18">
      <c r="E3091" s="355"/>
      <c r="F3091" s="355"/>
      <c r="G3091" s="355"/>
      <c r="H3091" s="360" t="s">
        <v>2892</v>
      </c>
      <c r="I3091" s="355"/>
      <c r="J3091" s="355"/>
      <c r="K3091" s="361">
        <f>K3087+K3088-K3089+K3090</f>
        <v>18143.5</v>
      </c>
      <c r="L3091" s="355"/>
      <c r="M3091" s="355"/>
    </row>
    <row r="3092" spans="5:18">
      <c r="E3092" s="355"/>
      <c r="F3092" s="355"/>
      <c r="G3092" s="355"/>
      <c r="H3092" s="362" t="s">
        <v>2309</v>
      </c>
      <c r="I3092" s="355"/>
      <c r="J3092" s="355"/>
      <c r="K3092" s="363">
        <f>K3091/90</f>
        <v>201.59</v>
      </c>
      <c r="L3092" s="355">
        <f>152*90</f>
        <v>13680</v>
      </c>
      <c r="M3092" s="355"/>
    </row>
    <row r="3093" spans="5:18">
      <c r="E3093" s="355"/>
      <c r="F3093" s="355"/>
      <c r="G3093" s="355"/>
      <c r="H3093" s="355"/>
      <c r="I3093" s="355"/>
      <c r="J3093" s="355"/>
      <c r="K3093" s="355"/>
      <c r="L3093" s="355">
        <f>L3092-K3091</f>
        <v>-4463.5</v>
      </c>
      <c r="M3093" s="355"/>
    </row>
    <row r="3094" spans="5:18">
      <c r="E3094" s="355"/>
      <c r="F3094" s="355"/>
      <c r="G3094" s="355"/>
      <c r="H3094" s="363" t="s">
        <v>2893</v>
      </c>
      <c r="I3094" s="355"/>
      <c r="J3094" s="355"/>
      <c r="K3094" s="355"/>
      <c r="L3094" s="355"/>
      <c r="M3094" s="355"/>
    </row>
    <row r="3095" spans="5:18">
      <c r="E3095" s="355"/>
      <c r="F3095" s="355"/>
      <c r="G3095" s="355"/>
      <c r="H3095" s="363" t="s">
        <v>2894</v>
      </c>
      <c r="I3095" s="355"/>
      <c r="J3095" s="355"/>
      <c r="K3095" s="355"/>
      <c r="L3095" s="355"/>
      <c r="M3095" s="355"/>
    </row>
    <row r="3096" spans="5:18">
      <c r="E3096" s="355"/>
      <c r="F3096" s="355"/>
      <c r="G3096" s="355"/>
      <c r="H3096" s="355"/>
      <c r="I3096" s="355"/>
      <c r="J3096" s="355"/>
      <c r="K3096" s="355"/>
      <c r="L3096" s="355"/>
      <c r="M3096" s="355"/>
    </row>
    <row r="3097" spans="5:18" ht="111.75" customHeight="1">
      <c r="E3097" s="355"/>
      <c r="F3097" s="355"/>
      <c r="G3097" s="355"/>
      <c r="H3097" s="354" t="s">
        <v>3121</v>
      </c>
      <c r="I3097" s="355"/>
      <c r="J3097" s="355"/>
      <c r="K3097" s="355"/>
      <c r="L3097" s="355"/>
      <c r="M3097" s="355"/>
      <c r="N3097" s="355"/>
      <c r="O3097" s="354"/>
      <c r="P3097" s="355"/>
      <c r="Q3097" s="355"/>
      <c r="R3097" s="355"/>
    </row>
    <row r="3098" spans="5:18" ht="36" customHeight="1">
      <c r="E3098" s="355"/>
      <c r="F3098" s="355">
        <v>180</v>
      </c>
      <c r="G3098" s="355" t="s">
        <v>794</v>
      </c>
      <c r="H3098" s="463" t="s">
        <v>4183</v>
      </c>
      <c r="I3098" s="425">
        <v>32.200000000000003</v>
      </c>
      <c r="J3098" s="355" t="s">
        <v>2464</v>
      </c>
      <c r="K3098" s="355">
        <f>F3098*I3098</f>
        <v>5796</v>
      </c>
      <c r="L3098" s="355"/>
      <c r="M3098" s="355"/>
      <c r="N3098" s="355"/>
      <c r="O3098" s="276"/>
      <c r="P3098" s="355"/>
      <c r="Q3098" s="355"/>
      <c r="R3098" s="355"/>
    </row>
    <row r="3099" spans="5:18" ht="39" customHeight="1">
      <c r="E3099" s="355"/>
      <c r="F3099" s="355">
        <v>90</v>
      </c>
      <c r="G3099" s="355" t="s">
        <v>794</v>
      </c>
      <c r="H3099" s="354" t="s">
        <v>2279</v>
      </c>
      <c r="I3099" s="355">
        <f>I3073</f>
        <v>19.100000000000001</v>
      </c>
      <c r="J3099" s="355" t="s">
        <v>794</v>
      </c>
      <c r="K3099" s="355">
        <f>F3099*I3099</f>
        <v>1719</v>
      </c>
      <c r="L3099" s="355"/>
      <c r="M3099" s="355"/>
      <c r="N3099" s="355"/>
      <c r="O3099" s="354"/>
      <c r="P3099" s="355"/>
      <c r="Q3099" s="355"/>
      <c r="R3099" s="355"/>
    </row>
    <row r="3100" spans="5:18" ht="23.25" customHeight="1">
      <c r="E3100" s="355"/>
      <c r="F3100" s="355">
        <v>3</v>
      </c>
      <c r="G3100" s="355" t="s">
        <v>2557</v>
      </c>
      <c r="H3100" s="355" t="s">
        <v>364</v>
      </c>
      <c r="I3100" s="355">
        <f>I3074</f>
        <v>298</v>
      </c>
      <c r="J3100" s="355" t="s">
        <v>2557</v>
      </c>
      <c r="K3100" s="355">
        <f>F3100*I3100</f>
        <v>894</v>
      </c>
      <c r="L3100" s="355"/>
      <c r="M3100" s="355"/>
      <c r="N3100" s="355"/>
      <c r="O3100" s="355"/>
      <c r="P3100" s="355"/>
      <c r="Q3100" s="355"/>
      <c r="R3100" s="355"/>
    </row>
    <row r="3101" spans="5:18" ht="38.25" customHeight="1">
      <c r="E3101" s="355"/>
      <c r="F3101" s="355">
        <v>90</v>
      </c>
      <c r="G3101" s="355" t="s">
        <v>794</v>
      </c>
      <c r="H3101" s="463" t="s">
        <v>3122</v>
      </c>
      <c r="I3101" s="355">
        <f>I3088</f>
        <v>20.3</v>
      </c>
      <c r="J3101" s="355" t="s">
        <v>2464</v>
      </c>
      <c r="K3101" s="355">
        <f>F3101*I3101</f>
        <v>1827</v>
      </c>
      <c r="L3101" s="355"/>
      <c r="M3101" s="355"/>
      <c r="N3101" s="355"/>
      <c r="O3101" s="276"/>
      <c r="P3101" s="355"/>
      <c r="Q3101" s="355"/>
      <c r="R3101" s="355"/>
    </row>
    <row r="3102" spans="5:18">
      <c r="E3102" s="355"/>
      <c r="F3102" s="355"/>
      <c r="G3102" s="355"/>
      <c r="H3102" s="355" t="s">
        <v>878</v>
      </c>
      <c r="I3102" s="355"/>
      <c r="J3102" s="355"/>
      <c r="K3102" s="355">
        <f>K3076</f>
        <v>10421</v>
      </c>
      <c r="L3102" s="355"/>
      <c r="M3102" s="355"/>
      <c r="N3102" s="355"/>
      <c r="O3102" s="355"/>
      <c r="P3102" s="355"/>
      <c r="Q3102" s="355"/>
      <c r="R3102" s="355"/>
    </row>
    <row r="3103" spans="5:18">
      <c r="E3103" s="355"/>
      <c r="F3103" s="355"/>
      <c r="G3103" s="355"/>
      <c r="H3103" s="355" t="s">
        <v>2187</v>
      </c>
      <c r="I3103" s="355"/>
      <c r="J3103" s="355"/>
      <c r="K3103" s="355">
        <v>60.5</v>
      </c>
      <c r="L3103" s="355"/>
      <c r="M3103" s="355"/>
      <c r="N3103" s="355"/>
      <c r="O3103" s="355"/>
      <c r="P3103" s="355"/>
      <c r="Q3103" s="355"/>
      <c r="R3103" s="355"/>
    </row>
    <row r="3104" spans="5:18">
      <c r="E3104" s="355"/>
      <c r="F3104" s="355"/>
      <c r="G3104" s="355"/>
      <c r="H3104" s="360" t="s">
        <v>2308</v>
      </c>
      <c r="I3104" s="355"/>
      <c r="J3104" s="355"/>
      <c r="K3104" s="361">
        <f>SUM(K3098:K3103)</f>
        <v>20717.5</v>
      </c>
      <c r="L3104" s="355"/>
      <c r="M3104" s="355"/>
      <c r="N3104" s="355"/>
      <c r="O3104" s="360"/>
      <c r="P3104" s="355"/>
      <c r="Q3104" s="355"/>
      <c r="R3104" s="361"/>
    </row>
    <row r="3105" spans="5:19">
      <c r="E3105" s="355"/>
      <c r="F3105" s="355"/>
      <c r="G3105" s="355"/>
      <c r="H3105" s="362" t="s">
        <v>2309</v>
      </c>
      <c r="I3105" s="355"/>
      <c r="J3105" s="355"/>
      <c r="K3105" s="363">
        <f>K3104/90</f>
        <v>230.19</v>
      </c>
      <c r="L3105" s="355">
        <f>189*90</f>
        <v>17010</v>
      </c>
      <c r="M3105" s="355"/>
      <c r="N3105" s="355"/>
      <c r="O3105" s="362"/>
      <c r="P3105" s="355"/>
      <c r="Q3105" s="355"/>
      <c r="R3105" s="363"/>
    </row>
    <row r="3106" spans="5:19">
      <c r="E3106" s="355"/>
      <c r="F3106" s="355"/>
      <c r="G3106" s="355"/>
      <c r="H3106" s="355"/>
      <c r="I3106" s="355"/>
      <c r="J3106" s="355"/>
      <c r="K3106" s="355"/>
      <c r="L3106" s="355">
        <f>L3105-K3104</f>
        <v>-3707.5</v>
      </c>
      <c r="M3106" s="355"/>
    </row>
    <row r="3107" spans="5:19">
      <c r="E3107" s="355"/>
      <c r="F3107" s="355"/>
      <c r="G3107" s="355"/>
      <c r="H3107" s="355"/>
      <c r="I3107" s="355"/>
      <c r="J3107" s="355"/>
      <c r="K3107" s="355"/>
      <c r="L3107" s="355"/>
      <c r="M3107" s="355"/>
    </row>
    <row r="3108" spans="5:19">
      <c r="E3108" s="355"/>
      <c r="F3108" s="355"/>
      <c r="G3108" s="355"/>
      <c r="H3108" s="363" t="s">
        <v>3123</v>
      </c>
      <c r="I3108" s="355"/>
      <c r="J3108" s="355"/>
      <c r="K3108" s="355"/>
      <c r="L3108" s="355"/>
      <c r="M3108" s="355"/>
      <c r="N3108" s="355"/>
      <c r="O3108" s="363" t="s">
        <v>3123</v>
      </c>
      <c r="P3108" s="355"/>
      <c r="Q3108" s="355"/>
      <c r="R3108" s="355"/>
      <c r="S3108" s="355"/>
    </row>
    <row r="3109" spans="5:19">
      <c r="E3109" s="355"/>
      <c r="F3109" s="355"/>
      <c r="G3109" s="355"/>
      <c r="H3109" s="363" t="s">
        <v>2251</v>
      </c>
      <c r="I3109" s="355"/>
      <c r="J3109" s="355"/>
      <c r="K3109" s="355"/>
      <c r="L3109" s="355"/>
      <c r="M3109" s="355"/>
      <c r="N3109" s="355"/>
      <c r="O3109" s="363" t="s">
        <v>3543</v>
      </c>
      <c r="P3109" s="355"/>
      <c r="Q3109" s="355"/>
      <c r="R3109" s="355"/>
      <c r="S3109" s="355"/>
    </row>
    <row r="3110" spans="5:19">
      <c r="E3110" s="355"/>
      <c r="F3110" s="355"/>
      <c r="G3110" s="355"/>
      <c r="H3110" s="355"/>
      <c r="I3110" s="355"/>
      <c r="J3110" s="355"/>
      <c r="K3110" s="355"/>
      <c r="L3110" s="355"/>
      <c r="M3110" s="355"/>
      <c r="N3110" s="355"/>
      <c r="O3110" s="355"/>
      <c r="P3110" s="355"/>
      <c r="Q3110" s="355"/>
      <c r="R3110" s="355"/>
      <c r="S3110" s="355"/>
    </row>
    <row r="3111" spans="5:19" ht="115.5" customHeight="1">
      <c r="E3111" s="355"/>
      <c r="F3111" s="355"/>
      <c r="G3111" s="355"/>
      <c r="H3111" s="354" t="s">
        <v>2260</v>
      </c>
      <c r="I3111" s="355"/>
      <c r="J3111" s="355"/>
      <c r="K3111" s="355"/>
      <c r="L3111" s="355"/>
      <c r="M3111" s="355"/>
      <c r="N3111" s="355"/>
      <c r="O3111" s="1475" t="s">
        <v>3544</v>
      </c>
      <c r="P3111" s="1475"/>
      <c r="Q3111" s="355"/>
      <c r="R3111" s="355"/>
      <c r="S3111" s="355"/>
    </row>
    <row r="3112" spans="5:19" ht="34.5" customHeight="1">
      <c r="E3112" s="355"/>
      <c r="F3112" s="355">
        <v>360</v>
      </c>
      <c r="G3112" s="355"/>
      <c r="H3112" s="463" t="s">
        <v>3792</v>
      </c>
      <c r="I3112" s="425">
        <f>I3098</f>
        <v>32.200000000000003</v>
      </c>
      <c r="J3112" s="355" t="s">
        <v>2464</v>
      </c>
      <c r="K3112" s="355">
        <f>F3112*I3112</f>
        <v>11592</v>
      </c>
      <c r="L3112" s="355"/>
      <c r="M3112" s="355">
        <v>360</v>
      </c>
      <c r="N3112" s="355"/>
      <c r="O3112" s="426" t="s">
        <v>3701</v>
      </c>
      <c r="P3112" s="425">
        <f>P3071</f>
        <v>53.75</v>
      </c>
      <c r="Q3112" s="355" t="s">
        <v>2464</v>
      </c>
      <c r="R3112" s="355">
        <f>M3112*P3112</f>
        <v>19350</v>
      </c>
      <c r="S3112" s="355"/>
    </row>
    <row r="3113" spans="5:19" ht="36" customHeight="1">
      <c r="E3113" s="355"/>
      <c r="F3113" s="355">
        <v>90</v>
      </c>
      <c r="G3113" s="355"/>
      <c r="H3113" s="354" t="s">
        <v>4190</v>
      </c>
      <c r="I3113" s="425">
        <v>24.2</v>
      </c>
      <c r="J3113" s="355" t="s">
        <v>794</v>
      </c>
      <c r="K3113" s="355">
        <f>F3113*I3113</f>
        <v>2178</v>
      </c>
      <c r="L3113" s="355"/>
      <c r="M3113" s="355">
        <v>90</v>
      </c>
      <c r="N3113" s="355"/>
      <c r="O3113" s="354" t="s">
        <v>2261</v>
      </c>
      <c r="P3113" s="425">
        <f>I3113</f>
        <v>24.2</v>
      </c>
      <c r="Q3113" s="355" t="s">
        <v>794</v>
      </c>
      <c r="R3113" s="355">
        <f>M3113*P3113</f>
        <v>2178</v>
      </c>
      <c r="S3113" s="355"/>
    </row>
    <row r="3114" spans="5:19" ht="21" customHeight="1">
      <c r="E3114" s="355"/>
      <c r="F3114" s="355">
        <v>3</v>
      </c>
      <c r="G3114" s="355"/>
      <c r="H3114" s="355" t="s">
        <v>364</v>
      </c>
      <c r="I3114" s="355">
        <f>I3100</f>
        <v>298</v>
      </c>
      <c r="J3114" s="355" t="s">
        <v>2557</v>
      </c>
      <c r="K3114" s="355">
        <f>F3114*I3114</f>
        <v>894</v>
      </c>
      <c r="L3114" s="355"/>
      <c r="M3114" s="355">
        <v>3</v>
      </c>
      <c r="N3114" s="355"/>
      <c r="O3114" s="355" t="s">
        <v>364</v>
      </c>
      <c r="P3114" s="425">
        <f>I3114</f>
        <v>298</v>
      </c>
      <c r="Q3114" s="355" t="s">
        <v>2557</v>
      </c>
      <c r="R3114" s="355">
        <f>M3114*P3114</f>
        <v>894</v>
      </c>
      <c r="S3114" s="355"/>
    </row>
    <row r="3115" spans="5:19" ht="33.75" customHeight="1">
      <c r="E3115" s="355"/>
      <c r="F3115" s="355">
        <v>90</v>
      </c>
      <c r="G3115" s="355"/>
      <c r="H3115" s="463" t="s">
        <v>3122</v>
      </c>
      <c r="I3115" s="355">
        <f>I3101</f>
        <v>20.3</v>
      </c>
      <c r="J3115" s="355" t="s">
        <v>2464</v>
      </c>
      <c r="K3115" s="355">
        <f>F3115*I3115</f>
        <v>1827</v>
      </c>
      <c r="L3115" s="355"/>
      <c r="M3115" s="355">
        <v>90</v>
      </c>
      <c r="N3115" s="355"/>
      <c r="O3115" s="276" t="s">
        <v>3122</v>
      </c>
      <c r="P3115" s="425">
        <f>I3115</f>
        <v>20.3</v>
      </c>
      <c r="Q3115" s="355" t="s">
        <v>2464</v>
      </c>
      <c r="R3115" s="355">
        <f>M3115*P3115</f>
        <v>1827</v>
      </c>
      <c r="S3115" s="355"/>
    </row>
    <row r="3116" spans="5:19">
      <c r="E3116" s="355"/>
      <c r="F3116" s="355"/>
      <c r="G3116" s="355"/>
      <c r="H3116" s="355" t="s">
        <v>878</v>
      </c>
      <c r="I3116" s="355"/>
      <c r="J3116" s="355"/>
      <c r="K3116" s="355">
        <f>I3122</f>
        <v>13715.5</v>
      </c>
      <c r="L3116" s="355"/>
      <c r="M3116" s="355"/>
      <c r="N3116" s="355"/>
      <c r="O3116" s="355" t="s">
        <v>878</v>
      </c>
      <c r="P3116" s="355"/>
      <c r="Q3116" s="355"/>
      <c r="R3116" s="355">
        <f>K3116</f>
        <v>13715.5</v>
      </c>
      <c r="S3116" s="355"/>
    </row>
    <row r="3117" spans="5:19">
      <c r="E3117" s="355"/>
      <c r="F3117" s="355"/>
      <c r="G3117" s="355"/>
      <c r="H3117" s="355" t="s">
        <v>2187</v>
      </c>
      <c r="I3117" s="355"/>
      <c r="J3117" s="355"/>
      <c r="K3117" s="355">
        <v>25.5</v>
      </c>
      <c r="L3117" s="355"/>
      <c r="M3117" s="355"/>
      <c r="N3117" s="355"/>
      <c r="O3117" s="355" t="s">
        <v>2187</v>
      </c>
      <c r="P3117" s="355"/>
      <c r="Q3117" s="355"/>
      <c r="R3117" s="355">
        <v>28.5</v>
      </c>
      <c r="S3117" s="355"/>
    </row>
    <row r="3118" spans="5:19">
      <c r="E3118" s="355"/>
      <c r="F3118" s="355"/>
      <c r="G3118" s="355"/>
      <c r="H3118" s="360" t="s">
        <v>2308</v>
      </c>
      <c r="I3118" s="355"/>
      <c r="J3118" s="355"/>
      <c r="K3118" s="361">
        <f>SUM(K3112:K3117)</f>
        <v>30232</v>
      </c>
      <c r="L3118" s="355"/>
      <c r="M3118" s="355"/>
      <c r="N3118" s="355"/>
      <c r="O3118" s="360" t="s">
        <v>2308</v>
      </c>
      <c r="P3118" s="355"/>
      <c r="Q3118" s="355"/>
      <c r="R3118" s="361">
        <f>SUM(R3112:R3117)</f>
        <v>37993</v>
      </c>
      <c r="S3118" s="355">
        <f>217.3*90</f>
        <v>19557</v>
      </c>
    </row>
    <row r="3119" spans="5:19">
      <c r="E3119" s="355"/>
      <c r="F3119" s="355"/>
      <c r="G3119" s="355"/>
      <c r="H3119" s="362" t="s">
        <v>2309</v>
      </c>
      <c r="I3119" s="355"/>
      <c r="J3119" s="355"/>
      <c r="K3119" s="363">
        <f>K3118/90</f>
        <v>335.91</v>
      </c>
      <c r="L3119" s="355">
        <f>299*90</f>
        <v>26910</v>
      </c>
      <c r="M3119" s="355"/>
      <c r="N3119" s="355"/>
      <c r="O3119" s="362" t="s">
        <v>2309</v>
      </c>
      <c r="P3119" s="355"/>
      <c r="Q3119" s="355"/>
      <c r="R3119" s="363">
        <f>R3118/90</f>
        <v>422.14</v>
      </c>
      <c r="S3119" s="355">
        <f>S3118-R3118</f>
        <v>-18436</v>
      </c>
    </row>
    <row r="3120" spans="5:19">
      <c r="E3120" s="355"/>
      <c r="F3120" s="355"/>
      <c r="G3120" s="355"/>
      <c r="H3120" s="355"/>
      <c r="I3120" s="355"/>
      <c r="J3120" s="355"/>
      <c r="K3120" s="355"/>
      <c r="L3120" s="355">
        <f>L3119-K3118</f>
        <v>-3322</v>
      </c>
      <c r="M3120" s="355"/>
    </row>
    <row r="3121" spans="5:18">
      <c r="E3121" s="355"/>
      <c r="F3121" s="355"/>
      <c r="G3121" s="355"/>
      <c r="H3121" s="363" t="s">
        <v>2262</v>
      </c>
      <c r="I3121" s="355"/>
      <c r="J3121" s="355"/>
      <c r="K3121" s="355"/>
      <c r="L3121" s="355"/>
      <c r="M3121" s="355"/>
    </row>
    <row r="3122" spans="5:18" s="431" customFormat="1">
      <c r="E3122" s="429"/>
      <c r="F3122" s="429"/>
      <c r="G3122" s="429"/>
      <c r="H3122" s="429" t="s">
        <v>3698</v>
      </c>
      <c r="I3122" s="430">
        <f>(1.5*K2873)-((K2871+K2872)/2)</f>
        <v>13715.5</v>
      </c>
      <c r="J3122" s="429"/>
      <c r="K3122" s="429"/>
      <c r="L3122" s="429"/>
      <c r="M3122" s="355"/>
      <c r="N3122" s="355"/>
      <c r="O3122" s="363" t="s">
        <v>3123</v>
      </c>
      <c r="P3122" s="355"/>
      <c r="Q3122" s="355"/>
      <c r="R3122" s="355"/>
    </row>
    <row r="3123" spans="5:18">
      <c r="E3123" s="355"/>
      <c r="F3123" s="355"/>
      <c r="G3123" s="355"/>
      <c r="H3123" s="355">
        <f>1.5*K2873-(K2871+K2872)/2</f>
        <v>13715.5</v>
      </c>
      <c r="I3123" s="355"/>
      <c r="J3123" s="355"/>
      <c r="K3123" s="355"/>
      <c r="L3123" s="355"/>
      <c r="M3123" s="355"/>
      <c r="N3123" s="355"/>
      <c r="O3123" s="363" t="s">
        <v>3545</v>
      </c>
      <c r="P3123" s="355"/>
      <c r="Q3123" s="355"/>
      <c r="R3123" s="355"/>
    </row>
    <row r="3124" spans="5:18">
      <c r="E3124" s="355"/>
      <c r="F3124" s="355"/>
      <c r="G3124" s="355"/>
      <c r="H3124" s="355"/>
      <c r="I3124" s="355"/>
      <c r="J3124" s="355"/>
      <c r="K3124" s="355"/>
      <c r="L3124" s="355"/>
      <c r="M3124" s="355"/>
      <c r="N3124" s="355"/>
      <c r="O3124" s="355"/>
      <c r="P3124" s="355"/>
      <c r="Q3124" s="355"/>
      <c r="R3124" s="355"/>
    </row>
    <row r="3125" spans="5:18" ht="22.5" customHeight="1">
      <c r="E3125" s="355"/>
      <c r="F3125" s="355"/>
      <c r="G3125" s="355"/>
      <c r="H3125" s="371" t="s">
        <v>2263</v>
      </c>
      <c r="I3125" s="355"/>
      <c r="J3125" s="355"/>
      <c r="K3125" s="355"/>
      <c r="L3125" s="355"/>
      <c r="M3125" s="355"/>
      <c r="N3125" s="355"/>
      <c r="O3125" s="354" t="s">
        <v>3546</v>
      </c>
      <c r="P3125" s="355"/>
      <c r="Q3125" s="355"/>
      <c r="R3125" s="355"/>
    </row>
    <row r="3126" spans="5:18" ht="31.5">
      <c r="E3126" s="355"/>
      <c r="F3126" s="355"/>
      <c r="G3126" s="355"/>
      <c r="H3126" s="355"/>
      <c r="I3126" s="355"/>
      <c r="J3126" s="355"/>
      <c r="K3126" s="355"/>
      <c r="L3126" s="355"/>
      <c r="M3126" s="355">
        <v>360</v>
      </c>
      <c r="N3126" s="355"/>
      <c r="O3126" s="426" t="s">
        <v>3702</v>
      </c>
      <c r="P3126" s="425">
        <v>80.650000000000006</v>
      </c>
      <c r="Q3126" s="355" t="s">
        <v>2464</v>
      </c>
      <c r="R3126" s="355">
        <f>M3126*P3126</f>
        <v>29034</v>
      </c>
    </row>
    <row r="3127" spans="5:18" ht="18" customHeight="1">
      <c r="E3127" s="355"/>
      <c r="F3127" s="355"/>
      <c r="G3127" s="355"/>
      <c r="H3127" s="363" t="s">
        <v>2264</v>
      </c>
      <c r="I3127" s="355"/>
      <c r="J3127" s="355"/>
      <c r="K3127" s="355"/>
      <c r="L3127" s="355"/>
      <c r="M3127" s="355">
        <v>90</v>
      </c>
      <c r="N3127" s="355"/>
      <c r="O3127" s="354" t="s">
        <v>2261</v>
      </c>
      <c r="P3127" s="425">
        <f>P3113</f>
        <v>24.2</v>
      </c>
      <c r="Q3127" s="355" t="s">
        <v>794</v>
      </c>
      <c r="R3127" s="355">
        <f>M3127*P3127</f>
        <v>2178</v>
      </c>
    </row>
    <row r="3128" spans="5:18">
      <c r="E3128" s="355"/>
      <c r="F3128" s="355"/>
      <c r="G3128" s="355"/>
      <c r="H3128" s="355"/>
      <c r="I3128" s="355"/>
      <c r="J3128" s="355"/>
      <c r="K3128" s="355"/>
      <c r="L3128" s="355"/>
      <c r="M3128" s="355">
        <v>3</v>
      </c>
      <c r="N3128" s="355"/>
      <c r="O3128" s="355" t="s">
        <v>364</v>
      </c>
      <c r="P3128" s="425">
        <f>P3114</f>
        <v>298</v>
      </c>
      <c r="Q3128" s="355" t="s">
        <v>2557</v>
      </c>
      <c r="R3128" s="355">
        <f>M3128*P3128</f>
        <v>894</v>
      </c>
    </row>
    <row r="3129" spans="5:18" ht="23.25" customHeight="1">
      <c r="E3129" s="355"/>
      <c r="F3129" s="355"/>
      <c r="G3129" s="355"/>
      <c r="H3129" s="363" t="s">
        <v>2265</v>
      </c>
      <c r="I3129" s="355"/>
      <c r="J3129" s="355"/>
      <c r="K3129" s="355"/>
      <c r="L3129" s="355"/>
      <c r="M3129" s="355">
        <v>90</v>
      </c>
      <c r="N3129" s="355"/>
      <c r="O3129" s="276" t="s">
        <v>3122</v>
      </c>
      <c r="P3129" s="425">
        <f>P3115</f>
        <v>20.3</v>
      </c>
      <c r="Q3129" s="355" t="s">
        <v>2464</v>
      </c>
      <c r="R3129" s="355">
        <f>M3129*P3129</f>
        <v>1827</v>
      </c>
    </row>
    <row r="3130" spans="5:18">
      <c r="E3130" s="355"/>
      <c r="F3130" s="355"/>
      <c r="G3130" s="355"/>
      <c r="H3130" s="355"/>
      <c r="I3130" s="355"/>
      <c r="J3130" s="355"/>
      <c r="K3130" s="355"/>
      <c r="L3130" s="355"/>
      <c r="M3130" s="355"/>
      <c r="N3130" s="355"/>
      <c r="O3130" s="355" t="s">
        <v>878</v>
      </c>
      <c r="P3130" s="355"/>
      <c r="Q3130" s="355"/>
      <c r="R3130" s="355">
        <f>R3116</f>
        <v>13715.5</v>
      </c>
    </row>
    <row r="3131" spans="5:18" ht="47.25">
      <c r="E3131" s="355"/>
      <c r="F3131" s="355"/>
      <c r="G3131" s="355"/>
      <c r="H3131" s="354" t="s">
        <v>2266</v>
      </c>
      <c r="I3131" s="355"/>
      <c r="J3131" s="355"/>
      <c r="K3131" s="355"/>
      <c r="L3131" s="355"/>
      <c r="M3131" s="355"/>
      <c r="N3131" s="355"/>
      <c r="O3131" s="355" t="s">
        <v>2187</v>
      </c>
      <c r="P3131" s="355"/>
      <c r="Q3131" s="355"/>
      <c r="R3131" s="355">
        <v>28.5</v>
      </c>
    </row>
    <row r="3132" spans="5:18">
      <c r="E3132" s="355"/>
      <c r="F3132" s="355">
        <v>1</v>
      </c>
      <c r="G3132" s="355" t="s">
        <v>1337</v>
      </c>
      <c r="H3132" s="355" t="s">
        <v>4184</v>
      </c>
      <c r="I3132" s="425">
        <v>263.39999999999998</v>
      </c>
      <c r="J3132" s="355" t="s">
        <v>1337</v>
      </c>
      <c r="K3132" s="355">
        <f>F3132*I3132</f>
        <v>263.39999999999998</v>
      </c>
      <c r="L3132" s="355"/>
      <c r="M3132" s="355"/>
      <c r="N3132" s="355"/>
      <c r="O3132" s="360" t="s">
        <v>2308</v>
      </c>
      <c r="P3132" s="355"/>
      <c r="Q3132" s="355"/>
      <c r="R3132" s="361">
        <f>SUM(R3126:R3131)</f>
        <v>47677</v>
      </c>
    </row>
    <row r="3133" spans="5:18">
      <c r="E3133" s="355"/>
      <c r="F3133" s="355"/>
      <c r="G3133" s="355"/>
      <c r="H3133" s="355" t="s">
        <v>2187</v>
      </c>
      <c r="I3133" s="355"/>
      <c r="J3133" s="355"/>
      <c r="K3133" s="355">
        <v>4.93</v>
      </c>
      <c r="L3133" s="355"/>
      <c r="M3133" s="355"/>
      <c r="N3133" s="355"/>
      <c r="O3133" s="362" t="s">
        <v>2309</v>
      </c>
      <c r="P3133" s="355"/>
      <c r="Q3133" s="355"/>
      <c r="R3133" s="363">
        <f>R3132/90</f>
        <v>529.74</v>
      </c>
    </row>
    <row r="3134" spans="5:18">
      <c r="E3134" s="355"/>
      <c r="F3134" s="355"/>
      <c r="G3134" s="355"/>
      <c r="H3134" s="355" t="s">
        <v>878</v>
      </c>
      <c r="I3134" s="355"/>
      <c r="J3134" s="355"/>
      <c r="K3134" s="355">
        <f>K3142</f>
        <v>205.6</v>
      </c>
      <c r="L3134" s="355"/>
      <c r="M3134" s="355"/>
    </row>
    <row r="3135" spans="5:18">
      <c r="E3135" s="355"/>
      <c r="F3135" s="355"/>
      <c r="G3135" s="355"/>
      <c r="H3135" s="362" t="s">
        <v>2267</v>
      </c>
      <c r="I3135" s="355"/>
      <c r="J3135" s="355"/>
      <c r="K3135" s="363">
        <f>SUM(K3132:K3134)</f>
        <v>473.93</v>
      </c>
      <c r="L3135" s="355">
        <f>K3135-461</f>
        <v>12.93</v>
      </c>
      <c r="M3135" s="355"/>
    </row>
    <row r="3136" spans="5:18">
      <c r="E3136" s="355"/>
      <c r="F3136" s="355"/>
      <c r="G3136" s="355"/>
      <c r="H3136" s="355"/>
      <c r="I3136" s="355"/>
      <c r="J3136" s="355"/>
      <c r="K3136" s="355"/>
      <c r="L3136" s="355"/>
      <c r="M3136" s="355"/>
    </row>
    <row r="3137" spans="5:13">
      <c r="E3137" s="355"/>
      <c r="F3137" s="355"/>
      <c r="G3137" s="355"/>
      <c r="H3137" s="355"/>
      <c r="I3137" s="355"/>
      <c r="J3137" s="355"/>
      <c r="K3137" s="355"/>
      <c r="L3137" s="355"/>
      <c r="M3137" s="355"/>
    </row>
    <row r="3138" spans="5:13">
      <c r="E3138" s="355"/>
      <c r="F3138" s="355"/>
      <c r="G3138" s="355"/>
      <c r="H3138" s="370" t="s">
        <v>2268</v>
      </c>
      <c r="I3138" s="355"/>
      <c r="J3138" s="355"/>
      <c r="K3138" s="355"/>
      <c r="L3138" s="355"/>
      <c r="M3138" s="355"/>
    </row>
    <row r="3139" spans="5:13" ht="19.5" customHeight="1">
      <c r="E3139" s="355"/>
      <c r="F3139" s="355">
        <v>2</v>
      </c>
      <c r="G3139" s="355" t="s">
        <v>1337</v>
      </c>
      <c r="H3139" s="355" t="s">
        <v>2510</v>
      </c>
      <c r="I3139" s="355">
        <f>I2868</f>
        <v>708</v>
      </c>
      <c r="J3139" s="355" t="s">
        <v>1337</v>
      </c>
      <c r="K3139" s="355">
        <f>F3139*I3139</f>
        <v>1416</v>
      </c>
      <c r="L3139" s="355"/>
      <c r="M3139" s="355"/>
    </row>
    <row r="3140" spans="5:13" ht="19.5" customHeight="1">
      <c r="E3140" s="355"/>
      <c r="F3140" s="355">
        <v>3</v>
      </c>
      <c r="G3140" s="355" t="s">
        <v>1337</v>
      </c>
      <c r="H3140" s="355" t="s">
        <v>2511</v>
      </c>
      <c r="I3140" s="355">
        <f>I2869</f>
        <v>556</v>
      </c>
      <c r="J3140" s="355" t="s">
        <v>1337</v>
      </c>
      <c r="K3140" s="355">
        <f>F3140*I3140</f>
        <v>1668</v>
      </c>
      <c r="L3140" s="355"/>
      <c r="M3140" s="355"/>
    </row>
    <row r="3141" spans="5:13" ht="19.5" customHeight="1">
      <c r="E3141" s="355"/>
      <c r="F3141" s="355"/>
      <c r="G3141" s="355"/>
      <c r="H3141" s="360" t="s">
        <v>3378</v>
      </c>
      <c r="I3141" s="355"/>
      <c r="J3141" s="355"/>
      <c r="K3141" s="361">
        <f>SUM(K3139:K3140)</f>
        <v>3084</v>
      </c>
      <c r="L3141" s="355"/>
      <c r="M3141" s="355"/>
    </row>
    <row r="3142" spans="5:13" ht="19.5" customHeight="1">
      <c r="E3142" s="355"/>
      <c r="F3142" s="355"/>
      <c r="G3142" s="355"/>
      <c r="H3142" s="362" t="s">
        <v>2718</v>
      </c>
      <c r="I3142" s="355"/>
      <c r="J3142" s="355"/>
      <c r="K3142" s="363">
        <f>K3141/15</f>
        <v>205.6</v>
      </c>
      <c r="L3142" s="355"/>
      <c r="M3142" s="355"/>
    </row>
    <row r="3143" spans="5:13">
      <c r="E3143" s="355"/>
      <c r="F3143" s="355"/>
      <c r="G3143" s="355"/>
      <c r="H3143" s="355"/>
      <c r="I3143" s="355"/>
      <c r="J3143" s="355"/>
      <c r="K3143" s="355"/>
      <c r="L3143" s="355"/>
      <c r="M3143" s="355"/>
    </row>
    <row r="3144" spans="5:13">
      <c r="E3144" s="355"/>
      <c r="F3144" s="355"/>
      <c r="G3144" s="355"/>
      <c r="H3144" s="363" t="s">
        <v>3379</v>
      </c>
      <c r="I3144" s="355"/>
      <c r="J3144" s="355"/>
      <c r="K3144" s="355"/>
      <c r="L3144" s="355"/>
      <c r="M3144" s="355"/>
    </row>
    <row r="3145" spans="5:13">
      <c r="E3145" s="355"/>
      <c r="F3145" s="355"/>
      <c r="G3145" s="355"/>
      <c r="H3145" s="355"/>
      <c r="I3145" s="355"/>
      <c r="J3145" s="355"/>
      <c r="K3145" s="355"/>
      <c r="L3145" s="355"/>
      <c r="M3145" s="355"/>
    </row>
    <row r="3146" spans="5:13" ht="65.25" customHeight="1">
      <c r="E3146" s="355"/>
      <c r="F3146" s="355"/>
      <c r="G3146" s="355"/>
      <c r="H3146" s="353" t="s">
        <v>3380</v>
      </c>
      <c r="I3146" s="355"/>
      <c r="J3146" s="355"/>
      <c r="K3146" s="355"/>
      <c r="L3146" s="355"/>
      <c r="M3146" s="355"/>
    </row>
    <row r="3147" spans="5:13">
      <c r="E3147" s="355"/>
      <c r="F3147" s="355"/>
      <c r="G3147" s="355"/>
      <c r="H3147" s="355"/>
      <c r="I3147" s="355"/>
      <c r="J3147" s="355"/>
      <c r="K3147" s="355"/>
      <c r="L3147" s="355"/>
      <c r="M3147" s="355"/>
    </row>
    <row r="3148" spans="5:13" ht="78" customHeight="1">
      <c r="E3148" s="355"/>
      <c r="F3148" s="355"/>
      <c r="G3148" s="355"/>
      <c r="H3148" s="354" t="s">
        <v>2687</v>
      </c>
      <c r="I3148" s="355"/>
      <c r="J3148" s="355"/>
      <c r="K3148" s="355"/>
      <c r="L3148" s="355"/>
      <c r="M3148" s="355"/>
    </row>
    <row r="3149" spans="5:13">
      <c r="E3149" s="355"/>
      <c r="F3149" s="355"/>
      <c r="G3149" s="355"/>
      <c r="H3149" s="355"/>
      <c r="I3149" s="355"/>
      <c r="J3149" s="355"/>
      <c r="K3149" s="355"/>
      <c r="L3149" s="355"/>
      <c r="M3149" s="355"/>
    </row>
    <row r="3150" spans="5:13" s="428" customFormat="1">
      <c r="E3150" s="427"/>
      <c r="F3150" s="427">
        <v>1</v>
      </c>
      <c r="G3150" s="427" t="s">
        <v>1337</v>
      </c>
      <c r="H3150" s="432" t="s">
        <v>2688</v>
      </c>
      <c r="I3150" s="433">
        <v>200</v>
      </c>
      <c r="J3150" s="427" t="s">
        <v>1337</v>
      </c>
      <c r="K3150" s="427">
        <f>F3150*I3150</f>
        <v>200</v>
      </c>
      <c r="L3150" s="427"/>
      <c r="M3150" s="427"/>
    </row>
    <row r="3151" spans="5:13" s="428" customFormat="1" ht="31.5">
      <c r="E3151" s="427"/>
      <c r="F3151" s="427">
        <v>1</v>
      </c>
      <c r="G3151" s="427" t="s">
        <v>1337</v>
      </c>
      <c r="H3151" s="432" t="s">
        <v>3465</v>
      </c>
      <c r="I3151" s="434">
        <v>81.349999999999994</v>
      </c>
      <c r="J3151" s="427" t="s">
        <v>1337</v>
      </c>
      <c r="K3151" s="427">
        <f>F3151*I3151</f>
        <v>81.349999999999994</v>
      </c>
      <c r="L3151" s="427"/>
      <c r="M3151" s="427"/>
    </row>
    <row r="3152" spans="5:13" ht="31.5">
      <c r="E3152" s="355"/>
      <c r="F3152" s="355"/>
      <c r="G3152" s="355"/>
      <c r="H3152" s="354" t="s">
        <v>2690</v>
      </c>
      <c r="I3152" s="355"/>
      <c r="J3152" s="355"/>
      <c r="K3152" s="355">
        <v>9.15</v>
      </c>
      <c r="L3152" s="355"/>
      <c r="M3152" s="355"/>
    </row>
    <row r="3153" spans="5:13">
      <c r="E3153" s="355"/>
      <c r="F3153" s="355"/>
      <c r="G3153" s="355"/>
      <c r="H3153" s="355" t="s">
        <v>878</v>
      </c>
      <c r="I3153" s="355"/>
      <c r="J3153" s="355"/>
      <c r="K3153" s="355">
        <f>K3161</f>
        <v>456</v>
      </c>
      <c r="L3153" s="355"/>
      <c r="M3153" s="355"/>
    </row>
    <row r="3154" spans="5:13" ht="19.5" customHeight="1">
      <c r="E3154" s="355"/>
      <c r="F3154" s="355"/>
      <c r="G3154" s="355"/>
      <c r="H3154" s="362" t="s">
        <v>2718</v>
      </c>
      <c r="I3154" s="355"/>
      <c r="J3154" s="355"/>
      <c r="K3154" s="363">
        <f>SUM(K3150:K3153)</f>
        <v>746.5</v>
      </c>
      <c r="L3154" s="355">
        <f>K3154-562</f>
        <v>184.5</v>
      </c>
      <c r="M3154" s="355"/>
    </row>
    <row r="3155" spans="5:13">
      <c r="E3155" s="355"/>
      <c r="F3155" s="355"/>
      <c r="G3155" s="355"/>
      <c r="H3155" s="355"/>
      <c r="I3155" s="355"/>
      <c r="J3155" s="355"/>
      <c r="K3155" s="355"/>
      <c r="L3155" s="355"/>
      <c r="M3155" s="355"/>
    </row>
    <row r="3156" spans="5:13">
      <c r="E3156" s="355"/>
      <c r="F3156" s="355"/>
      <c r="G3156" s="355"/>
      <c r="H3156" s="355"/>
      <c r="I3156" s="355"/>
      <c r="J3156" s="355"/>
      <c r="K3156" s="355"/>
      <c r="L3156" s="355"/>
      <c r="M3156" s="355"/>
    </row>
    <row r="3157" spans="5:13">
      <c r="E3157" s="355"/>
      <c r="F3157" s="355"/>
      <c r="G3157" s="355"/>
      <c r="H3157" s="370" t="s">
        <v>878</v>
      </c>
      <c r="I3157" s="355"/>
      <c r="J3157" s="355"/>
      <c r="K3157" s="355"/>
      <c r="L3157" s="355"/>
      <c r="M3157" s="355"/>
    </row>
    <row r="3158" spans="5:13" ht="18.75" customHeight="1">
      <c r="E3158" s="355"/>
      <c r="F3158" s="355">
        <v>1</v>
      </c>
      <c r="G3158" s="355" t="s">
        <v>1337</v>
      </c>
      <c r="H3158" s="355" t="s">
        <v>2691</v>
      </c>
      <c r="I3158" s="355">
        <f>I2867</f>
        <v>712</v>
      </c>
      <c r="J3158" s="355" t="s">
        <v>1337</v>
      </c>
      <c r="K3158" s="355">
        <f>F3158*I3158</f>
        <v>712</v>
      </c>
      <c r="L3158" s="355"/>
      <c r="M3158" s="355"/>
    </row>
    <row r="3159" spans="5:13" ht="18.75" customHeight="1">
      <c r="E3159" s="355"/>
      <c r="F3159" s="355">
        <v>2</v>
      </c>
      <c r="G3159" s="355" t="s">
        <v>1337</v>
      </c>
      <c r="H3159" s="355" t="s">
        <v>2511</v>
      </c>
      <c r="I3159" s="355">
        <f>I3140</f>
        <v>556</v>
      </c>
      <c r="J3159" s="355" t="s">
        <v>1337</v>
      </c>
      <c r="K3159" s="355">
        <f>F3159*I3159</f>
        <v>1112</v>
      </c>
      <c r="L3159" s="355"/>
      <c r="M3159" s="355"/>
    </row>
    <row r="3160" spans="5:13" ht="15" customHeight="1">
      <c r="E3160" s="355"/>
      <c r="F3160" s="355"/>
      <c r="G3160" s="355"/>
      <c r="H3160" s="360" t="s">
        <v>2692</v>
      </c>
      <c r="I3160" s="355"/>
      <c r="J3160" s="355"/>
      <c r="K3160" s="361">
        <f>SUM(K3158:K3159)</f>
        <v>1824</v>
      </c>
      <c r="L3160" s="355"/>
      <c r="M3160" s="355"/>
    </row>
    <row r="3161" spans="5:13" ht="20.25" customHeight="1">
      <c r="E3161" s="355"/>
      <c r="F3161" s="355"/>
      <c r="G3161" s="355"/>
      <c r="H3161" s="362" t="s">
        <v>2818</v>
      </c>
      <c r="I3161" s="355"/>
      <c r="J3161" s="355"/>
      <c r="K3161" s="363">
        <f>K3160/4</f>
        <v>456</v>
      </c>
      <c r="L3161" s="355"/>
      <c r="M3161" s="355"/>
    </row>
    <row r="3162" spans="5:13">
      <c r="E3162" s="355"/>
      <c r="F3162" s="355"/>
      <c r="G3162" s="355"/>
      <c r="H3162" s="355"/>
      <c r="I3162" s="355"/>
      <c r="J3162" s="355"/>
      <c r="K3162" s="355"/>
      <c r="L3162" s="355"/>
      <c r="M3162" s="355"/>
    </row>
    <row r="3163" spans="5:13">
      <c r="E3163" s="355"/>
      <c r="F3163" s="355"/>
      <c r="G3163" s="355"/>
      <c r="H3163" s="363" t="s">
        <v>2693</v>
      </c>
      <c r="I3163" s="355"/>
      <c r="J3163" s="355"/>
      <c r="K3163" s="355"/>
      <c r="L3163" s="355"/>
      <c r="M3163" s="355"/>
    </row>
    <row r="3164" spans="5:13">
      <c r="E3164" s="355"/>
      <c r="F3164" s="355"/>
      <c r="G3164" s="355"/>
      <c r="H3164" s="355"/>
      <c r="I3164" s="355"/>
      <c r="J3164" s="355"/>
      <c r="K3164" s="355"/>
      <c r="L3164" s="355"/>
      <c r="M3164" s="355"/>
    </row>
    <row r="3165" spans="5:13" ht="47.25">
      <c r="E3165" s="355"/>
      <c r="F3165" s="355"/>
      <c r="G3165" s="355"/>
      <c r="H3165" s="353" t="s">
        <v>2694</v>
      </c>
      <c r="I3165" s="355"/>
      <c r="J3165" s="355"/>
      <c r="K3165" s="355"/>
      <c r="L3165" s="355"/>
      <c r="M3165" s="355"/>
    </row>
    <row r="3166" spans="5:13">
      <c r="E3166" s="355"/>
      <c r="F3166" s="355"/>
      <c r="G3166" s="355"/>
      <c r="H3166" s="355"/>
      <c r="I3166" s="355"/>
      <c r="J3166" s="355"/>
      <c r="K3166" s="355"/>
      <c r="L3166" s="355"/>
      <c r="M3166" s="355"/>
    </row>
    <row r="3167" spans="5:13" ht="63">
      <c r="E3167" s="355"/>
      <c r="F3167" s="355"/>
      <c r="G3167" s="355"/>
      <c r="H3167" s="354" t="s">
        <v>3152</v>
      </c>
      <c r="I3167" s="355"/>
      <c r="J3167" s="355"/>
      <c r="K3167" s="355"/>
      <c r="L3167" s="355"/>
      <c r="M3167" s="355"/>
    </row>
    <row r="3168" spans="5:13">
      <c r="E3168" s="355"/>
      <c r="F3168" s="355"/>
      <c r="G3168" s="355"/>
      <c r="H3168" s="355"/>
      <c r="I3168" s="355"/>
      <c r="J3168" s="355"/>
      <c r="K3168" s="355"/>
      <c r="L3168" s="355"/>
      <c r="M3168" s="355"/>
    </row>
    <row r="3169" spans="5:13" s="428" customFormat="1" ht="39.75" customHeight="1">
      <c r="E3169" s="427"/>
      <c r="F3169" s="427">
        <v>1</v>
      </c>
      <c r="G3169" s="427" t="s">
        <v>1337</v>
      </c>
      <c r="H3169" s="432" t="s">
        <v>3153</v>
      </c>
      <c r="I3169" s="433">
        <v>455</v>
      </c>
      <c r="J3169" s="427" t="s">
        <v>1337</v>
      </c>
      <c r="K3169" s="427">
        <f>F3169*I3169</f>
        <v>455</v>
      </c>
      <c r="L3169" s="427"/>
      <c r="M3169" s="427"/>
    </row>
    <row r="3170" spans="5:13" s="428" customFormat="1" ht="39" customHeight="1">
      <c r="E3170" s="427"/>
      <c r="F3170" s="427">
        <v>1</v>
      </c>
      <c r="G3170" s="427" t="s">
        <v>1337</v>
      </c>
      <c r="H3170" s="432" t="s">
        <v>2689</v>
      </c>
      <c r="I3170" s="427">
        <f>I3151</f>
        <v>81.349999999999994</v>
      </c>
      <c r="J3170" s="427" t="s">
        <v>1337</v>
      </c>
      <c r="K3170" s="427">
        <f>F3170*I3170</f>
        <v>81.349999999999994</v>
      </c>
      <c r="L3170" s="427"/>
      <c r="M3170" s="427"/>
    </row>
    <row r="3171" spans="5:13" ht="42.75" customHeight="1">
      <c r="E3171" s="355"/>
      <c r="F3171" s="355"/>
      <c r="G3171" s="355"/>
      <c r="H3171" s="354" t="s">
        <v>2690</v>
      </c>
      <c r="I3171" s="355"/>
      <c r="J3171" s="355"/>
      <c r="K3171" s="355">
        <v>9.15</v>
      </c>
      <c r="L3171" s="355"/>
      <c r="M3171" s="355"/>
    </row>
    <row r="3172" spans="5:13" ht="20.100000000000001" customHeight="1">
      <c r="E3172" s="355"/>
      <c r="F3172" s="355"/>
      <c r="G3172" s="355"/>
      <c r="H3172" s="355" t="s">
        <v>878</v>
      </c>
      <c r="I3172" s="355"/>
      <c r="J3172" s="355"/>
      <c r="K3172" s="355">
        <f>K3161</f>
        <v>456</v>
      </c>
      <c r="L3172" s="355"/>
      <c r="M3172" s="355"/>
    </row>
    <row r="3173" spans="5:13" ht="30" customHeight="1">
      <c r="E3173" s="355"/>
      <c r="F3173" s="355"/>
      <c r="G3173" s="355"/>
      <c r="H3173" s="362" t="s">
        <v>2718</v>
      </c>
      <c r="I3173" s="355"/>
      <c r="J3173" s="355"/>
      <c r="K3173" s="363">
        <f>SUM(K3169:K3172)</f>
        <v>1001.5</v>
      </c>
      <c r="L3173" s="355">
        <f>806-K3173</f>
        <v>-195.5</v>
      </c>
      <c r="M3173" s="355"/>
    </row>
    <row r="3174" spans="5:13">
      <c r="E3174" s="355"/>
      <c r="F3174" s="355"/>
      <c r="G3174" s="355"/>
      <c r="H3174" s="355"/>
      <c r="I3174" s="355"/>
      <c r="J3174" s="355"/>
      <c r="K3174" s="355"/>
      <c r="L3174" s="355"/>
      <c r="M3174" s="355"/>
    </row>
    <row r="3175" spans="5:13">
      <c r="E3175" s="355"/>
      <c r="F3175" s="355"/>
      <c r="G3175" s="355"/>
      <c r="H3175" s="355"/>
      <c r="I3175" s="355"/>
      <c r="J3175" s="355"/>
      <c r="K3175" s="355"/>
      <c r="L3175" s="355"/>
      <c r="M3175" s="355"/>
    </row>
    <row r="3176" spans="5:13" ht="20.100000000000001" customHeight="1">
      <c r="E3176" s="355"/>
      <c r="F3176" s="355"/>
      <c r="G3176" s="355"/>
      <c r="H3176" s="363" t="s">
        <v>3159</v>
      </c>
      <c r="I3176" s="355"/>
      <c r="J3176" s="355"/>
      <c r="K3176" s="355"/>
      <c r="L3176" s="355"/>
      <c r="M3176" s="355"/>
    </row>
    <row r="3177" spans="5:13">
      <c r="E3177" s="355"/>
      <c r="F3177" s="355"/>
      <c r="G3177" s="355"/>
      <c r="H3177" s="355"/>
      <c r="I3177" s="355"/>
      <c r="J3177" s="355"/>
      <c r="K3177" s="355"/>
      <c r="L3177" s="355"/>
      <c r="M3177" s="355"/>
    </row>
    <row r="3178" spans="5:13" ht="58.5" customHeight="1">
      <c r="E3178" s="355"/>
      <c r="F3178" s="355"/>
      <c r="G3178" s="355"/>
      <c r="H3178" s="354" t="s">
        <v>2321</v>
      </c>
      <c r="I3178" s="355"/>
      <c r="J3178" s="355"/>
      <c r="K3178" s="355"/>
      <c r="L3178" s="355"/>
      <c r="M3178" s="355"/>
    </row>
    <row r="3179" spans="5:13">
      <c r="E3179" s="355"/>
      <c r="F3179" s="355"/>
      <c r="G3179" s="355"/>
      <c r="H3179" s="355"/>
      <c r="I3179" s="355"/>
      <c r="J3179" s="355"/>
      <c r="K3179" s="355"/>
      <c r="L3179" s="355"/>
      <c r="M3179" s="355"/>
    </row>
    <row r="3180" spans="5:13" ht="40.5" customHeight="1">
      <c r="E3180" s="355"/>
      <c r="F3180" s="355">
        <v>1</v>
      </c>
      <c r="G3180" s="355" t="s">
        <v>1337</v>
      </c>
      <c r="H3180" s="354" t="s">
        <v>4185</v>
      </c>
      <c r="I3180" s="356">
        <v>439</v>
      </c>
      <c r="J3180" s="355" t="s">
        <v>1337</v>
      </c>
      <c r="K3180" s="355">
        <f>F3180*I3180</f>
        <v>439</v>
      </c>
      <c r="L3180" s="355"/>
      <c r="M3180" s="355"/>
    </row>
    <row r="3181" spans="5:13" ht="20.100000000000001" customHeight="1">
      <c r="E3181" s="355"/>
      <c r="F3181" s="355">
        <v>1</v>
      </c>
      <c r="G3181" s="355" t="s">
        <v>1337</v>
      </c>
      <c r="H3181" s="355" t="s">
        <v>2322</v>
      </c>
      <c r="I3181" s="355">
        <f>I3170</f>
        <v>81.349999999999994</v>
      </c>
      <c r="J3181" s="355" t="s">
        <v>1337</v>
      </c>
      <c r="K3181" s="355">
        <f>F3181*I3181</f>
        <v>81.349999999999994</v>
      </c>
      <c r="L3181" s="355"/>
      <c r="M3181" s="355"/>
    </row>
    <row r="3182" spans="5:13" ht="20.100000000000001" customHeight="1">
      <c r="E3182" s="355"/>
      <c r="F3182" s="355"/>
      <c r="G3182" s="355"/>
      <c r="H3182" s="355" t="s">
        <v>2187</v>
      </c>
      <c r="I3182" s="355"/>
      <c r="J3182" s="355"/>
      <c r="K3182" s="355">
        <f>8.65+1.07+0.43</f>
        <v>10.15</v>
      </c>
      <c r="L3182" s="355"/>
      <c r="M3182" s="355"/>
    </row>
    <row r="3183" spans="5:13" ht="20.100000000000001" customHeight="1">
      <c r="E3183" s="355"/>
      <c r="F3183" s="355"/>
      <c r="G3183" s="355"/>
      <c r="H3183" s="355" t="s">
        <v>2323</v>
      </c>
      <c r="I3183" s="355"/>
      <c r="J3183" s="355"/>
      <c r="K3183" s="355">
        <f>K3161</f>
        <v>456</v>
      </c>
      <c r="L3183" s="355"/>
      <c r="M3183" s="355"/>
    </row>
    <row r="3184" spans="5:13" ht="30" customHeight="1">
      <c r="E3184" s="355"/>
      <c r="F3184" s="355"/>
      <c r="G3184" s="355"/>
      <c r="H3184" s="362" t="s">
        <v>1024</v>
      </c>
      <c r="I3184" s="355"/>
      <c r="J3184" s="355"/>
      <c r="K3184" s="363">
        <f>SUM(K3180:K3183)</f>
        <v>986.5</v>
      </c>
      <c r="L3184" s="355">
        <f>891-K3184</f>
        <v>-95.5</v>
      </c>
      <c r="M3184" s="355"/>
    </row>
    <row r="3185" spans="5:13">
      <c r="E3185" s="355"/>
      <c r="F3185" s="355"/>
      <c r="G3185" s="355"/>
      <c r="H3185" s="355"/>
      <c r="I3185" s="355"/>
      <c r="J3185" s="355"/>
      <c r="K3185" s="355"/>
      <c r="L3185" s="355"/>
      <c r="M3185" s="355"/>
    </row>
    <row r="3186" spans="5:13" ht="20.100000000000001" customHeight="1">
      <c r="E3186" s="355"/>
      <c r="F3186" s="355"/>
      <c r="G3186" s="355"/>
      <c r="H3186" s="363" t="s">
        <v>2693</v>
      </c>
      <c r="I3186" s="355"/>
      <c r="J3186" s="355"/>
      <c r="K3186" s="355"/>
      <c r="L3186" s="355"/>
      <c r="M3186" s="355"/>
    </row>
    <row r="3187" spans="5:13">
      <c r="E3187" s="355"/>
      <c r="F3187" s="355"/>
      <c r="G3187" s="355"/>
      <c r="H3187" s="355"/>
      <c r="I3187" s="355"/>
      <c r="J3187" s="355"/>
      <c r="K3187" s="355"/>
      <c r="L3187" s="355"/>
      <c r="M3187" s="355"/>
    </row>
    <row r="3188" spans="5:13" ht="52.5" customHeight="1">
      <c r="E3188" s="355"/>
      <c r="F3188" s="355"/>
      <c r="G3188" s="355"/>
      <c r="H3188" s="353" t="s">
        <v>3366</v>
      </c>
      <c r="I3188" s="355"/>
      <c r="J3188" s="355"/>
      <c r="K3188" s="355"/>
      <c r="L3188" s="355"/>
      <c r="M3188" s="355"/>
    </row>
    <row r="3189" spans="5:13">
      <c r="E3189" s="355"/>
      <c r="F3189" s="355"/>
      <c r="G3189" s="355"/>
      <c r="H3189" s="355"/>
      <c r="I3189" s="355"/>
      <c r="J3189" s="355"/>
      <c r="K3189" s="355"/>
      <c r="L3189" s="355"/>
      <c r="M3189" s="355"/>
    </row>
    <row r="3190" spans="5:13" ht="88.5" customHeight="1">
      <c r="E3190" s="355"/>
      <c r="F3190" s="355"/>
      <c r="G3190" s="355"/>
      <c r="H3190" s="354" t="s">
        <v>3367</v>
      </c>
      <c r="I3190" s="355"/>
      <c r="J3190" s="355"/>
      <c r="K3190" s="355"/>
      <c r="L3190" s="355"/>
      <c r="M3190" s="355"/>
    </row>
    <row r="3191" spans="5:13" ht="38.25" customHeight="1">
      <c r="E3191" s="355"/>
      <c r="F3191" s="355">
        <v>1</v>
      </c>
      <c r="G3191" s="355" t="s">
        <v>1337</v>
      </c>
      <c r="H3191" s="354" t="s">
        <v>3368</v>
      </c>
      <c r="I3191" s="529">
        <v>480</v>
      </c>
      <c r="J3191" s="355" t="s">
        <v>1337</v>
      </c>
      <c r="K3191" s="355">
        <f>F3191*I3191</f>
        <v>480</v>
      </c>
      <c r="L3191" s="355"/>
      <c r="M3191" s="355"/>
    </row>
    <row r="3192" spans="5:13" ht="40.5" customHeight="1">
      <c r="E3192" s="355"/>
      <c r="F3192" s="355">
        <v>1</v>
      </c>
      <c r="G3192" s="355" t="s">
        <v>1337</v>
      </c>
      <c r="H3192" s="354" t="s">
        <v>2521</v>
      </c>
      <c r="I3192" s="355">
        <v>130</v>
      </c>
      <c r="J3192" s="355" t="s">
        <v>1337</v>
      </c>
      <c r="K3192" s="355">
        <f>F3192*I3192</f>
        <v>130</v>
      </c>
      <c r="L3192" s="355"/>
      <c r="M3192" s="355"/>
    </row>
    <row r="3193" spans="5:13" ht="38.25" customHeight="1">
      <c r="E3193" s="355"/>
      <c r="F3193" s="355"/>
      <c r="G3193" s="355"/>
      <c r="H3193" s="354" t="s">
        <v>2522</v>
      </c>
      <c r="I3193" s="355"/>
      <c r="J3193" s="355"/>
      <c r="K3193" s="355">
        <v>12.67</v>
      </c>
      <c r="L3193" s="355"/>
      <c r="M3193" s="355"/>
    </row>
    <row r="3194" spans="5:13" ht="23.25" customHeight="1">
      <c r="E3194" s="355"/>
      <c r="F3194" s="355"/>
      <c r="G3194" s="355"/>
      <c r="H3194" s="355" t="s">
        <v>878</v>
      </c>
      <c r="I3194" s="355"/>
      <c r="J3194" s="355"/>
      <c r="K3194" s="355">
        <f>K3201</f>
        <v>608</v>
      </c>
      <c r="L3194" s="355"/>
      <c r="M3194" s="355"/>
    </row>
    <row r="3195" spans="5:13" ht="30" customHeight="1">
      <c r="E3195" s="355"/>
      <c r="F3195" s="355"/>
      <c r="G3195" s="355"/>
      <c r="H3195" s="362" t="s">
        <v>1024</v>
      </c>
      <c r="I3195" s="355"/>
      <c r="J3195" s="355"/>
      <c r="K3195" s="363">
        <f>SUM(K3191:K3194)</f>
        <v>1230.67</v>
      </c>
      <c r="L3195" s="355">
        <f>968-K3195</f>
        <v>-262.67</v>
      </c>
      <c r="M3195" s="355"/>
    </row>
    <row r="3196" spans="5:13">
      <c r="E3196" s="355"/>
      <c r="F3196" s="355"/>
      <c r="G3196" s="355"/>
      <c r="H3196" s="355"/>
      <c r="I3196" s="355"/>
      <c r="J3196" s="355"/>
      <c r="K3196" s="355"/>
      <c r="L3196" s="355"/>
      <c r="M3196" s="355"/>
    </row>
    <row r="3197" spans="5:13" ht="20.100000000000001" customHeight="1">
      <c r="E3197" s="355"/>
      <c r="F3197" s="355"/>
      <c r="G3197" s="355"/>
      <c r="H3197" s="361" t="s">
        <v>878</v>
      </c>
      <c r="I3197" s="355"/>
      <c r="J3197" s="355"/>
      <c r="K3197" s="355"/>
      <c r="L3197" s="355"/>
      <c r="M3197" s="355"/>
    </row>
    <row r="3198" spans="5:13">
      <c r="E3198" s="355"/>
      <c r="F3198" s="355">
        <v>1</v>
      </c>
      <c r="G3198" s="355" t="s">
        <v>1337</v>
      </c>
      <c r="H3198" s="355" t="s">
        <v>2523</v>
      </c>
      <c r="I3198" s="355">
        <f>I3158</f>
        <v>712</v>
      </c>
      <c r="J3198" s="355" t="s">
        <v>1337</v>
      </c>
      <c r="K3198" s="355">
        <f>F3198*I3198</f>
        <v>712</v>
      </c>
      <c r="L3198" s="355"/>
      <c r="M3198" s="355"/>
    </row>
    <row r="3199" spans="5:13">
      <c r="E3199" s="355"/>
      <c r="F3199" s="355">
        <v>2</v>
      </c>
      <c r="G3199" s="355" t="s">
        <v>1337</v>
      </c>
      <c r="H3199" s="355" t="s">
        <v>3013</v>
      </c>
      <c r="I3199" s="355">
        <f>I3159</f>
        <v>556</v>
      </c>
      <c r="J3199" s="355" t="s">
        <v>1337</v>
      </c>
      <c r="K3199" s="355">
        <f>F3199*I3199</f>
        <v>1112</v>
      </c>
      <c r="L3199" s="355"/>
      <c r="M3199" s="355"/>
    </row>
    <row r="3200" spans="5:13" ht="20.100000000000001" customHeight="1">
      <c r="E3200" s="355"/>
      <c r="F3200" s="355"/>
      <c r="G3200" s="355"/>
      <c r="H3200" s="360" t="s">
        <v>3015</v>
      </c>
      <c r="I3200" s="355"/>
      <c r="J3200" s="355"/>
      <c r="K3200" s="355">
        <f>SUM(K3198:K3199)</f>
        <v>1824</v>
      </c>
      <c r="L3200" s="355"/>
      <c r="M3200" s="355"/>
    </row>
    <row r="3201" spans="5:13" ht="20.100000000000001" customHeight="1">
      <c r="E3201" s="355"/>
      <c r="F3201" s="355"/>
      <c r="G3201" s="355"/>
      <c r="H3201" s="362" t="s">
        <v>2718</v>
      </c>
      <c r="I3201" s="355"/>
      <c r="J3201" s="355"/>
      <c r="K3201" s="363">
        <f>K3200/3</f>
        <v>608</v>
      </c>
      <c r="L3201" s="355"/>
      <c r="M3201" s="355"/>
    </row>
    <row r="3202" spans="5:13">
      <c r="E3202" s="355"/>
      <c r="F3202" s="355"/>
      <c r="G3202" s="355"/>
      <c r="H3202" s="355"/>
      <c r="I3202" s="355"/>
      <c r="J3202" s="355"/>
      <c r="K3202" s="355"/>
      <c r="L3202" s="355"/>
      <c r="M3202" s="355"/>
    </row>
    <row r="3203" spans="5:13" ht="30" customHeight="1">
      <c r="E3203" s="355"/>
      <c r="F3203" s="355"/>
      <c r="G3203" s="355"/>
      <c r="H3203" s="363" t="s">
        <v>2524</v>
      </c>
      <c r="I3203" s="355"/>
      <c r="J3203" s="355"/>
      <c r="K3203" s="355"/>
      <c r="L3203" s="355"/>
      <c r="M3203" s="355"/>
    </row>
    <row r="3204" spans="5:13">
      <c r="E3204" s="355"/>
      <c r="F3204" s="355"/>
      <c r="G3204" s="355"/>
      <c r="H3204" s="355"/>
      <c r="I3204" s="355"/>
      <c r="J3204" s="355"/>
      <c r="K3204" s="355"/>
      <c r="L3204" s="355"/>
      <c r="M3204" s="355"/>
    </row>
    <row r="3205" spans="5:13" ht="91.5" customHeight="1">
      <c r="E3205" s="355"/>
      <c r="F3205" s="355"/>
      <c r="G3205" s="355"/>
      <c r="H3205" s="353" t="s">
        <v>2772</v>
      </c>
      <c r="I3205" s="355"/>
      <c r="J3205" s="355"/>
      <c r="K3205" s="355"/>
      <c r="L3205" s="355"/>
      <c r="M3205" s="355"/>
    </row>
    <row r="3206" spans="5:13" ht="30" customHeight="1">
      <c r="E3206" s="355"/>
      <c r="F3206" s="355">
        <v>1</v>
      </c>
      <c r="G3206" s="355" t="s">
        <v>1337</v>
      </c>
      <c r="H3206" s="355" t="s">
        <v>2538</v>
      </c>
      <c r="I3206" s="529">
        <v>800</v>
      </c>
      <c r="J3206" s="355" t="s">
        <v>1337</v>
      </c>
      <c r="K3206" s="355">
        <f>F3206*I3206</f>
        <v>800</v>
      </c>
      <c r="L3206" s="355"/>
      <c r="M3206" s="355"/>
    </row>
    <row r="3207" spans="5:13" ht="43.5" customHeight="1">
      <c r="E3207" s="355"/>
      <c r="F3207" s="355">
        <v>1</v>
      </c>
      <c r="G3207" s="355" t="s">
        <v>1337</v>
      </c>
      <c r="H3207" s="354" t="s">
        <v>2521</v>
      </c>
      <c r="I3207" s="355">
        <f>I3192</f>
        <v>130</v>
      </c>
      <c r="J3207" s="355" t="s">
        <v>1337</v>
      </c>
      <c r="K3207" s="355">
        <f>F3207*I3207</f>
        <v>130</v>
      </c>
      <c r="L3207" s="355"/>
      <c r="M3207" s="355"/>
    </row>
    <row r="3208" spans="5:13" ht="41.25" customHeight="1">
      <c r="E3208" s="355"/>
      <c r="F3208" s="355"/>
      <c r="G3208" s="355"/>
      <c r="H3208" s="354" t="s">
        <v>2522</v>
      </c>
      <c r="I3208" s="355"/>
      <c r="J3208" s="355"/>
      <c r="K3208" s="355">
        <v>10.67</v>
      </c>
      <c r="L3208" s="355"/>
      <c r="M3208" s="355"/>
    </row>
    <row r="3209" spans="5:13" ht="30" customHeight="1">
      <c r="E3209" s="355"/>
      <c r="F3209" s="355"/>
      <c r="G3209" s="355"/>
      <c r="H3209" s="355" t="s">
        <v>878</v>
      </c>
      <c r="I3209" s="355"/>
      <c r="J3209" s="355"/>
      <c r="K3209" s="355">
        <f>K3201</f>
        <v>608</v>
      </c>
      <c r="L3209" s="355"/>
      <c r="M3209" s="355"/>
    </row>
    <row r="3210" spans="5:13" ht="30" customHeight="1">
      <c r="E3210" s="355"/>
      <c r="F3210" s="355"/>
      <c r="G3210" s="355"/>
      <c r="H3210" s="362" t="s">
        <v>1024</v>
      </c>
      <c r="I3210" s="355"/>
      <c r="J3210" s="355"/>
      <c r="K3210" s="363">
        <f>SUM(K3206:K3209)</f>
        <v>1548.67</v>
      </c>
      <c r="L3210" s="355">
        <f>1287-K3210</f>
        <v>-261.67</v>
      </c>
      <c r="M3210" s="355"/>
    </row>
    <row r="3211" spans="5:13">
      <c r="E3211" s="355"/>
      <c r="F3211" s="355"/>
      <c r="G3211" s="355"/>
      <c r="H3211" s="355"/>
      <c r="I3211" s="355"/>
      <c r="J3211" s="355"/>
      <c r="K3211" s="355"/>
      <c r="L3211" s="355"/>
      <c r="M3211" s="355"/>
    </row>
    <row r="3212" spans="5:13" ht="30" customHeight="1">
      <c r="E3212" s="355"/>
      <c r="F3212" s="355"/>
      <c r="G3212" s="355"/>
      <c r="H3212" s="363" t="s">
        <v>2539</v>
      </c>
      <c r="I3212" s="355"/>
      <c r="J3212" s="355"/>
      <c r="K3212" s="355"/>
      <c r="L3212" s="355"/>
      <c r="M3212" s="355"/>
    </row>
    <row r="3213" spans="5:13">
      <c r="E3213" s="355"/>
      <c r="F3213" s="355"/>
      <c r="G3213" s="355"/>
      <c r="H3213" s="355"/>
      <c r="I3213" s="355"/>
      <c r="J3213" s="355"/>
      <c r="K3213" s="355"/>
      <c r="L3213" s="355"/>
      <c r="M3213" s="355"/>
    </row>
    <row r="3214" spans="5:13" ht="74.25" customHeight="1">
      <c r="E3214" s="355"/>
      <c r="F3214" s="355"/>
      <c r="G3214" s="355"/>
      <c r="H3214" s="353" t="s">
        <v>3072</v>
      </c>
      <c r="I3214" s="355"/>
      <c r="J3214" s="355"/>
      <c r="K3214" s="355"/>
      <c r="L3214" s="355"/>
      <c r="M3214" s="355"/>
    </row>
    <row r="3215" spans="5:13" ht="95.25" customHeight="1">
      <c r="E3215" s="355"/>
      <c r="F3215" s="355"/>
      <c r="G3215" s="355"/>
      <c r="H3215" s="354" t="s">
        <v>3337</v>
      </c>
      <c r="I3215" s="355"/>
      <c r="J3215" s="355"/>
      <c r="K3215" s="355"/>
      <c r="L3215" s="355"/>
      <c r="M3215" s="355"/>
    </row>
    <row r="3216" spans="5:13">
      <c r="E3216" s="355"/>
      <c r="F3216" s="355"/>
      <c r="G3216" s="355"/>
      <c r="H3216" s="355"/>
      <c r="I3216" s="355"/>
      <c r="J3216" s="355"/>
      <c r="K3216" s="355"/>
      <c r="L3216" s="355"/>
      <c r="M3216" s="355"/>
    </row>
    <row r="3217" spans="5:14" ht="45" customHeight="1">
      <c r="E3217" s="355"/>
      <c r="F3217" s="355">
        <v>1</v>
      </c>
      <c r="G3217" s="355" t="s">
        <v>1337</v>
      </c>
      <c r="H3217" s="354" t="s">
        <v>4186</v>
      </c>
      <c r="I3217" s="356">
        <v>2190</v>
      </c>
      <c r="J3217" s="355" t="s">
        <v>1337</v>
      </c>
      <c r="K3217" s="355">
        <f>F3217*I3217</f>
        <v>2190</v>
      </c>
      <c r="L3217" s="355"/>
      <c r="M3217" s="355"/>
    </row>
    <row r="3218" spans="5:14" ht="30" customHeight="1">
      <c r="E3218" s="355"/>
      <c r="F3218" s="355">
        <v>1</v>
      </c>
      <c r="G3218" s="355" t="s">
        <v>1337</v>
      </c>
      <c r="H3218" s="355" t="s">
        <v>3338</v>
      </c>
      <c r="I3218" s="356">
        <f>K3222</f>
        <v>433.59</v>
      </c>
      <c r="J3218" s="355" t="s">
        <v>1337</v>
      </c>
      <c r="K3218" s="355">
        <f>F3218*I3218</f>
        <v>433.59</v>
      </c>
      <c r="L3218" s="355"/>
      <c r="M3218" s="355"/>
    </row>
    <row r="3219" spans="5:14" ht="44.25" customHeight="1">
      <c r="E3219" s="355"/>
      <c r="F3219" s="355"/>
      <c r="G3219" s="355"/>
      <c r="H3219" s="354" t="s">
        <v>3339</v>
      </c>
      <c r="I3219" s="355"/>
      <c r="J3219" s="355"/>
      <c r="K3219" s="355">
        <f>26.9+0.18</f>
        <v>27.08</v>
      </c>
      <c r="L3219" s="355"/>
      <c r="M3219" s="355"/>
    </row>
    <row r="3220" spans="5:14" ht="30" customHeight="1">
      <c r="E3220" s="355"/>
      <c r="F3220" s="355"/>
      <c r="G3220" s="355"/>
      <c r="H3220" s="355" t="s">
        <v>878</v>
      </c>
      <c r="I3220" s="355"/>
      <c r="J3220" s="355"/>
      <c r="K3220" s="355">
        <f>K3201</f>
        <v>608</v>
      </c>
      <c r="L3220" s="355"/>
      <c r="M3220" s="355"/>
    </row>
    <row r="3221" spans="5:14" ht="30" customHeight="1">
      <c r="E3221" s="355"/>
      <c r="F3221" s="355"/>
      <c r="G3221" s="355"/>
      <c r="H3221" s="362" t="s">
        <v>1024</v>
      </c>
      <c r="I3221" s="355"/>
      <c r="J3221" s="355"/>
      <c r="K3221" s="363">
        <f>SUM(K3217:K3220)</f>
        <v>3258.67</v>
      </c>
      <c r="L3221" s="355">
        <f>K3221-3050</f>
        <v>208.67</v>
      </c>
      <c r="M3221" s="355"/>
    </row>
    <row r="3222" spans="5:14" ht="30" customHeight="1">
      <c r="E3222" s="355"/>
      <c r="F3222" s="355"/>
      <c r="G3222" s="355"/>
      <c r="H3222" s="355" t="s">
        <v>3759</v>
      </c>
      <c r="I3222" s="356">
        <f>N3222</f>
        <v>107060</v>
      </c>
      <c r="J3222" s="372">
        <f>0.75*0.45*0.012</f>
        <v>4.0499999999999998E-3</v>
      </c>
      <c r="K3222" s="355">
        <f>J3222*I3222</f>
        <v>433.59</v>
      </c>
      <c r="L3222" s="355"/>
      <c r="M3222" s="355">
        <f>6180+82300</f>
        <v>88480</v>
      </c>
      <c r="N3222" s="182">
        <f>7460+99600</f>
        <v>107060</v>
      </c>
    </row>
    <row r="3223" spans="5:14" ht="30" customHeight="1">
      <c r="E3223" s="355"/>
      <c r="F3223" s="355"/>
      <c r="G3223" s="355"/>
      <c r="H3223" s="363" t="s">
        <v>3340</v>
      </c>
      <c r="I3223" s="355"/>
      <c r="J3223" s="355"/>
      <c r="K3223" s="355"/>
      <c r="L3223" s="355"/>
      <c r="M3223" s="355"/>
    </row>
    <row r="3224" spans="5:14">
      <c r="E3224" s="355"/>
      <c r="F3224" s="355"/>
      <c r="G3224" s="355"/>
      <c r="H3224" s="355"/>
      <c r="I3224" s="355"/>
      <c r="J3224" s="355"/>
      <c r="K3224" s="355"/>
      <c r="L3224" s="355"/>
      <c r="M3224" s="355"/>
    </row>
    <row r="3225" spans="5:14" ht="92.25" customHeight="1">
      <c r="E3225" s="355"/>
      <c r="F3225" s="355"/>
      <c r="G3225" s="355"/>
      <c r="H3225" s="353" t="s">
        <v>2507</v>
      </c>
      <c r="I3225" s="355"/>
      <c r="J3225" s="355"/>
      <c r="K3225" s="355"/>
      <c r="L3225" s="355"/>
      <c r="M3225" s="355"/>
    </row>
    <row r="3226" spans="5:14">
      <c r="E3226" s="355"/>
      <c r="F3226" s="355"/>
      <c r="G3226" s="355"/>
      <c r="H3226" s="355"/>
      <c r="I3226" s="355"/>
      <c r="J3226" s="355"/>
      <c r="K3226" s="355"/>
      <c r="L3226" s="355"/>
      <c r="M3226" s="355"/>
    </row>
    <row r="3227" spans="5:14" ht="30" customHeight="1">
      <c r="E3227" s="355"/>
      <c r="F3227" s="355"/>
      <c r="G3227" s="355"/>
      <c r="H3227" s="355" t="s">
        <v>2508</v>
      </c>
      <c r="I3227" s="355"/>
      <c r="J3227" s="355"/>
      <c r="K3227" s="355"/>
      <c r="L3227" s="355"/>
      <c r="M3227" s="355"/>
    </row>
    <row r="3228" spans="5:14">
      <c r="E3228" s="355"/>
      <c r="F3228" s="355"/>
      <c r="G3228" s="355"/>
      <c r="H3228" s="355"/>
      <c r="I3228" s="355"/>
      <c r="J3228" s="355"/>
      <c r="K3228" s="355"/>
      <c r="L3228" s="355"/>
      <c r="M3228" s="355"/>
    </row>
    <row r="3229" spans="5:14" ht="30" customHeight="1">
      <c r="E3229" s="355"/>
      <c r="F3229" s="355"/>
      <c r="G3229" s="355"/>
      <c r="H3229" s="355" t="s">
        <v>2896</v>
      </c>
      <c r="I3229" s="355"/>
      <c r="J3229" s="355"/>
      <c r="K3229" s="355">
        <f>K3221</f>
        <v>3258.67</v>
      </c>
      <c r="L3229" s="355"/>
      <c r="M3229" s="355"/>
    </row>
    <row r="3230" spans="5:14" ht="30" customHeight="1">
      <c r="E3230" s="355"/>
      <c r="F3230" s="355">
        <v>1</v>
      </c>
      <c r="G3230" s="355" t="s">
        <v>1337</v>
      </c>
      <c r="H3230" s="355" t="s">
        <v>4187</v>
      </c>
      <c r="I3230" s="356">
        <v>2925</v>
      </c>
      <c r="J3230" s="355" t="s">
        <v>1337</v>
      </c>
      <c r="K3230" s="355">
        <f>F3230*I3230</f>
        <v>2925</v>
      </c>
      <c r="L3230" s="355"/>
      <c r="M3230" s="355"/>
    </row>
    <row r="3231" spans="5:14" ht="30" customHeight="1">
      <c r="E3231" s="355"/>
      <c r="F3231" s="355">
        <v>1</v>
      </c>
      <c r="G3231" s="355" t="s">
        <v>1337</v>
      </c>
      <c r="H3231" s="355" t="s">
        <v>4188</v>
      </c>
      <c r="I3231" s="425">
        <f>I3217</f>
        <v>2190</v>
      </c>
      <c r="J3231" s="355" t="s">
        <v>1337</v>
      </c>
      <c r="K3231" s="355">
        <f>F3231*I3231</f>
        <v>2190</v>
      </c>
      <c r="L3231" s="355"/>
      <c r="M3231" s="355"/>
    </row>
    <row r="3232" spans="5:14" ht="30" customHeight="1">
      <c r="E3232" s="355"/>
      <c r="F3232" s="355"/>
      <c r="G3232" s="355"/>
      <c r="H3232" s="355" t="s">
        <v>2187</v>
      </c>
      <c r="I3232" s="355"/>
      <c r="J3232" s="355"/>
      <c r="K3232" s="355">
        <f>1.31+0.69</f>
        <v>2</v>
      </c>
      <c r="L3232" s="355"/>
      <c r="M3232" s="355"/>
    </row>
    <row r="3233" spans="5:13" ht="30" customHeight="1">
      <c r="E3233" s="355"/>
      <c r="F3233" s="355"/>
      <c r="G3233" s="355"/>
      <c r="H3233" s="362" t="s">
        <v>1024</v>
      </c>
      <c r="I3233" s="355"/>
      <c r="J3233" s="355"/>
      <c r="K3233" s="363">
        <f>K3229+K3230-K3231+K3232</f>
        <v>3995.67</v>
      </c>
      <c r="L3233" s="355"/>
      <c r="M3233" s="355"/>
    </row>
    <row r="3234" spans="5:13" ht="39.75" customHeight="1">
      <c r="E3234" s="355"/>
      <c r="F3234" s="355"/>
      <c r="G3234" s="355"/>
      <c r="H3234" s="355"/>
      <c r="I3234" s="355"/>
      <c r="J3234" s="355"/>
      <c r="K3234" s="355"/>
      <c r="L3234" s="355"/>
      <c r="M3234" s="355"/>
    </row>
    <row r="3235" spans="5:13" ht="24.95" customHeight="1">
      <c r="E3235" s="355"/>
      <c r="F3235" s="355"/>
      <c r="G3235" s="355"/>
      <c r="H3235" s="363" t="s">
        <v>2524</v>
      </c>
      <c r="I3235" s="355"/>
      <c r="J3235" s="355"/>
      <c r="K3235" s="355"/>
      <c r="L3235" s="355"/>
      <c r="M3235" s="355"/>
    </row>
    <row r="3236" spans="5:13">
      <c r="E3236" s="355"/>
      <c r="F3236" s="355"/>
      <c r="G3236" s="355"/>
      <c r="H3236" s="355"/>
      <c r="I3236" s="355"/>
      <c r="J3236" s="355"/>
      <c r="K3236" s="355"/>
      <c r="L3236" s="355"/>
      <c r="M3236" s="355"/>
    </row>
    <row r="3237" spans="5:13" ht="39" customHeight="1">
      <c r="E3237" s="355"/>
      <c r="F3237" s="355"/>
      <c r="G3237" s="355"/>
      <c r="H3237" s="353" t="s">
        <v>3286</v>
      </c>
      <c r="I3237" s="355"/>
      <c r="J3237" s="355"/>
      <c r="K3237" s="355"/>
      <c r="L3237" s="355"/>
      <c r="M3237" s="355"/>
    </row>
    <row r="3238" spans="5:13">
      <c r="E3238" s="355"/>
      <c r="F3238" s="355"/>
      <c r="G3238" s="355"/>
      <c r="H3238" s="355"/>
      <c r="I3238" s="355"/>
      <c r="J3238" s="355"/>
      <c r="K3238" s="355"/>
      <c r="L3238" s="355"/>
      <c r="M3238" s="355"/>
    </row>
    <row r="3239" spans="5:13" ht="95.25" customHeight="1">
      <c r="E3239" s="355"/>
      <c r="F3239" s="355"/>
      <c r="G3239" s="355"/>
      <c r="H3239" s="354" t="s">
        <v>2238</v>
      </c>
      <c r="I3239" s="355"/>
      <c r="J3239" s="355"/>
      <c r="K3239" s="355"/>
      <c r="L3239" s="355"/>
      <c r="M3239" s="355"/>
    </row>
    <row r="3240" spans="5:13" ht="24.95" customHeight="1">
      <c r="E3240" s="355"/>
      <c r="F3240" s="355">
        <v>2</v>
      </c>
      <c r="G3240" s="355" t="s">
        <v>1337</v>
      </c>
      <c r="H3240" s="355" t="s">
        <v>4189</v>
      </c>
      <c r="I3240" s="356">
        <v>527</v>
      </c>
      <c r="J3240" s="355" t="s">
        <v>2811</v>
      </c>
      <c r="K3240" s="355">
        <f>F3240*(I3240/100)</f>
        <v>10.54</v>
      </c>
      <c r="L3240" s="355"/>
      <c r="M3240" s="355"/>
    </row>
    <row r="3241" spans="5:13" ht="24.95" customHeight="1">
      <c r="E3241" s="355"/>
      <c r="F3241" s="355">
        <v>2</v>
      </c>
      <c r="G3241" s="355" t="s">
        <v>794</v>
      </c>
      <c r="H3241" s="355" t="s">
        <v>2239</v>
      </c>
      <c r="I3241" s="445">
        <v>914.1</v>
      </c>
      <c r="J3241" s="355" t="s">
        <v>2240</v>
      </c>
      <c r="K3241" s="355">
        <f>F3241*(I3241/100)</f>
        <v>18.28</v>
      </c>
      <c r="L3241" s="355"/>
      <c r="M3241" s="355"/>
    </row>
    <row r="3242" spans="5:13" ht="24.95" customHeight="1">
      <c r="E3242" s="355"/>
      <c r="F3242" s="355"/>
      <c r="G3242" s="355"/>
      <c r="H3242" s="355" t="s">
        <v>2241</v>
      </c>
      <c r="I3242" s="355"/>
      <c r="J3242" s="355"/>
      <c r="K3242" s="355">
        <v>7.93</v>
      </c>
      <c r="L3242" s="355"/>
      <c r="M3242" s="355"/>
    </row>
    <row r="3243" spans="5:13" ht="24.95" customHeight="1">
      <c r="E3243" s="355"/>
      <c r="F3243" s="355"/>
      <c r="G3243" s="355"/>
      <c r="H3243" s="355" t="s">
        <v>3301</v>
      </c>
      <c r="I3243" s="355"/>
      <c r="J3243" s="355"/>
      <c r="K3243" s="355">
        <f>K3251</f>
        <v>237.25</v>
      </c>
      <c r="L3243" s="355"/>
      <c r="M3243" s="355"/>
    </row>
    <row r="3244" spans="5:13" ht="24.95" customHeight="1">
      <c r="E3244" s="355"/>
      <c r="F3244" s="355"/>
      <c r="G3244" s="355"/>
      <c r="H3244" s="362" t="s">
        <v>1024</v>
      </c>
      <c r="I3244" s="355"/>
      <c r="J3244" s="355"/>
      <c r="K3244" s="363">
        <f>SUM(K3240:K3243)</f>
        <v>274</v>
      </c>
      <c r="L3244" s="355"/>
      <c r="M3244" s="355"/>
    </row>
    <row r="3245" spans="5:13">
      <c r="E3245" s="355"/>
      <c r="F3245" s="355"/>
      <c r="G3245" s="355"/>
      <c r="H3245" s="355"/>
      <c r="I3245" s="355"/>
      <c r="J3245" s="355"/>
      <c r="K3245" s="355"/>
      <c r="L3245" s="355"/>
      <c r="M3245" s="355"/>
    </row>
    <row r="3246" spans="5:13">
      <c r="E3246" s="355"/>
      <c r="F3246" s="355"/>
      <c r="H3246" s="361" t="s">
        <v>3302</v>
      </c>
      <c r="I3246" s="355"/>
      <c r="J3246" s="355"/>
      <c r="K3246" s="355"/>
      <c r="L3246" s="355"/>
      <c r="M3246" s="355"/>
    </row>
    <row r="3247" spans="5:13">
      <c r="E3247" s="355"/>
      <c r="F3247" s="355">
        <v>1</v>
      </c>
      <c r="G3247" s="355" t="s">
        <v>1337</v>
      </c>
      <c r="H3247" s="355" t="s">
        <v>2691</v>
      </c>
      <c r="I3247" s="355">
        <f>I2867</f>
        <v>712</v>
      </c>
      <c r="J3247" s="355" t="s">
        <v>1337</v>
      </c>
      <c r="K3247" s="355">
        <f>F3247*I3247</f>
        <v>712</v>
      </c>
      <c r="L3247" s="355"/>
      <c r="M3247" s="355"/>
    </row>
    <row r="3248" spans="5:13">
      <c r="E3248" s="355"/>
      <c r="F3248" s="355">
        <v>2</v>
      </c>
      <c r="G3248" s="355" t="s">
        <v>1337</v>
      </c>
      <c r="H3248" s="355" t="s">
        <v>2510</v>
      </c>
      <c r="I3248" s="355">
        <f>I2868</f>
        <v>708</v>
      </c>
      <c r="J3248" s="355" t="s">
        <v>1337</v>
      </c>
      <c r="K3248" s="355">
        <f>F3248*I3248</f>
        <v>1416</v>
      </c>
      <c r="L3248" s="355"/>
      <c r="M3248" s="355"/>
    </row>
    <row r="3249" spans="5:13">
      <c r="E3249" s="355"/>
      <c r="F3249" s="355">
        <v>3</v>
      </c>
      <c r="G3249" s="355" t="s">
        <v>1337</v>
      </c>
      <c r="H3249" s="355" t="s">
        <v>3013</v>
      </c>
      <c r="I3249" s="355">
        <f>I2869</f>
        <v>556</v>
      </c>
      <c r="J3249" s="355" t="s">
        <v>1337</v>
      </c>
      <c r="K3249" s="355">
        <f>F3249*I3249</f>
        <v>1668</v>
      </c>
      <c r="L3249" s="355"/>
      <c r="M3249" s="355"/>
    </row>
    <row r="3250" spans="5:13">
      <c r="E3250" s="355"/>
      <c r="F3250" s="355"/>
      <c r="G3250" s="355"/>
      <c r="H3250" s="360" t="s">
        <v>3303</v>
      </c>
      <c r="I3250" s="355"/>
      <c r="J3250" s="355"/>
      <c r="K3250" s="361">
        <f>SUM(K3247:K3249)</f>
        <v>3796</v>
      </c>
      <c r="L3250" s="355"/>
      <c r="M3250" s="355"/>
    </row>
    <row r="3251" spans="5:13">
      <c r="E3251" s="355"/>
      <c r="F3251" s="355"/>
      <c r="G3251" s="355"/>
      <c r="H3251" s="362" t="s">
        <v>2718</v>
      </c>
      <c r="I3251" s="355"/>
      <c r="J3251" s="355"/>
      <c r="K3251" s="363">
        <f>K3250/16</f>
        <v>237.25</v>
      </c>
      <c r="L3251" s="355"/>
      <c r="M3251" s="355"/>
    </row>
    <row r="3252" spans="5:13">
      <c r="E3252" s="355"/>
      <c r="F3252" s="355"/>
      <c r="G3252" s="355"/>
      <c r="H3252" s="355"/>
      <c r="I3252" s="355"/>
      <c r="J3252" s="355"/>
      <c r="K3252" s="355"/>
      <c r="L3252" s="355"/>
      <c r="M3252" s="355"/>
    </row>
    <row r="3253" spans="5:13">
      <c r="E3253" s="355"/>
      <c r="F3253" s="355"/>
      <c r="G3253" s="355"/>
      <c r="H3253" s="363" t="s">
        <v>3304</v>
      </c>
      <c r="I3253" s="355"/>
      <c r="J3253" s="355"/>
      <c r="K3253" s="355"/>
      <c r="L3253" s="355"/>
      <c r="M3253" s="355"/>
    </row>
    <row r="3254" spans="5:13" ht="36" customHeight="1">
      <c r="E3254" s="355"/>
      <c r="F3254" s="355"/>
      <c r="G3254" s="355"/>
      <c r="H3254" s="353" t="s">
        <v>3305</v>
      </c>
      <c r="I3254" s="355"/>
      <c r="J3254" s="355"/>
      <c r="K3254" s="355"/>
      <c r="L3254" s="355"/>
      <c r="M3254" s="355"/>
    </row>
    <row r="3255" spans="5:13">
      <c r="E3255" s="355"/>
      <c r="F3255" s="355"/>
      <c r="G3255" s="355"/>
      <c r="H3255" s="355"/>
      <c r="I3255" s="355"/>
      <c r="J3255" s="355"/>
      <c r="K3255" s="355"/>
      <c r="L3255" s="355"/>
      <c r="M3255" s="355"/>
    </row>
    <row r="3256" spans="5:13" ht="112.5" customHeight="1">
      <c r="E3256" s="355"/>
      <c r="F3256" s="355"/>
      <c r="G3256" s="355"/>
      <c r="H3256" s="354" t="s">
        <v>2666</v>
      </c>
      <c r="I3256" s="355"/>
      <c r="J3256" s="355"/>
      <c r="K3256" s="355"/>
      <c r="L3256" s="355"/>
      <c r="M3256" s="355"/>
    </row>
    <row r="3257" spans="5:13">
      <c r="E3257" s="355"/>
      <c r="F3257" s="355">
        <v>1.5</v>
      </c>
      <c r="G3257" s="355" t="s">
        <v>794</v>
      </c>
      <c r="H3257" s="355" t="s">
        <v>3796</v>
      </c>
      <c r="I3257" s="356">
        <v>27.2</v>
      </c>
      <c r="J3257" s="355" t="s">
        <v>794</v>
      </c>
      <c r="K3257" s="355">
        <f>F3257*I3257</f>
        <v>40.799999999999997</v>
      </c>
      <c r="L3257" s="355"/>
      <c r="M3257" s="355"/>
    </row>
    <row r="3258" spans="5:13">
      <c r="E3258" s="355"/>
      <c r="F3258" s="355">
        <v>2</v>
      </c>
      <c r="G3258" s="355" t="s">
        <v>1337</v>
      </c>
      <c r="H3258" s="355" t="s">
        <v>2667</v>
      </c>
      <c r="I3258" s="355">
        <f>I3240</f>
        <v>527</v>
      </c>
      <c r="J3258" s="355" t="s">
        <v>2811</v>
      </c>
      <c r="K3258" s="355">
        <f>F3258*(I3258/100)</f>
        <v>10.54</v>
      </c>
      <c r="L3258" s="355"/>
      <c r="M3258" s="355"/>
    </row>
    <row r="3259" spans="5:13">
      <c r="E3259" s="355"/>
      <c r="F3259" s="355">
        <v>2</v>
      </c>
      <c r="G3259" s="355" t="s">
        <v>794</v>
      </c>
      <c r="H3259" s="355" t="s">
        <v>2239</v>
      </c>
      <c r="I3259" s="355">
        <f>I3241</f>
        <v>914.1</v>
      </c>
      <c r="J3259" s="355" t="s">
        <v>794</v>
      </c>
      <c r="K3259" s="355">
        <f>F3259*(I3259/100)</f>
        <v>18.28</v>
      </c>
      <c r="L3259" s="355"/>
      <c r="M3259" s="355"/>
    </row>
    <row r="3260" spans="5:13" ht="31.5" customHeight="1">
      <c r="E3260" s="355"/>
      <c r="F3260" s="355"/>
      <c r="G3260" s="355"/>
      <c r="H3260" s="354" t="s">
        <v>2668</v>
      </c>
      <c r="I3260" s="355"/>
      <c r="J3260" s="355"/>
      <c r="K3260" s="355">
        <v>5.98</v>
      </c>
      <c r="L3260" s="355"/>
      <c r="M3260" s="355"/>
    </row>
    <row r="3261" spans="5:13">
      <c r="E3261" s="355"/>
      <c r="F3261" s="355"/>
      <c r="G3261" s="355"/>
      <c r="H3261" s="355" t="s">
        <v>878</v>
      </c>
      <c r="I3261" s="355"/>
      <c r="J3261" s="355"/>
      <c r="K3261" s="355">
        <f>K3269</f>
        <v>379.6</v>
      </c>
      <c r="L3261" s="355"/>
      <c r="M3261" s="355"/>
    </row>
    <row r="3262" spans="5:13" ht="24.95" customHeight="1">
      <c r="E3262" s="355"/>
      <c r="F3262" s="355"/>
      <c r="G3262" s="355"/>
      <c r="H3262" s="362" t="s">
        <v>1024</v>
      </c>
      <c r="I3262" s="355"/>
      <c r="J3262" s="355"/>
      <c r="K3262" s="363">
        <f>SUM(K3257:K3261)</f>
        <v>455.2</v>
      </c>
      <c r="L3262" s="355"/>
      <c r="M3262" s="355"/>
    </row>
    <row r="3263" spans="5:13">
      <c r="E3263" s="355"/>
      <c r="F3263" s="355"/>
      <c r="G3263" s="355"/>
      <c r="H3263" s="355"/>
      <c r="I3263" s="355"/>
      <c r="J3263" s="355"/>
      <c r="K3263" s="355"/>
      <c r="L3263" s="355"/>
      <c r="M3263" s="355"/>
    </row>
    <row r="3264" spans="5:13">
      <c r="E3264" s="355"/>
      <c r="F3264" s="355"/>
      <c r="G3264" s="355"/>
      <c r="H3264" s="363" t="s">
        <v>138</v>
      </c>
      <c r="I3264" s="355"/>
      <c r="J3264" s="355"/>
      <c r="K3264" s="355"/>
      <c r="L3264" s="355"/>
      <c r="M3264" s="355"/>
    </row>
    <row r="3265" spans="5:13">
      <c r="E3265" s="355"/>
      <c r="F3265" s="355">
        <v>1</v>
      </c>
      <c r="G3265" s="355" t="s">
        <v>1337</v>
      </c>
      <c r="H3265" s="355" t="s">
        <v>2691</v>
      </c>
      <c r="I3265" s="355">
        <f>I3247</f>
        <v>712</v>
      </c>
      <c r="J3265" s="355" t="s">
        <v>1337</v>
      </c>
      <c r="K3265" s="355">
        <f>F3265*I3265</f>
        <v>712</v>
      </c>
      <c r="L3265" s="355"/>
      <c r="M3265" s="355"/>
    </row>
    <row r="3266" spans="5:13">
      <c r="E3266" s="355"/>
      <c r="F3266" s="355">
        <v>2</v>
      </c>
      <c r="G3266" s="355" t="s">
        <v>1337</v>
      </c>
      <c r="H3266" s="355" t="s">
        <v>2510</v>
      </c>
      <c r="I3266" s="355">
        <f>I3248</f>
        <v>708</v>
      </c>
      <c r="J3266" s="355" t="s">
        <v>1337</v>
      </c>
      <c r="K3266" s="355">
        <f>F3266*I3266</f>
        <v>1416</v>
      </c>
      <c r="L3266" s="355"/>
      <c r="M3266" s="355"/>
    </row>
    <row r="3267" spans="5:13">
      <c r="E3267" s="355"/>
      <c r="F3267" s="355">
        <v>3</v>
      </c>
      <c r="G3267" s="355" t="s">
        <v>1337</v>
      </c>
      <c r="H3267" s="355" t="s">
        <v>3013</v>
      </c>
      <c r="I3267" s="355">
        <f>I3249</f>
        <v>556</v>
      </c>
      <c r="J3267" s="355" t="s">
        <v>1337</v>
      </c>
      <c r="K3267" s="355">
        <f>F3267*I3267</f>
        <v>1668</v>
      </c>
      <c r="L3267" s="355"/>
      <c r="M3267" s="355"/>
    </row>
    <row r="3268" spans="5:13">
      <c r="E3268" s="355"/>
      <c r="F3268" s="355"/>
      <c r="G3268" s="355"/>
      <c r="H3268" s="360" t="s">
        <v>2669</v>
      </c>
      <c r="I3268" s="355"/>
      <c r="J3268" s="355"/>
      <c r="K3268" s="361">
        <f>SUM(K3265:K3267)</f>
        <v>3796</v>
      </c>
      <c r="L3268" s="355"/>
      <c r="M3268" s="355"/>
    </row>
    <row r="3269" spans="5:13">
      <c r="E3269" s="355"/>
      <c r="F3269" s="355"/>
      <c r="G3269" s="355"/>
      <c r="H3269" s="362" t="s">
        <v>2718</v>
      </c>
      <c r="I3269" s="355"/>
      <c r="J3269" s="355"/>
      <c r="K3269" s="363">
        <f>K3268/10</f>
        <v>379.6</v>
      </c>
      <c r="L3269" s="355"/>
      <c r="M3269" s="355"/>
    </row>
    <row r="3270" spans="5:13">
      <c r="E3270" s="355"/>
      <c r="F3270" s="355"/>
      <c r="G3270" s="355"/>
      <c r="H3270" s="355"/>
      <c r="I3270" s="355"/>
      <c r="J3270" s="355"/>
      <c r="K3270" s="355"/>
      <c r="L3270" s="355"/>
      <c r="M3270" s="355"/>
    </row>
    <row r="3271" spans="5:13">
      <c r="E3271" s="355"/>
      <c r="F3271" s="355"/>
      <c r="G3271" s="355"/>
      <c r="H3271" s="363" t="s">
        <v>3340</v>
      </c>
      <c r="I3271" s="355"/>
      <c r="J3271" s="355"/>
      <c r="K3271" s="355"/>
      <c r="L3271" s="355"/>
      <c r="M3271" s="355"/>
    </row>
    <row r="3272" spans="5:13" ht="83.25" customHeight="1">
      <c r="E3272" s="355"/>
      <c r="F3272" s="355"/>
      <c r="G3272" s="355"/>
      <c r="H3272" s="354" t="s">
        <v>3052</v>
      </c>
      <c r="I3272" s="355"/>
      <c r="J3272" s="355"/>
      <c r="K3272" s="355"/>
      <c r="L3272" s="355"/>
      <c r="M3272" s="355"/>
    </row>
    <row r="3273" spans="5:13">
      <c r="E3273" s="355"/>
      <c r="F3273" s="355"/>
      <c r="G3273" s="355"/>
      <c r="H3273" s="355"/>
      <c r="I3273" s="355"/>
      <c r="J3273" s="355"/>
      <c r="K3273" s="355"/>
      <c r="L3273" s="355"/>
      <c r="M3273" s="355"/>
    </row>
    <row r="3274" spans="5:13" ht="22.5" customHeight="1">
      <c r="E3274" s="355"/>
      <c r="F3274" s="355">
        <v>1</v>
      </c>
      <c r="G3274" s="355" t="s">
        <v>794</v>
      </c>
      <c r="H3274" s="355" t="s">
        <v>2239</v>
      </c>
      <c r="I3274" s="355">
        <f>I3259</f>
        <v>914.1</v>
      </c>
      <c r="J3274" s="355" t="s">
        <v>3053</v>
      </c>
      <c r="K3274" s="355">
        <f>F3274*(I3274/100)</f>
        <v>9.14</v>
      </c>
      <c r="L3274" s="355"/>
      <c r="M3274" s="355"/>
    </row>
    <row r="3275" spans="5:13" ht="24.95" customHeight="1">
      <c r="E3275" s="355"/>
      <c r="F3275" s="355"/>
      <c r="G3275" s="355"/>
      <c r="H3275" s="355" t="s">
        <v>138</v>
      </c>
      <c r="I3275" s="355"/>
      <c r="J3275" s="355"/>
      <c r="K3275" s="355">
        <f>K3282</f>
        <v>506.4</v>
      </c>
      <c r="L3275" s="355"/>
      <c r="M3275" s="355"/>
    </row>
    <row r="3276" spans="5:13" ht="24.95" customHeight="1">
      <c r="E3276" s="355"/>
      <c r="F3276" s="355"/>
      <c r="G3276" s="355"/>
      <c r="H3276" s="355" t="s">
        <v>2242</v>
      </c>
      <c r="J3276" s="355"/>
      <c r="K3276" s="355">
        <v>4.8600000000000003</v>
      </c>
      <c r="L3276" s="355"/>
      <c r="M3276" s="355"/>
    </row>
    <row r="3277" spans="5:13" ht="24.95" customHeight="1">
      <c r="E3277" s="355"/>
      <c r="F3277" s="355"/>
      <c r="G3277" s="355"/>
      <c r="H3277" s="361" t="s">
        <v>3054</v>
      </c>
      <c r="I3277" s="363" t="s">
        <v>1024</v>
      </c>
      <c r="J3277" s="355"/>
      <c r="K3277" s="363">
        <f>SUM(K3274:K3276)</f>
        <v>520.4</v>
      </c>
      <c r="L3277" s="355">
        <f>304-K3277</f>
        <v>-216.4</v>
      </c>
      <c r="M3277" s="355"/>
    </row>
    <row r="3278" spans="5:13" ht="21" customHeight="1">
      <c r="E3278" s="355"/>
      <c r="F3278" s="355">
        <v>1</v>
      </c>
      <c r="G3278" s="355" t="s">
        <v>1337</v>
      </c>
      <c r="H3278" s="355" t="s">
        <v>2691</v>
      </c>
      <c r="I3278" s="355">
        <f>I3265</f>
        <v>712</v>
      </c>
      <c r="J3278" s="355" t="s">
        <v>1337</v>
      </c>
      <c r="K3278" s="355">
        <f>F3278*I3278</f>
        <v>712</v>
      </c>
      <c r="L3278" s="355"/>
      <c r="M3278" s="355"/>
    </row>
    <row r="3279" spans="5:13" ht="21" customHeight="1">
      <c r="E3279" s="355"/>
      <c r="F3279" s="355">
        <v>1</v>
      </c>
      <c r="G3279" s="355" t="s">
        <v>1337</v>
      </c>
      <c r="H3279" s="355" t="s">
        <v>2510</v>
      </c>
      <c r="I3279" s="355">
        <f>I3266</f>
        <v>708</v>
      </c>
      <c r="J3279" s="355" t="s">
        <v>1337</v>
      </c>
      <c r="K3279" s="355">
        <f>F3279*I3279</f>
        <v>708</v>
      </c>
      <c r="L3279" s="355"/>
      <c r="M3279" s="355"/>
    </row>
    <row r="3280" spans="5:13" ht="21" customHeight="1">
      <c r="E3280" s="355"/>
      <c r="F3280" s="355">
        <v>2</v>
      </c>
      <c r="G3280" s="355" t="s">
        <v>1337</v>
      </c>
      <c r="H3280" s="355" t="s">
        <v>3013</v>
      </c>
      <c r="I3280" s="355">
        <f>I3267</f>
        <v>556</v>
      </c>
      <c r="J3280" s="355" t="s">
        <v>1337</v>
      </c>
      <c r="K3280" s="355">
        <f>F3280*I3280</f>
        <v>1112</v>
      </c>
      <c r="L3280" s="355"/>
      <c r="M3280" s="355"/>
    </row>
    <row r="3281" spans="5:13" ht="24.95" customHeight="1">
      <c r="E3281" s="355"/>
      <c r="F3281" s="355"/>
      <c r="G3281" s="355"/>
      <c r="H3281" s="360" t="s">
        <v>3055</v>
      </c>
      <c r="I3281" s="355"/>
      <c r="J3281" s="355"/>
      <c r="K3281" s="361">
        <f>SUM(K3278:K3280)</f>
        <v>2532</v>
      </c>
      <c r="L3281" s="355"/>
      <c r="M3281" s="355"/>
    </row>
    <row r="3282" spans="5:13" ht="19.5" customHeight="1">
      <c r="E3282" s="355"/>
      <c r="F3282" s="355"/>
      <c r="G3282" s="355"/>
      <c r="H3282" s="362" t="s">
        <v>1024</v>
      </c>
      <c r="I3282" s="355"/>
      <c r="J3282" s="355"/>
      <c r="K3282" s="363">
        <f>K3281/5</f>
        <v>506.4</v>
      </c>
      <c r="L3282" s="355"/>
      <c r="M3282" s="355"/>
    </row>
    <row r="3283" spans="5:13" ht="24.95" customHeight="1">
      <c r="E3283" s="355"/>
      <c r="F3283" s="355"/>
      <c r="G3283" s="355"/>
      <c r="H3283" s="373" t="s">
        <v>3056</v>
      </c>
      <c r="I3283" s="355"/>
      <c r="J3283" s="355"/>
      <c r="K3283" s="355"/>
      <c r="L3283" s="355"/>
      <c r="M3283" s="355"/>
    </row>
    <row r="3284" spans="5:13">
      <c r="E3284" s="355"/>
      <c r="F3284" s="355"/>
      <c r="G3284" s="355"/>
      <c r="H3284" s="363" t="s">
        <v>3057</v>
      </c>
      <c r="I3284" s="355"/>
      <c r="J3284" s="355"/>
      <c r="K3284" s="355"/>
      <c r="L3284" s="355"/>
      <c r="M3284" s="355"/>
    </row>
    <row r="3285" spans="5:13">
      <c r="E3285" s="355"/>
      <c r="F3285" s="355"/>
      <c r="G3285" s="355"/>
      <c r="H3285" s="363" t="s">
        <v>3058</v>
      </c>
      <c r="I3285" s="355"/>
      <c r="J3285" s="355"/>
      <c r="K3285" s="355"/>
      <c r="L3285" s="355"/>
      <c r="M3285" s="355"/>
    </row>
    <row r="3286" spans="5:13">
      <c r="E3286" s="355"/>
      <c r="F3286" s="355"/>
      <c r="G3286" s="355"/>
      <c r="H3286" s="364" t="s">
        <v>3059</v>
      </c>
      <c r="I3286" s="355"/>
      <c r="J3286" s="355"/>
      <c r="K3286" s="355"/>
      <c r="L3286" s="355"/>
      <c r="M3286" s="355"/>
    </row>
    <row r="3287" spans="5:13" ht="68.25" customHeight="1">
      <c r="E3287" s="355"/>
      <c r="F3287" s="355"/>
      <c r="G3287" s="355"/>
      <c r="H3287" s="354" t="s">
        <v>3392</v>
      </c>
      <c r="I3287" s="355"/>
      <c r="J3287" s="355"/>
      <c r="K3287" s="355"/>
      <c r="L3287" s="355"/>
      <c r="M3287" s="355"/>
    </row>
    <row r="3288" spans="5:13">
      <c r="E3288" s="355"/>
      <c r="F3288" s="355"/>
      <c r="G3288" s="355"/>
      <c r="H3288" s="355"/>
      <c r="I3288" s="355"/>
      <c r="J3288" s="355"/>
      <c r="K3288" s="355"/>
      <c r="L3288" s="355"/>
      <c r="M3288" s="355"/>
    </row>
    <row r="3289" spans="5:13">
      <c r="E3289" s="355"/>
      <c r="F3289" s="355">
        <v>9.5</v>
      </c>
      <c r="G3289" s="355" t="s">
        <v>1591</v>
      </c>
      <c r="H3289" s="355" t="s">
        <v>4192</v>
      </c>
      <c r="I3289" s="356">
        <v>79.7</v>
      </c>
      <c r="J3289" s="355" t="s">
        <v>1591</v>
      </c>
      <c r="K3289" s="355">
        <f>F3289*I3289</f>
        <v>757.15</v>
      </c>
      <c r="L3289" s="355"/>
      <c r="M3289" s="355"/>
    </row>
    <row r="3290" spans="5:13">
      <c r="E3290" s="355"/>
      <c r="F3290" s="355">
        <v>0.5</v>
      </c>
      <c r="G3290" s="355" t="s">
        <v>1591</v>
      </c>
      <c r="H3290" s="355" t="s">
        <v>3930</v>
      </c>
      <c r="I3290" s="356">
        <v>19.22</v>
      </c>
      <c r="J3290" s="355"/>
      <c r="K3290" s="355">
        <f>F3290*I3290</f>
        <v>9.61</v>
      </c>
      <c r="L3290" s="355"/>
      <c r="M3290" s="355"/>
    </row>
    <row r="3291" spans="5:13">
      <c r="E3291" s="355"/>
      <c r="F3291" s="355"/>
      <c r="G3291" s="355"/>
      <c r="H3291" s="355" t="s">
        <v>1758</v>
      </c>
      <c r="I3291" s="355"/>
      <c r="J3291" s="355"/>
      <c r="K3291" s="355">
        <f>K3299</f>
        <v>1268</v>
      </c>
      <c r="L3291" s="355"/>
      <c r="M3291" s="355"/>
    </row>
    <row r="3292" spans="5:13">
      <c r="E3292" s="355"/>
      <c r="F3292" s="355"/>
      <c r="G3292" s="355"/>
      <c r="H3292" s="355" t="s">
        <v>2187</v>
      </c>
      <c r="I3292" s="355"/>
      <c r="J3292" s="355"/>
      <c r="K3292" s="355">
        <v>7.24</v>
      </c>
      <c r="L3292" s="355"/>
      <c r="M3292" s="355"/>
    </row>
    <row r="3293" spans="5:13">
      <c r="E3293" s="355"/>
      <c r="F3293" s="355"/>
      <c r="G3293" s="355"/>
      <c r="H3293" s="360" t="s">
        <v>3308</v>
      </c>
      <c r="I3293" s="355"/>
      <c r="J3293" s="355"/>
      <c r="K3293" s="361">
        <f>SUM(K3289:K3292)</f>
        <v>2042</v>
      </c>
      <c r="L3293" s="355"/>
      <c r="M3293" s="355"/>
    </row>
    <row r="3294" spans="5:13">
      <c r="E3294" s="355"/>
      <c r="F3294" s="355"/>
      <c r="G3294" s="355"/>
      <c r="H3294" s="362" t="s">
        <v>2686</v>
      </c>
      <c r="I3294" s="355"/>
      <c r="J3294" s="355"/>
      <c r="K3294" s="363">
        <f>K3293/90</f>
        <v>22.69</v>
      </c>
      <c r="L3294" s="355"/>
      <c r="M3294" s="355"/>
    </row>
    <row r="3295" spans="5:13">
      <c r="E3295" s="355"/>
      <c r="F3295" s="355"/>
      <c r="G3295" s="355"/>
      <c r="H3295" s="355"/>
      <c r="I3295" s="355"/>
      <c r="J3295" s="355"/>
      <c r="K3295" s="355"/>
      <c r="L3295" s="355"/>
      <c r="M3295" s="355"/>
    </row>
    <row r="3296" spans="5:13">
      <c r="E3296" s="355"/>
      <c r="F3296" s="355"/>
      <c r="G3296" s="355"/>
      <c r="H3296" s="361" t="s">
        <v>2568</v>
      </c>
      <c r="I3296" s="355"/>
      <c r="J3296" s="355"/>
      <c r="K3296" s="355"/>
      <c r="L3296" s="355"/>
      <c r="M3296" s="355"/>
    </row>
    <row r="3297" spans="5:13">
      <c r="E3297" s="355"/>
      <c r="F3297" s="355">
        <v>1</v>
      </c>
      <c r="G3297" s="355"/>
      <c r="H3297" s="355" t="s">
        <v>2691</v>
      </c>
      <c r="I3297" s="355">
        <f>I3278</f>
        <v>712</v>
      </c>
      <c r="J3297" s="355" t="s">
        <v>1337</v>
      </c>
      <c r="K3297" s="355">
        <f>F3297*I3297</f>
        <v>712</v>
      </c>
      <c r="L3297" s="355"/>
      <c r="M3297" s="355"/>
    </row>
    <row r="3298" spans="5:13">
      <c r="E3298" s="355"/>
      <c r="F3298" s="355">
        <v>1</v>
      </c>
      <c r="G3298" s="355"/>
      <c r="H3298" s="355" t="s">
        <v>3013</v>
      </c>
      <c r="I3298" s="355">
        <f>I3280</f>
        <v>556</v>
      </c>
      <c r="J3298" s="355" t="s">
        <v>1337</v>
      </c>
      <c r="K3298" s="355">
        <f>F3298*I3298</f>
        <v>556</v>
      </c>
      <c r="L3298" s="355"/>
      <c r="M3298" s="355"/>
    </row>
    <row r="3299" spans="5:13">
      <c r="E3299" s="355"/>
      <c r="F3299" s="355"/>
      <c r="G3299" s="355"/>
      <c r="H3299" s="355"/>
      <c r="I3299" s="355"/>
      <c r="J3299" s="355"/>
      <c r="K3299" s="363">
        <f>SUM(K3297:K3298)</f>
        <v>1268</v>
      </c>
      <c r="L3299" s="355"/>
      <c r="M3299" s="355"/>
    </row>
    <row r="3300" spans="5:13">
      <c r="E3300" s="355"/>
      <c r="F3300" s="355" t="s">
        <v>2569</v>
      </c>
      <c r="G3300" s="355"/>
      <c r="H3300" s="355"/>
      <c r="I3300" s="355"/>
      <c r="J3300" s="355"/>
      <c r="K3300" s="355"/>
      <c r="L3300" s="355"/>
      <c r="M3300" s="355"/>
    </row>
    <row r="3301" spans="5:13">
      <c r="E3301" s="355"/>
      <c r="F3301" s="355"/>
      <c r="G3301" s="355"/>
      <c r="H3301" s="355"/>
      <c r="I3301" s="355"/>
      <c r="J3301" s="355"/>
      <c r="K3301" s="355"/>
      <c r="L3301" s="355"/>
      <c r="M3301" s="355"/>
    </row>
    <row r="3302" spans="5:13">
      <c r="E3302" s="355"/>
      <c r="F3302" s="355"/>
      <c r="G3302" s="355"/>
      <c r="H3302" s="363" t="s">
        <v>2570</v>
      </c>
      <c r="I3302" s="355"/>
      <c r="J3302" s="355"/>
      <c r="K3302" s="355"/>
      <c r="L3302" s="355"/>
      <c r="M3302" s="355"/>
    </row>
    <row r="3303" spans="5:13">
      <c r="E3303" s="355"/>
      <c r="F3303" s="355"/>
      <c r="G3303" s="355"/>
      <c r="H3303" s="363" t="s">
        <v>2571</v>
      </c>
      <c r="I3303" s="355"/>
      <c r="J3303" s="355"/>
      <c r="K3303" s="355"/>
      <c r="L3303" s="355"/>
      <c r="M3303" s="355"/>
    </row>
    <row r="3304" spans="5:13">
      <c r="E3304" s="355"/>
      <c r="F3304" s="355"/>
      <c r="G3304" s="355"/>
      <c r="H3304" s="355"/>
      <c r="I3304" s="355"/>
      <c r="J3304" s="355"/>
      <c r="K3304" s="355"/>
      <c r="L3304" s="355"/>
      <c r="M3304" s="355"/>
    </row>
    <row r="3305" spans="5:13" ht="57" customHeight="1">
      <c r="E3305" s="355"/>
      <c r="F3305" s="355"/>
      <c r="G3305" s="355"/>
      <c r="H3305" s="354" t="s">
        <v>2572</v>
      </c>
      <c r="I3305" s="355"/>
      <c r="J3305" s="355"/>
      <c r="K3305" s="355"/>
      <c r="L3305" s="355"/>
      <c r="M3305" s="355"/>
    </row>
    <row r="3306" spans="5:13">
      <c r="E3306" s="355"/>
      <c r="F3306" s="355">
        <v>2.5</v>
      </c>
      <c r="G3306" s="355" t="s">
        <v>794</v>
      </c>
      <c r="H3306" s="355" t="s">
        <v>2573</v>
      </c>
      <c r="I3306" s="356">
        <f>Elec.Data!I3306</f>
        <v>163</v>
      </c>
      <c r="J3306" s="355" t="s">
        <v>794</v>
      </c>
      <c r="K3306" s="355">
        <f>F3306*I3306</f>
        <v>407.5</v>
      </c>
      <c r="L3306" s="355"/>
      <c r="M3306" s="355"/>
    </row>
    <row r="3307" spans="5:13">
      <c r="E3307" s="355"/>
      <c r="F3307" s="355">
        <v>1</v>
      </c>
      <c r="G3307" s="355" t="s">
        <v>794</v>
      </c>
      <c r="H3307" s="355" t="s">
        <v>2574</v>
      </c>
      <c r="I3307" s="356">
        <f>Elec.Data!I3307</f>
        <v>98.6</v>
      </c>
      <c r="J3307" s="355" t="s">
        <v>794</v>
      </c>
      <c r="K3307" s="355">
        <f>F3307*I3307</f>
        <v>98.6</v>
      </c>
      <c r="L3307" s="355"/>
      <c r="M3307" s="355"/>
    </row>
    <row r="3308" spans="5:13">
      <c r="E3308" s="355"/>
      <c r="F3308" s="355">
        <v>1</v>
      </c>
      <c r="G3308" s="355" t="s">
        <v>794</v>
      </c>
      <c r="H3308" s="355" t="s">
        <v>2575</v>
      </c>
      <c r="I3308" s="356">
        <f>Elec.Data!I3308</f>
        <v>69.8</v>
      </c>
      <c r="J3308" s="355" t="s">
        <v>794</v>
      </c>
      <c r="K3308" s="355">
        <f>F3308*I3308</f>
        <v>69.8</v>
      </c>
      <c r="L3308" s="355"/>
      <c r="M3308" s="355"/>
    </row>
    <row r="3309" spans="5:13">
      <c r="E3309" s="355"/>
      <c r="F3309" s="355">
        <v>1</v>
      </c>
      <c r="G3309" s="355" t="s">
        <v>1337</v>
      </c>
      <c r="H3309" s="355" t="s">
        <v>3754</v>
      </c>
      <c r="I3309" s="356">
        <f>Elec.Data!I3309</f>
        <v>52</v>
      </c>
      <c r="J3309" s="355" t="s">
        <v>1337</v>
      </c>
      <c r="K3309" s="355">
        <f>F3309*I3309</f>
        <v>52</v>
      </c>
      <c r="L3309" s="355"/>
      <c r="M3309" s="355"/>
    </row>
    <row r="3310" spans="5:13">
      <c r="E3310" s="355"/>
      <c r="F3310" s="355">
        <v>1</v>
      </c>
      <c r="G3310" s="355" t="s">
        <v>265</v>
      </c>
      <c r="H3310" s="355" t="s">
        <v>2576</v>
      </c>
      <c r="I3310" s="356" t="str">
        <f>Elec.Data!I3310</f>
        <v>LS</v>
      </c>
      <c r="J3310" s="355" t="s">
        <v>265</v>
      </c>
      <c r="K3310" s="355">
        <v>15</v>
      </c>
      <c r="L3310" s="355"/>
      <c r="M3310" s="355"/>
    </row>
    <row r="3311" spans="5:13">
      <c r="E3311" s="355"/>
      <c r="F3311" s="355"/>
      <c r="G3311" s="355" t="s">
        <v>625</v>
      </c>
      <c r="H3311" s="355" t="s">
        <v>2577</v>
      </c>
      <c r="I3311" s="356" t="str">
        <f>Elec.Data!I3311</f>
        <v>LS</v>
      </c>
      <c r="J3311" s="355" t="s">
        <v>625</v>
      </c>
      <c r="K3311" s="355">
        <v>150</v>
      </c>
      <c r="L3311" s="355"/>
      <c r="M3311" s="355"/>
    </row>
    <row r="3312" spans="5:13">
      <c r="E3312" s="355"/>
      <c r="F3312" s="355">
        <v>1</v>
      </c>
      <c r="G3312" s="355" t="s">
        <v>1337</v>
      </c>
      <c r="H3312" s="355" t="s">
        <v>2578</v>
      </c>
      <c r="I3312" s="356">
        <f>Elec.Data!I3312</f>
        <v>100</v>
      </c>
      <c r="J3312" s="355" t="s">
        <v>1337</v>
      </c>
      <c r="K3312" s="355">
        <f>F3312*I3312</f>
        <v>100</v>
      </c>
      <c r="L3312" s="355"/>
      <c r="M3312" s="355"/>
    </row>
    <row r="3313" spans="5:13">
      <c r="E3313" s="355"/>
      <c r="F3313" s="355">
        <v>40</v>
      </c>
      <c r="G3313" s="355" t="s">
        <v>1591</v>
      </c>
      <c r="H3313" s="355" t="s">
        <v>2579</v>
      </c>
      <c r="I3313" s="356">
        <f>Elec.Data!I3313</f>
        <v>4.96</v>
      </c>
      <c r="J3313" s="355" t="s">
        <v>1591</v>
      </c>
      <c r="K3313" s="355">
        <f>F3313*I3313</f>
        <v>198.4</v>
      </c>
      <c r="L3313" s="355"/>
      <c r="M3313" s="355"/>
    </row>
    <row r="3314" spans="5:13">
      <c r="E3314" s="355"/>
      <c r="F3314" s="355">
        <v>2</v>
      </c>
      <c r="G3314" s="355" t="s">
        <v>1337</v>
      </c>
      <c r="H3314" s="355" t="s">
        <v>2580</v>
      </c>
      <c r="I3314" s="356">
        <f>Elec.Data!I3314</f>
        <v>13.6</v>
      </c>
      <c r="J3314" s="355" t="s">
        <v>1337</v>
      </c>
      <c r="K3314" s="355">
        <f>F3314*I3314</f>
        <v>27.2</v>
      </c>
      <c r="L3314" s="355"/>
      <c r="M3314" s="355"/>
    </row>
    <row r="3315" spans="5:13">
      <c r="E3315" s="355"/>
      <c r="F3315" s="355">
        <v>4</v>
      </c>
      <c r="G3315" s="355" t="s">
        <v>1337</v>
      </c>
      <c r="H3315" s="355" t="s">
        <v>2581</v>
      </c>
      <c r="I3315" s="356">
        <f>Elec.Data!I3315</f>
        <v>13.6</v>
      </c>
      <c r="J3315" s="355" t="s">
        <v>1337</v>
      </c>
      <c r="K3315" s="355">
        <f>F3315*I3315</f>
        <v>54.4</v>
      </c>
      <c r="L3315" s="355"/>
      <c r="M3315" s="355"/>
    </row>
    <row r="3316" spans="5:13">
      <c r="E3316" s="355"/>
      <c r="F3316" s="355">
        <v>10</v>
      </c>
      <c r="G3316" s="355" t="s">
        <v>1591</v>
      </c>
      <c r="H3316" s="355" t="s">
        <v>2582</v>
      </c>
      <c r="I3316" s="356">
        <f>Elec.Data!I3316</f>
        <v>3.7</v>
      </c>
      <c r="J3316" s="355" t="s">
        <v>1591</v>
      </c>
      <c r="K3316" s="355">
        <f>F3316*I3316</f>
        <v>37</v>
      </c>
      <c r="L3316" s="355"/>
      <c r="M3316" s="355"/>
    </row>
    <row r="3317" spans="5:13">
      <c r="E3317" s="355"/>
      <c r="F3317" s="355"/>
      <c r="G3317" s="355"/>
      <c r="H3317" s="355" t="s">
        <v>2187</v>
      </c>
      <c r="I3317" s="355"/>
      <c r="J3317" s="355"/>
      <c r="K3317" s="355">
        <v>11.85</v>
      </c>
      <c r="L3317" s="355"/>
      <c r="M3317" s="355"/>
    </row>
    <row r="3318" spans="5:13">
      <c r="E3318" s="355"/>
      <c r="F3318" s="355"/>
      <c r="G3318" s="355"/>
      <c r="H3318" s="355" t="s">
        <v>878</v>
      </c>
      <c r="I3318" s="355"/>
      <c r="J3318" s="355"/>
      <c r="K3318" s="364">
        <f>K3324</f>
        <v>1268</v>
      </c>
      <c r="L3318" s="355"/>
      <c r="M3318" s="355"/>
    </row>
    <row r="3319" spans="5:13">
      <c r="E3319" s="355"/>
      <c r="F3319" s="355"/>
      <c r="G3319" s="355"/>
      <c r="H3319" s="362" t="s">
        <v>1024</v>
      </c>
      <c r="I3319" s="355"/>
      <c r="J3319" s="355"/>
      <c r="K3319" s="363">
        <f>SUM(K3306:K3318)</f>
        <v>2489.75</v>
      </c>
      <c r="L3319" s="355">
        <f>2035-K3319</f>
        <v>-454.75</v>
      </c>
      <c r="M3319" s="355"/>
    </row>
    <row r="3320" spans="5:13">
      <c r="E3320" s="355"/>
      <c r="F3320" s="355"/>
      <c r="G3320" s="355"/>
      <c r="H3320" s="355"/>
      <c r="I3320" s="355"/>
      <c r="J3320" s="355"/>
      <c r="K3320" s="355"/>
      <c r="L3320" s="355"/>
      <c r="M3320" s="355"/>
    </row>
    <row r="3321" spans="5:13">
      <c r="E3321" s="355"/>
      <c r="F3321" s="355"/>
      <c r="G3321" s="355"/>
      <c r="H3321" s="361" t="s">
        <v>878</v>
      </c>
      <c r="I3321" s="355"/>
      <c r="J3321" s="355"/>
      <c r="K3321" s="355"/>
      <c r="L3321" s="355"/>
      <c r="M3321" s="355"/>
    </row>
    <row r="3322" spans="5:13">
      <c r="E3322" s="355"/>
      <c r="F3322" s="355">
        <v>1</v>
      </c>
      <c r="G3322" s="355" t="s">
        <v>1337</v>
      </c>
      <c r="H3322" s="355" t="s">
        <v>2691</v>
      </c>
      <c r="I3322" s="355">
        <f>I3297</f>
        <v>712</v>
      </c>
      <c r="J3322" s="355" t="s">
        <v>1337</v>
      </c>
      <c r="K3322" s="355">
        <f>F3322*I3322</f>
        <v>712</v>
      </c>
      <c r="L3322" s="355"/>
      <c r="M3322" s="355"/>
    </row>
    <row r="3323" spans="5:13">
      <c r="E3323" s="355"/>
      <c r="F3323" s="355">
        <v>1</v>
      </c>
      <c r="G3323" s="355" t="s">
        <v>1337</v>
      </c>
      <c r="H3323" s="355" t="s">
        <v>3013</v>
      </c>
      <c r="I3323" s="355">
        <f>I3298</f>
        <v>556</v>
      </c>
      <c r="J3323" s="355" t="s">
        <v>1337</v>
      </c>
      <c r="K3323" s="355">
        <f>F3323*I3323</f>
        <v>556</v>
      </c>
      <c r="L3323" s="355"/>
      <c r="M3323" s="355"/>
    </row>
    <row r="3324" spans="5:13">
      <c r="E3324" s="355"/>
      <c r="F3324" s="355"/>
      <c r="G3324" s="355"/>
      <c r="H3324" s="355"/>
      <c r="I3324" s="355"/>
      <c r="J3324" s="355"/>
      <c r="K3324" s="363">
        <f>SUM(K3322:K3323)</f>
        <v>1268</v>
      </c>
      <c r="L3324" s="355"/>
      <c r="M3324" s="355"/>
    </row>
    <row r="3325" spans="5:13">
      <c r="E3325" s="355"/>
      <c r="F3325" s="355"/>
      <c r="G3325" s="355"/>
      <c r="H3325" s="363" t="s">
        <v>2583</v>
      </c>
      <c r="I3325" s="355"/>
      <c r="J3325" s="355"/>
      <c r="K3325" s="355"/>
      <c r="L3325" s="355"/>
      <c r="M3325" s="355"/>
    </row>
    <row r="3326" spans="5:13">
      <c r="E3326" s="355"/>
      <c r="F3326" s="355"/>
      <c r="G3326" s="355"/>
      <c r="H3326" s="363" t="s">
        <v>2584</v>
      </c>
      <c r="I3326" s="355"/>
      <c r="J3326" s="355"/>
      <c r="K3326" s="355"/>
      <c r="L3326" s="355"/>
      <c r="M3326" s="355"/>
    </row>
    <row r="3327" spans="5:13">
      <c r="E3327" s="355"/>
      <c r="F3327" s="355"/>
      <c r="G3327" s="355"/>
      <c r="H3327" s="355"/>
      <c r="I3327" s="355"/>
      <c r="J3327" s="355"/>
      <c r="K3327" s="355"/>
      <c r="L3327" s="355"/>
      <c r="M3327" s="355"/>
    </row>
    <row r="3328" spans="5:13" ht="86.25" customHeight="1">
      <c r="E3328" s="355"/>
      <c r="F3328" s="355"/>
      <c r="G3328" s="355"/>
      <c r="H3328" s="354" t="s">
        <v>3251</v>
      </c>
      <c r="I3328" s="355"/>
      <c r="J3328" s="355"/>
      <c r="K3328" s="355"/>
      <c r="L3328" s="355"/>
      <c r="M3328" s="355"/>
    </row>
    <row r="3329" spans="5:13">
      <c r="E3329" s="355"/>
      <c r="F3329" s="355"/>
      <c r="G3329" s="355"/>
      <c r="H3329" s="355"/>
      <c r="I3329" s="355"/>
      <c r="J3329" s="355"/>
      <c r="K3329" s="355"/>
      <c r="L3329" s="355"/>
      <c r="M3329" s="355"/>
    </row>
    <row r="3330" spans="5:13">
      <c r="E3330" s="355"/>
      <c r="F3330" s="355">
        <v>1</v>
      </c>
      <c r="G3330" s="355" t="s">
        <v>1337</v>
      </c>
      <c r="H3330" s="355" t="s">
        <v>3124</v>
      </c>
      <c r="I3330" s="355">
        <f>K3335</f>
        <v>64.239999999999995</v>
      </c>
      <c r="J3330" s="355" t="s">
        <v>1341</v>
      </c>
      <c r="K3330" s="355">
        <f>F3330*I3330</f>
        <v>64.239999999999995</v>
      </c>
      <c r="L3330" s="355"/>
      <c r="M3330" s="355"/>
    </row>
    <row r="3331" spans="5:13" ht="56.25" customHeight="1">
      <c r="E3331" s="355"/>
      <c r="F3331" s="355"/>
      <c r="G3331" s="355"/>
      <c r="H3331" s="354" t="s">
        <v>3125</v>
      </c>
      <c r="I3331" s="355"/>
      <c r="J3331" s="355" t="s">
        <v>625</v>
      </c>
      <c r="K3331" s="355">
        <f>13.65+0.61</f>
        <v>14.26</v>
      </c>
      <c r="L3331" s="355"/>
      <c r="M3331" s="355"/>
    </row>
    <row r="3332" spans="5:13">
      <c r="E3332" s="355"/>
      <c r="F3332" s="355"/>
      <c r="G3332" s="355"/>
      <c r="H3332" s="355" t="s">
        <v>138</v>
      </c>
      <c r="I3332" s="355"/>
      <c r="J3332" s="355"/>
      <c r="K3332" s="355">
        <f>K3340</f>
        <v>283.60000000000002</v>
      </c>
      <c r="L3332" s="355"/>
      <c r="M3332" s="355"/>
    </row>
    <row r="3333" spans="5:13">
      <c r="E3333" s="355"/>
      <c r="F3333" s="355"/>
      <c r="G3333" s="355"/>
      <c r="H3333" s="362" t="s">
        <v>1024</v>
      </c>
      <c r="I3333" s="355"/>
      <c r="J3333" s="355"/>
      <c r="K3333" s="363">
        <f>SUM(K3330:K3332)</f>
        <v>362.1</v>
      </c>
      <c r="L3333" s="355">
        <f>K3333-268</f>
        <v>94.1</v>
      </c>
      <c r="M3333" s="355"/>
    </row>
    <row r="3334" spans="5:13">
      <c r="E3334" s="355"/>
      <c r="F3334" s="355"/>
      <c r="G3334" s="355"/>
      <c r="H3334" s="355"/>
      <c r="I3334" s="355"/>
      <c r="J3334" s="355"/>
      <c r="K3334" s="355"/>
      <c r="L3334" s="355"/>
      <c r="M3334" s="355"/>
    </row>
    <row r="3335" spans="5:13">
      <c r="E3335" s="355"/>
      <c r="F3335" s="355"/>
      <c r="G3335" s="355"/>
      <c r="H3335" s="363" t="s">
        <v>3126</v>
      </c>
      <c r="I3335" s="461">
        <f>I3222</f>
        <v>107060</v>
      </c>
      <c r="J3335" s="462">
        <v>5.9999999999999995E-4</v>
      </c>
      <c r="K3335" s="461">
        <f>ROUND(I3335*J3335,2)</f>
        <v>64.239999999999995</v>
      </c>
      <c r="L3335" s="355"/>
      <c r="M3335" s="355"/>
    </row>
    <row r="3336" spans="5:13">
      <c r="E3336" s="355"/>
      <c r="F3336" s="355"/>
      <c r="G3336" s="355"/>
      <c r="H3336" s="355" t="s">
        <v>138</v>
      </c>
      <c r="I3336" s="355"/>
      <c r="J3336" s="355"/>
      <c r="K3336" s="355"/>
      <c r="L3336" s="355"/>
      <c r="M3336" s="355"/>
    </row>
    <row r="3337" spans="5:13">
      <c r="E3337" s="355"/>
      <c r="F3337" s="355">
        <v>1</v>
      </c>
      <c r="G3337" s="355" t="s">
        <v>1337</v>
      </c>
      <c r="H3337" s="355" t="s">
        <v>3127</v>
      </c>
      <c r="I3337" s="355">
        <f>I3278</f>
        <v>712</v>
      </c>
      <c r="J3337" s="355" t="s">
        <v>1341</v>
      </c>
      <c r="K3337" s="355">
        <f>F3337*I3337</f>
        <v>712</v>
      </c>
      <c r="L3337" s="355"/>
      <c r="M3337" s="355"/>
    </row>
    <row r="3338" spans="5:13">
      <c r="E3338" s="355"/>
      <c r="F3338" s="355">
        <v>3</v>
      </c>
      <c r="G3338" s="355" t="s">
        <v>1337</v>
      </c>
      <c r="H3338" s="355" t="s">
        <v>2510</v>
      </c>
      <c r="I3338" s="355">
        <f>I3279</f>
        <v>708</v>
      </c>
      <c r="J3338" s="355" t="s">
        <v>1341</v>
      </c>
      <c r="K3338" s="355">
        <f>F3338*I3338</f>
        <v>2124</v>
      </c>
      <c r="L3338" s="355"/>
      <c r="M3338" s="355"/>
    </row>
    <row r="3339" spans="5:13">
      <c r="E3339" s="355"/>
      <c r="F3339" s="355"/>
      <c r="G3339" s="355"/>
      <c r="H3339" s="360" t="s">
        <v>3128</v>
      </c>
      <c r="I3339" s="355"/>
      <c r="J3339" s="355"/>
      <c r="K3339" s="364">
        <f>SUM(K3337:K3338)</f>
        <v>2836</v>
      </c>
      <c r="L3339" s="355"/>
      <c r="M3339" s="355"/>
    </row>
    <row r="3340" spans="5:13">
      <c r="E3340" s="355"/>
      <c r="F3340" s="355"/>
      <c r="G3340" s="355"/>
      <c r="H3340" s="360" t="s">
        <v>3129</v>
      </c>
      <c r="I3340" s="355"/>
      <c r="J3340" s="355"/>
      <c r="K3340" s="363">
        <f>K3339/10</f>
        <v>283.60000000000002</v>
      </c>
      <c r="L3340" s="355"/>
      <c r="M3340" s="355"/>
    </row>
    <row r="3341" spans="5:13">
      <c r="E3341" s="355"/>
      <c r="F3341" s="355"/>
      <c r="G3341" s="355"/>
      <c r="H3341" s="355"/>
      <c r="I3341" s="355"/>
      <c r="J3341" s="355"/>
      <c r="K3341" s="355"/>
      <c r="L3341" s="355"/>
      <c r="M3341" s="355"/>
    </row>
    <row r="3342" spans="5:13">
      <c r="E3342" s="355"/>
      <c r="F3342" s="355"/>
      <c r="G3342" s="355"/>
      <c r="H3342" s="363" t="s">
        <v>3130</v>
      </c>
      <c r="I3342" s="355"/>
      <c r="J3342" s="355"/>
      <c r="K3342" s="355"/>
      <c r="L3342" s="355"/>
      <c r="M3342" s="355"/>
    </row>
    <row r="3343" spans="5:13" ht="103.5" customHeight="1">
      <c r="E3343" s="355"/>
      <c r="F3343" s="355"/>
      <c r="G3343" s="355"/>
      <c r="H3343" s="354" t="s">
        <v>3753</v>
      </c>
      <c r="I3343" s="355"/>
      <c r="J3343" s="355"/>
      <c r="K3343" s="355"/>
      <c r="L3343" s="355"/>
      <c r="M3343" s="355"/>
    </row>
    <row r="3344" spans="5:13">
      <c r="E3344" s="355"/>
      <c r="F3344" s="355"/>
      <c r="G3344" s="355"/>
      <c r="H3344" s="355"/>
      <c r="I3344" s="355"/>
      <c r="J3344" s="355"/>
      <c r="K3344" s="355"/>
      <c r="L3344" s="355"/>
      <c r="M3344" s="355"/>
    </row>
    <row r="3345" spans="5:13">
      <c r="E3345" s="355"/>
      <c r="F3345" s="355">
        <v>1</v>
      </c>
      <c r="G3345" s="355" t="s">
        <v>1337</v>
      </c>
      <c r="H3345" s="363" t="s">
        <v>3751</v>
      </c>
      <c r="I3345" s="567">
        <v>110</v>
      </c>
      <c r="J3345" s="355" t="s">
        <v>1337</v>
      </c>
      <c r="K3345" s="355">
        <f>F3345*I3345</f>
        <v>110</v>
      </c>
      <c r="L3345" s="355"/>
      <c r="M3345" s="355"/>
    </row>
    <row r="3346" spans="5:13" ht="52.5" customHeight="1">
      <c r="E3346" s="355"/>
      <c r="F3346" s="355"/>
      <c r="G3346" s="355"/>
      <c r="H3346" s="354" t="s">
        <v>3133</v>
      </c>
      <c r="I3346" s="355"/>
      <c r="J3346" s="355"/>
      <c r="K3346" s="355">
        <v>22.75</v>
      </c>
      <c r="L3346" s="355"/>
      <c r="M3346" s="355"/>
    </row>
    <row r="3347" spans="5:13">
      <c r="E3347" s="355"/>
      <c r="F3347" s="355"/>
      <c r="G3347" s="355"/>
      <c r="H3347" s="355" t="s">
        <v>878</v>
      </c>
      <c r="I3347" s="355"/>
      <c r="J3347" s="355"/>
      <c r="K3347" s="355">
        <f>K3356</f>
        <v>382.25</v>
      </c>
      <c r="L3347" s="355"/>
      <c r="M3347" s="355"/>
    </row>
    <row r="3348" spans="5:13">
      <c r="E3348" s="355"/>
      <c r="F3348" s="355"/>
      <c r="G3348" s="355"/>
      <c r="H3348" s="362" t="s">
        <v>1024</v>
      </c>
      <c r="I3348" s="355"/>
      <c r="J3348" s="355"/>
      <c r="K3348" s="363">
        <f>SUM(K3345:K3347)</f>
        <v>515</v>
      </c>
      <c r="L3348" s="355">
        <f>K3348-376</f>
        <v>139</v>
      </c>
      <c r="M3348" s="355"/>
    </row>
    <row r="3349" spans="5:13">
      <c r="E3349" s="355"/>
      <c r="F3349" s="355"/>
      <c r="G3349" s="355"/>
      <c r="H3349" s="362"/>
      <c r="I3349" s="355"/>
      <c r="J3349" s="355"/>
      <c r="K3349" s="363"/>
      <c r="L3349" s="355"/>
      <c r="M3349" s="355"/>
    </row>
    <row r="3350" spans="5:13">
      <c r="E3350" s="355"/>
      <c r="F3350" s="355"/>
      <c r="G3350" s="355"/>
      <c r="H3350" s="355" t="s">
        <v>138</v>
      </c>
      <c r="I3350" s="355"/>
      <c r="J3350" s="355"/>
      <c r="K3350" s="355"/>
      <c r="L3350" s="355"/>
      <c r="M3350" s="355"/>
    </row>
    <row r="3351" spans="5:13">
      <c r="E3351" s="355"/>
      <c r="F3351" s="355">
        <v>1</v>
      </c>
      <c r="G3351" s="355"/>
      <c r="H3351" s="355" t="s">
        <v>2691</v>
      </c>
      <c r="I3351" s="355">
        <f>I2867</f>
        <v>712</v>
      </c>
      <c r="J3351" s="355" t="s">
        <v>1337</v>
      </c>
      <c r="K3351" s="355">
        <f>F3351*I3351</f>
        <v>712</v>
      </c>
      <c r="L3351" s="355"/>
      <c r="M3351" s="355"/>
    </row>
    <row r="3352" spans="5:13">
      <c r="E3352" s="355"/>
      <c r="F3352" s="355">
        <v>3</v>
      </c>
      <c r="G3352" s="355"/>
      <c r="H3352" s="355" t="s">
        <v>2510</v>
      </c>
      <c r="I3352" s="355">
        <f>I2868</f>
        <v>708</v>
      </c>
      <c r="J3352" s="355" t="s">
        <v>1337</v>
      </c>
      <c r="K3352" s="355">
        <f>F3352*I3352</f>
        <v>2124</v>
      </c>
      <c r="L3352" s="355"/>
      <c r="M3352" s="355"/>
    </row>
    <row r="3353" spans="5:13">
      <c r="E3353" s="355"/>
      <c r="F3353" s="355">
        <v>1</v>
      </c>
      <c r="G3353" s="355"/>
      <c r="H3353" s="355" t="s">
        <v>2246</v>
      </c>
      <c r="I3353" s="355">
        <f>I2869</f>
        <v>556</v>
      </c>
      <c r="J3353" s="355" t="s">
        <v>1337</v>
      </c>
      <c r="K3353" s="355">
        <f>F3353*I3353</f>
        <v>556</v>
      </c>
      <c r="L3353" s="355"/>
      <c r="M3353" s="355"/>
    </row>
    <row r="3354" spans="5:13">
      <c r="E3354" s="355"/>
      <c r="F3354" s="355">
        <v>0.5</v>
      </c>
      <c r="G3354" s="355"/>
      <c r="H3354" s="355" t="str">
        <f>Elec.Data!H3354</f>
        <v>Mason I ( it-25 /37  ,p-11)</v>
      </c>
      <c r="I3354" s="356">
        <f>Elec.Data!I3354</f>
        <v>861</v>
      </c>
      <c r="J3354" s="355" t="s">
        <v>1337</v>
      </c>
      <c r="K3354" s="355">
        <f>F3354*I3354</f>
        <v>430.5</v>
      </c>
      <c r="L3354" s="355"/>
      <c r="M3354" s="355"/>
    </row>
    <row r="3355" spans="5:13">
      <c r="E3355" s="355"/>
      <c r="F3355" s="355"/>
      <c r="G3355" s="355"/>
      <c r="H3355" s="360" t="s">
        <v>3134</v>
      </c>
      <c r="I3355" s="355"/>
      <c r="J3355" s="355"/>
      <c r="K3355" s="361">
        <f>SUM(K3351:K3354)</f>
        <v>3822.5</v>
      </c>
      <c r="L3355" s="355"/>
      <c r="M3355" s="355"/>
    </row>
    <row r="3356" spans="5:13">
      <c r="E3356" s="355"/>
      <c r="F3356" s="355"/>
      <c r="G3356" s="355"/>
      <c r="H3356" s="362" t="s">
        <v>3135</v>
      </c>
      <c r="I3356" s="363"/>
      <c r="J3356" s="363"/>
      <c r="K3356" s="363">
        <f>K3355/10</f>
        <v>382.25</v>
      </c>
      <c r="L3356" s="355"/>
      <c r="M3356" s="355"/>
    </row>
    <row r="3357" spans="5:13">
      <c r="E3357" s="355"/>
      <c r="F3357" s="355"/>
      <c r="G3357" s="355"/>
      <c r="H3357" s="355"/>
      <c r="I3357" s="355"/>
      <c r="J3357" s="355"/>
      <c r="K3357" s="355"/>
      <c r="L3357" s="355"/>
      <c r="M3357" s="355"/>
    </row>
    <row r="3358" spans="5:13">
      <c r="E3358" s="355"/>
      <c r="F3358" s="355"/>
      <c r="G3358" s="355"/>
      <c r="H3358" s="363" t="s">
        <v>3136</v>
      </c>
      <c r="I3358" s="355"/>
      <c r="J3358" s="355"/>
      <c r="K3358" s="355"/>
      <c r="L3358" s="355"/>
      <c r="M3358" s="355"/>
    </row>
    <row r="3359" spans="5:13">
      <c r="E3359" s="355"/>
      <c r="F3359" s="355"/>
      <c r="G3359" s="355"/>
      <c r="H3359" s="363" t="s">
        <v>3137</v>
      </c>
      <c r="I3359" s="355"/>
      <c r="J3359" s="355"/>
      <c r="K3359" s="355"/>
      <c r="L3359" s="355"/>
      <c r="M3359" s="355"/>
    </row>
    <row r="3360" spans="5:13">
      <c r="E3360" s="355"/>
      <c r="F3360" s="355"/>
      <c r="G3360" s="355"/>
      <c r="H3360" s="355"/>
      <c r="I3360" s="355"/>
      <c r="J3360" s="355"/>
      <c r="K3360" s="355"/>
      <c r="L3360" s="355"/>
      <c r="M3360" s="355"/>
    </row>
    <row r="3361" spans="5:13" ht="103.5" customHeight="1">
      <c r="E3361" s="355"/>
      <c r="F3361" s="355"/>
      <c r="G3361" s="355"/>
      <c r="H3361" s="354" t="s">
        <v>3167</v>
      </c>
      <c r="I3361" s="355"/>
      <c r="J3361" s="355"/>
      <c r="K3361" s="355"/>
      <c r="L3361" s="355"/>
      <c r="M3361" s="355"/>
    </row>
    <row r="3362" spans="5:13">
      <c r="E3362" s="355"/>
      <c r="F3362" s="355"/>
      <c r="G3362" s="355"/>
      <c r="H3362" s="355"/>
      <c r="I3362" s="355"/>
      <c r="J3362" s="355"/>
      <c r="K3362" s="355"/>
      <c r="L3362" s="355"/>
      <c r="M3362" s="355"/>
    </row>
    <row r="3363" spans="5:13">
      <c r="E3363" s="355"/>
      <c r="F3363" s="355">
        <v>1</v>
      </c>
      <c r="G3363" s="355" t="s">
        <v>1337</v>
      </c>
      <c r="H3363" s="355" t="s">
        <v>3168</v>
      </c>
      <c r="I3363" s="355">
        <f>K3368</f>
        <v>128.47</v>
      </c>
      <c r="J3363" s="355" t="s">
        <v>1341</v>
      </c>
      <c r="K3363" s="355">
        <f>F3363*I3363</f>
        <v>128.47</v>
      </c>
      <c r="L3363" s="355"/>
      <c r="M3363" s="355"/>
    </row>
    <row r="3364" spans="5:13" ht="51" customHeight="1">
      <c r="E3364" s="355"/>
      <c r="F3364" s="355" t="s">
        <v>625</v>
      </c>
      <c r="G3364" s="355" t="s">
        <v>625</v>
      </c>
      <c r="H3364" s="354" t="s">
        <v>3169</v>
      </c>
      <c r="I3364" s="355" t="s">
        <v>625</v>
      </c>
      <c r="J3364" s="355" t="s">
        <v>625</v>
      </c>
      <c r="K3364" s="355">
        <v>40.33</v>
      </c>
      <c r="L3364" s="355"/>
      <c r="M3364" s="355"/>
    </row>
    <row r="3365" spans="5:13">
      <c r="E3365" s="355"/>
      <c r="F3365" s="355"/>
      <c r="G3365" s="355"/>
      <c r="H3365" s="355" t="s">
        <v>138</v>
      </c>
      <c r="I3365" s="355"/>
      <c r="J3365" s="355"/>
      <c r="K3365" s="355">
        <f>K3340</f>
        <v>283.60000000000002</v>
      </c>
      <c r="L3365" s="355"/>
      <c r="M3365" s="355"/>
    </row>
    <row r="3366" spans="5:13">
      <c r="E3366" s="355"/>
      <c r="F3366" s="355"/>
      <c r="G3366" s="355"/>
      <c r="H3366" s="362" t="s">
        <v>1024</v>
      </c>
      <c r="I3366" s="355"/>
      <c r="J3366" s="355"/>
      <c r="K3366" s="363">
        <f>SUM(K3363:K3365)</f>
        <v>452.4</v>
      </c>
      <c r="L3366" s="355"/>
      <c r="M3366" s="355"/>
    </row>
    <row r="3367" spans="5:13">
      <c r="E3367" s="355"/>
      <c r="F3367" s="355"/>
      <c r="G3367" s="355"/>
      <c r="H3367" s="355"/>
      <c r="I3367" s="355"/>
      <c r="J3367" s="355"/>
      <c r="K3367" s="363"/>
      <c r="L3367" s="355"/>
      <c r="M3367" s="355"/>
    </row>
    <row r="3368" spans="5:13">
      <c r="E3368" s="355"/>
      <c r="F3368" s="355"/>
      <c r="G3368" s="355"/>
      <c r="H3368" s="363" t="s">
        <v>3168</v>
      </c>
      <c r="I3368" s="355">
        <f>I3335</f>
        <v>107060</v>
      </c>
      <c r="J3368" s="369">
        <f>0.0012</f>
        <v>1.1999999999999999E-3</v>
      </c>
      <c r="K3368" s="363">
        <f>I3368*J3368</f>
        <v>128.47</v>
      </c>
      <c r="L3368" s="355"/>
      <c r="M3368" s="355"/>
    </row>
    <row r="3369" spans="5:13">
      <c r="E3369" s="355"/>
      <c r="F3369" s="355"/>
      <c r="G3369" s="355"/>
      <c r="H3369" s="355"/>
      <c r="I3369" s="355"/>
      <c r="J3369" s="355"/>
      <c r="K3369" s="355"/>
      <c r="L3369" s="355"/>
      <c r="M3369" s="355"/>
    </row>
    <row r="3370" spans="5:13">
      <c r="E3370" s="355"/>
      <c r="F3370" s="355"/>
      <c r="G3370" s="355"/>
      <c r="H3370" s="363" t="s">
        <v>2583</v>
      </c>
      <c r="I3370" s="355"/>
      <c r="J3370" s="355"/>
      <c r="K3370" s="355"/>
      <c r="L3370" s="355"/>
      <c r="M3370" s="355"/>
    </row>
    <row r="3371" spans="5:13">
      <c r="E3371" s="355"/>
      <c r="F3371" s="355"/>
      <c r="G3371" s="355"/>
      <c r="H3371" s="355"/>
      <c r="I3371" s="355"/>
      <c r="J3371" s="355"/>
      <c r="K3371" s="355"/>
      <c r="L3371" s="355"/>
      <c r="M3371" s="355"/>
    </row>
    <row r="3372" spans="5:13">
      <c r="E3372" s="355"/>
      <c r="F3372" s="355"/>
      <c r="G3372" s="355"/>
      <c r="H3372" s="363" t="s">
        <v>2457</v>
      </c>
      <c r="I3372" s="355"/>
      <c r="J3372" s="355"/>
      <c r="K3372" s="355"/>
      <c r="L3372" s="355"/>
      <c r="M3372" s="355"/>
    </row>
    <row r="3373" spans="5:13">
      <c r="E3373" s="355"/>
      <c r="F3373" s="355"/>
      <c r="G3373" s="355"/>
      <c r="H3373" s="355"/>
      <c r="I3373" s="355"/>
      <c r="J3373" s="355"/>
      <c r="K3373" s="355"/>
      <c r="L3373" s="355"/>
      <c r="M3373" s="355"/>
    </row>
    <row r="3374" spans="5:13" ht="102" customHeight="1">
      <c r="E3374" s="355"/>
      <c r="F3374" s="355"/>
      <c r="G3374" s="355"/>
      <c r="H3374" s="354" t="s">
        <v>3752</v>
      </c>
      <c r="I3374" s="355"/>
      <c r="J3374" s="355"/>
      <c r="K3374" s="355"/>
      <c r="L3374" s="355"/>
      <c r="M3374" s="355"/>
    </row>
    <row r="3375" spans="5:13">
      <c r="E3375" s="355"/>
      <c r="F3375" s="355"/>
      <c r="G3375" s="355"/>
      <c r="H3375" s="355"/>
      <c r="I3375" s="355"/>
      <c r="J3375" s="355"/>
      <c r="K3375" s="355"/>
      <c r="L3375" s="355"/>
      <c r="M3375" s="355"/>
    </row>
    <row r="3376" spans="5:13">
      <c r="E3376" s="355"/>
      <c r="F3376" s="355">
        <v>1</v>
      </c>
      <c r="G3376" s="355" t="s">
        <v>1337</v>
      </c>
      <c r="H3376" s="363" t="s">
        <v>3751</v>
      </c>
      <c r="I3376" s="567">
        <v>110</v>
      </c>
      <c r="J3376" s="355" t="s">
        <v>1337</v>
      </c>
      <c r="K3376" s="355">
        <f>F3376*I3376</f>
        <v>110</v>
      </c>
      <c r="L3376" s="355"/>
      <c r="M3376" s="355"/>
    </row>
    <row r="3377" spans="5:13" ht="31.5">
      <c r="E3377" s="355"/>
      <c r="F3377" s="355"/>
      <c r="G3377" s="355"/>
      <c r="H3377" s="354" t="s">
        <v>3133</v>
      </c>
      <c r="I3377" s="355"/>
      <c r="J3377" s="355"/>
      <c r="K3377" s="355">
        <v>35.75</v>
      </c>
      <c r="L3377" s="355"/>
      <c r="M3377" s="355"/>
    </row>
    <row r="3378" spans="5:13">
      <c r="E3378" s="355"/>
      <c r="F3378" s="355"/>
      <c r="G3378" s="355"/>
      <c r="H3378" s="355" t="s">
        <v>878</v>
      </c>
      <c r="I3378" s="355"/>
      <c r="J3378" s="355"/>
      <c r="K3378" s="355">
        <f>K3356</f>
        <v>382.25</v>
      </c>
      <c r="L3378" s="355"/>
      <c r="M3378" s="355"/>
    </row>
    <row r="3379" spans="5:13">
      <c r="E3379" s="355"/>
      <c r="F3379" s="355"/>
      <c r="G3379" s="355"/>
      <c r="H3379" s="362" t="s">
        <v>1024</v>
      </c>
      <c r="I3379" s="355"/>
      <c r="J3379" s="355"/>
      <c r="K3379" s="363">
        <f>SUM(K3376:K3378)</f>
        <v>528</v>
      </c>
      <c r="L3379" s="355">
        <f>389-K3379</f>
        <v>-139</v>
      </c>
      <c r="M3379" s="355"/>
    </row>
    <row r="3380" spans="5:13">
      <c r="E3380" s="355"/>
      <c r="F3380" s="355"/>
      <c r="G3380" s="355"/>
      <c r="H3380" s="355"/>
      <c r="I3380" s="355"/>
      <c r="J3380" s="355"/>
      <c r="K3380" s="355"/>
      <c r="L3380" s="355"/>
      <c r="M3380" s="355"/>
    </row>
    <row r="3381" spans="5:13">
      <c r="E3381" s="355"/>
      <c r="F3381" s="355"/>
      <c r="G3381" s="355"/>
      <c r="H3381" s="363" t="s">
        <v>2328</v>
      </c>
      <c r="I3381" s="355"/>
      <c r="J3381" s="355"/>
      <c r="K3381" s="355"/>
      <c r="L3381" s="355"/>
      <c r="M3381" s="355"/>
    </row>
    <row r="3382" spans="5:13">
      <c r="E3382" s="355"/>
      <c r="F3382" s="355"/>
      <c r="G3382" s="355"/>
      <c r="H3382" s="363" t="s">
        <v>2329</v>
      </c>
      <c r="I3382" s="355"/>
      <c r="J3382" s="355"/>
      <c r="K3382" s="355"/>
      <c r="L3382" s="355"/>
      <c r="M3382" s="355"/>
    </row>
    <row r="3383" spans="5:13">
      <c r="E3383" s="355"/>
      <c r="F3383" s="355"/>
      <c r="G3383" s="355"/>
      <c r="H3383" s="355"/>
      <c r="I3383" s="355"/>
      <c r="J3383" s="355"/>
      <c r="K3383" s="355"/>
      <c r="L3383" s="355"/>
      <c r="M3383" s="355"/>
    </row>
    <row r="3384" spans="5:13" ht="39" customHeight="1">
      <c r="E3384" s="355"/>
      <c r="F3384" s="355">
        <v>1</v>
      </c>
      <c r="G3384" s="355" t="s">
        <v>1337</v>
      </c>
      <c r="H3384" s="354" t="str">
        <f>Elec.Data!H3384</f>
        <v>25 Amps rating single phase ELCB with 10 to 25 MA sensitivity (ISI make ) (DP) P-133   10-b havells  part -L</v>
      </c>
      <c r="I3384" s="356">
        <f>Elec.Data!I3384</f>
        <v>1754</v>
      </c>
      <c r="J3384" s="355" t="s">
        <v>1337</v>
      </c>
      <c r="K3384" s="363">
        <f>F3384*I3384</f>
        <v>1754</v>
      </c>
      <c r="L3384" s="355"/>
      <c r="M3384" s="355"/>
    </row>
    <row r="3385" spans="5:13">
      <c r="E3385" s="355"/>
      <c r="F3385" s="355"/>
      <c r="G3385" s="355"/>
      <c r="H3385" s="355"/>
      <c r="I3385" s="355"/>
      <c r="J3385" s="355"/>
      <c r="K3385" s="355"/>
      <c r="L3385" s="355"/>
      <c r="M3385" s="355"/>
    </row>
    <row r="3386" spans="5:13">
      <c r="E3386" s="355"/>
      <c r="F3386" s="355"/>
      <c r="G3386" s="355"/>
      <c r="H3386" s="363" t="s">
        <v>2330</v>
      </c>
      <c r="I3386" s="355"/>
      <c r="J3386" s="355"/>
      <c r="K3386" s="355"/>
      <c r="L3386" s="355"/>
      <c r="M3386" s="355"/>
    </row>
    <row r="3387" spans="5:13">
      <c r="E3387" s="355"/>
      <c r="F3387" s="355"/>
      <c r="G3387" s="355"/>
      <c r="H3387" s="363" t="s">
        <v>2317</v>
      </c>
      <c r="I3387" s="355"/>
      <c r="J3387" s="355"/>
      <c r="K3387" s="355"/>
      <c r="L3387" s="355"/>
      <c r="M3387" s="355"/>
    </row>
    <row r="3388" spans="5:13">
      <c r="E3388" s="355"/>
      <c r="F3388" s="355"/>
      <c r="G3388" s="355"/>
      <c r="H3388" s="355"/>
      <c r="I3388" s="355"/>
      <c r="J3388" s="355"/>
      <c r="K3388" s="355"/>
      <c r="L3388" s="355"/>
      <c r="M3388" s="355"/>
    </row>
    <row r="3389" spans="5:13" ht="36.75" customHeight="1">
      <c r="E3389" s="355"/>
      <c r="F3389" s="355">
        <v>1</v>
      </c>
      <c r="G3389" s="355" t="s">
        <v>1337</v>
      </c>
      <c r="H3389" s="354" t="s">
        <v>4193</v>
      </c>
      <c r="I3389" s="356">
        <f>Elec.Data!I3389</f>
        <v>1858</v>
      </c>
      <c r="J3389" s="355" t="s">
        <v>1337</v>
      </c>
      <c r="K3389" s="374">
        <f>F3389*I3389</f>
        <v>1858</v>
      </c>
      <c r="L3389" s="355"/>
      <c r="M3389" s="355"/>
    </row>
    <row r="3390" spans="5:13" ht="7.5" customHeight="1">
      <c r="E3390" s="355"/>
      <c r="F3390" s="355"/>
      <c r="G3390" s="355"/>
      <c r="H3390" s="355"/>
      <c r="I3390" s="355"/>
      <c r="J3390" s="355"/>
      <c r="K3390" s="355"/>
      <c r="L3390" s="355"/>
      <c r="M3390" s="355"/>
    </row>
    <row r="3391" spans="5:13">
      <c r="E3391" s="355"/>
      <c r="F3391" s="355"/>
      <c r="G3391" s="355"/>
      <c r="H3391" s="363" t="s">
        <v>2318</v>
      </c>
      <c r="I3391" s="355"/>
      <c r="J3391" s="355"/>
      <c r="K3391" s="355"/>
      <c r="L3391" s="355"/>
      <c r="M3391" s="355"/>
    </row>
    <row r="3392" spans="5:13">
      <c r="E3392" s="355"/>
      <c r="F3392" s="355"/>
      <c r="G3392" s="355"/>
      <c r="H3392" s="363" t="s">
        <v>2319</v>
      </c>
      <c r="I3392" s="355"/>
      <c r="J3392" s="355"/>
      <c r="K3392" s="355"/>
      <c r="L3392" s="355"/>
      <c r="M3392" s="355"/>
    </row>
    <row r="3393" spans="5:15">
      <c r="E3393" s="355"/>
      <c r="F3393" s="355"/>
      <c r="G3393" s="355"/>
      <c r="H3393" s="361" t="s">
        <v>2320</v>
      </c>
      <c r="I3393" s="355"/>
      <c r="J3393" s="355"/>
      <c r="K3393" s="355"/>
      <c r="L3393" s="355"/>
      <c r="M3393" s="355"/>
    </row>
    <row r="3394" spans="5:15">
      <c r="E3394" s="355"/>
      <c r="F3394" s="355"/>
      <c r="G3394" s="355"/>
      <c r="H3394" s="355"/>
      <c r="I3394" s="355"/>
      <c r="J3394" s="355"/>
      <c r="K3394" s="355"/>
      <c r="L3394" s="355"/>
      <c r="M3394" s="355"/>
    </row>
    <row r="3395" spans="5:15" ht="63">
      <c r="E3395" s="355"/>
      <c r="F3395" s="355"/>
      <c r="G3395" s="355"/>
      <c r="H3395" s="354" t="s">
        <v>2632</v>
      </c>
      <c r="I3395" s="355"/>
      <c r="J3395" s="355"/>
      <c r="K3395" s="355"/>
      <c r="L3395" s="354" t="s">
        <v>3410</v>
      </c>
      <c r="M3395" s="354" t="s">
        <v>3411</v>
      </c>
      <c r="N3395" s="354" t="s">
        <v>3617</v>
      </c>
      <c r="O3395" s="354" t="s">
        <v>3760</v>
      </c>
    </row>
    <row r="3396" spans="5:15">
      <c r="E3396" s="355"/>
      <c r="F3396" s="355">
        <v>1</v>
      </c>
      <c r="G3396" s="355" t="s">
        <v>1337</v>
      </c>
      <c r="H3396" s="355" t="s">
        <v>2633</v>
      </c>
      <c r="I3396" s="356">
        <f>Elec.Data!I3396</f>
        <v>84.4</v>
      </c>
      <c r="J3396" s="355" t="s">
        <v>1337</v>
      </c>
      <c r="K3396" s="355">
        <f>F3396*I3396</f>
        <v>84.4</v>
      </c>
      <c r="L3396" s="355">
        <f>Elec.Data!L3396</f>
        <v>188.4</v>
      </c>
      <c r="M3396" s="355">
        <f>Elec.Data!M3396</f>
        <v>47.6</v>
      </c>
      <c r="N3396" s="355">
        <f>Elec.Data!N3396</f>
        <v>340.3</v>
      </c>
      <c r="O3396" s="367">
        <f>Elec.Data!O3396</f>
        <v>550</v>
      </c>
    </row>
    <row r="3397" spans="5:15">
      <c r="E3397" s="355"/>
      <c r="F3397" s="355">
        <v>1</v>
      </c>
      <c r="G3397" s="355" t="s">
        <v>1337</v>
      </c>
      <c r="H3397" s="355" t="s">
        <v>2634</v>
      </c>
      <c r="I3397" s="355">
        <f>K3402</f>
        <v>32.119999999999997</v>
      </c>
      <c r="J3397" s="355" t="s">
        <v>1337</v>
      </c>
      <c r="K3397" s="355">
        <f>F3397*I3397</f>
        <v>32.119999999999997</v>
      </c>
      <c r="L3397" s="355">
        <f t="shared" ref="L3397:O3399" si="103">K3397</f>
        <v>32.119999999999997</v>
      </c>
      <c r="M3397" s="355">
        <f t="shared" si="103"/>
        <v>32.119999999999997</v>
      </c>
      <c r="N3397" s="355">
        <f t="shared" si="103"/>
        <v>32.119999999999997</v>
      </c>
      <c r="O3397" s="183">
        <f t="shared" si="103"/>
        <v>32.119999999999997</v>
      </c>
    </row>
    <row r="3398" spans="5:15">
      <c r="E3398" s="355"/>
      <c r="F3398" s="355"/>
      <c r="G3398" s="355"/>
      <c r="H3398" s="355" t="s">
        <v>878</v>
      </c>
      <c r="I3398" s="355"/>
      <c r="J3398" s="355"/>
      <c r="K3398" s="355">
        <f>K3409</f>
        <v>386</v>
      </c>
      <c r="L3398" s="355">
        <f t="shared" si="103"/>
        <v>386</v>
      </c>
      <c r="M3398" s="355">
        <f t="shared" si="103"/>
        <v>386</v>
      </c>
      <c r="N3398" s="355">
        <f t="shared" si="103"/>
        <v>386</v>
      </c>
      <c r="O3398" s="183">
        <f t="shared" si="103"/>
        <v>386</v>
      </c>
    </row>
    <row r="3399" spans="5:15">
      <c r="E3399" s="355"/>
      <c r="F3399" s="355"/>
      <c r="G3399" s="355"/>
      <c r="H3399" s="355" t="s">
        <v>2635</v>
      </c>
      <c r="I3399" s="355" t="s">
        <v>625</v>
      </c>
      <c r="J3399" s="355"/>
      <c r="K3399" s="355">
        <v>5.05</v>
      </c>
      <c r="L3399" s="355">
        <f t="shared" si="103"/>
        <v>5.05</v>
      </c>
      <c r="M3399" s="355">
        <f t="shared" si="103"/>
        <v>5.05</v>
      </c>
      <c r="N3399" s="355">
        <f t="shared" si="103"/>
        <v>5.05</v>
      </c>
      <c r="O3399" s="183">
        <f t="shared" si="103"/>
        <v>5.05</v>
      </c>
    </row>
    <row r="3400" spans="5:15">
      <c r="E3400" s="355"/>
      <c r="F3400" s="355"/>
      <c r="G3400" s="355"/>
      <c r="H3400" s="362" t="s">
        <v>1024</v>
      </c>
      <c r="I3400" s="355"/>
      <c r="J3400" s="355"/>
      <c r="K3400" s="363">
        <f>SUM(K3396:K3399)</f>
        <v>507.57</v>
      </c>
      <c r="L3400" s="363">
        <f>SUM(L3396:L3399)</f>
        <v>611.57000000000005</v>
      </c>
      <c r="M3400" s="363">
        <f>SUM(M3396:M3399)</f>
        <v>470.77</v>
      </c>
      <c r="N3400" s="363">
        <f>SUM(N3396:N3399)</f>
        <v>763.47</v>
      </c>
      <c r="O3400" s="363">
        <f>SUM(O3396:O3399)</f>
        <v>973.17</v>
      </c>
    </row>
    <row r="3401" spans="5:15" ht="9.75" customHeight="1">
      <c r="E3401" s="355"/>
      <c r="F3401" s="355"/>
      <c r="G3401" s="355"/>
      <c r="H3401" s="355"/>
      <c r="I3401" s="355"/>
      <c r="J3401" s="355"/>
      <c r="K3401" s="355"/>
      <c r="L3401" s="355"/>
      <c r="M3401" s="355"/>
    </row>
    <row r="3402" spans="5:15">
      <c r="E3402" s="355"/>
      <c r="F3402" s="355"/>
      <c r="G3402" s="355"/>
      <c r="H3402" s="363" t="s">
        <v>2636</v>
      </c>
      <c r="I3402" s="355">
        <f>I3368</f>
        <v>107060</v>
      </c>
      <c r="J3402" s="369">
        <v>2.9999999999999997E-4</v>
      </c>
      <c r="K3402" s="363">
        <f>I3402*J3402</f>
        <v>32.119999999999997</v>
      </c>
      <c r="L3402" s="355"/>
      <c r="M3402" s="355"/>
    </row>
    <row r="3403" spans="5:15">
      <c r="E3403" s="355"/>
      <c r="F3403" s="355"/>
      <c r="G3403" s="355"/>
      <c r="H3403" s="355"/>
      <c r="I3403" s="355"/>
      <c r="J3403" s="355"/>
      <c r="K3403" s="355"/>
      <c r="L3403" s="355"/>
      <c r="M3403" s="355"/>
    </row>
    <row r="3404" spans="5:15">
      <c r="E3404" s="355"/>
      <c r="F3404" s="355"/>
      <c r="G3404" s="355"/>
      <c r="H3404" s="361" t="s">
        <v>138</v>
      </c>
      <c r="I3404" s="355"/>
      <c r="J3404" s="355"/>
      <c r="K3404" s="355"/>
      <c r="L3404" s="355"/>
      <c r="M3404" s="355"/>
    </row>
    <row r="3405" spans="5:15">
      <c r="E3405" s="355"/>
      <c r="F3405" s="355">
        <v>1</v>
      </c>
      <c r="G3405" s="355" t="s">
        <v>1337</v>
      </c>
      <c r="H3405" s="355" t="s">
        <v>2691</v>
      </c>
      <c r="I3405" s="355">
        <f>I3351</f>
        <v>712</v>
      </c>
      <c r="J3405" s="355" t="s">
        <v>1337</v>
      </c>
      <c r="K3405" s="355">
        <f>F3405*I3405</f>
        <v>712</v>
      </c>
      <c r="L3405" s="355"/>
      <c r="M3405" s="355"/>
    </row>
    <row r="3406" spans="5:15">
      <c r="E3406" s="355"/>
      <c r="F3406" s="355">
        <v>1</v>
      </c>
      <c r="G3406" s="355" t="s">
        <v>1337</v>
      </c>
      <c r="H3406" s="355" t="s">
        <v>2510</v>
      </c>
      <c r="I3406" s="355">
        <f>I3352</f>
        <v>708</v>
      </c>
      <c r="J3406" s="355" t="s">
        <v>1337</v>
      </c>
      <c r="K3406" s="355">
        <f>F3406*I3406</f>
        <v>708</v>
      </c>
      <c r="L3406" s="355"/>
      <c r="M3406" s="355"/>
    </row>
    <row r="3407" spans="5:15">
      <c r="E3407" s="355"/>
      <c r="F3407" s="355">
        <v>3</v>
      </c>
      <c r="G3407" s="355" t="s">
        <v>1337</v>
      </c>
      <c r="H3407" s="355" t="s">
        <v>2246</v>
      </c>
      <c r="I3407" s="355">
        <f>I3353</f>
        <v>556</v>
      </c>
      <c r="J3407" s="355" t="s">
        <v>1337</v>
      </c>
      <c r="K3407" s="355">
        <f>F3407*I3407</f>
        <v>1668</v>
      </c>
      <c r="L3407" s="355"/>
      <c r="M3407" s="355"/>
    </row>
    <row r="3408" spans="5:15">
      <c r="E3408" s="355"/>
      <c r="F3408" s="355"/>
      <c r="G3408" s="355"/>
      <c r="H3408" s="360" t="s">
        <v>2585</v>
      </c>
      <c r="I3408" s="355"/>
      <c r="J3408" s="355"/>
      <c r="K3408" s="355">
        <f>SUM(K3405:K3407)</f>
        <v>3088</v>
      </c>
      <c r="L3408" s="355"/>
      <c r="M3408" s="355"/>
    </row>
    <row r="3409" spans="5:13">
      <c r="E3409" s="355"/>
      <c r="F3409" s="355"/>
      <c r="G3409" s="355"/>
      <c r="H3409" s="362" t="s">
        <v>2718</v>
      </c>
      <c r="I3409" s="355"/>
      <c r="J3409" s="355"/>
      <c r="K3409" s="363">
        <f>K3408/8</f>
        <v>386</v>
      </c>
      <c r="L3409" s="355"/>
      <c r="M3409" s="355"/>
    </row>
    <row r="3410" spans="5:13" ht="9" customHeight="1">
      <c r="E3410" s="355"/>
      <c r="F3410" s="355"/>
      <c r="G3410" s="355"/>
      <c r="H3410" s="355"/>
      <c r="I3410" s="355"/>
      <c r="J3410" s="355"/>
      <c r="K3410" s="355"/>
      <c r="L3410" s="355"/>
      <c r="M3410" s="355"/>
    </row>
    <row r="3411" spans="5:13">
      <c r="E3411" s="355"/>
      <c r="F3411" s="355"/>
      <c r="G3411" s="355"/>
      <c r="H3411" s="363" t="s">
        <v>2586</v>
      </c>
      <c r="I3411" s="355"/>
      <c r="J3411" s="355"/>
      <c r="K3411" s="355"/>
      <c r="L3411" s="355"/>
      <c r="M3411" s="355"/>
    </row>
    <row r="3412" spans="5:13">
      <c r="E3412" s="355"/>
      <c r="F3412" s="355"/>
      <c r="G3412" s="355"/>
      <c r="H3412" s="363" t="s">
        <v>2587</v>
      </c>
      <c r="I3412" s="355"/>
      <c r="J3412" s="355"/>
      <c r="K3412" s="355"/>
      <c r="L3412" s="355"/>
      <c r="M3412" s="355"/>
    </row>
    <row r="3413" spans="5:13">
      <c r="E3413" s="355"/>
      <c r="F3413" s="355"/>
      <c r="G3413" s="355"/>
      <c r="H3413" s="355"/>
      <c r="I3413" s="355"/>
      <c r="J3413" s="355"/>
      <c r="K3413" s="355"/>
      <c r="L3413" s="355"/>
      <c r="M3413" s="355"/>
    </row>
    <row r="3414" spans="5:13" ht="63">
      <c r="E3414" s="355"/>
      <c r="F3414" s="355"/>
      <c r="G3414" s="355"/>
      <c r="H3414" s="354" t="s">
        <v>2592</v>
      </c>
      <c r="I3414" s="355"/>
      <c r="J3414" s="355"/>
      <c r="K3414" s="355"/>
      <c r="L3414" s="355" t="s">
        <v>3467</v>
      </c>
      <c r="M3414" s="355"/>
    </row>
    <row r="3415" spans="5:13">
      <c r="E3415" s="355"/>
      <c r="F3415" s="355">
        <v>3</v>
      </c>
      <c r="G3415" s="355" t="s">
        <v>1337</v>
      </c>
      <c r="H3415" s="355" t="s">
        <v>2633</v>
      </c>
      <c r="I3415" s="425">
        <f>I3396</f>
        <v>84.4</v>
      </c>
      <c r="J3415" s="355" t="s">
        <v>1341</v>
      </c>
      <c r="K3415" s="355">
        <f>F3415*I3415</f>
        <v>253.2</v>
      </c>
      <c r="L3415" s="355">
        <f>L3396*3</f>
        <v>565.20000000000005</v>
      </c>
      <c r="M3415" s="355"/>
    </row>
    <row r="3416" spans="5:13">
      <c r="E3416" s="355"/>
      <c r="F3416" s="355">
        <v>1</v>
      </c>
      <c r="G3416" s="355" t="s">
        <v>1337</v>
      </c>
      <c r="H3416" s="355" t="s">
        <v>3124</v>
      </c>
      <c r="I3416" s="355">
        <f>K3421</f>
        <v>64.239999999999995</v>
      </c>
      <c r="J3416" s="355" t="s">
        <v>1337</v>
      </c>
      <c r="K3416" s="355">
        <f>F3416*I3416</f>
        <v>64.239999999999995</v>
      </c>
      <c r="L3416" s="355">
        <f>K3416</f>
        <v>64.239999999999995</v>
      </c>
      <c r="M3416" s="355"/>
    </row>
    <row r="3417" spans="5:13">
      <c r="E3417" s="355"/>
      <c r="F3417" s="355"/>
      <c r="G3417" s="355"/>
      <c r="H3417" s="355" t="s">
        <v>878</v>
      </c>
      <c r="I3417" s="355"/>
      <c r="J3417" s="355"/>
      <c r="K3417" s="355">
        <f>K3428</f>
        <v>455.5</v>
      </c>
      <c r="L3417" s="355">
        <f>K3417</f>
        <v>455.5</v>
      </c>
      <c r="M3417" s="355"/>
    </row>
    <row r="3418" spans="5:13">
      <c r="E3418" s="355"/>
      <c r="F3418" s="355"/>
      <c r="G3418" s="355"/>
      <c r="H3418" s="355" t="s">
        <v>2635</v>
      </c>
      <c r="I3418" s="355" t="s">
        <v>625</v>
      </c>
      <c r="J3418" s="355"/>
      <c r="K3418" s="355">
        <v>8.5299999999999994</v>
      </c>
      <c r="L3418" s="355">
        <f>K3418</f>
        <v>8.5299999999999994</v>
      </c>
      <c r="M3418" s="355"/>
    </row>
    <row r="3419" spans="5:13">
      <c r="E3419" s="355"/>
      <c r="F3419" s="355"/>
      <c r="G3419" s="355"/>
      <c r="H3419" s="362" t="s">
        <v>1024</v>
      </c>
      <c r="I3419" s="355"/>
      <c r="J3419" s="355"/>
      <c r="K3419" s="363">
        <f>SUM(K3415:K3418)</f>
        <v>781.47</v>
      </c>
      <c r="L3419" s="363">
        <f>SUM(L3415:L3418)</f>
        <v>1093.47</v>
      </c>
      <c r="M3419" s="355"/>
    </row>
    <row r="3420" spans="5:13">
      <c r="E3420" s="355"/>
      <c r="F3420" s="355"/>
      <c r="G3420" s="355"/>
      <c r="H3420" s="362"/>
      <c r="I3420" s="355"/>
      <c r="J3420" s="355"/>
      <c r="K3420" s="363"/>
      <c r="L3420" s="355"/>
      <c r="M3420" s="355"/>
    </row>
    <row r="3421" spans="5:13">
      <c r="E3421" s="355"/>
      <c r="F3421" s="355"/>
      <c r="G3421" s="355"/>
      <c r="H3421" s="363" t="s">
        <v>3124</v>
      </c>
      <c r="I3421" s="355">
        <f>I3402</f>
        <v>107060</v>
      </c>
      <c r="J3421" s="369">
        <v>5.9999999999999995E-4</v>
      </c>
      <c r="K3421" s="363">
        <f>I3421*J3421</f>
        <v>64.239999999999995</v>
      </c>
      <c r="L3421" s="355"/>
      <c r="M3421" s="355"/>
    </row>
    <row r="3422" spans="5:13">
      <c r="E3422" s="355"/>
      <c r="F3422" s="355"/>
      <c r="G3422" s="355"/>
      <c r="H3422" s="362"/>
      <c r="I3422" s="355"/>
      <c r="J3422" s="355"/>
      <c r="K3422" s="355"/>
      <c r="L3422" s="355"/>
      <c r="M3422" s="355"/>
    </row>
    <row r="3423" spans="5:13">
      <c r="E3423" s="355"/>
      <c r="F3423" s="355"/>
      <c r="G3423" s="355"/>
      <c r="H3423" s="361" t="s">
        <v>138</v>
      </c>
      <c r="I3423" s="355"/>
      <c r="J3423" s="355"/>
      <c r="K3423" s="355"/>
      <c r="L3423" s="355"/>
      <c r="M3423" s="355"/>
    </row>
    <row r="3424" spans="5:13">
      <c r="E3424" s="355"/>
      <c r="F3424" s="355">
        <v>1</v>
      </c>
      <c r="G3424" s="355" t="s">
        <v>1337</v>
      </c>
      <c r="H3424" s="355" t="s">
        <v>2691</v>
      </c>
      <c r="I3424" s="355">
        <f>I3405</f>
        <v>712</v>
      </c>
      <c r="J3424" s="355" t="s">
        <v>1337</v>
      </c>
      <c r="K3424" s="355">
        <f>F3424*I3424</f>
        <v>712</v>
      </c>
      <c r="L3424" s="355"/>
      <c r="M3424" s="355"/>
    </row>
    <row r="3425" spans="5:13">
      <c r="E3425" s="355"/>
      <c r="F3425" s="355">
        <v>1</v>
      </c>
      <c r="G3425" s="355" t="s">
        <v>1337</v>
      </c>
      <c r="H3425" s="355" t="s">
        <v>2510</v>
      </c>
      <c r="I3425" s="355">
        <f>I3406</f>
        <v>708</v>
      </c>
      <c r="J3425" s="355" t="s">
        <v>1337</v>
      </c>
      <c r="K3425" s="355">
        <f>F3425*I3425</f>
        <v>708</v>
      </c>
      <c r="L3425" s="355"/>
      <c r="M3425" s="355"/>
    </row>
    <row r="3426" spans="5:13">
      <c r="E3426" s="355"/>
      <c r="F3426" s="355">
        <v>4</v>
      </c>
      <c r="G3426" s="355" t="s">
        <v>1337</v>
      </c>
      <c r="H3426" s="355" t="s">
        <v>2246</v>
      </c>
      <c r="I3426" s="355">
        <f>I3407</f>
        <v>556</v>
      </c>
      <c r="J3426" s="355" t="s">
        <v>1337</v>
      </c>
      <c r="K3426" s="355">
        <f>F3426*I3426</f>
        <v>2224</v>
      </c>
      <c r="L3426" s="355"/>
      <c r="M3426" s="355"/>
    </row>
    <row r="3427" spans="5:13">
      <c r="E3427" s="355"/>
      <c r="F3427" s="355"/>
      <c r="G3427" s="355"/>
      <c r="H3427" s="360" t="s">
        <v>2585</v>
      </c>
      <c r="I3427" s="355"/>
      <c r="J3427" s="355"/>
      <c r="K3427" s="355">
        <f>SUM(K3424:K3426)</f>
        <v>3644</v>
      </c>
      <c r="L3427" s="355"/>
      <c r="M3427" s="355"/>
    </row>
    <row r="3428" spans="5:13">
      <c r="E3428" s="355"/>
      <c r="F3428" s="355"/>
      <c r="G3428" s="355"/>
      <c r="H3428" s="362" t="s">
        <v>2818</v>
      </c>
      <c r="I3428" s="355"/>
      <c r="J3428" s="355"/>
      <c r="K3428" s="363">
        <f>K3427/8</f>
        <v>455.5</v>
      </c>
      <c r="L3428" s="355"/>
      <c r="M3428" s="355"/>
    </row>
    <row r="3429" spans="5:13">
      <c r="E3429" s="355"/>
      <c r="F3429" s="355"/>
      <c r="G3429" s="355"/>
      <c r="H3429" s="355"/>
      <c r="I3429" s="355"/>
      <c r="J3429" s="355"/>
      <c r="K3429" s="355"/>
      <c r="L3429" s="355"/>
      <c r="M3429" s="355"/>
    </row>
    <row r="3430" spans="5:13">
      <c r="E3430" s="355"/>
      <c r="F3430" s="355"/>
      <c r="G3430" s="355"/>
      <c r="H3430" s="363" t="s">
        <v>2593</v>
      </c>
      <c r="I3430" s="355"/>
      <c r="J3430" s="355"/>
      <c r="K3430" s="355"/>
      <c r="L3430" s="355"/>
      <c r="M3430" s="355"/>
    </row>
    <row r="3431" spans="5:13">
      <c r="E3431" s="355"/>
      <c r="F3431" s="355"/>
      <c r="G3431" s="355"/>
      <c r="H3431" s="355"/>
      <c r="I3431" s="355"/>
      <c r="J3431" s="355"/>
      <c r="K3431" s="355"/>
      <c r="L3431" s="355"/>
      <c r="M3431" s="355"/>
    </row>
    <row r="3432" spans="5:13">
      <c r="E3432" s="355"/>
      <c r="F3432" s="355"/>
      <c r="G3432" s="355"/>
      <c r="H3432" s="363" t="s">
        <v>2594</v>
      </c>
      <c r="I3432" s="355"/>
      <c r="J3432" s="355"/>
      <c r="K3432" s="355"/>
      <c r="L3432" s="355"/>
      <c r="M3432" s="355"/>
    </row>
    <row r="3433" spans="5:13">
      <c r="E3433" s="355"/>
      <c r="F3433" s="355"/>
      <c r="G3433" s="355"/>
      <c r="H3433" s="355"/>
      <c r="I3433" s="355"/>
      <c r="J3433" s="355"/>
      <c r="K3433" s="355"/>
      <c r="L3433" s="355"/>
      <c r="M3433" s="355"/>
    </row>
    <row r="3434" spans="5:13" ht="81" customHeight="1">
      <c r="E3434" s="355"/>
      <c r="F3434" s="355"/>
      <c r="G3434" s="355"/>
      <c r="H3434" s="354" t="s">
        <v>2282</v>
      </c>
      <c r="I3434" s="355"/>
      <c r="J3434" s="355"/>
      <c r="K3434" s="355"/>
      <c r="L3434" s="355"/>
      <c r="M3434" s="355"/>
    </row>
    <row r="3435" spans="5:13">
      <c r="E3435" s="355"/>
      <c r="F3435" s="355"/>
      <c r="G3435" s="355"/>
      <c r="H3435" s="355"/>
      <c r="I3435" s="355"/>
      <c r="J3435" s="355"/>
      <c r="K3435" s="355"/>
      <c r="L3435" s="355"/>
      <c r="M3435" s="355"/>
    </row>
    <row r="3436" spans="5:13">
      <c r="E3436" s="355"/>
      <c r="F3436" s="355">
        <v>1</v>
      </c>
      <c r="G3436" s="355" t="s">
        <v>1337</v>
      </c>
      <c r="H3436" s="355" t="s">
        <v>4194</v>
      </c>
      <c r="I3436" s="425">
        <v>45.6</v>
      </c>
      <c r="J3436" s="355" t="s">
        <v>1337</v>
      </c>
      <c r="K3436" s="355">
        <f>F3436*I3436</f>
        <v>45.6</v>
      </c>
      <c r="L3436" s="355"/>
      <c r="M3436" s="355"/>
    </row>
    <row r="3437" spans="5:13">
      <c r="E3437" s="355"/>
      <c r="F3437" s="355">
        <v>1</v>
      </c>
      <c r="G3437" s="355" t="s">
        <v>1337</v>
      </c>
      <c r="H3437" s="354" t="s">
        <v>2283</v>
      </c>
      <c r="I3437" s="355">
        <f>K3443</f>
        <v>240.89</v>
      </c>
      <c r="J3437" s="355" t="s">
        <v>1337</v>
      </c>
      <c r="K3437" s="355">
        <f>F3437*I3437</f>
        <v>240.89</v>
      </c>
      <c r="L3437" s="355"/>
      <c r="M3437" s="355"/>
    </row>
    <row r="3438" spans="5:13">
      <c r="E3438" s="355"/>
      <c r="F3438" s="355">
        <v>1</v>
      </c>
      <c r="G3438" s="355" t="s">
        <v>1337</v>
      </c>
      <c r="H3438" s="355" t="s">
        <v>2284</v>
      </c>
      <c r="I3438" s="445">
        <v>25</v>
      </c>
      <c r="J3438" s="355" t="s">
        <v>2285</v>
      </c>
      <c r="K3438" s="355">
        <f>F3438*I3438</f>
        <v>25</v>
      </c>
      <c r="L3438" s="355"/>
      <c r="M3438" s="355"/>
    </row>
    <row r="3439" spans="5:13">
      <c r="E3439" s="355"/>
      <c r="F3439" s="355"/>
      <c r="G3439" s="355"/>
      <c r="H3439" s="355" t="s">
        <v>138</v>
      </c>
      <c r="I3439" s="355"/>
      <c r="J3439" s="355"/>
      <c r="K3439" s="355">
        <f>K3449</f>
        <v>456</v>
      </c>
      <c r="L3439" s="355"/>
      <c r="M3439" s="355"/>
    </row>
    <row r="3440" spans="5:13">
      <c r="E3440" s="355"/>
      <c r="F3440" s="355"/>
      <c r="G3440" s="355"/>
      <c r="H3440" s="355" t="s">
        <v>2286</v>
      </c>
      <c r="I3440" s="355"/>
      <c r="J3440" s="355"/>
      <c r="K3440" s="355">
        <v>8.01</v>
      </c>
      <c r="L3440" s="355"/>
      <c r="M3440" s="355"/>
    </row>
    <row r="3441" spans="5:13">
      <c r="E3441" s="355"/>
      <c r="F3441" s="355"/>
      <c r="G3441" s="355"/>
      <c r="H3441" s="362" t="s">
        <v>2287</v>
      </c>
      <c r="I3441" s="355"/>
      <c r="J3441" s="355"/>
      <c r="K3441" s="363">
        <f>SUM(K3436:K3440)</f>
        <v>775.5</v>
      </c>
      <c r="L3441" s="355"/>
      <c r="M3441" s="355"/>
    </row>
    <row r="3442" spans="5:13" ht="8.25" customHeight="1">
      <c r="E3442" s="355"/>
      <c r="F3442" s="355"/>
      <c r="G3442" s="355"/>
      <c r="H3442" s="355"/>
      <c r="I3442" s="355"/>
      <c r="J3442" s="355"/>
      <c r="K3442" s="355"/>
      <c r="L3442" s="355"/>
      <c r="M3442" s="355"/>
    </row>
    <row r="3443" spans="5:13">
      <c r="E3443" s="355"/>
      <c r="F3443" s="355"/>
      <c r="G3443" s="355"/>
      <c r="H3443" s="363" t="s">
        <v>2288</v>
      </c>
      <c r="I3443" s="355">
        <f>I3421</f>
        <v>107060</v>
      </c>
      <c r="J3443" s="375">
        <v>2.2499999999999998E-3</v>
      </c>
      <c r="K3443" s="355">
        <f>I3443*J3443</f>
        <v>240.89</v>
      </c>
      <c r="L3443" s="355"/>
      <c r="M3443" s="355"/>
    </row>
    <row r="3444" spans="5:13" ht="7.5" customHeight="1">
      <c r="E3444" s="355"/>
      <c r="F3444" s="355"/>
      <c r="G3444" s="355"/>
      <c r="H3444" s="355"/>
      <c r="I3444" s="355"/>
      <c r="J3444" s="355"/>
      <c r="K3444" s="355"/>
      <c r="L3444" s="355"/>
      <c r="M3444" s="355"/>
    </row>
    <row r="3445" spans="5:13">
      <c r="E3445" s="355"/>
      <c r="F3445" s="355"/>
      <c r="G3445" s="355"/>
      <c r="H3445" s="363" t="s">
        <v>878</v>
      </c>
      <c r="I3445" s="355"/>
      <c r="J3445" s="355"/>
      <c r="K3445" s="355"/>
      <c r="L3445" s="355"/>
      <c r="M3445" s="355"/>
    </row>
    <row r="3446" spans="5:13">
      <c r="E3446" s="355"/>
      <c r="F3446" s="355">
        <v>1</v>
      </c>
      <c r="G3446" s="355" t="s">
        <v>1337</v>
      </c>
      <c r="H3446" s="355" t="s">
        <v>2691</v>
      </c>
      <c r="I3446" s="183">
        <f>I3424</f>
        <v>712</v>
      </c>
      <c r="J3446" s="355" t="s">
        <v>1337</v>
      </c>
      <c r="K3446" s="355">
        <f>F3446*I3446</f>
        <v>712</v>
      </c>
      <c r="L3446" s="355"/>
      <c r="M3446" s="355"/>
    </row>
    <row r="3447" spans="5:13">
      <c r="E3447" s="355"/>
      <c r="F3447" s="355">
        <v>2</v>
      </c>
      <c r="G3447" s="355" t="s">
        <v>1337</v>
      </c>
      <c r="H3447" s="355" t="s">
        <v>2511</v>
      </c>
      <c r="I3447" s="183">
        <f>I3426</f>
        <v>556</v>
      </c>
      <c r="J3447" s="355" t="s">
        <v>1337</v>
      </c>
      <c r="K3447" s="355">
        <f>F3447*I3447</f>
        <v>1112</v>
      </c>
      <c r="L3447" s="355"/>
      <c r="M3447" s="355"/>
    </row>
    <row r="3448" spans="5:13">
      <c r="E3448" s="355"/>
      <c r="F3448" s="355"/>
      <c r="G3448" s="355"/>
      <c r="H3448" s="360" t="s">
        <v>2692</v>
      </c>
      <c r="I3448" s="355"/>
      <c r="J3448" s="355"/>
      <c r="K3448" s="355">
        <f>SUM(K3446:K3447)</f>
        <v>1824</v>
      </c>
      <c r="L3448" s="355"/>
      <c r="M3448" s="355"/>
    </row>
    <row r="3449" spans="5:13">
      <c r="E3449" s="355"/>
      <c r="F3449" s="355"/>
      <c r="G3449" s="355"/>
      <c r="H3449" s="362" t="s">
        <v>2718</v>
      </c>
      <c r="I3449" s="355"/>
      <c r="J3449" s="355"/>
      <c r="K3449" s="363">
        <f>K3448/4</f>
        <v>456</v>
      </c>
      <c r="L3449" s="355"/>
      <c r="M3449" s="355"/>
    </row>
    <row r="3450" spans="5:13">
      <c r="E3450" s="355"/>
      <c r="F3450" s="355"/>
      <c r="G3450" s="355"/>
      <c r="H3450" s="355"/>
      <c r="I3450" s="355"/>
      <c r="J3450" s="355"/>
      <c r="K3450" s="355"/>
      <c r="L3450" s="355"/>
      <c r="M3450" s="355"/>
    </row>
    <row r="3451" spans="5:13">
      <c r="E3451" s="355"/>
      <c r="F3451" s="355"/>
      <c r="G3451" s="355"/>
      <c r="H3451" s="363" t="s">
        <v>2289</v>
      </c>
      <c r="I3451" s="355"/>
      <c r="J3451" s="355"/>
      <c r="K3451" s="355"/>
      <c r="L3451" s="355"/>
      <c r="M3451" s="355"/>
    </row>
    <row r="3452" spans="5:13">
      <c r="E3452" s="355"/>
      <c r="F3452" s="355"/>
      <c r="G3452" s="355"/>
      <c r="H3452" s="363" t="s">
        <v>2290</v>
      </c>
      <c r="I3452" s="355"/>
      <c r="J3452" s="355"/>
      <c r="K3452" s="355"/>
      <c r="L3452" s="355"/>
      <c r="M3452" s="355"/>
    </row>
    <row r="3453" spans="5:13">
      <c r="E3453" s="355"/>
      <c r="F3453" s="355"/>
      <c r="G3453" s="355"/>
      <c r="H3453" s="355" t="s">
        <v>940</v>
      </c>
      <c r="I3453" s="355"/>
      <c r="J3453" s="355"/>
      <c r="K3453" s="355"/>
      <c r="L3453" s="355"/>
      <c r="M3453" s="355"/>
    </row>
    <row r="3454" spans="5:13">
      <c r="E3454" s="355"/>
      <c r="F3454" s="355">
        <v>1</v>
      </c>
      <c r="G3454" s="355" t="s">
        <v>1337</v>
      </c>
      <c r="H3454" s="355" t="s">
        <v>2418</v>
      </c>
      <c r="I3454" s="425">
        <f>Elec.Data!I3454</f>
        <v>1754</v>
      </c>
      <c r="J3454" s="355" t="s">
        <v>1337</v>
      </c>
      <c r="K3454" s="355">
        <f>F3454*I3454</f>
        <v>1754</v>
      </c>
      <c r="L3454" s="355"/>
      <c r="M3454" s="355"/>
    </row>
    <row r="3455" spans="5:13">
      <c r="E3455" s="355"/>
      <c r="F3455" s="355">
        <v>3</v>
      </c>
      <c r="G3455" s="355" t="s">
        <v>1337</v>
      </c>
      <c r="H3455" s="355" t="str">
        <f>Elec.Data!H3455</f>
        <v>3 No of 30 amps MCB ( Part -L, P-132   6-a havells)</v>
      </c>
      <c r="I3455" s="425">
        <f>Elec.Data!I3455</f>
        <v>127</v>
      </c>
      <c r="J3455" s="355" t="s">
        <v>1337</v>
      </c>
      <c r="K3455" s="355">
        <f>F3455*I3455</f>
        <v>381</v>
      </c>
      <c r="L3455" s="355"/>
      <c r="M3455" s="355"/>
    </row>
    <row r="3456" spans="5:13">
      <c r="E3456" s="355"/>
      <c r="F3456" s="355"/>
      <c r="G3456" s="355"/>
      <c r="H3456" s="355" t="s">
        <v>2419</v>
      </c>
      <c r="I3456" s="355"/>
      <c r="J3456" s="355"/>
      <c r="K3456" s="355">
        <f>K3348</f>
        <v>515</v>
      </c>
      <c r="L3456" s="355"/>
      <c r="M3456" s="355"/>
    </row>
    <row r="3457" spans="5:13">
      <c r="E3457" s="355"/>
      <c r="F3457" s="355"/>
      <c r="G3457" s="355"/>
      <c r="H3457" s="355" t="s">
        <v>2187</v>
      </c>
      <c r="I3457" s="355"/>
      <c r="J3457" s="355"/>
      <c r="K3457" s="355">
        <v>0</v>
      </c>
      <c r="L3457" s="355"/>
      <c r="M3457" s="355"/>
    </row>
    <row r="3458" spans="5:13">
      <c r="E3458" s="355"/>
      <c r="F3458" s="355"/>
      <c r="G3458" s="355"/>
      <c r="H3458" s="362" t="s">
        <v>2420</v>
      </c>
      <c r="I3458" s="355"/>
      <c r="J3458" s="355"/>
      <c r="K3458" s="363">
        <f>SUM(K3454:K3457)</f>
        <v>2650</v>
      </c>
      <c r="L3458" s="355"/>
      <c r="M3458" s="355"/>
    </row>
    <row r="3459" spans="5:13">
      <c r="E3459" s="355"/>
      <c r="F3459" s="355"/>
      <c r="G3459" s="355"/>
      <c r="H3459" s="355"/>
      <c r="I3459" s="355"/>
      <c r="J3459" s="355"/>
      <c r="K3459" s="355"/>
      <c r="L3459" s="355"/>
      <c r="M3459" s="355"/>
    </row>
    <row r="3460" spans="5:13">
      <c r="E3460" s="355"/>
      <c r="F3460" s="355"/>
      <c r="G3460" s="355"/>
      <c r="H3460" s="363" t="s">
        <v>2289</v>
      </c>
      <c r="I3460" s="355"/>
      <c r="J3460" s="355"/>
      <c r="K3460" s="355"/>
      <c r="L3460" s="355"/>
      <c r="M3460" s="355"/>
    </row>
    <row r="3461" spans="5:13">
      <c r="E3461" s="355"/>
      <c r="F3461" s="355"/>
      <c r="G3461" s="355"/>
      <c r="H3461" s="355"/>
      <c r="I3461" s="355"/>
      <c r="J3461" s="355"/>
      <c r="K3461" s="355"/>
      <c r="L3461" s="355"/>
      <c r="M3461" s="355"/>
    </row>
    <row r="3462" spans="5:13">
      <c r="E3462" s="355"/>
      <c r="F3462" s="355"/>
      <c r="G3462" s="355"/>
      <c r="H3462" s="363" t="s">
        <v>2421</v>
      </c>
      <c r="I3462" s="355"/>
      <c r="J3462" s="355"/>
      <c r="K3462" s="355"/>
      <c r="L3462" s="355"/>
      <c r="M3462" s="355"/>
    </row>
    <row r="3463" spans="5:13">
      <c r="E3463" s="355"/>
      <c r="F3463" s="355"/>
      <c r="G3463" s="355"/>
      <c r="H3463" s="355"/>
      <c r="I3463" s="355"/>
      <c r="J3463" s="355"/>
      <c r="K3463" s="355"/>
      <c r="L3463" s="355"/>
      <c r="M3463" s="355"/>
    </row>
    <row r="3464" spans="5:13">
      <c r="E3464" s="355"/>
      <c r="F3464" s="355">
        <v>1</v>
      </c>
      <c r="G3464" s="355" t="s">
        <v>1337</v>
      </c>
      <c r="H3464" s="355" t="str">
        <f>Elec.Data!H3454</f>
        <v>Single phase ELCB (ISI 25 Amps 30 MA)P-94  9-b</v>
      </c>
      <c r="I3464" s="425">
        <f>K3389</f>
        <v>1858</v>
      </c>
      <c r="J3464" s="355" t="s">
        <v>1337</v>
      </c>
      <c r="K3464" s="355">
        <f>F3464*I3464</f>
        <v>1858</v>
      </c>
      <c r="L3464" s="355"/>
      <c r="M3464" s="355"/>
    </row>
    <row r="3465" spans="5:13">
      <c r="E3465" s="355"/>
      <c r="F3465" s="355">
        <v>3</v>
      </c>
      <c r="G3465" s="355" t="s">
        <v>1337</v>
      </c>
      <c r="H3465" s="355" t="str">
        <f>Elec.Data!H3455</f>
        <v>3 No of 30 amps MCB ( Part -L, P-132   6-a havells)</v>
      </c>
      <c r="I3465" s="355">
        <f>I3455</f>
        <v>127</v>
      </c>
      <c r="J3465" s="355" t="s">
        <v>1337</v>
      </c>
      <c r="K3465" s="355">
        <f>F3465*I3465</f>
        <v>381</v>
      </c>
      <c r="L3465" s="355"/>
      <c r="M3465" s="355"/>
    </row>
    <row r="3466" spans="5:13">
      <c r="E3466" s="355"/>
      <c r="F3466" s="355"/>
      <c r="G3466" s="355"/>
      <c r="H3466" s="355" t="s">
        <v>2786</v>
      </c>
      <c r="I3466" s="355"/>
      <c r="J3466" s="355"/>
      <c r="K3466" s="355">
        <f>K3379</f>
        <v>528</v>
      </c>
      <c r="L3466" s="355"/>
      <c r="M3466" s="355"/>
    </row>
    <row r="3467" spans="5:13">
      <c r="E3467" s="355"/>
      <c r="F3467" s="355"/>
      <c r="G3467" s="355"/>
      <c r="H3467" s="355" t="s">
        <v>2187</v>
      </c>
      <c r="I3467" s="355"/>
      <c r="J3467" s="355"/>
      <c r="K3467" s="355"/>
      <c r="L3467" s="355"/>
      <c r="M3467" s="355"/>
    </row>
    <row r="3468" spans="5:13">
      <c r="E3468" s="355"/>
      <c r="F3468" s="355"/>
      <c r="G3468" s="355"/>
      <c r="H3468" s="362" t="s">
        <v>2787</v>
      </c>
      <c r="I3468" s="355"/>
      <c r="J3468" s="355"/>
      <c r="K3468" s="363">
        <f>SUM(K3464:K3467)</f>
        <v>2767</v>
      </c>
      <c r="L3468" s="355"/>
      <c r="M3468" s="355"/>
    </row>
    <row r="3469" spans="5:13">
      <c r="E3469" s="355"/>
      <c r="F3469" s="355"/>
      <c r="G3469" s="355"/>
      <c r="H3469" s="355"/>
      <c r="I3469" s="355"/>
      <c r="J3469" s="355"/>
      <c r="K3469" s="355"/>
      <c r="L3469" s="355"/>
      <c r="M3469" s="355"/>
    </row>
    <row r="3470" spans="5:13">
      <c r="E3470" s="355"/>
      <c r="F3470" s="355"/>
      <c r="G3470" s="355"/>
      <c r="H3470" s="363" t="s">
        <v>2788</v>
      </c>
      <c r="I3470" s="355"/>
      <c r="J3470" s="355"/>
      <c r="K3470" s="355"/>
      <c r="L3470" s="355"/>
      <c r="M3470" s="355"/>
    </row>
    <row r="3471" spans="5:13">
      <c r="E3471" s="355"/>
      <c r="F3471" s="355"/>
      <c r="G3471" s="355"/>
      <c r="H3471" s="355"/>
      <c r="I3471" s="355"/>
      <c r="J3471" s="355"/>
      <c r="K3471" s="355"/>
      <c r="L3471" s="355"/>
      <c r="M3471" s="355"/>
    </row>
    <row r="3472" spans="5:13">
      <c r="E3472" s="355"/>
      <c r="F3472" s="355"/>
      <c r="G3472" s="355"/>
      <c r="H3472" s="363" t="s">
        <v>2789</v>
      </c>
      <c r="I3472" s="355"/>
      <c r="J3472" s="355"/>
      <c r="K3472" s="355"/>
      <c r="L3472" s="355"/>
      <c r="M3472" s="355"/>
    </row>
    <row r="3473" spans="5:13">
      <c r="E3473" s="355"/>
      <c r="F3473" s="355"/>
      <c r="G3473" s="355"/>
      <c r="H3473" s="355"/>
      <c r="I3473" s="355"/>
      <c r="J3473" s="355"/>
      <c r="K3473" s="355"/>
      <c r="L3473" s="355"/>
      <c r="M3473" s="355"/>
    </row>
    <row r="3474" spans="5:13" ht="78.75">
      <c r="E3474" s="355"/>
      <c r="F3474" s="355"/>
      <c r="G3474" s="355"/>
      <c r="H3474" s="354" t="s">
        <v>3327</v>
      </c>
      <c r="I3474" s="355"/>
      <c r="J3474" s="355"/>
      <c r="K3474" s="355"/>
      <c r="L3474" s="355"/>
      <c r="M3474" s="355"/>
    </row>
    <row r="3475" spans="5:13">
      <c r="E3475" s="355"/>
      <c r="F3475" s="355"/>
      <c r="G3475" s="355"/>
      <c r="H3475" s="355"/>
      <c r="I3475" s="355"/>
      <c r="J3475" s="355"/>
      <c r="K3475" s="355"/>
      <c r="L3475" s="355"/>
      <c r="M3475" s="355"/>
    </row>
    <row r="3476" spans="5:13" ht="24.95" customHeight="1">
      <c r="E3476" s="355"/>
      <c r="F3476" s="355">
        <v>3</v>
      </c>
      <c r="G3476" s="355" t="s">
        <v>1337</v>
      </c>
      <c r="H3476" s="355" t="s">
        <v>2790</v>
      </c>
      <c r="I3476" s="355">
        <f>I3396</f>
        <v>84.4</v>
      </c>
      <c r="J3476" s="355" t="s">
        <v>1337</v>
      </c>
      <c r="K3476" s="355">
        <f>F3476*I3476</f>
        <v>253.2</v>
      </c>
      <c r="L3476" s="355"/>
      <c r="M3476" s="355"/>
    </row>
    <row r="3477" spans="5:13" ht="24.95" customHeight="1">
      <c r="E3477" s="355"/>
      <c r="F3477" s="355">
        <v>1</v>
      </c>
      <c r="G3477" s="355" t="s">
        <v>1337</v>
      </c>
      <c r="H3477" s="354" t="s">
        <v>2791</v>
      </c>
      <c r="I3477" s="355">
        <f>K3483</f>
        <v>361.33</v>
      </c>
      <c r="J3477" s="355" t="s">
        <v>1337</v>
      </c>
      <c r="K3477" s="355">
        <f>F3477*I3477</f>
        <v>361.33</v>
      </c>
      <c r="L3477" s="355"/>
      <c r="M3477" s="355"/>
    </row>
    <row r="3478" spans="5:13" ht="24.95" customHeight="1">
      <c r="E3478" s="355"/>
      <c r="F3478" s="355">
        <v>1</v>
      </c>
      <c r="G3478" s="355" t="s">
        <v>1337</v>
      </c>
      <c r="H3478" s="355" t="s">
        <v>2284</v>
      </c>
      <c r="I3478" s="355">
        <f>I3438</f>
        <v>25</v>
      </c>
      <c r="J3478" s="355" t="s">
        <v>2285</v>
      </c>
      <c r="K3478" s="355">
        <f>F3478*I3478</f>
        <v>25</v>
      </c>
      <c r="L3478" s="355"/>
      <c r="M3478" s="355"/>
    </row>
    <row r="3479" spans="5:13" ht="24.95" customHeight="1">
      <c r="E3479" s="355"/>
      <c r="F3479" s="355"/>
      <c r="G3479" s="355"/>
      <c r="H3479" s="355" t="s">
        <v>138</v>
      </c>
      <c r="I3479" s="355"/>
      <c r="J3479" s="355"/>
      <c r="K3479" s="355">
        <f>K3489</f>
        <v>608</v>
      </c>
      <c r="L3479" s="355"/>
      <c r="M3479" s="355"/>
    </row>
    <row r="3480" spans="5:13">
      <c r="E3480" s="355"/>
      <c r="F3480" s="355"/>
      <c r="G3480" s="355"/>
      <c r="H3480" s="355" t="s">
        <v>2286</v>
      </c>
      <c r="I3480" s="355"/>
      <c r="J3480" s="355"/>
      <c r="K3480" s="355">
        <f>3.77+0.47</f>
        <v>4.24</v>
      </c>
      <c r="L3480" s="355"/>
      <c r="M3480" s="355"/>
    </row>
    <row r="3481" spans="5:13" ht="24.95" customHeight="1">
      <c r="E3481" s="355"/>
      <c r="F3481" s="355"/>
      <c r="G3481" s="355"/>
      <c r="H3481" s="362" t="s">
        <v>2287</v>
      </c>
      <c r="I3481" s="355"/>
      <c r="J3481" s="355"/>
      <c r="K3481" s="363">
        <f>SUM(K3476:K3480)</f>
        <v>1251.77</v>
      </c>
      <c r="L3481" s="355">
        <f>K3481-1032</f>
        <v>219.77</v>
      </c>
      <c r="M3481" s="355"/>
    </row>
    <row r="3482" spans="5:13">
      <c r="E3482" s="355"/>
      <c r="F3482" s="355"/>
      <c r="G3482" s="355"/>
      <c r="H3482" s="355"/>
      <c r="I3482" s="355"/>
      <c r="J3482" s="355"/>
      <c r="K3482" s="355"/>
      <c r="L3482" s="355"/>
      <c r="M3482" s="355"/>
    </row>
    <row r="3483" spans="5:13">
      <c r="E3483" s="355"/>
      <c r="F3483" s="355"/>
      <c r="G3483" s="355"/>
      <c r="H3483" s="363" t="s">
        <v>2792</v>
      </c>
      <c r="I3483" s="355">
        <f>I3443</f>
        <v>107060</v>
      </c>
      <c r="J3483" s="375">
        <v>3.375E-3</v>
      </c>
      <c r="K3483" s="355">
        <f>I3483*J3483</f>
        <v>361.33</v>
      </c>
      <c r="L3483" s="355"/>
      <c r="M3483" s="355"/>
    </row>
    <row r="3484" spans="5:13">
      <c r="E3484" s="355"/>
      <c r="F3484" s="355"/>
      <c r="G3484" s="355"/>
      <c r="H3484" s="355"/>
      <c r="I3484" s="355"/>
      <c r="J3484" s="355"/>
      <c r="K3484" s="355"/>
      <c r="L3484" s="355"/>
      <c r="M3484" s="355"/>
    </row>
    <row r="3485" spans="5:13" ht="21.75" customHeight="1">
      <c r="E3485" s="355"/>
      <c r="F3485" s="355"/>
      <c r="G3485" s="355"/>
      <c r="H3485" s="361" t="s">
        <v>878</v>
      </c>
      <c r="I3485" s="355"/>
      <c r="J3485" s="355"/>
      <c r="K3485" s="355"/>
      <c r="L3485" s="355"/>
      <c r="M3485" s="355"/>
    </row>
    <row r="3486" spans="5:13" ht="21.75" customHeight="1">
      <c r="E3486" s="355"/>
      <c r="F3486" s="355">
        <v>1</v>
      </c>
      <c r="G3486" s="355" t="s">
        <v>1337</v>
      </c>
      <c r="H3486" s="355" t="s">
        <v>2691</v>
      </c>
      <c r="I3486" s="355">
        <f>I3446</f>
        <v>712</v>
      </c>
      <c r="J3486" s="355" t="s">
        <v>1337</v>
      </c>
      <c r="K3486" s="355">
        <f>F3486*I3486</f>
        <v>712</v>
      </c>
      <c r="L3486" s="355"/>
      <c r="M3486" s="355"/>
    </row>
    <row r="3487" spans="5:13" ht="21.75" customHeight="1">
      <c r="E3487" s="355"/>
      <c r="F3487" s="355">
        <v>2</v>
      </c>
      <c r="G3487" s="355" t="s">
        <v>1337</v>
      </c>
      <c r="H3487" s="355" t="s">
        <v>2511</v>
      </c>
      <c r="I3487" s="355">
        <f>I3447</f>
        <v>556</v>
      </c>
      <c r="J3487" s="355" t="s">
        <v>1337</v>
      </c>
      <c r="K3487" s="355">
        <f>F3487*I3487</f>
        <v>1112</v>
      </c>
      <c r="L3487" s="355"/>
      <c r="M3487" s="355"/>
    </row>
    <row r="3488" spans="5:13" ht="21.75" customHeight="1">
      <c r="E3488" s="355"/>
      <c r="F3488" s="355"/>
      <c r="G3488" s="355"/>
      <c r="H3488" s="360" t="s">
        <v>2793</v>
      </c>
      <c r="I3488" s="355"/>
      <c r="J3488" s="363"/>
      <c r="K3488" s="364">
        <f>SUM(K3486:K3487)</f>
        <v>1824</v>
      </c>
      <c r="L3488" s="355"/>
      <c r="M3488" s="355"/>
    </row>
    <row r="3489" spans="5:18" ht="21.75" customHeight="1">
      <c r="E3489" s="355"/>
      <c r="F3489" s="355"/>
      <c r="G3489" s="355"/>
      <c r="H3489" s="362" t="s">
        <v>2718</v>
      </c>
      <c r="I3489" s="355"/>
      <c r="J3489" s="363"/>
      <c r="K3489" s="363">
        <f>K3488/3</f>
        <v>608</v>
      </c>
      <c r="L3489" s="355"/>
      <c r="M3489" s="355"/>
    </row>
    <row r="3490" spans="5:18">
      <c r="E3490" s="355"/>
      <c r="F3490" s="355"/>
      <c r="G3490" s="355"/>
      <c r="H3490" s="355"/>
      <c r="I3490" s="355"/>
      <c r="J3490" s="355"/>
      <c r="K3490" s="355"/>
      <c r="L3490" s="355"/>
      <c r="M3490" s="355"/>
    </row>
    <row r="3491" spans="5:18">
      <c r="E3491" s="355"/>
      <c r="F3491" s="355"/>
      <c r="G3491" s="355"/>
      <c r="H3491" s="363" t="s">
        <v>2794</v>
      </c>
      <c r="I3491" s="355"/>
      <c r="J3491" s="355"/>
      <c r="K3491" s="355"/>
      <c r="L3491" s="355"/>
      <c r="M3491" s="355"/>
    </row>
    <row r="3492" spans="5:18">
      <c r="E3492" s="355"/>
      <c r="F3492" s="355"/>
      <c r="G3492" s="355"/>
      <c r="H3492" s="355"/>
      <c r="I3492" s="355"/>
      <c r="J3492" s="355"/>
      <c r="K3492" s="355"/>
      <c r="L3492" s="355"/>
      <c r="M3492" s="355"/>
    </row>
    <row r="3493" spans="5:18" ht="61.5" customHeight="1">
      <c r="E3493" s="355"/>
      <c r="F3493" s="355"/>
      <c r="G3493" s="355"/>
      <c r="H3493" s="353" t="s">
        <v>2624</v>
      </c>
      <c r="I3493" s="355"/>
      <c r="J3493" s="355"/>
      <c r="K3493" s="355"/>
      <c r="L3493" s="355"/>
      <c r="M3493" s="355"/>
      <c r="N3493" s="355"/>
      <c r="O3493" s="353" t="s">
        <v>283</v>
      </c>
      <c r="P3493" s="355"/>
      <c r="Q3493" s="355"/>
      <c r="R3493" s="355"/>
    </row>
    <row r="3494" spans="5:18" ht="36" customHeight="1">
      <c r="E3494" s="355"/>
      <c r="F3494" s="355">
        <v>180</v>
      </c>
      <c r="G3494" s="355" t="s">
        <v>794</v>
      </c>
      <c r="H3494" s="354" t="s">
        <v>3798</v>
      </c>
      <c r="I3494" s="356">
        <f>I3112</f>
        <v>32.200000000000003</v>
      </c>
      <c r="J3494" s="355" t="s">
        <v>794</v>
      </c>
      <c r="K3494" s="355">
        <f>F3494*I3494</f>
        <v>5796</v>
      </c>
      <c r="L3494" s="355"/>
      <c r="M3494" s="355">
        <v>180</v>
      </c>
      <c r="N3494" s="355" t="s">
        <v>794</v>
      </c>
      <c r="O3494" s="354" t="s">
        <v>284</v>
      </c>
      <c r="P3494" s="356">
        <f>I3101</f>
        <v>20.3</v>
      </c>
      <c r="Q3494" s="355" t="s">
        <v>794</v>
      </c>
      <c r="R3494" s="355">
        <f>M3494*P3494</f>
        <v>3654</v>
      </c>
    </row>
    <row r="3495" spans="5:18" ht="24.95" customHeight="1">
      <c r="E3495" s="355"/>
      <c r="F3495" s="355">
        <v>4</v>
      </c>
      <c r="G3495" s="355" t="s">
        <v>1591</v>
      </c>
      <c r="H3495" s="355" t="s">
        <v>3272</v>
      </c>
      <c r="I3495" s="356">
        <v>89.7</v>
      </c>
      <c r="J3495" s="355" t="s">
        <v>1591</v>
      </c>
      <c r="K3495" s="355">
        <f>F3495*I3495</f>
        <v>358.8</v>
      </c>
      <c r="L3495" s="355"/>
      <c r="M3495" s="355">
        <v>4</v>
      </c>
      <c r="N3495" s="355" t="s">
        <v>1591</v>
      </c>
      <c r="O3495" s="355" t="s">
        <v>3272</v>
      </c>
      <c r="P3495" s="356">
        <f>I3495</f>
        <v>89.7</v>
      </c>
      <c r="Q3495" s="355" t="s">
        <v>1591</v>
      </c>
      <c r="R3495" s="355">
        <f>M3495*P3495</f>
        <v>358.8</v>
      </c>
    </row>
    <row r="3496" spans="5:18" ht="24.95" customHeight="1">
      <c r="E3496" s="355"/>
      <c r="F3496" s="355">
        <v>180</v>
      </c>
      <c r="G3496" s="355" t="s">
        <v>1341</v>
      </c>
      <c r="H3496" s="355" t="s">
        <v>2626</v>
      </c>
      <c r="I3496" s="356">
        <f>ROUND(6.7/12,2)</f>
        <v>0.56000000000000005</v>
      </c>
      <c r="J3496" s="355" t="s">
        <v>1341</v>
      </c>
      <c r="K3496" s="355">
        <f>F3496*I3496</f>
        <v>100.8</v>
      </c>
      <c r="L3496" s="355"/>
      <c r="M3496" s="355">
        <v>180</v>
      </c>
      <c r="N3496" s="355" t="s">
        <v>1341</v>
      </c>
      <c r="O3496" s="355" t="s">
        <v>2626</v>
      </c>
      <c r="P3496" s="356">
        <f>I3496</f>
        <v>0.56000000000000005</v>
      </c>
      <c r="Q3496" s="355" t="s">
        <v>1341</v>
      </c>
      <c r="R3496" s="355">
        <f>M3496*P3496</f>
        <v>100.8</v>
      </c>
    </row>
    <row r="3497" spans="5:18" ht="24.95" customHeight="1">
      <c r="E3497" s="355"/>
      <c r="F3497" s="355">
        <v>1</v>
      </c>
      <c r="G3497" s="355" t="s">
        <v>1591</v>
      </c>
      <c r="H3497" s="355" t="s">
        <v>2627</v>
      </c>
      <c r="I3497" s="356">
        <f>I3495</f>
        <v>89.7</v>
      </c>
      <c r="J3497" s="355" t="s">
        <v>1591</v>
      </c>
      <c r="K3497" s="355">
        <f>F3497*I3497</f>
        <v>89.7</v>
      </c>
      <c r="L3497" s="355"/>
      <c r="M3497" s="355">
        <v>1</v>
      </c>
      <c r="N3497" s="355" t="s">
        <v>1591</v>
      </c>
      <c r="O3497" s="355" t="s">
        <v>2627</v>
      </c>
      <c r="P3497" s="356">
        <f>I3497</f>
        <v>89.7</v>
      </c>
      <c r="Q3497" s="355" t="s">
        <v>1591</v>
      </c>
      <c r="R3497" s="355">
        <f>M3497*P3497</f>
        <v>89.7</v>
      </c>
    </row>
    <row r="3498" spans="5:18" ht="24.95" customHeight="1">
      <c r="E3498" s="355"/>
      <c r="F3498" s="355"/>
      <c r="G3498" s="355"/>
      <c r="H3498" s="355" t="s">
        <v>878</v>
      </c>
      <c r="I3498" s="355"/>
      <c r="J3498" s="355"/>
      <c r="K3498" s="355">
        <f>K3507</f>
        <v>5325</v>
      </c>
      <c r="L3498" s="355"/>
      <c r="M3498" s="355"/>
      <c r="N3498" s="355"/>
      <c r="O3498" s="355" t="s">
        <v>878</v>
      </c>
      <c r="P3498" s="355"/>
      <c r="Q3498" s="355"/>
      <c r="R3498" s="355">
        <f>R3507</f>
        <v>5325</v>
      </c>
    </row>
    <row r="3499" spans="5:18" ht="24.95" customHeight="1">
      <c r="E3499" s="355"/>
      <c r="F3499" s="355"/>
      <c r="G3499" s="355"/>
      <c r="H3499" s="355" t="s">
        <v>2628</v>
      </c>
      <c r="I3499" s="355"/>
      <c r="J3499" s="355"/>
      <c r="K3499" s="355">
        <v>38</v>
      </c>
      <c r="L3499" s="355">
        <v>26.5</v>
      </c>
      <c r="M3499" s="355"/>
      <c r="N3499" s="355"/>
      <c r="O3499" s="355" t="s">
        <v>2628</v>
      </c>
      <c r="P3499" s="355"/>
      <c r="Q3499" s="355"/>
      <c r="R3499" s="355">
        <v>30.7</v>
      </c>
    </row>
    <row r="3500" spans="5:18" ht="24.95" customHeight="1">
      <c r="E3500" s="355"/>
      <c r="F3500" s="355"/>
      <c r="G3500" s="355"/>
      <c r="H3500" s="360" t="s">
        <v>2629</v>
      </c>
      <c r="I3500" s="355"/>
      <c r="J3500" s="355"/>
      <c r="K3500" s="355">
        <f>SUM(K3494:K3499)</f>
        <v>11708.3</v>
      </c>
      <c r="L3500" s="355"/>
      <c r="M3500" s="355"/>
      <c r="N3500" s="355"/>
      <c r="O3500" s="360" t="s">
        <v>2629</v>
      </c>
      <c r="P3500" s="355"/>
      <c r="Q3500" s="355"/>
      <c r="R3500" s="355">
        <v>30.7</v>
      </c>
    </row>
    <row r="3501" spans="5:18" ht="24.95" customHeight="1">
      <c r="E3501" s="355"/>
      <c r="F3501" s="355"/>
      <c r="G3501" s="355"/>
      <c r="H3501" s="362" t="s">
        <v>2309</v>
      </c>
      <c r="I3501" s="355"/>
      <c r="J3501" s="355"/>
      <c r="K3501" s="363">
        <f>K3500/90</f>
        <v>130.09</v>
      </c>
      <c r="L3501" s="355"/>
      <c r="M3501" s="355"/>
      <c r="N3501" s="355"/>
      <c r="O3501" s="362" t="s">
        <v>2309</v>
      </c>
      <c r="P3501" s="355"/>
      <c r="Q3501" s="355"/>
      <c r="R3501" s="363">
        <f>R3500/90</f>
        <v>0.34</v>
      </c>
    </row>
    <row r="3502" spans="5:18">
      <c r="E3502" s="355"/>
      <c r="F3502" s="355"/>
      <c r="G3502" s="355"/>
      <c r="H3502" s="361" t="s">
        <v>2568</v>
      </c>
      <c r="I3502" s="355"/>
      <c r="J3502" s="355"/>
      <c r="K3502" s="355"/>
      <c r="L3502" s="355">
        <f>L3501-K3500</f>
        <v>-11708.3</v>
      </c>
      <c r="M3502" s="355"/>
      <c r="N3502" s="355"/>
      <c r="O3502" s="361" t="s">
        <v>2568</v>
      </c>
      <c r="P3502" s="355"/>
      <c r="Q3502" s="355"/>
      <c r="R3502" s="355"/>
    </row>
    <row r="3503" spans="5:18">
      <c r="E3503" s="355"/>
      <c r="F3503" s="355">
        <v>1</v>
      </c>
      <c r="G3503" s="355" t="s">
        <v>1337</v>
      </c>
      <c r="H3503" s="364" t="s">
        <v>2630</v>
      </c>
      <c r="I3503" s="355">
        <f>I2866</f>
        <v>817</v>
      </c>
      <c r="J3503" s="355" t="s">
        <v>1337</v>
      </c>
      <c r="K3503" s="355">
        <f>F3503*I3503</f>
        <v>817</v>
      </c>
      <c r="L3503" s="355"/>
      <c r="M3503" s="355">
        <v>1</v>
      </c>
      <c r="N3503" s="355" t="s">
        <v>1337</v>
      </c>
      <c r="O3503" s="364" t="s">
        <v>2630</v>
      </c>
      <c r="P3503" s="355">
        <f>I3503</f>
        <v>817</v>
      </c>
      <c r="Q3503" s="355" t="s">
        <v>1337</v>
      </c>
      <c r="R3503" s="355">
        <f>M3503*P3503</f>
        <v>817</v>
      </c>
    </row>
    <row r="3504" spans="5:18">
      <c r="E3504" s="355"/>
      <c r="F3504" s="355">
        <v>2</v>
      </c>
      <c r="G3504" s="355" t="s">
        <v>1337</v>
      </c>
      <c r="H3504" s="355" t="s">
        <v>2691</v>
      </c>
      <c r="I3504" s="355">
        <f>I2867</f>
        <v>712</v>
      </c>
      <c r="J3504" s="355" t="s">
        <v>1337</v>
      </c>
      <c r="K3504" s="355">
        <f>F3504*I3504</f>
        <v>1424</v>
      </c>
      <c r="L3504" s="355"/>
      <c r="M3504" s="355">
        <v>2</v>
      </c>
      <c r="N3504" s="355" t="s">
        <v>1337</v>
      </c>
      <c r="O3504" s="355" t="s">
        <v>2691</v>
      </c>
      <c r="P3504" s="355">
        <f>I3504</f>
        <v>712</v>
      </c>
      <c r="Q3504" s="355" t="s">
        <v>1337</v>
      </c>
      <c r="R3504" s="355">
        <f>M3504*P3504</f>
        <v>1424</v>
      </c>
    </row>
    <row r="3505" spans="5:18">
      <c r="E3505" s="355"/>
      <c r="F3505" s="355">
        <v>2</v>
      </c>
      <c r="G3505" s="355" t="s">
        <v>1337</v>
      </c>
      <c r="H3505" s="355" t="s">
        <v>2510</v>
      </c>
      <c r="I3505" s="355">
        <f>I2868</f>
        <v>708</v>
      </c>
      <c r="J3505" s="355" t="s">
        <v>1337</v>
      </c>
      <c r="K3505" s="355">
        <f>F3505*I3505</f>
        <v>1416</v>
      </c>
      <c r="L3505" s="355"/>
      <c r="M3505" s="355">
        <v>2</v>
      </c>
      <c r="N3505" s="355" t="s">
        <v>1337</v>
      </c>
      <c r="O3505" s="355" t="s">
        <v>2510</v>
      </c>
      <c r="P3505" s="355">
        <f>I3505</f>
        <v>708</v>
      </c>
      <c r="Q3505" s="355" t="s">
        <v>1337</v>
      </c>
      <c r="R3505" s="355">
        <f>M3505*P3505</f>
        <v>1416</v>
      </c>
    </row>
    <row r="3506" spans="5:18">
      <c r="E3506" s="355"/>
      <c r="F3506" s="355">
        <v>3</v>
      </c>
      <c r="G3506" s="355" t="s">
        <v>1337</v>
      </c>
      <c r="H3506" s="355" t="s">
        <v>2246</v>
      </c>
      <c r="I3506" s="355">
        <f>I2869</f>
        <v>556</v>
      </c>
      <c r="J3506" s="355" t="s">
        <v>1337</v>
      </c>
      <c r="K3506" s="355">
        <f>F3506*I3506</f>
        <v>1668</v>
      </c>
      <c r="L3506" s="355"/>
      <c r="M3506" s="355">
        <v>3</v>
      </c>
      <c r="N3506" s="355" t="s">
        <v>1337</v>
      </c>
      <c r="O3506" s="355" t="s">
        <v>2246</v>
      </c>
      <c r="P3506" s="355">
        <f>I3506</f>
        <v>556</v>
      </c>
      <c r="Q3506" s="355" t="s">
        <v>1337</v>
      </c>
      <c r="R3506" s="355">
        <f>M3506*P3506</f>
        <v>1668</v>
      </c>
    </row>
    <row r="3507" spans="5:18" ht="24.95" customHeight="1">
      <c r="E3507" s="355"/>
      <c r="F3507" s="355"/>
      <c r="G3507" s="355"/>
      <c r="H3507" s="355"/>
      <c r="I3507" s="355"/>
      <c r="J3507" s="355"/>
      <c r="K3507" s="363">
        <f>SUM(K3503:K3506)</f>
        <v>5325</v>
      </c>
      <c r="L3507" s="355"/>
      <c r="M3507" s="355"/>
      <c r="N3507" s="355"/>
      <c r="O3507" s="355"/>
      <c r="P3507" s="355"/>
      <c r="Q3507" s="355"/>
      <c r="R3507" s="363">
        <f>SUM(R3503:R3506)</f>
        <v>5325</v>
      </c>
    </row>
    <row r="3508" spans="5:18" ht="21.75" customHeight="1">
      <c r="E3508" s="355"/>
      <c r="F3508" s="355"/>
      <c r="G3508" s="355"/>
      <c r="H3508" s="355"/>
      <c r="I3508" s="355"/>
      <c r="J3508" s="355"/>
      <c r="K3508" s="355"/>
      <c r="L3508" s="355"/>
      <c r="M3508" s="355"/>
    </row>
    <row r="3509" spans="5:18">
      <c r="E3509" s="355"/>
      <c r="F3509" s="355"/>
      <c r="G3509" s="355"/>
      <c r="H3509" s="363" t="s">
        <v>2631</v>
      </c>
      <c r="I3509" s="355"/>
      <c r="J3509" s="355"/>
      <c r="K3509" s="355"/>
      <c r="L3509" s="355"/>
      <c r="M3509" s="355"/>
    </row>
    <row r="3510" spans="5:18" ht="29.25" customHeight="1">
      <c r="E3510" s="355"/>
      <c r="F3510" s="355"/>
      <c r="G3510" s="355"/>
      <c r="H3510" s="353" t="s">
        <v>2221</v>
      </c>
      <c r="I3510" s="355"/>
      <c r="J3510" s="355"/>
      <c r="K3510" s="355"/>
      <c r="L3510" s="355"/>
      <c r="M3510" s="355"/>
    </row>
    <row r="3511" spans="5:18" ht="18" customHeight="1">
      <c r="E3511" s="355"/>
      <c r="F3511" s="355"/>
      <c r="G3511" s="355"/>
      <c r="H3511" s="355"/>
      <c r="I3511" s="355"/>
      <c r="J3511" s="355"/>
      <c r="K3511" s="355"/>
      <c r="L3511" s="355"/>
      <c r="M3511" s="355"/>
    </row>
    <row r="3512" spans="5:18" ht="47.25" customHeight="1">
      <c r="E3512" s="355"/>
      <c r="F3512" s="355"/>
      <c r="G3512" s="355"/>
      <c r="H3512" s="376" t="s">
        <v>2567</v>
      </c>
      <c r="I3512" s="355"/>
      <c r="J3512" s="355"/>
      <c r="K3512" s="355"/>
      <c r="L3512" s="355"/>
      <c r="M3512" s="355"/>
    </row>
    <row r="3513" spans="5:18">
      <c r="E3513" s="355"/>
      <c r="F3513" s="355">
        <v>1</v>
      </c>
      <c r="G3513" s="355" t="s">
        <v>794</v>
      </c>
      <c r="H3513" s="355" t="s">
        <v>4198</v>
      </c>
      <c r="I3513" s="356">
        <v>120.8</v>
      </c>
      <c r="J3513" s="355" t="s">
        <v>794</v>
      </c>
      <c r="K3513" s="360">
        <f>F3513*I3513</f>
        <v>120.8</v>
      </c>
      <c r="L3513" s="355"/>
      <c r="M3513" s="355"/>
    </row>
    <row r="3514" spans="5:18">
      <c r="E3514" s="355"/>
      <c r="F3514" s="355"/>
      <c r="G3514" s="355"/>
      <c r="H3514" s="355" t="s">
        <v>2187</v>
      </c>
      <c r="I3514" s="355"/>
      <c r="J3514" s="355"/>
      <c r="K3514" s="360">
        <f>1.87+0.33</f>
        <v>2.2000000000000002</v>
      </c>
      <c r="L3514" s="355"/>
      <c r="M3514" s="355"/>
    </row>
    <row r="3515" spans="5:18">
      <c r="E3515" s="355"/>
      <c r="F3515" s="355"/>
      <c r="G3515" s="355"/>
      <c r="H3515" s="362" t="s">
        <v>3311</v>
      </c>
      <c r="I3515" s="355"/>
      <c r="J3515" s="355"/>
      <c r="K3515" s="362">
        <f>SUM(K3513:K3514)</f>
        <v>123</v>
      </c>
      <c r="L3515" s="355"/>
      <c r="M3515" s="355"/>
    </row>
    <row r="3516" spans="5:18" ht="9.75" customHeight="1">
      <c r="E3516" s="355"/>
      <c r="F3516" s="355"/>
      <c r="G3516" s="355"/>
      <c r="H3516" s="355"/>
      <c r="I3516" s="355"/>
      <c r="J3516" s="355"/>
      <c r="K3516" s="355"/>
      <c r="L3516" s="355"/>
      <c r="M3516" s="355"/>
    </row>
    <row r="3517" spans="5:18">
      <c r="E3517" s="355"/>
      <c r="F3517" s="355"/>
      <c r="G3517" s="355"/>
      <c r="H3517" s="363" t="s">
        <v>3312</v>
      </c>
      <c r="I3517" s="355"/>
      <c r="J3517" s="355"/>
      <c r="K3517" s="355"/>
      <c r="L3517" s="355"/>
      <c r="M3517" s="355"/>
    </row>
    <row r="3518" spans="5:18">
      <c r="E3518" s="355"/>
      <c r="F3518" s="355"/>
      <c r="G3518" s="355"/>
      <c r="H3518" s="363" t="s">
        <v>3313</v>
      </c>
      <c r="I3518" s="355"/>
      <c r="J3518" s="355"/>
      <c r="K3518" s="355"/>
      <c r="L3518" s="355"/>
      <c r="M3518" s="355"/>
    </row>
    <row r="3519" spans="5:18">
      <c r="E3519" s="355"/>
      <c r="F3519" s="355"/>
      <c r="G3519" s="355"/>
      <c r="H3519" s="355"/>
      <c r="I3519" s="355"/>
      <c r="J3519" s="355"/>
      <c r="K3519" s="355"/>
      <c r="L3519" s="355"/>
      <c r="M3519" s="355"/>
    </row>
    <row r="3520" spans="5:18" ht="49.5" customHeight="1">
      <c r="E3520" s="355"/>
      <c r="F3520" s="355"/>
      <c r="G3520" s="355"/>
      <c r="H3520" s="376" t="s">
        <v>3314</v>
      </c>
      <c r="I3520" s="355"/>
      <c r="J3520" s="355"/>
      <c r="K3520" s="355"/>
      <c r="L3520" s="355"/>
      <c r="M3520" s="355"/>
    </row>
    <row r="3521" spans="5:13">
      <c r="E3521" s="355"/>
      <c r="F3521" s="355">
        <v>1</v>
      </c>
      <c r="G3521" s="355" t="s">
        <v>794</v>
      </c>
      <c r="H3521" s="355" t="s">
        <v>4199</v>
      </c>
      <c r="I3521" s="356">
        <v>43.9</v>
      </c>
      <c r="J3521" s="355" t="s">
        <v>337</v>
      </c>
      <c r="K3521" s="355">
        <f>F3522*I3521</f>
        <v>142.68</v>
      </c>
      <c r="L3521" s="355"/>
      <c r="M3521" s="355"/>
    </row>
    <row r="3522" spans="5:13">
      <c r="E3522" s="355"/>
      <c r="F3522" s="355">
        <v>3.25</v>
      </c>
      <c r="G3522" s="355" t="s">
        <v>3315</v>
      </c>
      <c r="H3522" s="355"/>
      <c r="I3522" s="355"/>
      <c r="J3522" s="355"/>
      <c r="K3522" s="355"/>
      <c r="L3522" s="355"/>
      <c r="M3522" s="355"/>
    </row>
    <row r="3523" spans="5:13">
      <c r="E3523" s="355"/>
      <c r="F3523" s="355"/>
      <c r="G3523" s="355"/>
      <c r="H3523" s="355" t="s">
        <v>2187</v>
      </c>
      <c r="I3523" s="355"/>
      <c r="J3523" s="355"/>
      <c r="K3523" s="355">
        <f>1.95+0.64-0.27</f>
        <v>2.3199999999999998</v>
      </c>
      <c r="L3523" s="355"/>
      <c r="M3523" s="355"/>
    </row>
    <row r="3524" spans="5:13">
      <c r="E3524" s="355"/>
      <c r="F3524" s="355"/>
      <c r="G3524" s="355"/>
      <c r="H3524" s="362" t="s">
        <v>2686</v>
      </c>
      <c r="I3524" s="355"/>
      <c r="J3524" s="355"/>
      <c r="K3524" s="363">
        <f>SUM(K3521:K3523)</f>
        <v>145</v>
      </c>
      <c r="L3524" s="355">
        <f>169-K3524</f>
        <v>24</v>
      </c>
      <c r="M3524" s="355"/>
    </row>
    <row r="3525" spans="5:13">
      <c r="E3525" s="355"/>
      <c r="F3525" s="355"/>
      <c r="G3525" s="355"/>
      <c r="H3525" s="362"/>
      <c r="I3525" s="355"/>
      <c r="J3525" s="355"/>
      <c r="K3525" s="363"/>
      <c r="L3525" s="355"/>
      <c r="M3525" s="355"/>
    </row>
    <row r="3526" spans="5:13">
      <c r="E3526" s="355"/>
      <c r="F3526" s="355"/>
      <c r="G3526" s="355"/>
      <c r="H3526" s="363" t="s">
        <v>3316</v>
      </c>
      <c r="I3526" s="355"/>
      <c r="J3526" s="355"/>
      <c r="K3526" s="355"/>
      <c r="L3526" s="355"/>
      <c r="M3526" s="355"/>
    </row>
    <row r="3527" spans="5:13">
      <c r="E3527" s="355"/>
      <c r="F3527" s="355"/>
      <c r="G3527" s="355"/>
      <c r="H3527" s="355"/>
      <c r="I3527" s="355"/>
      <c r="J3527" s="355"/>
      <c r="K3527" s="355"/>
      <c r="L3527" s="355"/>
      <c r="M3527" s="355"/>
    </row>
    <row r="3528" spans="5:13" ht="45" customHeight="1">
      <c r="E3528" s="355"/>
      <c r="F3528" s="355"/>
      <c r="G3528" s="355"/>
      <c r="H3528" s="353" t="s">
        <v>3317</v>
      </c>
      <c r="I3528" s="355"/>
      <c r="J3528" s="355"/>
      <c r="K3528" s="355"/>
      <c r="L3528" s="355"/>
      <c r="M3528" s="355"/>
    </row>
    <row r="3529" spans="5:13">
      <c r="E3529" s="355"/>
      <c r="F3529" s="355"/>
      <c r="G3529" s="355"/>
      <c r="H3529" s="355"/>
      <c r="I3529" s="355"/>
      <c r="J3529" s="355"/>
      <c r="K3529" s="355"/>
      <c r="L3529" s="355"/>
      <c r="M3529" s="355"/>
    </row>
    <row r="3530" spans="5:13" ht="135.75" customHeight="1">
      <c r="E3530" s="355"/>
      <c r="F3530" s="355"/>
      <c r="G3530" s="355"/>
      <c r="H3530" s="376" t="s">
        <v>2848</v>
      </c>
      <c r="I3530" s="355"/>
      <c r="J3530" s="355"/>
      <c r="K3530" s="355"/>
      <c r="L3530" s="355"/>
      <c r="M3530" s="355"/>
    </row>
    <row r="3531" spans="5:13">
      <c r="E3531" s="355"/>
      <c r="F3531" s="355"/>
      <c r="G3531" s="355"/>
      <c r="H3531" s="355"/>
      <c r="I3531" s="355"/>
      <c r="J3531" s="355"/>
      <c r="K3531" s="355"/>
      <c r="L3531" s="355"/>
      <c r="M3531" s="355"/>
    </row>
    <row r="3532" spans="5:13" ht="29.25" customHeight="1">
      <c r="E3532" s="355"/>
      <c r="F3532" s="355">
        <v>360</v>
      </c>
      <c r="G3532" s="355" t="s">
        <v>794</v>
      </c>
      <c r="H3532" s="354" t="s">
        <v>2625</v>
      </c>
      <c r="I3532" s="355">
        <f>I3494</f>
        <v>32.200000000000003</v>
      </c>
      <c r="J3532" s="355" t="s">
        <v>794</v>
      </c>
      <c r="K3532" s="355">
        <f>F3532*I3532</f>
        <v>11592</v>
      </c>
      <c r="L3532" s="355"/>
      <c r="M3532" s="355"/>
    </row>
    <row r="3533" spans="5:13" ht="15.75" customHeight="1">
      <c r="E3533" s="355"/>
      <c r="F3533" s="355">
        <v>4</v>
      </c>
      <c r="G3533" s="355" t="s">
        <v>1591</v>
      </c>
      <c r="H3533" s="355" t="s">
        <v>3272</v>
      </c>
      <c r="I3533" s="355">
        <f>I3495</f>
        <v>89.7</v>
      </c>
      <c r="J3533" s="355" t="s">
        <v>1591</v>
      </c>
      <c r="K3533" s="355">
        <f>F3533*I3533</f>
        <v>358.8</v>
      </c>
      <c r="L3533" s="355"/>
      <c r="M3533" s="355"/>
    </row>
    <row r="3534" spans="5:13">
      <c r="E3534" s="355"/>
      <c r="F3534" s="355">
        <v>360</v>
      </c>
      <c r="G3534" s="355" t="s">
        <v>1341</v>
      </c>
      <c r="H3534" s="355" t="s">
        <v>2626</v>
      </c>
      <c r="I3534" s="355">
        <f>I3496</f>
        <v>0.56000000000000005</v>
      </c>
      <c r="J3534" s="355" t="s">
        <v>1341</v>
      </c>
      <c r="K3534" s="355">
        <f>F3534*I3534</f>
        <v>201.6</v>
      </c>
      <c r="L3534" s="355"/>
      <c r="M3534" s="355"/>
    </row>
    <row r="3535" spans="5:13">
      <c r="E3535" s="355"/>
      <c r="F3535" s="355">
        <v>1.5</v>
      </c>
      <c r="G3535" s="355" t="s">
        <v>1591</v>
      </c>
      <c r="H3535" s="355" t="s">
        <v>2627</v>
      </c>
      <c r="I3535" s="355">
        <f>I3497</f>
        <v>89.7</v>
      </c>
      <c r="J3535" s="355" t="s">
        <v>1591</v>
      </c>
      <c r="K3535" s="355">
        <f>F3535*I3535</f>
        <v>134.55000000000001</v>
      </c>
      <c r="L3535" s="355"/>
      <c r="M3535" s="355"/>
    </row>
    <row r="3536" spans="5:13">
      <c r="E3536" s="355"/>
      <c r="F3536" s="355"/>
      <c r="G3536" s="355"/>
      <c r="H3536" s="355" t="s">
        <v>2849</v>
      </c>
      <c r="I3536" s="355"/>
      <c r="J3536" s="355"/>
      <c r="K3536" s="355">
        <f>K3507*1.5</f>
        <v>7987.5</v>
      </c>
      <c r="L3536" s="355"/>
      <c r="M3536" s="355"/>
    </row>
    <row r="3537" spans="5:13">
      <c r="E3537" s="355"/>
      <c r="F3537" s="355"/>
      <c r="G3537" s="355"/>
      <c r="H3537" s="355" t="s">
        <v>2628</v>
      </c>
      <c r="I3537" s="355"/>
      <c r="J3537" s="355"/>
      <c r="K3537" s="355">
        <v>167.55</v>
      </c>
      <c r="L3537" s="355"/>
      <c r="M3537" s="355"/>
    </row>
    <row r="3538" spans="5:13">
      <c r="E3538" s="355"/>
      <c r="F3538" s="355"/>
      <c r="G3538" s="355"/>
      <c r="H3538" s="360" t="s">
        <v>2629</v>
      </c>
      <c r="I3538" s="355"/>
      <c r="J3538" s="355"/>
      <c r="K3538" s="355">
        <f>SUM(K3532:K3537)</f>
        <v>20442</v>
      </c>
      <c r="L3538" s="355"/>
      <c r="M3538" s="355"/>
    </row>
    <row r="3539" spans="5:13">
      <c r="E3539" s="355"/>
      <c r="F3539" s="355"/>
      <c r="G3539" s="355"/>
      <c r="H3539" s="362" t="s">
        <v>2309</v>
      </c>
      <c r="I3539" s="355"/>
      <c r="J3539" s="355"/>
      <c r="K3539" s="363">
        <f>K3538/90</f>
        <v>227.13</v>
      </c>
      <c r="L3539" s="355"/>
      <c r="M3539" s="355"/>
    </row>
    <row r="3540" spans="5:13" ht="20.25" customHeight="1">
      <c r="E3540" s="355"/>
      <c r="F3540" s="355"/>
      <c r="G3540" s="355"/>
      <c r="H3540" s="355"/>
      <c r="I3540" s="355"/>
      <c r="J3540" s="355"/>
      <c r="K3540" s="355"/>
      <c r="L3540" s="355"/>
      <c r="M3540" s="355"/>
    </row>
    <row r="3541" spans="5:13">
      <c r="E3541" s="355"/>
      <c r="F3541" s="355"/>
      <c r="G3541" s="355"/>
      <c r="H3541" s="363" t="s">
        <v>2850</v>
      </c>
      <c r="I3541" s="355"/>
      <c r="J3541" s="355"/>
      <c r="K3541" s="355"/>
      <c r="L3541" s="355"/>
      <c r="M3541" s="355"/>
    </row>
    <row r="3542" spans="5:13" ht="32.25" customHeight="1">
      <c r="E3542" s="355"/>
      <c r="F3542" s="355"/>
      <c r="G3542" s="355"/>
      <c r="H3542" s="353" t="s">
        <v>2291</v>
      </c>
      <c r="I3542" s="355"/>
      <c r="J3542" s="355"/>
      <c r="K3542" s="355"/>
      <c r="L3542" s="355"/>
      <c r="M3542" s="355"/>
    </row>
    <row r="3543" spans="5:13">
      <c r="E3543" s="355"/>
      <c r="F3543" s="355"/>
      <c r="G3543" s="355"/>
      <c r="H3543" s="355"/>
      <c r="I3543" s="355"/>
      <c r="J3543" s="355"/>
      <c r="K3543" s="355"/>
      <c r="L3543" s="355"/>
      <c r="M3543" s="355"/>
    </row>
    <row r="3544" spans="5:13" ht="47.25" customHeight="1">
      <c r="E3544" s="355"/>
      <c r="F3544" s="355"/>
      <c r="G3544" s="355"/>
      <c r="H3544" s="376" t="s">
        <v>2222</v>
      </c>
      <c r="I3544" s="355"/>
      <c r="J3544" s="355"/>
      <c r="K3544" s="355"/>
      <c r="L3544" s="355"/>
      <c r="M3544" s="355"/>
    </row>
    <row r="3545" spans="5:13">
      <c r="E3545" s="355"/>
      <c r="F3545" s="355">
        <v>1</v>
      </c>
      <c r="G3545" s="355" t="s">
        <v>794</v>
      </c>
      <c r="H3545" s="355" t="str">
        <f>Elec.Data!H3545</f>
        <v>GI pipe of 40 mm dia  (P-45 154 -iii)</v>
      </c>
      <c r="I3545" s="425">
        <f>Elec.Data!I3545</f>
        <v>163</v>
      </c>
      <c r="J3545" s="355" t="s">
        <v>794</v>
      </c>
      <c r="K3545" s="360">
        <f>F3545*I3545</f>
        <v>163</v>
      </c>
      <c r="L3545" s="355"/>
      <c r="M3545" s="355"/>
    </row>
    <row r="3546" spans="5:13">
      <c r="E3546" s="355"/>
      <c r="F3546" s="355"/>
      <c r="G3546" s="355"/>
      <c r="H3546" s="355" t="s">
        <v>2187</v>
      </c>
      <c r="I3546" s="355"/>
      <c r="J3546" s="355"/>
      <c r="K3546" s="360">
        <v>1.1000000000000001</v>
      </c>
      <c r="L3546" s="355"/>
      <c r="M3546" s="355"/>
    </row>
    <row r="3547" spans="5:13">
      <c r="E3547" s="355"/>
      <c r="F3547" s="355"/>
      <c r="G3547" s="355"/>
      <c r="H3547" s="362" t="s">
        <v>3311</v>
      </c>
      <c r="I3547" s="355"/>
      <c r="J3547" s="355"/>
      <c r="K3547" s="362">
        <f>SUM(K3545:K3546)</f>
        <v>164.1</v>
      </c>
      <c r="L3547" s="355"/>
      <c r="M3547" s="355"/>
    </row>
    <row r="3548" spans="5:13" ht="7.5" customHeight="1">
      <c r="E3548" s="355"/>
      <c r="F3548" s="355"/>
      <c r="G3548" s="355"/>
      <c r="H3548" s="355"/>
      <c r="I3548" s="355"/>
      <c r="J3548" s="355"/>
      <c r="K3548" s="355"/>
      <c r="L3548" s="355"/>
      <c r="M3548" s="355"/>
    </row>
    <row r="3549" spans="5:13">
      <c r="E3549" s="355"/>
      <c r="F3549" s="355"/>
      <c r="G3549" s="355"/>
      <c r="H3549" s="363" t="s">
        <v>2223</v>
      </c>
      <c r="I3549" s="355"/>
      <c r="J3549" s="355"/>
      <c r="K3549" s="355"/>
      <c r="L3549" s="355"/>
      <c r="M3549" s="355"/>
    </row>
    <row r="3550" spans="5:13">
      <c r="E3550" s="355"/>
      <c r="F3550" s="355"/>
      <c r="G3550" s="355"/>
      <c r="H3550" s="363" t="s">
        <v>3313</v>
      </c>
      <c r="I3550" s="355"/>
      <c r="J3550" s="355"/>
      <c r="K3550" s="355"/>
      <c r="L3550" s="355"/>
      <c r="M3550" s="355"/>
    </row>
    <row r="3551" spans="5:13">
      <c r="E3551" s="355"/>
      <c r="F3551" s="355"/>
      <c r="G3551" s="355"/>
      <c r="H3551" s="355"/>
      <c r="I3551" s="355"/>
      <c r="J3551" s="355"/>
      <c r="K3551" s="355"/>
      <c r="L3551" s="355"/>
      <c r="M3551" s="355"/>
    </row>
    <row r="3552" spans="5:13" ht="47.25">
      <c r="E3552" s="355"/>
      <c r="F3552" s="355"/>
      <c r="G3552" s="355"/>
      <c r="H3552" s="376" t="s">
        <v>3314</v>
      </c>
      <c r="I3552" s="355"/>
      <c r="J3552" s="355"/>
      <c r="K3552" s="355"/>
      <c r="L3552" s="355"/>
      <c r="M3552" s="355"/>
    </row>
    <row r="3553" spans="5:15">
      <c r="E3553" s="355"/>
      <c r="F3553" s="355">
        <v>1</v>
      </c>
      <c r="G3553" s="355" t="s">
        <v>794</v>
      </c>
      <c r="H3553" s="355" t="str">
        <f>Elec.Data!H3553</f>
        <v>40 x 40 x 6 mm MS angle (P-126  part -G)</v>
      </c>
      <c r="I3553" s="356">
        <f>I3521</f>
        <v>43.9</v>
      </c>
      <c r="J3553" s="355" t="s">
        <v>337</v>
      </c>
      <c r="K3553" s="355">
        <f>F3554*I3553</f>
        <v>142.68</v>
      </c>
      <c r="L3553" s="355"/>
      <c r="M3553" s="355"/>
    </row>
    <row r="3554" spans="5:15">
      <c r="E3554" s="355"/>
      <c r="F3554" s="355">
        <v>3.25</v>
      </c>
      <c r="G3554" s="355" t="s">
        <v>3315</v>
      </c>
      <c r="H3554" s="355"/>
      <c r="I3554" s="355"/>
      <c r="J3554" s="355"/>
      <c r="K3554" s="355"/>
      <c r="L3554" s="355"/>
      <c r="M3554" s="355"/>
    </row>
    <row r="3555" spans="5:15">
      <c r="E3555" s="355"/>
      <c r="F3555" s="355"/>
      <c r="G3555" s="355"/>
      <c r="H3555" s="355" t="s">
        <v>2187</v>
      </c>
      <c r="I3555" s="355"/>
      <c r="J3555" s="355"/>
      <c r="K3555" s="355">
        <v>3.32</v>
      </c>
      <c r="L3555" s="355"/>
      <c r="M3555" s="355"/>
    </row>
    <row r="3556" spans="5:15">
      <c r="E3556" s="355"/>
      <c r="F3556" s="355"/>
      <c r="G3556" s="355"/>
      <c r="H3556" s="362" t="s">
        <v>2686</v>
      </c>
      <c r="I3556" s="355"/>
      <c r="J3556" s="355"/>
      <c r="K3556" s="363">
        <f>SUM(K3553:K3555)</f>
        <v>146</v>
      </c>
      <c r="L3556" s="355"/>
      <c r="M3556" s="355"/>
    </row>
    <row r="3557" spans="5:15">
      <c r="E3557" s="355"/>
      <c r="F3557" s="355"/>
      <c r="G3557" s="355"/>
      <c r="H3557" s="355"/>
      <c r="I3557" s="355"/>
      <c r="J3557" s="355"/>
      <c r="K3557" s="355"/>
      <c r="L3557" s="355"/>
      <c r="M3557" s="355"/>
    </row>
    <row r="3558" spans="5:15">
      <c r="E3558" s="355"/>
      <c r="F3558" s="355"/>
      <c r="G3558" s="355"/>
      <c r="H3558" s="363" t="s">
        <v>2224</v>
      </c>
      <c r="I3558" s="355"/>
      <c r="J3558" s="355"/>
      <c r="K3558" s="355"/>
      <c r="L3558" s="355"/>
      <c r="M3558" s="355"/>
    </row>
    <row r="3559" spans="5:15">
      <c r="E3559" s="355"/>
      <c r="F3559" s="355"/>
      <c r="G3559" s="355"/>
      <c r="H3559" s="355"/>
      <c r="I3559" s="355"/>
      <c r="J3559" s="355"/>
      <c r="K3559" s="355"/>
      <c r="L3559" s="355"/>
      <c r="M3559" s="355"/>
    </row>
    <row r="3560" spans="5:15" ht="80.25" customHeight="1">
      <c r="E3560" s="355"/>
      <c r="F3560" s="355"/>
      <c r="G3560" s="355"/>
      <c r="H3560" s="376" t="s">
        <v>3328</v>
      </c>
      <c r="I3560" s="355"/>
      <c r="J3560" s="355"/>
      <c r="K3560" s="355"/>
      <c r="L3560" s="355"/>
      <c r="M3560" s="355"/>
    </row>
    <row r="3561" spans="5:15" ht="15.75" customHeight="1">
      <c r="E3561" s="355"/>
      <c r="F3561" s="355">
        <v>30.42</v>
      </c>
      <c r="G3561" s="355" t="s">
        <v>2070</v>
      </c>
      <c r="H3561" s="355" t="s">
        <v>4200</v>
      </c>
      <c r="I3561" s="434">
        <v>134.6</v>
      </c>
      <c r="J3561" s="355" t="s">
        <v>2070</v>
      </c>
      <c r="K3561" s="355">
        <f>F3561*I3561</f>
        <v>4094.53</v>
      </c>
      <c r="L3561" s="355"/>
      <c r="M3561" s="355"/>
      <c r="O3561" s="182">
        <f>M3561+N3561</f>
        <v>0</v>
      </c>
    </row>
    <row r="3562" spans="5:15" ht="15.75" customHeight="1">
      <c r="E3562" s="355"/>
      <c r="F3562" s="355">
        <v>6.1</v>
      </c>
      <c r="G3562" s="355" t="s">
        <v>2070</v>
      </c>
      <c r="H3562" s="1" t="s">
        <v>4158</v>
      </c>
      <c r="I3562" s="425">
        <v>168</v>
      </c>
      <c r="J3562" s="355" t="s">
        <v>2070</v>
      </c>
      <c r="K3562" s="355">
        <f>F3562*I3562</f>
        <v>1024.8</v>
      </c>
      <c r="L3562" s="355"/>
      <c r="M3562" s="355"/>
    </row>
    <row r="3563" spans="5:15" ht="15.75" customHeight="1">
      <c r="E3563" s="355"/>
      <c r="F3563" s="355">
        <v>750</v>
      </c>
      <c r="G3563" s="355" t="s">
        <v>1337</v>
      </c>
      <c r="H3563" s="355" t="s">
        <v>3761</v>
      </c>
      <c r="I3563" s="356">
        <f>Data!Y18</f>
        <v>5570</v>
      </c>
      <c r="J3563" s="355" t="s">
        <v>1424</v>
      </c>
      <c r="K3563" s="355">
        <f>F3563*(I3563/1000)</f>
        <v>4177.5</v>
      </c>
      <c r="L3563" s="355"/>
      <c r="M3563" s="355"/>
    </row>
    <row r="3564" spans="5:15" ht="15.75" customHeight="1">
      <c r="E3564" s="355"/>
      <c r="F3564" s="355"/>
      <c r="G3564" s="355"/>
      <c r="H3564" s="355" t="s">
        <v>878</v>
      </c>
      <c r="I3564" s="355"/>
      <c r="J3564" s="355"/>
      <c r="K3564" s="355">
        <f>K3573</f>
        <v>3753</v>
      </c>
      <c r="L3564" s="355"/>
      <c r="M3564" s="355"/>
    </row>
    <row r="3565" spans="5:15" ht="15.75" customHeight="1">
      <c r="E3565" s="355"/>
      <c r="F3565" s="355"/>
      <c r="G3565" s="355"/>
      <c r="H3565" s="355" t="s">
        <v>2187</v>
      </c>
      <c r="I3565" s="355"/>
      <c r="J3565" s="355"/>
      <c r="K3565" s="355">
        <v>112.17</v>
      </c>
      <c r="L3565" s="355"/>
      <c r="M3565" s="355"/>
    </row>
    <row r="3566" spans="5:15" ht="15.75" customHeight="1">
      <c r="E3566" s="355"/>
      <c r="F3566" s="355"/>
      <c r="G3566" s="355"/>
      <c r="H3566" s="360" t="s">
        <v>2629</v>
      </c>
      <c r="I3566" s="355"/>
      <c r="J3566" s="355"/>
      <c r="K3566" s="355">
        <f>SUM(K3561:K3565)</f>
        <v>13162</v>
      </c>
      <c r="L3566" s="355"/>
      <c r="M3566" s="355"/>
    </row>
    <row r="3567" spans="5:15" ht="15.75" customHeight="1">
      <c r="E3567" s="355"/>
      <c r="F3567" s="355"/>
      <c r="G3567" s="355"/>
      <c r="H3567" s="362" t="s">
        <v>2309</v>
      </c>
      <c r="I3567" s="355"/>
      <c r="J3567" s="355"/>
      <c r="K3567" s="363">
        <f>K3566/90</f>
        <v>146.24</v>
      </c>
      <c r="L3567" s="355"/>
      <c r="M3567" s="355"/>
    </row>
    <row r="3568" spans="5:15" ht="8.25" customHeight="1">
      <c r="E3568" s="355"/>
      <c r="F3568" s="355"/>
      <c r="G3568" s="355"/>
      <c r="H3568" s="355"/>
      <c r="I3568" s="355"/>
      <c r="J3568" s="355"/>
      <c r="K3568" s="355"/>
      <c r="L3568" s="355"/>
      <c r="M3568" s="355"/>
    </row>
    <row r="3569" spans="5:13" ht="15.75" customHeight="1">
      <c r="E3569" s="355"/>
      <c r="F3569" s="355"/>
      <c r="G3569" s="355"/>
      <c r="H3569" s="361" t="s">
        <v>138</v>
      </c>
      <c r="K3569" s="355"/>
      <c r="L3569" s="355"/>
      <c r="M3569" s="355"/>
    </row>
    <row r="3570" spans="5:13" ht="15.75" customHeight="1">
      <c r="E3570" s="355"/>
      <c r="F3570" s="355">
        <v>1</v>
      </c>
      <c r="G3570" s="355" t="s">
        <v>1337</v>
      </c>
      <c r="H3570" s="364" t="s">
        <v>2630</v>
      </c>
      <c r="I3570" s="183">
        <f>I3503</f>
        <v>817</v>
      </c>
      <c r="J3570" s="355" t="s">
        <v>1337</v>
      </c>
      <c r="K3570" s="355">
        <f>F3570*I3570</f>
        <v>817</v>
      </c>
      <c r="L3570" s="355"/>
      <c r="M3570" s="355"/>
    </row>
    <row r="3571" spans="5:13" ht="15.75" customHeight="1">
      <c r="E3571" s="355"/>
      <c r="F3571" s="355">
        <v>1</v>
      </c>
      <c r="G3571" s="355" t="s">
        <v>1337</v>
      </c>
      <c r="H3571" s="355" t="s">
        <v>2691</v>
      </c>
      <c r="I3571" s="183">
        <f>I3504</f>
        <v>712</v>
      </c>
      <c r="J3571" s="355" t="s">
        <v>1337</v>
      </c>
      <c r="K3571" s="355">
        <f>F3571*I3571</f>
        <v>712</v>
      </c>
      <c r="L3571" s="355"/>
      <c r="M3571" s="355"/>
    </row>
    <row r="3572" spans="5:13" ht="15.75" customHeight="1">
      <c r="E3572" s="355"/>
      <c r="F3572" s="355">
        <v>4</v>
      </c>
      <c r="G3572" s="355" t="s">
        <v>1337</v>
      </c>
      <c r="H3572" s="355" t="s">
        <v>2246</v>
      </c>
      <c r="I3572" s="355">
        <f>I3506</f>
        <v>556</v>
      </c>
      <c r="J3572" s="355" t="s">
        <v>1337</v>
      </c>
      <c r="K3572" s="355">
        <f>F3572*I3572</f>
        <v>2224</v>
      </c>
      <c r="L3572" s="355"/>
      <c r="M3572" s="355"/>
    </row>
    <row r="3573" spans="5:13" ht="15.75" customHeight="1">
      <c r="E3573" s="355"/>
      <c r="F3573" s="355"/>
      <c r="G3573" s="355"/>
      <c r="H3573" s="355"/>
      <c r="I3573" s="355"/>
      <c r="J3573" s="355"/>
      <c r="K3573" s="363">
        <f>SUM(K3570:K3572)</f>
        <v>3753</v>
      </c>
      <c r="L3573" s="355"/>
      <c r="M3573" s="355"/>
    </row>
    <row r="3574" spans="5:13">
      <c r="E3574" s="355"/>
      <c r="F3574" s="355"/>
      <c r="G3574" s="355"/>
      <c r="H3574" s="363" t="s">
        <v>2292</v>
      </c>
      <c r="I3574" s="355"/>
      <c r="J3574" s="355"/>
      <c r="K3574" s="355"/>
      <c r="L3574" s="355"/>
      <c r="M3574" s="355"/>
    </row>
    <row r="3575" spans="5:13">
      <c r="E3575" s="355"/>
      <c r="F3575" s="355"/>
      <c r="G3575" s="355"/>
      <c r="H3575" s="355"/>
      <c r="I3575" s="355"/>
      <c r="J3575" s="355"/>
      <c r="K3575" s="355"/>
      <c r="L3575" s="355"/>
      <c r="M3575" s="355"/>
    </row>
    <row r="3576" spans="5:13" ht="29.25" customHeight="1">
      <c r="E3576" s="355"/>
      <c r="F3576" s="355"/>
      <c r="G3576" s="355"/>
      <c r="H3576" s="363" t="s">
        <v>3254</v>
      </c>
      <c r="I3576" s="355"/>
      <c r="J3576" s="355"/>
      <c r="K3576" s="355"/>
      <c r="L3576" s="355"/>
      <c r="M3576" s="355"/>
    </row>
    <row r="3577" spans="5:13" ht="75" customHeight="1">
      <c r="E3577" s="355"/>
      <c r="F3577" s="355"/>
      <c r="G3577" s="355"/>
      <c r="H3577" s="376" t="s">
        <v>2674</v>
      </c>
      <c r="I3577" s="355"/>
      <c r="J3577" s="355"/>
      <c r="K3577" s="355"/>
      <c r="L3577" s="355"/>
      <c r="M3577" s="355"/>
    </row>
    <row r="3578" spans="5:13" ht="26.25" customHeight="1">
      <c r="E3578" s="355"/>
      <c r="F3578" s="355">
        <v>1</v>
      </c>
      <c r="G3578" s="355" t="s">
        <v>2561</v>
      </c>
      <c r="H3578" s="355" t="str">
        <f>Elec.Data!H3578</f>
        <v>M.S. Clamps/ Saddles 32mm (It- 3d p-132 ,part-L )</v>
      </c>
      <c r="I3578" s="356">
        <f>Elec.Data!I3578</f>
        <v>59.6</v>
      </c>
      <c r="J3578" s="355" t="s">
        <v>2561</v>
      </c>
      <c r="K3578" s="355">
        <f>F3578*I3578</f>
        <v>59.6</v>
      </c>
      <c r="L3578" s="355"/>
      <c r="M3578" s="355"/>
    </row>
    <row r="3579" spans="5:13" ht="26.25" customHeight="1">
      <c r="E3579" s="355"/>
      <c r="F3579" s="355">
        <v>300</v>
      </c>
      <c r="G3579" s="355" t="s">
        <v>1337</v>
      </c>
      <c r="H3579" s="355" t="str">
        <f>Elec.Data!H3579</f>
        <v>Brass screws  ( 40 mm x 6 no) P131  Part-L 1-c</v>
      </c>
      <c r="I3579" s="356">
        <f>Elec.Data!I3579</f>
        <v>68.8</v>
      </c>
      <c r="J3579" s="355" t="s">
        <v>2561</v>
      </c>
      <c r="K3579" s="355">
        <f>F3579*(I3579/144)</f>
        <v>143.33000000000001</v>
      </c>
      <c r="L3579" s="355"/>
      <c r="M3579" s="355"/>
    </row>
    <row r="3580" spans="5:13" ht="26.25" customHeight="1">
      <c r="E3580" s="355"/>
      <c r="F3580" s="355">
        <v>300</v>
      </c>
      <c r="G3580" s="355" t="s">
        <v>1337</v>
      </c>
      <c r="H3580" s="355" t="str">
        <f>Elec.Data!H3580</f>
        <v>TW plugs 1 1/2" x 1"x2"( part-J 1-e P-130  )</v>
      </c>
      <c r="I3580" s="356">
        <f>Elec.Data!I3580</f>
        <v>287</v>
      </c>
      <c r="J3580" s="355" t="s">
        <v>1424</v>
      </c>
      <c r="K3580" s="355">
        <f>F3580*(I3580/1000)</f>
        <v>86.1</v>
      </c>
      <c r="L3580" s="355"/>
      <c r="M3580" s="355"/>
    </row>
    <row r="3581" spans="5:13" ht="26.25" customHeight="1">
      <c r="E3581" s="355"/>
      <c r="F3581" s="355"/>
      <c r="G3581" s="355"/>
      <c r="H3581" s="355" t="s">
        <v>2675</v>
      </c>
      <c r="I3581" s="355"/>
      <c r="J3581" s="355"/>
      <c r="K3581" s="355">
        <v>63.36</v>
      </c>
      <c r="L3581" s="355"/>
      <c r="M3581" s="355"/>
    </row>
    <row r="3582" spans="5:13" ht="26.25" customHeight="1">
      <c r="E3582" s="355"/>
      <c r="F3582" s="355"/>
      <c r="G3582" s="355"/>
      <c r="H3582" s="355" t="s">
        <v>878</v>
      </c>
      <c r="I3582" s="355"/>
      <c r="J3582" s="355"/>
      <c r="K3582" s="355">
        <f>K3592</f>
        <v>13266</v>
      </c>
      <c r="L3582" s="355"/>
      <c r="M3582" s="355"/>
    </row>
    <row r="3583" spans="5:13" ht="26.25" customHeight="1">
      <c r="E3583" s="355"/>
      <c r="F3583" s="355"/>
      <c r="G3583" s="355"/>
      <c r="H3583" s="360" t="s">
        <v>2676</v>
      </c>
      <c r="I3583" s="355"/>
      <c r="J3583" s="355"/>
      <c r="K3583" s="361">
        <f>SUM(K3578:K3582)</f>
        <v>13618.39</v>
      </c>
      <c r="L3583" s="355"/>
      <c r="M3583" s="355"/>
    </row>
    <row r="3584" spans="5:13" ht="26.25" customHeight="1">
      <c r="E3584" s="355"/>
      <c r="F3584" s="355"/>
      <c r="G3584" s="355"/>
      <c r="H3584" s="362" t="s">
        <v>2686</v>
      </c>
      <c r="I3584" s="355"/>
      <c r="J3584" s="355"/>
      <c r="K3584" s="363">
        <f>K3583/90</f>
        <v>151.32</v>
      </c>
      <c r="L3584" s="355"/>
      <c r="M3584" s="355"/>
    </row>
    <row r="3585" spans="5:13">
      <c r="E3585" s="355"/>
      <c r="F3585" s="355"/>
      <c r="G3585" s="355"/>
      <c r="H3585" s="355"/>
      <c r="I3585" s="355"/>
      <c r="J3585" s="355"/>
      <c r="K3585" s="355"/>
      <c r="L3585" s="355"/>
      <c r="M3585" s="355"/>
    </row>
    <row r="3586" spans="5:13" ht="24.95" customHeight="1">
      <c r="E3586" s="355"/>
      <c r="F3586" s="355"/>
      <c r="G3586" s="355"/>
      <c r="H3586" s="361" t="s">
        <v>2568</v>
      </c>
      <c r="I3586" s="355"/>
      <c r="J3586" s="355"/>
      <c r="K3586" s="355"/>
      <c r="L3586" s="355"/>
      <c r="M3586" s="355"/>
    </row>
    <row r="3587" spans="5:13" ht="24.95" customHeight="1">
      <c r="E3587" s="355"/>
      <c r="F3587" s="355">
        <v>1</v>
      </c>
      <c r="G3587" s="355" t="s">
        <v>1337</v>
      </c>
      <c r="H3587" s="364" t="s">
        <v>2677</v>
      </c>
      <c r="I3587" s="356">
        <f>I3354</f>
        <v>861</v>
      </c>
      <c r="J3587" s="355" t="s">
        <v>1337</v>
      </c>
      <c r="K3587" s="355">
        <f>F3587*I3587</f>
        <v>861</v>
      </c>
      <c r="L3587" s="355"/>
      <c r="M3587" s="355"/>
    </row>
    <row r="3588" spans="5:13" ht="24.95" customHeight="1">
      <c r="E3588" s="355"/>
      <c r="F3588" s="355">
        <v>2</v>
      </c>
      <c r="G3588" s="355" t="s">
        <v>1337</v>
      </c>
      <c r="H3588" s="355" t="s">
        <v>2691</v>
      </c>
      <c r="I3588" s="355">
        <f>I3504</f>
        <v>712</v>
      </c>
      <c r="J3588" s="355" t="s">
        <v>1337</v>
      </c>
      <c r="K3588" s="355">
        <f>F3588*I3588</f>
        <v>1424</v>
      </c>
      <c r="L3588" s="355"/>
      <c r="M3588" s="355"/>
    </row>
    <row r="3589" spans="5:13" ht="24.95" customHeight="1">
      <c r="E3589" s="355"/>
      <c r="F3589" s="355">
        <v>3</v>
      </c>
      <c r="G3589" s="355" t="s">
        <v>1337</v>
      </c>
      <c r="H3589" s="355" t="s">
        <v>2510</v>
      </c>
      <c r="I3589" s="355">
        <f>I3505</f>
        <v>708</v>
      </c>
      <c r="J3589" s="355" t="s">
        <v>1337</v>
      </c>
      <c r="K3589" s="355">
        <f>F3589*I3589</f>
        <v>2124</v>
      </c>
      <c r="L3589" s="355"/>
      <c r="M3589" s="355"/>
    </row>
    <row r="3590" spans="5:13" ht="24.95" customHeight="1">
      <c r="E3590" s="355"/>
      <c r="F3590" s="355">
        <v>4</v>
      </c>
      <c r="G3590" s="355" t="s">
        <v>1337</v>
      </c>
      <c r="H3590" s="355" t="s">
        <v>2246</v>
      </c>
      <c r="I3590" s="355">
        <f>I3506</f>
        <v>556</v>
      </c>
      <c r="J3590" s="355" t="s">
        <v>1337</v>
      </c>
      <c r="K3590" s="355">
        <f>F3590*I3590</f>
        <v>2224</v>
      </c>
      <c r="L3590" s="355"/>
      <c r="M3590" s="355"/>
    </row>
    <row r="3591" spans="5:13" ht="24.95" customHeight="1">
      <c r="E3591" s="355"/>
      <c r="F3591" s="355"/>
      <c r="G3591" s="355"/>
      <c r="H3591" s="360" t="s">
        <v>2678</v>
      </c>
      <c r="I3591" s="355"/>
      <c r="J3591" s="355"/>
      <c r="K3591" s="355">
        <f>SUM(K3587:K3590)</f>
        <v>6633</v>
      </c>
      <c r="L3591" s="355"/>
      <c r="M3591" s="355"/>
    </row>
    <row r="3592" spans="5:13" ht="24.95" customHeight="1">
      <c r="E3592" s="355"/>
      <c r="F3592" s="355"/>
      <c r="G3592" s="355"/>
      <c r="H3592" s="362" t="s">
        <v>2679</v>
      </c>
      <c r="I3592" s="355"/>
      <c r="J3592" s="355"/>
      <c r="K3592" s="363">
        <f>K3591*2</f>
        <v>13266</v>
      </c>
      <c r="L3592" s="355"/>
      <c r="M3592" s="355"/>
    </row>
    <row r="3593" spans="5:13">
      <c r="E3593" s="355"/>
      <c r="F3593" s="355"/>
      <c r="G3593" s="355"/>
      <c r="H3593" s="355"/>
      <c r="I3593" s="355"/>
      <c r="J3593" s="355"/>
      <c r="K3593" s="355"/>
      <c r="L3593" s="355"/>
      <c r="M3593" s="355"/>
    </row>
    <row r="3594" spans="5:13" ht="21" customHeight="1">
      <c r="E3594" s="355"/>
      <c r="F3594" s="355"/>
      <c r="G3594" s="355"/>
      <c r="H3594" s="363" t="s">
        <v>2680</v>
      </c>
      <c r="I3594" s="355"/>
      <c r="J3594" s="355"/>
      <c r="K3594" s="355"/>
      <c r="L3594" s="355"/>
      <c r="M3594" s="355"/>
    </row>
    <row r="3595" spans="5:13">
      <c r="E3595" s="355"/>
      <c r="F3595" s="355"/>
      <c r="G3595" s="355"/>
      <c r="H3595" s="355"/>
      <c r="I3595" s="355"/>
      <c r="J3595" s="355"/>
      <c r="K3595" s="355"/>
      <c r="L3595" s="355"/>
      <c r="M3595" s="355"/>
    </row>
    <row r="3596" spans="5:13" ht="27" customHeight="1">
      <c r="E3596" s="355"/>
      <c r="F3596" s="355"/>
      <c r="G3596" s="355"/>
      <c r="H3596" s="363" t="s">
        <v>2681</v>
      </c>
      <c r="I3596" s="355"/>
      <c r="J3596" s="355"/>
      <c r="K3596" s="355"/>
      <c r="L3596" s="355"/>
      <c r="M3596" s="355"/>
    </row>
    <row r="3597" spans="5:13">
      <c r="E3597" s="355"/>
      <c r="F3597" s="355"/>
      <c r="G3597" s="355"/>
      <c r="H3597" s="355"/>
      <c r="I3597" s="355"/>
      <c r="J3597" s="355"/>
      <c r="K3597" s="355"/>
      <c r="L3597" s="355"/>
      <c r="M3597" s="355"/>
    </row>
    <row r="3598" spans="5:13" ht="182.25" customHeight="1">
      <c r="E3598" s="355"/>
      <c r="F3598" s="355"/>
      <c r="G3598" s="355"/>
      <c r="H3598" s="376" t="s">
        <v>3043</v>
      </c>
      <c r="I3598" s="355"/>
      <c r="J3598" s="355"/>
      <c r="K3598" s="355"/>
      <c r="L3598" s="355"/>
      <c r="M3598" s="355"/>
    </row>
    <row r="3599" spans="5:13" ht="26.25" customHeight="1">
      <c r="E3599" s="355"/>
      <c r="F3599" s="355"/>
      <c r="G3599" s="355"/>
      <c r="H3599" s="363" t="s">
        <v>3033</v>
      </c>
      <c r="I3599" s="355"/>
      <c r="J3599" s="355"/>
      <c r="K3599" s="355"/>
      <c r="L3599" s="355"/>
      <c r="M3599" s="355"/>
    </row>
    <row r="3600" spans="5:13">
      <c r="E3600" s="355"/>
      <c r="F3600" s="355"/>
      <c r="G3600" s="355"/>
      <c r="H3600" s="355"/>
      <c r="I3600" s="355"/>
      <c r="J3600" s="355"/>
      <c r="K3600" s="355"/>
      <c r="L3600" s="355"/>
      <c r="M3600" s="355"/>
    </row>
    <row r="3601" spans="5:18" ht="225" customHeight="1">
      <c r="E3601" s="355"/>
      <c r="F3601" s="355"/>
      <c r="G3601" s="355"/>
      <c r="H3601" s="376" t="s">
        <v>2740</v>
      </c>
      <c r="I3601" s="355"/>
      <c r="J3601" s="355"/>
      <c r="K3601" s="355"/>
      <c r="L3601" s="355"/>
      <c r="M3601" s="355"/>
    </row>
    <row r="3602" spans="5:18" ht="22.5" customHeight="1">
      <c r="E3602" s="355"/>
      <c r="F3602" s="355"/>
      <c r="G3602" s="355"/>
      <c r="H3602" s="361" t="s">
        <v>2741</v>
      </c>
      <c r="I3602" s="361" t="s">
        <v>2742</v>
      </c>
      <c r="J3602" s="361" t="s">
        <v>2743</v>
      </c>
      <c r="K3602" s="361" t="s">
        <v>2744</v>
      </c>
      <c r="L3602" s="361" t="s">
        <v>2745</v>
      </c>
      <c r="M3602" s="355"/>
    </row>
    <row r="3603" spans="5:18" ht="22.5" customHeight="1">
      <c r="E3603" s="355"/>
      <c r="F3603" s="355"/>
      <c r="G3603" s="355"/>
      <c r="H3603" s="355" t="s">
        <v>4202</v>
      </c>
      <c r="I3603" s="356">
        <v>2970</v>
      </c>
      <c r="J3603" s="356">
        <v>2970</v>
      </c>
      <c r="K3603" s="356">
        <v>2850</v>
      </c>
      <c r="L3603" s="356">
        <v>2890</v>
      </c>
      <c r="M3603" s="355"/>
    </row>
    <row r="3604" spans="5:18" ht="22.5" customHeight="1">
      <c r="E3604" s="355"/>
      <c r="F3604" s="355"/>
      <c r="G3604" s="355"/>
      <c r="H3604" s="355" t="s">
        <v>4201</v>
      </c>
      <c r="I3604" s="355">
        <v>166</v>
      </c>
      <c r="J3604" s="355">
        <v>405</v>
      </c>
      <c r="K3604" s="377">
        <v>548</v>
      </c>
      <c r="L3604" s="377">
        <v>639</v>
      </c>
      <c r="M3604" s="355"/>
    </row>
    <row r="3605" spans="5:18" ht="29.25" customHeight="1">
      <c r="E3605" s="355"/>
      <c r="F3605" s="355"/>
      <c r="G3605" s="355"/>
      <c r="H3605" s="362" t="s">
        <v>2746</v>
      </c>
      <c r="I3605" s="363">
        <f>SUM(I3603:I3604)</f>
        <v>3136</v>
      </c>
      <c r="J3605" s="363">
        <f>SUM(J3603:J3604)</f>
        <v>3375</v>
      </c>
      <c r="K3605" s="374">
        <f>SUM(K3603:K3604)</f>
        <v>3398</v>
      </c>
      <c r="L3605" s="374">
        <f>SUM(L3603:L3604)</f>
        <v>3529</v>
      </c>
      <c r="M3605" s="355"/>
    </row>
    <row r="3606" spans="5:18">
      <c r="E3606" s="355"/>
      <c r="F3606" s="355"/>
      <c r="G3606" s="355"/>
      <c r="H3606" s="355"/>
      <c r="I3606" s="355"/>
      <c r="J3606" s="355"/>
      <c r="K3606" s="355"/>
      <c r="L3606" s="355"/>
      <c r="M3606" s="355"/>
    </row>
    <row r="3607" spans="5:18">
      <c r="E3607" s="355"/>
      <c r="F3607" s="355"/>
      <c r="G3607" s="355"/>
      <c r="H3607" s="363" t="s">
        <v>2747</v>
      </c>
      <c r="I3607" s="355"/>
      <c r="J3607" s="355"/>
      <c r="K3607" s="355"/>
      <c r="L3607" s="355"/>
      <c r="M3607" s="355"/>
    </row>
    <row r="3608" spans="5:18" ht="15.75" customHeight="1">
      <c r="E3608" s="355"/>
      <c r="F3608" s="355"/>
      <c r="G3608" s="355"/>
      <c r="H3608" s="355"/>
      <c r="I3608" s="355"/>
      <c r="J3608" s="355"/>
      <c r="K3608" s="355"/>
      <c r="L3608" s="355"/>
      <c r="M3608" s="355"/>
    </row>
    <row r="3609" spans="5:18">
      <c r="E3609" s="355"/>
      <c r="F3609" s="355"/>
      <c r="G3609" s="355"/>
      <c r="H3609" s="363" t="s">
        <v>2748</v>
      </c>
      <c r="I3609" s="355"/>
      <c r="J3609" s="355"/>
      <c r="K3609" s="355"/>
      <c r="L3609" s="355"/>
      <c r="M3609" s="355"/>
    </row>
    <row r="3610" spans="5:18" ht="86.25" customHeight="1">
      <c r="E3610" s="355"/>
      <c r="F3610" s="355"/>
      <c r="G3610" s="355"/>
      <c r="H3610" s="376" t="s">
        <v>2803</v>
      </c>
      <c r="I3610" s="355"/>
      <c r="J3610" s="355"/>
      <c r="K3610" s="355"/>
      <c r="L3610" s="355"/>
      <c r="M3610" s="1476" t="s">
        <v>3623</v>
      </c>
      <c r="N3610" s="1476"/>
      <c r="O3610" s="1476"/>
      <c r="P3610" s="1476"/>
      <c r="Q3610" s="1476"/>
      <c r="R3610" s="1476"/>
    </row>
    <row r="3611" spans="5:18" ht="15.75" customHeight="1">
      <c r="E3611" s="355"/>
      <c r="F3611" s="355"/>
      <c r="G3611" s="355"/>
      <c r="H3611" s="355"/>
      <c r="I3611" s="355"/>
      <c r="J3611" s="355"/>
      <c r="K3611" s="355"/>
      <c r="L3611" s="355"/>
      <c r="M3611" s="1477" t="s">
        <v>3624</v>
      </c>
      <c r="N3611" s="1477"/>
      <c r="O3611" s="1477"/>
      <c r="P3611" s="1477"/>
      <c r="Q3611" s="1477"/>
      <c r="R3611" s="1477"/>
    </row>
    <row r="3612" spans="5:18" ht="26.25" customHeight="1">
      <c r="E3612" s="355"/>
      <c r="F3612" s="355">
        <v>2</v>
      </c>
      <c r="G3612" s="355" t="s">
        <v>794</v>
      </c>
      <c r="H3612" s="355" t="str">
        <f>Elec.Data!H3612</f>
        <v>GI pipe of 20 mm dia  (P-45 142 -iv)</v>
      </c>
      <c r="I3612" s="356">
        <f>Elec.Data!I3612</f>
        <v>98.6</v>
      </c>
      <c r="J3612" s="355" t="s">
        <v>794</v>
      </c>
      <c r="K3612" s="355">
        <f>F3612*I3612</f>
        <v>197.2</v>
      </c>
      <c r="L3612" s="355"/>
      <c r="M3612" s="470"/>
      <c r="N3612" s="470"/>
      <c r="O3612" s="470"/>
      <c r="P3612" s="470"/>
      <c r="Q3612" s="470"/>
      <c r="R3612" s="470"/>
    </row>
    <row r="3613" spans="5:18" ht="26.25" customHeight="1">
      <c r="E3613" s="355"/>
      <c r="F3613" s="355">
        <v>2</v>
      </c>
      <c r="G3613" s="355" t="s">
        <v>1924</v>
      </c>
      <c r="H3613" s="355" t="s">
        <v>2804</v>
      </c>
      <c r="I3613" s="355">
        <v>35</v>
      </c>
      <c r="J3613" s="355" t="s">
        <v>1924</v>
      </c>
      <c r="K3613" s="355">
        <f>F3613*I3613</f>
        <v>70</v>
      </c>
      <c r="L3613" s="355"/>
      <c r="M3613" s="472">
        <v>1.5</v>
      </c>
      <c r="N3613" s="470" t="s">
        <v>794</v>
      </c>
      <c r="O3613" s="470" t="s">
        <v>3625</v>
      </c>
      <c r="P3613" s="473">
        <v>136</v>
      </c>
      <c r="Q3613" s="470" t="s">
        <v>794</v>
      </c>
      <c r="R3613" s="472">
        <f>P3613*M3613</f>
        <v>204</v>
      </c>
    </row>
    <row r="3614" spans="5:18" ht="26.25" customHeight="1">
      <c r="E3614" s="355"/>
      <c r="F3614" s="355">
        <v>1</v>
      </c>
      <c r="G3614" s="355" t="s">
        <v>1337</v>
      </c>
      <c r="H3614" s="355" t="s">
        <v>3659</v>
      </c>
      <c r="I3614" s="356">
        <f>Elec.Data!I3614</f>
        <v>47.6</v>
      </c>
      <c r="J3614" s="355" t="s">
        <v>1341</v>
      </c>
      <c r="K3614" s="355">
        <f>F3614*I3614</f>
        <v>47.6</v>
      </c>
      <c r="L3614" s="355"/>
      <c r="M3614" s="472">
        <v>2</v>
      </c>
      <c r="N3614" s="470" t="s">
        <v>1924</v>
      </c>
      <c r="O3614" s="470" t="s">
        <v>2804</v>
      </c>
      <c r="P3614" s="472">
        <f>I3613</f>
        <v>35</v>
      </c>
      <c r="Q3614" s="470" t="s">
        <v>1924</v>
      </c>
      <c r="R3614" s="472">
        <f>M3614*P3614</f>
        <v>70</v>
      </c>
    </row>
    <row r="3615" spans="5:18" ht="26.25" customHeight="1">
      <c r="E3615" s="355"/>
      <c r="F3615" s="355">
        <v>1</v>
      </c>
      <c r="G3615" s="355" t="s">
        <v>1337</v>
      </c>
      <c r="H3615" s="355" t="s">
        <v>2805</v>
      </c>
      <c r="I3615" s="355">
        <f>K3628</f>
        <v>32.119999999999997</v>
      </c>
      <c r="J3615" s="355" t="s">
        <v>1341</v>
      </c>
      <c r="K3615" s="355">
        <f>F3615*I3615</f>
        <v>32.119999999999997</v>
      </c>
      <c r="L3615" s="355"/>
      <c r="M3615" s="472"/>
      <c r="N3615" s="470"/>
      <c r="O3615" s="470"/>
      <c r="P3615" s="473"/>
      <c r="Q3615" s="470"/>
      <c r="R3615" s="472"/>
    </row>
    <row r="3616" spans="5:18" ht="26.25" customHeight="1">
      <c r="E3616" s="355"/>
      <c r="F3616" s="355">
        <v>8</v>
      </c>
      <c r="G3616" s="355" t="s">
        <v>794</v>
      </c>
      <c r="H3616" s="355" t="s">
        <v>2806</v>
      </c>
      <c r="I3616" s="355">
        <f>I3101</f>
        <v>20.3</v>
      </c>
      <c r="J3616" s="355" t="s">
        <v>3239</v>
      </c>
      <c r="K3616" s="355">
        <f>F3616*I3616</f>
        <v>162.4</v>
      </c>
      <c r="L3616" s="355"/>
      <c r="M3616" s="472"/>
      <c r="N3616" s="470"/>
      <c r="O3616" s="470"/>
      <c r="P3616" s="472"/>
      <c r="Q3616" s="470"/>
      <c r="R3616" s="472"/>
    </row>
    <row r="3617" spans="5:18" ht="51" customHeight="1">
      <c r="E3617" s="355"/>
      <c r="F3617" s="355">
        <v>1</v>
      </c>
      <c r="G3617" s="355" t="s">
        <v>1337</v>
      </c>
      <c r="H3617" s="376" t="s">
        <v>2807</v>
      </c>
      <c r="I3617" s="355"/>
      <c r="J3617" s="355"/>
      <c r="K3617" s="355">
        <f>K3627</f>
        <v>1537.67</v>
      </c>
      <c r="L3617" s="355"/>
      <c r="M3617" s="472">
        <v>8</v>
      </c>
      <c r="N3617" s="470" t="s">
        <v>794</v>
      </c>
      <c r="O3617" s="474" t="s">
        <v>2806</v>
      </c>
      <c r="P3617" s="472">
        <f>I3616</f>
        <v>20.3</v>
      </c>
      <c r="Q3617" s="470" t="s">
        <v>3239</v>
      </c>
      <c r="R3617" s="472">
        <f>M3617*P3617</f>
        <v>162.4</v>
      </c>
    </row>
    <row r="3618" spans="5:18" ht="49.5" customHeight="1">
      <c r="E3618" s="355"/>
      <c r="F3618" s="355"/>
      <c r="G3618" s="355"/>
      <c r="H3618" s="376" t="s">
        <v>2415</v>
      </c>
      <c r="I3618" s="355" t="s">
        <v>625</v>
      </c>
      <c r="J3618" s="355"/>
      <c r="K3618" s="355">
        <f>15.7+0.31</f>
        <v>16.010000000000002</v>
      </c>
      <c r="L3618" s="355"/>
      <c r="M3618" s="472">
        <v>1</v>
      </c>
      <c r="N3618" s="470" t="s">
        <v>1337</v>
      </c>
      <c r="O3618" s="474" t="s">
        <v>2807</v>
      </c>
      <c r="P3618" s="472">
        <f>R3628</f>
        <v>881.67</v>
      </c>
      <c r="Q3618" s="470" t="s">
        <v>1341</v>
      </c>
      <c r="R3618" s="472">
        <f>R3628</f>
        <v>881.67</v>
      </c>
    </row>
    <row r="3619" spans="5:18" ht="29.25" customHeight="1">
      <c r="E3619" s="355"/>
      <c r="F3619" s="355"/>
      <c r="G3619" s="355"/>
      <c r="H3619" s="362" t="s">
        <v>2287</v>
      </c>
      <c r="I3619" s="355"/>
      <c r="J3619" s="355"/>
      <c r="K3619" s="363">
        <f>SUM(K3612:K3618)</f>
        <v>2063</v>
      </c>
      <c r="L3619" s="355">
        <f>K3619-1520</f>
        <v>543</v>
      </c>
      <c r="M3619" s="472"/>
      <c r="N3619" s="470"/>
      <c r="O3619" s="474" t="s">
        <v>2415</v>
      </c>
      <c r="P3619" s="1478" t="s">
        <v>625</v>
      </c>
      <c r="Q3619" s="1478"/>
      <c r="R3619" s="472">
        <v>15.73</v>
      </c>
    </row>
    <row r="3620" spans="5:18">
      <c r="E3620" s="355"/>
      <c r="F3620" s="355"/>
      <c r="G3620" s="355"/>
      <c r="H3620" s="355"/>
      <c r="I3620" s="355"/>
      <c r="J3620" s="355"/>
      <c r="K3620" s="355"/>
      <c r="L3620" s="355"/>
      <c r="M3620" s="472"/>
      <c r="N3620" s="470"/>
      <c r="O3620" s="475" t="s">
        <v>2287</v>
      </c>
      <c r="P3620" s="470"/>
      <c r="Q3620" s="470"/>
      <c r="R3620" s="475">
        <f>SUM(R3613:R3619)</f>
        <v>1333.8</v>
      </c>
    </row>
    <row r="3621" spans="5:18">
      <c r="E3621" s="355"/>
      <c r="F3621" s="355"/>
      <c r="G3621" s="355"/>
      <c r="H3621" s="361" t="s">
        <v>2416</v>
      </c>
      <c r="I3621" s="355"/>
      <c r="J3621" s="355"/>
      <c r="K3621" s="355"/>
      <c r="L3621" s="355"/>
      <c r="M3621" s="472"/>
      <c r="N3621" s="470"/>
      <c r="O3621" s="470"/>
      <c r="P3621" s="470"/>
      <c r="Q3621" s="470"/>
      <c r="R3621" s="470"/>
    </row>
    <row r="3622" spans="5:18">
      <c r="E3622" s="355"/>
      <c r="F3622" s="355">
        <v>1</v>
      </c>
      <c r="G3622" s="355" t="s">
        <v>1337</v>
      </c>
      <c r="H3622" s="364" t="s">
        <v>2630</v>
      </c>
      <c r="I3622" s="355">
        <f>I3503</f>
        <v>817</v>
      </c>
      <c r="J3622" s="355" t="s">
        <v>1337</v>
      </c>
      <c r="K3622" s="355">
        <f>F3622*I3622</f>
        <v>817</v>
      </c>
      <c r="L3622" s="355"/>
      <c r="M3622" s="472"/>
      <c r="N3622" s="470"/>
      <c r="O3622" s="476" t="s">
        <v>2416</v>
      </c>
      <c r="P3622" s="470"/>
      <c r="Q3622" s="470"/>
      <c r="R3622" s="470"/>
    </row>
    <row r="3623" spans="5:18">
      <c r="E3623" s="355"/>
      <c r="F3623" s="355">
        <v>1</v>
      </c>
      <c r="G3623" s="355" t="s">
        <v>1337</v>
      </c>
      <c r="H3623" s="355" t="s">
        <v>2691</v>
      </c>
      <c r="I3623" s="355">
        <f>I3504</f>
        <v>712</v>
      </c>
      <c r="J3623" s="355" t="s">
        <v>1337</v>
      </c>
      <c r="K3623" s="355">
        <f>F3623*I3623</f>
        <v>712</v>
      </c>
      <c r="L3623" s="355"/>
      <c r="M3623" s="472">
        <v>1</v>
      </c>
      <c r="N3623" s="470" t="s">
        <v>1337</v>
      </c>
      <c r="O3623" s="470" t="s">
        <v>2630</v>
      </c>
      <c r="P3623" s="472">
        <v>471</v>
      </c>
      <c r="Q3623" s="470" t="s">
        <v>1337</v>
      </c>
      <c r="R3623" s="470">
        <f>M3623*P3623</f>
        <v>471</v>
      </c>
    </row>
    <row r="3624" spans="5:18">
      <c r="E3624" s="355"/>
      <c r="F3624" s="355">
        <v>2</v>
      </c>
      <c r="G3624" s="355" t="s">
        <v>1337</v>
      </c>
      <c r="H3624" s="355" t="s">
        <v>2510</v>
      </c>
      <c r="I3624" s="355">
        <f>I3505</f>
        <v>708</v>
      </c>
      <c r="J3624" s="355" t="s">
        <v>1337</v>
      </c>
      <c r="K3624" s="355">
        <f>F3624*I3624</f>
        <v>1416</v>
      </c>
      <c r="L3624" s="355"/>
      <c r="M3624" s="472">
        <v>1</v>
      </c>
      <c r="N3624" s="470" t="s">
        <v>1337</v>
      </c>
      <c r="O3624" s="470" t="s">
        <v>2691</v>
      </c>
      <c r="P3624" s="472">
        <v>432</v>
      </c>
      <c r="Q3624" s="470" t="s">
        <v>1337</v>
      </c>
      <c r="R3624" s="470">
        <f>M3624*P3624</f>
        <v>432</v>
      </c>
    </row>
    <row r="3625" spans="5:18">
      <c r="E3625" s="355"/>
      <c r="F3625" s="355">
        <v>3</v>
      </c>
      <c r="G3625" s="355" t="s">
        <v>1337</v>
      </c>
      <c r="H3625" s="355" t="s">
        <v>2246</v>
      </c>
      <c r="I3625" s="355">
        <f>I3506</f>
        <v>556</v>
      </c>
      <c r="J3625" s="355" t="s">
        <v>1337</v>
      </c>
      <c r="K3625" s="355">
        <f>F3625*I3625</f>
        <v>1668</v>
      </c>
      <c r="L3625" s="355"/>
      <c r="M3625" s="472">
        <v>2</v>
      </c>
      <c r="N3625" s="470" t="s">
        <v>1337</v>
      </c>
      <c r="O3625" s="470" t="s">
        <v>2510</v>
      </c>
      <c r="P3625" s="472">
        <v>409</v>
      </c>
      <c r="Q3625" s="470" t="s">
        <v>1337</v>
      </c>
      <c r="R3625" s="470">
        <f>M3625*P3625</f>
        <v>818</v>
      </c>
    </row>
    <row r="3626" spans="5:18">
      <c r="E3626" s="355"/>
      <c r="F3626" s="355"/>
      <c r="G3626" s="355"/>
      <c r="H3626" s="360" t="s">
        <v>2793</v>
      </c>
      <c r="I3626" s="355"/>
      <c r="J3626" s="355"/>
      <c r="K3626" s="361">
        <f>SUM(K3622:K3625)</f>
        <v>4613</v>
      </c>
      <c r="L3626" s="355"/>
      <c r="M3626" s="472">
        <v>3</v>
      </c>
      <c r="N3626" s="470" t="s">
        <v>1337</v>
      </c>
      <c r="O3626" s="470" t="s">
        <v>2246</v>
      </c>
      <c r="P3626" s="472">
        <v>308</v>
      </c>
      <c r="Q3626" s="470" t="s">
        <v>1337</v>
      </c>
      <c r="R3626" s="470">
        <f>M3626*P3626</f>
        <v>924</v>
      </c>
    </row>
    <row r="3627" spans="5:18">
      <c r="E3627" s="355"/>
      <c r="F3627" s="355"/>
      <c r="G3627" s="355"/>
      <c r="H3627" s="362" t="s">
        <v>2718</v>
      </c>
      <c r="I3627" s="355"/>
      <c r="J3627" s="355"/>
      <c r="K3627" s="363">
        <f>K3626/3</f>
        <v>1537.67</v>
      </c>
      <c r="L3627" s="355"/>
      <c r="M3627" s="470"/>
      <c r="N3627" s="470"/>
      <c r="O3627" s="472" t="s">
        <v>2793</v>
      </c>
      <c r="P3627" s="470"/>
      <c r="Q3627" s="470"/>
      <c r="R3627" s="476">
        <f>SUM(R3623:R3626)</f>
        <v>2645</v>
      </c>
    </row>
    <row r="3628" spans="5:18">
      <c r="E3628" s="355"/>
      <c r="F3628" s="355"/>
      <c r="G3628" s="355"/>
      <c r="H3628" s="363" t="s">
        <v>2417</v>
      </c>
      <c r="I3628" s="355">
        <f>I3483</f>
        <v>107060</v>
      </c>
      <c r="J3628" s="369">
        <v>2.9999999999999997E-4</v>
      </c>
      <c r="K3628" s="363">
        <f>I3628*J3628</f>
        <v>32.119999999999997</v>
      </c>
      <c r="L3628" s="355"/>
      <c r="M3628" s="470"/>
      <c r="N3628" s="470"/>
      <c r="O3628" s="475" t="s">
        <v>2718</v>
      </c>
      <c r="P3628" s="470"/>
      <c r="Q3628" s="470"/>
      <c r="R3628" s="471">
        <f>R3627/3</f>
        <v>881.67</v>
      </c>
    </row>
    <row r="3629" spans="5:18">
      <c r="E3629" s="355"/>
      <c r="F3629" s="355"/>
      <c r="G3629" s="355"/>
      <c r="H3629" s="355"/>
      <c r="I3629" s="355"/>
      <c r="J3629" s="355"/>
      <c r="K3629" s="355"/>
      <c r="L3629" s="355"/>
      <c r="M3629" s="470"/>
      <c r="N3629" s="470"/>
      <c r="O3629" s="477"/>
      <c r="P3629" s="478"/>
      <c r="Q3629" s="479"/>
      <c r="R3629" s="477"/>
    </row>
    <row r="3630" spans="5:18" ht="23.25" customHeight="1">
      <c r="E3630" s="355"/>
      <c r="F3630" s="355"/>
      <c r="G3630" s="355"/>
      <c r="H3630" s="363" t="s">
        <v>2289</v>
      </c>
      <c r="I3630" s="355"/>
      <c r="J3630" s="355"/>
      <c r="K3630" s="355"/>
      <c r="L3630" s="355"/>
      <c r="M3630" s="470"/>
      <c r="N3630" s="470"/>
      <c r="O3630" s="470"/>
      <c r="P3630" s="470"/>
      <c r="Q3630" s="470"/>
      <c r="R3630" s="470"/>
    </row>
    <row r="3631" spans="5:18" ht="15.75" customHeight="1">
      <c r="E3631" s="355"/>
      <c r="F3631" s="355"/>
      <c r="G3631" s="355"/>
      <c r="H3631" s="355"/>
      <c r="I3631" s="355"/>
      <c r="J3631" s="355"/>
      <c r="K3631" s="355"/>
      <c r="L3631" s="355"/>
      <c r="M3631" s="470"/>
      <c r="N3631" s="470"/>
      <c r="O3631" s="471" t="s">
        <v>2289</v>
      </c>
      <c r="P3631" s="470"/>
      <c r="Q3631" s="470"/>
      <c r="R3631" s="470"/>
    </row>
    <row r="3632" spans="5:18" ht="24.95" customHeight="1">
      <c r="E3632" s="355"/>
      <c r="F3632" s="355"/>
      <c r="G3632" s="355"/>
      <c r="H3632" s="363" t="s">
        <v>3041</v>
      </c>
      <c r="I3632" s="355"/>
      <c r="J3632" s="355"/>
      <c r="K3632" s="355"/>
      <c r="L3632" s="355"/>
      <c r="M3632" s="470"/>
      <c r="N3632" s="470"/>
      <c r="O3632" s="471"/>
      <c r="P3632" s="470"/>
      <c r="Q3632" s="470"/>
      <c r="R3632" s="470"/>
    </row>
    <row r="3633" spans="5:18" ht="15.75" customHeight="1">
      <c r="E3633" s="355"/>
      <c r="F3633" s="355"/>
      <c r="G3633" s="355"/>
      <c r="H3633" s="355"/>
      <c r="I3633" s="355"/>
      <c r="J3633" s="355"/>
      <c r="K3633" s="355"/>
      <c r="L3633" s="355"/>
      <c r="M3633" s="470"/>
      <c r="N3633" s="470"/>
      <c r="O3633" s="471" t="s">
        <v>3626</v>
      </c>
      <c r="P3633" s="470"/>
      <c r="Q3633" s="470"/>
      <c r="R3633" s="470"/>
    </row>
    <row r="3634" spans="5:18" ht="24.95" customHeight="1">
      <c r="E3634" s="355"/>
      <c r="F3634" s="355">
        <v>1</v>
      </c>
      <c r="G3634" s="355" t="s">
        <v>1337</v>
      </c>
      <c r="H3634" s="354" t="str">
        <f>Elec.Data!H3634</f>
        <v>Tube light fittings P-113 ,11a-An-VII</v>
      </c>
      <c r="I3634" s="357">
        <f>Elec.Data!I3634</f>
        <v>642</v>
      </c>
      <c r="J3634" s="355" t="s">
        <v>1337</v>
      </c>
      <c r="K3634" s="355">
        <f>F3634*I3634</f>
        <v>642</v>
      </c>
      <c r="L3634" s="355"/>
      <c r="M3634" s="470"/>
      <c r="N3634" s="470"/>
      <c r="O3634" s="471"/>
      <c r="P3634" s="470"/>
      <c r="Q3634" s="470"/>
      <c r="R3634" s="470"/>
    </row>
    <row r="3635" spans="5:18" ht="24.95" customHeight="1">
      <c r="E3635" s="355"/>
      <c r="F3635" s="355">
        <v>1</v>
      </c>
      <c r="G3635" s="355" t="s">
        <v>1337</v>
      </c>
      <c r="H3635" s="354" t="str">
        <f>Elec.Data!H3635</f>
        <v>Tubular lamp P-112 ,4b</v>
      </c>
      <c r="I3635" s="357">
        <f>Elec.Data!I3635</f>
        <v>35.9</v>
      </c>
      <c r="J3635" s="355" t="s">
        <v>1337</v>
      </c>
      <c r="K3635" s="355">
        <f>F3635*I3635</f>
        <v>35.9</v>
      </c>
      <c r="L3635" s="355"/>
      <c r="M3635" s="470">
        <v>1</v>
      </c>
      <c r="N3635" s="470" t="s">
        <v>1337</v>
      </c>
      <c r="O3635" s="474" t="s">
        <v>3627</v>
      </c>
      <c r="P3635" s="480">
        <v>1717.5</v>
      </c>
      <c r="Q3635" s="470" t="s">
        <v>1337</v>
      </c>
      <c r="R3635" s="470">
        <f>M3635*P3635</f>
        <v>1717.5</v>
      </c>
    </row>
    <row r="3636" spans="5:18" ht="24.95" customHeight="1">
      <c r="E3636" s="355"/>
      <c r="F3636" s="355">
        <v>1</v>
      </c>
      <c r="G3636" s="355" t="s">
        <v>1337</v>
      </c>
      <c r="H3636" s="376" t="s">
        <v>878</v>
      </c>
      <c r="I3636" s="355">
        <f>K3619</f>
        <v>2063</v>
      </c>
      <c r="J3636" s="355" t="s">
        <v>1337</v>
      </c>
      <c r="K3636" s="355">
        <f>F3636*I3636</f>
        <v>2063</v>
      </c>
      <c r="L3636" s="355"/>
      <c r="M3636" s="470">
        <v>1</v>
      </c>
      <c r="N3636" s="470" t="s">
        <v>1337</v>
      </c>
      <c r="O3636" s="474" t="s">
        <v>878</v>
      </c>
      <c r="P3636" s="480">
        <f>R3620</f>
        <v>1333.8</v>
      </c>
      <c r="Q3636" s="470" t="s">
        <v>1337</v>
      </c>
      <c r="R3636" s="470">
        <f>M3636*P3636</f>
        <v>1333.8</v>
      </c>
    </row>
    <row r="3637" spans="5:18" ht="24.95" customHeight="1">
      <c r="E3637" s="355"/>
      <c r="F3637" s="355"/>
      <c r="G3637" s="355"/>
      <c r="H3637" s="354" t="s">
        <v>2187</v>
      </c>
      <c r="I3637" s="355"/>
      <c r="J3637" s="355"/>
      <c r="K3637" s="355">
        <f>2.5-0.9</f>
        <v>1.6</v>
      </c>
      <c r="L3637" s="355"/>
      <c r="M3637" s="470"/>
      <c r="N3637" s="470"/>
      <c r="O3637" s="474" t="s">
        <v>2187</v>
      </c>
      <c r="P3637" s="470"/>
      <c r="Q3637" s="470"/>
      <c r="R3637" s="470">
        <v>0.5</v>
      </c>
    </row>
    <row r="3638" spans="5:18" ht="24.95" customHeight="1">
      <c r="E3638" s="355"/>
      <c r="F3638" s="355"/>
      <c r="G3638" s="355"/>
      <c r="H3638" s="362" t="s">
        <v>1024</v>
      </c>
      <c r="I3638" s="355"/>
      <c r="J3638" s="355"/>
      <c r="K3638" s="363">
        <f>SUM(K3634:K3637)</f>
        <v>2742.5</v>
      </c>
      <c r="L3638" s="355">
        <f>K3638-2170</f>
        <v>572.5</v>
      </c>
      <c r="M3638" s="470"/>
      <c r="N3638" s="470"/>
      <c r="O3638" s="475" t="s">
        <v>1024</v>
      </c>
      <c r="P3638" s="470"/>
      <c r="Q3638" s="470"/>
      <c r="R3638" s="471">
        <f>SUM(R3635:R3637)</f>
        <v>3051.8</v>
      </c>
    </row>
    <row r="3639" spans="5:18">
      <c r="E3639" s="355"/>
      <c r="F3639" s="355"/>
      <c r="G3639" s="355"/>
      <c r="H3639" s="355"/>
      <c r="I3639" s="355"/>
      <c r="J3639" s="355"/>
      <c r="K3639" s="355"/>
      <c r="L3639" s="355"/>
      <c r="M3639" s="470"/>
      <c r="N3639" s="470"/>
      <c r="P3639" s="470"/>
      <c r="Q3639" s="470"/>
      <c r="R3639" s="471"/>
    </row>
    <row r="3640" spans="5:18" ht="24.75" customHeight="1">
      <c r="E3640" s="355"/>
      <c r="F3640" s="355"/>
      <c r="G3640" s="355"/>
      <c r="H3640" s="363" t="s">
        <v>3028</v>
      </c>
      <c r="I3640" s="355"/>
      <c r="J3640" s="355"/>
      <c r="K3640" s="355"/>
      <c r="L3640" s="355"/>
      <c r="M3640" s="355"/>
    </row>
    <row r="3641" spans="5:18" ht="63">
      <c r="E3641" s="355"/>
      <c r="F3641" s="355"/>
      <c r="G3641" s="355"/>
      <c r="H3641" s="376" t="s">
        <v>3029</v>
      </c>
      <c r="I3641" s="355"/>
      <c r="J3641" s="355"/>
      <c r="K3641" s="355"/>
      <c r="L3641" s="355"/>
      <c r="M3641" s="355"/>
    </row>
    <row r="3642" spans="5:18">
      <c r="E3642" s="355"/>
      <c r="F3642" s="355"/>
      <c r="G3642" s="355"/>
      <c r="H3642" s="355"/>
      <c r="I3642" s="355"/>
      <c r="J3642" s="355"/>
      <c r="K3642" s="355"/>
      <c r="L3642" s="355"/>
      <c r="M3642" s="355"/>
    </row>
    <row r="3643" spans="5:18" ht="24.75" customHeight="1">
      <c r="E3643" s="355"/>
      <c r="F3643" s="355">
        <v>1.5</v>
      </c>
      <c r="G3643" s="355" t="s">
        <v>794</v>
      </c>
      <c r="H3643" s="355" t="str">
        <f>Elec.Data!H3643</f>
        <v>GI pipe B class of 50 mm dia  (P-45 154 -ii)</v>
      </c>
      <c r="I3643" s="356">
        <f>Elec.Data!I3643</f>
        <v>209</v>
      </c>
      <c r="J3643" s="355" t="s">
        <v>794</v>
      </c>
      <c r="K3643" s="355">
        <f>F3643*I3643</f>
        <v>313.5</v>
      </c>
      <c r="L3643" s="355"/>
      <c r="M3643" s="355"/>
    </row>
    <row r="3644" spans="5:18" ht="24.75" customHeight="1">
      <c r="E3644" s="355"/>
      <c r="F3644" s="355">
        <v>2</v>
      </c>
      <c r="G3644" s="355" t="s">
        <v>3039</v>
      </c>
      <c r="H3644" s="355" t="s">
        <v>3040</v>
      </c>
      <c r="I3644" s="355">
        <f>I3613</f>
        <v>35</v>
      </c>
      <c r="J3644" s="355" t="s">
        <v>3039</v>
      </c>
      <c r="K3644" s="355">
        <f>F3644*I3644</f>
        <v>70</v>
      </c>
      <c r="L3644" s="355"/>
      <c r="M3644" s="355"/>
    </row>
    <row r="3645" spans="5:18" ht="24.75" customHeight="1">
      <c r="E3645" s="355"/>
      <c r="F3645" s="355">
        <v>1</v>
      </c>
      <c r="G3645" s="355" t="s">
        <v>1337</v>
      </c>
      <c r="H3645" s="355" t="s">
        <v>3030</v>
      </c>
      <c r="I3645" s="355">
        <f>I3614</f>
        <v>47.6</v>
      </c>
      <c r="J3645" s="355" t="s">
        <v>1337</v>
      </c>
      <c r="K3645" s="355">
        <f>F3645*I3645</f>
        <v>47.6</v>
      </c>
      <c r="L3645" s="355"/>
      <c r="M3645" s="355"/>
    </row>
    <row r="3646" spans="5:18" ht="24.75" customHeight="1">
      <c r="E3646" s="355"/>
      <c r="F3646" s="355">
        <v>1</v>
      </c>
      <c r="G3646" s="355" t="s">
        <v>1337</v>
      </c>
      <c r="H3646" s="355" t="s">
        <v>3164</v>
      </c>
      <c r="I3646" s="355">
        <f>I3615</f>
        <v>32.119999999999997</v>
      </c>
      <c r="J3646" s="355" t="s">
        <v>1337</v>
      </c>
      <c r="K3646" s="355">
        <f>F3646*I3646</f>
        <v>32.119999999999997</v>
      </c>
      <c r="L3646" s="355"/>
      <c r="M3646" s="355"/>
    </row>
    <row r="3647" spans="5:18" ht="24.75" customHeight="1">
      <c r="E3647" s="355"/>
      <c r="F3647" s="355">
        <v>8</v>
      </c>
      <c r="G3647" s="355" t="s">
        <v>794</v>
      </c>
      <c r="H3647" s="355" t="s">
        <v>2806</v>
      </c>
      <c r="I3647" s="355">
        <f>I3616</f>
        <v>20.3</v>
      </c>
      <c r="J3647" s="355" t="s">
        <v>3239</v>
      </c>
      <c r="K3647" s="355">
        <f>F3647*I3647</f>
        <v>162.4</v>
      </c>
      <c r="L3647" s="355"/>
      <c r="M3647" s="355"/>
    </row>
    <row r="3648" spans="5:18" ht="61.5" customHeight="1">
      <c r="E3648" s="355"/>
      <c r="F3648" s="355"/>
      <c r="G3648" s="355"/>
      <c r="H3648" s="376" t="s">
        <v>2807</v>
      </c>
      <c r="I3648" s="355"/>
      <c r="J3648" s="355"/>
      <c r="K3648" s="355">
        <f>K3627</f>
        <v>1537.67</v>
      </c>
      <c r="L3648" s="355"/>
      <c r="M3648" s="355"/>
    </row>
    <row r="3649" spans="5:13" ht="52.5" customHeight="1">
      <c r="E3649" s="355"/>
      <c r="F3649" s="355"/>
      <c r="G3649" s="355"/>
      <c r="H3649" s="376" t="s">
        <v>2415</v>
      </c>
      <c r="I3649" s="355"/>
      <c r="J3649" s="355" t="s">
        <v>625</v>
      </c>
      <c r="K3649" s="355">
        <f>14.2-0.69</f>
        <v>13.51</v>
      </c>
      <c r="L3649" s="355"/>
      <c r="M3649" s="355"/>
    </row>
    <row r="3650" spans="5:13" ht="24" customHeight="1">
      <c r="E3650" s="355"/>
      <c r="F3650" s="355"/>
      <c r="G3650" s="355"/>
      <c r="H3650" s="362" t="s">
        <v>2287</v>
      </c>
      <c r="I3650" s="355"/>
      <c r="J3650" s="355"/>
      <c r="K3650" s="363">
        <f>SUM(K3643:K3649)</f>
        <v>2176.8000000000002</v>
      </c>
      <c r="L3650" s="355"/>
      <c r="M3650" s="355"/>
    </row>
    <row r="3651" spans="5:13">
      <c r="E3651" s="355"/>
      <c r="F3651" s="355"/>
      <c r="G3651" s="355"/>
      <c r="H3651" s="355"/>
      <c r="I3651" s="355"/>
      <c r="J3651" s="355"/>
      <c r="K3651" s="355"/>
      <c r="L3651" s="355"/>
      <c r="M3651" s="355"/>
    </row>
    <row r="3652" spans="5:13">
      <c r="E3652" s="355"/>
      <c r="F3652" s="355"/>
      <c r="G3652" s="355"/>
      <c r="H3652" s="355"/>
      <c r="I3652" s="355"/>
      <c r="J3652" s="355"/>
      <c r="K3652" s="355"/>
      <c r="L3652" s="355"/>
      <c r="M3652" s="355"/>
    </row>
    <row r="3653" spans="5:13">
      <c r="E3653" s="355"/>
      <c r="F3653" s="355"/>
      <c r="G3653" s="355"/>
      <c r="H3653" s="355"/>
      <c r="I3653" s="355"/>
      <c r="J3653" s="355"/>
      <c r="K3653" s="355"/>
      <c r="L3653" s="355"/>
      <c r="M3653" s="355"/>
    </row>
    <row r="3654" spans="5:13">
      <c r="E3654" s="355"/>
      <c r="F3654" s="355"/>
      <c r="G3654" s="355"/>
      <c r="H3654" s="355"/>
      <c r="I3654" s="355"/>
      <c r="J3654" s="355"/>
      <c r="K3654" s="355"/>
      <c r="L3654" s="355"/>
      <c r="M3654" s="355"/>
    </row>
    <row r="3655" spans="5:13">
      <c r="E3655" s="355"/>
      <c r="F3655" s="355"/>
      <c r="G3655" s="355"/>
      <c r="H3655" s="374" t="s">
        <v>2747</v>
      </c>
      <c r="I3655" s="355"/>
      <c r="J3655" s="355"/>
      <c r="K3655" s="355"/>
      <c r="L3655" s="355"/>
      <c r="M3655" s="355"/>
    </row>
    <row r="3656" spans="5:13">
      <c r="E3656" s="355"/>
      <c r="F3656" s="355"/>
      <c r="G3656" s="355"/>
      <c r="H3656" s="355"/>
      <c r="I3656" s="355"/>
      <c r="J3656" s="355"/>
      <c r="K3656" s="355"/>
      <c r="L3656" s="355"/>
      <c r="M3656" s="355"/>
    </row>
    <row r="3657" spans="5:13">
      <c r="E3657" s="355"/>
      <c r="F3657" s="355"/>
      <c r="G3657" s="355"/>
      <c r="H3657" s="374" t="s">
        <v>2946</v>
      </c>
      <c r="I3657" s="355"/>
      <c r="J3657" s="355"/>
      <c r="K3657" s="355"/>
      <c r="L3657" s="355"/>
      <c r="M3657" s="355"/>
    </row>
    <row r="3658" spans="5:13">
      <c r="E3658" s="355"/>
      <c r="F3658" s="355"/>
      <c r="G3658" s="355"/>
      <c r="H3658" s="355"/>
      <c r="I3658" s="355"/>
      <c r="J3658" s="355"/>
      <c r="K3658" s="355"/>
      <c r="L3658" s="355"/>
      <c r="M3658" s="355"/>
    </row>
    <row r="3659" spans="5:13" ht="315">
      <c r="E3659" s="355"/>
      <c r="F3659" s="355"/>
      <c r="G3659" s="355"/>
      <c r="H3659" s="376" t="s">
        <v>2458</v>
      </c>
      <c r="I3659" s="355"/>
      <c r="J3659" s="355"/>
      <c r="K3659" s="355"/>
      <c r="L3659" s="355"/>
      <c r="M3659" s="355"/>
    </row>
    <row r="3660" spans="5:13">
      <c r="E3660" s="355"/>
      <c r="F3660" s="355"/>
      <c r="G3660" s="355"/>
      <c r="H3660" s="355"/>
      <c r="I3660" s="355"/>
      <c r="J3660" s="355"/>
      <c r="K3660" s="355"/>
      <c r="L3660" s="355"/>
      <c r="M3660" s="355"/>
    </row>
    <row r="3661" spans="5:13">
      <c r="E3661" s="355"/>
      <c r="F3661" s="355"/>
      <c r="G3661" s="355"/>
      <c r="H3661" s="363" t="s">
        <v>2763</v>
      </c>
      <c r="I3661" s="355"/>
      <c r="K3661" s="355"/>
      <c r="L3661" s="355"/>
      <c r="M3661" s="355"/>
    </row>
    <row r="3662" spans="5:13" ht="47.25">
      <c r="E3662" s="355"/>
      <c r="F3662" s="355">
        <v>1</v>
      </c>
      <c r="G3662" s="355" t="s">
        <v>1337</v>
      </c>
      <c r="H3662" s="354" t="s">
        <v>3750</v>
      </c>
      <c r="I3662" s="425">
        <f>Elec.Data!I3662</f>
        <v>310</v>
      </c>
      <c r="J3662" s="355" t="s">
        <v>1337</v>
      </c>
      <c r="K3662" s="355">
        <f t="shared" ref="K3662:K3667" si="104">F3662*I3662</f>
        <v>310</v>
      </c>
      <c r="L3662" s="355"/>
      <c r="M3662" s="355"/>
    </row>
    <row r="3663" spans="5:13" ht="20.100000000000001" customHeight="1">
      <c r="E3663" s="355"/>
      <c r="F3663" s="355">
        <v>1</v>
      </c>
      <c r="G3663" s="355" t="s">
        <v>1337</v>
      </c>
      <c r="H3663" s="355" t="s">
        <v>2764</v>
      </c>
      <c r="I3663" s="355">
        <f>K3677</f>
        <v>289.06</v>
      </c>
      <c r="J3663" s="355" t="s">
        <v>1337</v>
      </c>
      <c r="K3663" s="355">
        <f t="shared" si="104"/>
        <v>289.06</v>
      </c>
      <c r="L3663" s="355"/>
      <c r="M3663" s="355"/>
    </row>
    <row r="3664" spans="5:13" ht="20.100000000000001" customHeight="1">
      <c r="E3664" s="355"/>
      <c r="F3664" s="355">
        <v>1</v>
      </c>
      <c r="G3664" s="355" t="s">
        <v>1337</v>
      </c>
      <c r="H3664" s="355" t="s">
        <v>2765</v>
      </c>
      <c r="I3664" s="356">
        <f>Elec.Data!I3664</f>
        <v>84.4</v>
      </c>
      <c r="J3664" s="355" t="s">
        <v>1337</v>
      </c>
      <c r="K3664" s="355">
        <f t="shared" si="104"/>
        <v>84.4</v>
      </c>
      <c r="L3664" s="355"/>
      <c r="M3664" s="355"/>
    </row>
    <row r="3665" spans="4:13" ht="20.100000000000001" customHeight="1">
      <c r="E3665" s="355"/>
      <c r="F3665" s="355">
        <v>1</v>
      </c>
      <c r="G3665" s="355" t="s">
        <v>1337</v>
      </c>
      <c r="H3665" s="355" t="s">
        <v>2766</v>
      </c>
      <c r="I3665" s="355">
        <f>I3478</f>
        <v>25</v>
      </c>
      <c r="J3665" s="355" t="s">
        <v>1337</v>
      </c>
      <c r="K3665" s="355">
        <f t="shared" si="104"/>
        <v>25</v>
      </c>
      <c r="L3665" s="355"/>
      <c r="M3665" s="355"/>
    </row>
    <row r="3666" spans="4:13" ht="20.100000000000001" customHeight="1">
      <c r="E3666" s="355"/>
      <c r="F3666" s="355">
        <v>5</v>
      </c>
      <c r="G3666" s="355" t="s">
        <v>794</v>
      </c>
      <c r="H3666" s="355" t="s">
        <v>3157</v>
      </c>
      <c r="I3666" s="356">
        <f>Elec.Data!I3666</f>
        <v>98.6</v>
      </c>
      <c r="J3666" s="355" t="s">
        <v>794</v>
      </c>
      <c r="K3666" s="355">
        <f t="shared" si="104"/>
        <v>493</v>
      </c>
      <c r="L3666" s="355"/>
      <c r="M3666" s="355"/>
    </row>
    <row r="3667" spans="4:13" ht="31.5">
      <c r="E3667" s="355"/>
      <c r="F3667" s="355">
        <v>20</v>
      </c>
      <c r="G3667" s="355" t="s">
        <v>794</v>
      </c>
      <c r="H3667" s="376" t="s">
        <v>2625</v>
      </c>
      <c r="I3667" s="355">
        <f>I3098</f>
        <v>32.200000000000003</v>
      </c>
      <c r="J3667" s="355" t="s">
        <v>794</v>
      </c>
      <c r="K3667" s="355">
        <f t="shared" si="104"/>
        <v>644</v>
      </c>
      <c r="L3667" s="355"/>
      <c r="M3667" s="355"/>
    </row>
    <row r="3668" spans="4:13" ht="20.100000000000001" customHeight="1">
      <c r="E3668" s="355"/>
      <c r="F3668" s="355"/>
      <c r="G3668" s="355"/>
      <c r="H3668" s="363" t="s">
        <v>3158</v>
      </c>
      <c r="I3668" s="355"/>
      <c r="J3668" s="355"/>
      <c r="K3668" s="355"/>
      <c r="L3668" s="355"/>
      <c r="M3668" s="355"/>
    </row>
    <row r="3669" spans="4:13" ht="56.25" customHeight="1">
      <c r="E3669" s="355"/>
      <c r="F3669" s="355">
        <v>1</v>
      </c>
      <c r="G3669" s="355" t="s">
        <v>1337</v>
      </c>
      <c r="H3669" s="376" t="s">
        <v>3192</v>
      </c>
      <c r="I3669" s="355">
        <f>I3662</f>
        <v>310</v>
      </c>
      <c r="J3669" s="355" t="s">
        <v>1337</v>
      </c>
      <c r="K3669" s="355">
        <f>F3669*I3669</f>
        <v>310</v>
      </c>
      <c r="L3669" s="355"/>
      <c r="M3669" s="355"/>
    </row>
    <row r="3670" spans="4:13">
      <c r="E3670" s="355"/>
      <c r="F3670" s="355">
        <v>1</v>
      </c>
      <c r="G3670" s="355" t="s">
        <v>1337</v>
      </c>
      <c r="H3670" s="355" t="str">
        <f>Elec.Data!H3670</f>
        <v>32 A DPIC switch p-119 2d, Part-C</v>
      </c>
      <c r="I3670" s="425">
        <f>Elec.Data!I3670</f>
        <v>768</v>
      </c>
      <c r="J3670" s="355" t="s">
        <v>1337</v>
      </c>
      <c r="K3670" s="355">
        <f>F3670*I3670</f>
        <v>768</v>
      </c>
      <c r="L3670" s="355"/>
      <c r="M3670" s="355"/>
    </row>
    <row r="3671" spans="4:13">
      <c r="E3671" s="355"/>
      <c r="F3671" s="355">
        <v>1</v>
      </c>
      <c r="G3671" s="355" t="s">
        <v>1337</v>
      </c>
      <c r="H3671" s="355" t="s">
        <v>3749</v>
      </c>
      <c r="I3671" s="355">
        <v>93.5</v>
      </c>
      <c r="J3671" s="355" t="s">
        <v>1337</v>
      </c>
      <c r="K3671" s="355">
        <f>F3671*I3671</f>
        <v>93.5</v>
      </c>
      <c r="L3671" s="355"/>
      <c r="M3671" s="355"/>
    </row>
    <row r="3672" spans="4:13">
      <c r="E3672" s="355"/>
      <c r="F3672" s="355">
        <v>1</v>
      </c>
      <c r="G3672" s="355" t="s">
        <v>1337</v>
      </c>
      <c r="H3672" s="355" t="s">
        <v>3194</v>
      </c>
      <c r="I3672" s="355">
        <v>89.6</v>
      </c>
      <c r="J3672" s="355" t="s">
        <v>1337</v>
      </c>
      <c r="K3672" s="355">
        <f>F3672*I3672</f>
        <v>89.6</v>
      </c>
      <c r="L3672" s="355"/>
      <c r="M3672" s="355"/>
    </row>
    <row r="3673" spans="4:13">
      <c r="E3673" s="355"/>
      <c r="F3673" s="355">
        <v>1</v>
      </c>
      <c r="G3673" s="355" t="s">
        <v>1337</v>
      </c>
      <c r="H3673" s="355" t="s">
        <v>2764</v>
      </c>
      <c r="I3673" s="355">
        <f>K3677</f>
        <v>289.06</v>
      </c>
      <c r="J3673" s="355" t="s">
        <v>1337</v>
      </c>
      <c r="K3673" s="355">
        <f>F3673*I3673</f>
        <v>289.06</v>
      </c>
      <c r="L3673" s="355"/>
      <c r="M3673" s="355"/>
    </row>
    <row r="3674" spans="4:13">
      <c r="D3674" s="378">
        <f>0.6*0.225*0.02</f>
        <v>2.7000000000000001E-3</v>
      </c>
      <c r="E3674" s="355"/>
      <c r="F3674" s="355"/>
      <c r="G3674" s="355"/>
      <c r="H3674" s="355" t="s">
        <v>2545</v>
      </c>
      <c r="I3674" s="355"/>
      <c r="J3674" s="355"/>
      <c r="K3674" s="355">
        <f>K3627</f>
        <v>1537.67</v>
      </c>
      <c r="L3674" s="355"/>
      <c r="M3674" s="355"/>
    </row>
    <row r="3675" spans="4:13" ht="41.25" customHeight="1">
      <c r="E3675" s="355"/>
      <c r="F3675" s="355"/>
      <c r="G3675" s="355"/>
      <c r="H3675" s="376" t="s">
        <v>2546</v>
      </c>
      <c r="I3675" s="355"/>
      <c r="J3675" s="355"/>
      <c r="K3675" s="355">
        <f>8-0.09</f>
        <v>7.91</v>
      </c>
      <c r="L3675" s="355"/>
      <c r="M3675" s="355"/>
    </row>
    <row r="3676" spans="4:13" ht="24.95" customHeight="1">
      <c r="E3676" s="355"/>
      <c r="F3676" s="355"/>
      <c r="G3676" s="355"/>
      <c r="H3676" s="360" t="s">
        <v>1024</v>
      </c>
      <c r="I3676" s="355"/>
      <c r="J3676" s="355"/>
      <c r="K3676" s="363">
        <f>SUM(K3662:K3675)</f>
        <v>4941.2</v>
      </c>
      <c r="L3676" s="355"/>
      <c r="M3676" s="355">
        <f>4254-K3676</f>
        <v>-687.2</v>
      </c>
    </row>
    <row r="3677" spans="4:13" ht="20.100000000000001" customHeight="1">
      <c r="E3677" s="355"/>
      <c r="F3677" s="355"/>
      <c r="G3677" s="355"/>
      <c r="H3677" s="363" t="s">
        <v>3168</v>
      </c>
      <c r="I3677" s="355">
        <f>I3628</f>
        <v>107060</v>
      </c>
      <c r="J3677" s="369">
        <v>2.7000000000000001E-3</v>
      </c>
      <c r="K3677" s="363">
        <f>I3677*J3677</f>
        <v>289.06</v>
      </c>
      <c r="L3677" s="355"/>
      <c r="M3677" s="355"/>
    </row>
    <row r="3678" spans="4:13">
      <c r="E3678" s="355"/>
      <c r="F3678" s="355"/>
      <c r="G3678" s="355"/>
      <c r="H3678" s="363" t="s">
        <v>2547</v>
      </c>
      <c r="I3678" s="355"/>
      <c r="J3678" s="355"/>
      <c r="K3678" s="355"/>
      <c r="L3678" s="355"/>
      <c r="M3678" s="355"/>
    </row>
    <row r="3679" spans="4:13">
      <c r="E3679" s="355"/>
      <c r="F3679" s="355"/>
      <c r="G3679" s="355"/>
      <c r="H3679" s="363"/>
      <c r="I3679" s="355"/>
      <c r="J3679" s="355"/>
      <c r="K3679" s="355"/>
      <c r="L3679" s="355"/>
      <c r="M3679" s="355"/>
    </row>
    <row r="3680" spans="4:13" ht="31.5">
      <c r="E3680" s="355"/>
      <c r="F3680" s="355"/>
      <c r="G3680" s="355"/>
      <c r="H3680" s="353" t="s">
        <v>1663</v>
      </c>
      <c r="I3680" s="355"/>
      <c r="J3680" s="355"/>
      <c r="K3680" s="355"/>
      <c r="L3680" s="355"/>
      <c r="M3680" s="355"/>
    </row>
    <row r="3681" spans="5:13">
      <c r="E3681" s="355"/>
      <c r="F3681" s="355"/>
      <c r="G3681" s="355"/>
      <c r="H3681" s="355" t="s">
        <v>767</v>
      </c>
      <c r="I3681" s="355"/>
      <c r="J3681" s="355"/>
      <c r="K3681" s="355"/>
      <c r="L3681" s="355"/>
      <c r="M3681" s="355"/>
    </row>
    <row r="3682" spans="5:13" ht="35.25" customHeight="1">
      <c r="E3682" s="355"/>
      <c r="F3682" s="355">
        <v>90</v>
      </c>
      <c r="G3682" s="355" t="s">
        <v>347</v>
      </c>
      <c r="H3682" s="354" t="s">
        <v>2132</v>
      </c>
      <c r="I3682" s="355">
        <f>I2996</f>
        <v>19.100000000000001</v>
      </c>
      <c r="J3682" s="355" t="s">
        <v>347</v>
      </c>
      <c r="K3682" s="355">
        <f>F3682*I3682</f>
        <v>1719</v>
      </c>
      <c r="L3682" s="355"/>
      <c r="M3682" s="355"/>
    </row>
    <row r="3683" spans="5:13">
      <c r="E3683" s="355"/>
      <c r="F3683" s="355">
        <v>0.15</v>
      </c>
      <c r="G3683" s="355" t="s">
        <v>494</v>
      </c>
      <c r="H3683" s="355" t="s">
        <v>829</v>
      </c>
      <c r="I3683" s="356">
        <f>Elec.Data!I3683</f>
        <v>5960</v>
      </c>
      <c r="J3683" s="355" t="s">
        <v>494</v>
      </c>
      <c r="K3683" s="355">
        <f>F3683*I3683</f>
        <v>894</v>
      </c>
      <c r="L3683" s="355"/>
      <c r="M3683" s="355"/>
    </row>
    <row r="3684" spans="5:13">
      <c r="E3684" s="355"/>
      <c r="F3684" s="355">
        <v>1</v>
      </c>
      <c r="G3684" s="355" t="s">
        <v>739</v>
      </c>
      <c r="H3684" s="355" t="s">
        <v>346</v>
      </c>
      <c r="I3684" s="355">
        <f>I3623</f>
        <v>712</v>
      </c>
      <c r="J3684" s="355" t="s">
        <v>739</v>
      </c>
      <c r="K3684" s="355">
        <f>F3684*I3684</f>
        <v>712</v>
      </c>
      <c r="L3684" s="355"/>
      <c r="M3684" s="355"/>
    </row>
    <row r="3685" spans="5:13">
      <c r="E3685" s="355"/>
      <c r="F3685" s="355">
        <v>2</v>
      </c>
      <c r="G3685" s="355" t="s">
        <v>739</v>
      </c>
      <c r="H3685" s="355" t="s">
        <v>1654</v>
      </c>
      <c r="I3685" s="356">
        <f>I2871</f>
        <v>804</v>
      </c>
      <c r="J3685" s="355" t="s">
        <v>739</v>
      </c>
      <c r="K3685" s="355">
        <f>F3685*I3685</f>
        <v>1608</v>
      </c>
      <c r="L3685" s="355"/>
      <c r="M3685" s="355"/>
    </row>
    <row r="3686" spans="5:13">
      <c r="E3686" s="355"/>
      <c r="F3686" s="355">
        <v>4</v>
      </c>
      <c r="G3686" s="355" t="s">
        <v>739</v>
      </c>
      <c r="H3686" s="355" t="s">
        <v>1237</v>
      </c>
      <c r="I3686" s="355">
        <f>I3590</f>
        <v>556</v>
      </c>
      <c r="J3686" s="355" t="s">
        <v>739</v>
      </c>
      <c r="K3686" s="355">
        <f>F3686*I3686</f>
        <v>2224</v>
      </c>
      <c r="L3686" s="355"/>
      <c r="M3686" s="355"/>
    </row>
    <row r="3687" spans="5:13" ht="30" customHeight="1">
      <c r="E3687" s="355"/>
      <c r="F3687" s="355"/>
      <c r="G3687" s="355"/>
      <c r="H3687" s="354" t="s">
        <v>348</v>
      </c>
      <c r="I3687" s="355"/>
      <c r="J3687" s="355"/>
      <c r="K3687" s="355">
        <v>50.5</v>
      </c>
      <c r="L3687" s="355"/>
      <c r="M3687" s="355"/>
    </row>
    <row r="3688" spans="5:13" ht="18.75" customHeight="1">
      <c r="E3688" s="355"/>
      <c r="F3688" s="355"/>
      <c r="G3688" s="355"/>
      <c r="H3688" s="360" t="s">
        <v>2183</v>
      </c>
      <c r="I3688" s="355"/>
      <c r="J3688" s="355"/>
      <c r="K3688" s="355">
        <f>SUM(K3682:K3687)</f>
        <v>7207.5</v>
      </c>
      <c r="L3688" s="355"/>
      <c r="M3688" s="355"/>
    </row>
    <row r="3689" spans="5:13" ht="18.75" customHeight="1">
      <c r="E3689" s="355"/>
      <c r="F3689" s="355"/>
      <c r="G3689" s="355"/>
      <c r="H3689" s="362" t="s">
        <v>1083</v>
      </c>
      <c r="I3689" s="355"/>
      <c r="J3689" s="355"/>
      <c r="K3689" s="379">
        <f>K3688/90</f>
        <v>80.08</v>
      </c>
      <c r="L3689" s="355">
        <f>60.7*90</f>
        <v>5463</v>
      </c>
      <c r="M3689" s="355"/>
    </row>
    <row r="3690" spans="5:13">
      <c r="E3690" s="355"/>
      <c r="F3690" s="355"/>
      <c r="G3690" s="355"/>
      <c r="H3690" s="355"/>
      <c r="I3690" s="355"/>
      <c r="J3690" s="355"/>
      <c r="K3690" s="355"/>
      <c r="L3690" s="355">
        <f>L3689-K3688</f>
        <v>-1744.5</v>
      </c>
      <c r="M3690" s="355"/>
    </row>
    <row r="3691" spans="5:13" ht="20.25" customHeight="1">
      <c r="E3691" s="355"/>
      <c r="F3691" s="355"/>
      <c r="G3691" s="355"/>
      <c r="H3691" s="363" t="s">
        <v>2548</v>
      </c>
      <c r="I3691" s="355"/>
      <c r="J3691" s="355"/>
      <c r="K3691" s="355"/>
      <c r="L3691" s="355"/>
      <c r="M3691" s="355"/>
    </row>
    <row r="3692" spans="5:13" ht="20.25" customHeight="1">
      <c r="E3692" s="355"/>
      <c r="F3692" s="355"/>
      <c r="G3692" s="355"/>
      <c r="H3692" s="355" t="s">
        <v>2549</v>
      </c>
      <c r="I3692" s="355"/>
      <c r="J3692" s="355"/>
      <c r="K3692" s="355">
        <f>K3689</f>
        <v>80.08</v>
      </c>
      <c r="L3692" s="355"/>
      <c r="M3692" s="355"/>
    </row>
    <row r="3693" spans="5:13" ht="20.25" customHeight="1">
      <c r="E3693" s="355"/>
      <c r="F3693" s="355">
        <v>1</v>
      </c>
      <c r="G3693" s="355" t="s">
        <v>794</v>
      </c>
      <c r="H3693" s="355" t="s">
        <v>2550</v>
      </c>
      <c r="I3693" s="355">
        <f>I3682</f>
        <v>19.100000000000001</v>
      </c>
      <c r="J3693" s="355" t="s">
        <v>794</v>
      </c>
      <c r="K3693" s="355">
        <f>F3693*I3693</f>
        <v>19.100000000000001</v>
      </c>
      <c r="L3693" s="355"/>
      <c r="M3693" s="355"/>
    </row>
    <row r="3694" spans="5:13" ht="20.25" customHeight="1">
      <c r="E3694" s="355"/>
      <c r="F3694" s="355">
        <v>1</v>
      </c>
      <c r="G3694" s="355" t="s">
        <v>794</v>
      </c>
      <c r="H3694" s="355" t="str">
        <f>Elec.Data!H3694</f>
        <v>Add cost of 25 mm dia PVC pipe heavy dutyp-89 part -I c</v>
      </c>
      <c r="I3694" s="356">
        <f>Elec.Data!I3694</f>
        <v>28.4</v>
      </c>
      <c r="J3694" s="355" t="s">
        <v>794</v>
      </c>
      <c r="K3694" s="355">
        <f>F3694*I3694</f>
        <v>28.4</v>
      </c>
      <c r="L3694" s="355"/>
      <c r="M3694" s="355"/>
    </row>
    <row r="3695" spans="5:13" ht="20.25" customHeight="1">
      <c r="E3695" s="355"/>
      <c r="F3695" s="355"/>
      <c r="G3695" s="355"/>
      <c r="H3695" s="355"/>
      <c r="I3695" s="355"/>
      <c r="J3695" s="355"/>
      <c r="K3695" s="363">
        <f>(K3692-K3693)+K3694</f>
        <v>89.38</v>
      </c>
      <c r="L3695" s="355"/>
      <c r="M3695" s="355"/>
    </row>
    <row r="3696" spans="5:13" ht="20.25" customHeight="1">
      <c r="E3696" s="355"/>
      <c r="F3696" s="355"/>
      <c r="G3696" s="355"/>
      <c r="H3696" s="363" t="s">
        <v>2551</v>
      </c>
      <c r="I3696" s="355"/>
      <c r="J3696" s="355"/>
      <c r="K3696" s="355"/>
      <c r="L3696" s="355"/>
      <c r="M3696" s="355"/>
    </row>
    <row r="3697" spans="5:13">
      <c r="E3697" s="355"/>
      <c r="F3697" s="355"/>
      <c r="G3697" s="355"/>
      <c r="H3697" s="363"/>
      <c r="I3697" s="355"/>
      <c r="J3697" s="355"/>
      <c r="K3697" s="355"/>
      <c r="L3697" s="355"/>
      <c r="M3697" s="355"/>
    </row>
    <row r="3698" spans="5:13" ht="19.5" customHeight="1">
      <c r="E3698" s="355"/>
      <c r="F3698" s="355"/>
      <c r="G3698" s="355"/>
      <c r="H3698" s="363" t="s">
        <v>2552</v>
      </c>
      <c r="I3698" s="355"/>
      <c r="J3698" s="355"/>
      <c r="K3698" s="355"/>
      <c r="L3698" s="355"/>
      <c r="M3698" s="355"/>
    </row>
    <row r="3699" spans="5:13" ht="21.75" customHeight="1">
      <c r="E3699" s="355"/>
      <c r="F3699" s="355">
        <v>1</v>
      </c>
      <c r="G3699" s="355" t="s">
        <v>1337</v>
      </c>
      <c r="H3699" s="355" t="str">
        <f>Elec.Data!H3699</f>
        <v>TW board 8" x6" x3" (p-130, part-j/b)</v>
      </c>
      <c r="I3699" s="356">
        <f>Elec.Data!I3699</f>
        <v>37.1</v>
      </c>
      <c r="J3699" s="355" t="s">
        <v>1337</v>
      </c>
      <c r="K3699" s="355">
        <f>F3699*I3699</f>
        <v>37.1</v>
      </c>
      <c r="L3699" s="355"/>
      <c r="M3699" s="355"/>
    </row>
    <row r="3700" spans="5:13" ht="21.75" customHeight="1">
      <c r="E3700" s="355"/>
      <c r="F3700" s="358">
        <v>1.4999999999999999E-2</v>
      </c>
      <c r="G3700" s="355" t="s">
        <v>2199</v>
      </c>
      <c r="H3700" s="376" t="s">
        <v>3408</v>
      </c>
      <c r="I3700" s="355">
        <f>I3000</f>
        <v>630</v>
      </c>
      <c r="J3700" s="355" t="s">
        <v>2199</v>
      </c>
      <c r="K3700" s="355">
        <f>F3700*I3700</f>
        <v>9.4499999999999993</v>
      </c>
      <c r="L3700" s="355"/>
      <c r="M3700" s="355"/>
    </row>
    <row r="3701" spans="5:13" ht="21.75" customHeight="1">
      <c r="E3701" s="355"/>
      <c r="F3701" s="355"/>
      <c r="G3701" s="355"/>
      <c r="H3701" s="355" t="s">
        <v>3398</v>
      </c>
      <c r="I3701" s="355"/>
      <c r="J3701" s="355" t="s">
        <v>625</v>
      </c>
      <c r="K3701" s="355">
        <v>5.84</v>
      </c>
      <c r="L3701" s="355"/>
      <c r="M3701" s="355"/>
    </row>
    <row r="3702" spans="5:13" ht="21.75" customHeight="1">
      <c r="E3702" s="355"/>
      <c r="F3702" s="355"/>
      <c r="G3702" s="355"/>
      <c r="H3702" s="362" t="s">
        <v>1024</v>
      </c>
      <c r="I3702" s="355"/>
      <c r="J3702" s="355"/>
      <c r="K3702" s="363">
        <f>SUM(K3699:K3701)</f>
        <v>52.39</v>
      </c>
      <c r="L3702" s="355"/>
      <c r="M3702" s="355"/>
    </row>
    <row r="3703" spans="5:13">
      <c r="E3703" s="355"/>
      <c r="F3703" s="355"/>
      <c r="G3703" s="355"/>
      <c r="H3703" s="355"/>
      <c r="I3703" s="355"/>
      <c r="J3703" s="355"/>
      <c r="K3703" s="355"/>
      <c r="L3703" s="355"/>
      <c r="M3703" s="355"/>
    </row>
    <row r="3704" spans="5:13">
      <c r="E3704" s="355"/>
      <c r="F3704" s="355"/>
      <c r="G3704" s="355"/>
      <c r="H3704" s="363" t="s">
        <v>3399</v>
      </c>
      <c r="I3704" s="355"/>
      <c r="J3704" s="355"/>
      <c r="K3704" s="355"/>
      <c r="L3704" s="355"/>
      <c r="M3704" s="355"/>
    </row>
    <row r="3705" spans="5:13">
      <c r="E3705" s="355"/>
      <c r="F3705" s="355"/>
      <c r="G3705" s="355"/>
      <c r="H3705" s="355"/>
      <c r="I3705" s="355"/>
      <c r="J3705" s="355"/>
      <c r="K3705" s="355"/>
      <c r="L3705" s="355"/>
      <c r="M3705" s="355"/>
    </row>
    <row r="3706" spans="5:13" ht="57.75" customHeight="1">
      <c r="E3706" s="355"/>
      <c r="F3706" s="355"/>
      <c r="G3706" s="355"/>
      <c r="H3706" s="483" t="s">
        <v>3329</v>
      </c>
      <c r="I3706" s="355"/>
      <c r="J3706" s="355"/>
      <c r="K3706" s="355"/>
      <c r="L3706" s="355"/>
      <c r="M3706" s="355"/>
    </row>
    <row r="3707" spans="5:13">
      <c r="E3707" s="355"/>
      <c r="F3707" s="355"/>
      <c r="G3707" s="355"/>
      <c r="H3707" s="355"/>
      <c r="I3707" s="355"/>
      <c r="J3707" s="355"/>
      <c r="K3707" s="355"/>
      <c r="L3707" s="355"/>
      <c r="M3707" s="355"/>
    </row>
    <row r="3708" spans="5:13" ht="21.75" customHeight="1">
      <c r="E3708" s="355"/>
      <c r="F3708" s="355">
        <v>1</v>
      </c>
      <c r="G3708" s="355" t="s">
        <v>1337</v>
      </c>
      <c r="H3708" s="355" t="str">
        <f>Elec.Data!H3708</f>
        <v>TW board 4" x4" x3" (p-130, part-j/d)</v>
      </c>
      <c r="I3708" s="356">
        <f>Elec.Data!I3708</f>
        <v>13.8</v>
      </c>
      <c r="J3708" s="355" t="s">
        <v>1337</v>
      </c>
      <c r="K3708" s="355">
        <f>F3708*I3708</f>
        <v>13.8</v>
      </c>
      <c r="L3708" s="355"/>
      <c r="M3708" s="355"/>
    </row>
    <row r="3709" spans="5:13" ht="21.75" customHeight="1">
      <c r="E3709" s="355"/>
      <c r="F3709" s="355">
        <v>0.01</v>
      </c>
      <c r="G3709" s="355" t="s">
        <v>3400</v>
      </c>
      <c r="H3709" s="355" t="s">
        <v>3408</v>
      </c>
      <c r="I3709" s="355">
        <f>I3700</f>
        <v>630</v>
      </c>
      <c r="J3709" s="355" t="s">
        <v>2199</v>
      </c>
      <c r="K3709" s="355">
        <f>F3709*I3709</f>
        <v>6.3</v>
      </c>
      <c r="L3709" s="355"/>
      <c r="M3709" s="355"/>
    </row>
    <row r="3710" spans="5:13" ht="21.75" customHeight="1">
      <c r="E3710" s="355"/>
      <c r="F3710" s="355">
        <v>1</v>
      </c>
      <c r="G3710" s="355" t="s">
        <v>1337</v>
      </c>
      <c r="H3710" s="355" t="s">
        <v>3401</v>
      </c>
      <c r="I3710" s="529">
        <f>Elec.Data!I3710</f>
        <v>49.5</v>
      </c>
      <c r="J3710" s="355" t="s">
        <v>1337</v>
      </c>
      <c r="K3710" s="355">
        <f>F3710*I3710</f>
        <v>49.5</v>
      </c>
      <c r="L3710" s="355"/>
      <c r="M3710" s="355"/>
    </row>
    <row r="3711" spans="5:13" ht="21.75" customHeight="1">
      <c r="E3711" s="355"/>
      <c r="F3711" s="355"/>
      <c r="G3711" s="355"/>
      <c r="H3711" s="355" t="s">
        <v>3402</v>
      </c>
      <c r="I3711" s="355" t="s">
        <v>625</v>
      </c>
      <c r="J3711" s="355"/>
      <c r="K3711" s="355">
        <v>7.08</v>
      </c>
      <c r="L3711" s="355"/>
      <c r="M3711" s="355"/>
    </row>
    <row r="3712" spans="5:13" ht="21.75" customHeight="1">
      <c r="E3712" s="355"/>
      <c r="F3712" s="355"/>
      <c r="G3712" s="355"/>
      <c r="H3712" s="362" t="s">
        <v>3403</v>
      </c>
      <c r="I3712" s="355"/>
      <c r="J3712" s="355"/>
      <c r="K3712" s="363">
        <f>SUM(K3708:K3711)</f>
        <v>76.680000000000007</v>
      </c>
      <c r="L3712" s="355"/>
      <c r="M3712" s="355">
        <f>54-K3712</f>
        <v>-22.68</v>
      </c>
    </row>
    <row r="3713" spans="5:13">
      <c r="E3713" s="355"/>
      <c r="F3713" s="355"/>
      <c r="G3713" s="355"/>
      <c r="H3713" s="355"/>
      <c r="I3713" s="355"/>
      <c r="J3713" s="355"/>
      <c r="K3713" s="355"/>
      <c r="L3713" s="355"/>
      <c r="M3713" s="355"/>
    </row>
    <row r="3714" spans="5:13">
      <c r="E3714" s="355"/>
      <c r="F3714" s="355"/>
      <c r="G3714" s="355"/>
      <c r="H3714" s="363" t="s">
        <v>3404</v>
      </c>
      <c r="I3714" s="355"/>
      <c r="J3714" s="355"/>
      <c r="K3714" s="355"/>
      <c r="L3714" s="355"/>
      <c r="M3714" s="355"/>
    </row>
    <row r="3715" spans="5:13">
      <c r="E3715" s="355"/>
      <c r="F3715" s="355"/>
      <c r="G3715" s="355"/>
      <c r="H3715" s="355"/>
      <c r="I3715" s="355"/>
      <c r="J3715" s="355"/>
      <c r="K3715" s="355"/>
      <c r="L3715" s="355"/>
      <c r="M3715" s="355"/>
    </row>
    <row r="3716" spans="5:13" ht="287.25" customHeight="1">
      <c r="E3716" s="355"/>
      <c r="F3716" s="355"/>
      <c r="G3716" s="355"/>
      <c r="H3716" s="469" t="s">
        <v>2912</v>
      </c>
      <c r="I3716" s="355"/>
      <c r="J3716" s="355"/>
      <c r="K3716" s="355"/>
      <c r="L3716" s="355"/>
      <c r="M3716" s="355"/>
    </row>
    <row r="3717" spans="5:13">
      <c r="E3717" s="355"/>
      <c r="F3717" s="355"/>
      <c r="G3717" s="355"/>
      <c r="H3717" s="355"/>
      <c r="I3717" s="355"/>
      <c r="J3717" s="355"/>
      <c r="K3717" s="355"/>
      <c r="L3717" s="355"/>
      <c r="M3717" s="355"/>
    </row>
    <row r="3718" spans="5:13" ht="22.5" customHeight="1">
      <c r="F3718" s="355">
        <v>6</v>
      </c>
      <c r="G3718" s="355" t="s">
        <v>794</v>
      </c>
      <c r="H3718" s="355" t="str">
        <f>Elec.Data!H3718</f>
        <v>65 mm dia GI pipe ' B' class p45,154-i</v>
      </c>
      <c r="I3718" s="356">
        <f>Elec.Data!I3718</f>
        <v>244.4</v>
      </c>
      <c r="J3718" s="355" t="s">
        <v>794</v>
      </c>
      <c r="K3718" s="355">
        <f>F3718*I3718</f>
        <v>1466.4</v>
      </c>
      <c r="L3718" s="355"/>
      <c r="M3718" s="355"/>
    </row>
    <row r="3719" spans="5:13" ht="22.5" customHeight="1">
      <c r="F3719" s="355">
        <v>2</v>
      </c>
      <c r="G3719" s="355" t="s">
        <v>794</v>
      </c>
      <c r="H3719" s="355" t="str">
        <f>Elec.Data!H3719</f>
        <v>20 mm dia 'B' class GI pipe p- 50 it-142 iv</v>
      </c>
      <c r="I3719" s="356">
        <f>Elec.Data!I3719</f>
        <v>98.6</v>
      </c>
      <c r="J3719" s="355" t="s">
        <v>794</v>
      </c>
      <c r="K3719" s="355">
        <f>F3719*I3719</f>
        <v>197.2</v>
      </c>
      <c r="L3719" s="355"/>
      <c r="M3719" s="355"/>
    </row>
    <row r="3720" spans="5:13" ht="22.5" customHeight="1">
      <c r="F3720" s="355">
        <v>1</v>
      </c>
      <c r="G3720" s="355" t="s">
        <v>1337</v>
      </c>
      <c r="H3720" s="355" t="s">
        <v>3334</v>
      </c>
      <c r="I3720" s="355">
        <v>130</v>
      </c>
      <c r="J3720" s="355" t="s">
        <v>1337</v>
      </c>
      <c r="K3720" s="355">
        <f>F3720*I3720</f>
        <v>130</v>
      </c>
      <c r="L3720" s="355"/>
      <c r="M3720" s="355"/>
    </row>
    <row r="3721" spans="5:13" ht="22.5" customHeight="1">
      <c r="F3721" s="355">
        <v>1</v>
      </c>
      <c r="G3721" s="355" t="s">
        <v>1337</v>
      </c>
      <c r="H3721" s="355" t="s">
        <v>4206</v>
      </c>
      <c r="I3721" s="425">
        <f>Elec.Data!I3721</f>
        <v>102.7</v>
      </c>
      <c r="J3721" s="355" t="s">
        <v>1337</v>
      </c>
      <c r="K3721" s="355">
        <f>F3721*I3721</f>
        <v>102.7</v>
      </c>
      <c r="L3721" s="355"/>
      <c r="M3721" s="355"/>
    </row>
    <row r="3722" spans="5:13" ht="22.5" customHeight="1">
      <c r="F3722" s="358">
        <v>0.23799999999999999</v>
      </c>
      <c r="G3722" s="355" t="s">
        <v>2070</v>
      </c>
      <c r="H3722" s="355" t="s">
        <v>2762</v>
      </c>
      <c r="I3722" s="356">
        <f>Elec.Data!I3722</f>
        <v>6400</v>
      </c>
      <c r="J3722" s="355" t="s">
        <v>2070</v>
      </c>
      <c r="K3722" s="355">
        <f>F3722*I3722</f>
        <v>1523.2</v>
      </c>
      <c r="L3722" s="355"/>
      <c r="M3722" s="355"/>
    </row>
    <row r="3723" spans="5:13" ht="43.5" customHeight="1">
      <c r="F3723" s="355"/>
      <c r="G3723" s="355" t="s">
        <v>625</v>
      </c>
      <c r="H3723" s="376" t="s">
        <v>2994</v>
      </c>
      <c r="I3723" s="355" t="s">
        <v>625</v>
      </c>
      <c r="J3723" s="355"/>
      <c r="K3723" s="355">
        <v>226.3</v>
      </c>
      <c r="L3723" s="355"/>
      <c r="M3723" s="355"/>
    </row>
    <row r="3724" spans="5:13" ht="60.75" customHeight="1">
      <c r="F3724" s="355">
        <v>1</v>
      </c>
      <c r="G3724" s="355" t="s">
        <v>1337</v>
      </c>
      <c r="H3724" s="354" t="s">
        <v>2637</v>
      </c>
      <c r="I3724" s="355" t="s">
        <v>625</v>
      </c>
      <c r="J3724" s="355"/>
      <c r="K3724" s="355">
        <v>64.3</v>
      </c>
      <c r="L3724" s="355">
        <f>5300-5225.8</f>
        <v>74.2</v>
      </c>
      <c r="M3724" s="355"/>
    </row>
    <row r="3725" spans="5:13" ht="37.5" customHeight="1">
      <c r="F3725" s="355">
        <v>8</v>
      </c>
      <c r="G3725" s="355" t="s">
        <v>794</v>
      </c>
      <c r="H3725" s="376" t="s">
        <v>2638</v>
      </c>
      <c r="I3725" s="355">
        <f>I2843</f>
        <v>15.5</v>
      </c>
      <c r="J3725" s="355"/>
      <c r="K3725" s="355">
        <f>F3725*I3725</f>
        <v>124</v>
      </c>
      <c r="L3725" s="355"/>
      <c r="M3725" s="355"/>
    </row>
    <row r="3726" spans="5:13">
      <c r="E3726" s="355"/>
      <c r="F3726" s="355"/>
      <c r="G3726" s="355"/>
      <c r="H3726" s="355" t="s">
        <v>878</v>
      </c>
      <c r="I3726" s="355"/>
      <c r="J3726" s="355"/>
      <c r="K3726" s="355">
        <f>K3733</f>
        <v>2884</v>
      </c>
      <c r="L3726" s="355"/>
      <c r="M3726" s="355"/>
    </row>
    <row r="3727" spans="5:13">
      <c r="E3727" s="355"/>
      <c r="F3727" s="355"/>
      <c r="G3727" s="355"/>
      <c r="H3727" s="362" t="s">
        <v>1024</v>
      </c>
      <c r="I3727" s="355"/>
      <c r="J3727" s="355"/>
      <c r="K3727" s="363">
        <f>SUM(K3718:K3726)</f>
        <v>6718.1</v>
      </c>
      <c r="L3727" s="355"/>
      <c r="M3727" s="355">
        <f>5120-K3727</f>
        <v>-1598.1</v>
      </c>
    </row>
    <row r="3728" spans="5:13" ht="3.75" customHeight="1">
      <c r="E3728" s="355"/>
      <c r="F3728" s="355"/>
      <c r="G3728" s="355"/>
      <c r="H3728" s="355"/>
      <c r="I3728" s="355"/>
      <c r="J3728" s="355"/>
      <c r="K3728" s="355"/>
      <c r="L3728" s="355"/>
      <c r="M3728" s="355"/>
    </row>
    <row r="3729" spans="5:13">
      <c r="E3729" s="355"/>
      <c r="F3729" s="355"/>
      <c r="G3729" s="355"/>
      <c r="H3729" s="361" t="s">
        <v>138</v>
      </c>
      <c r="I3729" s="355"/>
      <c r="J3729" s="355"/>
      <c r="K3729" s="355"/>
      <c r="L3729" s="355"/>
      <c r="M3729" s="355"/>
    </row>
    <row r="3730" spans="5:13">
      <c r="E3730" s="355"/>
      <c r="F3730" s="355">
        <v>0.5</v>
      </c>
      <c r="G3730" s="355" t="s">
        <v>1337</v>
      </c>
      <c r="H3730" s="355" t="s">
        <v>2691</v>
      </c>
      <c r="I3730" s="355">
        <f>I3623</f>
        <v>712</v>
      </c>
      <c r="J3730" s="355" t="s">
        <v>1337</v>
      </c>
      <c r="K3730" s="355">
        <f>F3730*I3730</f>
        <v>356</v>
      </c>
      <c r="L3730" s="355"/>
      <c r="M3730" s="355"/>
    </row>
    <row r="3731" spans="5:13">
      <c r="E3731" s="355"/>
      <c r="F3731" s="355">
        <v>2</v>
      </c>
      <c r="G3731" s="355" t="s">
        <v>1337</v>
      </c>
      <c r="H3731" s="355" t="s">
        <v>2510</v>
      </c>
      <c r="I3731" s="355">
        <f>I3624</f>
        <v>708</v>
      </c>
      <c r="J3731" s="355" t="s">
        <v>1337</v>
      </c>
      <c r="K3731" s="355">
        <f>F3731*I3731</f>
        <v>1416</v>
      </c>
      <c r="L3731" s="355"/>
      <c r="M3731" s="355"/>
    </row>
    <row r="3732" spans="5:13">
      <c r="E3732" s="355"/>
      <c r="F3732" s="355">
        <v>2</v>
      </c>
      <c r="G3732" s="355" t="s">
        <v>1337</v>
      </c>
      <c r="H3732" s="355" t="s">
        <v>2246</v>
      </c>
      <c r="I3732" s="355">
        <f>I3625</f>
        <v>556</v>
      </c>
      <c r="J3732" s="355" t="s">
        <v>1337</v>
      </c>
      <c r="K3732" s="355">
        <f>F3732*I3732</f>
        <v>1112</v>
      </c>
      <c r="L3732" s="355"/>
      <c r="M3732" s="355"/>
    </row>
    <row r="3733" spans="5:13">
      <c r="E3733" s="355"/>
      <c r="F3733" s="355"/>
      <c r="G3733" s="355"/>
      <c r="H3733" s="355"/>
      <c r="I3733" s="355"/>
      <c r="J3733" s="355"/>
      <c r="K3733" s="361">
        <f>SUM(K3730:K3732)</f>
        <v>2884</v>
      </c>
      <c r="L3733" s="355"/>
      <c r="M3733" s="355"/>
    </row>
    <row r="3734" spans="5:13">
      <c r="E3734" s="355"/>
      <c r="F3734" s="355"/>
      <c r="G3734" s="355"/>
      <c r="H3734" s="355"/>
      <c r="I3734" s="355"/>
      <c r="J3734" s="355"/>
      <c r="K3734" s="355"/>
      <c r="L3734" s="355"/>
      <c r="M3734" s="355"/>
    </row>
    <row r="3735" spans="5:13" ht="24.95" customHeight="1">
      <c r="E3735" s="355"/>
      <c r="F3735" s="355"/>
      <c r="G3735" s="355"/>
      <c r="H3735" s="363" t="s">
        <v>2639</v>
      </c>
      <c r="I3735" s="355"/>
      <c r="J3735" s="355"/>
      <c r="K3735" s="355"/>
      <c r="L3735" s="355"/>
      <c r="M3735" s="355"/>
    </row>
    <row r="3736" spans="5:13">
      <c r="E3736" s="355"/>
      <c r="F3736" s="355"/>
      <c r="G3736" s="355"/>
      <c r="H3736" s="355"/>
      <c r="I3736" s="355"/>
      <c r="J3736" s="355"/>
      <c r="K3736" s="355"/>
      <c r="L3736" s="355"/>
      <c r="M3736" s="355"/>
    </row>
    <row r="3737" spans="5:13" ht="24.95" customHeight="1">
      <c r="E3737" s="355"/>
      <c r="F3737" s="355"/>
      <c r="G3737" s="355"/>
      <c r="H3737" s="363" t="s">
        <v>2640</v>
      </c>
      <c r="I3737" s="355"/>
      <c r="J3737" s="355"/>
      <c r="K3737" s="355"/>
      <c r="L3737" s="355"/>
      <c r="M3737" s="355"/>
    </row>
    <row r="3738" spans="5:13">
      <c r="E3738" s="355"/>
      <c r="F3738" s="355"/>
      <c r="G3738" s="355"/>
      <c r="H3738" s="355"/>
      <c r="I3738" s="355"/>
      <c r="J3738" s="355"/>
      <c r="K3738" s="355"/>
      <c r="L3738" s="355"/>
      <c r="M3738" s="355"/>
    </row>
    <row r="3739" spans="5:13">
      <c r="E3739" s="355"/>
      <c r="F3739" s="355">
        <v>1</v>
      </c>
      <c r="G3739" s="355" t="s">
        <v>1337</v>
      </c>
      <c r="H3739" s="355" t="s">
        <v>4207</v>
      </c>
      <c r="I3739" s="377">
        <v>1155</v>
      </c>
      <c r="J3739" s="355" t="s">
        <v>1337</v>
      </c>
      <c r="K3739" s="355">
        <f>F3739*I3739</f>
        <v>1155</v>
      </c>
      <c r="L3739" s="355"/>
      <c r="M3739" s="355"/>
    </row>
    <row r="3740" spans="5:13" ht="30.75" customHeight="1">
      <c r="E3740" s="355"/>
      <c r="F3740" s="355"/>
      <c r="G3740" s="355"/>
      <c r="H3740" s="355" t="s">
        <v>2387</v>
      </c>
      <c r="I3740" s="356">
        <v>197</v>
      </c>
      <c r="J3740" s="355" t="s">
        <v>1337</v>
      </c>
      <c r="K3740" s="355">
        <f>I3740</f>
        <v>197</v>
      </c>
      <c r="L3740" s="355"/>
      <c r="M3740" s="355"/>
    </row>
    <row r="3741" spans="5:13" ht="39" customHeight="1">
      <c r="E3741" s="355"/>
      <c r="F3741" s="355"/>
      <c r="G3741" s="355"/>
      <c r="H3741" s="354" t="s">
        <v>3933</v>
      </c>
      <c r="I3741" s="355"/>
      <c r="J3741" s="355"/>
      <c r="K3741" s="356">
        <v>18.5</v>
      </c>
      <c r="L3741" s="355"/>
      <c r="M3741" s="355"/>
    </row>
    <row r="3742" spans="5:13">
      <c r="E3742" s="355"/>
      <c r="F3742" s="355"/>
      <c r="G3742" s="355"/>
      <c r="H3742" s="355" t="s">
        <v>2796</v>
      </c>
      <c r="I3742" s="355"/>
      <c r="J3742" s="364">
        <f>SUM(K3739:K3741)</f>
        <v>1370.5</v>
      </c>
      <c r="K3742" s="355">
        <f>J3742*1%</f>
        <v>13.71</v>
      </c>
      <c r="L3742" s="355"/>
      <c r="M3742" s="355"/>
    </row>
    <row r="3743" spans="5:13">
      <c r="E3743" s="355"/>
      <c r="F3743" s="355"/>
      <c r="G3743" s="355"/>
      <c r="H3743" s="355" t="s">
        <v>2797</v>
      </c>
      <c r="I3743" s="355"/>
      <c r="J3743" s="355"/>
      <c r="K3743" s="355">
        <f>K3750</f>
        <v>456</v>
      </c>
      <c r="L3743" s="355"/>
      <c r="M3743" s="355"/>
    </row>
    <row r="3744" spans="5:13" ht="24.95" customHeight="1">
      <c r="E3744" s="355"/>
      <c r="F3744" s="355"/>
      <c r="G3744" s="355"/>
      <c r="H3744" s="362" t="s">
        <v>2798</v>
      </c>
      <c r="I3744" s="355"/>
      <c r="J3744" s="355"/>
      <c r="K3744" s="363">
        <f>SUM(K3739:K3743)</f>
        <v>1840.21</v>
      </c>
      <c r="L3744" s="355"/>
      <c r="M3744" s="355">
        <f>1883-K3744</f>
        <v>42.79</v>
      </c>
    </row>
    <row r="3745" spans="5:13">
      <c r="E3745" s="355"/>
      <c r="F3745" s="355"/>
      <c r="G3745" s="355"/>
      <c r="H3745" s="355"/>
      <c r="I3745" s="355"/>
      <c r="J3745" s="355"/>
      <c r="K3745" s="355"/>
      <c r="L3745" s="355"/>
      <c r="M3745" s="355"/>
    </row>
    <row r="3746" spans="5:13">
      <c r="E3746" s="355"/>
      <c r="F3746" s="355"/>
      <c r="G3746" s="355"/>
      <c r="H3746" s="361" t="s">
        <v>878</v>
      </c>
      <c r="I3746" s="355"/>
      <c r="J3746" s="355"/>
      <c r="K3746" s="355"/>
      <c r="L3746" s="355"/>
      <c r="M3746" s="355"/>
    </row>
    <row r="3747" spans="5:13">
      <c r="E3747" s="355"/>
      <c r="F3747" s="355">
        <v>1</v>
      </c>
      <c r="G3747" s="355" t="s">
        <v>1337</v>
      </c>
      <c r="H3747" s="355" t="s">
        <v>2691</v>
      </c>
      <c r="I3747" s="355">
        <f>I3730</f>
        <v>712</v>
      </c>
      <c r="J3747" s="355" t="s">
        <v>1337</v>
      </c>
      <c r="K3747" s="355">
        <f>F3747*I3747</f>
        <v>712</v>
      </c>
      <c r="L3747" s="355"/>
      <c r="M3747" s="355"/>
    </row>
    <row r="3748" spans="5:13">
      <c r="E3748" s="355"/>
      <c r="F3748" s="355">
        <v>2</v>
      </c>
      <c r="G3748" s="355" t="s">
        <v>1337</v>
      </c>
      <c r="H3748" s="355" t="s">
        <v>2246</v>
      </c>
      <c r="I3748" s="355">
        <f>I3732</f>
        <v>556</v>
      </c>
      <c r="J3748" s="355" t="s">
        <v>1337</v>
      </c>
      <c r="K3748" s="355">
        <f>F3748*I3748</f>
        <v>1112</v>
      </c>
      <c r="L3748" s="355"/>
      <c r="M3748" s="355"/>
    </row>
    <row r="3749" spans="5:13">
      <c r="E3749" s="355"/>
      <c r="F3749" s="355"/>
      <c r="G3749" s="355"/>
      <c r="H3749" s="360" t="s">
        <v>2799</v>
      </c>
      <c r="I3749" s="355"/>
      <c r="J3749" s="355"/>
      <c r="K3749" s="361">
        <f>SUM(K3747:K3748)</f>
        <v>1824</v>
      </c>
      <c r="L3749" s="355"/>
      <c r="M3749" s="355"/>
    </row>
    <row r="3750" spans="5:13" ht="24.95" customHeight="1">
      <c r="E3750" s="355"/>
      <c r="F3750" s="355"/>
      <c r="G3750" s="355"/>
      <c r="H3750" s="362" t="s">
        <v>2718</v>
      </c>
      <c r="I3750" s="355"/>
      <c r="J3750" s="355"/>
      <c r="K3750" s="363">
        <f>K3749/4</f>
        <v>456</v>
      </c>
      <c r="L3750" s="355"/>
      <c r="M3750" s="355"/>
    </row>
    <row r="3751" spans="5:13">
      <c r="E3751" s="355"/>
      <c r="F3751" s="355"/>
      <c r="G3751" s="355"/>
      <c r="H3751" s="355"/>
      <c r="I3751" s="355"/>
      <c r="J3751" s="355"/>
      <c r="K3751" s="355"/>
      <c r="L3751" s="355"/>
      <c r="M3751" s="355"/>
    </row>
    <row r="3752" spans="5:13">
      <c r="E3752" s="355"/>
      <c r="F3752" s="355"/>
      <c r="G3752" s="355"/>
      <c r="H3752" s="355"/>
      <c r="I3752" s="355"/>
      <c r="J3752" s="355"/>
      <c r="K3752" s="355"/>
      <c r="L3752" s="355"/>
      <c r="M3752" s="355"/>
    </row>
    <row r="3753" spans="5:13" ht="24.95" customHeight="1">
      <c r="E3753" s="355"/>
      <c r="F3753" s="355"/>
      <c r="G3753" s="355"/>
      <c r="H3753" s="363" t="s">
        <v>2800</v>
      </c>
      <c r="I3753" s="355"/>
      <c r="J3753" s="355"/>
      <c r="K3753" s="355"/>
      <c r="L3753" s="355"/>
      <c r="M3753" s="355"/>
    </row>
    <row r="3754" spans="5:13">
      <c r="E3754" s="355"/>
      <c r="F3754" s="355"/>
      <c r="G3754" s="355"/>
      <c r="H3754" s="355"/>
      <c r="I3754" s="355"/>
      <c r="J3754" s="355"/>
      <c r="K3754" s="355"/>
      <c r="L3754" s="355"/>
      <c r="M3754" s="355"/>
    </row>
    <row r="3755" spans="5:13" ht="24.95" customHeight="1">
      <c r="E3755" s="355"/>
      <c r="F3755" s="355"/>
      <c r="G3755" s="355"/>
      <c r="H3755" s="363" t="s">
        <v>2801</v>
      </c>
      <c r="I3755" s="355"/>
      <c r="J3755" s="355"/>
      <c r="K3755" s="355"/>
      <c r="L3755" s="355"/>
      <c r="M3755" s="355"/>
    </row>
    <row r="3756" spans="5:13">
      <c r="E3756" s="355"/>
      <c r="F3756" s="355"/>
      <c r="G3756" s="355"/>
      <c r="H3756" s="355"/>
      <c r="I3756" s="355"/>
      <c r="J3756" s="355"/>
      <c r="K3756" s="355"/>
      <c r="L3756" s="355"/>
      <c r="M3756" s="355"/>
    </row>
    <row r="3757" spans="5:13">
      <c r="E3757" s="355"/>
      <c r="F3757" s="355"/>
      <c r="G3757" s="355"/>
      <c r="H3757" s="355" t="s">
        <v>4208</v>
      </c>
      <c r="I3757" s="377">
        <v>1010</v>
      </c>
      <c r="J3757" s="355" t="s">
        <v>1337</v>
      </c>
      <c r="K3757" s="355">
        <f>I3757</f>
        <v>1010</v>
      </c>
      <c r="L3757" s="355"/>
      <c r="M3757" s="355"/>
    </row>
    <row r="3758" spans="5:13">
      <c r="E3758" s="355"/>
      <c r="F3758" s="355"/>
      <c r="G3758" s="355"/>
      <c r="H3758" s="355" t="s">
        <v>2387</v>
      </c>
      <c r="I3758" s="355">
        <f>I3740</f>
        <v>197</v>
      </c>
      <c r="J3758" s="355" t="s">
        <v>1337</v>
      </c>
      <c r="K3758" s="355">
        <f>I3758</f>
        <v>197</v>
      </c>
      <c r="L3758" s="355"/>
      <c r="M3758" s="355"/>
    </row>
    <row r="3759" spans="5:13" ht="31.5">
      <c r="E3759" s="355"/>
      <c r="F3759" s="355"/>
      <c r="G3759" s="355"/>
      <c r="H3759" s="376" t="s">
        <v>2795</v>
      </c>
      <c r="I3759" s="355"/>
      <c r="J3759" s="355"/>
      <c r="K3759" s="355">
        <f>K3741</f>
        <v>18.5</v>
      </c>
      <c r="L3759" s="355"/>
      <c r="M3759" s="355"/>
    </row>
    <row r="3760" spans="5:13">
      <c r="E3760" s="355"/>
      <c r="F3760" s="355"/>
      <c r="G3760" s="355"/>
      <c r="H3760" s="355" t="s">
        <v>2796</v>
      </c>
      <c r="I3760" s="355"/>
      <c r="J3760" s="355"/>
      <c r="K3760" s="355">
        <f>K3742</f>
        <v>13.71</v>
      </c>
      <c r="L3760" s="355"/>
      <c r="M3760" s="355"/>
    </row>
    <row r="3761" spans="5:18">
      <c r="E3761" s="355"/>
      <c r="F3761" s="355"/>
      <c r="G3761" s="355"/>
      <c r="H3761" s="355" t="s">
        <v>2797</v>
      </c>
      <c r="I3761" s="355"/>
      <c r="J3761" s="355"/>
      <c r="K3761" s="355">
        <f>K3743</f>
        <v>456</v>
      </c>
      <c r="L3761" s="355"/>
      <c r="M3761" s="355"/>
    </row>
    <row r="3762" spans="5:18" ht="24.95" customHeight="1">
      <c r="E3762" s="355"/>
      <c r="F3762" s="355"/>
      <c r="G3762" s="355"/>
      <c r="H3762" s="362" t="s">
        <v>2798</v>
      </c>
      <c r="I3762" s="355"/>
      <c r="J3762" s="355"/>
      <c r="K3762" s="363">
        <f>SUM(K3757:K3761)</f>
        <v>1695.21</v>
      </c>
      <c r="L3762" s="355"/>
      <c r="M3762" s="355"/>
    </row>
    <row r="3763" spans="5:18">
      <c r="E3763" s="355"/>
      <c r="F3763" s="355"/>
      <c r="G3763" s="355"/>
      <c r="H3763" s="355"/>
      <c r="I3763" s="355"/>
      <c r="J3763" s="355"/>
      <c r="K3763" s="355"/>
      <c r="L3763" s="355"/>
      <c r="M3763" s="355"/>
    </row>
    <row r="3764" spans="5:18" ht="24.95" customHeight="1">
      <c r="E3764" s="355"/>
      <c r="F3764" s="355"/>
      <c r="G3764" s="355"/>
      <c r="H3764" s="363" t="s">
        <v>2802</v>
      </c>
      <c r="I3764" s="355"/>
      <c r="J3764" s="355"/>
      <c r="K3764" s="355"/>
      <c r="L3764" s="355"/>
      <c r="M3764" s="355"/>
    </row>
    <row r="3765" spans="5:18" ht="24.95" customHeight="1">
      <c r="E3765" s="355"/>
      <c r="F3765" s="355">
        <v>1</v>
      </c>
      <c r="G3765" s="355" t="s">
        <v>1337</v>
      </c>
      <c r="H3765" s="355" t="str">
        <f>Elec.Data!H3765</f>
        <v>1200mm A.C ceiling fan (without regulator)( Part- B 1 a p-117</v>
      </c>
      <c r="I3765" s="356">
        <f>Elec.Data!I3765</f>
        <v>1265</v>
      </c>
      <c r="J3765" s="355" t="s">
        <v>1337</v>
      </c>
      <c r="K3765" s="355">
        <f>F3765*I3765</f>
        <v>1265</v>
      </c>
      <c r="L3765" s="355"/>
      <c r="M3765" s="355"/>
    </row>
    <row r="3766" spans="5:18" ht="24.95" customHeight="1">
      <c r="E3766" s="355"/>
      <c r="F3766" s="355">
        <v>1</v>
      </c>
      <c r="G3766" s="355" t="s">
        <v>1337</v>
      </c>
      <c r="H3766" s="355" t="s">
        <v>2353</v>
      </c>
      <c r="I3766" s="356">
        <f>Elec.Data!I3766</f>
        <v>172.2</v>
      </c>
      <c r="J3766" s="355" t="s">
        <v>1337</v>
      </c>
      <c r="K3766" s="355">
        <f>F3766*I3766</f>
        <v>172.2</v>
      </c>
      <c r="L3766" s="355"/>
      <c r="M3766" s="355"/>
    </row>
    <row r="3767" spans="5:18" ht="24.95" customHeight="1">
      <c r="E3767" s="355"/>
      <c r="F3767" s="355"/>
      <c r="G3767" s="355"/>
      <c r="H3767" s="362" t="s">
        <v>2798</v>
      </c>
      <c r="I3767" s="355"/>
      <c r="J3767" s="355"/>
      <c r="K3767" s="363">
        <f>SUM(K3765:K3766)</f>
        <v>1437.2</v>
      </c>
      <c r="L3767" s="355"/>
      <c r="M3767" s="355"/>
    </row>
    <row r="3768" spans="5:18" ht="23.25" customHeight="1">
      <c r="E3768" s="355"/>
      <c r="F3768" s="355"/>
      <c r="G3768" s="355"/>
      <c r="H3768" s="362"/>
      <c r="I3768" s="355"/>
      <c r="J3768" s="355"/>
      <c r="K3768" s="363"/>
      <c r="L3768" s="355"/>
      <c r="M3768" s="355"/>
    </row>
    <row r="3769" spans="5:18" ht="24.95" customHeight="1">
      <c r="E3769" s="355"/>
      <c r="F3769" s="355"/>
      <c r="G3769" s="355"/>
      <c r="H3769" s="484" t="s">
        <v>3748</v>
      </c>
      <c r="I3769" s="355"/>
      <c r="J3769" s="355"/>
      <c r="K3769" s="355"/>
      <c r="L3769" s="355"/>
      <c r="M3769" s="355"/>
      <c r="N3769" s="484" t="s">
        <v>3747</v>
      </c>
      <c r="O3769" s="355"/>
      <c r="P3769" s="355"/>
      <c r="Q3769" s="355"/>
    </row>
    <row r="3770" spans="5:18" ht="24.95" customHeight="1">
      <c r="E3770" s="355"/>
      <c r="F3770" s="355">
        <v>1</v>
      </c>
      <c r="G3770" s="355" t="s">
        <v>1337</v>
      </c>
      <c r="H3770" s="355" t="str">
        <f>Elec.Data!H3770</f>
        <v>4' tube light fitting with \electronic ballast P-  113 7 A [SD 88]</v>
      </c>
      <c r="I3770" s="425">
        <f>Elec.Data!I3770</f>
        <v>306</v>
      </c>
      <c r="J3770" s="355" t="s">
        <v>1337</v>
      </c>
      <c r="K3770" s="355">
        <f>F3770*I3770</f>
        <v>306</v>
      </c>
      <c r="L3770" s="355">
        <v>1</v>
      </c>
      <c r="M3770" s="355" t="s">
        <v>1337</v>
      </c>
      <c r="O3770" s="355" t="s">
        <v>2355</v>
      </c>
      <c r="P3770" s="425">
        <v>529</v>
      </c>
      <c r="Q3770" s="355" t="s">
        <v>1337</v>
      </c>
      <c r="R3770" s="355">
        <f>L3770*P3770</f>
        <v>529</v>
      </c>
    </row>
    <row r="3771" spans="5:18" ht="24.95" customHeight="1">
      <c r="E3771" s="355"/>
      <c r="F3771" s="355">
        <v>1</v>
      </c>
      <c r="G3771" s="355" t="s">
        <v>1337</v>
      </c>
      <c r="H3771" s="355" t="s">
        <v>2356</v>
      </c>
      <c r="I3771" s="377">
        <f>Elec.Data!I3778</f>
        <v>35.1</v>
      </c>
      <c r="J3771" s="355" t="s">
        <v>1337</v>
      </c>
      <c r="K3771" s="355">
        <f>F3771*I3771</f>
        <v>35.1</v>
      </c>
      <c r="L3771" s="355">
        <v>1</v>
      </c>
      <c r="M3771" s="355" t="s">
        <v>1337</v>
      </c>
      <c r="O3771" s="355" t="s">
        <v>3746</v>
      </c>
      <c r="P3771" s="377">
        <v>42.3</v>
      </c>
      <c r="Q3771" s="355" t="s">
        <v>1337</v>
      </c>
      <c r="R3771" s="355">
        <f>L3771*P3771</f>
        <v>42.3</v>
      </c>
    </row>
    <row r="3772" spans="5:18" ht="24.95" customHeight="1">
      <c r="E3772" s="355"/>
      <c r="F3772" s="355"/>
      <c r="G3772" s="355"/>
      <c r="H3772" s="355" t="s">
        <v>2357</v>
      </c>
      <c r="I3772" s="355"/>
      <c r="J3772" s="355"/>
      <c r="K3772" s="355">
        <f>K3244</f>
        <v>274</v>
      </c>
      <c r="L3772" s="355"/>
      <c r="M3772" s="355"/>
      <c r="O3772" s="355" t="s">
        <v>2357</v>
      </c>
      <c r="P3772" s="355"/>
      <c r="Q3772" s="355"/>
      <c r="R3772" s="355">
        <f>K3244</f>
        <v>274</v>
      </c>
    </row>
    <row r="3773" spans="5:18" ht="24.95" customHeight="1">
      <c r="E3773" s="355"/>
      <c r="F3773" s="355"/>
      <c r="G3773" s="355"/>
      <c r="H3773" s="355" t="s">
        <v>2187</v>
      </c>
      <c r="I3773" s="355"/>
      <c r="J3773" s="355"/>
      <c r="K3773" s="355">
        <v>1.4</v>
      </c>
      <c r="L3773" s="355"/>
      <c r="M3773" s="355"/>
      <c r="O3773" s="355" t="s">
        <v>2187</v>
      </c>
      <c r="P3773" s="355"/>
      <c r="Q3773" s="355"/>
      <c r="R3773" s="355">
        <v>0.7</v>
      </c>
    </row>
    <row r="3774" spans="5:18" ht="24.95" customHeight="1">
      <c r="E3774" s="355"/>
      <c r="F3774" s="355"/>
      <c r="G3774" s="355"/>
      <c r="H3774" s="362" t="s">
        <v>2798</v>
      </c>
      <c r="I3774" s="355"/>
      <c r="J3774" s="355"/>
      <c r="K3774" s="363">
        <f>SUM(K3770:K3773)</f>
        <v>616.5</v>
      </c>
      <c r="L3774" s="355"/>
      <c r="M3774" s="355"/>
      <c r="O3774" s="362" t="s">
        <v>2798</v>
      </c>
      <c r="P3774" s="355"/>
      <c r="Q3774" s="355"/>
      <c r="R3774" s="363">
        <f>SUM(R3770:R3773)</f>
        <v>846</v>
      </c>
    </row>
    <row r="3775" spans="5:18">
      <c r="E3775" s="355"/>
      <c r="F3775" s="355"/>
      <c r="G3775" s="355"/>
      <c r="H3775" s="355"/>
      <c r="I3775" s="355"/>
      <c r="J3775" s="355"/>
      <c r="K3775" s="355"/>
      <c r="L3775" s="355"/>
      <c r="M3775" s="355"/>
      <c r="O3775" s="355"/>
      <c r="P3775" s="355"/>
      <c r="Q3775" s="355"/>
      <c r="R3775" s="355"/>
    </row>
    <row r="3776" spans="5:18" ht="24.95" customHeight="1">
      <c r="E3776" s="355"/>
      <c r="F3776" s="355"/>
      <c r="G3776" s="355"/>
      <c r="H3776" s="484" t="s">
        <v>3745</v>
      </c>
      <c r="I3776" s="355"/>
      <c r="J3776" s="355"/>
      <c r="K3776" s="355"/>
      <c r="L3776" s="355"/>
      <c r="M3776" s="355"/>
      <c r="O3776" s="484" t="s">
        <v>2358</v>
      </c>
      <c r="P3776" s="355"/>
      <c r="Q3776" s="355"/>
      <c r="R3776" s="355"/>
    </row>
    <row r="3777" spans="5:18" ht="24.95" customHeight="1">
      <c r="E3777" s="355"/>
      <c r="F3777" s="355">
        <v>1</v>
      </c>
      <c r="G3777" s="355" t="s">
        <v>1337</v>
      </c>
      <c r="H3777" s="355" t="str">
        <f>Elec.Data!H3777</f>
        <v>4' tube light fitting with \electronic ballast p-116 it-22 B [SD87]</v>
      </c>
      <c r="I3777" s="425">
        <f>Elec.Data!I3777</f>
        <v>261</v>
      </c>
      <c r="J3777" s="355" t="s">
        <v>1337</v>
      </c>
      <c r="K3777" s="355">
        <f>F3777*I3777</f>
        <v>261</v>
      </c>
      <c r="L3777" s="355">
        <v>1</v>
      </c>
      <c r="M3777" s="355" t="s">
        <v>1337</v>
      </c>
      <c r="O3777" s="355" t="s">
        <v>2355</v>
      </c>
      <c r="P3777" s="425">
        <v>360</v>
      </c>
      <c r="Q3777" s="355" t="s">
        <v>1337</v>
      </c>
      <c r="R3777" s="355">
        <f>L3777*P3777</f>
        <v>360</v>
      </c>
    </row>
    <row r="3778" spans="5:18" ht="24.95" customHeight="1">
      <c r="E3778" s="355"/>
      <c r="F3778" s="355">
        <v>1</v>
      </c>
      <c r="G3778" s="355" t="s">
        <v>1337</v>
      </c>
      <c r="H3778" s="355" t="str">
        <f>H3771</f>
        <v>slim tube light 36 w</v>
      </c>
      <c r="I3778" s="377">
        <f>I3771</f>
        <v>35.1</v>
      </c>
      <c r="J3778" s="355" t="s">
        <v>1337</v>
      </c>
      <c r="K3778" s="355">
        <f>F3778*I3778</f>
        <v>35.1</v>
      </c>
      <c r="L3778" s="355">
        <v>1</v>
      </c>
      <c r="M3778" s="355" t="s">
        <v>1337</v>
      </c>
      <c r="O3778" s="355" t="str">
        <f>O3771</f>
        <v>slim tube light 40 w</v>
      </c>
      <c r="P3778" s="377">
        <f>P3771</f>
        <v>42.3</v>
      </c>
      <c r="Q3778" s="355" t="s">
        <v>1337</v>
      </c>
      <c r="R3778" s="355">
        <f>L3778*P3778</f>
        <v>42.3</v>
      </c>
    </row>
    <row r="3779" spans="5:18" ht="24.95" customHeight="1">
      <c r="E3779" s="355"/>
      <c r="F3779" s="355"/>
      <c r="G3779" s="355"/>
      <c r="H3779" s="355" t="s">
        <v>2357</v>
      </c>
      <c r="I3779" s="355"/>
      <c r="J3779" s="355"/>
      <c r="K3779" s="355">
        <f>K3772</f>
        <v>274</v>
      </c>
      <c r="L3779" s="355"/>
      <c r="M3779" s="355"/>
      <c r="O3779" s="355" t="s">
        <v>2357</v>
      </c>
      <c r="P3779" s="355"/>
      <c r="Q3779" s="355"/>
      <c r="R3779" s="355">
        <f>R3772</f>
        <v>274</v>
      </c>
    </row>
    <row r="3780" spans="5:18" ht="24.95" customHeight="1">
      <c r="E3780" s="355"/>
      <c r="F3780" s="355"/>
      <c r="G3780" s="355"/>
      <c r="H3780" s="355" t="s">
        <v>2187</v>
      </c>
      <c r="I3780" s="355"/>
      <c r="J3780" s="355"/>
      <c r="K3780" s="355">
        <v>1.4</v>
      </c>
      <c r="L3780" s="355"/>
      <c r="M3780" s="355"/>
      <c r="O3780" s="355" t="s">
        <v>2187</v>
      </c>
      <c r="P3780" s="355"/>
      <c r="Q3780" s="355"/>
      <c r="R3780" s="355">
        <v>0.7</v>
      </c>
    </row>
    <row r="3781" spans="5:18" ht="24.95" customHeight="1">
      <c r="E3781" s="355"/>
      <c r="F3781" s="355"/>
      <c r="G3781" s="355"/>
      <c r="H3781" s="362" t="s">
        <v>2798</v>
      </c>
      <c r="I3781" s="355"/>
      <c r="J3781" s="355"/>
      <c r="K3781" s="363">
        <f>SUM(K3777:K3780)</f>
        <v>571.5</v>
      </c>
      <c r="L3781" s="355"/>
      <c r="M3781" s="355"/>
      <c r="O3781" s="362" t="s">
        <v>2798</v>
      </c>
      <c r="P3781" s="355"/>
      <c r="R3781" s="363">
        <f>SUM(R3777:R3780)</f>
        <v>677</v>
      </c>
    </row>
    <row r="3782" spans="5:18">
      <c r="E3782" s="355"/>
      <c r="F3782" s="355"/>
      <c r="G3782" s="355"/>
      <c r="H3782" s="355"/>
      <c r="I3782" s="355"/>
      <c r="J3782" s="355"/>
      <c r="K3782" s="355"/>
      <c r="L3782" s="355"/>
      <c r="M3782" s="355"/>
    </row>
    <row r="3783" spans="5:18">
      <c r="E3783" s="355"/>
      <c r="F3783" s="355"/>
      <c r="G3783" s="355"/>
      <c r="H3783" s="355"/>
      <c r="I3783" s="355"/>
      <c r="J3783" s="355"/>
      <c r="K3783" s="355"/>
      <c r="L3783" s="355"/>
      <c r="M3783" s="355"/>
    </row>
    <row r="3784" spans="5:18">
      <c r="E3784" s="355"/>
      <c r="F3784" s="355"/>
      <c r="G3784" s="355"/>
      <c r="H3784" s="355"/>
      <c r="I3784" s="355"/>
      <c r="J3784" s="355"/>
      <c r="K3784" s="355"/>
      <c r="L3784" s="355"/>
      <c r="M3784" s="355"/>
    </row>
    <row r="3785" spans="5:18">
      <c r="E3785" s="355"/>
      <c r="F3785" s="355"/>
      <c r="G3785" s="355"/>
      <c r="H3785" s="355"/>
      <c r="I3785" s="355"/>
      <c r="J3785" s="355"/>
      <c r="K3785" s="355"/>
      <c r="L3785" s="355"/>
      <c r="M3785" s="355"/>
    </row>
    <row r="3786" spans="5:18">
      <c r="E3786" s="355"/>
      <c r="F3786" s="355"/>
      <c r="G3786" s="355"/>
      <c r="H3786" s="355"/>
      <c r="I3786" s="355"/>
      <c r="J3786" s="355"/>
      <c r="K3786" s="355"/>
      <c r="L3786" s="355"/>
      <c r="M3786" s="355"/>
    </row>
    <row r="3787" spans="5:18">
      <c r="E3787" s="355"/>
      <c r="F3787" s="355"/>
      <c r="G3787" s="355"/>
      <c r="J3787" s="182"/>
      <c r="L3787" s="355"/>
      <c r="M3787" s="355"/>
    </row>
    <row r="3788" spans="5:18">
      <c r="E3788" s="355"/>
      <c r="F3788" s="355"/>
      <c r="G3788" s="355"/>
      <c r="H3788" s="355"/>
      <c r="I3788" s="355"/>
      <c r="J3788" s="355"/>
      <c r="K3788" s="363"/>
      <c r="L3788" s="355"/>
      <c r="M3788" s="355"/>
    </row>
    <row r="3789" spans="5:18">
      <c r="E3789" s="355"/>
      <c r="F3789" s="355"/>
      <c r="G3789" s="355"/>
      <c r="H3789" s="355"/>
      <c r="I3789" s="355"/>
      <c r="J3789" s="355"/>
      <c r="K3789" s="355"/>
      <c r="L3789" s="355"/>
      <c r="M3789" s="355"/>
    </row>
    <row r="3790" spans="5:18">
      <c r="E3790" s="355"/>
      <c r="H3790" s="191" t="s">
        <v>2364</v>
      </c>
      <c r="L3790" s="355"/>
      <c r="M3790" s="355"/>
    </row>
    <row r="3791" spans="5:18">
      <c r="E3791" s="355"/>
      <c r="L3791" s="355"/>
      <c r="M3791" s="355"/>
    </row>
    <row r="3792" spans="5:18">
      <c r="E3792" s="355"/>
      <c r="H3792" s="191" t="s">
        <v>2206</v>
      </c>
      <c r="L3792" s="355"/>
      <c r="M3792" s="355"/>
    </row>
    <row r="3793" spans="5:13">
      <c r="E3793" s="355"/>
      <c r="L3793" s="355"/>
      <c r="M3793" s="355"/>
    </row>
    <row r="3794" spans="5:13" ht="157.5">
      <c r="E3794" s="355"/>
      <c r="H3794" s="354" t="s">
        <v>2598</v>
      </c>
      <c r="L3794" s="355"/>
      <c r="M3794" s="355"/>
    </row>
    <row r="3795" spans="5:13" ht="31.5">
      <c r="E3795" s="355"/>
      <c r="F3795" s="355">
        <v>90</v>
      </c>
      <c r="G3795" s="355" t="s">
        <v>794</v>
      </c>
      <c r="H3795" s="276" t="s">
        <v>2463</v>
      </c>
      <c r="I3795" s="355">
        <f>I2843</f>
        <v>15.5</v>
      </c>
      <c r="J3795" s="355" t="s">
        <v>2464</v>
      </c>
      <c r="K3795" s="355">
        <f>F3795*I3795</f>
        <v>1395</v>
      </c>
      <c r="L3795" s="355"/>
      <c r="M3795" s="355"/>
    </row>
    <row r="3796" spans="5:13" ht="31.5">
      <c r="E3796" s="355"/>
      <c r="F3796" s="355">
        <v>45</v>
      </c>
      <c r="G3796" s="355" t="s">
        <v>794</v>
      </c>
      <c r="H3796" s="354" t="s">
        <v>2279</v>
      </c>
      <c r="I3796" s="355">
        <f>I2844</f>
        <v>19.100000000000001</v>
      </c>
      <c r="J3796" s="355" t="s">
        <v>2280</v>
      </c>
      <c r="K3796" s="355">
        <f>F3796*I3796</f>
        <v>859.5</v>
      </c>
      <c r="L3796" s="355"/>
      <c r="M3796" s="355"/>
    </row>
    <row r="3797" spans="5:13">
      <c r="E3797" s="355"/>
      <c r="F3797" s="355">
        <v>20</v>
      </c>
      <c r="G3797" s="355" t="s">
        <v>1337</v>
      </c>
      <c r="H3797" s="355" t="s">
        <v>2281</v>
      </c>
      <c r="I3797" s="355">
        <f>I2845</f>
        <v>3</v>
      </c>
      <c r="J3797" s="355" t="s">
        <v>1337</v>
      </c>
      <c r="K3797" s="355">
        <f>F3797*I3797</f>
        <v>60</v>
      </c>
      <c r="L3797" s="355"/>
      <c r="M3797" s="355"/>
    </row>
    <row r="3798" spans="5:13">
      <c r="E3798" s="355"/>
      <c r="F3798" s="355">
        <v>150</v>
      </c>
      <c r="G3798" s="355" t="s">
        <v>1337</v>
      </c>
      <c r="H3798" s="355" t="s">
        <v>2599</v>
      </c>
      <c r="I3798" s="356">
        <v>347</v>
      </c>
      <c r="J3798" s="355" t="s">
        <v>2600</v>
      </c>
      <c r="K3798" s="355">
        <f>(F3798*I3798)/1000</f>
        <v>52.05</v>
      </c>
      <c r="L3798" s="355"/>
      <c r="M3798" s="355"/>
    </row>
    <row r="3799" spans="5:13">
      <c r="E3799" s="355"/>
      <c r="F3799" s="355">
        <v>10</v>
      </c>
      <c r="G3799" s="355" t="s">
        <v>1337</v>
      </c>
      <c r="H3799" s="355" t="s">
        <v>3323</v>
      </c>
      <c r="I3799" s="355">
        <f>I2846</f>
        <v>1.28</v>
      </c>
      <c r="J3799" s="355" t="s">
        <v>1337</v>
      </c>
      <c r="K3799" s="355">
        <f>F3799*I3799</f>
        <v>12.8</v>
      </c>
      <c r="L3799" s="355"/>
      <c r="M3799" s="355"/>
    </row>
    <row r="3800" spans="5:13">
      <c r="E3800" s="355"/>
      <c r="F3800" s="355">
        <v>10</v>
      </c>
      <c r="G3800" s="355" t="s">
        <v>1337</v>
      </c>
      <c r="H3800" s="355" t="s">
        <v>2601</v>
      </c>
      <c r="I3800" s="425">
        <v>44.8</v>
      </c>
      <c r="J3800" s="355" t="s">
        <v>3326</v>
      </c>
      <c r="K3800" s="355">
        <f>(F3800*I3800)/12</f>
        <v>37.33</v>
      </c>
      <c r="L3800" s="355"/>
      <c r="M3800" s="355"/>
    </row>
    <row r="3801" spans="5:13">
      <c r="E3801" s="355"/>
      <c r="F3801" s="358">
        <v>1.4999999999999999E-2</v>
      </c>
      <c r="G3801" s="355" t="s">
        <v>2199</v>
      </c>
      <c r="H3801" s="355" t="s">
        <v>3195</v>
      </c>
      <c r="I3801" s="355">
        <f>I2849</f>
        <v>630</v>
      </c>
      <c r="J3801" s="355" t="s">
        <v>2199</v>
      </c>
      <c r="K3801" s="355">
        <f>F3801*I3801</f>
        <v>9.4499999999999993</v>
      </c>
      <c r="L3801" s="355"/>
      <c r="M3801" s="355"/>
    </row>
    <row r="3802" spans="5:13">
      <c r="E3802" s="355"/>
      <c r="F3802" s="355">
        <v>10</v>
      </c>
      <c r="G3802" s="355" t="s">
        <v>1337</v>
      </c>
      <c r="H3802" s="355" t="s">
        <v>3196</v>
      </c>
      <c r="I3802" s="355">
        <f>I2850</f>
        <v>16.05</v>
      </c>
      <c r="J3802" s="355" t="s">
        <v>1337</v>
      </c>
      <c r="K3802" s="355">
        <f>(F3802*I3802)</f>
        <v>160.5</v>
      </c>
      <c r="L3802" s="355"/>
      <c r="M3802" s="355"/>
    </row>
    <row r="3803" spans="5:13">
      <c r="E3803" s="355"/>
      <c r="F3803" s="355">
        <v>10</v>
      </c>
      <c r="G3803" s="355" t="s">
        <v>1337</v>
      </c>
      <c r="H3803" s="355" t="s">
        <v>2553</v>
      </c>
      <c r="I3803" s="355">
        <f>I2851</f>
        <v>13.6</v>
      </c>
      <c r="J3803" s="355" t="s">
        <v>1337</v>
      </c>
      <c r="K3803" s="355">
        <f>F3803*I3803</f>
        <v>136</v>
      </c>
      <c r="L3803" s="355"/>
      <c r="M3803" s="355"/>
    </row>
    <row r="3804" spans="5:13">
      <c r="E3804" s="355"/>
      <c r="F3804" s="355">
        <v>1</v>
      </c>
      <c r="G3804" s="355" t="s">
        <v>2561</v>
      </c>
      <c r="H3804" s="355" t="s">
        <v>3744</v>
      </c>
      <c r="I3804" s="356">
        <v>84.1</v>
      </c>
      <c r="J3804" s="355" t="s">
        <v>2561</v>
      </c>
      <c r="K3804" s="355">
        <f>F3804*I3804</f>
        <v>84.1</v>
      </c>
      <c r="L3804" s="355"/>
      <c r="M3804" s="355"/>
    </row>
    <row r="3805" spans="5:13">
      <c r="E3805" s="355"/>
      <c r="F3805" s="355">
        <v>72</v>
      </c>
      <c r="G3805" s="355" t="s">
        <v>1337</v>
      </c>
      <c r="H3805" s="355" t="s">
        <v>3743</v>
      </c>
      <c r="I3805" s="566">
        <v>47.7</v>
      </c>
      <c r="J3805" s="355" t="s">
        <v>2561</v>
      </c>
      <c r="K3805" s="355">
        <f>(F3805*I3805)/144</f>
        <v>23.85</v>
      </c>
      <c r="L3805" s="355"/>
      <c r="M3805" s="355"/>
    </row>
    <row r="3806" spans="5:13">
      <c r="E3806" s="355"/>
      <c r="F3806" s="359">
        <v>0.16666666666666666</v>
      </c>
      <c r="G3806" s="355" t="s">
        <v>2557</v>
      </c>
      <c r="H3806" s="355" t="s">
        <v>364</v>
      </c>
      <c r="I3806" s="425">
        <f>6850/20</f>
        <v>342.5</v>
      </c>
      <c r="J3806" s="355" t="s">
        <v>2557</v>
      </c>
      <c r="K3806" s="355">
        <f t="shared" ref="K3806:K3811" si="105">F3806*I3806</f>
        <v>57.08</v>
      </c>
      <c r="L3806" s="355"/>
      <c r="M3806" s="355"/>
    </row>
    <row r="3807" spans="5:13">
      <c r="E3807" s="355"/>
      <c r="F3807" s="355">
        <v>10</v>
      </c>
      <c r="G3807" s="355" t="s">
        <v>1337</v>
      </c>
      <c r="H3807" s="355" t="s">
        <v>2603</v>
      </c>
      <c r="I3807" s="425">
        <v>16.7</v>
      </c>
      <c r="J3807" s="355" t="s">
        <v>1337</v>
      </c>
      <c r="K3807" s="355">
        <f t="shared" si="105"/>
        <v>167</v>
      </c>
      <c r="L3807" s="355"/>
      <c r="M3807" s="355"/>
    </row>
    <row r="3808" spans="5:13">
      <c r="E3808" s="355"/>
      <c r="F3808" s="355">
        <v>1</v>
      </c>
      <c r="G3808" s="355" t="s">
        <v>1337</v>
      </c>
      <c r="H3808" s="355" t="s">
        <v>2960</v>
      </c>
      <c r="I3808" s="425">
        <v>20.100000000000001</v>
      </c>
      <c r="J3808" s="355" t="s">
        <v>1337</v>
      </c>
      <c r="K3808" s="355">
        <f t="shared" si="105"/>
        <v>20.100000000000001</v>
      </c>
      <c r="L3808" s="355"/>
      <c r="M3808" s="355"/>
    </row>
    <row r="3809" spans="5:13">
      <c r="E3809" s="355"/>
      <c r="F3809" s="355">
        <v>0.1</v>
      </c>
      <c r="G3809" s="355" t="s">
        <v>2199</v>
      </c>
      <c r="H3809" s="355" t="s">
        <v>2961</v>
      </c>
      <c r="I3809" s="355">
        <f>I2855</f>
        <v>630</v>
      </c>
      <c r="J3809" s="355" t="s">
        <v>2199</v>
      </c>
      <c r="K3809" s="355">
        <f t="shared" si="105"/>
        <v>63</v>
      </c>
      <c r="L3809" s="355"/>
      <c r="M3809" s="355"/>
    </row>
    <row r="3810" spans="5:13" ht="31.5">
      <c r="E3810" s="355"/>
      <c r="F3810" s="355">
        <v>45</v>
      </c>
      <c r="G3810" s="355" t="s">
        <v>794</v>
      </c>
      <c r="H3810" s="276" t="s">
        <v>2563</v>
      </c>
      <c r="I3810" s="355">
        <f>I2856</f>
        <v>15.5</v>
      </c>
      <c r="J3810" s="355" t="s">
        <v>3239</v>
      </c>
      <c r="K3810" s="355">
        <f t="shared" si="105"/>
        <v>697.5</v>
      </c>
      <c r="L3810" s="355"/>
      <c r="M3810" s="355"/>
    </row>
    <row r="3811" spans="5:13">
      <c r="E3811" s="355"/>
      <c r="F3811" s="359">
        <v>0.5</v>
      </c>
      <c r="G3811" s="355" t="s">
        <v>52</v>
      </c>
      <c r="H3811" s="276" t="s">
        <v>3477</v>
      </c>
      <c r="I3811" s="425">
        <v>247.4</v>
      </c>
      <c r="J3811" s="355" t="s">
        <v>52</v>
      </c>
      <c r="K3811" s="355">
        <f t="shared" si="105"/>
        <v>123.7</v>
      </c>
      <c r="L3811" s="355"/>
      <c r="M3811" s="355"/>
    </row>
    <row r="3812" spans="5:13">
      <c r="E3812" s="355"/>
      <c r="F3812" s="355">
        <v>10</v>
      </c>
      <c r="G3812" s="355" t="s">
        <v>3243</v>
      </c>
      <c r="H3812" s="355" t="s">
        <v>878</v>
      </c>
      <c r="I3812" s="355"/>
      <c r="J3812" s="355" t="s">
        <v>625</v>
      </c>
      <c r="K3812" s="355">
        <f>K3831</f>
        <v>4392.67</v>
      </c>
      <c r="L3812" s="355"/>
      <c r="M3812" s="355"/>
    </row>
    <row r="3813" spans="5:13">
      <c r="E3813" s="355"/>
      <c r="F3813" s="355" t="s">
        <v>625</v>
      </c>
      <c r="G3813" s="355"/>
      <c r="H3813" s="355" t="s">
        <v>2962</v>
      </c>
      <c r="I3813" s="355"/>
      <c r="J3813" s="355" t="s">
        <v>625</v>
      </c>
      <c r="K3813" s="355">
        <f>22+0.07</f>
        <v>22.07</v>
      </c>
      <c r="L3813" s="355"/>
      <c r="M3813" s="355"/>
    </row>
    <row r="3814" spans="5:13">
      <c r="E3814" s="355"/>
      <c r="F3814" s="355"/>
      <c r="G3814" s="355"/>
      <c r="H3814" s="360" t="s">
        <v>3242</v>
      </c>
      <c r="I3814" s="355"/>
      <c r="J3814" s="355"/>
      <c r="K3814" s="361">
        <f>SUM(K3795:K3813)</f>
        <v>8373.7000000000007</v>
      </c>
      <c r="L3814" s="355"/>
      <c r="M3814" s="355"/>
    </row>
    <row r="3815" spans="5:13">
      <c r="E3815" s="355"/>
      <c r="F3815" s="355"/>
      <c r="G3815" s="355"/>
      <c r="H3815" s="362" t="s">
        <v>3244</v>
      </c>
      <c r="I3815" s="355"/>
      <c r="J3815" s="355"/>
      <c r="K3815" s="363">
        <f>K3814/10</f>
        <v>837.37</v>
      </c>
      <c r="L3815" s="355">
        <f>K3815-639</f>
        <v>198.37</v>
      </c>
      <c r="M3815" s="355"/>
    </row>
    <row r="3816" spans="5:13">
      <c r="E3816" s="355"/>
      <c r="F3816" s="355"/>
      <c r="G3816" s="355"/>
      <c r="H3816" s="355"/>
      <c r="I3816" s="355"/>
      <c r="J3816" s="355"/>
      <c r="K3816" s="355"/>
      <c r="L3816" s="355"/>
      <c r="M3816" s="355"/>
    </row>
    <row r="3817" spans="5:13">
      <c r="E3817" s="355"/>
      <c r="F3817" s="355"/>
      <c r="G3817" s="355"/>
      <c r="H3817" s="355"/>
      <c r="I3817" s="355"/>
      <c r="J3817" s="355"/>
      <c r="K3817" s="355"/>
      <c r="L3817" s="355"/>
      <c r="M3817" s="355"/>
    </row>
    <row r="3818" spans="5:13">
      <c r="E3818" s="355"/>
      <c r="F3818" s="355"/>
      <c r="G3818" s="355"/>
      <c r="H3818" s="355"/>
      <c r="I3818" s="355"/>
      <c r="J3818" s="355"/>
      <c r="K3818" s="355"/>
      <c r="L3818" s="355"/>
      <c r="M3818" s="355"/>
    </row>
    <row r="3819" spans="5:13">
      <c r="E3819" s="355"/>
      <c r="F3819" s="355"/>
      <c r="G3819" s="355"/>
      <c r="H3819" s="355"/>
      <c r="I3819" s="355"/>
      <c r="J3819" s="355"/>
      <c r="K3819" s="355"/>
      <c r="L3819" s="355"/>
      <c r="M3819" s="355"/>
    </row>
    <row r="3820" spans="5:13">
      <c r="E3820" s="355"/>
      <c r="F3820" s="355"/>
      <c r="G3820" s="363" t="s">
        <v>3246</v>
      </c>
      <c r="H3820" s="355"/>
      <c r="I3820" s="355"/>
      <c r="J3820" s="355"/>
      <c r="M3820" s="355"/>
    </row>
    <row r="3821" spans="5:13">
      <c r="E3821" s="355"/>
      <c r="F3821" s="355"/>
      <c r="G3821" s="355"/>
      <c r="H3821" s="355"/>
      <c r="I3821" s="355"/>
      <c r="J3821" s="355"/>
      <c r="M3821" s="355"/>
    </row>
    <row r="3822" spans="5:13">
      <c r="E3822" s="355"/>
      <c r="F3822" s="355"/>
      <c r="G3822" s="363" t="s">
        <v>3321</v>
      </c>
      <c r="H3822" s="355"/>
      <c r="I3822" s="355"/>
      <c r="J3822" s="355"/>
      <c r="M3822" s="355"/>
    </row>
    <row r="3823" spans="5:13">
      <c r="E3823" s="355"/>
      <c r="F3823" s="355"/>
      <c r="G3823" s="355"/>
      <c r="H3823" s="355"/>
      <c r="I3823" s="355"/>
      <c r="J3823" s="355"/>
      <c r="M3823" s="355"/>
    </row>
    <row r="3824" spans="5:13">
      <c r="F3824" s="355">
        <v>1</v>
      </c>
      <c r="G3824" s="355" t="s">
        <v>1337</v>
      </c>
      <c r="H3824" s="355" t="s">
        <v>3248</v>
      </c>
      <c r="I3824" s="355">
        <f>I2866</f>
        <v>817</v>
      </c>
      <c r="J3824" s="355" t="s">
        <v>1337</v>
      </c>
      <c r="K3824" s="355">
        <f>F3824*I3824</f>
        <v>817</v>
      </c>
      <c r="L3824" s="355"/>
      <c r="M3824" s="355"/>
    </row>
    <row r="3825" spans="5:13">
      <c r="F3825" s="355">
        <v>2</v>
      </c>
      <c r="G3825" s="355" t="s">
        <v>1337</v>
      </c>
      <c r="H3825" s="355" t="s">
        <v>3249</v>
      </c>
      <c r="I3825" s="355">
        <f>I2867</f>
        <v>712</v>
      </c>
      <c r="J3825" s="355" t="s">
        <v>1337</v>
      </c>
      <c r="K3825" s="355">
        <f>F3825*I3825</f>
        <v>1424</v>
      </c>
      <c r="L3825" s="355"/>
      <c r="M3825" s="355"/>
    </row>
    <row r="3826" spans="5:13">
      <c r="F3826" s="355">
        <v>3</v>
      </c>
      <c r="G3826" s="355" t="s">
        <v>1337</v>
      </c>
      <c r="H3826" s="355" t="s">
        <v>3250</v>
      </c>
      <c r="I3826" s="355">
        <f>I2868</f>
        <v>708</v>
      </c>
      <c r="J3826" s="355" t="s">
        <v>1337</v>
      </c>
      <c r="K3826" s="355">
        <f>F3826*I3826</f>
        <v>2124</v>
      </c>
      <c r="L3826" s="355"/>
      <c r="M3826" s="355"/>
    </row>
    <row r="3827" spans="5:13">
      <c r="F3827" s="355">
        <v>4</v>
      </c>
      <c r="G3827" s="355" t="s">
        <v>1337</v>
      </c>
      <c r="H3827" s="355" t="s">
        <v>2246</v>
      </c>
      <c r="I3827" s="355">
        <f>I2869</f>
        <v>556</v>
      </c>
      <c r="J3827" s="355" t="s">
        <v>1337</v>
      </c>
      <c r="K3827" s="355">
        <f>F3827*I3827</f>
        <v>2224</v>
      </c>
      <c r="L3827" s="355"/>
      <c r="M3827" s="355"/>
    </row>
    <row r="3828" spans="5:13">
      <c r="F3828" s="355"/>
      <c r="G3828" s="355"/>
      <c r="H3828" s="355"/>
      <c r="I3828" s="355"/>
      <c r="J3828" s="355"/>
      <c r="K3828" s="355"/>
      <c r="L3828" s="355"/>
      <c r="M3828" s="355"/>
    </row>
    <row r="3829" spans="5:13" ht="51">
      <c r="E3829" s="355"/>
      <c r="F3829" s="355"/>
      <c r="G3829" s="182"/>
      <c r="H3829" s="365" t="s">
        <v>2769</v>
      </c>
      <c r="J3829" s="182"/>
      <c r="K3829" s="366">
        <f>SUM(K3824:K3827)</f>
        <v>6589</v>
      </c>
      <c r="L3829" s="366"/>
      <c r="M3829" s="355"/>
    </row>
    <row r="3830" spans="5:13">
      <c r="E3830" s="355"/>
      <c r="F3830" s="355"/>
      <c r="G3830" s="182"/>
      <c r="J3830" s="182"/>
      <c r="M3830" s="355"/>
    </row>
    <row r="3831" spans="5:13">
      <c r="E3831" s="355"/>
      <c r="F3831" s="355"/>
      <c r="G3831" s="182"/>
      <c r="J3831" s="367"/>
      <c r="K3831" s="192">
        <f>K3829*2/3</f>
        <v>4392.67</v>
      </c>
      <c r="L3831" s="192"/>
      <c r="M3831" s="355"/>
    </row>
    <row r="3832" spans="5:13">
      <c r="E3832" s="355"/>
      <c r="F3832" s="355"/>
      <c r="G3832" s="355"/>
      <c r="H3832" s="355"/>
      <c r="I3832" s="355"/>
      <c r="J3832" s="355"/>
      <c r="K3832" s="355"/>
      <c r="L3832" s="355"/>
      <c r="M3832" s="355"/>
    </row>
    <row r="3833" spans="5:13">
      <c r="E3833" s="355"/>
      <c r="F3833" s="355"/>
      <c r="G3833" s="355"/>
      <c r="H3833" s="191" t="s">
        <v>2963</v>
      </c>
      <c r="I3833" s="355"/>
      <c r="J3833" s="355"/>
      <c r="K3833" s="355"/>
      <c r="L3833" s="355"/>
      <c r="M3833" s="355"/>
    </row>
    <row r="3834" spans="5:13">
      <c r="E3834" s="355"/>
      <c r="F3834" s="355"/>
      <c r="G3834" s="355"/>
      <c r="H3834" s="355"/>
      <c r="I3834" s="355"/>
      <c r="J3834" s="355"/>
      <c r="K3834" s="355"/>
      <c r="L3834" s="355"/>
      <c r="M3834" s="355"/>
    </row>
    <row r="3835" spans="5:13" ht="173.25">
      <c r="E3835" s="355"/>
      <c r="F3835" s="355"/>
      <c r="G3835" s="355"/>
      <c r="H3835" s="354" t="s">
        <v>2981</v>
      </c>
      <c r="I3835" s="355"/>
      <c r="J3835" s="355"/>
      <c r="K3835" s="355"/>
      <c r="L3835" s="355"/>
      <c r="M3835" s="355"/>
    </row>
    <row r="3836" spans="5:13">
      <c r="E3836" s="355"/>
      <c r="F3836" s="355"/>
      <c r="G3836" s="355"/>
      <c r="H3836" s="355" t="s">
        <v>2369</v>
      </c>
      <c r="I3836" s="355"/>
      <c r="J3836" s="355"/>
      <c r="K3836" s="355">
        <f>K3814-K3813</f>
        <v>8351.6299999999992</v>
      </c>
      <c r="L3836" s="355"/>
      <c r="M3836" s="355"/>
    </row>
    <row r="3837" spans="5:13">
      <c r="E3837" s="355"/>
      <c r="F3837" s="355"/>
      <c r="G3837" s="355"/>
      <c r="H3837" s="355" t="s">
        <v>2370</v>
      </c>
      <c r="I3837" s="355"/>
      <c r="J3837" s="355"/>
      <c r="K3837" s="355">
        <f>K3803</f>
        <v>136</v>
      </c>
      <c r="L3837" s="355"/>
      <c r="M3837" s="355"/>
    </row>
    <row r="3838" spans="5:13">
      <c r="E3838" s="355"/>
      <c r="F3838" s="355"/>
      <c r="G3838" s="355"/>
      <c r="H3838" s="355" t="s">
        <v>3618</v>
      </c>
      <c r="I3838" s="355"/>
      <c r="J3838" s="355"/>
      <c r="K3838" s="425">
        <f>10*20.2</f>
        <v>202</v>
      </c>
      <c r="L3838" s="355"/>
      <c r="M3838" s="355"/>
    </row>
    <row r="3839" spans="5:13">
      <c r="E3839" s="355"/>
      <c r="F3839" s="355"/>
      <c r="G3839" s="355"/>
      <c r="H3839" s="355" t="s">
        <v>2187</v>
      </c>
      <c r="I3839" s="355"/>
      <c r="J3839" s="355"/>
      <c r="K3839" s="355">
        <v>22.11</v>
      </c>
      <c r="L3839" s="355"/>
      <c r="M3839" s="355"/>
    </row>
    <row r="3840" spans="5:13">
      <c r="E3840" s="355"/>
      <c r="F3840" s="355"/>
      <c r="G3840" s="355"/>
      <c r="H3840" s="360" t="s">
        <v>2348</v>
      </c>
      <c r="I3840" s="355"/>
      <c r="J3840" s="355"/>
      <c r="K3840" s="361">
        <f>K3836-K3837+K3838+K3839</f>
        <v>8439.74</v>
      </c>
      <c r="L3840" s="355"/>
      <c r="M3840" s="355"/>
    </row>
    <row r="3841" spans="5:14">
      <c r="E3841" s="355"/>
      <c r="F3841" s="355"/>
      <c r="G3841" s="355"/>
      <c r="H3841" s="362" t="s">
        <v>2349</v>
      </c>
      <c r="I3841" s="355"/>
      <c r="J3841" s="355"/>
      <c r="K3841" s="363">
        <f>K3840/10</f>
        <v>843.97</v>
      </c>
      <c r="L3841" s="355"/>
      <c r="M3841" s="355"/>
    </row>
    <row r="3842" spans="5:14">
      <c r="E3842" s="355"/>
      <c r="F3842" s="355"/>
      <c r="G3842" s="355"/>
      <c r="H3842" s="355"/>
      <c r="I3842" s="355"/>
      <c r="J3842" s="355"/>
      <c r="K3842" s="355"/>
      <c r="L3842" s="355"/>
      <c r="M3842" s="355"/>
    </row>
    <row r="3843" spans="5:14">
      <c r="E3843" s="355"/>
      <c r="F3843" s="355"/>
      <c r="G3843" s="355"/>
      <c r="H3843" s="355"/>
      <c r="I3843" s="355"/>
      <c r="J3843" s="355"/>
      <c r="K3843" s="355"/>
      <c r="L3843" s="355"/>
      <c r="M3843" s="355"/>
    </row>
    <row r="3844" spans="5:14">
      <c r="E3844" s="355"/>
      <c r="F3844" s="355"/>
      <c r="G3844" s="355"/>
      <c r="H3844" s="355"/>
      <c r="I3844" s="355"/>
      <c r="J3844" s="355"/>
      <c r="K3844" s="355"/>
      <c r="L3844" s="355"/>
      <c r="M3844" s="355"/>
    </row>
    <row r="3845" spans="5:14" ht="47.25">
      <c r="E3845" s="355"/>
      <c r="F3845" s="355"/>
      <c r="G3845" s="355"/>
      <c r="H3845" s="353" t="s">
        <v>3322</v>
      </c>
      <c r="I3845" s="355"/>
      <c r="J3845" s="355"/>
      <c r="K3845" s="355"/>
      <c r="L3845" s="355"/>
      <c r="M3845" s="355"/>
    </row>
    <row r="3846" spans="5:14">
      <c r="E3846" s="355"/>
      <c r="F3846" s="355"/>
      <c r="G3846" s="355"/>
      <c r="H3846" s="355"/>
      <c r="I3846" s="355"/>
      <c r="J3846" s="355"/>
      <c r="K3846" s="355"/>
      <c r="L3846" s="355"/>
      <c r="M3846" s="355"/>
    </row>
    <row r="3847" spans="5:14" ht="173.25">
      <c r="E3847" s="355"/>
      <c r="F3847" s="355"/>
      <c r="G3847" s="355"/>
      <c r="H3847" s="354" t="s">
        <v>3309</v>
      </c>
      <c r="I3847" s="355"/>
      <c r="J3847" s="355"/>
      <c r="K3847" s="355"/>
      <c r="L3847" s="355"/>
      <c r="M3847" s="355"/>
    </row>
    <row r="3848" spans="5:14">
      <c r="E3848" s="355"/>
      <c r="F3848" s="355"/>
      <c r="G3848" s="355"/>
      <c r="H3848" s="355" t="s">
        <v>3331</v>
      </c>
      <c r="I3848" s="355"/>
      <c r="J3848" s="355"/>
      <c r="K3848" s="355">
        <f>K3836</f>
        <v>8351.6299999999992</v>
      </c>
      <c r="L3848" s="355"/>
      <c r="M3848" s="355"/>
    </row>
    <row r="3849" spans="5:14">
      <c r="E3849" s="355"/>
      <c r="F3849" s="355"/>
      <c r="G3849" s="355"/>
      <c r="H3849" s="355" t="s">
        <v>2919</v>
      </c>
      <c r="I3849" s="355"/>
      <c r="J3849" s="355"/>
      <c r="K3849" s="355">
        <f>K3837</f>
        <v>136</v>
      </c>
      <c r="L3849" s="355"/>
      <c r="M3849" s="355"/>
    </row>
    <row r="3850" spans="5:14">
      <c r="E3850" s="355"/>
      <c r="F3850" s="355"/>
      <c r="G3850" s="355"/>
      <c r="H3850" s="355" t="s">
        <v>2920</v>
      </c>
      <c r="I3850" s="355"/>
      <c r="J3850" s="355"/>
      <c r="K3850" s="355">
        <f>K2892</f>
        <v>34.299999999999997</v>
      </c>
      <c r="L3850" s="355"/>
      <c r="M3850" s="355"/>
    </row>
    <row r="3851" spans="5:14">
      <c r="E3851" s="355"/>
      <c r="F3851" s="355"/>
      <c r="G3851" s="355"/>
      <c r="H3851" s="355" t="s">
        <v>2921</v>
      </c>
      <c r="I3851" s="355"/>
      <c r="J3851" s="355"/>
      <c r="K3851" s="355">
        <f>K2893</f>
        <v>160.5</v>
      </c>
      <c r="L3851" s="355"/>
      <c r="M3851" s="355"/>
    </row>
    <row r="3852" spans="5:14">
      <c r="E3852" s="355"/>
      <c r="F3852" s="355"/>
      <c r="G3852" s="355"/>
      <c r="H3852" s="355" t="s">
        <v>3614</v>
      </c>
      <c r="I3852" s="355"/>
      <c r="J3852" s="355"/>
      <c r="K3852" s="425">
        <f>50.4*10</f>
        <v>504</v>
      </c>
      <c r="L3852" s="355"/>
      <c r="M3852" s="355"/>
      <c r="N3852" s="182">
        <f>50.4*10</f>
        <v>504</v>
      </c>
    </row>
    <row r="3853" spans="5:14">
      <c r="E3853" s="355"/>
      <c r="F3853" s="355"/>
      <c r="G3853" s="355"/>
      <c r="H3853" s="355" t="s">
        <v>3742</v>
      </c>
      <c r="I3853" s="355"/>
      <c r="J3853" s="355"/>
      <c r="K3853" s="425">
        <f>10*17.25</f>
        <v>172.5</v>
      </c>
      <c r="L3853" s="355"/>
      <c r="M3853" s="355"/>
    </row>
    <row r="3854" spans="5:14">
      <c r="E3854" s="355"/>
      <c r="F3854" s="355"/>
      <c r="G3854" s="355"/>
      <c r="H3854" s="355" t="s">
        <v>3615</v>
      </c>
      <c r="I3854" s="355"/>
      <c r="J3854" s="355"/>
      <c r="K3854" s="425">
        <f>20.1*10</f>
        <v>201</v>
      </c>
      <c r="L3854" s="355"/>
      <c r="M3854" s="355"/>
    </row>
    <row r="3855" spans="5:14">
      <c r="E3855" s="355"/>
      <c r="F3855" s="355"/>
      <c r="G3855" s="355"/>
      <c r="H3855" s="355" t="s">
        <v>2187</v>
      </c>
      <c r="I3855" s="355"/>
      <c r="J3855" s="355"/>
      <c r="K3855" s="355">
        <v>16.41</v>
      </c>
      <c r="L3855" s="355"/>
      <c r="M3855" s="355"/>
    </row>
    <row r="3856" spans="5:14">
      <c r="E3856" s="355"/>
      <c r="F3856" s="355"/>
      <c r="G3856" s="355"/>
      <c r="H3856" s="360" t="s">
        <v>2348</v>
      </c>
      <c r="I3856" s="355"/>
      <c r="J3856" s="355"/>
      <c r="K3856" s="361">
        <f>(K3848-K3849-K3850-K3851)+(K3852+K3853+K3854+K3855)</f>
        <v>8914.74</v>
      </c>
      <c r="L3856" s="355"/>
      <c r="M3856" s="355"/>
      <c r="N3856" s="182">
        <f>17.25*10</f>
        <v>172.5</v>
      </c>
    </row>
    <row r="3857" spans="5:13">
      <c r="E3857" s="355"/>
      <c r="F3857" s="355"/>
      <c r="G3857" s="355"/>
      <c r="H3857" s="362" t="s">
        <v>3096</v>
      </c>
      <c r="I3857" s="355"/>
      <c r="J3857" s="355"/>
      <c r="K3857" s="363">
        <f>K3856/10</f>
        <v>891.47</v>
      </c>
      <c r="L3857" s="355"/>
      <c r="M3857" s="355"/>
    </row>
    <row r="3858" spans="5:13">
      <c r="E3858" s="355"/>
      <c r="F3858" s="355"/>
      <c r="G3858" s="355"/>
      <c r="H3858" s="355"/>
      <c r="I3858" s="355"/>
      <c r="J3858" s="355"/>
      <c r="K3858" s="355"/>
      <c r="L3858" s="355"/>
      <c r="M3858" s="355"/>
    </row>
    <row r="3859" spans="5:13">
      <c r="E3859" s="355"/>
      <c r="F3859" s="355"/>
      <c r="G3859" s="355"/>
      <c r="H3859" s="355"/>
      <c r="I3859" s="355"/>
      <c r="J3859" s="355"/>
      <c r="K3859" s="355"/>
      <c r="L3859" s="355"/>
      <c r="M3859" s="355"/>
    </row>
    <row r="3860" spans="5:13">
      <c r="E3860" s="355"/>
      <c r="F3860" s="355"/>
      <c r="G3860" s="355"/>
      <c r="H3860" s="355"/>
      <c r="I3860" s="355"/>
      <c r="J3860" s="355"/>
      <c r="K3860" s="355"/>
      <c r="L3860" s="355"/>
      <c r="M3860" s="355"/>
    </row>
    <row r="3861" spans="5:13">
      <c r="E3861" s="355"/>
      <c r="F3861" s="355"/>
      <c r="G3861" s="355"/>
      <c r="H3861" s="355"/>
      <c r="I3861" s="355"/>
      <c r="J3861" s="355"/>
      <c r="K3861" s="355"/>
      <c r="L3861" s="355"/>
      <c r="M3861" s="355"/>
    </row>
    <row r="3862" spans="5:13">
      <c r="E3862" s="355"/>
      <c r="F3862" s="355"/>
      <c r="G3862" s="355"/>
      <c r="H3862" s="355"/>
      <c r="I3862" s="355"/>
      <c r="J3862" s="355"/>
      <c r="K3862" s="355"/>
      <c r="L3862" s="355"/>
      <c r="M3862" s="355"/>
    </row>
    <row r="3863" spans="5:13" ht="31.5">
      <c r="E3863" s="355"/>
      <c r="F3863" s="355"/>
      <c r="G3863" s="355"/>
      <c r="H3863" s="353" t="s">
        <v>2821</v>
      </c>
      <c r="I3863" s="355"/>
      <c r="J3863" s="355"/>
      <c r="K3863" s="355"/>
      <c r="L3863" s="355"/>
      <c r="M3863" s="355"/>
    </row>
    <row r="3864" spans="5:13">
      <c r="E3864" s="355"/>
      <c r="F3864" s="355"/>
      <c r="G3864" s="355"/>
      <c r="I3864" s="355"/>
      <c r="J3864" s="355"/>
      <c r="K3864" s="355"/>
      <c r="L3864" s="355"/>
      <c r="M3864" s="355"/>
    </row>
    <row r="3865" spans="5:13">
      <c r="E3865" s="355"/>
      <c r="F3865" s="355"/>
      <c r="G3865" s="355"/>
      <c r="I3865" s="355"/>
      <c r="J3865" s="355"/>
      <c r="K3865" s="355"/>
      <c r="L3865" s="355"/>
      <c r="M3865" s="355"/>
    </row>
    <row r="3866" spans="5:13">
      <c r="E3866" s="355"/>
      <c r="F3866" s="355"/>
      <c r="G3866" s="355"/>
      <c r="I3866" s="355"/>
      <c r="J3866" s="355"/>
      <c r="K3866" s="355"/>
      <c r="L3866" s="355"/>
      <c r="M3866" s="355"/>
    </row>
    <row r="3867" spans="5:13">
      <c r="E3867" s="355"/>
      <c r="F3867" s="355"/>
      <c r="G3867" s="355"/>
      <c r="I3867" s="355"/>
      <c r="J3867" s="355"/>
      <c r="K3867" s="355"/>
      <c r="L3867" s="355"/>
      <c r="M3867" s="355"/>
    </row>
    <row r="3868" spans="5:13" ht="173.25">
      <c r="E3868" s="355"/>
      <c r="F3868" s="355"/>
      <c r="G3868" s="355"/>
      <c r="H3868" s="354" t="s">
        <v>2767</v>
      </c>
      <c r="I3868" s="355"/>
      <c r="J3868" s="355"/>
      <c r="K3868" s="355"/>
      <c r="L3868" s="355"/>
      <c r="M3868" s="355"/>
    </row>
    <row r="3869" spans="5:13">
      <c r="E3869" s="355"/>
      <c r="F3869" s="355"/>
      <c r="G3869" s="355"/>
      <c r="H3869" s="355"/>
      <c r="I3869" s="355"/>
      <c r="J3869" s="355"/>
      <c r="K3869" s="355"/>
      <c r="L3869" s="355"/>
      <c r="M3869" s="355"/>
    </row>
    <row r="3870" spans="5:13">
      <c r="E3870" s="355"/>
      <c r="F3870" s="355"/>
      <c r="G3870" s="355"/>
      <c r="H3870" s="355"/>
      <c r="I3870" s="355"/>
      <c r="J3870" s="355"/>
      <c r="K3870" s="355"/>
      <c r="L3870" s="355"/>
      <c r="M3870" s="355"/>
    </row>
    <row r="3871" spans="5:13">
      <c r="E3871" s="355"/>
      <c r="F3871" s="355"/>
      <c r="G3871" s="355"/>
      <c r="H3871" s="355"/>
      <c r="I3871" s="355"/>
      <c r="J3871" s="355"/>
      <c r="K3871" s="355"/>
      <c r="L3871" s="355"/>
      <c r="M3871" s="355"/>
    </row>
    <row r="3872" spans="5:13">
      <c r="E3872" s="355"/>
      <c r="F3872" s="355"/>
      <c r="G3872" s="355"/>
      <c r="H3872" s="355" t="s">
        <v>2369</v>
      </c>
      <c r="I3872" s="355"/>
      <c r="J3872" s="355"/>
      <c r="K3872" s="355">
        <f>K3814</f>
        <v>8373.7000000000007</v>
      </c>
      <c r="L3872" s="355"/>
      <c r="M3872" s="355"/>
    </row>
    <row r="3873" spans="5:13">
      <c r="E3873" s="355"/>
      <c r="F3873" s="355"/>
      <c r="G3873" s="355"/>
      <c r="H3873" s="355" t="s">
        <v>3620</v>
      </c>
      <c r="I3873" s="355"/>
      <c r="J3873" s="355"/>
      <c r="K3873" s="355">
        <f>K3807</f>
        <v>167</v>
      </c>
      <c r="L3873" s="355"/>
      <c r="M3873" s="355"/>
    </row>
    <row r="3874" spans="5:13">
      <c r="E3874" s="355"/>
      <c r="F3874" s="355"/>
      <c r="G3874" s="355"/>
      <c r="H3874" s="355" t="s">
        <v>2739</v>
      </c>
      <c r="I3874" s="355"/>
      <c r="J3874" s="355"/>
      <c r="K3874" s="355">
        <f>K3809</f>
        <v>63</v>
      </c>
      <c r="L3874" s="355"/>
      <c r="M3874" s="355"/>
    </row>
    <row r="3875" spans="5:13">
      <c r="E3875" s="355"/>
      <c r="F3875" s="355"/>
      <c r="G3875" s="355"/>
      <c r="H3875" s="355" t="s">
        <v>3621</v>
      </c>
      <c r="I3875" s="355"/>
      <c r="J3875" s="355"/>
      <c r="K3875" s="425">
        <f>84.2*10</f>
        <v>842</v>
      </c>
      <c r="L3875" s="355"/>
      <c r="M3875" s="355"/>
    </row>
    <row r="3876" spans="5:13">
      <c r="E3876" s="355"/>
      <c r="F3876" s="355"/>
      <c r="G3876" s="355"/>
      <c r="H3876" s="355" t="s">
        <v>3622</v>
      </c>
      <c r="I3876" s="355"/>
      <c r="J3876" s="355"/>
      <c r="K3876" s="425">
        <f>0.6*685</f>
        <v>411</v>
      </c>
      <c r="L3876" s="355"/>
      <c r="M3876" s="355"/>
    </row>
    <row r="3877" spans="5:13">
      <c r="E3877" s="355"/>
      <c r="F3877" s="355"/>
      <c r="G3877" s="355"/>
      <c r="H3877" s="355" t="s">
        <v>2964</v>
      </c>
      <c r="I3877" s="355"/>
      <c r="J3877" s="355"/>
      <c r="K3877" s="355">
        <v>12.5</v>
      </c>
      <c r="L3877" s="355"/>
      <c r="M3877" s="355"/>
    </row>
    <row r="3878" spans="5:13">
      <c r="E3878" s="355"/>
      <c r="F3878" s="355"/>
      <c r="G3878" s="355"/>
      <c r="H3878" s="360" t="s">
        <v>2348</v>
      </c>
      <c r="I3878" s="355"/>
      <c r="J3878" s="355"/>
      <c r="K3878" s="361">
        <f>K3872-K3873-K3874+K3875+K3876+K3877</f>
        <v>9409.2000000000007</v>
      </c>
      <c r="L3878" s="355"/>
      <c r="M3878" s="355"/>
    </row>
    <row r="3879" spans="5:13">
      <c r="E3879" s="355"/>
      <c r="F3879" s="355"/>
      <c r="G3879" s="355"/>
      <c r="H3879" s="362" t="s">
        <v>2349</v>
      </c>
      <c r="I3879" s="355"/>
      <c r="J3879" s="355"/>
      <c r="K3879" s="363">
        <f>K3878/10</f>
        <v>940.92</v>
      </c>
      <c r="L3879" s="355"/>
      <c r="M3879" s="355"/>
    </row>
    <row r="3880" spans="5:13">
      <c r="E3880" s="355"/>
      <c r="F3880" s="355"/>
      <c r="G3880" s="355"/>
      <c r="H3880" s="355"/>
      <c r="I3880" s="355"/>
      <c r="J3880" s="355"/>
      <c r="K3880" s="355"/>
      <c r="L3880" s="355"/>
      <c r="M3880" s="355"/>
    </row>
    <row r="3881" spans="5:13">
      <c r="E3881" s="355"/>
      <c r="F3881" s="355"/>
      <c r="G3881" s="355"/>
      <c r="H3881" s="355"/>
      <c r="I3881" s="355"/>
      <c r="J3881" s="355"/>
      <c r="K3881" s="355"/>
      <c r="L3881" s="355"/>
      <c r="M3881" s="355"/>
    </row>
    <row r="3882" spans="5:13">
      <c r="E3882" s="355"/>
      <c r="F3882" s="355"/>
      <c r="G3882" s="355"/>
      <c r="H3882" s="355"/>
      <c r="I3882" s="355"/>
      <c r="J3882" s="355"/>
      <c r="K3882" s="355"/>
      <c r="L3882" s="355"/>
      <c r="M3882" s="355"/>
    </row>
    <row r="3883" spans="5:13" ht="31.5">
      <c r="E3883" s="355"/>
      <c r="F3883" s="355"/>
      <c r="G3883" s="355"/>
      <c r="H3883" s="353" t="s">
        <v>2913</v>
      </c>
      <c r="I3883" s="355"/>
      <c r="J3883" s="355"/>
      <c r="K3883" s="355"/>
      <c r="L3883" s="355"/>
      <c r="M3883" s="355"/>
    </row>
    <row r="3884" spans="5:13" ht="189" customHeight="1">
      <c r="E3884" s="355"/>
      <c r="F3884" s="355"/>
      <c r="G3884" s="355"/>
      <c r="H3884" s="354" t="s">
        <v>2909</v>
      </c>
      <c r="I3884" s="355"/>
      <c r="J3884" s="355"/>
      <c r="K3884" s="355"/>
      <c r="L3884" s="355"/>
      <c r="M3884" s="355"/>
    </row>
    <row r="3885" spans="5:13" ht="31.5">
      <c r="E3885" s="355"/>
      <c r="F3885" s="355">
        <v>90</v>
      </c>
      <c r="G3885" s="355" t="s">
        <v>794</v>
      </c>
      <c r="H3885" s="276" t="s">
        <v>2463</v>
      </c>
      <c r="I3885" s="355">
        <f>I3049</f>
        <v>15.5</v>
      </c>
      <c r="J3885" s="355" t="s">
        <v>2464</v>
      </c>
      <c r="K3885" s="355">
        <f t="shared" ref="K3885:K3895" si="106">F3885*I3885</f>
        <v>1395</v>
      </c>
      <c r="L3885" s="355"/>
      <c r="M3885" s="355"/>
    </row>
    <row r="3886" spans="5:13" ht="31.5">
      <c r="E3886" s="355"/>
      <c r="F3886" s="355">
        <v>30</v>
      </c>
      <c r="G3886" s="355" t="s">
        <v>794</v>
      </c>
      <c r="H3886" s="354" t="s">
        <v>2279</v>
      </c>
      <c r="I3886" s="355">
        <f>I3050</f>
        <v>19.100000000000001</v>
      </c>
      <c r="J3886" s="355" t="s">
        <v>794</v>
      </c>
      <c r="K3886" s="355">
        <f t="shared" si="106"/>
        <v>573</v>
      </c>
      <c r="L3886" s="355"/>
      <c r="M3886" s="355"/>
    </row>
    <row r="3887" spans="5:13">
      <c r="E3887" s="355"/>
      <c r="F3887" s="355">
        <v>10</v>
      </c>
      <c r="G3887" s="355" t="s">
        <v>1337</v>
      </c>
      <c r="H3887" s="355" t="s">
        <v>2281</v>
      </c>
      <c r="I3887" s="355">
        <f>I3051</f>
        <v>3</v>
      </c>
      <c r="J3887" s="355" t="s">
        <v>1337</v>
      </c>
      <c r="K3887" s="355">
        <f t="shared" si="106"/>
        <v>30</v>
      </c>
      <c r="L3887" s="355"/>
      <c r="M3887" s="355"/>
    </row>
    <row r="3888" spans="5:13">
      <c r="E3888" s="355"/>
      <c r="F3888" s="355">
        <v>5</v>
      </c>
      <c r="G3888" s="355" t="s">
        <v>1337</v>
      </c>
      <c r="H3888" s="355" t="s">
        <v>3323</v>
      </c>
      <c r="I3888" s="355">
        <f>I3052</f>
        <v>1.28</v>
      </c>
      <c r="J3888" s="355" t="s">
        <v>1337</v>
      </c>
      <c r="K3888" s="355">
        <f t="shared" si="106"/>
        <v>6.4</v>
      </c>
      <c r="L3888" s="355"/>
      <c r="M3888" s="355"/>
    </row>
    <row r="3889" spans="5:13">
      <c r="E3889" s="355"/>
      <c r="F3889" s="355">
        <v>10</v>
      </c>
      <c r="G3889" s="355" t="s">
        <v>1337</v>
      </c>
      <c r="H3889" s="355" t="s">
        <v>2366</v>
      </c>
      <c r="I3889" s="355">
        <f>I3053</f>
        <v>19.920000000000002</v>
      </c>
      <c r="J3889" s="355" t="s">
        <v>1337</v>
      </c>
      <c r="K3889" s="355">
        <f t="shared" si="106"/>
        <v>199.2</v>
      </c>
      <c r="L3889" s="355"/>
      <c r="M3889" s="355"/>
    </row>
    <row r="3890" spans="5:13">
      <c r="E3890" s="355"/>
      <c r="F3890" s="355">
        <v>5</v>
      </c>
      <c r="G3890" s="355" t="s">
        <v>1337</v>
      </c>
      <c r="H3890" s="355" t="s">
        <v>2910</v>
      </c>
      <c r="I3890" s="355">
        <v>2.5</v>
      </c>
      <c r="J3890" s="355" t="s">
        <v>1341</v>
      </c>
      <c r="K3890" s="355">
        <f t="shared" si="106"/>
        <v>12.5</v>
      </c>
      <c r="L3890" s="355"/>
      <c r="M3890" s="355"/>
    </row>
    <row r="3891" spans="5:13">
      <c r="E3891" s="355"/>
      <c r="F3891" s="355">
        <v>5</v>
      </c>
      <c r="G3891" s="355" t="s">
        <v>1337</v>
      </c>
      <c r="H3891" s="355" t="s">
        <v>2553</v>
      </c>
      <c r="I3891" s="355">
        <f>I3054</f>
        <v>13.6</v>
      </c>
      <c r="J3891" s="355" t="s">
        <v>1337</v>
      </c>
      <c r="K3891" s="355">
        <f t="shared" si="106"/>
        <v>68</v>
      </c>
      <c r="L3891" s="355"/>
      <c r="M3891" s="355"/>
    </row>
    <row r="3892" spans="5:13">
      <c r="E3892" s="355"/>
      <c r="F3892" s="358">
        <v>0.09</v>
      </c>
      <c r="G3892" s="355" t="s">
        <v>2199</v>
      </c>
      <c r="H3892" s="355" t="s">
        <v>2476</v>
      </c>
      <c r="I3892" s="355">
        <f>I3057</f>
        <v>630</v>
      </c>
      <c r="J3892" s="355" t="s">
        <v>2199</v>
      </c>
      <c r="K3892" s="355">
        <f t="shared" si="106"/>
        <v>56.7</v>
      </c>
      <c r="L3892" s="355"/>
      <c r="M3892" s="355"/>
    </row>
    <row r="3893" spans="5:13">
      <c r="E3893" s="355"/>
      <c r="F3893" s="355">
        <v>1</v>
      </c>
      <c r="G3893" s="355" t="s">
        <v>2557</v>
      </c>
      <c r="H3893" s="355" t="s">
        <v>364</v>
      </c>
      <c r="I3893" s="425">
        <f>6850/20</f>
        <v>342.5</v>
      </c>
      <c r="J3893" s="355" t="s">
        <v>2557</v>
      </c>
      <c r="K3893" s="355">
        <f t="shared" si="106"/>
        <v>342.5</v>
      </c>
      <c r="L3893" s="355"/>
      <c r="M3893" s="355">
        <f>1000/50</f>
        <v>20</v>
      </c>
    </row>
    <row r="3894" spans="5:13">
      <c r="E3894" s="355"/>
      <c r="F3894" s="355">
        <v>6</v>
      </c>
      <c r="G3894" s="355" t="s">
        <v>1337</v>
      </c>
      <c r="H3894" s="355" t="s">
        <v>2911</v>
      </c>
      <c r="I3894" s="425">
        <v>20.100000000000001</v>
      </c>
      <c r="J3894" s="355" t="s">
        <v>1341</v>
      </c>
      <c r="K3894" s="355">
        <f t="shared" si="106"/>
        <v>120.6</v>
      </c>
      <c r="L3894" s="355"/>
      <c r="M3894" s="355"/>
    </row>
    <row r="3895" spans="5:13" ht="31.5">
      <c r="E3895" s="355"/>
      <c r="F3895" s="355">
        <v>30</v>
      </c>
      <c r="G3895" s="355" t="s">
        <v>794</v>
      </c>
      <c r="H3895" s="276" t="s">
        <v>2563</v>
      </c>
      <c r="I3895" s="355">
        <f>I3885</f>
        <v>15.5</v>
      </c>
      <c r="J3895" s="355" t="s">
        <v>2464</v>
      </c>
      <c r="K3895" s="355">
        <f t="shared" si="106"/>
        <v>465</v>
      </c>
      <c r="L3895" s="355"/>
      <c r="M3895" s="355"/>
    </row>
    <row r="3896" spans="5:13">
      <c r="E3896" s="355"/>
      <c r="F3896" s="355"/>
      <c r="G3896" s="355"/>
      <c r="H3896" s="355" t="s">
        <v>878</v>
      </c>
      <c r="I3896" s="355"/>
      <c r="J3896" s="355"/>
      <c r="K3896" s="355">
        <f>K3829</f>
        <v>6589</v>
      </c>
      <c r="L3896" s="355"/>
      <c r="M3896" s="355"/>
    </row>
    <row r="3897" spans="5:13">
      <c r="E3897" s="355"/>
      <c r="F3897" s="355"/>
      <c r="G3897" s="355"/>
      <c r="H3897" s="355" t="s">
        <v>2187</v>
      </c>
      <c r="I3897" s="355"/>
      <c r="J3897" s="355"/>
      <c r="K3897" s="355">
        <v>8.3000000000000007</v>
      </c>
      <c r="L3897" s="355"/>
      <c r="M3897" s="355"/>
    </row>
    <row r="3898" spans="5:13">
      <c r="E3898" s="355"/>
      <c r="F3898" s="355"/>
      <c r="G3898" s="355"/>
      <c r="H3898" s="360" t="s">
        <v>2477</v>
      </c>
      <c r="I3898" s="355"/>
      <c r="J3898" s="355"/>
      <c r="K3898" s="361">
        <f>SUM(K3885:K3897)</f>
        <v>9866.2000000000007</v>
      </c>
      <c r="L3898" s="355"/>
      <c r="M3898" s="355"/>
    </row>
    <row r="3899" spans="5:13">
      <c r="E3899" s="355"/>
      <c r="F3899" s="355"/>
      <c r="G3899" s="355"/>
      <c r="H3899" s="362" t="s">
        <v>3096</v>
      </c>
      <c r="I3899" s="355"/>
      <c r="J3899" s="355"/>
      <c r="K3899" s="363">
        <f>K3898/5</f>
        <v>1973.24</v>
      </c>
      <c r="L3899" s="355"/>
      <c r="M3899" s="355"/>
    </row>
    <row r="3900" spans="5:13">
      <c r="E3900" s="355"/>
      <c r="F3900" s="355"/>
      <c r="G3900" s="355"/>
      <c r="H3900" s="363"/>
      <c r="I3900" s="355"/>
      <c r="J3900" s="355"/>
      <c r="K3900" s="355"/>
      <c r="L3900" s="355"/>
      <c r="M3900" s="355"/>
    </row>
    <row r="3901" spans="5:13">
      <c r="E3901" s="355"/>
      <c r="F3901" s="355"/>
      <c r="G3901" s="355"/>
      <c r="H3901" s="363" t="s">
        <v>1462</v>
      </c>
      <c r="I3901" s="355"/>
      <c r="J3901" s="355"/>
      <c r="K3901" s="355"/>
      <c r="L3901" s="355"/>
      <c r="M3901" s="355"/>
    </row>
    <row r="3902" spans="5:13">
      <c r="E3902" s="355"/>
      <c r="F3902" s="355"/>
      <c r="G3902" s="355"/>
      <c r="H3902" s="355"/>
      <c r="I3902" s="355"/>
      <c r="J3902" s="355"/>
      <c r="K3902" s="355"/>
      <c r="L3902" s="355"/>
      <c r="M3902" s="355"/>
    </row>
    <row r="3903" spans="5:13" ht="157.5">
      <c r="E3903" s="355"/>
      <c r="F3903" s="355"/>
      <c r="G3903" s="355"/>
      <c r="H3903" s="354" t="s">
        <v>2647</v>
      </c>
      <c r="I3903" s="355"/>
      <c r="J3903" s="355"/>
      <c r="K3903" s="355"/>
      <c r="L3903" s="355"/>
      <c r="M3903" s="355"/>
    </row>
    <row r="3904" spans="5:13" ht="31.5">
      <c r="E3904" s="355"/>
      <c r="F3904" s="355">
        <v>90</v>
      </c>
      <c r="G3904" s="355" t="s">
        <v>794</v>
      </c>
      <c r="H3904" s="276" t="s">
        <v>2463</v>
      </c>
      <c r="I3904" s="355">
        <f t="shared" ref="I3904:I3914" si="107">I2951</f>
        <v>15.5</v>
      </c>
      <c r="J3904" s="355" t="s">
        <v>3239</v>
      </c>
      <c r="K3904" s="355">
        <f t="shared" ref="K3904:K3914" si="108">F3904*I3904</f>
        <v>1395</v>
      </c>
      <c r="L3904" s="355"/>
      <c r="M3904" s="355"/>
    </row>
    <row r="3905" spans="5:13" ht="31.5">
      <c r="E3905" s="355"/>
      <c r="F3905" s="355">
        <v>45</v>
      </c>
      <c r="G3905" s="355" t="s">
        <v>794</v>
      </c>
      <c r="H3905" s="354" t="s">
        <v>2279</v>
      </c>
      <c r="I3905" s="355">
        <f t="shared" si="107"/>
        <v>19.100000000000001</v>
      </c>
      <c r="J3905" s="355" t="s">
        <v>794</v>
      </c>
      <c r="K3905" s="355">
        <f t="shared" si="108"/>
        <v>859.5</v>
      </c>
      <c r="L3905" s="355"/>
      <c r="M3905" s="355"/>
    </row>
    <row r="3906" spans="5:13">
      <c r="E3906" s="355"/>
      <c r="F3906" s="355">
        <v>20</v>
      </c>
      <c r="G3906" s="355" t="s">
        <v>1337</v>
      </c>
      <c r="H3906" s="355" t="s">
        <v>2281</v>
      </c>
      <c r="I3906" s="355">
        <f t="shared" si="107"/>
        <v>3</v>
      </c>
      <c r="J3906" s="355" t="s">
        <v>3326</v>
      </c>
      <c r="K3906" s="355">
        <f t="shared" si="108"/>
        <v>60</v>
      </c>
      <c r="L3906" s="355"/>
      <c r="M3906" s="355"/>
    </row>
    <row r="3907" spans="5:13">
      <c r="E3907" s="355"/>
      <c r="F3907" s="355">
        <v>10</v>
      </c>
      <c r="G3907" s="355" t="s">
        <v>1337</v>
      </c>
      <c r="H3907" s="355" t="s">
        <v>3323</v>
      </c>
      <c r="I3907" s="355">
        <f t="shared" si="107"/>
        <v>1.28</v>
      </c>
      <c r="J3907" s="355" t="s">
        <v>3326</v>
      </c>
      <c r="K3907" s="355">
        <f t="shared" si="108"/>
        <v>12.8</v>
      </c>
      <c r="L3907" s="355"/>
      <c r="M3907" s="355"/>
    </row>
    <row r="3908" spans="5:13" s="428" customFormat="1">
      <c r="E3908" s="427"/>
      <c r="F3908" s="824">
        <v>1</v>
      </c>
      <c r="G3908" s="824" t="s">
        <v>1337</v>
      </c>
      <c r="H3908" s="363" t="s">
        <v>3755</v>
      </c>
      <c r="I3908" s="824">
        <f>I2955</f>
        <v>58</v>
      </c>
      <c r="J3908" s="824" t="s">
        <v>1337</v>
      </c>
      <c r="K3908" s="824">
        <f t="shared" si="108"/>
        <v>58</v>
      </c>
      <c r="L3908" s="427"/>
      <c r="M3908" s="427"/>
    </row>
    <row r="3909" spans="5:13">
      <c r="E3909" s="355"/>
      <c r="F3909" s="358">
        <v>1.4999999999999999E-2</v>
      </c>
      <c r="G3909" s="355" t="s">
        <v>2199</v>
      </c>
      <c r="H3909" s="355" t="s">
        <v>2476</v>
      </c>
      <c r="I3909" s="355">
        <f t="shared" si="107"/>
        <v>630</v>
      </c>
      <c r="J3909" s="355" t="s">
        <v>2199</v>
      </c>
      <c r="K3909" s="355">
        <f t="shared" si="108"/>
        <v>9.4499999999999993</v>
      </c>
      <c r="L3909" s="355"/>
      <c r="M3909" s="355"/>
    </row>
    <row r="3910" spans="5:13">
      <c r="E3910" s="355"/>
      <c r="F3910" s="355">
        <v>15</v>
      </c>
      <c r="G3910" s="355" t="s">
        <v>1337</v>
      </c>
      <c r="H3910" s="355" t="s">
        <v>2648</v>
      </c>
      <c r="I3910" s="355">
        <f t="shared" si="107"/>
        <v>39.950000000000003</v>
      </c>
      <c r="J3910" s="355" t="s">
        <v>1337</v>
      </c>
      <c r="K3910" s="355">
        <f t="shared" si="108"/>
        <v>599.25</v>
      </c>
      <c r="L3910" s="355"/>
      <c r="M3910" s="355"/>
    </row>
    <row r="3911" spans="5:13">
      <c r="E3911" s="355"/>
      <c r="F3911" s="425">
        <v>15</v>
      </c>
      <c r="G3911" s="425" t="s">
        <v>1337</v>
      </c>
      <c r="H3911" s="425" t="str">
        <f>H3908</f>
        <v>6" PVC Electrical Box (150mm)</v>
      </c>
      <c r="I3911" s="825">
        <f>I3908</f>
        <v>58</v>
      </c>
      <c r="J3911" s="425" t="s">
        <v>1337</v>
      </c>
      <c r="K3911" s="425">
        <f t="shared" si="108"/>
        <v>870</v>
      </c>
      <c r="L3911" s="355"/>
      <c r="M3911" s="355"/>
    </row>
    <row r="3912" spans="5:13">
      <c r="E3912" s="355"/>
      <c r="F3912" s="358">
        <v>0.22500000000000001</v>
      </c>
      <c r="G3912" s="355" t="s">
        <v>2199</v>
      </c>
      <c r="H3912" s="355" t="s">
        <v>2476</v>
      </c>
      <c r="I3912" s="355">
        <f t="shared" si="107"/>
        <v>630</v>
      </c>
      <c r="J3912" s="355" t="s">
        <v>2649</v>
      </c>
      <c r="K3912" s="355">
        <f t="shared" si="108"/>
        <v>141.75</v>
      </c>
      <c r="L3912" s="355"/>
      <c r="M3912" s="355"/>
    </row>
    <row r="3913" spans="5:13">
      <c r="E3913" s="355"/>
      <c r="F3913" s="355">
        <v>1.25</v>
      </c>
      <c r="G3913" s="355" t="s">
        <v>2557</v>
      </c>
      <c r="H3913" s="355" t="s">
        <v>364</v>
      </c>
      <c r="I3913" s="355">
        <f t="shared" si="107"/>
        <v>298</v>
      </c>
      <c r="J3913" s="355" t="s">
        <v>2557</v>
      </c>
      <c r="K3913" s="355">
        <f t="shared" si="108"/>
        <v>372.5</v>
      </c>
      <c r="L3913" s="355"/>
      <c r="M3913" s="355"/>
    </row>
    <row r="3914" spans="5:13" ht="31.5">
      <c r="E3914" s="355"/>
      <c r="F3914" s="355">
        <v>45</v>
      </c>
      <c r="G3914" s="355" t="s">
        <v>2199</v>
      </c>
      <c r="H3914" s="276" t="s">
        <v>2563</v>
      </c>
      <c r="I3914" s="355">
        <f t="shared" si="107"/>
        <v>15.5</v>
      </c>
      <c r="J3914" s="355" t="s">
        <v>3239</v>
      </c>
      <c r="K3914" s="355">
        <f t="shared" si="108"/>
        <v>697.5</v>
      </c>
      <c r="L3914" s="355"/>
      <c r="M3914" s="355"/>
    </row>
    <row r="3915" spans="5:13">
      <c r="E3915" s="355"/>
      <c r="F3915" s="355"/>
      <c r="G3915" s="355"/>
      <c r="H3915" s="355" t="s">
        <v>878</v>
      </c>
      <c r="I3915" s="355"/>
      <c r="J3915" s="355"/>
      <c r="K3915" s="355">
        <f>K3831</f>
        <v>4392.67</v>
      </c>
      <c r="L3915" s="355"/>
      <c r="M3915" s="355"/>
    </row>
    <row r="3916" spans="5:13">
      <c r="E3916" s="355"/>
      <c r="F3916" s="355"/>
      <c r="G3916" s="355"/>
      <c r="H3916" s="355" t="s">
        <v>2187</v>
      </c>
      <c r="I3916" s="355"/>
      <c r="J3916" s="355"/>
      <c r="K3916" s="355">
        <v>30.66</v>
      </c>
      <c r="L3916" s="355"/>
      <c r="M3916" s="355"/>
    </row>
    <row r="3917" spans="5:13">
      <c r="E3917" s="355"/>
      <c r="F3917" s="355"/>
      <c r="G3917" s="355"/>
      <c r="H3917" s="360" t="s">
        <v>2650</v>
      </c>
      <c r="I3917" s="355"/>
      <c r="J3917" s="355"/>
      <c r="K3917" s="361">
        <f>SUM(K3904:K3916)</f>
        <v>9499.08</v>
      </c>
      <c r="L3917" s="355"/>
      <c r="M3917" s="355"/>
    </row>
    <row r="3918" spans="5:13">
      <c r="E3918" s="355"/>
      <c r="F3918" s="355"/>
      <c r="G3918" s="355"/>
      <c r="H3918" s="362" t="s">
        <v>3096</v>
      </c>
      <c r="I3918" s="355"/>
      <c r="J3918" s="355"/>
      <c r="K3918" s="363">
        <f>K3917/15</f>
        <v>633.27</v>
      </c>
      <c r="L3918" s="355">
        <f>537*15</f>
        <v>8055</v>
      </c>
      <c r="M3918" s="355"/>
    </row>
    <row r="3919" spans="5:13">
      <c r="E3919" s="355"/>
      <c r="F3919" s="355"/>
      <c r="G3919" s="355"/>
      <c r="H3919" s="363" t="s">
        <v>878</v>
      </c>
      <c r="I3919" s="355"/>
      <c r="J3919" s="355"/>
      <c r="K3919" s="363"/>
      <c r="L3919" s="355">
        <f>L3918-K3917</f>
        <v>-1444.08</v>
      </c>
      <c r="M3919" s="355"/>
    </row>
    <row r="3920" spans="5:13">
      <c r="E3920" s="355"/>
      <c r="F3920" s="355">
        <v>1</v>
      </c>
      <c r="G3920" s="355" t="s">
        <v>1337</v>
      </c>
      <c r="H3920" s="355" t="s">
        <v>3248</v>
      </c>
      <c r="I3920" s="355">
        <f>I2866</f>
        <v>817</v>
      </c>
      <c r="J3920" s="355" t="s">
        <v>1337</v>
      </c>
      <c r="K3920" s="355">
        <f>F3920*I3920</f>
        <v>817</v>
      </c>
      <c r="L3920" s="355"/>
      <c r="M3920" s="355"/>
    </row>
    <row r="3921" spans="5:13">
      <c r="E3921" s="355"/>
      <c r="F3921" s="355">
        <v>2</v>
      </c>
      <c r="G3921" s="355" t="s">
        <v>1337</v>
      </c>
      <c r="H3921" s="355" t="s">
        <v>3249</v>
      </c>
      <c r="I3921" s="355">
        <f>I2867</f>
        <v>712</v>
      </c>
      <c r="J3921" s="355" t="s">
        <v>1337</v>
      </c>
      <c r="K3921" s="355">
        <f>F3921*I3921</f>
        <v>1424</v>
      </c>
      <c r="L3921" s="355"/>
      <c r="M3921" s="355"/>
    </row>
    <row r="3922" spans="5:13">
      <c r="E3922" s="355"/>
      <c r="F3922" s="355">
        <v>3</v>
      </c>
      <c r="G3922" s="355" t="s">
        <v>1337</v>
      </c>
      <c r="H3922" s="355" t="s">
        <v>3250</v>
      </c>
      <c r="I3922" s="355">
        <f>I2868</f>
        <v>708</v>
      </c>
      <c r="J3922" s="355" t="s">
        <v>1337</v>
      </c>
      <c r="K3922" s="355">
        <f>F3922*I3922</f>
        <v>2124</v>
      </c>
      <c r="L3922" s="355"/>
      <c r="M3922" s="355"/>
    </row>
    <row r="3923" spans="5:13">
      <c r="E3923" s="355"/>
      <c r="F3923" s="355">
        <v>4</v>
      </c>
      <c r="G3923" s="355" t="s">
        <v>1337</v>
      </c>
      <c r="H3923" s="355" t="s">
        <v>2246</v>
      </c>
      <c r="I3923" s="355">
        <f>I2869</f>
        <v>556</v>
      </c>
      <c r="J3923" s="355" t="s">
        <v>1337</v>
      </c>
      <c r="K3923" s="355">
        <f>F3923*I3923</f>
        <v>2224</v>
      </c>
      <c r="L3923" s="355"/>
      <c r="M3923" s="355"/>
    </row>
    <row r="3924" spans="5:13">
      <c r="E3924" s="355"/>
      <c r="F3924" s="355"/>
      <c r="G3924" s="355"/>
      <c r="H3924" s="362"/>
      <c r="I3924" s="355"/>
      <c r="J3924" s="355"/>
      <c r="K3924" s="363">
        <f>SUM(K3920:K3923)</f>
        <v>6589</v>
      </c>
      <c r="L3924" s="355"/>
      <c r="M3924" s="355"/>
    </row>
    <row r="3925" spans="5:13">
      <c r="E3925" s="355"/>
      <c r="F3925" s="355"/>
      <c r="G3925" s="355"/>
      <c r="H3925" s="362"/>
      <c r="I3925" s="355"/>
      <c r="J3925" s="355"/>
      <c r="K3925" s="363"/>
      <c r="L3925" s="355"/>
      <c r="M3925" s="355"/>
    </row>
    <row r="3926" spans="5:13">
      <c r="E3926" s="355"/>
      <c r="F3926" s="355"/>
      <c r="G3926" s="355"/>
      <c r="H3926" s="362"/>
      <c r="I3926" s="355"/>
      <c r="J3926" s="355"/>
      <c r="K3926" s="363"/>
      <c r="L3926" s="355"/>
      <c r="M3926" s="355"/>
    </row>
    <row r="3927" spans="5:13">
      <c r="E3927" s="355"/>
      <c r="F3927" s="355"/>
      <c r="G3927" s="355"/>
      <c r="H3927" s="363" t="s">
        <v>2306</v>
      </c>
      <c r="I3927" s="355"/>
      <c r="J3927" s="355"/>
      <c r="K3927" s="355"/>
      <c r="L3927" s="355"/>
      <c r="M3927" s="355"/>
    </row>
    <row r="3928" spans="5:13">
      <c r="E3928" s="355"/>
      <c r="F3928" s="355"/>
      <c r="G3928" s="355"/>
      <c r="H3928" s="355"/>
      <c r="I3928" s="355"/>
      <c r="J3928" s="355"/>
      <c r="K3928" s="355"/>
      <c r="L3928" s="355"/>
      <c r="M3928" s="355"/>
    </row>
    <row r="3929" spans="5:13" ht="110.25">
      <c r="E3929" s="355"/>
      <c r="F3929" s="355"/>
      <c r="G3929" s="355"/>
      <c r="H3929" s="354" t="s">
        <v>3466</v>
      </c>
      <c r="I3929" s="355"/>
      <c r="J3929" s="355"/>
      <c r="K3929" s="355"/>
      <c r="L3929" s="355"/>
      <c r="M3929" s="355"/>
    </row>
    <row r="3930" spans="5:13">
      <c r="E3930" s="355"/>
      <c r="F3930" s="355"/>
      <c r="G3930" s="355"/>
      <c r="H3930" s="355"/>
      <c r="I3930" s="355"/>
      <c r="J3930" s="355"/>
      <c r="K3930" s="355"/>
      <c r="L3930" s="355"/>
      <c r="M3930" s="355"/>
    </row>
    <row r="3931" spans="5:13" ht="31.5">
      <c r="E3931" s="355"/>
      <c r="F3931" s="355">
        <v>180</v>
      </c>
      <c r="G3931" s="355" t="s">
        <v>794</v>
      </c>
      <c r="H3931" s="276" t="s">
        <v>2463</v>
      </c>
      <c r="I3931" s="355">
        <f>I3072</f>
        <v>15.5</v>
      </c>
      <c r="J3931" s="355" t="s">
        <v>794</v>
      </c>
      <c r="K3931" s="355">
        <f>I3931*F3931</f>
        <v>2790</v>
      </c>
      <c r="L3931" s="355"/>
      <c r="M3931" s="355"/>
    </row>
    <row r="3932" spans="5:13" ht="31.5">
      <c r="E3932" s="355"/>
      <c r="F3932" s="355">
        <v>90</v>
      </c>
      <c r="G3932" s="355" t="s">
        <v>794</v>
      </c>
      <c r="H3932" s="354" t="s">
        <v>2279</v>
      </c>
      <c r="I3932" s="355">
        <f>I3073</f>
        <v>19.100000000000001</v>
      </c>
      <c r="J3932" s="355" t="s">
        <v>794</v>
      </c>
      <c r="K3932" s="355">
        <f>I3932*F3932</f>
        <v>1719</v>
      </c>
      <c r="L3932" s="355"/>
      <c r="M3932" s="355"/>
    </row>
    <row r="3933" spans="5:13">
      <c r="E3933" s="355"/>
      <c r="F3933" s="355">
        <v>1</v>
      </c>
      <c r="G3933" s="355" t="s">
        <v>3064</v>
      </c>
      <c r="H3933" s="354" t="s">
        <v>3065</v>
      </c>
      <c r="I3933" s="425">
        <f>Elec.Data!I3942</f>
        <v>39</v>
      </c>
      <c r="J3933" s="355" t="s">
        <v>3064</v>
      </c>
      <c r="K3933" s="355">
        <f>I3933*F3933</f>
        <v>39</v>
      </c>
      <c r="L3933" s="355"/>
      <c r="M3933" s="355"/>
    </row>
    <row r="3934" spans="5:13">
      <c r="E3934" s="355"/>
      <c r="F3934" s="355">
        <v>300</v>
      </c>
      <c r="G3934" s="355" t="s">
        <v>1375</v>
      </c>
      <c r="H3934" s="354" t="s">
        <v>3066</v>
      </c>
      <c r="I3934" s="425">
        <f>Elec.Data!I3943</f>
        <v>287</v>
      </c>
      <c r="J3934" s="355" t="s">
        <v>3068</v>
      </c>
      <c r="K3934" s="355">
        <f>(I3934*F3934)/1000</f>
        <v>86.1</v>
      </c>
      <c r="L3934" s="355"/>
      <c r="M3934" s="355"/>
    </row>
    <row r="3935" spans="5:13">
      <c r="E3935" s="355"/>
      <c r="F3935" s="355">
        <v>2</v>
      </c>
      <c r="G3935" s="355" t="s">
        <v>2561</v>
      </c>
      <c r="H3935" s="354" t="s">
        <v>3067</v>
      </c>
      <c r="I3935" s="355">
        <f>I3804</f>
        <v>84.1</v>
      </c>
      <c r="J3935" s="355" t="s">
        <v>3064</v>
      </c>
      <c r="K3935" s="355">
        <f>I3935*F3935</f>
        <v>168.2</v>
      </c>
      <c r="L3935" s="355"/>
      <c r="M3935" s="355"/>
    </row>
    <row r="3936" spans="5:13">
      <c r="E3936" s="355"/>
      <c r="F3936" s="355">
        <v>0.33</v>
      </c>
      <c r="G3936" s="355" t="s">
        <v>2557</v>
      </c>
      <c r="H3936" s="355" t="s">
        <v>364</v>
      </c>
      <c r="I3936" s="355">
        <f>I3074</f>
        <v>298</v>
      </c>
      <c r="J3936" s="355" t="s">
        <v>2557</v>
      </c>
      <c r="K3936" s="355">
        <f>I3936*F3936</f>
        <v>98.34</v>
      </c>
      <c r="L3936" s="355"/>
      <c r="M3936" s="355"/>
    </row>
    <row r="3937" spans="5:13" ht="31.5">
      <c r="E3937" s="355"/>
      <c r="F3937" s="355">
        <v>90</v>
      </c>
      <c r="G3937" s="355" t="s">
        <v>794</v>
      </c>
      <c r="H3937" s="276" t="s">
        <v>2563</v>
      </c>
      <c r="I3937" s="355">
        <f>I3075</f>
        <v>15.5</v>
      </c>
      <c r="J3937" s="355" t="s">
        <v>2464</v>
      </c>
      <c r="K3937" s="355">
        <f>I3937*F3937</f>
        <v>1395</v>
      </c>
      <c r="L3937" s="355"/>
      <c r="M3937" s="355"/>
    </row>
    <row r="3938" spans="5:13">
      <c r="E3938" s="355"/>
      <c r="F3938" s="403" t="s">
        <v>3071</v>
      </c>
      <c r="G3938" s="355"/>
      <c r="H3938" s="355" t="s">
        <v>878</v>
      </c>
      <c r="I3938" s="355">
        <f>K3924</f>
        <v>6589</v>
      </c>
      <c r="J3938" s="355"/>
      <c r="K3938" s="355">
        <f>2/3*I3938</f>
        <v>4392.67</v>
      </c>
      <c r="L3938" s="355"/>
      <c r="M3938" s="355"/>
    </row>
    <row r="3939" spans="5:13">
      <c r="E3939" s="355"/>
      <c r="F3939" s="355"/>
      <c r="G3939" s="355"/>
      <c r="H3939" s="355"/>
      <c r="I3939" s="355"/>
      <c r="J3939" s="355"/>
      <c r="K3939" s="355">
        <f>SUM(K3931:K3938)</f>
        <v>10688.31</v>
      </c>
      <c r="L3939" s="355"/>
      <c r="M3939" s="355"/>
    </row>
    <row r="3940" spans="5:13">
      <c r="E3940" s="355"/>
      <c r="F3940" s="355"/>
      <c r="G3940" s="355"/>
      <c r="H3940" s="355" t="s">
        <v>2187</v>
      </c>
      <c r="I3940" s="355"/>
      <c r="J3940" s="355"/>
      <c r="K3940" s="355">
        <v>52.28</v>
      </c>
      <c r="L3940" s="355"/>
      <c r="M3940" s="355"/>
    </row>
    <row r="3941" spans="5:13">
      <c r="E3941" s="355"/>
      <c r="F3941" s="355"/>
      <c r="G3941" s="355"/>
      <c r="H3941" s="360" t="s">
        <v>2308</v>
      </c>
      <c r="I3941" s="355"/>
      <c r="J3941" s="355"/>
      <c r="K3941" s="361">
        <f>SUM(K3939:K3940)</f>
        <v>10740.59</v>
      </c>
      <c r="L3941" s="355"/>
      <c r="M3941" s="355"/>
    </row>
    <row r="3942" spans="5:13">
      <c r="E3942" s="355"/>
      <c r="F3942" s="355"/>
      <c r="G3942" s="355"/>
      <c r="H3942" s="362" t="s">
        <v>2309</v>
      </c>
      <c r="I3942" s="355"/>
      <c r="J3942" s="355"/>
      <c r="K3942" s="363">
        <f>K3941/90</f>
        <v>119.34</v>
      </c>
      <c r="L3942" s="355"/>
      <c r="M3942" s="355"/>
    </row>
    <row r="3943" spans="5:13">
      <c r="E3943" s="355"/>
      <c r="F3943" s="355"/>
      <c r="G3943" s="355"/>
      <c r="H3943" s="355"/>
      <c r="I3943" s="355"/>
      <c r="J3943" s="355"/>
      <c r="K3943" s="355"/>
      <c r="L3943" s="355"/>
      <c r="M3943" s="355"/>
    </row>
    <row r="3944" spans="5:13">
      <c r="E3944" s="355"/>
      <c r="F3944" s="355"/>
      <c r="G3944" s="355"/>
      <c r="H3944" s="363" t="s">
        <v>3069</v>
      </c>
      <c r="I3944" s="355"/>
      <c r="J3944" s="355"/>
      <c r="K3944" s="355"/>
      <c r="L3944" s="355"/>
      <c r="M3944" s="355"/>
    </row>
    <row r="3945" spans="5:13">
      <c r="E3945" s="355"/>
      <c r="F3945" s="355"/>
      <c r="G3945" s="355"/>
      <c r="H3945" s="355"/>
      <c r="I3945" s="355"/>
      <c r="J3945" s="355"/>
      <c r="K3945" s="355"/>
      <c r="L3945" s="355"/>
      <c r="M3945" s="355"/>
    </row>
    <row r="3946" spans="5:13" ht="110.25">
      <c r="E3946" s="355"/>
      <c r="F3946" s="355"/>
      <c r="G3946" s="355"/>
      <c r="H3946" s="354" t="s">
        <v>2942</v>
      </c>
      <c r="I3946" s="355"/>
      <c r="J3946" s="355"/>
      <c r="K3946" s="355"/>
      <c r="L3946" s="355"/>
      <c r="M3946" s="355"/>
    </row>
    <row r="3947" spans="5:13">
      <c r="E3947" s="355"/>
      <c r="F3947" s="355"/>
      <c r="G3947" s="355"/>
      <c r="H3947" s="355"/>
      <c r="I3947" s="355"/>
      <c r="J3947" s="355"/>
      <c r="K3947" s="355"/>
      <c r="L3947" s="355"/>
      <c r="M3947" s="355"/>
    </row>
    <row r="3948" spans="5:13">
      <c r="E3948" s="355"/>
      <c r="F3948" s="355"/>
      <c r="G3948" s="355"/>
      <c r="H3948" s="355" t="s">
        <v>3070</v>
      </c>
      <c r="I3948" s="355"/>
      <c r="J3948" s="355"/>
      <c r="K3948" s="355">
        <f>K3941</f>
        <v>10740.59</v>
      </c>
      <c r="L3948" s="355"/>
      <c r="M3948" s="355"/>
    </row>
    <row r="3949" spans="5:13" ht="31.5">
      <c r="E3949" s="355"/>
      <c r="F3949" s="355">
        <v>180</v>
      </c>
      <c r="G3949" s="355" t="s">
        <v>794</v>
      </c>
      <c r="H3949" s="354" t="s">
        <v>3175</v>
      </c>
      <c r="I3949" s="355">
        <f>I3088</f>
        <v>20.3</v>
      </c>
      <c r="J3949" s="355" t="s">
        <v>794</v>
      </c>
      <c r="K3949" s="355">
        <f>F3949*I3949</f>
        <v>3654</v>
      </c>
      <c r="L3949" s="355"/>
      <c r="M3949" s="355"/>
    </row>
    <row r="3950" spans="5:13" ht="31.5">
      <c r="E3950" s="355"/>
      <c r="F3950" s="355">
        <v>180</v>
      </c>
      <c r="G3950" s="355" t="s">
        <v>794</v>
      </c>
      <c r="H3950" s="354" t="s">
        <v>2891</v>
      </c>
      <c r="I3950" s="355">
        <f>I3931</f>
        <v>15.5</v>
      </c>
      <c r="J3950" s="355" t="s">
        <v>2464</v>
      </c>
      <c r="K3950" s="355">
        <f>F3950*I3950</f>
        <v>2790</v>
      </c>
      <c r="L3950" s="355"/>
      <c r="M3950" s="355"/>
    </row>
    <row r="3951" spans="5:13">
      <c r="E3951" s="355"/>
      <c r="F3951" s="355"/>
      <c r="G3951" s="355"/>
      <c r="H3951" s="355" t="s">
        <v>2187</v>
      </c>
      <c r="I3951" s="355"/>
      <c r="J3951" s="355"/>
      <c r="K3951" s="355">
        <v>36</v>
      </c>
      <c r="L3951" s="355"/>
      <c r="M3951" s="355"/>
    </row>
    <row r="3952" spans="5:13">
      <c r="E3952" s="355"/>
      <c r="F3952" s="355"/>
      <c r="G3952" s="355"/>
      <c r="H3952" s="360" t="s">
        <v>2892</v>
      </c>
      <c r="I3952" s="355"/>
      <c r="J3952" s="355"/>
      <c r="K3952" s="361">
        <f>K3948+K3949-K3950+K3951</f>
        <v>11640.59</v>
      </c>
      <c r="L3952" s="355"/>
      <c r="M3952" s="355"/>
    </row>
    <row r="3953" spans="5:13">
      <c r="E3953" s="355"/>
      <c r="F3953" s="355"/>
      <c r="G3953" s="355"/>
      <c r="H3953" s="362" t="s">
        <v>2309</v>
      </c>
      <c r="I3953" s="355"/>
      <c r="J3953" s="355"/>
      <c r="K3953" s="363">
        <f>K3952/90</f>
        <v>129.34</v>
      </c>
      <c r="L3953" s="355"/>
      <c r="M3953" s="355"/>
    </row>
    <row r="3954" spans="5:13">
      <c r="E3954" s="355"/>
      <c r="F3954" s="355"/>
      <c r="G3954" s="355"/>
      <c r="H3954" s="355"/>
      <c r="I3954" s="355"/>
      <c r="J3954" s="355"/>
      <c r="K3954" s="355"/>
      <c r="L3954" s="355"/>
      <c r="M3954" s="355"/>
    </row>
    <row r="3955" spans="5:13">
      <c r="E3955" s="355"/>
      <c r="F3955" s="355"/>
      <c r="G3955" s="355"/>
      <c r="H3955" s="355"/>
      <c r="I3955" s="355"/>
      <c r="J3955" s="355"/>
      <c r="K3955" s="355"/>
      <c r="L3955" s="355"/>
      <c r="M3955" s="355"/>
    </row>
    <row r="3956" spans="5:13">
      <c r="E3956" s="355"/>
      <c r="F3956" s="355"/>
      <c r="G3956" s="355"/>
      <c r="H3956" s="363"/>
      <c r="I3956" s="355"/>
      <c r="J3956" s="355"/>
      <c r="K3956" s="355"/>
      <c r="L3956" s="355"/>
      <c r="M3956" s="355"/>
    </row>
    <row r="3957" spans="5:13">
      <c r="E3957" s="355"/>
      <c r="F3957" s="355"/>
      <c r="G3957" s="355"/>
      <c r="H3957" s="354"/>
      <c r="I3957" s="355"/>
      <c r="J3957" s="355"/>
      <c r="K3957" s="355"/>
      <c r="L3957" s="355"/>
      <c r="M3957" s="355"/>
    </row>
    <row r="3958" spans="5:13">
      <c r="E3958" s="355"/>
      <c r="F3958" s="355"/>
      <c r="G3958" s="355"/>
      <c r="H3958" s="276"/>
      <c r="I3958" s="355"/>
      <c r="J3958" s="355"/>
      <c r="K3958" s="355"/>
      <c r="L3958" s="355"/>
      <c r="M3958" s="355"/>
    </row>
    <row r="3959" spans="5:13">
      <c r="E3959" s="355"/>
      <c r="F3959" s="355"/>
      <c r="G3959" s="355"/>
      <c r="H3959" s="354"/>
      <c r="I3959" s="355"/>
      <c r="J3959" s="355"/>
      <c r="K3959" s="355"/>
      <c r="L3959" s="355"/>
      <c r="M3959" s="355"/>
    </row>
    <row r="3960" spans="5:13">
      <c r="E3960" s="355"/>
      <c r="F3960" s="355"/>
      <c r="G3960" s="355"/>
      <c r="H3960" s="355"/>
      <c r="I3960" s="355"/>
      <c r="J3960" s="355"/>
      <c r="K3960" s="355"/>
      <c r="L3960" s="355"/>
      <c r="M3960" s="355"/>
    </row>
    <row r="3961" spans="5:13">
      <c r="E3961" s="355"/>
      <c r="F3961" s="355"/>
      <c r="G3961" s="355"/>
      <c r="H3961" s="355"/>
      <c r="I3961" s="355"/>
      <c r="J3961" s="355"/>
      <c r="K3961" s="355"/>
      <c r="L3961" s="355"/>
      <c r="M3961" s="355"/>
    </row>
    <row r="3962" spans="5:13">
      <c r="E3962" s="355"/>
      <c r="F3962" s="355"/>
      <c r="G3962" s="355"/>
      <c r="H3962" s="355"/>
      <c r="I3962" s="355"/>
      <c r="J3962" s="355"/>
      <c r="K3962" s="355"/>
      <c r="L3962" s="355"/>
      <c r="M3962" s="355"/>
    </row>
    <row r="3963" spans="5:13">
      <c r="E3963" s="355"/>
      <c r="F3963" s="355"/>
      <c r="G3963" s="355"/>
      <c r="H3963" s="355"/>
      <c r="I3963" s="355"/>
      <c r="J3963" s="355"/>
      <c r="K3963" s="355"/>
      <c r="L3963" s="355"/>
      <c r="M3963" s="355"/>
    </row>
    <row r="3964" spans="5:13">
      <c r="E3964" s="355"/>
      <c r="F3964" s="355"/>
      <c r="G3964" s="355"/>
      <c r="H3964" s="355"/>
      <c r="I3964" s="355"/>
      <c r="J3964" s="355"/>
      <c r="K3964" s="355"/>
      <c r="L3964" s="355"/>
      <c r="M3964" s="355"/>
    </row>
    <row r="3965" spans="5:13">
      <c r="E3965" s="355"/>
      <c r="F3965" s="355"/>
      <c r="G3965" s="355"/>
      <c r="H3965" s="355"/>
      <c r="I3965" s="355"/>
      <c r="J3965" s="355"/>
      <c r="K3965" s="355"/>
      <c r="L3965" s="355"/>
      <c r="M3965" s="355"/>
    </row>
    <row r="3966" spans="5:13">
      <c r="E3966" s="355"/>
      <c r="F3966" s="355"/>
      <c r="G3966" s="355"/>
      <c r="H3966" s="355"/>
      <c r="I3966" s="355"/>
      <c r="J3966" s="355"/>
      <c r="K3966" s="355"/>
      <c r="L3966" s="355"/>
      <c r="M3966" s="355"/>
    </row>
    <row r="3967" spans="5:13">
      <c r="E3967" s="355"/>
      <c r="F3967" s="355"/>
      <c r="G3967" s="355"/>
      <c r="H3967" s="355"/>
      <c r="I3967" s="355"/>
      <c r="J3967" s="355"/>
      <c r="K3967" s="355"/>
      <c r="L3967" s="355"/>
      <c r="M3967" s="355"/>
    </row>
    <row r="3968" spans="5:13">
      <c r="E3968" s="355"/>
      <c r="F3968" s="355"/>
      <c r="G3968" s="355"/>
      <c r="H3968" s="276"/>
      <c r="I3968" s="355"/>
      <c r="J3968" s="355"/>
      <c r="K3968" s="355"/>
      <c r="L3968" s="355"/>
      <c r="M3968" s="355"/>
    </row>
    <row r="3969" spans="5:13">
      <c r="E3969" s="355"/>
      <c r="F3969" s="355"/>
      <c r="G3969" s="355"/>
      <c r="H3969" s="355"/>
      <c r="I3969" s="355"/>
      <c r="J3969" s="355"/>
      <c r="K3969" s="355"/>
      <c r="L3969" s="355"/>
      <c r="M3969" s="355"/>
    </row>
    <row r="3970" spans="5:13">
      <c r="E3970" s="355"/>
      <c r="F3970" s="355"/>
      <c r="G3970" s="355"/>
      <c r="H3970" s="355"/>
      <c r="I3970" s="355"/>
      <c r="J3970" s="355"/>
      <c r="K3970" s="364"/>
      <c r="L3970" s="355"/>
      <c r="M3970" s="355"/>
    </row>
    <row r="3971" spans="5:13">
      <c r="E3971" s="355"/>
      <c r="F3971" s="355"/>
      <c r="G3971" s="355"/>
      <c r="H3971" s="360"/>
      <c r="I3971" s="355"/>
      <c r="J3971" s="355"/>
      <c r="K3971" s="361"/>
      <c r="L3971" s="355"/>
      <c r="M3971" s="355"/>
    </row>
    <row r="3972" spans="5:13">
      <c r="E3972" s="355"/>
      <c r="F3972" s="355"/>
      <c r="G3972" s="355"/>
      <c r="H3972" s="362"/>
      <c r="I3972" s="355"/>
      <c r="J3972" s="355"/>
      <c r="K3972" s="363"/>
      <c r="L3972" s="355"/>
      <c r="M3972" s="355"/>
    </row>
    <row r="3973" spans="5:13">
      <c r="E3973" s="355"/>
      <c r="F3973" s="355"/>
      <c r="G3973" s="355"/>
      <c r="H3973" s="355"/>
      <c r="I3973" s="355"/>
      <c r="J3973" s="355"/>
      <c r="K3973" s="355"/>
      <c r="L3973" s="355"/>
      <c r="M3973" s="355"/>
    </row>
    <row r="3974" spans="5:13">
      <c r="E3974" s="355"/>
      <c r="F3974" s="355"/>
      <c r="G3974" s="355"/>
      <c r="H3974" s="355"/>
      <c r="I3974" s="355"/>
      <c r="J3974" s="355"/>
      <c r="K3974" s="355"/>
      <c r="L3974" s="355"/>
      <c r="M3974" s="355"/>
    </row>
    <row r="3975" spans="5:13">
      <c r="E3975" s="355"/>
      <c r="F3975" s="355"/>
      <c r="G3975" s="355"/>
      <c r="H3975" s="355"/>
      <c r="I3975" s="355"/>
      <c r="J3975" s="355"/>
      <c r="K3975" s="355"/>
      <c r="L3975" s="355"/>
      <c r="M3975" s="355"/>
    </row>
    <row r="3976" spans="5:13">
      <c r="E3976" s="355"/>
      <c r="F3976" s="355"/>
      <c r="G3976" s="355"/>
      <c r="H3976" s="355"/>
      <c r="I3976" s="355"/>
      <c r="J3976" s="355"/>
      <c r="K3976" s="355"/>
      <c r="L3976" s="355"/>
      <c r="M3976" s="355"/>
    </row>
    <row r="3977" spans="5:13">
      <c r="E3977" s="355"/>
      <c r="F3977" s="355"/>
      <c r="G3977" s="355"/>
      <c r="H3977" s="355"/>
      <c r="I3977" s="355"/>
      <c r="J3977" s="355"/>
      <c r="K3977" s="355"/>
      <c r="L3977" s="355"/>
      <c r="M3977" s="355"/>
    </row>
    <row r="3978" spans="5:13">
      <c r="E3978" s="355"/>
      <c r="F3978" s="355"/>
      <c r="G3978" s="355"/>
      <c r="H3978" s="355"/>
      <c r="I3978" s="355"/>
      <c r="J3978" s="355"/>
      <c r="K3978" s="355"/>
      <c r="L3978" s="355"/>
      <c r="M3978" s="355"/>
    </row>
    <row r="3979" spans="5:13">
      <c r="E3979" s="355"/>
      <c r="F3979" s="355"/>
      <c r="G3979" s="355"/>
      <c r="H3979" s="355"/>
      <c r="I3979" s="355"/>
      <c r="J3979" s="355"/>
      <c r="K3979" s="355"/>
      <c r="L3979" s="355"/>
      <c r="M3979" s="355"/>
    </row>
    <row r="3980" spans="5:13">
      <c r="E3980" s="355"/>
      <c r="F3980" s="355"/>
      <c r="G3980" s="355"/>
      <c r="H3980" s="355"/>
      <c r="I3980" s="355"/>
      <c r="J3980" s="355"/>
      <c r="K3980" s="355"/>
      <c r="L3980" s="355"/>
      <c r="M3980" s="355"/>
    </row>
    <row r="3981" spans="5:13">
      <c r="E3981" s="355"/>
      <c r="F3981" s="355"/>
      <c r="G3981" s="355"/>
      <c r="H3981" s="355"/>
      <c r="I3981" s="355"/>
      <c r="J3981" s="355"/>
      <c r="K3981" s="355"/>
      <c r="L3981" s="355"/>
      <c r="M3981" s="355"/>
    </row>
    <row r="3982" spans="5:13">
      <c r="E3982" s="355"/>
      <c r="F3982" s="355"/>
      <c r="G3982" s="355"/>
      <c r="H3982" s="355"/>
      <c r="I3982" s="355"/>
      <c r="J3982" s="355"/>
      <c r="K3982" s="355"/>
      <c r="L3982" s="355"/>
      <c r="M3982" s="355"/>
    </row>
    <row r="3983" spans="5:13">
      <c r="E3983" s="355"/>
      <c r="F3983" s="355"/>
      <c r="G3983" s="355"/>
      <c r="H3983" s="355"/>
      <c r="I3983" s="355"/>
      <c r="J3983" s="355"/>
      <c r="K3983" s="355"/>
      <c r="L3983" s="355"/>
      <c r="M3983" s="355"/>
    </row>
    <row r="3984" spans="5:13">
      <c r="E3984" s="355"/>
      <c r="F3984" s="355"/>
      <c r="G3984" s="355"/>
      <c r="H3984" s="355"/>
      <c r="I3984" s="355"/>
      <c r="J3984" s="355"/>
      <c r="K3984" s="355"/>
      <c r="L3984" s="355"/>
      <c r="M3984" s="355"/>
    </row>
    <row r="3985" spans="5:13">
      <c r="E3985" s="355"/>
      <c r="F3985" s="355"/>
      <c r="G3985" s="355"/>
      <c r="H3985" s="355"/>
      <c r="I3985" s="355"/>
      <c r="J3985" s="355"/>
      <c r="K3985" s="355"/>
      <c r="L3985" s="355"/>
      <c r="M3985" s="355"/>
    </row>
    <row r="3986" spans="5:13">
      <c r="E3986" s="355"/>
      <c r="F3986" s="355"/>
      <c r="G3986" s="355"/>
      <c r="H3986" s="355"/>
      <c r="I3986" s="355"/>
      <c r="J3986" s="355"/>
      <c r="K3986" s="355"/>
      <c r="L3986" s="355"/>
      <c r="M3986" s="355"/>
    </row>
    <row r="3987" spans="5:13">
      <c r="E3987" s="355"/>
      <c r="F3987" s="355"/>
      <c r="G3987" s="355"/>
      <c r="H3987" s="355"/>
      <c r="I3987" s="355"/>
      <c r="J3987" s="355"/>
      <c r="K3987" s="355"/>
      <c r="L3987" s="355"/>
      <c r="M3987" s="355"/>
    </row>
    <row r="3988" spans="5:13">
      <c r="E3988" s="355"/>
      <c r="F3988" s="355"/>
      <c r="G3988" s="355"/>
      <c r="H3988" s="355"/>
      <c r="I3988" s="355"/>
      <c r="J3988" s="355"/>
      <c r="K3988" s="355"/>
      <c r="L3988" s="355"/>
      <c r="M3988" s="355"/>
    </row>
    <row r="3989" spans="5:13">
      <c r="E3989" s="355"/>
      <c r="F3989" s="355"/>
      <c r="G3989" s="355"/>
      <c r="H3989" s="355"/>
      <c r="I3989" s="355"/>
      <c r="J3989" s="355"/>
      <c r="K3989" s="355"/>
      <c r="L3989" s="355"/>
      <c r="M3989" s="355"/>
    </row>
    <row r="3990" spans="5:13">
      <c r="E3990" s="355"/>
      <c r="F3990" s="355"/>
      <c r="G3990" s="355"/>
      <c r="H3990" s="355"/>
      <c r="I3990" s="355"/>
      <c r="J3990" s="355"/>
      <c r="K3990" s="355"/>
      <c r="L3990" s="355"/>
      <c r="M3990" s="355"/>
    </row>
    <row r="3991" spans="5:13">
      <c r="E3991" s="355"/>
      <c r="F3991" s="355"/>
      <c r="G3991" s="355"/>
      <c r="H3991" s="355"/>
      <c r="I3991" s="355"/>
      <c r="J3991" s="355"/>
      <c r="K3991" s="355"/>
      <c r="L3991" s="355"/>
      <c r="M3991" s="355"/>
    </row>
    <row r="3992" spans="5:13">
      <c r="E3992" s="355"/>
      <c r="F3992" s="355"/>
      <c r="G3992" s="355"/>
      <c r="H3992" s="355"/>
      <c r="I3992" s="355"/>
      <c r="J3992" s="355"/>
      <c r="K3992" s="355"/>
      <c r="L3992" s="355"/>
      <c r="M3992" s="355"/>
    </row>
    <row r="3993" spans="5:13">
      <c r="E3993" s="355"/>
      <c r="F3993" s="355"/>
      <c r="G3993" s="355"/>
      <c r="H3993" s="355"/>
      <c r="I3993" s="355"/>
      <c r="J3993" s="355"/>
      <c r="K3993" s="355"/>
      <c r="L3993" s="355"/>
      <c r="M3993" s="355"/>
    </row>
    <row r="3994" spans="5:13">
      <c r="E3994" s="355"/>
      <c r="F3994" s="355"/>
      <c r="G3994" s="355"/>
      <c r="H3994" s="355"/>
      <c r="I3994" s="355"/>
      <c r="J3994" s="355"/>
      <c r="K3994" s="355"/>
      <c r="L3994" s="355"/>
      <c r="M3994" s="355"/>
    </row>
    <row r="3995" spans="5:13">
      <c r="E3995" s="355"/>
      <c r="F3995" s="355"/>
      <c r="G3995" s="355"/>
      <c r="H3995" s="355"/>
      <c r="I3995" s="355"/>
      <c r="J3995" s="355"/>
      <c r="K3995" s="355"/>
      <c r="L3995" s="355"/>
      <c r="M3995" s="355"/>
    </row>
    <row r="3996" spans="5:13">
      <c r="E3996" s="355"/>
      <c r="F3996" s="355"/>
      <c r="G3996" s="355"/>
      <c r="H3996" s="355"/>
      <c r="I3996" s="355"/>
      <c r="J3996" s="355"/>
      <c r="K3996" s="355"/>
      <c r="L3996" s="355"/>
      <c r="M3996" s="355"/>
    </row>
    <row r="3997" spans="5:13">
      <c r="E3997" s="355"/>
      <c r="F3997" s="355"/>
      <c r="G3997" s="355"/>
      <c r="H3997" s="355"/>
      <c r="I3997" s="355"/>
      <c r="J3997" s="355"/>
      <c r="K3997" s="355"/>
      <c r="L3997" s="355"/>
      <c r="M3997" s="355"/>
    </row>
    <row r="3998" spans="5:13">
      <c r="E3998" s="355"/>
      <c r="F3998" s="355"/>
      <c r="G3998" s="355"/>
      <c r="H3998" s="355"/>
      <c r="I3998" s="355"/>
      <c r="J3998" s="355"/>
      <c r="K3998" s="355"/>
      <c r="L3998" s="355"/>
      <c r="M3998" s="355"/>
    </row>
    <row r="3999" spans="5:13">
      <c r="E3999" s="355"/>
      <c r="F3999" s="355"/>
      <c r="G3999" s="355"/>
      <c r="H3999" s="355"/>
      <c r="I3999" s="355"/>
      <c r="J3999" s="355"/>
      <c r="K3999" s="355"/>
      <c r="L3999" s="355"/>
      <c r="M3999" s="355"/>
    </row>
    <row r="4000" spans="5:13">
      <c r="E4000" s="355"/>
      <c r="F4000" s="355"/>
      <c r="G4000" s="355"/>
      <c r="H4000" s="355"/>
      <c r="I4000" s="355"/>
      <c r="J4000" s="355"/>
      <c r="K4000" s="355"/>
      <c r="L4000" s="355"/>
      <c r="M4000" s="355"/>
    </row>
    <row r="4001" spans="5:13">
      <c r="E4001" s="355"/>
      <c r="F4001" s="355"/>
      <c r="G4001" s="355"/>
      <c r="H4001" s="355"/>
      <c r="I4001" s="355"/>
      <c r="J4001" s="355"/>
      <c r="K4001" s="355"/>
      <c r="L4001" s="355"/>
      <c r="M4001" s="355"/>
    </row>
    <row r="4002" spans="5:13">
      <c r="E4002" s="355"/>
      <c r="F4002" s="355"/>
      <c r="G4002" s="355"/>
      <c r="H4002" s="355"/>
      <c r="I4002" s="355"/>
      <c r="J4002" s="355"/>
      <c r="K4002" s="355"/>
      <c r="L4002" s="355"/>
      <c r="M4002" s="355"/>
    </row>
    <row r="4003" spans="5:13">
      <c r="E4003" s="355"/>
      <c r="F4003" s="355"/>
      <c r="G4003" s="355"/>
      <c r="H4003" s="355"/>
      <c r="I4003" s="355"/>
      <c r="J4003" s="355"/>
      <c r="K4003" s="355"/>
      <c r="L4003" s="355"/>
      <c r="M4003" s="355"/>
    </row>
    <row r="4004" spans="5:13">
      <c r="E4004" s="355"/>
      <c r="F4004" s="355"/>
      <c r="G4004" s="355"/>
      <c r="H4004" s="355"/>
      <c r="I4004" s="355"/>
      <c r="J4004" s="355"/>
      <c r="K4004" s="355"/>
      <c r="L4004" s="355"/>
      <c r="M4004" s="355"/>
    </row>
    <row r="4005" spans="5:13">
      <c r="E4005" s="355"/>
      <c r="F4005" s="355"/>
      <c r="G4005" s="355"/>
      <c r="H4005" s="355"/>
      <c r="I4005" s="355"/>
      <c r="J4005" s="355"/>
      <c r="K4005" s="355"/>
      <c r="L4005" s="355"/>
      <c r="M4005" s="355"/>
    </row>
    <row r="4006" spans="5:13">
      <c r="E4006" s="355"/>
      <c r="F4006" s="355"/>
      <c r="G4006" s="355"/>
      <c r="H4006" s="355"/>
      <c r="I4006" s="355"/>
      <c r="J4006" s="355"/>
      <c r="K4006" s="355"/>
      <c r="L4006" s="355"/>
      <c r="M4006" s="355"/>
    </row>
    <row r="4007" spans="5:13">
      <c r="E4007" s="355"/>
      <c r="F4007" s="355"/>
      <c r="G4007" s="355"/>
      <c r="H4007" s="355"/>
      <c r="I4007" s="355"/>
      <c r="J4007" s="355"/>
      <c r="K4007" s="355"/>
      <c r="L4007" s="355"/>
      <c r="M4007" s="355"/>
    </row>
    <row r="4008" spans="5:13">
      <c r="E4008" s="355"/>
      <c r="F4008" s="355"/>
      <c r="G4008" s="355"/>
      <c r="H4008" s="355"/>
      <c r="I4008" s="355"/>
      <c r="J4008" s="355"/>
      <c r="K4008" s="355"/>
      <c r="L4008" s="355"/>
      <c r="M4008" s="355"/>
    </row>
    <row r="4009" spans="5:13">
      <c r="E4009" s="355"/>
      <c r="F4009" s="355"/>
      <c r="G4009" s="355"/>
      <c r="H4009" s="355"/>
      <c r="I4009" s="355"/>
      <c r="J4009" s="355"/>
      <c r="K4009" s="355"/>
      <c r="L4009" s="355"/>
      <c r="M4009" s="355"/>
    </row>
    <row r="4010" spans="5:13">
      <c r="E4010" s="355"/>
      <c r="F4010" s="355"/>
      <c r="G4010" s="355"/>
      <c r="H4010" s="355"/>
      <c r="I4010" s="355"/>
      <c r="J4010" s="355"/>
      <c r="K4010" s="355"/>
      <c r="L4010" s="355"/>
      <c r="M4010" s="355"/>
    </row>
    <row r="4011" spans="5:13">
      <c r="E4011" s="355"/>
      <c r="F4011" s="355"/>
      <c r="G4011" s="355"/>
      <c r="H4011" s="355"/>
      <c r="I4011" s="355"/>
      <c r="J4011" s="355"/>
      <c r="K4011" s="355"/>
      <c r="L4011" s="355"/>
      <c r="M4011" s="355"/>
    </row>
    <row r="4012" spans="5:13">
      <c r="E4012" s="355"/>
      <c r="F4012" s="355"/>
      <c r="G4012" s="355"/>
      <c r="H4012" s="355"/>
      <c r="I4012" s="355"/>
      <c r="J4012" s="355"/>
      <c r="K4012" s="355"/>
      <c r="L4012" s="355"/>
      <c r="M4012" s="355"/>
    </row>
    <row r="4013" spans="5:13">
      <c r="E4013" s="355"/>
      <c r="F4013" s="355"/>
      <c r="G4013" s="355"/>
      <c r="H4013" s="355"/>
      <c r="I4013" s="355"/>
      <c r="J4013" s="355"/>
      <c r="K4013" s="355"/>
      <c r="L4013" s="355"/>
      <c r="M4013" s="355"/>
    </row>
    <row r="4014" spans="5:13">
      <c r="E4014" s="355"/>
      <c r="F4014" s="355"/>
      <c r="G4014" s="355"/>
      <c r="H4014" s="355"/>
      <c r="I4014" s="355"/>
      <c r="J4014" s="355"/>
      <c r="K4014" s="355"/>
      <c r="L4014" s="355"/>
      <c r="M4014" s="355"/>
    </row>
    <row r="4015" spans="5:13">
      <c r="E4015" s="355"/>
      <c r="F4015" s="355"/>
      <c r="G4015" s="355"/>
      <c r="H4015" s="355"/>
      <c r="I4015" s="355"/>
      <c r="J4015" s="355"/>
      <c r="K4015" s="355"/>
      <c r="L4015" s="355"/>
      <c r="M4015" s="355"/>
    </row>
    <row r="4016" spans="5:13">
      <c r="E4016" s="355"/>
      <c r="F4016" s="355"/>
      <c r="G4016" s="355"/>
      <c r="H4016" s="355"/>
      <c r="I4016" s="355"/>
      <c r="J4016" s="355"/>
      <c r="K4016" s="355"/>
      <c r="L4016" s="355"/>
      <c r="M4016" s="355"/>
    </row>
    <row r="4017" spans="5:13">
      <c r="E4017" s="355"/>
      <c r="F4017" s="355"/>
      <c r="G4017" s="355"/>
      <c r="H4017" s="355"/>
      <c r="I4017" s="355"/>
      <c r="J4017" s="355"/>
      <c r="K4017" s="355"/>
      <c r="L4017" s="355"/>
      <c r="M4017" s="355"/>
    </row>
    <row r="4018" spans="5:13">
      <c r="E4018" s="355"/>
      <c r="F4018" s="355"/>
      <c r="G4018" s="355"/>
      <c r="H4018" s="355"/>
      <c r="I4018" s="355"/>
      <c r="J4018" s="355"/>
      <c r="K4018" s="355"/>
      <c r="L4018" s="355"/>
      <c r="M4018" s="355"/>
    </row>
    <row r="4019" spans="5:13">
      <c r="E4019" s="355"/>
      <c r="F4019" s="355"/>
      <c r="G4019" s="355"/>
      <c r="H4019" s="355"/>
      <c r="I4019" s="355"/>
      <c r="J4019" s="355"/>
      <c r="K4019" s="355"/>
      <c r="L4019" s="355"/>
      <c r="M4019" s="355"/>
    </row>
    <row r="4020" spans="5:13">
      <c r="E4020" s="355"/>
      <c r="F4020" s="355"/>
      <c r="G4020" s="355"/>
      <c r="H4020" s="355"/>
      <c r="I4020" s="355"/>
      <c r="J4020" s="355"/>
      <c r="K4020" s="355"/>
      <c r="L4020" s="355"/>
      <c r="M4020" s="355"/>
    </row>
    <row r="4021" spans="5:13">
      <c r="E4021" s="355"/>
      <c r="F4021" s="355"/>
      <c r="G4021" s="355"/>
      <c r="H4021" s="355"/>
      <c r="I4021" s="355"/>
      <c r="J4021" s="355"/>
      <c r="K4021" s="355"/>
      <c r="L4021" s="355"/>
      <c r="M4021" s="355"/>
    </row>
    <row r="4022" spans="5:13">
      <c r="E4022" s="355"/>
      <c r="F4022" s="355"/>
      <c r="G4022" s="355"/>
      <c r="H4022" s="355"/>
      <c r="I4022" s="355"/>
      <c r="J4022" s="355"/>
      <c r="K4022" s="355"/>
      <c r="L4022" s="355"/>
      <c r="M4022" s="355"/>
    </row>
    <row r="4023" spans="5:13">
      <c r="E4023" s="355"/>
      <c r="F4023" s="355"/>
      <c r="G4023" s="355"/>
      <c r="H4023" s="355"/>
      <c r="I4023" s="355"/>
      <c r="J4023" s="355"/>
      <c r="K4023" s="355"/>
      <c r="L4023" s="355"/>
      <c r="M4023" s="355"/>
    </row>
    <row r="4024" spans="5:13">
      <c r="E4024" s="355"/>
      <c r="F4024" s="355"/>
      <c r="G4024" s="355"/>
      <c r="H4024" s="355"/>
      <c r="I4024" s="355"/>
      <c r="J4024" s="355"/>
      <c r="K4024" s="355"/>
      <c r="L4024" s="355"/>
      <c r="M4024" s="355"/>
    </row>
    <row r="4025" spans="5:13">
      <c r="E4025" s="355"/>
      <c r="F4025" s="355"/>
      <c r="G4025" s="355"/>
      <c r="H4025" s="355"/>
      <c r="I4025" s="355"/>
      <c r="J4025" s="355"/>
      <c r="K4025" s="355"/>
      <c r="L4025" s="355"/>
      <c r="M4025" s="355"/>
    </row>
    <row r="4026" spans="5:13">
      <c r="E4026" s="355"/>
      <c r="F4026" s="355"/>
      <c r="G4026" s="355"/>
      <c r="H4026" s="355"/>
      <c r="I4026" s="355"/>
      <c r="J4026" s="355"/>
      <c r="K4026" s="355"/>
      <c r="L4026" s="355"/>
      <c r="M4026" s="355"/>
    </row>
    <row r="4027" spans="5:13">
      <c r="E4027" s="355"/>
      <c r="F4027" s="355"/>
      <c r="G4027" s="355"/>
      <c r="H4027" s="355"/>
      <c r="I4027" s="355"/>
      <c r="J4027" s="355"/>
      <c r="K4027" s="355"/>
      <c r="L4027" s="355"/>
      <c r="M4027" s="355"/>
    </row>
    <row r="4028" spans="5:13">
      <c r="E4028" s="355"/>
      <c r="F4028" s="355"/>
      <c r="G4028" s="355"/>
      <c r="H4028" s="355"/>
      <c r="I4028" s="355"/>
      <c r="J4028" s="355"/>
      <c r="K4028" s="355"/>
      <c r="L4028" s="355"/>
      <c r="M4028" s="355"/>
    </row>
    <row r="4029" spans="5:13">
      <c r="E4029" s="355"/>
      <c r="F4029" s="355"/>
      <c r="G4029" s="355"/>
      <c r="H4029" s="355"/>
      <c r="I4029" s="355"/>
      <c r="J4029" s="355"/>
      <c r="K4029" s="355"/>
      <c r="L4029" s="355"/>
      <c r="M4029" s="355"/>
    </row>
    <row r="4030" spans="5:13">
      <c r="E4030" s="355"/>
      <c r="F4030" s="355"/>
      <c r="G4030" s="355"/>
      <c r="H4030" s="355"/>
      <c r="I4030" s="355"/>
      <c r="J4030" s="355"/>
      <c r="K4030" s="355"/>
      <c r="L4030" s="355"/>
      <c r="M4030" s="355"/>
    </row>
    <row r="4031" spans="5:13">
      <c r="E4031" s="355"/>
      <c r="F4031" s="355"/>
      <c r="G4031" s="355"/>
      <c r="H4031" s="355"/>
      <c r="I4031" s="355"/>
      <c r="J4031" s="355"/>
      <c r="K4031" s="355"/>
      <c r="L4031" s="355"/>
      <c r="M4031" s="355"/>
    </row>
    <row r="4032" spans="5:13">
      <c r="E4032" s="355"/>
      <c r="F4032" s="355"/>
      <c r="G4032" s="355"/>
      <c r="H4032" s="355"/>
      <c r="I4032" s="355"/>
      <c r="J4032" s="355"/>
      <c r="K4032" s="355"/>
      <c r="L4032" s="355"/>
      <c r="M4032" s="355"/>
    </row>
    <row r="4033" spans="5:13">
      <c r="E4033" s="355"/>
      <c r="F4033" s="355"/>
      <c r="G4033" s="355"/>
      <c r="H4033" s="355"/>
      <c r="I4033" s="355"/>
      <c r="J4033" s="355"/>
      <c r="K4033" s="355"/>
      <c r="L4033" s="355"/>
      <c r="M4033" s="355"/>
    </row>
    <row r="4034" spans="5:13">
      <c r="E4034" s="355"/>
      <c r="F4034" s="355"/>
      <c r="G4034" s="355"/>
      <c r="H4034" s="355"/>
      <c r="I4034" s="355"/>
      <c r="J4034" s="355"/>
      <c r="K4034" s="355"/>
      <c r="L4034" s="355"/>
      <c r="M4034" s="355"/>
    </row>
    <row r="4035" spans="5:13">
      <c r="E4035" s="355"/>
      <c r="F4035" s="355"/>
      <c r="G4035" s="355"/>
      <c r="H4035" s="355"/>
      <c r="I4035" s="355"/>
      <c r="J4035" s="355"/>
      <c r="K4035" s="355"/>
      <c r="L4035" s="355"/>
      <c r="M4035" s="355"/>
    </row>
    <row r="4036" spans="5:13">
      <c r="E4036" s="355"/>
      <c r="F4036" s="355"/>
      <c r="G4036" s="355"/>
      <c r="H4036" s="355"/>
      <c r="I4036" s="355"/>
      <c r="J4036" s="355"/>
      <c r="K4036" s="355"/>
      <c r="L4036" s="355"/>
      <c r="M4036" s="355"/>
    </row>
    <row r="4037" spans="5:13">
      <c r="E4037" s="355"/>
      <c r="F4037" s="355"/>
      <c r="G4037" s="355"/>
      <c r="H4037" s="355"/>
      <c r="I4037" s="355"/>
      <c r="J4037" s="355"/>
      <c r="K4037" s="355"/>
      <c r="L4037" s="355"/>
      <c r="M4037" s="355"/>
    </row>
    <row r="4038" spans="5:13">
      <c r="E4038" s="355"/>
      <c r="F4038" s="355"/>
      <c r="G4038" s="355"/>
      <c r="H4038" s="355"/>
      <c r="I4038" s="355"/>
      <c r="J4038" s="355"/>
      <c r="K4038" s="355"/>
      <c r="L4038" s="355"/>
      <c r="M4038" s="355"/>
    </row>
    <row r="4039" spans="5:13">
      <c r="E4039" s="355"/>
      <c r="F4039" s="355"/>
      <c r="G4039" s="355"/>
      <c r="H4039" s="355"/>
      <c r="I4039" s="355"/>
      <c r="J4039" s="355"/>
      <c r="K4039" s="355"/>
      <c r="L4039" s="355"/>
      <c r="M4039" s="355"/>
    </row>
    <row r="4040" spans="5:13">
      <c r="E4040" s="355"/>
      <c r="F4040" s="355"/>
      <c r="G4040" s="355"/>
      <c r="H4040" s="355"/>
      <c r="I4040" s="355"/>
      <c r="J4040" s="355"/>
      <c r="K4040" s="355"/>
      <c r="L4040" s="355"/>
      <c r="M4040" s="355"/>
    </row>
    <row r="4041" spans="5:13">
      <c r="E4041" s="355"/>
      <c r="F4041" s="355"/>
      <c r="G4041" s="355"/>
      <c r="H4041" s="355"/>
      <c r="I4041" s="355"/>
      <c r="J4041" s="355"/>
      <c r="K4041" s="355"/>
      <c r="L4041" s="355"/>
      <c r="M4041" s="355"/>
    </row>
    <row r="4042" spans="5:13">
      <c r="E4042" s="355"/>
      <c r="F4042" s="355"/>
      <c r="G4042" s="355"/>
      <c r="H4042" s="355"/>
      <c r="I4042" s="355"/>
      <c r="J4042" s="355"/>
      <c r="K4042" s="355"/>
      <c r="L4042" s="355"/>
      <c r="M4042" s="355"/>
    </row>
    <row r="4043" spans="5:13">
      <c r="E4043" s="355"/>
      <c r="F4043" s="355"/>
      <c r="G4043" s="355"/>
      <c r="H4043" s="355"/>
      <c r="I4043" s="355"/>
      <c r="J4043" s="355"/>
      <c r="K4043" s="355"/>
      <c r="L4043" s="355"/>
      <c r="M4043" s="355"/>
    </row>
    <row r="4044" spans="5:13">
      <c r="E4044" s="355"/>
      <c r="F4044" s="355"/>
      <c r="G4044" s="355"/>
      <c r="H4044" s="355"/>
      <c r="I4044" s="355"/>
      <c r="J4044" s="355"/>
      <c r="K4044" s="355"/>
      <c r="L4044" s="355"/>
      <c r="M4044" s="355"/>
    </row>
    <row r="4045" spans="5:13">
      <c r="E4045" s="355"/>
      <c r="F4045" s="355"/>
      <c r="G4045" s="355"/>
      <c r="H4045" s="355"/>
      <c r="I4045" s="355"/>
      <c r="J4045" s="355"/>
      <c r="K4045" s="355"/>
      <c r="L4045" s="355"/>
      <c r="M4045" s="355"/>
    </row>
    <row r="4046" spans="5:13">
      <c r="E4046" s="355"/>
      <c r="F4046" s="355"/>
      <c r="G4046" s="355"/>
      <c r="H4046" s="355"/>
      <c r="I4046" s="355"/>
      <c r="J4046" s="355"/>
      <c r="K4046" s="355"/>
      <c r="L4046" s="355"/>
      <c r="M4046" s="355"/>
    </row>
    <row r="4047" spans="5:13">
      <c r="E4047" s="355"/>
      <c r="F4047" s="355"/>
      <c r="G4047" s="355"/>
      <c r="H4047" s="355"/>
      <c r="I4047" s="355"/>
      <c r="J4047" s="355"/>
      <c r="K4047" s="355"/>
      <c r="L4047" s="355"/>
      <c r="M4047" s="355"/>
    </row>
    <row r="4048" spans="5:13">
      <c r="E4048" s="355"/>
      <c r="F4048" s="355"/>
      <c r="G4048" s="355"/>
      <c r="H4048" s="355"/>
      <c r="I4048" s="355"/>
      <c r="J4048" s="355"/>
      <c r="K4048" s="355"/>
      <c r="L4048" s="355"/>
      <c r="M4048" s="355"/>
    </row>
    <row r="4049" spans="5:13">
      <c r="E4049" s="355"/>
      <c r="F4049" s="355"/>
      <c r="G4049" s="355"/>
      <c r="H4049" s="355"/>
      <c r="I4049" s="355"/>
      <c r="J4049" s="355"/>
      <c r="K4049" s="355"/>
      <c r="L4049" s="355"/>
      <c r="M4049" s="355"/>
    </row>
    <row r="4050" spans="5:13">
      <c r="E4050" s="355"/>
      <c r="F4050" s="355"/>
      <c r="G4050" s="355"/>
      <c r="H4050" s="355"/>
      <c r="I4050" s="355"/>
      <c r="J4050" s="355"/>
      <c r="K4050" s="355"/>
      <c r="L4050" s="355"/>
      <c r="M4050" s="355"/>
    </row>
    <row r="4051" spans="5:13">
      <c r="E4051" s="355"/>
      <c r="F4051" s="355"/>
      <c r="G4051" s="355"/>
      <c r="H4051" s="355"/>
      <c r="I4051" s="355"/>
      <c r="J4051" s="355"/>
      <c r="K4051" s="355"/>
      <c r="L4051" s="355"/>
      <c r="M4051" s="355"/>
    </row>
    <row r="4052" spans="5:13">
      <c r="E4052" s="355"/>
      <c r="F4052" s="355"/>
      <c r="G4052" s="355"/>
      <c r="H4052" s="355"/>
      <c r="I4052" s="355"/>
      <c r="J4052" s="355"/>
      <c r="K4052" s="355"/>
      <c r="L4052" s="355"/>
      <c r="M4052" s="355"/>
    </row>
    <row r="4053" spans="5:13">
      <c r="E4053" s="355"/>
      <c r="F4053" s="355"/>
      <c r="G4053" s="355"/>
      <c r="H4053" s="355"/>
      <c r="I4053" s="355"/>
      <c r="J4053" s="355"/>
      <c r="K4053" s="355"/>
      <c r="L4053" s="355"/>
      <c r="M4053" s="355"/>
    </row>
    <row r="4054" spans="5:13">
      <c r="E4054" s="355"/>
      <c r="F4054" s="355"/>
      <c r="G4054" s="355"/>
      <c r="H4054" s="355"/>
      <c r="I4054" s="355"/>
      <c r="J4054" s="355"/>
      <c r="K4054" s="355"/>
      <c r="L4054" s="355"/>
      <c r="M4054" s="355"/>
    </row>
    <row r="4055" spans="5:13">
      <c r="E4055" s="355"/>
      <c r="F4055" s="355"/>
      <c r="G4055" s="355"/>
      <c r="H4055" s="355"/>
      <c r="I4055" s="355"/>
      <c r="J4055" s="355"/>
      <c r="K4055" s="355"/>
      <c r="L4055" s="355"/>
      <c r="M4055" s="355"/>
    </row>
    <row r="4056" spans="5:13">
      <c r="E4056" s="355"/>
      <c r="F4056" s="355"/>
      <c r="G4056" s="355"/>
      <c r="H4056" s="355"/>
      <c r="I4056" s="355"/>
      <c r="J4056" s="355"/>
      <c r="K4056" s="355"/>
      <c r="L4056" s="355"/>
      <c r="M4056" s="355"/>
    </row>
    <row r="4057" spans="5:13">
      <c r="E4057" s="355"/>
      <c r="F4057" s="355"/>
      <c r="G4057" s="355"/>
      <c r="H4057" s="355"/>
      <c r="I4057" s="355"/>
      <c r="J4057" s="355"/>
      <c r="K4057" s="355"/>
      <c r="L4057" s="355"/>
      <c r="M4057" s="355"/>
    </row>
    <row r="4058" spans="5:13">
      <c r="E4058" s="355"/>
      <c r="F4058" s="355"/>
      <c r="G4058" s="355"/>
      <c r="H4058" s="355"/>
      <c r="I4058" s="355"/>
      <c r="J4058" s="355"/>
      <c r="K4058" s="355"/>
      <c r="L4058" s="355"/>
      <c r="M4058" s="355"/>
    </row>
    <row r="4059" spans="5:13">
      <c r="E4059" s="355"/>
      <c r="F4059" s="355"/>
      <c r="G4059" s="355"/>
      <c r="H4059" s="355"/>
      <c r="I4059" s="355"/>
      <c r="J4059" s="355"/>
      <c r="K4059" s="355"/>
      <c r="L4059" s="355"/>
      <c r="M4059" s="355"/>
    </row>
    <row r="4060" spans="5:13">
      <c r="E4060" s="355"/>
      <c r="F4060" s="355"/>
      <c r="G4060" s="355"/>
      <c r="H4060" s="355"/>
      <c r="I4060" s="355"/>
      <c r="J4060" s="355"/>
      <c r="K4060" s="355"/>
      <c r="L4060" s="355"/>
      <c r="M4060" s="355"/>
    </row>
    <row r="4061" spans="5:13">
      <c r="E4061" s="355"/>
      <c r="F4061" s="355"/>
      <c r="G4061" s="355"/>
      <c r="H4061" s="355"/>
      <c r="I4061" s="355"/>
      <c r="J4061" s="355"/>
      <c r="K4061" s="355"/>
      <c r="L4061" s="355"/>
      <c r="M4061" s="355"/>
    </row>
    <row r="4062" spans="5:13">
      <c r="E4062" s="355"/>
      <c r="F4062" s="355"/>
      <c r="G4062" s="355"/>
      <c r="H4062" s="355"/>
      <c r="I4062" s="355"/>
      <c r="J4062" s="355"/>
      <c r="K4062" s="355"/>
      <c r="L4062" s="355"/>
      <c r="M4062" s="355"/>
    </row>
    <row r="4063" spans="5:13">
      <c r="E4063" s="355"/>
      <c r="F4063" s="355"/>
      <c r="G4063" s="355"/>
      <c r="H4063" s="355"/>
      <c r="I4063" s="355"/>
      <c r="J4063" s="355"/>
      <c r="K4063" s="355"/>
      <c r="L4063" s="355"/>
      <c r="M4063" s="355"/>
    </row>
    <row r="4064" spans="5:13">
      <c r="E4064" s="355"/>
      <c r="F4064" s="355"/>
      <c r="G4064" s="355"/>
      <c r="H4064" s="355"/>
      <c r="I4064" s="355"/>
      <c r="J4064" s="355"/>
      <c r="K4064" s="355"/>
      <c r="L4064" s="355"/>
      <c r="M4064" s="355"/>
    </row>
    <row r="4065" spans="5:13">
      <c r="E4065" s="355"/>
      <c r="F4065" s="355"/>
      <c r="G4065" s="355"/>
      <c r="H4065" s="355"/>
      <c r="I4065" s="355"/>
      <c r="J4065" s="355"/>
      <c r="K4065" s="355"/>
      <c r="L4065" s="355"/>
      <c r="M4065" s="355"/>
    </row>
    <row r="4066" spans="5:13">
      <c r="E4066" s="355"/>
      <c r="F4066" s="355"/>
      <c r="G4066" s="355"/>
      <c r="H4066" s="355"/>
      <c r="I4066" s="355"/>
      <c r="J4066" s="355"/>
      <c r="K4066" s="355"/>
      <c r="L4066" s="355"/>
      <c r="M4066" s="355"/>
    </row>
    <row r="4067" spans="5:13">
      <c r="E4067" s="355"/>
      <c r="F4067" s="355"/>
      <c r="G4067" s="355"/>
      <c r="H4067" s="355"/>
      <c r="I4067" s="355"/>
      <c r="J4067" s="355"/>
      <c r="K4067" s="355"/>
      <c r="L4067" s="355"/>
      <c r="M4067" s="355"/>
    </row>
    <row r="4068" spans="5:13">
      <c r="E4068" s="355"/>
      <c r="F4068" s="355"/>
      <c r="G4068" s="355"/>
      <c r="H4068" s="355"/>
      <c r="I4068" s="355"/>
      <c r="J4068" s="355"/>
      <c r="K4068" s="355"/>
      <c r="L4068" s="355"/>
      <c r="M4068" s="355"/>
    </row>
    <row r="4069" spans="5:13">
      <c r="E4069" s="355"/>
      <c r="F4069" s="355"/>
      <c r="G4069" s="355"/>
      <c r="H4069" s="355"/>
      <c r="I4069" s="355"/>
      <c r="J4069" s="355"/>
      <c r="K4069" s="355"/>
      <c r="L4069" s="355"/>
      <c r="M4069" s="355"/>
    </row>
    <row r="4070" spans="5:13">
      <c r="E4070" s="355"/>
      <c r="F4070" s="355"/>
      <c r="G4070" s="355"/>
      <c r="H4070" s="355"/>
      <c r="I4070" s="355"/>
      <c r="J4070" s="355"/>
      <c r="K4070" s="355"/>
      <c r="L4070" s="355"/>
      <c r="M4070" s="355"/>
    </row>
    <row r="4071" spans="5:13">
      <c r="E4071" s="355"/>
      <c r="F4071" s="355"/>
      <c r="G4071" s="355"/>
      <c r="H4071" s="355"/>
      <c r="I4071" s="355"/>
      <c r="J4071" s="355"/>
      <c r="K4071" s="355"/>
      <c r="L4071" s="355"/>
      <c r="M4071" s="355"/>
    </row>
    <row r="4072" spans="5:13">
      <c r="E4072" s="355"/>
      <c r="F4072" s="355"/>
      <c r="G4072" s="355"/>
      <c r="H4072" s="355"/>
      <c r="I4072" s="355"/>
      <c r="J4072" s="355"/>
      <c r="K4072" s="355"/>
      <c r="L4072" s="355"/>
      <c r="M4072" s="355"/>
    </row>
    <row r="4073" spans="5:13">
      <c r="E4073" s="355"/>
      <c r="F4073" s="355"/>
      <c r="G4073" s="355"/>
      <c r="H4073" s="355"/>
      <c r="I4073" s="355"/>
      <c r="J4073" s="355"/>
      <c r="K4073" s="355"/>
      <c r="L4073" s="355"/>
      <c r="M4073" s="355"/>
    </row>
    <row r="4074" spans="5:13">
      <c r="E4074" s="355"/>
      <c r="F4074" s="355"/>
      <c r="G4074" s="355"/>
      <c r="H4074" s="355"/>
      <c r="I4074" s="355"/>
      <c r="J4074" s="355"/>
      <c r="K4074" s="355"/>
      <c r="L4074" s="355"/>
      <c r="M4074" s="355"/>
    </row>
    <row r="4075" spans="5:13">
      <c r="E4075" s="355"/>
      <c r="F4075" s="355"/>
      <c r="G4075" s="355"/>
      <c r="H4075" s="355"/>
      <c r="I4075" s="355"/>
      <c r="J4075" s="355"/>
      <c r="K4075" s="355"/>
      <c r="L4075" s="355"/>
      <c r="M4075" s="355"/>
    </row>
    <row r="4076" spans="5:13">
      <c r="E4076" s="355"/>
      <c r="F4076" s="355"/>
      <c r="G4076" s="355"/>
      <c r="H4076" s="355"/>
      <c r="I4076" s="355"/>
      <c r="J4076" s="355"/>
      <c r="K4076" s="355"/>
      <c r="L4076" s="355"/>
      <c r="M4076" s="355"/>
    </row>
    <row r="4077" spans="5:13">
      <c r="E4077" s="355"/>
      <c r="F4077" s="355"/>
      <c r="G4077" s="355"/>
      <c r="H4077" s="355"/>
      <c r="I4077" s="355"/>
      <c r="J4077" s="355"/>
      <c r="K4077" s="355"/>
      <c r="L4077" s="355"/>
      <c r="M4077" s="355"/>
    </row>
    <row r="4078" spans="5:13">
      <c r="E4078" s="355"/>
      <c r="F4078" s="355"/>
      <c r="G4078" s="355"/>
      <c r="H4078" s="355"/>
      <c r="I4078" s="355"/>
      <c r="J4078" s="355"/>
      <c r="K4078" s="355"/>
      <c r="L4078" s="355"/>
      <c r="M4078" s="355"/>
    </row>
    <row r="4079" spans="5:13">
      <c r="E4079" s="355"/>
      <c r="F4079" s="355"/>
      <c r="G4079" s="355"/>
      <c r="H4079" s="355"/>
      <c r="I4079" s="355"/>
      <c r="J4079" s="355"/>
      <c r="K4079" s="355"/>
      <c r="L4079" s="355"/>
      <c r="M4079" s="355"/>
    </row>
    <row r="4080" spans="5:13">
      <c r="E4080" s="355"/>
      <c r="F4080" s="355"/>
      <c r="G4080" s="355"/>
      <c r="H4080" s="355"/>
      <c r="I4080" s="355"/>
      <c r="J4080" s="355"/>
      <c r="K4080" s="355"/>
      <c r="L4080" s="355"/>
      <c r="M4080" s="355"/>
    </row>
    <row r="4081" spans="5:13">
      <c r="E4081" s="355"/>
      <c r="F4081" s="355"/>
      <c r="G4081" s="355"/>
      <c r="H4081" s="355"/>
      <c r="I4081" s="355"/>
      <c r="J4081" s="355"/>
      <c r="K4081" s="355"/>
      <c r="L4081" s="355"/>
      <c r="M4081" s="355"/>
    </row>
    <row r="4082" spans="5:13">
      <c r="E4082" s="355"/>
      <c r="F4082" s="355"/>
      <c r="G4082" s="355"/>
      <c r="H4082" s="355"/>
      <c r="I4082" s="355"/>
      <c r="J4082" s="355"/>
      <c r="K4082" s="355"/>
      <c r="L4082" s="355"/>
      <c r="M4082" s="355"/>
    </row>
    <row r="4083" spans="5:13">
      <c r="E4083" s="355"/>
      <c r="F4083" s="355"/>
      <c r="G4083" s="355"/>
      <c r="H4083" s="355"/>
      <c r="I4083" s="355"/>
      <c r="J4083" s="355"/>
      <c r="K4083" s="355"/>
      <c r="L4083" s="355"/>
      <c r="M4083" s="355"/>
    </row>
    <row r="4084" spans="5:13">
      <c r="E4084" s="355"/>
      <c r="F4084" s="355"/>
      <c r="G4084" s="355"/>
      <c r="H4084" s="355"/>
      <c r="I4084" s="355"/>
      <c r="J4084" s="355"/>
      <c r="K4084" s="355"/>
      <c r="L4084" s="355"/>
      <c r="M4084" s="355"/>
    </row>
    <row r="4085" spans="5:13">
      <c r="E4085" s="355"/>
      <c r="F4085" s="355"/>
      <c r="G4085" s="355"/>
      <c r="H4085" s="355"/>
      <c r="I4085" s="355"/>
      <c r="J4085" s="355"/>
      <c r="K4085" s="355"/>
      <c r="L4085" s="355"/>
      <c r="M4085" s="355"/>
    </row>
    <row r="4086" spans="5:13">
      <c r="E4086" s="355"/>
      <c r="F4086" s="355"/>
      <c r="G4086" s="355"/>
      <c r="H4086" s="355"/>
      <c r="I4086" s="355"/>
      <c r="J4086" s="355"/>
      <c r="K4086" s="355"/>
      <c r="L4086" s="355"/>
      <c r="M4086" s="355"/>
    </row>
    <row r="4087" spans="5:13">
      <c r="E4087" s="355"/>
      <c r="F4087" s="355"/>
      <c r="G4087" s="355"/>
      <c r="H4087" s="355"/>
      <c r="I4087" s="355"/>
      <c r="J4087" s="355"/>
      <c r="K4087" s="355"/>
      <c r="L4087" s="355"/>
      <c r="M4087" s="355"/>
    </row>
    <row r="4088" spans="5:13">
      <c r="E4088" s="355"/>
      <c r="F4088" s="355"/>
      <c r="G4088" s="355"/>
      <c r="H4088" s="355"/>
      <c r="I4088" s="355"/>
      <c r="J4088" s="355"/>
      <c r="K4088" s="355"/>
      <c r="L4088" s="355"/>
      <c r="M4088" s="355"/>
    </row>
    <row r="4089" spans="5:13">
      <c r="E4089" s="355"/>
      <c r="F4089" s="355"/>
      <c r="G4089" s="355"/>
      <c r="H4089" s="355"/>
      <c r="I4089" s="355"/>
      <c r="J4089" s="355"/>
      <c r="K4089" s="355"/>
      <c r="L4089" s="355"/>
      <c r="M4089" s="355"/>
    </row>
    <row r="4090" spans="5:13">
      <c r="E4090" s="355"/>
      <c r="F4090" s="355"/>
      <c r="G4090" s="355"/>
      <c r="H4090" s="355"/>
      <c r="I4090" s="355"/>
      <c r="J4090" s="355"/>
      <c r="K4090" s="355"/>
      <c r="L4090" s="355"/>
      <c r="M4090" s="355"/>
    </row>
    <row r="4091" spans="5:13">
      <c r="E4091" s="355"/>
      <c r="F4091" s="355"/>
      <c r="G4091" s="355"/>
      <c r="H4091" s="355"/>
      <c r="I4091" s="355"/>
      <c r="J4091" s="355"/>
      <c r="K4091" s="355"/>
      <c r="L4091" s="355"/>
      <c r="M4091" s="355"/>
    </row>
    <row r="4092" spans="5:13">
      <c r="E4092" s="355"/>
      <c r="F4092" s="355"/>
      <c r="G4092" s="355"/>
      <c r="H4092" s="355"/>
      <c r="I4092" s="355"/>
      <c r="J4092" s="355"/>
      <c r="K4092" s="355"/>
      <c r="L4092" s="355"/>
      <c r="M4092" s="355"/>
    </row>
    <row r="4093" spans="5:13">
      <c r="E4093" s="355"/>
      <c r="F4093" s="355"/>
      <c r="G4093" s="355"/>
      <c r="H4093" s="355"/>
      <c r="I4093" s="355"/>
      <c r="J4093" s="355"/>
      <c r="K4093" s="355"/>
      <c r="L4093" s="355"/>
      <c r="M4093" s="355"/>
    </row>
    <row r="4094" spans="5:13">
      <c r="E4094" s="355"/>
      <c r="F4094" s="355"/>
      <c r="G4094" s="355"/>
      <c r="H4094" s="355"/>
      <c r="I4094" s="355"/>
      <c r="J4094" s="355"/>
      <c r="K4094" s="355"/>
      <c r="L4094" s="355"/>
      <c r="M4094" s="355"/>
    </row>
    <row r="4095" spans="5:13">
      <c r="E4095" s="355"/>
      <c r="F4095" s="355"/>
      <c r="G4095" s="355"/>
      <c r="H4095" s="355"/>
      <c r="I4095" s="355"/>
      <c r="J4095" s="355"/>
      <c r="K4095" s="355"/>
      <c r="L4095" s="355"/>
      <c r="M4095" s="355"/>
    </row>
    <row r="4096" spans="5:13">
      <c r="E4096" s="355"/>
      <c r="F4096" s="355"/>
      <c r="G4096" s="355"/>
      <c r="H4096" s="355"/>
      <c r="I4096" s="355"/>
      <c r="J4096" s="355"/>
      <c r="K4096" s="355"/>
      <c r="L4096" s="355"/>
      <c r="M4096" s="355"/>
    </row>
    <row r="4097" spans="5:13">
      <c r="E4097" s="355"/>
      <c r="F4097" s="355"/>
      <c r="G4097" s="355"/>
      <c r="H4097" s="355"/>
      <c r="I4097" s="355"/>
      <c r="J4097" s="355"/>
      <c r="K4097" s="355"/>
      <c r="L4097" s="355"/>
      <c r="M4097" s="355"/>
    </row>
    <row r="4098" spans="5:13">
      <c r="E4098" s="355"/>
      <c r="F4098" s="355"/>
      <c r="G4098" s="355"/>
      <c r="H4098" s="355"/>
      <c r="I4098" s="355"/>
      <c r="J4098" s="355"/>
      <c r="K4098" s="355"/>
      <c r="L4098" s="355"/>
      <c r="M4098" s="355"/>
    </row>
    <row r="4099" spans="5:13">
      <c r="E4099" s="355"/>
      <c r="F4099" s="355"/>
      <c r="G4099" s="355"/>
      <c r="H4099" s="355"/>
      <c r="I4099" s="355"/>
      <c r="J4099" s="355"/>
      <c r="K4099" s="355"/>
      <c r="L4099" s="355"/>
      <c r="M4099" s="355"/>
    </row>
    <row r="4100" spans="5:13">
      <c r="E4100" s="355"/>
      <c r="F4100" s="355"/>
      <c r="G4100" s="355"/>
      <c r="H4100" s="355"/>
      <c r="I4100" s="355"/>
      <c r="J4100" s="355"/>
      <c r="K4100" s="355"/>
      <c r="L4100" s="355"/>
      <c r="M4100" s="355"/>
    </row>
    <row r="4101" spans="5:13">
      <c r="E4101" s="355"/>
      <c r="F4101" s="355"/>
      <c r="G4101" s="355"/>
      <c r="H4101" s="355"/>
      <c r="I4101" s="355"/>
      <c r="J4101" s="355"/>
      <c r="K4101" s="355"/>
      <c r="L4101" s="355"/>
      <c r="M4101" s="355"/>
    </row>
    <row r="4102" spans="5:13">
      <c r="E4102" s="355"/>
      <c r="F4102" s="355"/>
      <c r="G4102" s="355"/>
      <c r="H4102" s="355"/>
      <c r="I4102" s="355"/>
      <c r="J4102" s="355"/>
      <c r="K4102" s="355"/>
      <c r="L4102" s="355"/>
      <c r="M4102" s="355"/>
    </row>
    <row r="4103" spans="5:13">
      <c r="E4103" s="355"/>
      <c r="F4103" s="355"/>
      <c r="G4103" s="355"/>
      <c r="H4103" s="355"/>
      <c r="I4103" s="355"/>
      <c r="J4103" s="355"/>
      <c r="K4103" s="355"/>
      <c r="L4103" s="355"/>
      <c r="M4103" s="355"/>
    </row>
    <row r="4104" spans="5:13">
      <c r="E4104" s="355"/>
      <c r="F4104" s="355"/>
      <c r="G4104" s="355"/>
      <c r="H4104" s="355"/>
      <c r="I4104" s="355"/>
      <c r="J4104" s="355"/>
      <c r="K4104" s="355"/>
      <c r="L4104" s="355"/>
      <c r="M4104" s="355"/>
    </row>
    <row r="4105" spans="5:13">
      <c r="E4105" s="355"/>
      <c r="F4105" s="355"/>
      <c r="G4105" s="355"/>
      <c r="H4105" s="355"/>
      <c r="I4105" s="355"/>
      <c r="J4105" s="355"/>
      <c r="K4105" s="355"/>
      <c r="L4105" s="355"/>
      <c r="M4105" s="355"/>
    </row>
    <row r="4106" spans="5:13">
      <c r="E4106" s="355"/>
      <c r="F4106" s="355"/>
      <c r="G4106" s="355"/>
      <c r="H4106" s="355"/>
      <c r="I4106" s="355"/>
      <c r="J4106" s="355"/>
      <c r="K4106" s="355"/>
      <c r="L4106" s="355"/>
      <c r="M4106" s="355"/>
    </row>
    <row r="4107" spans="5:13">
      <c r="E4107" s="355"/>
      <c r="F4107" s="355"/>
      <c r="G4107" s="355"/>
      <c r="H4107" s="355"/>
      <c r="I4107" s="355"/>
      <c r="J4107" s="355"/>
      <c r="K4107" s="355"/>
      <c r="L4107" s="355"/>
      <c r="M4107" s="355"/>
    </row>
    <row r="4108" spans="5:13">
      <c r="E4108" s="355"/>
      <c r="F4108" s="355"/>
      <c r="G4108" s="355"/>
      <c r="H4108" s="355"/>
      <c r="I4108" s="355"/>
      <c r="J4108" s="355"/>
      <c r="K4108" s="355"/>
      <c r="L4108" s="355"/>
      <c r="M4108" s="355"/>
    </row>
    <row r="4109" spans="5:13">
      <c r="E4109" s="355"/>
      <c r="F4109" s="355"/>
      <c r="G4109" s="355"/>
      <c r="H4109" s="355"/>
      <c r="I4109" s="355"/>
      <c r="J4109" s="355"/>
      <c r="K4109" s="355"/>
      <c r="L4109" s="355"/>
      <c r="M4109" s="355"/>
    </row>
    <row r="4110" spans="5:13">
      <c r="E4110" s="355"/>
      <c r="F4110" s="355"/>
      <c r="G4110" s="355"/>
      <c r="H4110" s="355"/>
      <c r="I4110" s="355"/>
      <c r="J4110" s="355"/>
      <c r="K4110" s="355"/>
      <c r="L4110" s="355"/>
      <c r="M4110" s="355"/>
    </row>
    <row r="4111" spans="5:13">
      <c r="E4111" s="355"/>
      <c r="F4111" s="355"/>
      <c r="G4111" s="355"/>
      <c r="H4111" s="355"/>
      <c r="I4111" s="355"/>
      <c r="J4111" s="355"/>
      <c r="K4111" s="355"/>
      <c r="L4111" s="355"/>
      <c r="M4111" s="355"/>
    </row>
    <row r="4112" spans="5:13">
      <c r="E4112" s="355"/>
      <c r="F4112" s="355"/>
      <c r="G4112" s="355"/>
      <c r="H4112" s="355"/>
      <c r="I4112" s="355"/>
      <c r="J4112" s="355"/>
      <c r="K4112" s="355"/>
      <c r="L4112" s="355"/>
      <c r="M4112" s="355"/>
    </row>
    <row r="4113" spans="5:13">
      <c r="E4113" s="355"/>
      <c r="F4113" s="355"/>
      <c r="G4113" s="355"/>
      <c r="H4113" s="355"/>
      <c r="I4113" s="355"/>
      <c r="J4113" s="355"/>
      <c r="K4113" s="355"/>
      <c r="L4113" s="355"/>
      <c r="M4113" s="355"/>
    </row>
    <row r="4114" spans="5:13">
      <c r="E4114" s="355"/>
      <c r="F4114" s="355"/>
      <c r="G4114" s="355"/>
      <c r="H4114" s="355"/>
      <c r="I4114" s="355"/>
      <c r="J4114" s="355"/>
      <c r="K4114" s="355"/>
      <c r="L4114" s="355"/>
      <c r="M4114" s="355"/>
    </row>
    <row r="4115" spans="5:13">
      <c r="E4115" s="355"/>
      <c r="F4115" s="355"/>
      <c r="G4115" s="355"/>
      <c r="H4115" s="355"/>
      <c r="I4115" s="355"/>
      <c r="J4115" s="355"/>
      <c r="K4115" s="355"/>
      <c r="L4115" s="355"/>
      <c r="M4115" s="355"/>
    </row>
    <row r="4116" spans="5:13">
      <c r="E4116" s="355"/>
      <c r="F4116" s="355"/>
      <c r="G4116" s="355"/>
      <c r="H4116" s="355"/>
      <c r="I4116" s="355"/>
      <c r="J4116" s="355"/>
      <c r="K4116" s="355"/>
      <c r="L4116" s="355"/>
      <c r="M4116" s="355"/>
    </row>
    <row r="4117" spans="5:13">
      <c r="E4117" s="355"/>
      <c r="F4117" s="355"/>
      <c r="G4117" s="355"/>
      <c r="H4117" s="355"/>
      <c r="I4117" s="355"/>
      <c r="J4117" s="355"/>
      <c r="K4117" s="355"/>
      <c r="L4117" s="355"/>
      <c r="M4117" s="355"/>
    </row>
    <row r="4118" spans="5:13">
      <c r="E4118" s="355"/>
      <c r="F4118" s="355"/>
      <c r="G4118" s="355"/>
      <c r="H4118" s="355"/>
      <c r="I4118" s="355"/>
      <c r="J4118" s="355"/>
      <c r="K4118" s="355"/>
      <c r="L4118" s="355"/>
      <c r="M4118" s="355"/>
    </row>
    <row r="4119" spans="5:13">
      <c r="E4119" s="355"/>
      <c r="F4119" s="355"/>
      <c r="G4119" s="355"/>
      <c r="H4119" s="355"/>
      <c r="I4119" s="355"/>
      <c r="J4119" s="355"/>
      <c r="K4119" s="355"/>
      <c r="L4119" s="355"/>
      <c r="M4119" s="355"/>
    </row>
    <row r="4120" spans="5:13">
      <c r="E4120" s="355"/>
      <c r="F4120" s="355"/>
      <c r="G4120" s="355"/>
      <c r="H4120" s="355"/>
      <c r="I4120" s="355"/>
      <c r="J4120" s="355"/>
      <c r="K4120" s="355"/>
      <c r="L4120" s="355"/>
      <c r="M4120" s="355"/>
    </row>
    <row r="4121" spans="5:13">
      <c r="E4121" s="355"/>
      <c r="F4121" s="355"/>
      <c r="G4121" s="355"/>
      <c r="H4121" s="355"/>
      <c r="I4121" s="355"/>
      <c r="J4121" s="355"/>
      <c r="K4121" s="355"/>
      <c r="L4121" s="355"/>
      <c r="M4121" s="355"/>
    </row>
    <row r="4122" spans="5:13">
      <c r="E4122" s="355"/>
      <c r="F4122" s="355"/>
      <c r="G4122" s="355"/>
      <c r="H4122" s="355"/>
      <c r="I4122" s="355"/>
      <c r="J4122" s="355"/>
      <c r="K4122" s="355"/>
      <c r="L4122" s="355"/>
      <c r="M4122" s="355"/>
    </row>
    <row r="4123" spans="5:13">
      <c r="E4123" s="355"/>
      <c r="F4123" s="355"/>
      <c r="G4123" s="355"/>
      <c r="H4123" s="355"/>
      <c r="I4123" s="355"/>
      <c r="J4123" s="355"/>
      <c r="K4123" s="355"/>
      <c r="L4123" s="355"/>
      <c r="M4123" s="355"/>
    </row>
    <row r="4124" spans="5:13">
      <c r="E4124" s="355"/>
      <c r="F4124" s="355"/>
      <c r="G4124" s="355"/>
      <c r="H4124" s="355"/>
      <c r="I4124" s="355"/>
      <c r="J4124" s="355"/>
      <c r="K4124" s="355"/>
      <c r="L4124" s="355"/>
      <c r="M4124" s="355"/>
    </row>
    <row r="4125" spans="5:13">
      <c r="E4125" s="355"/>
      <c r="F4125" s="355"/>
      <c r="G4125" s="355"/>
      <c r="H4125" s="355"/>
      <c r="I4125" s="355"/>
      <c r="J4125" s="355"/>
      <c r="K4125" s="355"/>
      <c r="L4125" s="355"/>
      <c r="M4125" s="355"/>
    </row>
    <row r="4126" spans="5:13">
      <c r="E4126" s="355"/>
      <c r="F4126" s="355"/>
      <c r="G4126" s="355"/>
      <c r="H4126" s="355"/>
      <c r="I4126" s="355"/>
      <c r="J4126" s="355"/>
      <c r="K4126" s="355"/>
      <c r="L4126" s="355"/>
      <c r="M4126" s="355"/>
    </row>
    <row r="4127" spans="5:13">
      <c r="E4127" s="355"/>
      <c r="F4127" s="355"/>
      <c r="G4127" s="355"/>
      <c r="H4127" s="355"/>
      <c r="I4127" s="355"/>
      <c r="J4127" s="355"/>
      <c r="K4127" s="355"/>
      <c r="L4127" s="355"/>
      <c r="M4127" s="355"/>
    </row>
    <row r="4128" spans="5:13">
      <c r="E4128" s="355"/>
      <c r="F4128" s="355"/>
      <c r="G4128" s="355"/>
      <c r="H4128" s="355"/>
      <c r="I4128" s="355"/>
      <c r="J4128" s="355"/>
      <c r="K4128" s="355"/>
      <c r="L4128" s="355"/>
      <c r="M4128" s="355"/>
    </row>
    <row r="4129" spans="5:13">
      <c r="E4129" s="355"/>
      <c r="F4129" s="355"/>
      <c r="G4129" s="355"/>
      <c r="H4129" s="355"/>
      <c r="I4129" s="355"/>
      <c r="J4129" s="355"/>
      <c r="K4129" s="355"/>
      <c r="L4129" s="355"/>
      <c r="M4129" s="355"/>
    </row>
    <row r="4130" spans="5:13">
      <c r="E4130" s="355"/>
      <c r="F4130" s="355"/>
      <c r="G4130" s="355"/>
      <c r="H4130" s="355"/>
      <c r="I4130" s="355"/>
      <c r="J4130" s="355"/>
      <c r="K4130" s="355"/>
      <c r="L4130" s="355"/>
      <c r="M4130" s="355"/>
    </row>
    <row r="4131" spans="5:13">
      <c r="E4131" s="355"/>
      <c r="F4131" s="355"/>
      <c r="G4131" s="355"/>
      <c r="H4131" s="355"/>
      <c r="I4131" s="355"/>
      <c r="J4131" s="355"/>
      <c r="K4131" s="355"/>
      <c r="L4131" s="355"/>
      <c r="M4131" s="355"/>
    </row>
    <row r="4132" spans="5:13">
      <c r="E4132" s="355"/>
      <c r="F4132" s="355"/>
      <c r="G4132" s="355"/>
      <c r="H4132" s="355"/>
      <c r="I4132" s="355"/>
      <c r="J4132" s="355"/>
      <c r="K4132" s="355"/>
      <c r="L4132" s="355"/>
      <c r="M4132" s="355"/>
    </row>
    <row r="4133" spans="5:13">
      <c r="E4133" s="355"/>
      <c r="F4133" s="355"/>
      <c r="G4133" s="355"/>
      <c r="H4133" s="355"/>
      <c r="I4133" s="355"/>
      <c r="J4133" s="355"/>
      <c r="K4133" s="355"/>
      <c r="L4133" s="355"/>
      <c r="M4133" s="355"/>
    </row>
    <row r="4134" spans="5:13">
      <c r="E4134" s="355"/>
      <c r="F4134" s="355"/>
      <c r="G4134" s="355"/>
      <c r="H4134" s="355"/>
      <c r="I4134" s="355"/>
      <c r="J4134" s="355"/>
      <c r="K4134" s="355"/>
      <c r="L4134" s="355"/>
      <c r="M4134" s="355"/>
    </row>
    <row r="4135" spans="5:13">
      <c r="E4135" s="355"/>
      <c r="F4135" s="355"/>
      <c r="G4135" s="355"/>
      <c r="H4135" s="355"/>
      <c r="I4135" s="355"/>
      <c r="J4135" s="355"/>
      <c r="K4135" s="355"/>
      <c r="L4135" s="355"/>
      <c r="M4135" s="355"/>
    </row>
    <row r="4136" spans="5:13">
      <c r="E4136" s="355"/>
      <c r="F4136" s="355"/>
      <c r="G4136" s="355"/>
      <c r="H4136" s="355"/>
      <c r="I4136" s="355"/>
      <c r="J4136" s="355"/>
      <c r="K4136" s="355"/>
      <c r="L4136" s="355"/>
      <c r="M4136" s="355"/>
    </row>
    <row r="4137" spans="5:13">
      <c r="E4137" s="355"/>
      <c r="F4137" s="355"/>
      <c r="G4137" s="355"/>
      <c r="H4137" s="355"/>
      <c r="I4137" s="355"/>
      <c r="J4137" s="355"/>
      <c r="K4137" s="355"/>
      <c r="L4137" s="355"/>
      <c r="M4137" s="355"/>
    </row>
    <row r="4138" spans="5:13">
      <c r="E4138" s="355"/>
      <c r="F4138" s="355"/>
      <c r="G4138" s="355"/>
      <c r="H4138" s="355"/>
      <c r="I4138" s="355"/>
      <c r="J4138" s="355"/>
      <c r="K4138" s="355"/>
      <c r="L4138" s="355"/>
      <c r="M4138" s="355"/>
    </row>
    <row r="4139" spans="5:13">
      <c r="E4139" s="355"/>
      <c r="F4139" s="355"/>
      <c r="G4139" s="355"/>
      <c r="H4139" s="355"/>
      <c r="I4139" s="355"/>
      <c r="J4139" s="355"/>
      <c r="K4139" s="355"/>
      <c r="L4139" s="355"/>
      <c r="M4139" s="355"/>
    </row>
    <row r="4140" spans="5:13">
      <c r="E4140" s="355"/>
      <c r="F4140" s="355"/>
      <c r="G4140" s="355"/>
      <c r="H4140" s="355"/>
      <c r="I4140" s="355"/>
      <c r="J4140" s="355"/>
      <c r="K4140" s="355"/>
      <c r="L4140" s="355"/>
      <c r="M4140" s="355"/>
    </row>
    <row r="4141" spans="5:13">
      <c r="E4141" s="355"/>
      <c r="F4141" s="355"/>
      <c r="G4141" s="355"/>
      <c r="H4141" s="355"/>
      <c r="I4141" s="355"/>
      <c r="J4141" s="355"/>
      <c r="K4141" s="355"/>
      <c r="L4141" s="355"/>
      <c r="M4141" s="355"/>
    </row>
    <row r="4142" spans="5:13">
      <c r="E4142" s="355"/>
      <c r="F4142" s="355"/>
      <c r="G4142" s="355"/>
      <c r="H4142" s="355"/>
      <c r="I4142" s="355"/>
      <c r="J4142" s="355"/>
      <c r="K4142" s="355"/>
      <c r="L4142" s="355"/>
      <c r="M4142" s="355"/>
    </row>
    <row r="4143" spans="5:13">
      <c r="E4143" s="355"/>
      <c r="F4143" s="355"/>
      <c r="G4143" s="355"/>
      <c r="H4143" s="355"/>
      <c r="I4143" s="355"/>
      <c r="J4143" s="355"/>
      <c r="K4143" s="355"/>
      <c r="L4143" s="355"/>
      <c r="M4143" s="355"/>
    </row>
    <row r="4144" spans="5:13">
      <c r="E4144" s="355"/>
      <c r="F4144" s="355"/>
      <c r="G4144" s="355"/>
      <c r="H4144" s="355"/>
      <c r="I4144" s="355"/>
      <c r="J4144" s="355"/>
      <c r="K4144" s="355"/>
      <c r="L4144" s="355"/>
      <c r="M4144" s="355"/>
    </row>
    <row r="4145" spans="5:13">
      <c r="E4145" s="355"/>
      <c r="F4145" s="355"/>
      <c r="G4145" s="355"/>
      <c r="H4145" s="355"/>
      <c r="I4145" s="355"/>
      <c r="J4145" s="355"/>
      <c r="K4145" s="355"/>
      <c r="L4145" s="355"/>
      <c r="M4145" s="355"/>
    </row>
    <row r="4146" spans="5:13">
      <c r="E4146" s="355"/>
      <c r="F4146" s="355"/>
      <c r="G4146" s="355"/>
      <c r="H4146" s="355"/>
      <c r="I4146" s="355"/>
      <c r="J4146" s="355"/>
      <c r="K4146" s="355"/>
      <c r="L4146" s="355"/>
      <c r="M4146" s="355"/>
    </row>
    <row r="4147" spans="5:13">
      <c r="E4147" s="355"/>
      <c r="F4147" s="355"/>
      <c r="G4147" s="355"/>
      <c r="H4147" s="355"/>
      <c r="I4147" s="355"/>
      <c r="J4147" s="355"/>
      <c r="K4147" s="355"/>
      <c r="L4147" s="355"/>
      <c r="M4147" s="355"/>
    </row>
    <row r="4148" spans="5:13">
      <c r="E4148" s="355"/>
      <c r="F4148" s="355"/>
      <c r="G4148" s="355"/>
      <c r="H4148" s="355"/>
      <c r="I4148" s="355"/>
      <c r="J4148" s="355"/>
      <c r="K4148" s="355"/>
      <c r="L4148" s="355"/>
      <c r="M4148" s="355"/>
    </row>
    <row r="4149" spans="5:13">
      <c r="E4149" s="355"/>
      <c r="F4149" s="355"/>
      <c r="G4149" s="355"/>
      <c r="H4149" s="355"/>
      <c r="I4149" s="355"/>
      <c r="J4149" s="355"/>
      <c r="K4149" s="355"/>
      <c r="L4149" s="355"/>
      <c r="M4149" s="355"/>
    </row>
    <row r="4150" spans="5:13">
      <c r="E4150" s="355"/>
      <c r="F4150" s="355"/>
      <c r="G4150" s="355"/>
      <c r="H4150" s="355"/>
      <c r="I4150" s="355"/>
      <c r="J4150" s="355"/>
      <c r="K4150" s="355"/>
      <c r="L4150" s="355"/>
      <c r="M4150" s="355"/>
    </row>
    <row r="4151" spans="5:13">
      <c r="E4151" s="355"/>
      <c r="F4151" s="355"/>
      <c r="G4151" s="355"/>
      <c r="H4151" s="355"/>
      <c r="I4151" s="355"/>
      <c r="J4151" s="355"/>
      <c r="K4151" s="355"/>
      <c r="L4151" s="355"/>
      <c r="M4151" s="355"/>
    </row>
    <row r="4152" spans="5:13">
      <c r="E4152" s="355"/>
      <c r="F4152" s="355"/>
      <c r="G4152" s="355"/>
      <c r="H4152" s="355"/>
      <c r="I4152" s="355"/>
      <c r="J4152" s="355"/>
      <c r="K4152" s="355"/>
      <c r="L4152" s="355"/>
      <c r="M4152" s="355"/>
    </row>
    <row r="4153" spans="5:13">
      <c r="E4153" s="355"/>
      <c r="F4153" s="355"/>
      <c r="G4153" s="355"/>
      <c r="H4153" s="355"/>
      <c r="I4153" s="355"/>
      <c r="J4153" s="355"/>
      <c r="K4153" s="355"/>
      <c r="L4153" s="355"/>
      <c r="M4153" s="355"/>
    </row>
    <row r="4154" spans="5:13">
      <c r="E4154" s="355"/>
      <c r="F4154" s="355"/>
      <c r="G4154" s="355"/>
      <c r="H4154" s="355"/>
      <c r="I4154" s="355"/>
      <c r="J4154" s="355"/>
      <c r="K4154" s="355"/>
      <c r="L4154" s="355"/>
      <c r="M4154" s="355"/>
    </row>
    <row r="4155" spans="5:13">
      <c r="E4155" s="355"/>
      <c r="F4155" s="355"/>
      <c r="G4155" s="355"/>
      <c r="H4155" s="355"/>
      <c r="I4155" s="355"/>
      <c r="J4155" s="355"/>
      <c r="K4155" s="355"/>
      <c r="L4155" s="355"/>
      <c r="M4155" s="355"/>
    </row>
    <row r="4156" spans="5:13">
      <c r="E4156" s="355"/>
      <c r="F4156" s="355"/>
      <c r="G4156" s="355"/>
      <c r="H4156" s="355"/>
      <c r="I4156" s="355"/>
      <c r="J4156" s="355"/>
      <c r="K4156" s="355"/>
      <c r="L4156" s="355"/>
      <c r="M4156" s="355"/>
    </row>
    <row r="4157" spans="5:13">
      <c r="E4157" s="355"/>
      <c r="F4157" s="355"/>
      <c r="G4157" s="355"/>
      <c r="H4157" s="355"/>
      <c r="I4157" s="355"/>
      <c r="J4157" s="355"/>
      <c r="K4157" s="355"/>
      <c r="L4157" s="355"/>
      <c r="M4157" s="355"/>
    </row>
    <row r="4158" spans="5:13">
      <c r="E4158" s="355"/>
      <c r="F4158" s="355"/>
      <c r="G4158" s="355"/>
      <c r="H4158" s="355"/>
      <c r="I4158" s="355"/>
      <c r="J4158" s="355"/>
      <c r="K4158" s="355"/>
      <c r="L4158" s="355"/>
      <c r="M4158" s="355"/>
    </row>
    <row r="4159" spans="5:13">
      <c r="E4159" s="355"/>
      <c r="F4159" s="355"/>
      <c r="G4159" s="355"/>
      <c r="H4159" s="355"/>
      <c r="I4159" s="355"/>
      <c r="J4159" s="355"/>
      <c r="K4159" s="355"/>
      <c r="L4159" s="355"/>
      <c r="M4159" s="355"/>
    </row>
    <row r="4160" spans="5:13">
      <c r="E4160" s="355"/>
      <c r="F4160" s="355"/>
      <c r="G4160" s="355"/>
      <c r="H4160" s="355"/>
      <c r="I4160" s="355"/>
      <c r="J4160" s="355"/>
      <c r="K4160" s="355"/>
      <c r="L4160" s="355"/>
      <c r="M4160" s="355"/>
    </row>
    <row r="4161" spans="5:13">
      <c r="E4161" s="355"/>
      <c r="F4161" s="355"/>
      <c r="G4161" s="355"/>
      <c r="H4161" s="355"/>
      <c r="I4161" s="355"/>
      <c r="J4161" s="355"/>
      <c r="K4161" s="355"/>
      <c r="L4161" s="355"/>
      <c r="M4161" s="355"/>
    </row>
    <row r="4162" spans="5:13">
      <c r="E4162" s="355"/>
      <c r="F4162" s="355"/>
      <c r="G4162" s="355"/>
      <c r="H4162" s="355"/>
      <c r="I4162" s="355"/>
      <c r="J4162" s="355"/>
      <c r="K4162" s="355"/>
      <c r="L4162" s="355"/>
      <c r="M4162" s="355"/>
    </row>
    <row r="4163" spans="5:13">
      <c r="E4163" s="355"/>
      <c r="F4163" s="355"/>
      <c r="G4163" s="355"/>
      <c r="H4163" s="355"/>
      <c r="I4163" s="355"/>
      <c r="J4163" s="355"/>
      <c r="K4163" s="355"/>
      <c r="L4163" s="355"/>
      <c r="M4163" s="355"/>
    </row>
    <row r="4164" spans="5:13">
      <c r="E4164" s="355"/>
      <c r="F4164" s="355"/>
      <c r="G4164" s="355"/>
      <c r="H4164" s="355"/>
      <c r="I4164" s="355"/>
      <c r="J4164" s="355"/>
      <c r="K4164" s="355"/>
      <c r="L4164" s="355"/>
      <c r="M4164" s="355"/>
    </row>
    <row r="4165" spans="5:13">
      <c r="E4165" s="355"/>
      <c r="F4165" s="355"/>
      <c r="G4165" s="355"/>
      <c r="H4165" s="355"/>
      <c r="I4165" s="355"/>
      <c r="J4165" s="355"/>
      <c r="K4165" s="355"/>
      <c r="L4165" s="355"/>
      <c r="M4165" s="355"/>
    </row>
    <row r="4166" spans="5:13">
      <c r="E4166" s="355"/>
      <c r="F4166" s="355"/>
      <c r="G4166" s="355"/>
      <c r="H4166" s="355"/>
      <c r="I4166" s="355"/>
      <c r="J4166" s="355"/>
      <c r="K4166" s="355"/>
      <c r="L4166" s="355"/>
      <c r="M4166" s="355"/>
    </row>
    <row r="4167" spans="5:13">
      <c r="E4167" s="355"/>
      <c r="F4167" s="355"/>
      <c r="G4167" s="355"/>
      <c r="H4167" s="355"/>
      <c r="I4167" s="355"/>
      <c r="J4167" s="355"/>
      <c r="K4167" s="355"/>
      <c r="L4167" s="355"/>
      <c r="M4167" s="355"/>
    </row>
    <row r="4168" spans="5:13">
      <c r="E4168" s="355"/>
      <c r="F4168" s="355"/>
      <c r="G4168" s="355"/>
      <c r="H4168" s="355"/>
      <c r="I4168" s="355"/>
      <c r="J4168" s="355"/>
      <c r="K4168" s="355"/>
      <c r="L4168" s="355"/>
      <c r="M4168" s="355"/>
    </row>
    <row r="4169" spans="5:13">
      <c r="E4169" s="355"/>
      <c r="F4169" s="355"/>
      <c r="G4169" s="355"/>
      <c r="H4169" s="355"/>
      <c r="I4169" s="355"/>
      <c r="J4169" s="355"/>
      <c r="K4169" s="355"/>
      <c r="L4169" s="355"/>
      <c r="M4169" s="355"/>
    </row>
    <row r="4170" spans="5:13">
      <c r="E4170" s="355"/>
      <c r="F4170" s="355"/>
      <c r="G4170" s="355"/>
      <c r="H4170" s="355"/>
      <c r="I4170" s="355"/>
      <c r="J4170" s="355"/>
      <c r="K4170" s="355"/>
      <c r="L4170" s="355"/>
      <c r="M4170" s="355"/>
    </row>
    <row r="4171" spans="5:13">
      <c r="E4171" s="355"/>
      <c r="F4171" s="355"/>
      <c r="G4171" s="355"/>
      <c r="H4171" s="355"/>
      <c r="I4171" s="355"/>
      <c r="J4171" s="355"/>
      <c r="K4171" s="355"/>
      <c r="L4171" s="355"/>
      <c r="M4171" s="355"/>
    </row>
    <row r="4172" spans="5:13">
      <c r="E4172" s="355"/>
      <c r="F4172" s="355"/>
      <c r="G4172" s="355"/>
      <c r="H4172" s="355"/>
      <c r="I4172" s="355"/>
      <c r="J4172" s="355"/>
      <c r="K4172" s="355"/>
      <c r="L4172" s="355"/>
      <c r="M4172" s="355"/>
    </row>
    <row r="4173" spans="5:13">
      <c r="E4173" s="355"/>
      <c r="F4173" s="355"/>
      <c r="G4173" s="355"/>
      <c r="H4173" s="355"/>
      <c r="I4173" s="355"/>
      <c r="J4173" s="355"/>
      <c r="K4173" s="355"/>
      <c r="L4173" s="355"/>
      <c r="M4173" s="355"/>
    </row>
    <row r="4174" spans="5:13">
      <c r="E4174" s="355"/>
      <c r="F4174" s="355"/>
      <c r="G4174" s="355"/>
      <c r="H4174" s="355"/>
      <c r="I4174" s="355"/>
      <c r="J4174" s="355"/>
      <c r="K4174" s="355"/>
      <c r="L4174" s="355"/>
      <c r="M4174" s="355"/>
    </row>
    <row r="4175" spans="5:13">
      <c r="E4175" s="355"/>
      <c r="F4175" s="355"/>
      <c r="G4175" s="355"/>
      <c r="H4175" s="355"/>
      <c r="I4175" s="355"/>
      <c r="J4175" s="355"/>
      <c r="K4175" s="355"/>
      <c r="L4175" s="355"/>
      <c r="M4175" s="355"/>
    </row>
    <row r="4176" spans="5:13">
      <c r="E4176" s="355"/>
      <c r="F4176" s="355"/>
      <c r="G4176" s="355"/>
      <c r="H4176" s="355"/>
      <c r="I4176" s="355"/>
      <c r="J4176" s="355"/>
      <c r="K4176" s="355"/>
      <c r="L4176" s="355"/>
      <c r="M4176" s="355"/>
    </row>
    <row r="4177" spans="5:13">
      <c r="E4177" s="355"/>
      <c r="F4177" s="355"/>
      <c r="G4177" s="355"/>
      <c r="H4177" s="355"/>
      <c r="I4177" s="355"/>
      <c r="J4177" s="355"/>
      <c r="K4177" s="355"/>
      <c r="L4177" s="355"/>
      <c r="M4177" s="355"/>
    </row>
    <row r="4178" spans="5:13">
      <c r="E4178" s="355"/>
      <c r="F4178" s="355"/>
      <c r="G4178" s="355"/>
      <c r="H4178" s="355"/>
      <c r="I4178" s="355"/>
      <c r="J4178" s="355"/>
      <c r="K4178" s="355"/>
      <c r="L4178" s="355"/>
      <c r="M4178" s="355"/>
    </row>
    <row r="4179" spans="5:13">
      <c r="E4179" s="355"/>
      <c r="F4179" s="355"/>
      <c r="G4179" s="355"/>
      <c r="H4179" s="355"/>
      <c r="I4179" s="355"/>
      <c r="J4179" s="355"/>
      <c r="K4179" s="355"/>
      <c r="L4179" s="355"/>
      <c r="M4179" s="355"/>
    </row>
    <row r="4180" spans="5:13">
      <c r="E4180" s="355"/>
      <c r="F4180" s="355"/>
      <c r="G4180" s="355"/>
      <c r="H4180" s="355"/>
      <c r="I4180" s="355"/>
      <c r="J4180" s="355"/>
      <c r="K4180" s="355"/>
      <c r="L4180" s="355"/>
      <c r="M4180" s="355"/>
    </row>
    <row r="4181" spans="5:13">
      <c r="E4181" s="355"/>
      <c r="F4181" s="355"/>
      <c r="G4181" s="355"/>
      <c r="H4181" s="355"/>
      <c r="I4181" s="355"/>
      <c r="J4181" s="355"/>
      <c r="K4181" s="355"/>
      <c r="L4181" s="355"/>
      <c r="M4181" s="355"/>
    </row>
    <row r="4182" spans="5:13">
      <c r="E4182" s="355"/>
      <c r="F4182" s="355"/>
      <c r="G4182" s="355"/>
      <c r="H4182" s="355"/>
      <c r="I4182" s="355"/>
      <c r="J4182" s="355"/>
      <c r="K4182" s="355"/>
      <c r="L4182" s="355"/>
      <c r="M4182" s="355"/>
    </row>
    <row r="4183" spans="5:13">
      <c r="E4183" s="355"/>
      <c r="F4183" s="355"/>
      <c r="G4183" s="355"/>
      <c r="H4183" s="355"/>
      <c r="I4183" s="355"/>
      <c r="J4183" s="355"/>
      <c r="K4183" s="355"/>
      <c r="L4183" s="355"/>
      <c r="M4183" s="355"/>
    </row>
    <row r="4184" spans="5:13">
      <c r="E4184" s="355"/>
      <c r="F4184" s="355"/>
      <c r="G4184" s="355"/>
      <c r="H4184" s="355"/>
      <c r="I4184" s="355"/>
      <c r="J4184" s="355"/>
      <c r="K4184" s="355"/>
      <c r="L4184" s="355"/>
      <c r="M4184" s="355"/>
    </row>
    <row r="4185" spans="5:13">
      <c r="E4185" s="355"/>
      <c r="F4185" s="355"/>
      <c r="G4185" s="355"/>
      <c r="H4185" s="355"/>
      <c r="I4185" s="355"/>
      <c r="J4185" s="355"/>
      <c r="K4185" s="355"/>
      <c r="L4185" s="355"/>
      <c r="M4185" s="355"/>
    </row>
    <row r="4186" spans="5:13">
      <c r="E4186" s="355"/>
      <c r="F4186" s="355"/>
      <c r="G4186" s="355"/>
      <c r="H4186" s="355"/>
      <c r="I4186" s="355"/>
      <c r="J4186" s="355"/>
      <c r="K4186" s="355"/>
      <c r="L4186" s="355"/>
      <c r="M4186" s="355"/>
    </row>
    <row r="4187" spans="5:13">
      <c r="E4187" s="355"/>
      <c r="F4187" s="355"/>
      <c r="G4187" s="355"/>
      <c r="H4187" s="355"/>
      <c r="I4187" s="355"/>
      <c r="J4187" s="355"/>
      <c r="K4187" s="355"/>
      <c r="L4187" s="355"/>
      <c r="M4187" s="355"/>
    </row>
    <row r="4188" spans="5:13">
      <c r="E4188" s="355"/>
      <c r="F4188" s="355"/>
      <c r="G4188" s="355"/>
      <c r="H4188" s="355"/>
      <c r="I4188" s="355"/>
      <c r="J4188" s="355"/>
      <c r="K4188" s="355"/>
      <c r="L4188" s="355"/>
      <c r="M4188" s="355"/>
    </row>
    <row r="4189" spans="5:13">
      <c r="E4189" s="355"/>
      <c r="F4189" s="355"/>
      <c r="G4189" s="355"/>
      <c r="H4189" s="355"/>
      <c r="I4189" s="355"/>
      <c r="J4189" s="355"/>
      <c r="K4189" s="355"/>
      <c r="L4189" s="355"/>
      <c r="M4189" s="355"/>
    </row>
    <row r="4190" spans="5:13">
      <c r="E4190" s="355"/>
      <c r="F4190" s="355"/>
      <c r="G4190" s="355"/>
      <c r="H4190" s="355"/>
      <c r="I4190" s="355"/>
      <c r="J4190" s="355"/>
      <c r="K4190" s="355"/>
      <c r="L4190" s="355"/>
      <c r="M4190" s="355"/>
    </row>
    <row r="4191" spans="5:13">
      <c r="E4191" s="355"/>
      <c r="F4191" s="355"/>
      <c r="G4191" s="355"/>
      <c r="H4191" s="355"/>
      <c r="I4191" s="355"/>
      <c r="J4191" s="355"/>
      <c r="K4191" s="355"/>
      <c r="L4191" s="355"/>
      <c r="M4191" s="355"/>
    </row>
    <row r="4192" spans="5:13">
      <c r="E4192" s="355"/>
      <c r="F4192" s="355"/>
      <c r="G4192" s="355"/>
      <c r="H4192" s="355"/>
      <c r="I4192" s="355"/>
      <c r="J4192" s="355"/>
      <c r="K4192" s="355"/>
      <c r="L4192" s="355"/>
      <c r="M4192" s="355"/>
    </row>
    <row r="4193" spans="5:13">
      <c r="E4193" s="355"/>
      <c r="F4193" s="355"/>
      <c r="G4193" s="355"/>
      <c r="H4193" s="355"/>
      <c r="I4193" s="355"/>
      <c r="J4193" s="355"/>
      <c r="K4193" s="355"/>
      <c r="L4193" s="355"/>
      <c r="M4193" s="355"/>
    </row>
    <row r="4194" spans="5:13">
      <c r="E4194" s="355"/>
      <c r="F4194" s="355"/>
      <c r="G4194" s="355"/>
      <c r="H4194" s="355"/>
      <c r="I4194" s="355"/>
      <c r="J4194" s="355"/>
      <c r="K4194" s="355"/>
      <c r="L4194" s="355"/>
      <c r="M4194" s="355"/>
    </row>
    <row r="4195" spans="5:13">
      <c r="E4195" s="355"/>
      <c r="F4195" s="355"/>
      <c r="G4195" s="355"/>
      <c r="H4195" s="355"/>
      <c r="I4195" s="355"/>
      <c r="J4195" s="355"/>
      <c r="K4195" s="355"/>
      <c r="L4195" s="355"/>
      <c r="M4195" s="355"/>
    </row>
    <row r="4196" spans="5:13">
      <c r="E4196" s="355"/>
      <c r="F4196" s="355"/>
      <c r="G4196" s="355"/>
      <c r="H4196" s="355"/>
      <c r="I4196" s="355"/>
      <c r="J4196" s="355"/>
      <c r="K4196" s="355"/>
      <c r="L4196" s="355"/>
      <c r="M4196" s="355"/>
    </row>
    <row r="4197" spans="5:13">
      <c r="E4197" s="355"/>
      <c r="F4197" s="355"/>
      <c r="G4197" s="355"/>
      <c r="H4197" s="355"/>
      <c r="I4197" s="355"/>
      <c r="J4197" s="355"/>
      <c r="K4197" s="355"/>
      <c r="L4197" s="355"/>
      <c r="M4197" s="355"/>
    </row>
    <row r="4198" spans="5:13">
      <c r="E4198" s="355"/>
      <c r="F4198" s="355"/>
      <c r="G4198" s="355"/>
      <c r="H4198" s="355"/>
      <c r="I4198" s="355"/>
      <c r="J4198" s="355"/>
      <c r="K4198" s="355"/>
      <c r="L4198" s="355"/>
      <c r="M4198" s="355"/>
    </row>
    <row r="4199" spans="5:13">
      <c r="E4199" s="355"/>
      <c r="F4199" s="355"/>
      <c r="G4199" s="355"/>
      <c r="H4199" s="355"/>
      <c r="I4199" s="355"/>
      <c r="J4199" s="355"/>
      <c r="K4199" s="355"/>
      <c r="L4199" s="355"/>
      <c r="M4199" s="355"/>
    </row>
    <row r="4200" spans="5:13">
      <c r="E4200" s="355"/>
      <c r="F4200" s="355"/>
      <c r="G4200" s="355"/>
      <c r="H4200" s="355"/>
      <c r="I4200" s="355"/>
      <c r="J4200" s="355"/>
      <c r="K4200" s="355"/>
      <c r="L4200" s="355"/>
      <c r="M4200" s="355"/>
    </row>
    <row r="4201" spans="5:13">
      <c r="E4201" s="355"/>
      <c r="F4201" s="355"/>
      <c r="G4201" s="355"/>
      <c r="H4201" s="355"/>
      <c r="I4201" s="355"/>
      <c r="J4201" s="355"/>
      <c r="K4201" s="355"/>
      <c r="L4201" s="355"/>
      <c r="M4201" s="355"/>
    </row>
    <row r="4202" spans="5:13">
      <c r="E4202" s="355"/>
      <c r="F4202" s="355"/>
      <c r="G4202" s="355"/>
      <c r="H4202" s="355"/>
      <c r="I4202" s="355"/>
      <c r="J4202" s="355"/>
      <c r="K4202" s="355"/>
      <c r="L4202" s="355"/>
      <c r="M4202" s="355"/>
    </row>
    <row r="4203" spans="5:13">
      <c r="E4203" s="355"/>
      <c r="F4203" s="355"/>
      <c r="G4203" s="355"/>
      <c r="H4203" s="355"/>
      <c r="I4203" s="355"/>
      <c r="J4203" s="355"/>
      <c r="K4203" s="355"/>
      <c r="L4203" s="355"/>
      <c r="M4203" s="355"/>
    </row>
    <row r="4204" spans="5:13">
      <c r="E4204" s="355"/>
      <c r="F4204" s="355"/>
      <c r="G4204" s="355"/>
      <c r="H4204" s="355"/>
      <c r="I4204" s="355"/>
      <c r="J4204" s="355"/>
      <c r="K4204" s="355"/>
      <c r="L4204" s="355"/>
      <c r="M4204" s="355"/>
    </row>
    <row r="4205" spans="5:13">
      <c r="E4205" s="355"/>
      <c r="F4205" s="355"/>
      <c r="G4205" s="355"/>
      <c r="H4205" s="355"/>
      <c r="I4205" s="355"/>
      <c r="J4205" s="355"/>
      <c r="K4205" s="355"/>
      <c r="L4205" s="355"/>
      <c r="M4205" s="355"/>
    </row>
    <row r="4206" spans="5:13">
      <c r="E4206" s="355"/>
      <c r="F4206" s="355"/>
      <c r="G4206" s="355"/>
      <c r="H4206" s="355"/>
      <c r="I4206" s="355"/>
      <c r="J4206" s="355"/>
      <c r="K4206" s="355"/>
      <c r="L4206" s="355"/>
      <c r="M4206" s="355"/>
    </row>
    <row r="4207" spans="5:13">
      <c r="E4207" s="355"/>
      <c r="F4207" s="355"/>
      <c r="G4207" s="355"/>
      <c r="H4207" s="355"/>
      <c r="I4207" s="355"/>
      <c r="J4207" s="355"/>
      <c r="K4207" s="355"/>
      <c r="L4207" s="355"/>
      <c r="M4207" s="355"/>
    </row>
    <row r="4208" spans="5:13">
      <c r="E4208" s="355"/>
      <c r="F4208" s="355"/>
      <c r="G4208" s="355"/>
      <c r="H4208" s="355"/>
      <c r="I4208" s="355"/>
      <c r="J4208" s="355"/>
      <c r="K4208" s="355"/>
      <c r="L4208" s="355"/>
      <c r="M4208" s="355"/>
    </row>
    <row r="4209" spans="5:13">
      <c r="E4209" s="355"/>
      <c r="F4209" s="355"/>
      <c r="G4209" s="355"/>
      <c r="H4209" s="355"/>
      <c r="I4209" s="355"/>
      <c r="J4209" s="355"/>
      <c r="K4209" s="355"/>
      <c r="L4209" s="355"/>
      <c r="M4209" s="355"/>
    </row>
    <row r="4210" spans="5:13">
      <c r="E4210" s="355"/>
      <c r="F4210" s="355"/>
      <c r="G4210" s="355"/>
      <c r="H4210" s="355"/>
      <c r="I4210" s="355"/>
      <c r="J4210" s="355"/>
      <c r="K4210" s="355"/>
      <c r="L4210" s="355"/>
      <c r="M4210" s="355"/>
    </row>
    <row r="4211" spans="5:13">
      <c r="E4211" s="355"/>
      <c r="F4211" s="355"/>
      <c r="G4211" s="355"/>
      <c r="H4211" s="355"/>
      <c r="I4211" s="355"/>
      <c r="J4211" s="355"/>
      <c r="K4211" s="355"/>
      <c r="L4211" s="355"/>
      <c r="M4211" s="355"/>
    </row>
    <row r="4212" spans="5:13">
      <c r="E4212" s="355"/>
      <c r="F4212" s="355"/>
      <c r="G4212" s="355"/>
      <c r="H4212" s="355"/>
      <c r="I4212" s="355"/>
      <c r="J4212" s="355"/>
      <c r="K4212" s="355"/>
      <c r="L4212" s="355"/>
      <c r="M4212" s="355"/>
    </row>
    <row r="4213" spans="5:13">
      <c r="E4213" s="355"/>
      <c r="F4213" s="355"/>
      <c r="G4213" s="355"/>
      <c r="H4213" s="355"/>
      <c r="I4213" s="355"/>
      <c r="J4213" s="355"/>
      <c r="K4213" s="355"/>
      <c r="L4213" s="355"/>
      <c r="M4213" s="355"/>
    </row>
    <row r="4214" spans="5:13">
      <c r="E4214" s="355"/>
      <c r="F4214" s="355"/>
      <c r="G4214" s="355"/>
      <c r="H4214" s="355"/>
      <c r="I4214" s="355"/>
      <c r="J4214" s="355"/>
      <c r="K4214" s="355"/>
      <c r="L4214" s="355"/>
      <c r="M4214" s="355"/>
    </row>
    <row r="4215" spans="5:13">
      <c r="E4215" s="355"/>
      <c r="F4215" s="355"/>
      <c r="G4215" s="355"/>
      <c r="H4215" s="355"/>
      <c r="I4215" s="355"/>
      <c r="J4215" s="355"/>
      <c r="K4215" s="355"/>
      <c r="L4215" s="355"/>
      <c r="M4215" s="355"/>
    </row>
    <row r="4216" spans="5:13">
      <c r="E4216" s="355"/>
      <c r="F4216" s="355"/>
      <c r="G4216" s="355"/>
      <c r="H4216" s="355"/>
      <c r="I4216" s="355"/>
      <c r="J4216" s="355"/>
      <c r="K4216" s="355"/>
      <c r="L4216" s="355"/>
      <c r="M4216" s="355"/>
    </row>
    <row r="4217" spans="5:13">
      <c r="E4217" s="355"/>
      <c r="F4217" s="355"/>
      <c r="G4217" s="355"/>
      <c r="H4217" s="355"/>
      <c r="I4217" s="355"/>
      <c r="J4217" s="355"/>
      <c r="K4217" s="355"/>
      <c r="L4217" s="355"/>
      <c r="M4217" s="355"/>
    </row>
    <row r="4218" spans="5:13">
      <c r="E4218" s="355"/>
      <c r="F4218" s="355"/>
      <c r="G4218" s="355"/>
      <c r="H4218" s="355"/>
      <c r="I4218" s="355"/>
      <c r="J4218" s="355"/>
      <c r="K4218" s="355"/>
      <c r="L4218" s="355"/>
      <c r="M4218" s="355"/>
    </row>
    <row r="4219" spans="5:13">
      <c r="E4219" s="355"/>
      <c r="F4219" s="355"/>
      <c r="G4219" s="355"/>
      <c r="H4219" s="355"/>
      <c r="I4219" s="355"/>
      <c r="J4219" s="355"/>
      <c r="K4219" s="355"/>
      <c r="L4219" s="355"/>
      <c r="M4219" s="355"/>
    </row>
    <row r="4220" spans="5:13">
      <c r="E4220" s="355"/>
      <c r="F4220" s="355"/>
      <c r="G4220" s="355"/>
      <c r="H4220" s="355"/>
      <c r="I4220" s="355"/>
      <c r="J4220" s="355"/>
      <c r="K4220" s="355"/>
      <c r="L4220" s="355"/>
      <c r="M4220" s="355"/>
    </row>
    <row r="4221" spans="5:13">
      <c r="E4221" s="355"/>
      <c r="F4221" s="355"/>
      <c r="G4221" s="355"/>
      <c r="H4221" s="355"/>
      <c r="I4221" s="355"/>
      <c r="J4221" s="355"/>
      <c r="K4221" s="355"/>
      <c r="L4221" s="355"/>
      <c r="M4221" s="355"/>
    </row>
    <row r="4222" spans="5:13">
      <c r="E4222" s="355"/>
      <c r="F4222" s="355"/>
      <c r="G4222" s="355"/>
      <c r="H4222" s="355"/>
      <c r="I4222" s="355"/>
      <c r="J4222" s="355"/>
      <c r="K4222" s="355"/>
      <c r="L4222" s="355"/>
      <c r="M4222" s="355"/>
    </row>
    <row r="4223" spans="5:13">
      <c r="E4223" s="355"/>
      <c r="F4223" s="355"/>
      <c r="G4223" s="355"/>
      <c r="H4223" s="355"/>
      <c r="I4223" s="355"/>
      <c r="J4223" s="355"/>
      <c r="K4223" s="355"/>
      <c r="L4223" s="355"/>
      <c r="M4223" s="355"/>
    </row>
    <row r="4224" spans="5:13">
      <c r="E4224" s="355"/>
      <c r="F4224" s="355"/>
      <c r="G4224" s="355"/>
      <c r="H4224" s="355"/>
      <c r="I4224" s="355"/>
      <c r="J4224" s="355"/>
      <c r="K4224" s="355"/>
      <c r="L4224" s="355"/>
      <c r="M4224" s="355"/>
    </row>
    <row r="4225" spans="5:13">
      <c r="E4225" s="355"/>
      <c r="F4225" s="355"/>
      <c r="G4225" s="355"/>
      <c r="H4225" s="355"/>
      <c r="I4225" s="355"/>
      <c r="J4225" s="355"/>
      <c r="K4225" s="355"/>
      <c r="L4225" s="355"/>
      <c r="M4225" s="355"/>
    </row>
    <row r="4226" spans="5:13">
      <c r="E4226" s="355"/>
      <c r="F4226" s="355"/>
      <c r="G4226" s="355"/>
      <c r="H4226" s="355"/>
      <c r="I4226" s="355"/>
      <c r="J4226" s="355"/>
      <c r="K4226" s="355"/>
      <c r="L4226" s="355"/>
      <c r="M4226" s="355"/>
    </row>
    <row r="4227" spans="5:13">
      <c r="E4227" s="355"/>
      <c r="F4227" s="355"/>
      <c r="G4227" s="355"/>
      <c r="H4227" s="355"/>
      <c r="I4227" s="355"/>
      <c r="J4227" s="355"/>
      <c r="K4227" s="355"/>
      <c r="L4227" s="355"/>
      <c r="M4227" s="355"/>
    </row>
    <row r="4228" spans="5:13">
      <c r="E4228" s="355"/>
      <c r="F4228" s="355"/>
      <c r="G4228" s="355"/>
      <c r="H4228" s="355"/>
      <c r="I4228" s="355"/>
      <c r="J4228" s="355"/>
      <c r="K4228" s="355"/>
      <c r="L4228" s="355"/>
      <c r="M4228" s="355"/>
    </row>
    <row r="4229" spans="5:13">
      <c r="E4229" s="355"/>
      <c r="F4229" s="355"/>
      <c r="G4229" s="355"/>
      <c r="H4229" s="355"/>
      <c r="I4229" s="355"/>
      <c r="J4229" s="355"/>
      <c r="K4229" s="355"/>
      <c r="L4229" s="355"/>
      <c r="M4229" s="355"/>
    </row>
    <row r="4230" spans="5:13">
      <c r="E4230" s="355"/>
      <c r="F4230" s="355"/>
      <c r="G4230" s="355"/>
      <c r="H4230" s="355"/>
      <c r="I4230" s="355"/>
      <c r="J4230" s="355"/>
      <c r="K4230" s="355"/>
      <c r="L4230" s="355"/>
      <c r="M4230" s="355"/>
    </row>
    <row r="4231" spans="5:13">
      <c r="E4231" s="355"/>
      <c r="F4231" s="355"/>
      <c r="G4231" s="355"/>
      <c r="H4231" s="355"/>
      <c r="I4231" s="355"/>
      <c r="J4231" s="355"/>
      <c r="K4231" s="355"/>
      <c r="L4231" s="355"/>
      <c r="M4231" s="355"/>
    </row>
    <row r="4232" spans="5:13">
      <c r="E4232" s="355"/>
      <c r="F4232" s="355"/>
      <c r="G4232" s="355"/>
      <c r="H4232" s="355"/>
      <c r="I4232" s="355"/>
      <c r="J4232" s="355"/>
      <c r="K4232" s="355"/>
      <c r="L4232" s="355"/>
      <c r="M4232" s="355"/>
    </row>
    <row r="4233" spans="5:13">
      <c r="E4233" s="355"/>
      <c r="F4233" s="355"/>
      <c r="G4233" s="355"/>
      <c r="H4233" s="355"/>
      <c r="I4233" s="355"/>
      <c r="J4233" s="355"/>
      <c r="K4233" s="355"/>
      <c r="L4233" s="355"/>
      <c r="M4233" s="355"/>
    </row>
    <row r="4234" spans="5:13">
      <c r="E4234" s="355"/>
      <c r="F4234" s="355"/>
      <c r="G4234" s="355"/>
      <c r="H4234" s="355"/>
      <c r="I4234" s="355"/>
      <c r="J4234" s="355"/>
      <c r="K4234" s="355"/>
      <c r="L4234" s="355"/>
      <c r="M4234" s="355"/>
    </row>
    <row r="4235" spans="5:13">
      <c r="E4235" s="355"/>
      <c r="F4235" s="355"/>
      <c r="G4235" s="355"/>
      <c r="H4235" s="355"/>
      <c r="I4235" s="355"/>
      <c r="J4235" s="355"/>
      <c r="K4235" s="355"/>
      <c r="L4235" s="355"/>
      <c r="M4235" s="355"/>
    </row>
    <row r="4236" spans="5:13">
      <c r="E4236" s="355"/>
      <c r="F4236" s="355"/>
      <c r="G4236" s="355"/>
      <c r="H4236" s="355"/>
      <c r="I4236" s="355"/>
      <c r="J4236" s="355"/>
      <c r="K4236" s="355"/>
      <c r="L4236" s="355"/>
      <c r="M4236" s="355"/>
    </row>
    <row r="4237" spans="5:13">
      <c r="E4237" s="355"/>
      <c r="F4237" s="355"/>
      <c r="G4237" s="355"/>
      <c r="H4237" s="355"/>
      <c r="I4237" s="355"/>
      <c r="J4237" s="355"/>
      <c r="K4237" s="355"/>
      <c r="L4237" s="355"/>
      <c r="M4237" s="355"/>
    </row>
    <row r="4238" spans="5:13">
      <c r="E4238" s="355"/>
      <c r="F4238" s="355"/>
      <c r="G4238" s="355"/>
      <c r="H4238" s="355"/>
      <c r="I4238" s="355"/>
      <c r="J4238" s="355"/>
      <c r="K4238" s="355"/>
      <c r="L4238" s="355"/>
      <c r="M4238" s="355"/>
    </row>
    <row r="4239" spans="5:13">
      <c r="E4239" s="355"/>
      <c r="F4239" s="355"/>
      <c r="G4239" s="355"/>
      <c r="H4239" s="355"/>
      <c r="I4239" s="355"/>
      <c r="J4239" s="355"/>
      <c r="K4239" s="355"/>
      <c r="L4239" s="355"/>
      <c r="M4239" s="355"/>
    </row>
    <row r="4240" spans="5:13">
      <c r="E4240" s="355"/>
      <c r="F4240" s="355"/>
      <c r="G4240" s="355"/>
      <c r="H4240" s="355"/>
      <c r="I4240" s="355"/>
      <c r="J4240" s="355"/>
      <c r="K4240" s="355"/>
      <c r="L4240" s="355"/>
      <c r="M4240" s="355"/>
    </row>
    <row r="4241" spans="5:13">
      <c r="E4241" s="355"/>
      <c r="F4241" s="355"/>
      <c r="G4241" s="355"/>
      <c r="H4241" s="355"/>
      <c r="I4241" s="355"/>
      <c r="J4241" s="355"/>
      <c r="K4241" s="355"/>
      <c r="L4241" s="355"/>
      <c r="M4241" s="355"/>
    </row>
    <row r="4242" spans="5:13">
      <c r="E4242" s="355"/>
      <c r="F4242" s="355"/>
      <c r="G4242" s="355"/>
      <c r="H4242" s="355"/>
      <c r="I4242" s="355"/>
      <c r="J4242" s="355"/>
      <c r="K4242" s="355"/>
      <c r="L4242" s="355"/>
      <c r="M4242" s="355"/>
    </row>
    <row r="4243" spans="5:13">
      <c r="E4243" s="355"/>
      <c r="F4243" s="355"/>
      <c r="G4243" s="355"/>
      <c r="H4243" s="355"/>
      <c r="I4243" s="355"/>
      <c r="J4243" s="355"/>
      <c r="K4243" s="355"/>
      <c r="L4243" s="355"/>
      <c r="M4243" s="355"/>
    </row>
    <row r="4244" spans="5:13">
      <c r="E4244" s="355"/>
      <c r="F4244" s="355"/>
      <c r="G4244" s="355"/>
      <c r="H4244" s="355"/>
      <c r="I4244" s="355"/>
      <c r="J4244" s="355"/>
      <c r="K4244" s="355"/>
      <c r="L4244" s="355"/>
      <c r="M4244" s="355"/>
    </row>
    <row r="4245" spans="5:13">
      <c r="E4245" s="355"/>
      <c r="F4245" s="355"/>
      <c r="G4245" s="355"/>
      <c r="H4245" s="355"/>
      <c r="I4245" s="355"/>
      <c r="J4245" s="355"/>
      <c r="K4245" s="355"/>
      <c r="L4245" s="355"/>
      <c r="M4245" s="355"/>
    </row>
    <row r="4246" spans="5:13">
      <c r="E4246" s="355"/>
      <c r="F4246" s="355"/>
      <c r="G4246" s="355"/>
      <c r="H4246" s="355"/>
      <c r="I4246" s="355"/>
      <c r="J4246" s="355"/>
      <c r="K4246" s="355"/>
      <c r="L4246" s="355"/>
      <c r="M4246" s="355"/>
    </row>
    <row r="4247" spans="5:13">
      <c r="E4247" s="355"/>
      <c r="F4247" s="355"/>
      <c r="G4247" s="355"/>
      <c r="H4247" s="355"/>
      <c r="I4247" s="355"/>
      <c r="J4247" s="355"/>
      <c r="K4247" s="355"/>
      <c r="L4247" s="355"/>
      <c r="M4247" s="355"/>
    </row>
    <row r="4248" spans="5:13">
      <c r="E4248" s="355"/>
      <c r="F4248" s="355"/>
      <c r="G4248" s="355"/>
      <c r="H4248" s="355"/>
      <c r="I4248" s="355"/>
      <c r="J4248" s="355"/>
      <c r="K4248" s="355"/>
      <c r="L4248" s="355"/>
      <c r="M4248" s="355"/>
    </row>
    <row r="4249" spans="5:13">
      <c r="E4249" s="355"/>
      <c r="F4249" s="355"/>
      <c r="G4249" s="355"/>
      <c r="H4249" s="355"/>
      <c r="I4249" s="355"/>
      <c r="J4249" s="355"/>
      <c r="K4249" s="355"/>
      <c r="L4249" s="355"/>
      <c r="M4249" s="355"/>
    </row>
    <row r="4250" spans="5:13">
      <c r="E4250" s="355"/>
      <c r="F4250" s="355"/>
      <c r="G4250" s="355"/>
      <c r="H4250" s="355"/>
      <c r="I4250" s="355"/>
      <c r="J4250" s="355"/>
      <c r="K4250" s="355"/>
      <c r="L4250" s="355"/>
      <c r="M4250" s="355"/>
    </row>
    <row r="4251" spans="5:13">
      <c r="E4251" s="355"/>
      <c r="F4251" s="355"/>
      <c r="G4251" s="355"/>
      <c r="H4251" s="355"/>
      <c r="I4251" s="355"/>
      <c r="J4251" s="355"/>
      <c r="K4251" s="355"/>
      <c r="L4251" s="355"/>
      <c r="M4251" s="355"/>
    </row>
    <row r="4252" spans="5:13">
      <c r="E4252" s="355"/>
      <c r="F4252" s="355"/>
      <c r="G4252" s="355"/>
      <c r="H4252" s="355"/>
      <c r="I4252" s="355"/>
      <c r="J4252" s="355"/>
      <c r="K4252" s="355"/>
      <c r="L4252" s="355"/>
      <c r="M4252" s="355"/>
    </row>
    <row r="4253" spans="5:13">
      <c r="E4253" s="355"/>
      <c r="F4253" s="355"/>
      <c r="G4253" s="355"/>
      <c r="H4253" s="355"/>
      <c r="I4253" s="355"/>
      <c r="J4253" s="355"/>
      <c r="K4253" s="355"/>
      <c r="L4253" s="355"/>
      <c r="M4253" s="355"/>
    </row>
    <row r="4254" spans="5:13">
      <c r="E4254" s="355"/>
      <c r="F4254" s="355"/>
      <c r="G4254" s="355"/>
      <c r="H4254" s="355"/>
      <c r="I4254" s="355"/>
      <c r="J4254" s="355"/>
      <c r="K4254" s="355"/>
      <c r="L4254" s="355"/>
      <c r="M4254" s="355"/>
    </row>
    <row r="4255" spans="5:13">
      <c r="E4255" s="355"/>
      <c r="F4255" s="355"/>
      <c r="G4255" s="355"/>
      <c r="H4255" s="355"/>
      <c r="I4255" s="355"/>
      <c r="J4255" s="355"/>
      <c r="K4255" s="355"/>
      <c r="L4255" s="355"/>
      <c r="M4255" s="355"/>
    </row>
    <row r="4256" spans="5:13">
      <c r="E4256" s="355"/>
      <c r="F4256" s="355"/>
      <c r="G4256" s="355"/>
      <c r="H4256" s="355"/>
      <c r="I4256" s="355"/>
      <c r="J4256" s="355"/>
      <c r="K4256" s="355"/>
      <c r="L4256" s="355"/>
      <c r="M4256" s="355"/>
    </row>
    <row r="4257" spans="5:13">
      <c r="E4257" s="355"/>
      <c r="F4257" s="355"/>
      <c r="G4257" s="355"/>
      <c r="H4257" s="355"/>
      <c r="I4257" s="355"/>
      <c r="J4257" s="355"/>
      <c r="K4257" s="355"/>
      <c r="L4257" s="355"/>
      <c r="M4257" s="355"/>
    </row>
    <row r="4258" spans="5:13">
      <c r="E4258" s="355"/>
      <c r="F4258" s="355"/>
      <c r="G4258" s="355"/>
      <c r="H4258" s="355"/>
      <c r="I4258" s="355"/>
      <c r="J4258" s="355"/>
      <c r="K4258" s="355"/>
      <c r="L4258" s="355"/>
      <c r="M4258" s="355"/>
    </row>
    <row r="4259" spans="5:13">
      <c r="E4259" s="355"/>
      <c r="F4259" s="355"/>
      <c r="G4259" s="355"/>
      <c r="H4259" s="355"/>
      <c r="I4259" s="355"/>
      <c r="J4259" s="355"/>
      <c r="K4259" s="355"/>
      <c r="L4259" s="355"/>
      <c r="M4259" s="355"/>
    </row>
    <row r="4260" spans="5:13">
      <c r="E4260" s="355"/>
      <c r="F4260" s="355"/>
      <c r="G4260" s="355"/>
      <c r="H4260" s="355"/>
      <c r="I4260" s="355"/>
      <c r="J4260" s="355"/>
      <c r="K4260" s="355"/>
      <c r="L4260" s="355"/>
      <c r="M4260" s="355"/>
    </row>
    <row r="4261" spans="5:13">
      <c r="E4261" s="355"/>
      <c r="F4261" s="355"/>
      <c r="G4261" s="355"/>
      <c r="H4261" s="355"/>
      <c r="I4261" s="355"/>
      <c r="J4261" s="355"/>
      <c r="K4261" s="355"/>
      <c r="L4261" s="355"/>
      <c r="M4261" s="355"/>
    </row>
    <row r="4262" spans="5:13">
      <c r="E4262" s="355"/>
      <c r="F4262" s="355"/>
      <c r="G4262" s="355"/>
      <c r="H4262" s="355"/>
      <c r="I4262" s="355"/>
      <c r="J4262" s="355"/>
      <c r="K4262" s="355"/>
      <c r="L4262" s="355"/>
      <c r="M4262" s="355"/>
    </row>
    <row r="4263" spans="5:13">
      <c r="E4263" s="355"/>
      <c r="F4263" s="355"/>
      <c r="G4263" s="355"/>
      <c r="H4263" s="355"/>
      <c r="I4263" s="355"/>
      <c r="J4263" s="355"/>
      <c r="K4263" s="355"/>
      <c r="L4263" s="355"/>
      <c r="M4263" s="355"/>
    </row>
    <row r="4264" spans="5:13">
      <c r="E4264" s="355"/>
      <c r="F4264" s="355"/>
      <c r="G4264" s="355"/>
      <c r="H4264" s="355"/>
      <c r="I4264" s="355"/>
      <c r="J4264" s="355"/>
      <c r="K4264" s="355"/>
      <c r="L4264" s="355"/>
      <c r="M4264" s="355"/>
    </row>
    <row r="4265" spans="5:13">
      <c r="E4265" s="355"/>
      <c r="F4265" s="355"/>
      <c r="G4265" s="355"/>
      <c r="H4265" s="355"/>
      <c r="I4265" s="355"/>
      <c r="J4265" s="355"/>
      <c r="K4265" s="355"/>
      <c r="L4265" s="355"/>
      <c r="M4265" s="355"/>
    </row>
    <row r="4266" spans="5:13">
      <c r="E4266" s="355"/>
      <c r="F4266" s="355"/>
      <c r="G4266" s="355"/>
      <c r="H4266" s="355"/>
      <c r="I4266" s="355"/>
      <c r="J4266" s="355"/>
      <c r="K4266" s="355"/>
      <c r="L4266" s="355"/>
      <c r="M4266" s="355"/>
    </row>
    <row r="4267" spans="5:13">
      <c r="E4267" s="355"/>
      <c r="F4267" s="355"/>
      <c r="G4267" s="355"/>
      <c r="H4267" s="355"/>
      <c r="I4267" s="355"/>
      <c r="J4267" s="355"/>
      <c r="K4267" s="355"/>
      <c r="L4267" s="355"/>
      <c r="M4267" s="355"/>
    </row>
    <row r="4268" spans="5:13">
      <c r="E4268" s="355"/>
      <c r="F4268" s="355"/>
      <c r="G4268" s="355"/>
      <c r="H4268" s="355"/>
      <c r="I4268" s="355"/>
      <c r="J4268" s="355"/>
      <c r="K4268" s="355"/>
      <c r="L4268" s="355"/>
      <c r="M4268" s="355"/>
    </row>
    <row r="4269" spans="5:13">
      <c r="E4269" s="355"/>
      <c r="F4269" s="355"/>
      <c r="G4269" s="355"/>
      <c r="H4269" s="355"/>
      <c r="I4269" s="355"/>
      <c r="J4269" s="355"/>
      <c r="K4269" s="355"/>
      <c r="L4269" s="355"/>
      <c r="M4269" s="355"/>
    </row>
    <row r="4270" spans="5:13">
      <c r="E4270" s="355"/>
      <c r="F4270" s="355"/>
      <c r="G4270" s="355"/>
      <c r="H4270" s="355"/>
      <c r="I4270" s="355"/>
      <c r="J4270" s="355"/>
      <c r="K4270" s="355"/>
      <c r="L4270" s="355"/>
      <c r="M4270" s="355"/>
    </row>
    <row r="4271" spans="5:13">
      <c r="E4271" s="355"/>
      <c r="F4271" s="355"/>
      <c r="G4271" s="355"/>
      <c r="H4271" s="355"/>
      <c r="I4271" s="355"/>
      <c r="J4271" s="355"/>
      <c r="K4271" s="355"/>
      <c r="L4271" s="355"/>
      <c r="M4271" s="355"/>
    </row>
    <row r="4272" spans="5:13">
      <c r="E4272" s="355"/>
      <c r="F4272" s="355"/>
      <c r="G4272" s="355"/>
      <c r="H4272" s="355"/>
      <c r="I4272" s="355"/>
      <c r="J4272" s="355"/>
      <c r="K4272" s="355"/>
      <c r="L4272" s="355"/>
      <c r="M4272" s="355"/>
    </row>
    <row r="4273" spans="5:13">
      <c r="E4273" s="355"/>
      <c r="F4273" s="355"/>
      <c r="G4273" s="355"/>
      <c r="H4273" s="355"/>
      <c r="I4273" s="355"/>
      <c r="J4273" s="355"/>
      <c r="K4273" s="355"/>
      <c r="L4273" s="355"/>
      <c r="M4273" s="355"/>
    </row>
    <row r="4274" spans="5:13">
      <c r="E4274" s="355"/>
      <c r="F4274" s="355"/>
      <c r="G4274" s="355"/>
      <c r="H4274" s="355"/>
      <c r="I4274" s="355"/>
      <c r="J4274" s="355"/>
      <c r="K4274" s="355"/>
      <c r="L4274" s="355"/>
      <c r="M4274" s="355"/>
    </row>
    <row r="4275" spans="5:13">
      <c r="E4275" s="355"/>
      <c r="F4275" s="355"/>
      <c r="G4275" s="355"/>
      <c r="H4275" s="355"/>
      <c r="I4275" s="355"/>
      <c r="J4275" s="355"/>
      <c r="K4275" s="355"/>
      <c r="L4275" s="355"/>
      <c r="M4275" s="355"/>
    </row>
    <row r="4276" spans="5:13">
      <c r="E4276" s="355"/>
      <c r="F4276" s="355"/>
      <c r="G4276" s="355"/>
      <c r="H4276" s="355"/>
      <c r="I4276" s="355"/>
      <c r="J4276" s="355"/>
      <c r="K4276" s="355"/>
      <c r="L4276" s="355"/>
      <c r="M4276" s="355"/>
    </row>
    <row r="4277" spans="5:13">
      <c r="E4277" s="355"/>
      <c r="F4277" s="355"/>
      <c r="G4277" s="355"/>
      <c r="H4277" s="355"/>
      <c r="I4277" s="355"/>
      <c r="J4277" s="355"/>
      <c r="K4277" s="355"/>
      <c r="L4277" s="355"/>
      <c r="M4277" s="355"/>
    </row>
    <row r="4278" spans="5:13">
      <c r="E4278" s="355"/>
      <c r="F4278" s="355"/>
      <c r="G4278" s="355"/>
      <c r="H4278" s="355"/>
      <c r="I4278" s="355"/>
      <c r="J4278" s="355"/>
      <c r="K4278" s="355"/>
      <c r="L4278" s="355"/>
      <c r="M4278" s="355"/>
    </row>
    <row r="4279" spans="5:13">
      <c r="E4279" s="355"/>
      <c r="F4279" s="355"/>
      <c r="G4279" s="355"/>
      <c r="H4279" s="355"/>
      <c r="I4279" s="355"/>
      <c r="J4279" s="355"/>
      <c r="K4279" s="355"/>
      <c r="L4279" s="355"/>
      <c r="M4279" s="355"/>
    </row>
    <row r="4280" spans="5:13">
      <c r="E4280" s="355"/>
      <c r="F4280" s="355"/>
      <c r="G4280" s="355"/>
      <c r="H4280" s="355"/>
      <c r="I4280" s="355"/>
      <c r="J4280" s="355"/>
      <c r="K4280" s="355"/>
      <c r="L4280" s="355"/>
      <c r="M4280" s="355"/>
    </row>
    <row r="4281" spans="5:13">
      <c r="E4281" s="355"/>
      <c r="F4281" s="355"/>
      <c r="G4281" s="355"/>
      <c r="H4281" s="355"/>
      <c r="I4281" s="355"/>
      <c r="J4281" s="355"/>
      <c r="K4281" s="355"/>
      <c r="L4281" s="355"/>
      <c r="M4281" s="355"/>
    </row>
    <row r="4282" spans="5:13">
      <c r="E4282" s="355"/>
      <c r="F4282" s="355"/>
      <c r="G4282" s="355"/>
      <c r="H4282" s="355"/>
      <c r="I4282" s="355"/>
      <c r="J4282" s="355"/>
      <c r="K4282" s="355"/>
      <c r="L4282" s="355"/>
      <c r="M4282" s="355"/>
    </row>
    <row r="4283" spans="5:13">
      <c r="E4283" s="355"/>
      <c r="F4283" s="355"/>
      <c r="G4283" s="355"/>
      <c r="H4283" s="355"/>
      <c r="I4283" s="355"/>
      <c r="J4283" s="355"/>
      <c r="K4283" s="355"/>
      <c r="L4283" s="355"/>
      <c r="M4283" s="355"/>
    </row>
    <row r="4284" spans="5:13">
      <c r="E4284" s="355"/>
      <c r="F4284" s="355"/>
      <c r="G4284" s="355"/>
      <c r="H4284" s="355"/>
      <c r="I4284" s="355"/>
      <c r="J4284" s="355"/>
      <c r="K4284" s="355"/>
      <c r="L4284" s="355"/>
      <c r="M4284" s="355"/>
    </row>
    <row r="4285" spans="5:13">
      <c r="E4285" s="355"/>
      <c r="F4285" s="355"/>
      <c r="G4285" s="355"/>
      <c r="H4285" s="355"/>
      <c r="I4285" s="355"/>
      <c r="J4285" s="355"/>
      <c r="K4285" s="355"/>
      <c r="L4285" s="355"/>
      <c r="M4285" s="355"/>
    </row>
    <row r="4286" spans="5:13">
      <c r="E4286" s="355"/>
      <c r="F4286" s="355"/>
      <c r="G4286" s="355"/>
      <c r="H4286" s="355"/>
      <c r="I4286" s="355"/>
      <c r="J4286" s="355"/>
      <c r="K4286" s="355"/>
      <c r="L4286" s="355"/>
      <c r="M4286" s="355"/>
    </row>
    <row r="4287" spans="5:13">
      <c r="E4287" s="355"/>
      <c r="F4287" s="355"/>
      <c r="G4287" s="355"/>
      <c r="H4287" s="355"/>
      <c r="I4287" s="355"/>
      <c r="J4287" s="355"/>
      <c r="K4287" s="355"/>
      <c r="L4287" s="355"/>
      <c r="M4287" s="355"/>
    </row>
    <row r="4288" spans="5:13">
      <c r="E4288" s="355"/>
      <c r="F4288" s="355"/>
      <c r="G4288" s="355"/>
      <c r="H4288" s="355"/>
      <c r="I4288" s="355"/>
      <c r="J4288" s="355"/>
      <c r="K4288" s="355"/>
      <c r="L4288" s="355"/>
      <c r="M4288" s="355"/>
    </row>
    <row r="4289" spans="5:13">
      <c r="E4289" s="355"/>
      <c r="F4289" s="355"/>
      <c r="G4289" s="355"/>
      <c r="H4289" s="355"/>
      <c r="I4289" s="355"/>
      <c r="J4289" s="355"/>
      <c r="K4289" s="355"/>
      <c r="L4289" s="355"/>
      <c r="M4289" s="355"/>
    </row>
    <row r="4290" spans="5:13">
      <c r="E4290" s="355"/>
      <c r="F4290" s="355"/>
      <c r="G4290" s="355"/>
      <c r="H4290" s="355"/>
      <c r="I4290" s="355"/>
      <c r="J4290" s="355"/>
      <c r="K4290" s="355"/>
      <c r="L4290" s="355"/>
      <c r="M4290" s="355"/>
    </row>
    <row r="4291" spans="5:13">
      <c r="E4291" s="355"/>
      <c r="F4291" s="355"/>
      <c r="G4291" s="355"/>
      <c r="H4291" s="355"/>
      <c r="I4291" s="355"/>
      <c r="J4291" s="355"/>
      <c r="K4291" s="355"/>
      <c r="L4291" s="355"/>
      <c r="M4291" s="355"/>
    </row>
    <row r="4292" spans="5:13">
      <c r="E4292" s="355"/>
      <c r="F4292" s="355"/>
      <c r="G4292" s="355"/>
      <c r="H4292" s="355"/>
      <c r="I4292" s="355"/>
      <c r="J4292" s="355"/>
      <c r="K4292" s="355"/>
      <c r="L4292" s="355"/>
      <c r="M4292" s="355"/>
    </row>
    <row r="4293" spans="5:13">
      <c r="E4293" s="355"/>
      <c r="F4293" s="355"/>
      <c r="G4293" s="355"/>
      <c r="H4293" s="355"/>
      <c r="I4293" s="355"/>
      <c r="J4293" s="355"/>
      <c r="K4293" s="355"/>
      <c r="L4293" s="355"/>
      <c r="M4293" s="355"/>
    </row>
    <row r="4294" spans="5:13">
      <c r="E4294" s="355"/>
      <c r="F4294" s="355"/>
      <c r="G4294" s="355"/>
      <c r="H4294" s="355"/>
      <c r="I4294" s="355"/>
      <c r="J4294" s="355"/>
      <c r="K4294" s="355"/>
      <c r="L4294" s="355"/>
      <c r="M4294" s="355"/>
    </row>
    <row r="4295" spans="5:13">
      <c r="E4295" s="355"/>
      <c r="F4295" s="355"/>
      <c r="G4295" s="355"/>
      <c r="H4295" s="355"/>
      <c r="I4295" s="355"/>
      <c r="J4295" s="355"/>
      <c r="K4295" s="355"/>
      <c r="L4295" s="355"/>
      <c r="M4295" s="355"/>
    </row>
    <row r="4296" spans="5:13">
      <c r="E4296" s="355"/>
      <c r="F4296" s="355"/>
      <c r="G4296" s="355"/>
      <c r="H4296" s="355"/>
      <c r="I4296" s="355"/>
      <c r="J4296" s="355"/>
      <c r="K4296" s="355"/>
      <c r="L4296" s="355"/>
      <c r="M4296" s="355"/>
    </row>
    <row r="4297" spans="5:13">
      <c r="E4297" s="355"/>
      <c r="F4297" s="355"/>
      <c r="G4297" s="355"/>
      <c r="H4297" s="355"/>
      <c r="I4297" s="355"/>
      <c r="J4297" s="355"/>
      <c r="K4297" s="355"/>
      <c r="L4297" s="355"/>
      <c r="M4297" s="355"/>
    </row>
    <row r="4298" spans="5:13">
      <c r="E4298" s="355"/>
      <c r="F4298" s="355"/>
      <c r="G4298" s="355"/>
      <c r="H4298" s="355"/>
      <c r="I4298" s="355"/>
      <c r="J4298" s="355"/>
      <c r="K4298" s="355"/>
      <c r="L4298" s="355"/>
      <c r="M4298" s="355"/>
    </row>
    <row r="4299" spans="5:13">
      <c r="E4299" s="355"/>
      <c r="F4299" s="355"/>
      <c r="G4299" s="355"/>
      <c r="H4299" s="355"/>
      <c r="I4299" s="355"/>
      <c r="J4299" s="355"/>
      <c r="K4299" s="355"/>
      <c r="L4299" s="355"/>
      <c r="M4299" s="355"/>
    </row>
    <row r="4300" spans="5:13">
      <c r="E4300" s="355"/>
      <c r="F4300" s="355"/>
      <c r="G4300" s="355"/>
      <c r="H4300" s="355"/>
      <c r="I4300" s="355"/>
      <c r="J4300" s="355"/>
      <c r="K4300" s="355"/>
      <c r="L4300" s="355"/>
      <c r="M4300" s="355"/>
    </row>
    <row r="4301" spans="5:13">
      <c r="E4301" s="355"/>
      <c r="F4301" s="355"/>
      <c r="G4301" s="355"/>
      <c r="H4301" s="355"/>
      <c r="I4301" s="355"/>
      <c r="J4301" s="355"/>
      <c r="K4301" s="355"/>
      <c r="L4301" s="355"/>
      <c r="M4301" s="355"/>
    </row>
    <row r="4302" spans="5:13">
      <c r="E4302" s="355"/>
      <c r="F4302" s="355"/>
      <c r="G4302" s="355"/>
      <c r="H4302" s="355"/>
      <c r="I4302" s="355"/>
      <c r="J4302" s="355"/>
      <c r="K4302" s="355"/>
      <c r="L4302" s="355"/>
      <c r="M4302" s="355"/>
    </row>
    <row r="4303" spans="5:13">
      <c r="E4303" s="355"/>
      <c r="F4303" s="355"/>
      <c r="G4303" s="355"/>
      <c r="H4303" s="355"/>
      <c r="I4303" s="355"/>
      <c r="J4303" s="355"/>
      <c r="K4303" s="355"/>
      <c r="L4303" s="355"/>
      <c r="M4303" s="355"/>
    </row>
    <row r="4304" spans="5:13">
      <c r="E4304" s="355"/>
      <c r="F4304" s="355"/>
      <c r="G4304" s="355"/>
      <c r="H4304" s="355"/>
      <c r="I4304" s="355"/>
      <c r="J4304" s="355"/>
      <c r="K4304" s="355"/>
      <c r="L4304" s="355"/>
      <c r="M4304" s="355"/>
    </row>
    <row r="4305" spans="5:13">
      <c r="E4305" s="355"/>
      <c r="F4305" s="355"/>
      <c r="G4305" s="355"/>
      <c r="H4305" s="355"/>
      <c r="I4305" s="355"/>
      <c r="J4305" s="355"/>
      <c r="K4305" s="355"/>
      <c r="L4305" s="355"/>
      <c r="M4305" s="355"/>
    </row>
    <row r="4306" spans="5:13">
      <c r="E4306" s="355"/>
      <c r="F4306" s="355"/>
      <c r="G4306" s="355"/>
      <c r="H4306" s="355"/>
      <c r="I4306" s="355"/>
      <c r="J4306" s="355"/>
      <c r="K4306" s="355"/>
      <c r="L4306" s="355"/>
      <c r="M4306" s="355"/>
    </row>
    <row r="4307" spans="5:13">
      <c r="E4307" s="355"/>
      <c r="F4307" s="355"/>
      <c r="G4307" s="355"/>
      <c r="H4307" s="355"/>
      <c r="I4307" s="355"/>
      <c r="J4307" s="355"/>
      <c r="K4307" s="355"/>
      <c r="L4307" s="355"/>
      <c r="M4307" s="355"/>
    </row>
    <row r="4308" spans="5:13">
      <c r="E4308" s="355"/>
      <c r="F4308" s="355"/>
      <c r="G4308" s="355"/>
      <c r="H4308" s="355"/>
      <c r="I4308" s="355"/>
      <c r="J4308" s="355"/>
      <c r="K4308" s="355"/>
      <c r="L4308" s="355"/>
      <c r="M4308" s="355"/>
    </row>
    <row r="4309" spans="5:13">
      <c r="E4309" s="355"/>
      <c r="F4309" s="355"/>
      <c r="G4309" s="355"/>
      <c r="H4309" s="355"/>
      <c r="I4309" s="355"/>
      <c r="J4309" s="355"/>
      <c r="K4309" s="355"/>
      <c r="L4309" s="355"/>
      <c r="M4309" s="355"/>
    </row>
    <row r="4310" spans="5:13">
      <c r="E4310" s="355"/>
      <c r="F4310" s="355"/>
      <c r="G4310" s="355"/>
      <c r="H4310" s="355"/>
      <c r="I4310" s="355"/>
      <c r="J4310" s="355"/>
      <c r="K4310" s="355"/>
      <c r="L4310" s="355"/>
      <c r="M4310" s="355"/>
    </row>
    <row r="4311" spans="5:13">
      <c r="E4311" s="355"/>
      <c r="F4311" s="355"/>
      <c r="G4311" s="355"/>
      <c r="H4311" s="355"/>
      <c r="I4311" s="355"/>
      <c r="J4311" s="355"/>
      <c r="K4311" s="355"/>
      <c r="L4311" s="355"/>
      <c r="M4311" s="355"/>
    </row>
    <row r="4312" spans="5:13">
      <c r="E4312" s="355"/>
      <c r="F4312" s="355"/>
      <c r="G4312" s="355"/>
      <c r="H4312" s="355"/>
      <c r="I4312" s="355"/>
      <c r="J4312" s="355"/>
      <c r="K4312" s="355"/>
      <c r="L4312" s="355"/>
      <c r="M4312" s="355"/>
    </row>
    <row r="4313" spans="5:13">
      <c r="E4313" s="355"/>
      <c r="F4313" s="355"/>
      <c r="G4313" s="355"/>
      <c r="H4313" s="355"/>
      <c r="I4313" s="355"/>
      <c r="J4313" s="355"/>
      <c r="K4313" s="355"/>
      <c r="L4313" s="355"/>
      <c r="M4313" s="355"/>
    </row>
    <row r="4314" spans="5:13">
      <c r="E4314" s="355"/>
      <c r="F4314" s="355"/>
      <c r="G4314" s="355"/>
      <c r="H4314" s="355"/>
      <c r="I4314" s="355"/>
      <c r="J4314" s="355"/>
      <c r="K4314" s="355"/>
      <c r="L4314" s="355"/>
      <c r="M4314" s="355"/>
    </row>
    <row r="4315" spans="5:13">
      <c r="E4315" s="355"/>
      <c r="F4315" s="355"/>
      <c r="G4315" s="355"/>
      <c r="H4315" s="355"/>
      <c r="I4315" s="355"/>
      <c r="J4315" s="355"/>
      <c r="K4315" s="355"/>
      <c r="L4315" s="355"/>
      <c r="M4315" s="355"/>
    </row>
    <row r="4316" spans="5:13">
      <c r="E4316" s="355"/>
      <c r="F4316" s="355"/>
      <c r="G4316" s="355"/>
      <c r="H4316" s="355"/>
      <c r="I4316" s="355"/>
      <c r="J4316" s="355"/>
      <c r="K4316" s="355"/>
      <c r="L4316" s="355"/>
      <c r="M4316" s="355"/>
    </row>
    <row r="4317" spans="5:13">
      <c r="E4317" s="355"/>
      <c r="F4317" s="355"/>
      <c r="G4317" s="355"/>
      <c r="H4317" s="355"/>
      <c r="I4317" s="355"/>
      <c r="J4317" s="355"/>
      <c r="K4317" s="355"/>
      <c r="L4317" s="355"/>
      <c r="M4317" s="355"/>
    </row>
    <row r="4318" spans="5:13">
      <c r="E4318" s="355"/>
      <c r="F4318" s="355"/>
      <c r="G4318" s="355"/>
      <c r="H4318" s="355"/>
      <c r="I4318" s="355"/>
      <c r="J4318" s="355"/>
      <c r="K4318" s="355"/>
      <c r="L4318" s="355"/>
      <c r="M4318" s="355"/>
    </row>
    <row r="4319" spans="5:13">
      <c r="E4319" s="355"/>
      <c r="F4319" s="355"/>
      <c r="G4319" s="355"/>
      <c r="H4319" s="355"/>
      <c r="I4319" s="355"/>
      <c r="J4319" s="355"/>
      <c r="K4319" s="355"/>
      <c r="L4319" s="355"/>
      <c r="M4319" s="355"/>
    </row>
    <row r="4320" spans="5:13">
      <c r="E4320" s="355"/>
      <c r="F4320" s="355"/>
      <c r="G4320" s="355"/>
      <c r="H4320" s="355"/>
      <c r="I4320" s="355"/>
      <c r="J4320" s="355"/>
      <c r="K4320" s="355"/>
      <c r="L4320" s="355"/>
      <c r="M4320" s="355"/>
    </row>
    <row r="4321" spans="5:13">
      <c r="E4321" s="355"/>
      <c r="F4321" s="355"/>
      <c r="G4321" s="355"/>
      <c r="H4321" s="355"/>
      <c r="I4321" s="355"/>
      <c r="J4321" s="355"/>
      <c r="K4321" s="355"/>
      <c r="L4321" s="355"/>
      <c r="M4321" s="355"/>
    </row>
    <row r="4322" spans="5:13">
      <c r="E4322" s="355"/>
      <c r="F4322" s="355"/>
      <c r="G4322" s="355"/>
      <c r="H4322" s="355"/>
      <c r="I4322" s="355"/>
      <c r="J4322" s="355"/>
      <c r="K4322" s="355"/>
      <c r="L4322" s="355"/>
      <c r="M4322" s="355"/>
    </row>
    <row r="4323" spans="5:13">
      <c r="E4323" s="355"/>
      <c r="F4323" s="355"/>
      <c r="G4323" s="355"/>
      <c r="H4323" s="355"/>
      <c r="I4323" s="355"/>
      <c r="J4323" s="355"/>
      <c r="K4323" s="355"/>
      <c r="L4323" s="355"/>
      <c r="M4323" s="355"/>
    </row>
    <row r="4324" spans="5:13">
      <c r="E4324" s="355"/>
      <c r="F4324" s="355"/>
      <c r="G4324" s="355"/>
      <c r="H4324" s="355"/>
      <c r="I4324" s="355"/>
      <c r="J4324" s="355"/>
      <c r="K4324" s="355"/>
      <c r="L4324" s="355"/>
      <c r="M4324" s="355"/>
    </row>
    <row r="4325" spans="5:13">
      <c r="E4325" s="355"/>
      <c r="F4325" s="355"/>
      <c r="G4325" s="355"/>
      <c r="H4325" s="355"/>
      <c r="I4325" s="355"/>
      <c r="J4325" s="355"/>
      <c r="K4325" s="355"/>
      <c r="L4325" s="355"/>
      <c r="M4325" s="355"/>
    </row>
    <row r="4326" spans="5:13">
      <c r="E4326" s="355"/>
      <c r="F4326" s="355"/>
      <c r="G4326" s="355"/>
      <c r="H4326" s="355"/>
      <c r="I4326" s="355"/>
      <c r="J4326" s="355"/>
      <c r="K4326" s="355"/>
      <c r="L4326" s="355"/>
      <c r="M4326" s="355"/>
    </row>
    <row r="4327" spans="5:13">
      <c r="E4327" s="355"/>
      <c r="F4327" s="355"/>
      <c r="G4327" s="355"/>
      <c r="H4327" s="355"/>
      <c r="I4327" s="355"/>
      <c r="J4327" s="355"/>
      <c r="K4327" s="355"/>
      <c r="L4327" s="355"/>
      <c r="M4327" s="355"/>
    </row>
    <row r="4328" spans="5:13">
      <c r="E4328" s="355"/>
      <c r="F4328" s="355"/>
      <c r="G4328" s="355"/>
      <c r="H4328" s="355"/>
      <c r="I4328" s="355"/>
      <c r="J4328" s="355"/>
      <c r="K4328" s="355"/>
      <c r="L4328" s="355"/>
      <c r="M4328" s="355"/>
    </row>
    <row r="4329" spans="5:13">
      <c r="E4329" s="355"/>
      <c r="F4329" s="355"/>
      <c r="G4329" s="355"/>
      <c r="H4329" s="355"/>
      <c r="I4329" s="355"/>
      <c r="J4329" s="355"/>
      <c r="K4329" s="355"/>
      <c r="L4329" s="355"/>
      <c r="M4329" s="355"/>
    </row>
    <row r="4330" spans="5:13">
      <c r="E4330" s="355"/>
      <c r="F4330" s="355"/>
      <c r="G4330" s="355"/>
      <c r="H4330" s="355"/>
      <c r="I4330" s="355"/>
      <c r="J4330" s="355"/>
      <c r="K4330" s="355"/>
      <c r="L4330" s="355"/>
      <c r="M4330" s="355"/>
    </row>
    <row r="4331" spans="5:13">
      <c r="E4331" s="355"/>
      <c r="F4331" s="355"/>
      <c r="G4331" s="355"/>
      <c r="H4331" s="355"/>
      <c r="I4331" s="355"/>
      <c r="J4331" s="355"/>
      <c r="K4331" s="355"/>
      <c r="L4331" s="355"/>
      <c r="M4331" s="355"/>
    </row>
    <row r="4332" spans="5:13">
      <c r="E4332" s="355"/>
      <c r="F4332" s="355"/>
      <c r="G4332" s="355"/>
      <c r="H4332" s="355"/>
      <c r="I4332" s="355"/>
      <c r="J4332" s="355"/>
      <c r="K4332" s="355"/>
      <c r="L4332" s="355"/>
      <c r="M4332" s="355"/>
    </row>
    <row r="4333" spans="5:13">
      <c r="E4333" s="355"/>
      <c r="F4333" s="355"/>
      <c r="G4333" s="355"/>
      <c r="H4333" s="355"/>
      <c r="I4333" s="355"/>
      <c r="J4333" s="355"/>
      <c r="K4333" s="355"/>
      <c r="L4333" s="355"/>
      <c r="M4333" s="355"/>
    </row>
    <row r="4334" spans="5:13">
      <c r="E4334" s="355"/>
      <c r="F4334" s="355"/>
      <c r="G4334" s="355"/>
      <c r="H4334" s="355"/>
      <c r="I4334" s="355"/>
      <c r="J4334" s="355"/>
      <c r="K4334" s="355"/>
      <c r="L4334" s="355"/>
      <c r="M4334" s="355"/>
    </row>
    <row r="4335" spans="5:13">
      <c r="E4335" s="355"/>
      <c r="F4335" s="355"/>
      <c r="G4335" s="355"/>
      <c r="H4335" s="355"/>
      <c r="I4335" s="355"/>
      <c r="J4335" s="355"/>
      <c r="K4335" s="355"/>
      <c r="L4335" s="355"/>
      <c r="M4335" s="355"/>
    </row>
    <row r="4336" spans="5:13">
      <c r="E4336" s="355"/>
      <c r="F4336" s="355"/>
      <c r="G4336" s="355"/>
      <c r="H4336" s="355"/>
      <c r="I4336" s="355"/>
      <c r="J4336" s="355"/>
      <c r="K4336" s="355"/>
      <c r="L4336" s="355"/>
      <c r="M4336" s="355"/>
    </row>
    <row r="4337" spans="5:13">
      <c r="E4337" s="355"/>
      <c r="F4337" s="355"/>
      <c r="G4337" s="355"/>
      <c r="H4337" s="355"/>
      <c r="I4337" s="355"/>
      <c r="J4337" s="355"/>
      <c r="K4337" s="355"/>
      <c r="L4337" s="355"/>
      <c r="M4337" s="355"/>
    </row>
    <row r="4338" spans="5:13">
      <c r="E4338" s="355"/>
      <c r="F4338" s="355"/>
      <c r="G4338" s="355"/>
      <c r="H4338" s="355"/>
      <c r="I4338" s="355"/>
      <c r="J4338" s="355"/>
      <c r="K4338" s="355"/>
      <c r="L4338" s="355"/>
      <c r="M4338" s="355"/>
    </row>
    <row r="4339" spans="5:13">
      <c r="E4339" s="355"/>
      <c r="F4339" s="355"/>
      <c r="G4339" s="355"/>
      <c r="H4339" s="355"/>
      <c r="I4339" s="355"/>
      <c r="J4339" s="355"/>
      <c r="K4339" s="355"/>
      <c r="L4339" s="355"/>
      <c r="M4339" s="355"/>
    </row>
    <row r="4340" spans="5:13">
      <c r="E4340" s="355"/>
      <c r="F4340" s="355"/>
      <c r="G4340" s="355"/>
      <c r="H4340" s="355"/>
      <c r="I4340" s="355"/>
      <c r="J4340" s="355"/>
      <c r="K4340" s="355"/>
      <c r="L4340" s="355"/>
      <c r="M4340" s="355"/>
    </row>
    <row r="4341" spans="5:13">
      <c r="E4341" s="355"/>
      <c r="F4341" s="355"/>
      <c r="G4341" s="355"/>
      <c r="H4341" s="355"/>
      <c r="I4341" s="355"/>
      <c r="J4341" s="355"/>
      <c r="K4341" s="355"/>
      <c r="L4341" s="355"/>
      <c r="M4341" s="355"/>
    </row>
    <row r="4342" spans="5:13">
      <c r="E4342" s="355"/>
      <c r="F4342" s="355"/>
      <c r="G4342" s="355"/>
      <c r="H4342" s="355"/>
      <c r="I4342" s="355"/>
      <c r="J4342" s="355"/>
      <c r="K4342" s="355"/>
      <c r="L4342" s="355"/>
      <c r="M4342" s="355"/>
    </row>
    <row r="4343" spans="5:13">
      <c r="E4343" s="355"/>
      <c r="F4343" s="355"/>
      <c r="G4343" s="355"/>
      <c r="H4343" s="355"/>
      <c r="I4343" s="355"/>
      <c r="J4343" s="355"/>
      <c r="K4343" s="355"/>
      <c r="L4343" s="355"/>
      <c r="M4343" s="355"/>
    </row>
    <row r="4344" spans="5:13">
      <c r="E4344" s="355"/>
      <c r="F4344" s="355"/>
      <c r="G4344" s="355"/>
      <c r="H4344" s="355"/>
      <c r="I4344" s="355"/>
      <c r="J4344" s="355"/>
      <c r="K4344" s="355"/>
      <c r="L4344" s="355"/>
      <c r="M4344" s="355"/>
    </row>
    <row r="4345" spans="5:13">
      <c r="E4345" s="355"/>
      <c r="F4345" s="355"/>
      <c r="G4345" s="355"/>
      <c r="H4345" s="355"/>
      <c r="I4345" s="355"/>
      <c r="J4345" s="355"/>
      <c r="K4345" s="355"/>
      <c r="L4345" s="355"/>
      <c r="M4345" s="355"/>
    </row>
    <row r="4346" spans="5:13">
      <c r="E4346" s="355"/>
      <c r="F4346" s="355"/>
      <c r="G4346" s="355"/>
      <c r="H4346" s="355"/>
      <c r="I4346" s="355"/>
      <c r="J4346" s="355"/>
      <c r="K4346" s="355"/>
      <c r="L4346" s="355"/>
      <c r="M4346" s="355"/>
    </row>
    <row r="4347" spans="5:13">
      <c r="E4347" s="355"/>
      <c r="F4347" s="355"/>
      <c r="G4347" s="355"/>
      <c r="H4347" s="355"/>
      <c r="I4347" s="355"/>
      <c r="J4347" s="355"/>
      <c r="K4347" s="355"/>
      <c r="L4347" s="355"/>
      <c r="M4347" s="355"/>
    </row>
    <row r="4348" spans="5:13">
      <c r="E4348" s="355"/>
      <c r="F4348" s="355"/>
      <c r="G4348" s="355"/>
      <c r="H4348" s="355"/>
      <c r="I4348" s="355"/>
      <c r="J4348" s="355"/>
      <c r="K4348" s="355"/>
      <c r="L4348" s="355"/>
      <c r="M4348" s="355"/>
    </row>
    <row r="4349" spans="5:13">
      <c r="E4349" s="355"/>
      <c r="F4349" s="355"/>
      <c r="G4349" s="355"/>
      <c r="H4349" s="355"/>
      <c r="I4349" s="355"/>
      <c r="J4349" s="355"/>
      <c r="K4349" s="355"/>
      <c r="L4349" s="355"/>
      <c r="M4349" s="355"/>
    </row>
    <row r="4350" spans="5:13">
      <c r="E4350" s="355"/>
      <c r="F4350" s="355"/>
      <c r="G4350" s="355"/>
      <c r="H4350" s="355"/>
      <c r="I4350" s="355"/>
      <c r="J4350" s="355"/>
      <c r="K4350" s="355"/>
      <c r="L4350" s="355"/>
      <c r="M4350" s="355"/>
    </row>
    <row r="4351" spans="5:13">
      <c r="E4351" s="355"/>
      <c r="F4351" s="355"/>
      <c r="G4351" s="355"/>
      <c r="H4351" s="355"/>
      <c r="I4351" s="355"/>
      <c r="J4351" s="355"/>
      <c r="K4351" s="355"/>
      <c r="L4351" s="355"/>
      <c r="M4351" s="355"/>
    </row>
    <row r="4352" spans="5:13">
      <c r="E4352" s="355"/>
      <c r="F4352" s="355"/>
      <c r="G4352" s="355"/>
      <c r="H4352" s="355"/>
      <c r="I4352" s="355"/>
      <c r="J4352" s="355"/>
      <c r="K4352" s="355"/>
      <c r="L4352" s="355"/>
      <c r="M4352" s="355"/>
    </row>
    <row r="4353" spans="5:13">
      <c r="E4353" s="355"/>
      <c r="F4353" s="355"/>
      <c r="G4353" s="355"/>
      <c r="H4353" s="355"/>
      <c r="I4353" s="355"/>
      <c r="J4353" s="355"/>
      <c r="K4353" s="355"/>
      <c r="L4353" s="355"/>
      <c r="M4353" s="355"/>
    </row>
    <row r="4354" spans="5:13">
      <c r="E4354" s="355"/>
      <c r="F4354" s="355"/>
      <c r="G4354" s="355"/>
      <c r="H4354" s="355"/>
      <c r="I4354" s="355"/>
      <c r="J4354" s="355"/>
      <c r="K4354" s="355"/>
      <c r="L4354" s="355"/>
      <c r="M4354" s="355"/>
    </row>
    <row r="4355" spans="5:13">
      <c r="E4355" s="355"/>
      <c r="F4355" s="355"/>
      <c r="G4355" s="355"/>
      <c r="H4355" s="355"/>
      <c r="I4355" s="355"/>
      <c r="J4355" s="355"/>
      <c r="K4355" s="355"/>
      <c r="L4355" s="355"/>
      <c r="M4355" s="355"/>
    </row>
    <row r="4356" spans="5:13">
      <c r="E4356" s="355"/>
      <c r="F4356" s="355"/>
      <c r="G4356" s="355"/>
      <c r="H4356" s="355"/>
      <c r="I4356" s="355"/>
      <c r="J4356" s="355"/>
      <c r="K4356" s="355"/>
      <c r="L4356" s="355"/>
      <c r="M4356" s="355"/>
    </row>
    <row r="4357" spans="5:13">
      <c r="E4357" s="355"/>
      <c r="F4357" s="355"/>
      <c r="G4357" s="355"/>
      <c r="H4357" s="355"/>
      <c r="I4357" s="355"/>
      <c r="J4357" s="355"/>
      <c r="K4357" s="355"/>
      <c r="L4357" s="355"/>
      <c r="M4357" s="355"/>
    </row>
    <row r="4358" spans="5:13">
      <c r="E4358" s="355"/>
      <c r="F4358" s="355"/>
      <c r="G4358" s="355"/>
      <c r="H4358" s="355"/>
      <c r="I4358" s="355"/>
      <c r="J4358" s="355"/>
      <c r="K4358" s="355"/>
      <c r="L4358" s="355"/>
      <c r="M4358" s="355"/>
    </row>
    <row r="4359" spans="5:13">
      <c r="E4359" s="355"/>
      <c r="F4359" s="355"/>
      <c r="G4359" s="355"/>
      <c r="H4359" s="355"/>
      <c r="I4359" s="355"/>
      <c r="J4359" s="355"/>
      <c r="K4359" s="355"/>
      <c r="L4359" s="355"/>
      <c r="M4359" s="355"/>
    </row>
    <row r="4360" spans="5:13">
      <c r="E4360" s="355"/>
      <c r="F4360" s="355"/>
      <c r="G4360" s="355"/>
      <c r="H4360" s="355"/>
      <c r="I4360" s="355"/>
      <c r="J4360" s="355"/>
      <c r="K4360" s="355"/>
      <c r="L4360" s="355"/>
      <c r="M4360" s="355"/>
    </row>
    <row r="4361" spans="5:13">
      <c r="E4361" s="355"/>
      <c r="F4361" s="355"/>
      <c r="G4361" s="355"/>
      <c r="H4361" s="355"/>
      <c r="I4361" s="355"/>
      <c r="J4361" s="355"/>
      <c r="K4361" s="355"/>
      <c r="L4361" s="355"/>
      <c r="M4361" s="355"/>
    </row>
    <row r="4362" spans="5:13">
      <c r="E4362" s="355"/>
      <c r="F4362" s="355"/>
      <c r="G4362" s="355"/>
      <c r="H4362" s="355"/>
      <c r="I4362" s="355"/>
      <c r="J4362" s="355"/>
      <c r="K4362" s="355"/>
      <c r="L4362" s="355"/>
      <c r="M4362" s="355"/>
    </row>
    <row r="4363" spans="5:13">
      <c r="E4363" s="355"/>
      <c r="F4363" s="355"/>
      <c r="G4363" s="355"/>
      <c r="H4363" s="355"/>
      <c r="I4363" s="355"/>
      <c r="J4363" s="355"/>
      <c r="K4363" s="355"/>
      <c r="L4363" s="355"/>
      <c r="M4363" s="355"/>
    </row>
    <row r="4364" spans="5:13">
      <c r="E4364" s="355"/>
      <c r="F4364" s="355"/>
      <c r="G4364" s="355"/>
      <c r="H4364" s="355"/>
      <c r="I4364" s="355"/>
      <c r="J4364" s="355"/>
      <c r="K4364" s="355"/>
      <c r="L4364" s="355"/>
      <c r="M4364" s="355"/>
    </row>
    <row r="4365" spans="5:13">
      <c r="E4365" s="355"/>
      <c r="F4365" s="355"/>
      <c r="G4365" s="355"/>
      <c r="H4365" s="355"/>
      <c r="I4365" s="355"/>
      <c r="J4365" s="355"/>
      <c r="K4365" s="355"/>
      <c r="L4365" s="355"/>
      <c r="M4365" s="355"/>
    </row>
    <row r="4366" spans="5:13">
      <c r="E4366" s="355"/>
      <c r="F4366" s="355"/>
      <c r="G4366" s="355"/>
      <c r="H4366" s="355"/>
      <c r="I4366" s="355"/>
      <c r="J4366" s="355"/>
      <c r="K4366" s="355"/>
      <c r="L4366" s="355"/>
      <c r="M4366" s="355"/>
    </row>
    <row r="4367" spans="5:13">
      <c r="E4367" s="355"/>
      <c r="F4367" s="355"/>
      <c r="G4367" s="355"/>
      <c r="H4367" s="355"/>
      <c r="I4367" s="355"/>
      <c r="J4367" s="355"/>
      <c r="K4367" s="355"/>
      <c r="L4367" s="355"/>
      <c r="M4367" s="355"/>
    </row>
    <row r="4368" spans="5:13">
      <c r="E4368" s="355"/>
      <c r="F4368" s="355"/>
      <c r="G4368" s="355"/>
      <c r="H4368" s="355"/>
      <c r="I4368" s="355"/>
      <c r="J4368" s="355"/>
      <c r="K4368" s="355"/>
      <c r="L4368" s="355"/>
      <c r="M4368" s="355"/>
    </row>
    <row r="4369" spans="5:13">
      <c r="E4369" s="355"/>
      <c r="F4369" s="355"/>
      <c r="G4369" s="355"/>
      <c r="H4369" s="355"/>
      <c r="I4369" s="355"/>
      <c r="J4369" s="355"/>
      <c r="K4369" s="355"/>
      <c r="L4369" s="355"/>
      <c r="M4369" s="355"/>
    </row>
    <row r="4370" spans="5:13">
      <c r="E4370" s="355"/>
      <c r="F4370" s="355"/>
      <c r="G4370" s="355"/>
      <c r="H4370" s="355"/>
      <c r="I4370" s="355"/>
      <c r="J4370" s="355"/>
      <c r="K4370" s="355"/>
      <c r="L4370" s="355"/>
      <c r="M4370" s="355"/>
    </row>
    <row r="4371" spans="5:13">
      <c r="E4371" s="355"/>
      <c r="F4371" s="355"/>
      <c r="G4371" s="355"/>
      <c r="H4371" s="355"/>
      <c r="I4371" s="355"/>
      <c r="J4371" s="355"/>
      <c r="K4371" s="355"/>
      <c r="L4371" s="355"/>
      <c r="M4371" s="355"/>
    </row>
    <row r="4372" spans="5:13">
      <c r="E4372" s="355"/>
      <c r="F4372" s="355"/>
      <c r="G4372" s="355"/>
      <c r="H4372" s="355"/>
      <c r="I4372" s="355"/>
      <c r="J4372" s="355"/>
      <c r="K4372" s="355"/>
      <c r="L4372" s="355"/>
      <c r="M4372" s="355"/>
    </row>
    <row r="4373" spans="5:13">
      <c r="E4373" s="355"/>
      <c r="F4373" s="355"/>
      <c r="G4373" s="355"/>
      <c r="H4373" s="355"/>
      <c r="I4373" s="355"/>
      <c r="J4373" s="355"/>
      <c r="K4373" s="355"/>
      <c r="L4373" s="355"/>
      <c r="M4373" s="355"/>
    </row>
    <row r="4374" spans="5:13">
      <c r="E4374" s="355"/>
      <c r="F4374" s="355"/>
      <c r="G4374" s="355"/>
      <c r="H4374" s="355"/>
      <c r="I4374" s="355"/>
      <c r="J4374" s="355"/>
      <c r="K4374" s="355"/>
      <c r="L4374" s="355"/>
      <c r="M4374" s="355"/>
    </row>
    <row r="4375" spans="5:13">
      <c r="E4375" s="355"/>
      <c r="F4375" s="355"/>
      <c r="G4375" s="355"/>
      <c r="H4375" s="355"/>
      <c r="I4375" s="355"/>
      <c r="J4375" s="355"/>
      <c r="K4375" s="355"/>
      <c r="L4375" s="355"/>
      <c r="M4375" s="355"/>
    </row>
    <row r="4376" spans="5:13">
      <c r="E4376" s="355"/>
      <c r="F4376" s="355"/>
      <c r="G4376" s="355"/>
      <c r="H4376" s="355"/>
      <c r="I4376" s="355"/>
      <c r="J4376" s="355"/>
      <c r="K4376" s="355"/>
      <c r="L4376" s="355"/>
      <c r="M4376" s="355"/>
    </row>
    <row r="4377" spans="5:13">
      <c r="E4377" s="355"/>
      <c r="F4377" s="355"/>
      <c r="G4377" s="355"/>
      <c r="H4377" s="355"/>
      <c r="I4377" s="355"/>
      <c r="J4377" s="355"/>
      <c r="K4377" s="355"/>
      <c r="L4377" s="355"/>
      <c r="M4377" s="355"/>
    </row>
    <row r="4378" spans="5:13">
      <c r="E4378" s="355"/>
      <c r="F4378" s="355"/>
      <c r="G4378" s="355"/>
      <c r="H4378" s="355"/>
      <c r="I4378" s="355"/>
      <c r="J4378" s="355"/>
      <c r="K4378" s="355"/>
      <c r="L4378" s="355"/>
      <c r="M4378" s="355"/>
    </row>
    <row r="4379" spans="5:13">
      <c r="E4379" s="355"/>
      <c r="F4379" s="355"/>
      <c r="G4379" s="355"/>
      <c r="H4379" s="355"/>
      <c r="I4379" s="355"/>
      <c r="J4379" s="355"/>
      <c r="K4379" s="355"/>
      <c r="L4379" s="355"/>
      <c r="M4379" s="355"/>
    </row>
    <row r="4380" spans="5:13">
      <c r="E4380" s="355"/>
      <c r="F4380" s="355"/>
      <c r="G4380" s="355"/>
      <c r="H4380" s="355"/>
      <c r="I4380" s="355"/>
      <c r="J4380" s="355"/>
      <c r="K4380" s="355"/>
      <c r="L4380" s="355"/>
      <c r="M4380" s="355"/>
    </row>
    <row r="4381" spans="5:13">
      <c r="E4381" s="355"/>
      <c r="F4381" s="355"/>
      <c r="G4381" s="355"/>
      <c r="H4381" s="355"/>
      <c r="I4381" s="355"/>
      <c r="J4381" s="355"/>
      <c r="K4381" s="355"/>
      <c r="L4381" s="355"/>
      <c r="M4381" s="355"/>
    </row>
    <row r="4382" spans="5:13">
      <c r="E4382" s="355"/>
      <c r="F4382" s="355"/>
      <c r="G4382" s="355"/>
      <c r="H4382" s="355"/>
      <c r="I4382" s="355"/>
      <c r="J4382" s="355"/>
      <c r="K4382" s="355"/>
      <c r="L4382" s="355"/>
      <c r="M4382" s="355"/>
    </row>
    <row r="4383" spans="5:13">
      <c r="E4383" s="355"/>
      <c r="F4383" s="355"/>
      <c r="G4383" s="355"/>
      <c r="H4383" s="355"/>
      <c r="I4383" s="355"/>
      <c r="J4383" s="355"/>
      <c r="K4383" s="355"/>
      <c r="L4383" s="355"/>
      <c r="M4383" s="355"/>
    </row>
    <row r="4384" spans="5:13">
      <c r="E4384" s="355"/>
      <c r="F4384" s="355"/>
      <c r="G4384" s="355"/>
      <c r="H4384" s="355"/>
      <c r="I4384" s="355"/>
      <c r="J4384" s="355"/>
      <c r="K4384" s="355"/>
      <c r="L4384" s="355"/>
      <c r="M4384" s="355"/>
    </row>
    <row r="4385" spans="5:13">
      <c r="E4385" s="355"/>
      <c r="F4385" s="355"/>
      <c r="G4385" s="355"/>
      <c r="H4385" s="355"/>
      <c r="I4385" s="355"/>
      <c r="J4385" s="355"/>
      <c r="K4385" s="355"/>
      <c r="L4385" s="355"/>
      <c r="M4385" s="355"/>
    </row>
    <row r="4386" spans="5:13">
      <c r="E4386" s="355"/>
      <c r="F4386" s="355"/>
      <c r="G4386" s="355"/>
      <c r="H4386" s="355"/>
      <c r="I4386" s="355"/>
      <c r="J4386" s="355"/>
      <c r="K4386" s="355"/>
      <c r="L4386" s="355"/>
      <c r="M4386" s="355"/>
    </row>
    <row r="4387" spans="5:13">
      <c r="E4387" s="355"/>
      <c r="F4387" s="355"/>
      <c r="G4387" s="355"/>
      <c r="H4387" s="355"/>
      <c r="I4387" s="355"/>
      <c r="J4387" s="355"/>
      <c r="K4387" s="355"/>
      <c r="L4387" s="355"/>
      <c r="M4387" s="355"/>
    </row>
    <row r="4388" spans="5:13">
      <c r="E4388" s="355"/>
      <c r="F4388" s="355"/>
      <c r="G4388" s="355"/>
      <c r="H4388" s="355"/>
      <c r="I4388" s="355"/>
      <c r="J4388" s="355"/>
      <c r="K4388" s="355"/>
      <c r="L4388" s="355"/>
      <c r="M4388" s="355"/>
    </row>
    <row r="4389" spans="5:13">
      <c r="E4389" s="355"/>
      <c r="F4389" s="355"/>
      <c r="G4389" s="355"/>
      <c r="H4389" s="355"/>
      <c r="I4389" s="355"/>
      <c r="J4389" s="355"/>
      <c r="K4389" s="355"/>
      <c r="L4389" s="355"/>
      <c r="M4389" s="355"/>
    </row>
    <row r="4390" spans="5:13">
      <c r="E4390" s="355"/>
      <c r="F4390" s="355"/>
      <c r="G4390" s="355"/>
      <c r="H4390" s="355"/>
      <c r="I4390" s="355"/>
      <c r="J4390" s="355"/>
      <c r="K4390" s="355"/>
      <c r="L4390" s="355"/>
      <c r="M4390" s="355"/>
    </row>
    <row r="4391" spans="5:13">
      <c r="E4391" s="355"/>
      <c r="F4391" s="355"/>
      <c r="G4391" s="355"/>
      <c r="H4391" s="355"/>
      <c r="I4391" s="355"/>
      <c r="J4391" s="355"/>
      <c r="K4391" s="355"/>
      <c r="L4391" s="355"/>
      <c r="M4391" s="355"/>
    </row>
    <row r="4392" spans="5:13">
      <c r="E4392" s="355"/>
      <c r="F4392" s="355"/>
      <c r="G4392" s="355"/>
      <c r="H4392" s="355"/>
      <c r="I4392" s="355"/>
      <c r="J4392" s="355"/>
      <c r="K4392" s="355"/>
      <c r="L4392" s="355"/>
      <c r="M4392" s="355"/>
    </row>
    <row r="4393" spans="5:13">
      <c r="E4393" s="355"/>
      <c r="F4393" s="355"/>
      <c r="G4393" s="355"/>
      <c r="H4393" s="355"/>
      <c r="I4393" s="355"/>
      <c r="J4393" s="355"/>
      <c r="K4393" s="355"/>
      <c r="L4393" s="355"/>
      <c r="M4393" s="355"/>
    </row>
    <row r="4394" spans="5:13">
      <c r="E4394" s="355"/>
      <c r="F4394" s="355"/>
      <c r="G4394" s="355"/>
      <c r="H4394" s="355"/>
      <c r="I4394" s="355"/>
      <c r="J4394" s="355"/>
      <c r="K4394" s="355"/>
      <c r="L4394" s="355"/>
      <c r="M4394" s="355"/>
    </row>
    <row r="4395" spans="5:13">
      <c r="E4395" s="355"/>
      <c r="F4395" s="355"/>
      <c r="G4395" s="355"/>
      <c r="H4395" s="355"/>
      <c r="I4395" s="355"/>
      <c r="J4395" s="355"/>
      <c r="K4395" s="355"/>
      <c r="L4395" s="355"/>
      <c r="M4395" s="355"/>
    </row>
    <row r="4396" spans="5:13">
      <c r="E4396" s="355"/>
      <c r="F4396" s="355"/>
      <c r="G4396" s="355"/>
      <c r="H4396" s="355"/>
      <c r="I4396" s="355"/>
      <c r="J4396" s="355"/>
      <c r="K4396" s="355"/>
      <c r="L4396" s="355"/>
      <c r="M4396" s="355"/>
    </row>
    <row r="4397" spans="5:13">
      <c r="E4397" s="355"/>
      <c r="F4397" s="355"/>
      <c r="G4397" s="355"/>
      <c r="H4397" s="355"/>
      <c r="I4397" s="355"/>
      <c r="J4397" s="355"/>
      <c r="K4397" s="355"/>
      <c r="L4397" s="355"/>
      <c r="M4397" s="355"/>
    </row>
    <row r="4398" spans="5:13">
      <c r="E4398" s="355"/>
      <c r="F4398" s="355"/>
      <c r="G4398" s="355"/>
      <c r="H4398" s="355"/>
      <c r="I4398" s="355"/>
      <c r="J4398" s="355"/>
      <c r="K4398" s="355"/>
      <c r="L4398" s="355"/>
      <c r="M4398" s="355"/>
    </row>
    <row r="4399" spans="5:13">
      <c r="E4399" s="355"/>
      <c r="F4399" s="355"/>
      <c r="G4399" s="355"/>
      <c r="H4399" s="355"/>
      <c r="I4399" s="355"/>
      <c r="J4399" s="355"/>
      <c r="K4399" s="355"/>
      <c r="L4399" s="355"/>
      <c r="M4399" s="355"/>
    </row>
    <row r="4400" spans="5:13">
      <c r="E4400" s="355"/>
      <c r="F4400" s="355"/>
      <c r="G4400" s="355"/>
      <c r="H4400" s="355"/>
      <c r="I4400" s="355"/>
      <c r="J4400" s="355"/>
      <c r="K4400" s="355"/>
      <c r="L4400" s="355"/>
      <c r="M4400" s="355"/>
    </row>
    <row r="4401" spans="5:13">
      <c r="E4401" s="355"/>
      <c r="F4401" s="355"/>
      <c r="G4401" s="355"/>
      <c r="H4401" s="355"/>
      <c r="I4401" s="355"/>
      <c r="J4401" s="355"/>
      <c r="K4401" s="355"/>
      <c r="L4401" s="355"/>
      <c r="M4401" s="355"/>
    </row>
    <row r="4402" spans="5:13">
      <c r="E4402" s="355"/>
      <c r="F4402" s="355"/>
      <c r="G4402" s="355"/>
      <c r="H4402" s="355"/>
      <c r="I4402" s="355"/>
      <c r="J4402" s="355"/>
      <c r="K4402" s="355"/>
      <c r="L4402" s="355"/>
      <c r="M4402" s="355"/>
    </row>
    <row r="4403" spans="5:13">
      <c r="E4403" s="355"/>
      <c r="F4403" s="355"/>
      <c r="G4403" s="355"/>
      <c r="H4403" s="355"/>
      <c r="I4403" s="355"/>
      <c r="J4403" s="355"/>
      <c r="K4403" s="355"/>
      <c r="L4403" s="355"/>
      <c r="M4403" s="355"/>
    </row>
    <row r="4404" spans="5:13">
      <c r="E4404" s="355"/>
      <c r="F4404" s="355"/>
      <c r="G4404" s="355"/>
      <c r="H4404" s="355"/>
      <c r="I4404" s="355"/>
      <c r="J4404" s="355"/>
      <c r="K4404" s="355"/>
      <c r="L4404" s="355"/>
      <c r="M4404" s="355"/>
    </row>
    <row r="4405" spans="5:13">
      <c r="E4405" s="355"/>
      <c r="F4405" s="355"/>
      <c r="G4405" s="355"/>
      <c r="H4405" s="355"/>
      <c r="I4405" s="355"/>
      <c r="J4405" s="355"/>
      <c r="K4405" s="355"/>
      <c r="L4405" s="355"/>
      <c r="M4405" s="355"/>
    </row>
    <row r="4406" spans="5:13">
      <c r="E4406" s="355"/>
      <c r="F4406" s="355"/>
      <c r="G4406" s="355"/>
      <c r="H4406" s="355"/>
      <c r="I4406" s="355"/>
      <c r="J4406" s="355"/>
      <c r="K4406" s="355"/>
      <c r="L4406" s="355"/>
      <c r="M4406" s="355"/>
    </row>
    <row r="4407" spans="5:13">
      <c r="E4407" s="355"/>
      <c r="F4407" s="355"/>
      <c r="G4407" s="355"/>
      <c r="H4407" s="355"/>
      <c r="I4407" s="355"/>
      <c r="J4407" s="355"/>
      <c r="K4407" s="355"/>
      <c r="L4407" s="355"/>
      <c r="M4407" s="355"/>
    </row>
    <row r="4408" spans="5:13">
      <c r="E4408" s="355"/>
      <c r="F4408" s="355"/>
      <c r="G4408" s="355"/>
      <c r="H4408" s="355"/>
      <c r="I4408" s="355"/>
      <c r="J4408" s="355"/>
      <c r="K4408" s="355"/>
      <c r="L4408" s="355"/>
      <c r="M4408" s="355"/>
    </row>
    <row r="4409" spans="5:13">
      <c r="E4409" s="355"/>
      <c r="F4409" s="355"/>
      <c r="G4409" s="355"/>
      <c r="H4409" s="355"/>
      <c r="I4409" s="355"/>
      <c r="J4409" s="355"/>
      <c r="K4409" s="355"/>
      <c r="L4409" s="355"/>
      <c r="M4409" s="355"/>
    </row>
    <row r="4410" spans="5:13">
      <c r="E4410" s="355"/>
      <c r="F4410" s="355"/>
      <c r="G4410" s="355"/>
      <c r="H4410" s="355"/>
      <c r="I4410" s="355"/>
      <c r="J4410" s="355"/>
      <c r="K4410" s="355"/>
      <c r="L4410" s="355"/>
      <c r="M4410" s="355"/>
    </row>
    <row r="4411" spans="5:13">
      <c r="E4411" s="355"/>
      <c r="F4411" s="355"/>
      <c r="G4411" s="355"/>
      <c r="H4411" s="355"/>
      <c r="I4411" s="355"/>
      <c r="J4411" s="355"/>
      <c r="K4411" s="355"/>
      <c r="L4411" s="355"/>
      <c r="M4411" s="355"/>
    </row>
    <row r="4412" spans="5:13">
      <c r="E4412" s="355"/>
      <c r="F4412" s="355"/>
      <c r="G4412" s="355"/>
      <c r="H4412" s="355"/>
      <c r="I4412" s="355"/>
      <c r="J4412" s="355"/>
      <c r="K4412" s="355"/>
      <c r="L4412" s="355"/>
      <c r="M4412" s="355"/>
    </row>
    <row r="4413" spans="5:13">
      <c r="E4413" s="355"/>
      <c r="F4413" s="355"/>
      <c r="G4413" s="355"/>
      <c r="H4413" s="355"/>
      <c r="I4413" s="355"/>
      <c r="J4413" s="355"/>
      <c r="K4413" s="355"/>
      <c r="L4413" s="355"/>
      <c r="M4413" s="355"/>
    </row>
    <row r="4414" spans="5:13">
      <c r="E4414" s="355"/>
      <c r="F4414" s="355"/>
      <c r="G4414" s="355"/>
      <c r="H4414" s="355"/>
      <c r="I4414" s="355"/>
      <c r="J4414" s="355"/>
      <c r="K4414" s="355"/>
      <c r="L4414" s="355"/>
      <c r="M4414" s="355"/>
    </row>
    <row r="4415" spans="5:13">
      <c r="E4415" s="355"/>
      <c r="F4415" s="355"/>
      <c r="G4415" s="355"/>
      <c r="H4415" s="355"/>
      <c r="I4415" s="355"/>
      <c r="J4415" s="355"/>
      <c r="K4415" s="355"/>
      <c r="L4415" s="355"/>
      <c r="M4415" s="355"/>
    </row>
    <row r="4416" spans="5:13">
      <c r="E4416" s="355"/>
      <c r="F4416" s="355"/>
      <c r="G4416" s="355"/>
      <c r="H4416" s="355"/>
      <c r="I4416" s="355"/>
      <c r="J4416" s="355"/>
      <c r="K4416" s="355"/>
      <c r="L4416" s="355"/>
      <c r="M4416" s="355"/>
    </row>
    <row r="4417" spans="5:13">
      <c r="E4417" s="355"/>
      <c r="F4417" s="355"/>
      <c r="G4417" s="355"/>
      <c r="H4417" s="355"/>
      <c r="I4417" s="355"/>
      <c r="J4417" s="355"/>
      <c r="K4417" s="355"/>
      <c r="L4417" s="355"/>
      <c r="M4417" s="355"/>
    </row>
    <row r="4418" spans="5:13">
      <c r="E4418" s="355"/>
      <c r="F4418" s="355"/>
      <c r="G4418" s="355"/>
      <c r="H4418" s="355"/>
      <c r="I4418" s="355"/>
      <c r="J4418" s="355"/>
      <c r="K4418" s="355"/>
      <c r="L4418" s="355"/>
      <c r="M4418" s="355"/>
    </row>
    <row r="4419" spans="5:13">
      <c r="E4419" s="355"/>
      <c r="F4419" s="355"/>
      <c r="G4419" s="355"/>
      <c r="H4419" s="355"/>
      <c r="I4419" s="355"/>
      <c r="J4419" s="355"/>
      <c r="K4419" s="355"/>
      <c r="L4419" s="355"/>
      <c r="M4419" s="355"/>
    </row>
    <row r="4420" spans="5:13">
      <c r="E4420" s="355"/>
      <c r="F4420" s="355"/>
      <c r="G4420" s="355"/>
      <c r="H4420" s="355"/>
      <c r="I4420" s="355"/>
      <c r="J4420" s="355"/>
      <c r="K4420" s="355"/>
      <c r="L4420" s="355"/>
      <c r="M4420" s="355"/>
    </row>
    <row r="4421" spans="5:13">
      <c r="E4421" s="355"/>
      <c r="F4421" s="355"/>
      <c r="G4421" s="355"/>
      <c r="H4421" s="355"/>
      <c r="I4421" s="355"/>
      <c r="J4421" s="355"/>
      <c r="K4421" s="355"/>
      <c r="L4421" s="355"/>
      <c r="M4421" s="355"/>
    </row>
    <row r="4422" spans="5:13">
      <c r="E4422" s="355"/>
      <c r="F4422" s="355"/>
      <c r="G4422" s="355"/>
      <c r="H4422" s="355"/>
      <c r="I4422" s="355"/>
      <c r="J4422" s="355"/>
      <c r="K4422" s="355"/>
      <c r="L4422" s="355"/>
      <c r="M4422" s="355"/>
    </row>
    <row r="4423" spans="5:13">
      <c r="E4423" s="355"/>
      <c r="F4423" s="355"/>
      <c r="G4423" s="355"/>
      <c r="H4423" s="355"/>
      <c r="I4423" s="355"/>
      <c r="J4423" s="355"/>
      <c r="K4423" s="355"/>
      <c r="L4423" s="355"/>
      <c r="M4423" s="355"/>
    </row>
    <row r="4424" spans="5:13">
      <c r="E4424" s="355"/>
      <c r="F4424" s="355"/>
      <c r="G4424" s="355"/>
      <c r="H4424" s="355"/>
      <c r="I4424" s="355"/>
      <c r="J4424" s="355"/>
      <c r="K4424" s="355"/>
      <c r="L4424" s="355"/>
      <c r="M4424" s="355"/>
    </row>
    <row r="4425" spans="5:13">
      <c r="E4425" s="355"/>
      <c r="F4425" s="355"/>
      <c r="G4425" s="355"/>
      <c r="H4425" s="355"/>
      <c r="I4425" s="355"/>
      <c r="J4425" s="355"/>
      <c r="K4425" s="355"/>
      <c r="L4425" s="355"/>
      <c r="M4425" s="355"/>
    </row>
    <row r="4426" spans="5:13">
      <c r="E4426" s="355"/>
      <c r="F4426" s="355"/>
      <c r="G4426" s="355"/>
      <c r="H4426" s="355"/>
      <c r="I4426" s="355"/>
      <c r="J4426" s="355"/>
      <c r="K4426" s="355"/>
      <c r="L4426" s="355"/>
      <c r="M4426" s="355"/>
    </row>
    <row r="4427" spans="5:13">
      <c r="E4427" s="355"/>
      <c r="F4427" s="355"/>
      <c r="G4427" s="355"/>
      <c r="H4427" s="355"/>
      <c r="I4427" s="355"/>
      <c r="J4427" s="355"/>
      <c r="K4427" s="355"/>
      <c r="L4427" s="355"/>
      <c r="M4427" s="355"/>
    </row>
    <row r="4428" spans="5:13">
      <c r="E4428" s="355"/>
      <c r="F4428" s="355"/>
      <c r="G4428" s="355"/>
      <c r="H4428" s="355"/>
      <c r="I4428" s="355"/>
      <c r="J4428" s="355"/>
      <c r="K4428" s="355"/>
      <c r="L4428" s="355"/>
      <c r="M4428" s="355"/>
    </row>
    <row r="4429" spans="5:13">
      <c r="E4429" s="355"/>
      <c r="F4429" s="355"/>
      <c r="G4429" s="355"/>
      <c r="H4429" s="355"/>
      <c r="I4429" s="355"/>
      <c r="J4429" s="355"/>
      <c r="K4429" s="355"/>
      <c r="L4429" s="355"/>
      <c r="M4429" s="355"/>
    </row>
    <row r="4430" spans="5:13">
      <c r="E4430" s="355"/>
      <c r="F4430" s="355"/>
      <c r="G4430" s="355"/>
      <c r="H4430" s="355"/>
      <c r="I4430" s="355"/>
      <c r="J4430" s="355"/>
      <c r="K4430" s="355"/>
      <c r="L4430" s="355"/>
      <c r="M4430" s="355"/>
    </row>
    <row r="4431" spans="5:13">
      <c r="E4431" s="355"/>
      <c r="F4431" s="355"/>
      <c r="G4431" s="355"/>
      <c r="H4431" s="355"/>
      <c r="I4431" s="355"/>
      <c r="J4431" s="355"/>
      <c r="K4431" s="355"/>
      <c r="L4431" s="355"/>
      <c r="M4431" s="355"/>
    </row>
    <row r="4432" spans="5:13">
      <c r="E4432" s="355"/>
      <c r="F4432" s="355"/>
      <c r="G4432" s="355"/>
      <c r="H4432" s="355"/>
      <c r="I4432" s="355"/>
      <c r="J4432" s="355"/>
      <c r="K4432" s="355"/>
      <c r="L4432" s="355"/>
      <c r="M4432" s="355"/>
    </row>
    <row r="4433" spans="5:13">
      <c r="E4433" s="355"/>
      <c r="F4433" s="355"/>
      <c r="G4433" s="355"/>
      <c r="H4433" s="355"/>
      <c r="I4433" s="355"/>
      <c r="J4433" s="355"/>
      <c r="K4433" s="355"/>
      <c r="L4433" s="355"/>
      <c r="M4433" s="355"/>
    </row>
    <row r="4434" spans="5:13">
      <c r="E4434" s="355"/>
      <c r="F4434" s="355"/>
      <c r="G4434" s="355"/>
      <c r="H4434" s="355"/>
      <c r="I4434" s="355"/>
      <c r="J4434" s="355"/>
      <c r="K4434" s="355"/>
      <c r="L4434" s="355"/>
      <c r="M4434" s="355"/>
    </row>
    <row r="4435" spans="5:13">
      <c r="E4435" s="355"/>
      <c r="F4435" s="355"/>
      <c r="G4435" s="355"/>
      <c r="H4435" s="355"/>
      <c r="I4435" s="355"/>
      <c r="J4435" s="355"/>
      <c r="K4435" s="355"/>
      <c r="L4435" s="355"/>
      <c r="M4435" s="355"/>
    </row>
    <row r="4436" spans="5:13">
      <c r="E4436" s="355"/>
      <c r="F4436" s="355"/>
      <c r="G4436" s="355"/>
      <c r="H4436" s="355"/>
      <c r="I4436" s="355"/>
      <c r="J4436" s="355"/>
      <c r="K4436" s="355"/>
      <c r="L4436" s="355"/>
      <c r="M4436" s="355"/>
    </row>
    <row r="4437" spans="5:13">
      <c r="E4437" s="355"/>
      <c r="F4437" s="355"/>
      <c r="G4437" s="355"/>
      <c r="H4437" s="355"/>
      <c r="I4437" s="355"/>
      <c r="J4437" s="355"/>
      <c r="K4437" s="355"/>
      <c r="L4437" s="355"/>
      <c r="M4437" s="355"/>
    </row>
    <row r="4438" spans="5:13">
      <c r="E4438" s="355"/>
      <c r="F4438" s="355"/>
      <c r="G4438" s="355"/>
      <c r="H4438" s="355"/>
      <c r="I4438" s="355"/>
      <c r="J4438" s="355"/>
      <c r="K4438" s="355"/>
      <c r="L4438" s="355"/>
      <c r="M4438" s="355"/>
    </row>
    <row r="4439" spans="5:13">
      <c r="E4439" s="355"/>
      <c r="F4439" s="355"/>
      <c r="G4439" s="355"/>
      <c r="H4439" s="355"/>
      <c r="I4439" s="355"/>
      <c r="J4439" s="355"/>
      <c r="K4439" s="355"/>
      <c r="L4439" s="355"/>
      <c r="M4439" s="355"/>
    </row>
    <row r="4440" spans="5:13">
      <c r="E4440" s="355"/>
      <c r="F4440" s="355"/>
      <c r="G4440" s="355"/>
      <c r="H4440" s="355"/>
      <c r="I4440" s="355"/>
      <c r="J4440" s="355"/>
      <c r="K4440" s="355"/>
      <c r="L4440" s="355"/>
      <c r="M4440" s="355"/>
    </row>
    <row r="4441" spans="5:13">
      <c r="E4441" s="355"/>
      <c r="F4441" s="355"/>
      <c r="G4441" s="355"/>
      <c r="H4441" s="355"/>
      <c r="I4441" s="355"/>
      <c r="J4441" s="355"/>
      <c r="K4441" s="355"/>
      <c r="L4441" s="355"/>
      <c r="M4441" s="355"/>
    </row>
    <row r="4442" spans="5:13">
      <c r="E4442" s="355"/>
      <c r="F4442" s="355"/>
      <c r="G4442" s="355"/>
      <c r="H4442" s="355"/>
      <c r="I4442" s="355"/>
      <c r="J4442" s="355"/>
      <c r="K4442" s="355"/>
      <c r="L4442" s="355"/>
      <c r="M4442" s="355"/>
    </row>
    <row r="4443" spans="5:13">
      <c r="E4443" s="355"/>
      <c r="F4443" s="355"/>
      <c r="G4443" s="355"/>
      <c r="H4443" s="355"/>
      <c r="I4443" s="355"/>
      <c r="J4443" s="355"/>
      <c r="K4443" s="355"/>
      <c r="L4443" s="355"/>
      <c r="M4443" s="355"/>
    </row>
    <row r="4444" spans="5:13">
      <c r="E4444" s="355"/>
      <c r="F4444" s="355"/>
      <c r="G4444" s="355"/>
      <c r="H4444" s="355"/>
      <c r="I4444" s="355"/>
      <c r="J4444" s="355"/>
      <c r="K4444" s="355"/>
      <c r="L4444" s="355"/>
      <c r="M4444" s="355"/>
    </row>
    <row r="4445" spans="5:13">
      <c r="E4445" s="355"/>
      <c r="F4445" s="355"/>
      <c r="G4445" s="355"/>
      <c r="H4445" s="355"/>
      <c r="I4445" s="355"/>
      <c r="J4445" s="355"/>
      <c r="K4445" s="355"/>
      <c r="L4445" s="355"/>
      <c r="M4445" s="355"/>
    </row>
    <row r="4446" spans="5:13">
      <c r="E4446" s="355"/>
      <c r="F4446" s="355"/>
      <c r="G4446" s="355"/>
      <c r="H4446" s="355"/>
      <c r="I4446" s="355"/>
      <c r="J4446" s="355"/>
      <c r="K4446" s="355"/>
      <c r="L4446" s="355"/>
      <c r="M4446" s="355"/>
    </row>
    <row r="4447" spans="5:13">
      <c r="E4447" s="355"/>
      <c r="F4447" s="355"/>
      <c r="G4447" s="355"/>
      <c r="H4447" s="355"/>
      <c r="I4447" s="355"/>
      <c r="J4447" s="355"/>
      <c r="K4447" s="355"/>
      <c r="L4447" s="355"/>
      <c r="M4447" s="355"/>
    </row>
    <row r="4448" spans="5:13">
      <c r="E4448" s="355"/>
      <c r="F4448" s="355"/>
      <c r="G4448" s="355"/>
      <c r="H4448" s="355"/>
      <c r="I4448" s="355"/>
      <c r="J4448" s="355"/>
      <c r="K4448" s="355"/>
      <c r="L4448" s="355"/>
      <c r="M4448" s="355"/>
    </row>
    <row r="4449" spans="5:13">
      <c r="E4449" s="355"/>
      <c r="F4449" s="355"/>
      <c r="G4449" s="355"/>
      <c r="H4449" s="355"/>
      <c r="I4449" s="355"/>
      <c r="J4449" s="355"/>
      <c r="K4449" s="355"/>
      <c r="L4449" s="355"/>
      <c r="M4449" s="355"/>
    </row>
    <row r="4450" spans="5:13">
      <c r="E4450" s="355"/>
      <c r="F4450" s="355"/>
      <c r="G4450" s="355"/>
      <c r="H4450" s="355"/>
      <c r="I4450" s="355"/>
      <c r="J4450" s="355"/>
      <c r="K4450" s="355"/>
      <c r="L4450" s="355"/>
      <c r="M4450" s="355"/>
    </row>
    <row r="4451" spans="5:13">
      <c r="E4451" s="355"/>
      <c r="F4451" s="355"/>
      <c r="G4451" s="355"/>
      <c r="H4451" s="355"/>
      <c r="I4451" s="355"/>
      <c r="J4451" s="355"/>
      <c r="K4451" s="355"/>
      <c r="L4451" s="355"/>
      <c r="M4451" s="355"/>
    </row>
    <row r="4452" spans="5:13">
      <c r="E4452" s="355"/>
      <c r="F4452" s="355"/>
      <c r="G4452" s="355"/>
      <c r="H4452" s="355"/>
      <c r="I4452" s="355"/>
      <c r="J4452" s="355"/>
      <c r="K4452" s="355"/>
      <c r="L4452" s="355"/>
      <c r="M4452" s="355"/>
    </row>
    <row r="4453" spans="5:13">
      <c r="E4453" s="355"/>
      <c r="F4453" s="355"/>
      <c r="G4453" s="355"/>
      <c r="H4453" s="355"/>
      <c r="I4453" s="355"/>
      <c r="J4453" s="355"/>
      <c r="K4453" s="355"/>
      <c r="L4453" s="355"/>
      <c r="M4453" s="355"/>
    </row>
    <row r="4454" spans="5:13">
      <c r="E4454" s="355"/>
      <c r="F4454" s="355"/>
      <c r="G4454" s="355"/>
      <c r="H4454" s="355"/>
      <c r="I4454" s="355"/>
      <c r="J4454" s="355"/>
      <c r="K4454" s="355"/>
      <c r="L4454" s="355"/>
      <c r="M4454" s="355"/>
    </row>
    <row r="4455" spans="5:13">
      <c r="E4455" s="355"/>
      <c r="F4455" s="355"/>
      <c r="G4455" s="355"/>
      <c r="H4455" s="355"/>
      <c r="I4455" s="355"/>
      <c r="J4455" s="355"/>
      <c r="K4455" s="355"/>
      <c r="L4455" s="355"/>
      <c r="M4455" s="355"/>
    </row>
    <row r="4456" spans="5:13">
      <c r="E4456" s="355"/>
      <c r="F4456" s="355"/>
      <c r="G4456" s="355"/>
      <c r="H4456" s="355"/>
      <c r="I4456" s="355"/>
      <c r="J4456" s="355"/>
      <c r="K4456" s="355"/>
      <c r="L4456" s="355"/>
      <c r="M4456" s="355"/>
    </row>
    <row r="4457" spans="5:13">
      <c r="E4457" s="355"/>
      <c r="F4457" s="355"/>
      <c r="G4457" s="355"/>
      <c r="H4457" s="355"/>
      <c r="I4457" s="355"/>
      <c r="J4457" s="355"/>
      <c r="K4457" s="355"/>
      <c r="L4457" s="355"/>
      <c r="M4457" s="355"/>
    </row>
    <row r="4458" spans="5:13">
      <c r="E4458" s="355"/>
      <c r="F4458" s="355"/>
      <c r="G4458" s="355"/>
      <c r="H4458" s="355"/>
      <c r="I4458" s="355"/>
      <c r="J4458" s="355"/>
      <c r="K4458" s="355"/>
      <c r="L4458" s="355"/>
      <c r="M4458" s="355"/>
    </row>
    <row r="4459" spans="5:13">
      <c r="E4459" s="355"/>
      <c r="F4459" s="355"/>
      <c r="G4459" s="355"/>
      <c r="H4459" s="355"/>
      <c r="I4459" s="355"/>
      <c r="J4459" s="355"/>
      <c r="K4459" s="355"/>
      <c r="L4459" s="355"/>
      <c r="M4459" s="355"/>
    </row>
    <row r="4460" spans="5:13">
      <c r="E4460" s="355"/>
      <c r="F4460" s="355"/>
      <c r="G4460" s="355"/>
      <c r="H4460" s="355"/>
      <c r="I4460" s="355"/>
      <c r="J4460" s="355"/>
      <c r="K4460" s="355"/>
      <c r="L4460" s="355"/>
      <c r="M4460" s="355"/>
    </row>
    <row r="4461" spans="5:13">
      <c r="E4461" s="355"/>
      <c r="F4461" s="355"/>
      <c r="G4461" s="355"/>
      <c r="H4461" s="355"/>
      <c r="I4461" s="355"/>
      <c r="J4461" s="355"/>
      <c r="K4461" s="355"/>
      <c r="L4461" s="355"/>
      <c r="M4461" s="355"/>
    </row>
    <row r="4462" spans="5:13">
      <c r="E4462" s="355"/>
      <c r="F4462" s="355"/>
      <c r="G4462" s="355"/>
      <c r="H4462" s="355"/>
      <c r="I4462" s="355"/>
      <c r="J4462" s="355"/>
      <c r="K4462" s="355"/>
      <c r="L4462" s="355"/>
      <c r="M4462" s="355"/>
    </row>
    <row r="4463" spans="5:13">
      <c r="E4463" s="355"/>
      <c r="F4463" s="355"/>
      <c r="G4463" s="355"/>
      <c r="H4463" s="355"/>
      <c r="I4463" s="355"/>
      <c r="J4463" s="355"/>
      <c r="K4463" s="355"/>
      <c r="L4463" s="355"/>
      <c r="M4463" s="355"/>
    </row>
    <row r="4464" spans="5:13">
      <c r="E4464" s="355"/>
      <c r="F4464" s="355"/>
      <c r="G4464" s="355"/>
      <c r="H4464" s="355"/>
      <c r="I4464" s="355"/>
      <c r="J4464" s="355"/>
      <c r="K4464" s="355"/>
      <c r="L4464" s="355"/>
      <c r="M4464" s="355"/>
    </row>
    <row r="4465" spans="5:13">
      <c r="E4465" s="355"/>
      <c r="F4465" s="355"/>
      <c r="G4465" s="355"/>
      <c r="H4465" s="355"/>
      <c r="I4465" s="355"/>
      <c r="J4465" s="355"/>
      <c r="K4465" s="355"/>
      <c r="L4465" s="355"/>
      <c r="M4465" s="355"/>
    </row>
    <row r="4466" spans="5:13">
      <c r="E4466" s="355"/>
      <c r="F4466" s="355"/>
      <c r="G4466" s="355"/>
      <c r="H4466" s="355"/>
      <c r="I4466" s="355"/>
      <c r="J4466" s="355"/>
      <c r="K4466" s="355"/>
      <c r="L4466" s="355"/>
      <c r="M4466" s="355"/>
    </row>
    <row r="4467" spans="5:13">
      <c r="E4467" s="355"/>
      <c r="F4467" s="355"/>
      <c r="G4467" s="355"/>
      <c r="H4467" s="355"/>
      <c r="I4467" s="355"/>
      <c r="J4467" s="355"/>
      <c r="K4467" s="355"/>
      <c r="L4467" s="355"/>
      <c r="M4467" s="355"/>
    </row>
    <row r="4468" spans="5:13">
      <c r="E4468" s="355"/>
      <c r="F4468" s="355"/>
      <c r="G4468" s="355"/>
      <c r="H4468" s="355"/>
      <c r="I4468" s="355"/>
      <c r="J4468" s="355"/>
      <c r="K4468" s="355"/>
      <c r="L4468" s="355"/>
      <c r="M4468" s="355"/>
    </row>
    <row r="4469" spans="5:13">
      <c r="E4469" s="355"/>
      <c r="F4469" s="355"/>
      <c r="G4469" s="355"/>
      <c r="H4469" s="355"/>
      <c r="I4469" s="355"/>
      <c r="J4469" s="355"/>
      <c r="K4469" s="355"/>
      <c r="L4469" s="355"/>
      <c r="M4469" s="355"/>
    </row>
    <row r="4470" spans="5:13">
      <c r="E4470" s="355"/>
      <c r="F4470" s="355"/>
      <c r="G4470" s="355"/>
      <c r="H4470" s="355"/>
      <c r="I4470" s="355"/>
      <c r="J4470" s="355"/>
      <c r="K4470" s="355"/>
      <c r="L4470" s="355"/>
      <c r="M4470" s="355"/>
    </row>
    <row r="4471" spans="5:13">
      <c r="E4471" s="355"/>
      <c r="F4471" s="355"/>
      <c r="G4471" s="355"/>
      <c r="H4471" s="355"/>
      <c r="I4471" s="355"/>
      <c r="J4471" s="355"/>
      <c r="K4471" s="355"/>
      <c r="L4471" s="355"/>
      <c r="M4471" s="355"/>
    </row>
    <row r="4472" spans="5:13">
      <c r="E4472" s="355"/>
      <c r="F4472" s="355"/>
      <c r="G4472" s="355"/>
      <c r="H4472" s="355"/>
      <c r="I4472" s="355"/>
      <c r="J4472" s="355"/>
      <c r="K4472" s="355"/>
      <c r="L4472" s="355"/>
      <c r="M4472" s="355"/>
    </row>
    <row r="4473" spans="5:13">
      <c r="E4473" s="355"/>
      <c r="F4473" s="355"/>
      <c r="G4473" s="355"/>
      <c r="H4473" s="355"/>
      <c r="I4473" s="355"/>
      <c r="J4473" s="355"/>
      <c r="K4473" s="355"/>
      <c r="L4473" s="355"/>
      <c r="M4473" s="355"/>
    </row>
    <row r="4474" spans="5:13">
      <c r="E4474" s="355"/>
      <c r="F4474" s="355"/>
      <c r="G4474" s="355"/>
      <c r="H4474" s="355"/>
      <c r="I4474" s="355"/>
      <c r="J4474" s="355"/>
      <c r="K4474" s="355"/>
      <c r="L4474" s="355"/>
      <c r="M4474" s="355"/>
    </row>
    <row r="4475" spans="5:13">
      <c r="E4475" s="355"/>
      <c r="F4475" s="355"/>
      <c r="G4475" s="355"/>
      <c r="H4475" s="355"/>
      <c r="I4475" s="355"/>
      <c r="J4475" s="355"/>
      <c r="K4475" s="355"/>
      <c r="L4475" s="355"/>
      <c r="M4475" s="355"/>
    </row>
    <row r="4476" spans="5:13">
      <c r="E4476" s="355"/>
      <c r="F4476" s="355"/>
      <c r="G4476" s="355"/>
      <c r="H4476" s="355"/>
      <c r="I4476" s="355"/>
      <c r="J4476" s="355"/>
      <c r="K4476" s="355"/>
      <c r="L4476" s="355"/>
      <c r="M4476" s="355"/>
    </row>
    <row r="4477" spans="5:13">
      <c r="E4477" s="355"/>
      <c r="F4477" s="355"/>
      <c r="G4477" s="355"/>
      <c r="H4477" s="355"/>
      <c r="I4477" s="355"/>
      <c r="J4477" s="355"/>
      <c r="K4477" s="355"/>
      <c r="L4477" s="355"/>
      <c r="M4477" s="355"/>
    </row>
    <row r="4478" spans="5:13">
      <c r="E4478" s="355"/>
      <c r="F4478" s="355"/>
      <c r="G4478" s="355"/>
      <c r="H4478" s="355"/>
      <c r="I4478" s="355"/>
      <c r="J4478" s="355"/>
      <c r="K4478" s="355"/>
      <c r="L4478" s="355"/>
      <c r="M4478" s="355"/>
    </row>
    <row r="4479" spans="5:13">
      <c r="E4479" s="355"/>
      <c r="F4479" s="355"/>
      <c r="G4479" s="355"/>
      <c r="H4479" s="355"/>
      <c r="I4479" s="355"/>
      <c r="J4479" s="355"/>
      <c r="K4479" s="355"/>
      <c r="L4479" s="355"/>
      <c r="M4479" s="355"/>
    </row>
    <row r="4480" spans="5:13">
      <c r="E4480" s="355"/>
      <c r="F4480" s="355"/>
      <c r="G4480" s="355"/>
      <c r="H4480" s="355"/>
      <c r="I4480" s="355"/>
      <c r="J4480" s="355"/>
      <c r="K4480" s="355"/>
      <c r="L4480" s="355"/>
      <c r="M4480" s="355"/>
    </row>
    <row r="4481" spans="5:13">
      <c r="E4481" s="355"/>
      <c r="F4481" s="355"/>
      <c r="G4481" s="355"/>
      <c r="H4481" s="355"/>
      <c r="I4481" s="355"/>
      <c r="J4481" s="355"/>
      <c r="K4481" s="355"/>
      <c r="L4481" s="355"/>
      <c r="M4481" s="355"/>
    </row>
    <row r="4482" spans="5:13">
      <c r="E4482" s="355"/>
      <c r="F4482" s="355"/>
      <c r="G4482" s="355"/>
      <c r="H4482" s="355"/>
      <c r="I4482" s="355"/>
      <c r="J4482" s="355"/>
      <c r="K4482" s="355"/>
      <c r="L4482" s="355"/>
      <c r="M4482" s="355"/>
    </row>
    <row r="4483" spans="5:13">
      <c r="E4483" s="355"/>
      <c r="F4483" s="355"/>
      <c r="G4483" s="355"/>
      <c r="H4483" s="355"/>
      <c r="I4483" s="355"/>
      <c r="J4483" s="355"/>
      <c r="K4483" s="355"/>
      <c r="L4483" s="355"/>
      <c r="M4483" s="355"/>
    </row>
    <row r="4484" spans="5:13">
      <c r="E4484" s="355"/>
      <c r="F4484" s="355"/>
      <c r="G4484" s="355"/>
      <c r="H4484" s="355"/>
      <c r="I4484" s="355"/>
      <c r="J4484" s="355"/>
      <c r="K4484" s="355"/>
      <c r="L4484" s="355"/>
      <c r="M4484" s="355"/>
    </row>
    <row r="4485" spans="5:13">
      <c r="E4485" s="355"/>
      <c r="F4485" s="355"/>
      <c r="G4485" s="355"/>
      <c r="H4485" s="355"/>
      <c r="I4485" s="355"/>
      <c r="J4485" s="355"/>
      <c r="K4485" s="355"/>
      <c r="L4485" s="355"/>
      <c r="M4485" s="355"/>
    </row>
    <row r="4486" spans="5:13">
      <c r="E4486" s="355"/>
      <c r="F4486" s="355"/>
      <c r="G4486" s="355"/>
      <c r="H4486" s="355"/>
      <c r="I4486" s="355"/>
      <c r="J4486" s="355"/>
      <c r="K4486" s="355"/>
      <c r="L4486" s="355"/>
      <c r="M4486" s="355"/>
    </row>
    <row r="4487" spans="5:13">
      <c r="E4487" s="355"/>
      <c r="F4487" s="355"/>
      <c r="G4487" s="355"/>
      <c r="H4487" s="355"/>
      <c r="I4487" s="355"/>
      <c r="J4487" s="355"/>
      <c r="K4487" s="355"/>
      <c r="L4487" s="355"/>
      <c r="M4487" s="355"/>
    </row>
    <row r="4488" spans="5:13">
      <c r="E4488" s="355"/>
      <c r="F4488" s="355"/>
      <c r="G4488" s="355"/>
      <c r="H4488" s="355"/>
      <c r="I4488" s="355"/>
      <c r="J4488" s="355"/>
      <c r="K4488" s="355"/>
      <c r="L4488" s="355"/>
      <c r="M4488" s="355"/>
    </row>
    <row r="4489" spans="5:13">
      <c r="E4489" s="355"/>
      <c r="F4489" s="355"/>
      <c r="G4489" s="355"/>
      <c r="H4489" s="355"/>
      <c r="I4489" s="355"/>
      <c r="J4489" s="355"/>
      <c r="K4489" s="355"/>
      <c r="L4489" s="355"/>
      <c r="M4489" s="355"/>
    </row>
    <row r="4490" spans="5:13">
      <c r="E4490" s="355"/>
      <c r="F4490" s="355"/>
      <c r="G4490" s="355"/>
      <c r="H4490" s="355"/>
      <c r="I4490" s="355"/>
      <c r="J4490" s="355"/>
      <c r="K4490" s="355"/>
      <c r="L4490" s="355"/>
      <c r="M4490" s="355"/>
    </row>
    <row r="4491" spans="5:13">
      <c r="E4491" s="355"/>
      <c r="F4491" s="355"/>
      <c r="G4491" s="355"/>
      <c r="H4491" s="355"/>
      <c r="I4491" s="355"/>
      <c r="J4491" s="355"/>
      <c r="K4491" s="355"/>
      <c r="L4491" s="355"/>
      <c r="M4491" s="355"/>
    </row>
    <row r="4492" spans="5:13">
      <c r="E4492" s="355"/>
      <c r="F4492" s="355"/>
      <c r="G4492" s="355"/>
      <c r="H4492" s="355"/>
      <c r="I4492" s="355"/>
      <c r="J4492" s="355"/>
      <c r="K4492" s="355"/>
      <c r="L4492" s="355"/>
      <c r="M4492" s="355"/>
    </row>
    <row r="4493" spans="5:13">
      <c r="E4493" s="355"/>
      <c r="F4493" s="355"/>
      <c r="G4493" s="355"/>
      <c r="H4493" s="355"/>
      <c r="I4493" s="355"/>
      <c r="J4493" s="355"/>
      <c r="K4493" s="355"/>
      <c r="L4493" s="355"/>
      <c r="M4493" s="355"/>
    </row>
    <row r="4494" spans="5:13">
      <c r="E4494" s="355"/>
      <c r="F4494" s="355"/>
      <c r="G4494" s="355"/>
      <c r="H4494" s="355"/>
      <c r="I4494" s="355"/>
      <c r="J4494" s="355"/>
      <c r="K4494" s="355"/>
      <c r="L4494" s="355"/>
      <c r="M4494" s="355"/>
    </row>
    <row r="4495" spans="5:13">
      <c r="E4495" s="355"/>
      <c r="F4495" s="355"/>
      <c r="G4495" s="355"/>
      <c r="H4495" s="355"/>
      <c r="I4495" s="355"/>
      <c r="J4495" s="355"/>
      <c r="K4495" s="355"/>
      <c r="L4495" s="355"/>
      <c r="M4495" s="355"/>
    </row>
    <row r="4496" spans="5:13">
      <c r="E4496" s="355"/>
      <c r="F4496" s="355"/>
      <c r="G4496" s="355"/>
      <c r="H4496" s="355"/>
      <c r="I4496" s="355"/>
      <c r="J4496" s="355"/>
      <c r="K4496" s="355"/>
      <c r="L4496" s="355"/>
      <c r="M4496" s="355"/>
    </row>
    <row r="4497" spans="5:13">
      <c r="E4497" s="355"/>
      <c r="F4497" s="355"/>
      <c r="G4497" s="355"/>
      <c r="H4497" s="355"/>
      <c r="I4497" s="355"/>
      <c r="J4497" s="355"/>
      <c r="K4497" s="355"/>
      <c r="L4497" s="355"/>
      <c r="M4497" s="355"/>
    </row>
    <row r="4498" spans="5:13">
      <c r="E4498" s="355"/>
      <c r="F4498" s="355"/>
      <c r="G4498" s="355"/>
      <c r="H4498" s="355"/>
      <c r="I4498" s="355"/>
      <c r="J4498" s="355"/>
      <c r="K4498" s="355"/>
      <c r="L4498" s="355"/>
      <c r="M4498" s="355"/>
    </row>
    <row r="4499" spans="5:13">
      <c r="E4499" s="355"/>
      <c r="F4499" s="355"/>
      <c r="G4499" s="355"/>
      <c r="H4499" s="355"/>
      <c r="I4499" s="355"/>
      <c r="J4499" s="355"/>
      <c r="K4499" s="355"/>
      <c r="L4499" s="355"/>
      <c r="M4499" s="355"/>
    </row>
    <row r="4500" spans="5:13">
      <c r="E4500" s="355"/>
      <c r="F4500" s="355"/>
      <c r="G4500" s="355"/>
      <c r="H4500" s="355"/>
      <c r="I4500" s="355"/>
      <c r="J4500" s="355"/>
      <c r="K4500" s="355"/>
      <c r="L4500" s="355"/>
      <c r="M4500" s="355"/>
    </row>
    <row r="4501" spans="5:13">
      <c r="E4501" s="355"/>
      <c r="F4501" s="355"/>
      <c r="G4501" s="355"/>
      <c r="H4501" s="355"/>
      <c r="I4501" s="355"/>
      <c r="J4501" s="355"/>
      <c r="K4501" s="355"/>
      <c r="L4501" s="355"/>
      <c r="M4501" s="355"/>
    </row>
    <row r="4502" spans="5:13">
      <c r="E4502" s="355"/>
      <c r="F4502" s="355"/>
      <c r="G4502" s="355"/>
      <c r="H4502" s="355"/>
      <c r="I4502" s="355"/>
      <c r="J4502" s="355"/>
      <c r="K4502" s="355"/>
      <c r="L4502" s="355"/>
      <c r="M4502" s="355"/>
    </row>
    <row r="4503" spans="5:13">
      <c r="E4503" s="355"/>
      <c r="F4503" s="355"/>
      <c r="G4503" s="355"/>
      <c r="H4503" s="355"/>
      <c r="I4503" s="355"/>
      <c r="J4503" s="355"/>
      <c r="K4503" s="355"/>
      <c r="L4503" s="355"/>
      <c r="M4503" s="355"/>
    </row>
    <row r="4504" spans="5:13">
      <c r="E4504" s="355"/>
      <c r="F4504" s="355"/>
      <c r="G4504" s="355"/>
      <c r="H4504" s="355"/>
      <c r="I4504" s="355"/>
      <c r="J4504" s="355"/>
      <c r="K4504" s="355"/>
      <c r="L4504" s="355"/>
      <c r="M4504" s="355"/>
    </row>
    <row r="4505" spans="5:13">
      <c r="E4505" s="355"/>
      <c r="F4505" s="355"/>
      <c r="G4505" s="355"/>
      <c r="H4505" s="355"/>
      <c r="I4505" s="355"/>
      <c r="J4505" s="355"/>
      <c r="K4505" s="355"/>
      <c r="L4505" s="355"/>
      <c r="M4505" s="355"/>
    </row>
    <row r="4506" spans="5:13">
      <c r="E4506" s="355"/>
      <c r="F4506" s="355"/>
      <c r="G4506" s="355"/>
      <c r="H4506" s="355"/>
      <c r="I4506" s="355"/>
      <c r="J4506" s="355"/>
      <c r="K4506" s="355"/>
      <c r="L4506" s="355"/>
      <c r="M4506" s="355"/>
    </row>
    <row r="4507" spans="5:13">
      <c r="E4507" s="355"/>
      <c r="F4507" s="355"/>
      <c r="G4507" s="355"/>
      <c r="H4507" s="355"/>
      <c r="I4507" s="355"/>
      <c r="J4507" s="355"/>
      <c r="K4507" s="355"/>
      <c r="L4507" s="355"/>
      <c r="M4507" s="355"/>
    </row>
    <row r="4508" spans="5:13">
      <c r="E4508" s="355"/>
      <c r="F4508" s="355"/>
      <c r="G4508" s="355"/>
      <c r="H4508" s="355"/>
      <c r="I4508" s="355"/>
      <c r="J4508" s="355"/>
      <c r="K4508" s="355"/>
      <c r="L4508" s="355"/>
      <c r="M4508" s="355"/>
    </row>
    <row r="4509" spans="5:13">
      <c r="E4509" s="355"/>
      <c r="F4509" s="355"/>
      <c r="G4509" s="355"/>
      <c r="H4509" s="355"/>
      <c r="I4509" s="355"/>
      <c r="J4509" s="355"/>
      <c r="K4509" s="355"/>
      <c r="L4509" s="355"/>
      <c r="M4509" s="355"/>
    </row>
    <row r="4510" spans="5:13">
      <c r="E4510" s="355"/>
      <c r="F4510" s="355"/>
      <c r="G4510" s="355"/>
      <c r="H4510" s="355"/>
      <c r="I4510" s="355"/>
      <c r="J4510" s="355"/>
      <c r="K4510" s="355"/>
      <c r="L4510" s="355"/>
      <c r="M4510" s="355"/>
    </row>
    <row r="4511" spans="5:13">
      <c r="E4511" s="355"/>
      <c r="F4511" s="355"/>
      <c r="G4511" s="355"/>
      <c r="H4511" s="355"/>
      <c r="I4511" s="355"/>
      <c r="J4511" s="355"/>
      <c r="K4511" s="355"/>
      <c r="L4511" s="355"/>
      <c r="M4511" s="355"/>
    </row>
    <row r="4512" spans="5:13">
      <c r="E4512" s="355"/>
      <c r="F4512" s="355"/>
      <c r="G4512" s="355"/>
      <c r="H4512" s="355"/>
      <c r="I4512" s="355"/>
      <c r="J4512" s="355"/>
      <c r="K4512" s="355"/>
      <c r="L4512" s="355"/>
      <c r="M4512" s="355"/>
    </row>
    <row r="4513" spans="5:13">
      <c r="E4513" s="355"/>
      <c r="F4513" s="355"/>
      <c r="G4513" s="355"/>
      <c r="H4513" s="355"/>
      <c r="I4513" s="355"/>
      <c r="J4513" s="355"/>
      <c r="K4513" s="355"/>
      <c r="L4513" s="355"/>
      <c r="M4513" s="355"/>
    </row>
    <row r="4514" spans="5:13">
      <c r="E4514" s="355"/>
      <c r="F4514" s="355"/>
      <c r="G4514" s="355"/>
      <c r="H4514" s="355"/>
      <c r="I4514" s="355"/>
      <c r="J4514" s="355"/>
      <c r="K4514" s="355"/>
      <c r="L4514" s="355"/>
      <c r="M4514" s="355"/>
    </row>
    <row r="4515" spans="5:13">
      <c r="E4515" s="355"/>
      <c r="F4515" s="355"/>
      <c r="G4515" s="355"/>
      <c r="H4515" s="355"/>
      <c r="I4515" s="355"/>
      <c r="J4515" s="355"/>
      <c r="K4515" s="355"/>
      <c r="L4515" s="355"/>
      <c r="M4515" s="355"/>
    </row>
    <row r="4516" spans="5:13">
      <c r="E4516" s="355"/>
      <c r="F4516" s="355"/>
      <c r="G4516" s="355"/>
      <c r="H4516" s="355"/>
      <c r="I4516" s="355"/>
      <c r="J4516" s="355"/>
      <c r="K4516" s="355"/>
      <c r="L4516" s="355"/>
      <c r="M4516" s="355"/>
    </row>
    <row r="4517" spans="5:13">
      <c r="E4517" s="355"/>
      <c r="F4517" s="355"/>
      <c r="G4517" s="355"/>
      <c r="H4517" s="355"/>
      <c r="I4517" s="355"/>
      <c r="J4517" s="355"/>
      <c r="K4517" s="355"/>
      <c r="L4517" s="355"/>
      <c r="M4517" s="355"/>
    </row>
    <row r="4518" spans="5:13">
      <c r="E4518" s="355"/>
      <c r="F4518" s="355"/>
      <c r="G4518" s="355"/>
      <c r="H4518" s="355"/>
      <c r="I4518" s="355"/>
      <c r="J4518" s="355"/>
      <c r="K4518" s="355"/>
      <c r="L4518" s="355"/>
      <c r="M4518" s="355"/>
    </row>
    <row r="4519" spans="5:13">
      <c r="E4519" s="355"/>
      <c r="F4519" s="355"/>
      <c r="G4519" s="355"/>
      <c r="H4519" s="355"/>
      <c r="I4519" s="355"/>
      <c r="J4519" s="355"/>
      <c r="K4519" s="355"/>
      <c r="L4519" s="355"/>
      <c r="M4519" s="355"/>
    </row>
    <row r="4520" spans="5:13">
      <c r="E4520" s="355"/>
      <c r="F4520" s="355"/>
      <c r="G4520" s="355"/>
      <c r="H4520" s="355"/>
      <c r="I4520" s="355"/>
      <c r="J4520" s="355"/>
      <c r="K4520" s="355"/>
      <c r="L4520" s="355"/>
      <c r="M4520" s="355"/>
    </row>
    <row r="4521" spans="5:13">
      <c r="E4521" s="355"/>
      <c r="F4521" s="355"/>
      <c r="G4521" s="355"/>
      <c r="H4521" s="355"/>
      <c r="I4521" s="355"/>
      <c r="J4521" s="355"/>
      <c r="K4521" s="355"/>
      <c r="L4521" s="355"/>
      <c r="M4521" s="355"/>
    </row>
    <row r="4522" spans="5:13">
      <c r="E4522" s="355"/>
      <c r="F4522" s="355"/>
      <c r="G4522" s="355"/>
      <c r="H4522" s="355"/>
      <c r="I4522" s="355"/>
      <c r="J4522" s="355"/>
      <c r="K4522" s="355"/>
      <c r="L4522" s="355"/>
      <c r="M4522" s="355"/>
    </row>
    <row r="4523" spans="5:13">
      <c r="E4523" s="355"/>
      <c r="F4523" s="355"/>
      <c r="G4523" s="355"/>
      <c r="H4523" s="355"/>
      <c r="I4523" s="355"/>
      <c r="J4523" s="355"/>
      <c r="K4523" s="355"/>
      <c r="L4523" s="355"/>
      <c r="M4523" s="355"/>
    </row>
    <row r="4524" spans="5:13">
      <c r="E4524" s="355"/>
      <c r="F4524" s="355"/>
      <c r="G4524" s="355"/>
      <c r="H4524" s="355"/>
      <c r="I4524" s="355"/>
      <c r="J4524" s="355"/>
      <c r="K4524" s="355"/>
      <c r="L4524" s="355"/>
      <c r="M4524" s="355"/>
    </row>
    <row r="4525" spans="5:13">
      <c r="E4525" s="355"/>
      <c r="F4525" s="355"/>
      <c r="G4525" s="355"/>
      <c r="H4525" s="355"/>
      <c r="I4525" s="355"/>
      <c r="J4525" s="355"/>
      <c r="K4525" s="355"/>
      <c r="L4525" s="355"/>
      <c r="M4525" s="355"/>
    </row>
    <row r="4526" spans="5:13">
      <c r="E4526" s="355"/>
      <c r="F4526" s="355"/>
      <c r="G4526" s="355"/>
      <c r="H4526" s="355"/>
      <c r="I4526" s="355"/>
      <c r="J4526" s="355"/>
      <c r="K4526" s="355"/>
      <c r="L4526" s="355"/>
      <c r="M4526" s="355"/>
    </row>
    <row r="4527" spans="5:13">
      <c r="E4527" s="355"/>
      <c r="F4527" s="355"/>
      <c r="G4527" s="355"/>
      <c r="H4527" s="355"/>
      <c r="I4527" s="355"/>
      <c r="J4527" s="355"/>
      <c r="K4527" s="355"/>
      <c r="L4527" s="355"/>
      <c r="M4527" s="355"/>
    </row>
    <row r="4528" spans="5:13">
      <c r="E4528" s="355"/>
      <c r="F4528" s="355"/>
      <c r="G4528" s="355"/>
      <c r="H4528" s="355"/>
      <c r="I4528" s="355"/>
      <c r="J4528" s="355"/>
      <c r="K4528" s="355"/>
      <c r="L4528" s="355"/>
      <c r="M4528" s="355"/>
    </row>
    <row r="4529" spans="5:13">
      <c r="E4529" s="355"/>
      <c r="F4529" s="355"/>
      <c r="G4529" s="355"/>
      <c r="H4529" s="355"/>
      <c r="I4529" s="355"/>
      <c r="J4529" s="355"/>
      <c r="K4529" s="355"/>
      <c r="L4529" s="355"/>
      <c r="M4529" s="355"/>
    </row>
    <row r="4530" spans="5:13">
      <c r="E4530" s="355"/>
      <c r="F4530" s="355"/>
      <c r="G4530" s="355"/>
      <c r="H4530" s="355"/>
      <c r="I4530" s="355"/>
      <c r="J4530" s="355"/>
      <c r="K4530" s="355"/>
      <c r="L4530" s="355"/>
      <c r="M4530" s="355"/>
    </row>
    <row r="4531" spans="5:13">
      <c r="E4531" s="355"/>
      <c r="F4531" s="355"/>
      <c r="G4531" s="355"/>
      <c r="H4531" s="355"/>
      <c r="I4531" s="355"/>
      <c r="J4531" s="355"/>
      <c r="K4531" s="355"/>
      <c r="L4531" s="355"/>
      <c r="M4531" s="355"/>
    </row>
    <row r="4532" spans="5:13">
      <c r="E4532" s="355"/>
      <c r="F4532" s="355"/>
      <c r="G4532" s="355"/>
      <c r="H4532" s="355"/>
      <c r="I4532" s="355"/>
      <c r="J4532" s="355"/>
      <c r="K4532" s="355"/>
      <c r="L4532" s="355"/>
      <c r="M4532" s="355"/>
    </row>
    <row r="4533" spans="5:13">
      <c r="E4533" s="355"/>
      <c r="F4533" s="355"/>
      <c r="G4533" s="355"/>
      <c r="H4533" s="355"/>
      <c r="I4533" s="355"/>
      <c r="J4533" s="355"/>
      <c r="K4533" s="355"/>
      <c r="L4533" s="355"/>
      <c r="M4533" s="355"/>
    </row>
    <row r="4534" spans="5:13">
      <c r="E4534" s="355"/>
      <c r="F4534" s="355"/>
      <c r="G4534" s="355"/>
      <c r="H4534" s="355"/>
      <c r="I4534" s="355"/>
      <c r="J4534" s="355"/>
      <c r="K4534" s="355"/>
      <c r="L4534" s="355"/>
      <c r="M4534" s="355"/>
    </row>
    <row r="4535" spans="5:13">
      <c r="E4535" s="355"/>
      <c r="F4535" s="355"/>
      <c r="G4535" s="355"/>
      <c r="H4535" s="355"/>
      <c r="I4535" s="355"/>
      <c r="J4535" s="355"/>
      <c r="K4535" s="355"/>
      <c r="L4535" s="355"/>
      <c r="M4535" s="355"/>
    </row>
    <row r="4536" spans="5:13">
      <c r="E4536" s="355"/>
      <c r="F4536" s="355"/>
      <c r="G4536" s="355"/>
      <c r="H4536" s="355"/>
      <c r="I4536" s="355"/>
      <c r="J4536" s="355"/>
      <c r="K4536" s="355"/>
      <c r="L4536" s="355"/>
      <c r="M4536" s="355"/>
    </row>
    <row r="4537" spans="5:13">
      <c r="E4537" s="355"/>
      <c r="F4537" s="355"/>
      <c r="G4537" s="355"/>
      <c r="H4537" s="355"/>
      <c r="I4537" s="355"/>
      <c r="J4537" s="355"/>
      <c r="K4537" s="355"/>
      <c r="L4537" s="355"/>
      <c r="M4537" s="355"/>
    </row>
    <row r="4538" spans="5:13">
      <c r="E4538" s="355"/>
      <c r="F4538" s="355"/>
      <c r="G4538" s="355"/>
      <c r="H4538" s="355"/>
      <c r="I4538" s="355"/>
      <c r="J4538" s="355"/>
      <c r="K4538" s="355"/>
      <c r="L4538" s="355"/>
      <c r="M4538" s="355"/>
    </row>
    <row r="4539" spans="5:13">
      <c r="E4539" s="355"/>
      <c r="F4539" s="355"/>
      <c r="G4539" s="355"/>
      <c r="H4539" s="355"/>
      <c r="I4539" s="355"/>
      <c r="J4539" s="355"/>
      <c r="K4539" s="355"/>
      <c r="L4539" s="355"/>
      <c r="M4539" s="355"/>
    </row>
    <row r="4540" spans="5:13">
      <c r="E4540" s="355"/>
      <c r="F4540" s="355"/>
      <c r="G4540" s="355"/>
      <c r="H4540" s="355"/>
      <c r="I4540" s="355"/>
      <c r="J4540" s="355"/>
      <c r="K4540" s="355"/>
      <c r="L4540" s="355"/>
      <c r="M4540" s="355"/>
    </row>
    <row r="4541" spans="5:13">
      <c r="E4541" s="355"/>
      <c r="F4541" s="355"/>
      <c r="G4541" s="355"/>
      <c r="H4541" s="355"/>
      <c r="I4541" s="355"/>
      <c r="J4541" s="355"/>
      <c r="K4541" s="355"/>
      <c r="L4541" s="355"/>
      <c r="M4541" s="355"/>
    </row>
    <row r="4542" spans="5:13">
      <c r="E4542" s="355"/>
      <c r="F4542" s="355"/>
      <c r="G4542" s="355"/>
      <c r="H4542" s="355"/>
      <c r="I4542" s="355"/>
      <c r="J4542" s="355"/>
      <c r="K4542" s="355"/>
      <c r="L4542" s="355"/>
      <c r="M4542" s="355"/>
    </row>
    <row r="4543" spans="5:13">
      <c r="E4543" s="355"/>
      <c r="F4543" s="355"/>
      <c r="G4543" s="355"/>
      <c r="H4543" s="355"/>
      <c r="I4543" s="355"/>
      <c r="J4543" s="355"/>
      <c r="K4543" s="355"/>
      <c r="L4543" s="355"/>
      <c r="M4543" s="355"/>
    </row>
    <row r="4544" spans="5:13">
      <c r="E4544" s="355"/>
      <c r="F4544" s="355"/>
      <c r="G4544" s="355"/>
      <c r="H4544" s="355"/>
      <c r="I4544" s="355"/>
      <c r="J4544" s="355"/>
      <c r="K4544" s="355"/>
      <c r="L4544" s="355"/>
      <c r="M4544" s="355"/>
    </row>
    <row r="4545" spans="5:13">
      <c r="E4545" s="355"/>
      <c r="F4545" s="355"/>
      <c r="G4545" s="355"/>
      <c r="H4545" s="355"/>
      <c r="I4545" s="355"/>
      <c r="J4545" s="355"/>
      <c r="K4545" s="355"/>
      <c r="L4545" s="355"/>
      <c r="M4545" s="355"/>
    </row>
    <row r="4546" spans="5:13">
      <c r="E4546" s="355"/>
      <c r="F4546" s="355"/>
      <c r="G4546" s="355"/>
      <c r="H4546" s="355"/>
      <c r="I4546" s="355"/>
      <c r="J4546" s="355"/>
      <c r="K4546" s="355"/>
      <c r="L4546" s="355"/>
      <c r="M4546" s="355"/>
    </row>
    <row r="4547" spans="5:13">
      <c r="E4547" s="355"/>
      <c r="F4547" s="355"/>
      <c r="G4547" s="355"/>
      <c r="H4547" s="355"/>
      <c r="I4547" s="355"/>
      <c r="J4547" s="355"/>
      <c r="K4547" s="355"/>
      <c r="L4547" s="355"/>
      <c r="M4547" s="355"/>
    </row>
    <row r="4548" spans="5:13">
      <c r="E4548" s="355"/>
      <c r="F4548" s="355"/>
      <c r="G4548" s="355"/>
      <c r="H4548" s="355"/>
      <c r="I4548" s="355"/>
      <c r="J4548" s="355"/>
      <c r="K4548" s="355"/>
      <c r="L4548" s="355"/>
      <c r="M4548" s="355"/>
    </row>
    <row r="4549" spans="5:13">
      <c r="E4549" s="355"/>
      <c r="F4549" s="355"/>
      <c r="G4549" s="355"/>
      <c r="H4549" s="355"/>
      <c r="I4549" s="355"/>
      <c r="J4549" s="355"/>
      <c r="K4549" s="355"/>
      <c r="L4549" s="355"/>
      <c r="M4549" s="355"/>
    </row>
    <row r="4550" spans="5:13">
      <c r="E4550" s="355"/>
      <c r="F4550" s="355"/>
      <c r="G4550" s="355"/>
      <c r="H4550" s="355"/>
      <c r="I4550" s="355"/>
      <c r="J4550" s="355"/>
      <c r="K4550" s="355"/>
      <c r="L4550" s="355"/>
      <c r="M4550" s="355"/>
    </row>
    <row r="4551" spans="5:13">
      <c r="E4551" s="355"/>
      <c r="F4551" s="355"/>
      <c r="G4551" s="355"/>
      <c r="H4551" s="355"/>
      <c r="I4551" s="355"/>
      <c r="J4551" s="355"/>
      <c r="K4551" s="355"/>
      <c r="L4551" s="355"/>
      <c r="M4551" s="355"/>
    </row>
    <row r="4552" spans="5:13">
      <c r="E4552" s="355"/>
      <c r="F4552" s="355"/>
      <c r="G4552" s="355"/>
      <c r="H4552" s="355"/>
      <c r="I4552" s="355"/>
      <c r="J4552" s="355"/>
      <c r="K4552" s="355"/>
      <c r="L4552" s="355"/>
      <c r="M4552" s="355"/>
    </row>
    <row r="4553" spans="5:13">
      <c r="E4553" s="355"/>
      <c r="F4553" s="355"/>
      <c r="G4553" s="355"/>
      <c r="H4553" s="355"/>
      <c r="I4553" s="355"/>
      <c r="J4553" s="355"/>
      <c r="K4553" s="355"/>
      <c r="L4553" s="355"/>
      <c r="M4553" s="355"/>
    </row>
    <row r="4554" spans="5:13">
      <c r="E4554" s="355"/>
      <c r="F4554" s="355"/>
      <c r="G4554" s="355"/>
      <c r="H4554" s="355"/>
      <c r="I4554" s="355"/>
      <c r="J4554" s="355"/>
      <c r="K4554" s="355"/>
      <c r="L4554" s="355"/>
      <c r="M4554" s="355"/>
    </row>
    <row r="4555" spans="5:13">
      <c r="E4555" s="355"/>
      <c r="F4555" s="355"/>
      <c r="G4555" s="355"/>
      <c r="H4555" s="355"/>
      <c r="I4555" s="355"/>
      <c r="J4555" s="355"/>
      <c r="K4555" s="355"/>
      <c r="L4555" s="355"/>
      <c r="M4555" s="355"/>
    </row>
    <row r="4556" spans="5:13">
      <c r="E4556" s="355"/>
      <c r="F4556" s="355"/>
      <c r="G4556" s="355"/>
      <c r="H4556" s="355"/>
      <c r="I4556" s="355"/>
      <c r="J4556" s="355"/>
      <c r="K4556" s="355"/>
      <c r="L4556" s="355"/>
      <c r="M4556" s="355"/>
    </row>
    <row r="4557" spans="5:13">
      <c r="E4557" s="355"/>
      <c r="F4557" s="355"/>
      <c r="G4557" s="355"/>
      <c r="H4557" s="355"/>
      <c r="I4557" s="355"/>
      <c r="J4557" s="355"/>
      <c r="K4557" s="355"/>
      <c r="L4557" s="355"/>
      <c r="M4557" s="355"/>
    </row>
    <row r="4558" spans="5:13">
      <c r="E4558" s="355"/>
      <c r="F4558" s="355"/>
      <c r="G4558" s="355"/>
      <c r="H4558" s="355"/>
      <c r="I4558" s="355"/>
      <c r="J4558" s="355"/>
      <c r="K4558" s="355"/>
      <c r="L4558" s="355"/>
      <c r="M4558" s="355"/>
    </row>
    <row r="4559" spans="5:13">
      <c r="E4559" s="355"/>
      <c r="F4559" s="355"/>
      <c r="G4559" s="355"/>
      <c r="H4559" s="355"/>
      <c r="I4559" s="355"/>
      <c r="J4559" s="355"/>
      <c r="K4559" s="355"/>
      <c r="L4559" s="355"/>
      <c r="M4559" s="355"/>
    </row>
    <row r="4560" spans="5:13">
      <c r="E4560" s="355"/>
      <c r="F4560" s="355"/>
      <c r="G4560" s="355"/>
      <c r="H4560" s="355"/>
      <c r="I4560" s="355"/>
      <c r="J4560" s="355"/>
      <c r="K4560" s="355"/>
      <c r="L4560" s="355"/>
      <c r="M4560" s="355"/>
    </row>
    <row r="4561" spans="5:13">
      <c r="E4561" s="355"/>
      <c r="F4561" s="355"/>
      <c r="G4561" s="355"/>
      <c r="H4561" s="355"/>
      <c r="I4561" s="355"/>
      <c r="J4561" s="355"/>
      <c r="K4561" s="355"/>
      <c r="L4561" s="355"/>
      <c r="M4561" s="355"/>
    </row>
    <row r="4562" spans="5:13">
      <c r="E4562" s="355"/>
      <c r="F4562" s="355"/>
      <c r="G4562" s="355"/>
      <c r="H4562" s="355"/>
      <c r="I4562" s="355"/>
      <c r="J4562" s="355"/>
      <c r="K4562" s="355"/>
      <c r="L4562" s="355"/>
      <c r="M4562" s="355"/>
    </row>
    <row r="4563" spans="5:13">
      <c r="E4563" s="355"/>
      <c r="F4563" s="355"/>
      <c r="G4563" s="355"/>
      <c r="H4563" s="355"/>
      <c r="I4563" s="355"/>
      <c r="J4563" s="355"/>
      <c r="K4563" s="355"/>
      <c r="L4563" s="355"/>
      <c r="M4563" s="355"/>
    </row>
    <row r="4564" spans="5:13">
      <c r="E4564" s="355"/>
      <c r="F4564" s="355"/>
      <c r="G4564" s="355"/>
      <c r="H4564" s="355"/>
      <c r="I4564" s="355"/>
      <c r="J4564" s="355"/>
      <c r="K4564" s="355"/>
      <c r="L4564" s="355"/>
      <c r="M4564" s="355"/>
    </row>
    <row r="4565" spans="5:13">
      <c r="E4565" s="355"/>
      <c r="F4565" s="355"/>
      <c r="G4565" s="355"/>
      <c r="H4565" s="355"/>
      <c r="I4565" s="355"/>
      <c r="J4565" s="355"/>
      <c r="K4565" s="355"/>
      <c r="L4565" s="355"/>
      <c r="M4565" s="355"/>
    </row>
    <row r="4566" spans="5:13">
      <c r="E4566" s="355"/>
      <c r="F4566" s="355"/>
      <c r="G4566" s="355"/>
      <c r="H4566" s="355"/>
      <c r="I4566" s="355"/>
      <c r="J4566" s="355"/>
      <c r="K4566" s="355"/>
      <c r="L4566" s="355"/>
      <c r="M4566" s="355"/>
    </row>
    <row r="4567" spans="5:13">
      <c r="E4567" s="355"/>
      <c r="F4567" s="355"/>
      <c r="G4567" s="355"/>
      <c r="H4567" s="355"/>
      <c r="I4567" s="355"/>
      <c r="J4567" s="355"/>
      <c r="K4567" s="355"/>
      <c r="L4567" s="355"/>
      <c r="M4567" s="355"/>
    </row>
    <row r="4568" spans="5:13">
      <c r="E4568" s="355"/>
      <c r="F4568" s="355"/>
      <c r="G4568" s="355"/>
      <c r="H4568" s="355"/>
      <c r="I4568" s="355"/>
      <c r="J4568" s="355"/>
      <c r="K4568" s="355"/>
      <c r="L4568" s="355"/>
      <c r="M4568" s="355"/>
    </row>
    <row r="4569" spans="5:13">
      <c r="E4569" s="355"/>
      <c r="F4569" s="355"/>
      <c r="G4569" s="355"/>
      <c r="H4569" s="355"/>
      <c r="I4569" s="355"/>
      <c r="J4569" s="355"/>
      <c r="K4569" s="355"/>
      <c r="L4569" s="355"/>
      <c r="M4569" s="355"/>
    </row>
    <row r="4570" spans="5:13">
      <c r="E4570" s="355"/>
      <c r="F4570" s="355"/>
      <c r="G4570" s="355"/>
      <c r="H4570" s="355"/>
      <c r="I4570" s="355"/>
      <c r="J4570" s="355"/>
      <c r="K4570" s="355"/>
      <c r="L4570" s="355"/>
      <c r="M4570" s="355"/>
    </row>
    <row r="4571" spans="5:13">
      <c r="E4571" s="355"/>
      <c r="F4571" s="355"/>
      <c r="G4571" s="355"/>
      <c r="H4571" s="355"/>
      <c r="I4571" s="355"/>
      <c r="J4571" s="355"/>
      <c r="K4571" s="355"/>
      <c r="L4571" s="355"/>
      <c r="M4571" s="355"/>
    </row>
    <row r="4572" spans="5:13">
      <c r="E4572" s="355"/>
      <c r="F4572" s="355"/>
      <c r="G4572" s="355"/>
      <c r="H4572" s="355"/>
      <c r="I4572" s="355"/>
      <c r="J4572" s="355"/>
      <c r="K4572" s="355"/>
      <c r="L4572" s="355"/>
      <c r="M4572" s="355"/>
    </row>
    <row r="4573" spans="5:13">
      <c r="E4573" s="355"/>
      <c r="F4573" s="355"/>
      <c r="G4573" s="355"/>
      <c r="H4573" s="355"/>
      <c r="I4573" s="355"/>
      <c r="J4573" s="355"/>
      <c r="K4573" s="355"/>
      <c r="L4573" s="355"/>
      <c r="M4573" s="355"/>
    </row>
    <row r="4574" spans="5:13">
      <c r="E4574" s="355"/>
      <c r="F4574" s="355"/>
      <c r="G4574" s="355"/>
      <c r="H4574" s="355"/>
      <c r="I4574" s="355"/>
      <c r="J4574" s="355"/>
      <c r="K4574" s="355"/>
      <c r="L4574" s="355"/>
      <c r="M4574" s="355"/>
    </row>
    <row r="4575" spans="5:13">
      <c r="E4575" s="355"/>
      <c r="F4575" s="355"/>
      <c r="G4575" s="355"/>
      <c r="H4575" s="355"/>
      <c r="I4575" s="355"/>
      <c r="J4575" s="355"/>
      <c r="K4575" s="355"/>
      <c r="L4575" s="355"/>
      <c r="M4575" s="355"/>
    </row>
    <row r="4576" spans="5:13">
      <c r="E4576" s="355"/>
      <c r="F4576" s="355"/>
      <c r="G4576" s="355"/>
      <c r="H4576" s="355"/>
      <c r="I4576" s="355"/>
      <c r="J4576" s="355"/>
      <c r="K4576" s="355"/>
      <c r="L4576" s="355"/>
      <c r="M4576" s="355"/>
    </row>
    <row r="4577" spans="5:13">
      <c r="E4577" s="355"/>
      <c r="F4577" s="355"/>
      <c r="G4577" s="355"/>
      <c r="H4577" s="355"/>
      <c r="I4577" s="355"/>
      <c r="J4577" s="355"/>
      <c r="K4577" s="355"/>
      <c r="L4577" s="355"/>
      <c r="M4577" s="355"/>
    </row>
    <row r="4578" spans="5:13">
      <c r="E4578" s="355"/>
      <c r="F4578" s="355"/>
      <c r="G4578" s="355"/>
      <c r="H4578" s="355"/>
      <c r="I4578" s="355"/>
      <c r="J4578" s="355"/>
      <c r="K4578" s="355"/>
      <c r="L4578" s="355"/>
      <c r="M4578" s="355"/>
    </row>
    <row r="4579" spans="5:13">
      <c r="E4579" s="355"/>
      <c r="F4579" s="355"/>
      <c r="G4579" s="355"/>
      <c r="H4579" s="355"/>
      <c r="I4579" s="355"/>
      <c r="J4579" s="355"/>
      <c r="K4579" s="355"/>
      <c r="L4579" s="355"/>
      <c r="M4579" s="355"/>
    </row>
    <row r="4580" spans="5:13">
      <c r="E4580" s="355"/>
      <c r="F4580" s="355"/>
      <c r="G4580" s="355"/>
      <c r="H4580" s="355"/>
      <c r="I4580" s="355"/>
      <c r="J4580" s="355"/>
      <c r="K4580" s="355"/>
      <c r="L4580" s="355"/>
      <c r="M4580" s="355"/>
    </row>
    <row r="4581" spans="5:13">
      <c r="E4581" s="355"/>
      <c r="F4581" s="355"/>
      <c r="G4581" s="355"/>
      <c r="H4581" s="355"/>
      <c r="I4581" s="355"/>
      <c r="J4581" s="355"/>
      <c r="K4581" s="355"/>
      <c r="L4581" s="355"/>
      <c r="M4581" s="355"/>
    </row>
    <row r="4582" spans="5:13">
      <c r="E4582" s="355"/>
      <c r="F4582" s="355"/>
      <c r="G4582" s="355"/>
      <c r="H4582" s="355"/>
      <c r="I4582" s="355"/>
      <c r="J4582" s="355"/>
      <c r="K4582" s="355"/>
      <c r="L4582" s="355"/>
      <c r="M4582" s="355"/>
    </row>
    <row r="4583" spans="5:13">
      <c r="E4583" s="355"/>
      <c r="F4583" s="355"/>
      <c r="G4583" s="355"/>
      <c r="H4583" s="355"/>
      <c r="I4583" s="355"/>
      <c r="J4583" s="355"/>
      <c r="K4583" s="355"/>
      <c r="L4583" s="355"/>
      <c r="M4583" s="355"/>
    </row>
    <row r="4584" spans="5:13">
      <c r="E4584" s="355"/>
      <c r="F4584" s="355"/>
      <c r="G4584" s="355"/>
      <c r="H4584" s="355"/>
      <c r="I4584" s="355"/>
      <c r="J4584" s="355"/>
      <c r="K4584" s="355"/>
      <c r="L4584" s="355"/>
      <c r="M4584" s="355"/>
    </row>
    <row r="4585" spans="5:13">
      <c r="E4585" s="355"/>
      <c r="F4585" s="355"/>
      <c r="G4585" s="355"/>
      <c r="H4585" s="355"/>
      <c r="I4585" s="355"/>
      <c r="J4585" s="355"/>
      <c r="K4585" s="355"/>
      <c r="L4585" s="355"/>
      <c r="M4585" s="355"/>
    </row>
    <row r="4586" spans="5:13">
      <c r="E4586" s="355"/>
      <c r="F4586" s="355"/>
      <c r="G4586" s="355"/>
      <c r="H4586" s="355"/>
      <c r="I4586" s="355"/>
      <c r="J4586" s="355"/>
      <c r="K4586" s="355"/>
      <c r="L4586" s="355"/>
      <c r="M4586" s="355"/>
    </row>
    <row r="4587" spans="5:13">
      <c r="E4587" s="355"/>
      <c r="F4587" s="355"/>
      <c r="G4587" s="355"/>
      <c r="H4587" s="355"/>
      <c r="I4587" s="355"/>
      <c r="J4587" s="355"/>
      <c r="K4587" s="355"/>
      <c r="L4587" s="355"/>
      <c r="M4587" s="355"/>
    </row>
    <row r="4588" spans="5:13">
      <c r="E4588" s="355"/>
      <c r="F4588" s="355"/>
      <c r="G4588" s="355"/>
      <c r="H4588" s="355"/>
      <c r="I4588" s="355"/>
      <c r="J4588" s="355"/>
      <c r="K4588" s="355"/>
      <c r="L4588" s="355"/>
      <c r="M4588" s="355"/>
    </row>
    <row r="4589" spans="5:13">
      <c r="E4589" s="355"/>
      <c r="F4589" s="355"/>
      <c r="G4589" s="355"/>
      <c r="H4589" s="355"/>
      <c r="I4589" s="355"/>
      <c r="J4589" s="355"/>
      <c r="K4589" s="355"/>
      <c r="L4589" s="355"/>
      <c r="M4589" s="355"/>
    </row>
    <row r="4590" spans="5:13">
      <c r="E4590" s="355"/>
      <c r="F4590" s="355"/>
      <c r="G4590" s="355"/>
      <c r="H4590" s="355"/>
      <c r="I4590" s="355"/>
      <c r="J4590" s="355"/>
      <c r="K4590" s="355"/>
      <c r="L4590" s="355"/>
      <c r="M4590" s="355"/>
    </row>
    <row r="4591" spans="5:13">
      <c r="E4591" s="355"/>
      <c r="F4591" s="355"/>
      <c r="G4591" s="355"/>
      <c r="H4591" s="355"/>
      <c r="I4591" s="355"/>
      <c r="J4591" s="355"/>
      <c r="K4591" s="355"/>
      <c r="L4591" s="355"/>
      <c r="M4591" s="355"/>
    </row>
    <row r="4592" spans="5:13">
      <c r="E4592" s="355"/>
      <c r="F4592" s="355"/>
      <c r="G4592" s="355"/>
      <c r="H4592" s="355"/>
      <c r="I4592" s="355"/>
      <c r="J4592" s="355"/>
      <c r="K4592" s="355"/>
      <c r="L4592" s="355"/>
      <c r="M4592" s="355"/>
    </row>
    <row r="4593" spans="5:13">
      <c r="E4593" s="355"/>
      <c r="F4593" s="355"/>
      <c r="G4593" s="355"/>
      <c r="H4593" s="355"/>
      <c r="I4593" s="355"/>
      <c r="J4593" s="355"/>
      <c r="K4593" s="355"/>
      <c r="L4593" s="355"/>
      <c r="M4593" s="355"/>
    </row>
    <row r="4594" spans="5:13">
      <c r="E4594" s="355"/>
      <c r="F4594" s="355"/>
      <c r="G4594" s="355"/>
      <c r="H4594" s="355"/>
      <c r="I4594" s="355"/>
      <c r="J4594" s="355"/>
      <c r="K4594" s="355"/>
      <c r="L4594" s="355"/>
      <c r="M4594" s="355"/>
    </row>
    <row r="4595" spans="5:13">
      <c r="E4595" s="355"/>
      <c r="F4595" s="355"/>
      <c r="G4595" s="355"/>
      <c r="H4595" s="355"/>
      <c r="I4595" s="355"/>
      <c r="J4595" s="355"/>
      <c r="K4595" s="355"/>
      <c r="L4595" s="355"/>
      <c r="M4595" s="355"/>
    </row>
    <row r="4596" spans="5:13">
      <c r="E4596" s="355"/>
      <c r="F4596" s="355"/>
      <c r="G4596" s="355"/>
      <c r="H4596" s="355"/>
      <c r="I4596" s="355"/>
      <c r="J4596" s="355"/>
      <c r="K4596" s="355"/>
      <c r="L4596" s="355"/>
      <c r="M4596" s="355"/>
    </row>
    <row r="4597" spans="5:13">
      <c r="E4597" s="355"/>
      <c r="F4597" s="355"/>
      <c r="G4597" s="355"/>
      <c r="H4597" s="355"/>
      <c r="I4597" s="355"/>
      <c r="J4597" s="355"/>
      <c r="K4597" s="355"/>
      <c r="L4597" s="355"/>
      <c r="M4597" s="355"/>
    </row>
    <row r="4598" spans="5:13">
      <c r="E4598" s="355"/>
      <c r="F4598" s="355"/>
      <c r="G4598" s="355"/>
      <c r="H4598" s="355"/>
      <c r="I4598" s="355"/>
      <c r="J4598" s="355"/>
      <c r="K4598" s="355"/>
      <c r="L4598" s="355"/>
      <c r="M4598" s="355"/>
    </row>
    <row r="4599" spans="5:13">
      <c r="E4599" s="355"/>
      <c r="F4599" s="355"/>
      <c r="G4599" s="355"/>
      <c r="H4599" s="355"/>
      <c r="I4599" s="355"/>
      <c r="J4599" s="355"/>
      <c r="K4599" s="355"/>
      <c r="L4599" s="355"/>
      <c r="M4599" s="355"/>
    </row>
    <row r="4600" spans="5:13">
      <c r="E4600" s="355"/>
      <c r="F4600" s="355"/>
      <c r="G4600" s="355"/>
      <c r="H4600" s="355"/>
      <c r="I4600" s="355"/>
      <c r="J4600" s="355"/>
      <c r="K4600" s="355"/>
      <c r="L4600" s="355"/>
      <c r="M4600" s="355"/>
    </row>
    <row r="4601" spans="5:13">
      <c r="E4601" s="355"/>
      <c r="F4601" s="355"/>
      <c r="G4601" s="355"/>
      <c r="H4601" s="355"/>
      <c r="I4601" s="355"/>
      <c r="J4601" s="355"/>
      <c r="K4601" s="355"/>
      <c r="L4601" s="355"/>
      <c r="M4601" s="355"/>
    </row>
    <row r="4602" spans="5:13">
      <c r="E4602" s="355"/>
      <c r="F4602" s="355"/>
      <c r="G4602" s="355"/>
      <c r="H4602" s="355"/>
      <c r="I4602" s="355"/>
      <c r="J4602" s="355"/>
      <c r="K4602" s="355"/>
      <c r="L4602" s="355"/>
      <c r="M4602" s="355"/>
    </row>
    <row r="4603" spans="5:13">
      <c r="E4603" s="355"/>
      <c r="F4603" s="355"/>
      <c r="G4603" s="355"/>
      <c r="H4603" s="355"/>
      <c r="I4603" s="355"/>
      <c r="J4603" s="355"/>
      <c r="K4603" s="355"/>
      <c r="L4603" s="355"/>
      <c r="M4603" s="355"/>
    </row>
    <row r="4604" spans="5:13">
      <c r="E4604" s="355"/>
      <c r="F4604" s="355"/>
      <c r="G4604" s="355"/>
      <c r="H4604" s="355"/>
      <c r="I4604" s="355"/>
      <c r="J4604" s="355"/>
      <c r="K4604" s="355"/>
      <c r="L4604" s="355"/>
      <c r="M4604" s="355"/>
    </row>
    <row r="4605" spans="5:13">
      <c r="E4605" s="355"/>
      <c r="F4605" s="355"/>
      <c r="G4605" s="355"/>
      <c r="H4605" s="355"/>
      <c r="I4605" s="355"/>
      <c r="J4605" s="355"/>
      <c r="K4605" s="355"/>
      <c r="L4605" s="355"/>
      <c r="M4605" s="355"/>
    </row>
    <row r="4606" spans="5:13">
      <c r="E4606" s="355"/>
      <c r="F4606" s="355"/>
      <c r="G4606" s="355"/>
      <c r="H4606" s="355"/>
      <c r="I4606" s="355"/>
      <c r="J4606" s="355"/>
      <c r="K4606" s="355"/>
      <c r="L4606" s="355"/>
      <c r="M4606" s="355"/>
    </row>
    <row r="4607" spans="5:13">
      <c r="E4607" s="355"/>
      <c r="F4607" s="355"/>
      <c r="G4607" s="355"/>
      <c r="H4607" s="355"/>
      <c r="I4607" s="355"/>
      <c r="J4607" s="355"/>
      <c r="K4607" s="355"/>
      <c r="L4607" s="355"/>
      <c r="M4607" s="355"/>
    </row>
    <row r="4608" spans="5:13">
      <c r="E4608" s="355"/>
      <c r="F4608" s="355"/>
      <c r="G4608" s="355"/>
      <c r="H4608" s="355"/>
      <c r="I4608" s="355"/>
      <c r="J4608" s="355"/>
      <c r="K4608" s="355"/>
      <c r="L4608" s="355"/>
      <c r="M4608" s="355"/>
    </row>
    <row r="4609" spans="5:13">
      <c r="E4609" s="355"/>
      <c r="F4609" s="355"/>
      <c r="G4609" s="355"/>
      <c r="H4609" s="355"/>
      <c r="I4609" s="355"/>
      <c r="J4609" s="355"/>
      <c r="K4609" s="355"/>
      <c r="L4609" s="355"/>
      <c r="M4609" s="355"/>
    </row>
    <row r="4610" spans="5:13">
      <c r="E4610" s="355"/>
      <c r="F4610" s="355"/>
      <c r="G4610" s="355"/>
      <c r="H4610" s="355"/>
      <c r="I4610" s="355"/>
      <c r="J4610" s="355"/>
      <c r="K4610" s="355"/>
      <c r="L4610" s="355"/>
      <c r="M4610" s="355"/>
    </row>
    <row r="4611" spans="5:13">
      <c r="E4611" s="355"/>
      <c r="F4611" s="355"/>
      <c r="G4611" s="355"/>
      <c r="H4611" s="355"/>
      <c r="I4611" s="355"/>
      <c r="J4611" s="355"/>
      <c r="K4611" s="355"/>
      <c r="L4611" s="355"/>
      <c r="M4611" s="355"/>
    </row>
    <row r="4612" spans="5:13">
      <c r="E4612" s="355"/>
      <c r="F4612" s="355"/>
      <c r="G4612" s="355"/>
      <c r="H4612" s="355"/>
      <c r="I4612" s="355"/>
      <c r="J4612" s="355"/>
      <c r="K4612" s="355"/>
      <c r="L4612" s="355"/>
      <c r="M4612" s="355"/>
    </row>
    <row r="4613" spans="5:13">
      <c r="E4613" s="355"/>
      <c r="F4613" s="355"/>
      <c r="G4613" s="355"/>
      <c r="H4613" s="355"/>
      <c r="I4613" s="355"/>
      <c r="J4613" s="355"/>
      <c r="K4613" s="355"/>
      <c r="L4613" s="355"/>
      <c r="M4613" s="355"/>
    </row>
    <row r="4614" spans="5:13">
      <c r="E4614" s="355"/>
      <c r="F4614" s="355"/>
      <c r="G4614" s="355"/>
      <c r="H4614" s="355"/>
      <c r="I4614" s="355"/>
      <c r="J4614" s="355"/>
      <c r="K4614" s="355"/>
      <c r="L4614" s="355"/>
      <c r="M4614" s="355"/>
    </row>
    <row r="4615" spans="5:13">
      <c r="E4615" s="355"/>
      <c r="F4615" s="355"/>
      <c r="G4615" s="355"/>
      <c r="H4615" s="355"/>
      <c r="I4615" s="355"/>
      <c r="J4615" s="355"/>
      <c r="K4615" s="355"/>
      <c r="L4615" s="355"/>
      <c r="M4615" s="355"/>
    </row>
    <row r="4616" spans="5:13">
      <c r="E4616" s="355"/>
      <c r="F4616" s="355"/>
      <c r="G4616" s="355"/>
      <c r="H4616" s="355"/>
      <c r="I4616" s="355"/>
      <c r="J4616" s="355"/>
      <c r="K4616" s="355"/>
      <c r="L4616" s="355"/>
      <c r="M4616" s="355"/>
    </row>
    <row r="4617" spans="5:13">
      <c r="E4617" s="355"/>
      <c r="F4617" s="355"/>
      <c r="G4617" s="355"/>
      <c r="H4617" s="355"/>
      <c r="I4617" s="355"/>
      <c r="J4617" s="355"/>
      <c r="K4617" s="355"/>
      <c r="L4617" s="355"/>
      <c r="M4617" s="355"/>
    </row>
    <row r="4618" spans="5:13">
      <c r="E4618" s="355"/>
      <c r="F4618" s="355"/>
      <c r="G4618" s="355"/>
      <c r="H4618" s="355"/>
      <c r="I4618" s="355"/>
      <c r="J4618" s="355"/>
      <c r="K4618" s="355"/>
      <c r="L4618" s="355"/>
      <c r="M4618" s="355"/>
    </row>
    <row r="4619" spans="5:13">
      <c r="E4619" s="355"/>
      <c r="F4619" s="355"/>
      <c r="G4619" s="355"/>
      <c r="H4619" s="355"/>
      <c r="I4619" s="355"/>
      <c r="J4619" s="355"/>
      <c r="K4619" s="355"/>
      <c r="L4619" s="355"/>
      <c r="M4619" s="355"/>
    </row>
    <row r="4620" spans="5:13">
      <c r="E4620" s="355"/>
      <c r="F4620" s="355"/>
      <c r="G4620" s="355"/>
      <c r="H4620" s="355"/>
      <c r="I4620" s="355"/>
      <c r="J4620" s="355"/>
      <c r="K4620" s="355"/>
      <c r="L4620" s="355"/>
      <c r="M4620" s="355"/>
    </row>
    <row r="4621" spans="5:13">
      <c r="E4621" s="355"/>
      <c r="F4621" s="355"/>
      <c r="G4621" s="355"/>
      <c r="H4621" s="355"/>
      <c r="I4621" s="355"/>
      <c r="J4621" s="355"/>
      <c r="K4621" s="355"/>
      <c r="L4621" s="355"/>
      <c r="M4621" s="355"/>
    </row>
    <row r="4622" spans="5:13">
      <c r="E4622" s="355"/>
      <c r="F4622" s="355"/>
      <c r="G4622" s="355"/>
      <c r="H4622" s="355"/>
      <c r="I4622" s="355"/>
      <c r="J4622" s="355"/>
      <c r="K4622" s="355"/>
      <c r="L4622" s="355"/>
      <c r="M4622" s="355"/>
    </row>
    <row r="4623" spans="5:13">
      <c r="E4623" s="355"/>
      <c r="F4623" s="355"/>
      <c r="G4623" s="355"/>
      <c r="H4623" s="355"/>
      <c r="I4623" s="355"/>
      <c r="J4623" s="355"/>
      <c r="K4623" s="355"/>
      <c r="L4623" s="355"/>
      <c r="M4623" s="355"/>
    </row>
    <row r="4624" spans="5:13">
      <c r="E4624" s="355"/>
      <c r="F4624" s="355"/>
      <c r="G4624" s="355"/>
      <c r="H4624" s="355"/>
      <c r="I4624" s="355"/>
      <c r="J4624" s="355"/>
      <c r="K4624" s="355"/>
      <c r="L4624" s="355"/>
      <c r="M4624" s="355"/>
    </row>
    <row r="4625" spans="5:13">
      <c r="E4625" s="355"/>
      <c r="F4625" s="355"/>
      <c r="G4625" s="355"/>
      <c r="H4625" s="355"/>
      <c r="I4625" s="355"/>
      <c r="J4625" s="355"/>
      <c r="K4625" s="355"/>
      <c r="L4625" s="355"/>
      <c r="M4625" s="355"/>
    </row>
    <row r="4626" spans="5:13">
      <c r="E4626" s="355"/>
      <c r="F4626" s="355"/>
      <c r="G4626" s="355"/>
      <c r="H4626" s="355"/>
      <c r="I4626" s="355"/>
      <c r="J4626" s="355"/>
      <c r="K4626" s="355"/>
      <c r="L4626" s="355"/>
      <c r="M4626" s="355"/>
    </row>
    <row r="4627" spans="5:13">
      <c r="E4627" s="355"/>
      <c r="F4627" s="355"/>
      <c r="G4627" s="355"/>
      <c r="H4627" s="355"/>
      <c r="I4627" s="355"/>
      <c r="J4627" s="355"/>
      <c r="K4627" s="355"/>
      <c r="L4627" s="355"/>
      <c r="M4627" s="355"/>
    </row>
    <row r="4628" spans="5:13">
      <c r="E4628" s="355"/>
      <c r="F4628" s="355"/>
      <c r="G4628" s="355"/>
      <c r="H4628" s="355"/>
      <c r="I4628" s="355"/>
      <c r="J4628" s="355"/>
      <c r="K4628" s="355"/>
      <c r="L4628" s="355"/>
      <c r="M4628" s="355"/>
    </row>
    <row r="4629" spans="5:13">
      <c r="E4629" s="355"/>
      <c r="F4629" s="355"/>
      <c r="G4629" s="355"/>
      <c r="H4629" s="355"/>
      <c r="I4629" s="355"/>
      <c r="J4629" s="355"/>
      <c r="K4629" s="355"/>
      <c r="L4629" s="355"/>
      <c r="M4629" s="355"/>
    </row>
    <row r="4630" spans="5:13">
      <c r="E4630" s="355"/>
      <c r="F4630" s="355"/>
      <c r="G4630" s="355"/>
      <c r="H4630" s="355"/>
      <c r="I4630" s="355"/>
      <c r="J4630" s="355"/>
      <c r="K4630" s="355"/>
      <c r="L4630" s="355"/>
      <c r="M4630" s="355"/>
    </row>
    <row r="4631" spans="5:13">
      <c r="E4631" s="355"/>
      <c r="F4631" s="355"/>
      <c r="G4631" s="355"/>
      <c r="H4631" s="355"/>
      <c r="I4631" s="355"/>
      <c r="J4631" s="355"/>
      <c r="K4631" s="355"/>
      <c r="L4631" s="355"/>
      <c r="M4631" s="355"/>
    </row>
    <row r="4632" spans="5:13">
      <c r="E4632" s="355"/>
      <c r="F4632" s="355"/>
      <c r="G4632" s="355"/>
      <c r="H4632" s="355"/>
      <c r="I4632" s="355"/>
      <c r="J4632" s="355"/>
      <c r="K4632" s="355"/>
      <c r="L4632" s="355"/>
      <c r="M4632" s="355"/>
    </row>
    <row r="4633" spans="5:13">
      <c r="E4633" s="355"/>
      <c r="F4633" s="355"/>
      <c r="G4633" s="355"/>
      <c r="H4633" s="355"/>
      <c r="I4633" s="355"/>
      <c r="J4633" s="355"/>
      <c r="K4633" s="355"/>
      <c r="L4633" s="355"/>
      <c r="M4633" s="355"/>
    </row>
    <row r="4634" spans="5:13">
      <c r="E4634" s="355"/>
      <c r="F4634" s="355"/>
      <c r="G4634" s="355"/>
      <c r="H4634" s="355"/>
      <c r="I4634" s="355"/>
      <c r="J4634" s="355"/>
      <c r="K4634" s="355"/>
      <c r="L4634" s="355"/>
      <c r="M4634" s="355"/>
    </row>
    <row r="4635" spans="5:13">
      <c r="E4635" s="355"/>
      <c r="F4635" s="355"/>
      <c r="G4635" s="355"/>
      <c r="H4635" s="355"/>
      <c r="I4635" s="355"/>
      <c r="J4635" s="355"/>
      <c r="K4635" s="355"/>
      <c r="L4635" s="355"/>
      <c r="M4635" s="355"/>
    </row>
    <row r="4636" spans="5:13">
      <c r="E4636" s="355"/>
      <c r="F4636" s="355"/>
      <c r="G4636" s="355"/>
      <c r="H4636" s="355"/>
      <c r="I4636" s="355"/>
      <c r="J4636" s="355"/>
      <c r="K4636" s="355"/>
      <c r="L4636" s="355"/>
      <c r="M4636" s="355"/>
    </row>
    <row r="4637" spans="5:13">
      <c r="E4637" s="355"/>
      <c r="F4637" s="355"/>
      <c r="G4637" s="355"/>
      <c r="H4637" s="355"/>
      <c r="I4637" s="355"/>
      <c r="J4637" s="355"/>
      <c r="K4637" s="355"/>
      <c r="L4637" s="355"/>
      <c r="M4637" s="355"/>
    </row>
    <row r="4638" spans="5:13">
      <c r="E4638" s="355"/>
      <c r="F4638" s="355"/>
      <c r="G4638" s="355"/>
      <c r="H4638" s="355"/>
      <c r="I4638" s="355"/>
      <c r="J4638" s="355"/>
      <c r="K4638" s="355"/>
      <c r="L4638" s="355"/>
      <c r="M4638" s="355"/>
    </row>
    <row r="4639" spans="5:13">
      <c r="E4639" s="355"/>
      <c r="F4639" s="355"/>
      <c r="G4639" s="355"/>
      <c r="H4639" s="355"/>
      <c r="I4639" s="355"/>
      <c r="J4639" s="355"/>
      <c r="K4639" s="355"/>
      <c r="L4639" s="355"/>
      <c r="M4639" s="355"/>
    </row>
    <row r="4640" spans="5:13">
      <c r="E4640" s="355"/>
      <c r="F4640" s="355"/>
      <c r="G4640" s="355"/>
      <c r="H4640" s="355"/>
      <c r="I4640" s="355"/>
      <c r="J4640" s="355"/>
      <c r="K4640" s="355"/>
      <c r="L4640" s="355"/>
      <c r="M4640" s="355"/>
    </row>
    <row r="4641" spans="5:13">
      <c r="E4641" s="355"/>
      <c r="F4641" s="355"/>
      <c r="G4641" s="355"/>
      <c r="H4641" s="355"/>
      <c r="I4641" s="355"/>
      <c r="J4641" s="355"/>
      <c r="K4641" s="355"/>
      <c r="L4641" s="355"/>
      <c r="M4641" s="355"/>
    </row>
    <row r="4642" spans="5:13">
      <c r="E4642" s="355"/>
      <c r="F4642" s="355"/>
      <c r="G4642" s="355"/>
      <c r="H4642" s="355"/>
      <c r="I4642" s="355"/>
      <c r="J4642" s="355"/>
      <c r="K4642" s="355"/>
      <c r="L4642" s="355"/>
      <c r="M4642" s="355"/>
    </row>
    <row r="4643" spans="5:13">
      <c r="E4643" s="355"/>
      <c r="F4643" s="355"/>
      <c r="G4643" s="355"/>
      <c r="H4643" s="355"/>
      <c r="I4643" s="355"/>
      <c r="J4643" s="355"/>
      <c r="K4643" s="355"/>
      <c r="L4643" s="355"/>
      <c r="M4643" s="355"/>
    </row>
    <row r="4644" spans="5:13">
      <c r="E4644" s="355"/>
      <c r="F4644" s="355"/>
      <c r="G4644" s="355"/>
      <c r="H4644" s="355"/>
      <c r="I4644" s="355"/>
      <c r="J4644" s="355"/>
      <c r="K4644" s="355"/>
      <c r="L4644" s="355"/>
      <c r="M4644" s="355"/>
    </row>
    <row r="4645" spans="5:13">
      <c r="E4645" s="355"/>
      <c r="F4645" s="355"/>
      <c r="G4645" s="355"/>
      <c r="H4645" s="355"/>
      <c r="I4645" s="355"/>
      <c r="J4645" s="355"/>
      <c r="K4645" s="355"/>
      <c r="L4645" s="355"/>
      <c r="M4645" s="355"/>
    </row>
    <row r="4646" spans="5:13">
      <c r="E4646" s="355"/>
      <c r="F4646" s="355"/>
      <c r="G4646" s="355"/>
      <c r="H4646" s="355"/>
      <c r="I4646" s="355"/>
      <c r="J4646" s="355"/>
      <c r="K4646" s="355"/>
      <c r="L4646" s="355"/>
      <c r="M4646" s="355"/>
    </row>
    <row r="4647" spans="5:13">
      <c r="E4647" s="355"/>
      <c r="F4647" s="355"/>
      <c r="G4647" s="355"/>
      <c r="H4647" s="355"/>
      <c r="I4647" s="355"/>
      <c r="J4647" s="355"/>
      <c r="K4647" s="355"/>
      <c r="L4647" s="355"/>
      <c r="M4647" s="355"/>
    </row>
    <row r="4648" spans="5:13">
      <c r="E4648" s="355"/>
      <c r="F4648" s="355"/>
      <c r="G4648" s="355"/>
      <c r="H4648" s="355"/>
      <c r="I4648" s="355"/>
      <c r="J4648" s="355"/>
      <c r="K4648" s="355"/>
      <c r="L4648" s="355"/>
      <c r="M4648" s="355"/>
    </row>
    <row r="4649" spans="5:13">
      <c r="E4649" s="355"/>
      <c r="F4649" s="355"/>
      <c r="G4649" s="355"/>
      <c r="H4649" s="355"/>
      <c r="I4649" s="355"/>
      <c r="J4649" s="355"/>
      <c r="K4649" s="355"/>
      <c r="L4649" s="355"/>
      <c r="M4649" s="355"/>
    </row>
    <row r="4650" spans="5:13">
      <c r="E4650" s="355"/>
      <c r="F4650" s="355"/>
      <c r="G4650" s="355"/>
      <c r="H4650" s="355"/>
      <c r="I4650" s="355"/>
      <c r="J4650" s="355"/>
      <c r="K4650" s="355"/>
      <c r="L4650" s="355"/>
      <c r="M4650" s="355"/>
    </row>
    <row r="4651" spans="5:13">
      <c r="E4651" s="355"/>
      <c r="F4651" s="355"/>
      <c r="G4651" s="355"/>
      <c r="H4651" s="355"/>
      <c r="I4651" s="355"/>
      <c r="J4651" s="355"/>
      <c r="K4651" s="355"/>
      <c r="L4651" s="355"/>
      <c r="M4651" s="355"/>
    </row>
    <row r="4652" spans="5:13">
      <c r="E4652" s="355"/>
      <c r="F4652" s="355"/>
      <c r="G4652" s="355"/>
      <c r="H4652" s="355"/>
      <c r="I4652" s="355"/>
      <c r="J4652" s="355"/>
      <c r="K4652" s="355"/>
      <c r="L4652" s="355"/>
      <c r="M4652" s="355"/>
    </row>
    <row r="4653" spans="5:13">
      <c r="E4653" s="355"/>
      <c r="F4653" s="355"/>
      <c r="G4653" s="355"/>
      <c r="H4653" s="355"/>
      <c r="I4653" s="355"/>
      <c r="J4653" s="355"/>
      <c r="K4653" s="355"/>
      <c r="L4653" s="355"/>
      <c r="M4653" s="355"/>
    </row>
    <row r="4654" spans="5:13">
      <c r="E4654" s="355"/>
      <c r="F4654" s="355"/>
      <c r="G4654" s="355"/>
      <c r="H4654" s="355"/>
      <c r="I4654" s="355"/>
      <c r="J4654" s="355"/>
      <c r="K4654" s="355"/>
      <c r="L4654" s="355"/>
      <c r="M4654" s="355"/>
    </row>
    <row r="4655" spans="5:13">
      <c r="E4655" s="355"/>
      <c r="F4655" s="355"/>
      <c r="G4655" s="355"/>
      <c r="H4655" s="355"/>
      <c r="I4655" s="355"/>
      <c r="J4655" s="355"/>
      <c r="K4655" s="355"/>
      <c r="L4655" s="355"/>
      <c r="M4655" s="355"/>
    </row>
    <row r="4656" spans="5:13">
      <c r="E4656" s="355"/>
      <c r="F4656" s="355"/>
      <c r="G4656" s="355"/>
      <c r="H4656" s="355"/>
      <c r="I4656" s="355"/>
      <c r="J4656" s="355"/>
      <c r="K4656" s="355"/>
      <c r="L4656" s="355"/>
      <c r="M4656" s="355"/>
    </row>
    <row r="4657" spans="5:13">
      <c r="E4657" s="355"/>
      <c r="F4657" s="355"/>
      <c r="G4657" s="355"/>
      <c r="H4657" s="355"/>
      <c r="I4657" s="355"/>
      <c r="J4657" s="355"/>
      <c r="K4657" s="355"/>
      <c r="L4657" s="355"/>
      <c r="M4657" s="355"/>
    </row>
    <row r="4658" spans="5:13">
      <c r="E4658" s="355"/>
      <c r="F4658" s="355"/>
      <c r="G4658" s="355"/>
      <c r="H4658" s="355"/>
      <c r="I4658" s="355"/>
      <c r="J4658" s="355"/>
      <c r="K4658" s="355"/>
      <c r="L4658" s="355"/>
      <c r="M4658" s="355"/>
    </row>
    <row r="4659" spans="5:13">
      <c r="E4659" s="355"/>
      <c r="F4659" s="355"/>
      <c r="G4659" s="355"/>
      <c r="H4659" s="355"/>
      <c r="I4659" s="355"/>
      <c r="J4659" s="355"/>
      <c r="K4659" s="355"/>
      <c r="L4659" s="355"/>
      <c r="M4659" s="355"/>
    </row>
    <row r="4660" spans="5:13">
      <c r="E4660" s="355"/>
      <c r="F4660" s="355"/>
      <c r="G4660" s="355"/>
      <c r="H4660" s="355"/>
      <c r="I4660" s="355"/>
      <c r="J4660" s="355"/>
      <c r="K4660" s="355"/>
      <c r="L4660" s="355"/>
      <c r="M4660" s="355"/>
    </row>
    <row r="4661" spans="5:13">
      <c r="E4661" s="355"/>
      <c r="F4661" s="355"/>
      <c r="G4661" s="355"/>
      <c r="H4661" s="355"/>
      <c r="I4661" s="355"/>
      <c r="J4661" s="355"/>
      <c r="K4661" s="355"/>
      <c r="L4661" s="355"/>
      <c r="M4661" s="355"/>
    </row>
    <row r="4662" spans="5:13">
      <c r="E4662" s="355"/>
      <c r="F4662" s="355"/>
      <c r="G4662" s="355"/>
      <c r="H4662" s="355"/>
      <c r="I4662" s="355"/>
      <c r="J4662" s="355"/>
      <c r="K4662" s="355"/>
      <c r="L4662" s="355"/>
      <c r="M4662" s="355"/>
    </row>
    <row r="4663" spans="5:13">
      <c r="E4663" s="355"/>
      <c r="F4663" s="355"/>
      <c r="G4663" s="355"/>
      <c r="H4663" s="355"/>
      <c r="I4663" s="355"/>
      <c r="J4663" s="355"/>
      <c r="K4663" s="355"/>
      <c r="L4663" s="355"/>
      <c r="M4663" s="355"/>
    </row>
    <row r="4664" spans="5:13">
      <c r="E4664" s="355"/>
      <c r="F4664" s="355"/>
      <c r="G4664" s="355"/>
      <c r="H4664" s="355"/>
      <c r="I4664" s="355"/>
      <c r="J4664" s="355"/>
      <c r="K4664" s="355"/>
      <c r="L4664" s="355"/>
      <c r="M4664" s="355"/>
    </row>
    <row r="4665" spans="5:13">
      <c r="E4665" s="355"/>
      <c r="F4665" s="355"/>
      <c r="G4665" s="355"/>
      <c r="H4665" s="355"/>
      <c r="I4665" s="355"/>
      <c r="J4665" s="355"/>
      <c r="K4665" s="355"/>
      <c r="L4665" s="355"/>
      <c r="M4665" s="355"/>
    </row>
    <row r="4666" spans="5:13">
      <c r="E4666" s="355"/>
      <c r="F4666" s="355"/>
      <c r="G4666" s="355"/>
      <c r="H4666" s="355"/>
      <c r="I4666" s="355"/>
      <c r="J4666" s="355"/>
      <c r="K4666" s="355"/>
      <c r="L4666" s="355"/>
      <c r="M4666" s="355"/>
    </row>
    <row r="4667" spans="5:13">
      <c r="E4667" s="355"/>
      <c r="F4667" s="355"/>
      <c r="G4667" s="355"/>
      <c r="H4667" s="355"/>
      <c r="I4667" s="355"/>
      <c r="J4667" s="355"/>
      <c r="K4667" s="355"/>
      <c r="L4667" s="355"/>
      <c r="M4667" s="355"/>
    </row>
    <row r="4668" spans="5:13">
      <c r="E4668" s="355"/>
      <c r="F4668" s="355"/>
      <c r="G4668" s="355"/>
      <c r="H4668" s="355"/>
      <c r="I4668" s="355"/>
      <c r="J4668" s="355"/>
      <c r="K4668" s="355"/>
      <c r="L4668" s="355"/>
      <c r="M4668" s="355"/>
    </row>
    <row r="4669" spans="5:13">
      <c r="E4669" s="355"/>
      <c r="F4669" s="355"/>
      <c r="G4669" s="355"/>
      <c r="H4669" s="355"/>
      <c r="I4669" s="355"/>
      <c r="J4669" s="355"/>
      <c r="K4669" s="355"/>
      <c r="L4669" s="355"/>
      <c r="M4669" s="355"/>
    </row>
    <row r="4670" spans="5:13">
      <c r="E4670" s="355"/>
      <c r="F4670" s="355"/>
      <c r="G4670" s="355"/>
      <c r="H4670" s="355"/>
      <c r="I4670" s="355"/>
      <c r="J4670" s="355"/>
      <c r="K4670" s="355"/>
      <c r="L4670" s="355"/>
      <c r="M4670" s="355"/>
    </row>
    <row r="4671" spans="5:13">
      <c r="E4671" s="355"/>
      <c r="F4671" s="355"/>
      <c r="G4671" s="355"/>
      <c r="H4671" s="355"/>
      <c r="I4671" s="355"/>
      <c r="J4671" s="355"/>
      <c r="K4671" s="355"/>
      <c r="L4671" s="355"/>
      <c r="M4671" s="355"/>
    </row>
    <row r="4672" spans="5:13">
      <c r="E4672" s="355"/>
      <c r="F4672" s="355"/>
      <c r="G4672" s="355"/>
      <c r="H4672" s="355"/>
      <c r="I4672" s="355"/>
      <c r="J4672" s="355"/>
      <c r="K4672" s="355"/>
      <c r="L4672" s="355"/>
      <c r="M4672" s="355"/>
    </row>
    <row r="4673" spans="5:13">
      <c r="E4673" s="355"/>
      <c r="F4673" s="355"/>
      <c r="G4673" s="355"/>
      <c r="H4673" s="355"/>
      <c r="I4673" s="355"/>
      <c r="J4673" s="355"/>
      <c r="K4673" s="355"/>
      <c r="L4673" s="355"/>
      <c r="M4673" s="355"/>
    </row>
    <row r="4674" spans="5:13">
      <c r="E4674" s="355"/>
      <c r="F4674" s="355"/>
      <c r="G4674" s="355"/>
      <c r="H4674" s="355"/>
      <c r="I4674" s="355"/>
      <c r="J4674" s="355"/>
      <c r="K4674" s="355"/>
      <c r="L4674" s="355"/>
      <c r="M4674" s="355"/>
    </row>
    <row r="4675" spans="5:13">
      <c r="E4675" s="355"/>
      <c r="F4675" s="355"/>
      <c r="G4675" s="355"/>
      <c r="H4675" s="355"/>
      <c r="I4675" s="355"/>
      <c r="J4675" s="355"/>
      <c r="K4675" s="355"/>
      <c r="L4675" s="355"/>
      <c r="M4675" s="355"/>
    </row>
    <row r="4676" spans="5:13">
      <c r="E4676" s="355"/>
      <c r="F4676" s="355"/>
      <c r="G4676" s="355"/>
      <c r="H4676" s="355"/>
      <c r="I4676" s="355"/>
      <c r="J4676" s="355"/>
      <c r="K4676" s="355"/>
      <c r="L4676" s="355"/>
      <c r="M4676" s="355"/>
    </row>
    <row r="4677" spans="5:13">
      <c r="E4677" s="355"/>
      <c r="F4677" s="355"/>
      <c r="G4677" s="355"/>
      <c r="H4677" s="355"/>
      <c r="I4677" s="355"/>
      <c r="J4677" s="355"/>
      <c r="K4677" s="355"/>
      <c r="L4677" s="355"/>
      <c r="M4677" s="355"/>
    </row>
    <row r="4678" spans="5:13">
      <c r="E4678" s="355"/>
      <c r="F4678" s="355"/>
      <c r="G4678" s="355"/>
      <c r="H4678" s="355"/>
      <c r="I4678" s="355"/>
      <c r="J4678" s="355"/>
      <c r="K4678" s="355"/>
      <c r="L4678" s="355"/>
      <c r="M4678" s="355"/>
    </row>
    <row r="4679" spans="5:13">
      <c r="E4679" s="355"/>
      <c r="F4679" s="355"/>
      <c r="G4679" s="355"/>
      <c r="H4679" s="355"/>
      <c r="I4679" s="355"/>
      <c r="J4679" s="355"/>
      <c r="K4679" s="355"/>
      <c r="L4679" s="355"/>
      <c r="M4679" s="355"/>
    </row>
    <row r="4680" spans="5:13">
      <c r="E4680" s="355"/>
      <c r="F4680" s="355"/>
      <c r="G4680" s="355"/>
      <c r="H4680" s="355"/>
      <c r="I4680" s="355"/>
      <c r="J4680" s="355"/>
      <c r="K4680" s="355"/>
      <c r="L4680" s="355"/>
      <c r="M4680" s="355"/>
    </row>
    <row r="4681" spans="5:13">
      <c r="E4681" s="355"/>
      <c r="F4681" s="355"/>
      <c r="G4681" s="355"/>
      <c r="H4681" s="355"/>
      <c r="I4681" s="355"/>
      <c r="J4681" s="355"/>
      <c r="K4681" s="355"/>
      <c r="L4681" s="355"/>
      <c r="M4681" s="355"/>
    </row>
    <row r="4682" spans="5:13">
      <c r="E4682" s="355"/>
      <c r="F4682" s="355"/>
      <c r="G4682" s="355"/>
      <c r="H4682" s="355"/>
      <c r="I4682" s="355"/>
      <c r="J4682" s="355"/>
      <c r="K4682" s="355"/>
      <c r="L4682" s="355"/>
      <c r="M4682" s="355"/>
    </row>
    <row r="4683" spans="5:13">
      <c r="E4683" s="355"/>
      <c r="F4683" s="355"/>
      <c r="G4683" s="355"/>
      <c r="H4683" s="355"/>
      <c r="I4683" s="355"/>
      <c r="J4683" s="355"/>
      <c r="K4683" s="355"/>
      <c r="L4683" s="355"/>
      <c r="M4683" s="355"/>
    </row>
    <row r="4684" spans="5:13">
      <c r="E4684" s="355"/>
      <c r="F4684" s="355"/>
      <c r="G4684" s="355"/>
      <c r="H4684" s="355"/>
      <c r="I4684" s="355"/>
      <c r="J4684" s="355"/>
      <c r="K4684" s="355"/>
      <c r="L4684" s="355"/>
      <c r="M4684" s="355"/>
    </row>
    <row r="4685" spans="5:13">
      <c r="E4685" s="355"/>
      <c r="F4685" s="355"/>
      <c r="G4685" s="355"/>
      <c r="H4685" s="355"/>
      <c r="I4685" s="355"/>
      <c r="J4685" s="355"/>
      <c r="K4685" s="355"/>
      <c r="L4685" s="355"/>
      <c r="M4685" s="355"/>
    </row>
    <row r="4686" spans="5:13">
      <c r="E4686" s="355"/>
      <c r="F4686" s="355"/>
      <c r="G4686" s="355"/>
      <c r="H4686" s="355"/>
      <c r="I4686" s="355"/>
      <c r="J4686" s="355"/>
      <c r="K4686" s="355"/>
      <c r="L4686" s="355"/>
      <c r="M4686" s="355"/>
    </row>
    <row r="4687" spans="5:13">
      <c r="E4687" s="355"/>
      <c r="F4687" s="355"/>
      <c r="G4687" s="355"/>
      <c r="H4687" s="355"/>
      <c r="I4687" s="355"/>
      <c r="J4687" s="355"/>
      <c r="K4687" s="355"/>
      <c r="L4687" s="355"/>
      <c r="M4687" s="355"/>
    </row>
    <row r="4688" spans="5:13">
      <c r="E4688" s="355"/>
      <c r="F4688" s="355"/>
      <c r="G4688" s="355"/>
      <c r="H4688" s="355"/>
      <c r="I4688" s="355"/>
      <c r="J4688" s="355"/>
      <c r="K4688" s="355"/>
      <c r="L4688" s="355"/>
      <c r="M4688" s="355"/>
    </row>
    <row r="4689" spans="5:13">
      <c r="E4689" s="355"/>
      <c r="F4689" s="355"/>
      <c r="G4689" s="355"/>
      <c r="H4689" s="355"/>
      <c r="I4689" s="355"/>
      <c r="J4689" s="355"/>
      <c r="K4689" s="355"/>
      <c r="L4689" s="355"/>
      <c r="M4689" s="355"/>
    </row>
    <row r="4690" spans="5:13">
      <c r="E4690" s="355"/>
      <c r="F4690" s="355"/>
      <c r="G4690" s="355"/>
      <c r="H4690" s="355"/>
      <c r="I4690" s="355"/>
      <c r="J4690" s="355"/>
      <c r="K4690" s="355"/>
      <c r="L4690" s="355"/>
      <c r="M4690" s="355"/>
    </row>
    <row r="4691" spans="5:13">
      <c r="E4691" s="355"/>
      <c r="F4691" s="355"/>
      <c r="G4691" s="355"/>
      <c r="H4691" s="355"/>
      <c r="I4691" s="355"/>
      <c r="J4691" s="355"/>
      <c r="K4691" s="355"/>
      <c r="L4691" s="355"/>
      <c r="M4691" s="355"/>
    </row>
    <row r="4692" spans="5:13">
      <c r="E4692" s="355"/>
      <c r="F4692" s="355"/>
      <c r="G4692" s="355"/>
      <c r="H4692" s="355"/>
      <c r="I4692" s="355"/>
      <c r="J4692" s="355"/>
      <c r="K4692" s="355"/>
      <c r="L4692" s="355"/>
      <c r="M4692" s="355"/>
    </row>
    <row r="4693" spans="5:13">
      <c r="E4693" s="355"/>
      <c r="F4693" s="355"/>
      <c r="G4693" s="355"/>
      <c r="H4693" s="355"/>
      <c r="I4693" s="355"/>
      <c r="J4693" s="355"/>
      <c r="K4693" s="355"/>
      <c r="L4693" s="355"/>
      <c r="M4693" s="355"/>
    </row>
    <row r="4694" spans="5:13">
      <c r="E4694" s="355"/>
      <c r="F4694" s="355"/>
      <c r="G4694" s="355"/>
      <c r="H4694" s="355"/>
      <c r="I4694" s="355"/>
      <c r="J4694" s="355"/>
      <c r="K4694" s="355"/>
      <c r="L4694" s="355"/>
      <c r="M4694" s="355"/>
    </row>
    <row r="4695" spans="5:13">
      <c r="E4695" s="355"/>
      <c r="F4695" s="355"/>
      <c r="G4695" s="355"/>
      <c r="H4695" s="355"/>
      <c r="I4695" s="355"/>
      <c r="J4695" s="355"/>
      <c r="K4695" s="355"/>
      <c r="L4695" s="355"/>
      <c r="M4695" s="355"/>
    </row>
    <row r="4696" spans="5:13">
      <c r="E4696" s="355"/>
      <c r="F4696" s="355"/>
      <c r="G4696" s="355"/>
      <c r="H4696" s="355"/>
      <c r="I4696" s="355"/>
      <c r="J4696" s="355"/>
      <c r="K4696" s="355"/>
      <c r="L4696" s="355"/>
      <c r="M4696" s="355"/>
    </row>
    <row r="4697" spans="5:13">
      <c r="E4697" s="355"/>
      <c r="F4697" s="355"/>
      <c r="G4697" s="355"/>
      <c r="H4697" s="355"/>
      <c r="I4697" s="355"/>
      <c r="J4697" s="355"/>
      <c r="K4697" s="355"/>
      <c r="L4697" s="355"/>
      <c r="M4697" s="355"/>
    </row>
    <row r="4698" spans="5:13">
      <c r="E4698" s="355"/>
      <c r="F4698" s="355"/>
      <c r="G4698" s="355"/>
      <c r="H4698" s="355"/>
      <c r="I4698" s="355"/>
      <c r="J4698" s="355"/>
      <c r="K4698" s="355"/>
      <c r="L4698" s="355"/>
      <c r="M4698" s="355"/>
    </row>
    <row r="4699" spans="5:13">
      <c r="E4699" s="355"/>
      <c r="F4699" s="355"/>
      <c r="G4699" s="355"/>
      <c r="H4699" s="355"/>
      <c r="I4699" s="355"/>
      <c r="J4699" s="355"/>
      <c r="K4699" s="355"/>
      <c r="L4699" s="355"/>
      <c r="M4699" s="355"/>
    </row>
    <row r="4700" spans="5:13">
      <c r="E4700" s="355"/>
      <c r="F4700" s="355"/>
      <c r="G4700" s="355"/>
      <c r="H4700" s="355"/>
      <c r="I4700" s="355"/>
      <c r="J4700" s="355"/>
      <c r="K4700" s="355"/>
      <c r="L4700" s="355"/>
      <c r="M4700" s="355"/>
    </row>
    <row r="4701" spans="5:13">
      <c r="E4701" s="355"/>
      <c r="F4701" s="355"/>
      <c r="G4701" s="355"/>
      <c r="H4701" s="355"/>
      <c r="I4701" s="355"/>
      <c r="J4701" s="355"/>
      <c r="K4701" s="355"/>
      <c r="L4701" s="355"/>
      <c r="M4701" s="355"/>
    </row>
    <row r="4702" spans="5:13">
      <c r="E4702" s="355"/>
      <c r="F4702" s="355"/>
      <c r="G4702" s="355"/>
      <c r="H4702" s="355"/>
      <c r="I4702" s="355"/>
      <c r="J4702" s="355"/>
      <c r="K4702" s="355"/>
      <c r="L4702" s="355"/>
      <c r="M4702" s="355"/>
    </row>
    <row r="4703" spans="5:13">
      <c r="E4703" s="355"/>
      <c r="F4703" s="355"/>
      <c r="G4703" s="355"/>
      <c r="H4703" s="355"/>
      <c r="I4703" s="355"/>
      <c r="J4703" s="355"/>
      <c r="K4703" s="355"/>
      <c r="L4703" s="355"/>
      <c r="M4703" s="355"/>
    </row>
    <row r="4704" spans="5:13">
      <c r="E4704" s="355"/>
      <c r="F4704" s="355"/>
      <c r="G4704" s="355"/>
      <c r="H4704" s="355"/>
      <c r="I4704" s="355"/>
      <c r="J4704" s="355"/>
      <c r="K4704" s="355"/>
      <c r="L4704" s="355"/>
      <c r="M4704" s="355"/>
    </row>
    <row r="4705" spans="5:13">
      <c r="E4705" s="355"/>
      <c r="F4705" s="355"/>
      <c r="G4705" s="355"/>
      <c r="H4705" s="355"/>
      <c r="I4705" s="355"/>
      <c r="J4705" s="355"/>
      <c r="K4705" s="355"/>
      <c r="L4705" s="355"/>
      <c r="M4705" s="355"/>
    </row>
    <row r="4706" spans="5:13">
      <c r="E4706" s="355"/>
      <c r="F4706" s="355"/>
      <c r="G4706" s="355"/>
      <c r="H4706" s="355"/>
      <c r="I4706" s="355"/>
      <c r="J4706" s="355"/>
      <c r="K4706" s="355"/>
      <c r="L4706" s="355"/>
      <c r="M4706" s="355"/>
    </row>
    <row r="4707" spans="5:13">
      <c r="E4707" s="355"/>
      <c r="F4707" s="355"/>
      <c r="G4707" s="355"/>
      <c r="H4707" s="355"/>
      <c r="I4707" s="355"/>
      <c r="J4707" s="355"/>
      <c r="K4707" s="355"/>
      <c r="L4707" s="355"/>
      <c r="M4707" s="355"/>
    </row>
    <row r="4708" spans="5:13">
      <c r="E4708" s="355"/>
      <c r="F4708" s="355"/>
      <c r="G4708" s="355"/>
      <c r="H4708" s="355"/>
      <c r="I4708" s="355"/>
      <c r="J4708" s="355"/>
      <c r="K4708" s="355"/>
      <c r="L4708" s="355"/>
      <c r="M4708" s="355"/>
    </row>
    <row r="4709" spans="5:13">
      <c r="E4709" s="355"/>
      <c r="F4709" s="355"/>
      <c r="G4709" s="355"/>
      <c r="H4709" s="355"/>
      <c r="I4709" s="355"/>
      <c r="J4709" s="355"/>
      <c r="K4709" s="355"/>
      <c r="L4709" s="355"/>
      <c r="M4709" s="355"/>
    </row>
    <row r="4710" spans="5:13">
      <c r="E4710" s="355"/>
      <c r="F4710" s="355"/>
      <c r="G4710" s="355"/>
      <c r="H4710" s="355"/>
      <c r="I4710" s="355"/>
      <c r="J4710" s="355"/>
      <c r="K4710" s="355"/>
      <c r="L4710" s="355"/>
      <c r="M4710" s="355"/>
    </row>
    <row r="4711" spans="5:13">
      <c r="E4711" s="355"/>
      <c r="F4711" s="355"/>
      <c r="G4711" s="355"/>
      <c r="H4711" s="355"/>
      <c r="I4711" s="355"/>
      <c r="J4711" s="355"/>
      <c r="K4711" s="355"/>
      <c r="L4711" s="355"/>
      <c r="M4711" s="355"/>
    </row>
    <row r="4712" spans="5:13">
      <c r="E4712" s="355"/>
      <c r="F4712" s="355"/>
      <c r="G4712" s="355"/>
      <c r="H4712" s="355"/>
      <c r="I4712" s="355"/>
      <c r="J4712" s="355"/>
      <c r="K4712" s="355"/>
      <c r="L4712" s="355"/>
      <c r="M4712" s="355"/>
    </row>
    <row r="4713" spans="5:13">
      <c r="E4713" s="355"/>
      <c r="F4713" s="355"/>
      <c r="G4713" s="355"/>
      <c r="H4713" s="355"/>
      <c r="I4713" s="355"/>
      <c r="J4713" s="355"/>
      <c r="K4713" s="355"/>
      <c r="L4713" s="355"/>
      <c r="M4713" s="355"/>
    </row>
    <row r="4714" spans="5:13">
      <c r="E4714" s="355"/>
      <c r="F4714" s="355"/>
      <c r="G4714" s="355"/>
      <c r="H4714" s="355"/>
      <c r="I4714" s="355"/>
      <c r="J4714" s="355"/>
      <c r="K4714" s="355"/>
      <c r="L4714" s="355"/>
      <c r="M4714" s="355"/>
    </row>
    <row r="4715" spans="5:13">
      <c r="E4715" s="355"/>
      <c r="F4715" s="355"/>
      <c r="G4715" s="355"/>
      <c r="H4715" s="355"/>
      <c r="I4715" s="355"/>
      <c r="J4715" s="355"/>
      <c r="K4715" s="355"/>
      <c r="L4715" s="355"/>
      <c r="M4715" s="355"/>
    </row>
    <row r="4716" spans="5:13">
      <c r="E4716" s="355"/>
      <c r="F4716" s="355"/>
      <c r="G4716" s="355"/>
      <c r="H4716" s="355"/>
      <c r="I4716" s="355"/>
      <c r="J4716" s="355"/>
      <c r="K4716" s="355"/>
      <c r="L4716" s="355"/>
      <c r="M4716" s="355"/>
    </row>
    <row r="4717" spans="5:13">
      <c r="E4717" s="355"/>
      <c r="F4717" s="355"/>
      <c r="G4717" s="355"/>
      <c r="H4717" s="355"/>
      <c r="I4717" s="355"/>
      <c r="J4717" s="355"/>
      <c r="K4717" s="355"/>
      <c r="L4717" s="355"/>
      <c r="M4717" s="355"/>
    </row>
    <row r="4718" spans="5:13">
      <c r="E4718" s="355"/>
      <c r="F4718" s="355"/>
      <c r="G4718" s="355"/>
      <c r="H4718" s="355"/>
      <c r="I4718" s="355"/>
      <c r="J4718" s="355"/>
      <c r="K4718" s="355"/>
      <c r="L4718" s="355"/>
      <c r="M4718" s="355"/>
    </row>
    <row r="4719" spans="5:13">
      <c r="E4719" s="355"/>
      <c r="F4719" s="355"/>
      <c r="G4719" s="355"/>
      <c r="H4719" s="355"/>
      <c r="I4719" s="355"/>
      <c r="J4719" s="355"/>
      <c r="K4719" s="355"/>
      <c r="L4719" s="355"/>
      <c r="M4719" s="355"/>
    </row>
    <row r="4720" spans="5:13">
      <c r="E4720" s="355"/>
      <c r="F4720" s="355"/>
      <c r="G4720" s="355"/>
      <c r="H4720" s="355"/>
      <c r="I4720" s="355"/>
      <c r="J4720" s="355"/>
      <c r="K4720" s="355"/>
      <c r="L4720" s="355"/>
      <c r="M4720" s="355"/>
    </row>
    <row r="4721" spans="5:13">
      <c r="E4721" s="355"/>
      <c r="F4721" s="355"/>
      <c r="G4721" s="355"/>
      <c r="H4721" s="355"/>
      <c r="I4721" s="355"/>
      <c r="J4721" s="355"/>
      <c r="K4721" s="355"/>
      <c r="L4721" s="355"/>
      <c r="M4721" s="355"/>
    </row>
    <row r="4722" spans="5:13">
      <c r="E4722" s="355"/>
      <c r="F4722" s="355"/>
      <c r="G4722" s="355"/>
      <c r="H4722" s="355"/>
      <c r="I4722" s="355"/>
      <c r="J4722" s="355"/>
      <c r="K4722" s="355"/>
      <c r="L4722" s="355"/>
      <c r="M4722" s="355"/>
    </row>
    <row r="4723" spans="5:13">
      <c r="E4723" s="355"/>
      <c r="F4723" s="355"/>
      <c r="G4723" s="355"/>
      <c r="H4723" s="355"/>
      <c r="I4723" s="355"/>
      <c r="J4723" s="355"/>
      <c r="K4723" s="355"/>
      <c r="L4723" s="355"/>
      <c r="M4723" s="355"/>
    </row>
    <row r="4724" spans="5:13">
      <c r="E4724" s="355"/>
      <c r="F4724" s="355"/>
      <c r="G4724" s="355"/>
      <c r="H4724" s="355"/>
      <c r="I4724" s="355"/>
      <c r="J4724" s="355"/>
      <c r="K4724" s="355"/>
      <c r="L4724" s="355"/>
      <c r="M4724" s="355"/>
    </row>
    <row r="4725" spans="5:13">
      <c r="E4725" s="355"/>
      <c r="F4725" s="355"/>
      <c r="G4725" s="355"/>
      <c r="H4725" s="355"/>
      <c r="I4725" s="355"/>
      <c r="J4725" s="355"/>
      <c r="K4725" s="355"/>
      <c r="L4725" s="355"/>
      <c r="M4725" s="355"/>
    </row>
    <row r="4726" spans="5:13">
      <c r="E4726" s="355"/>
      <c r="F4726" s="355"/>
      <c r="G4726" s="355"/>
      <c r="H4726" s="355"/>
      <c r="I4726" s="355"/>
      <c r="J4726" s="355"/>
      <c r="K4726" s="355"/>
      <c r="L4726" s="355"/>
      <c r="M4726" s="355"/>
    </row>
    <row r="4727" spans="5:13">
      <c r="E4727" s="355"/>
      <c r="F4727" s="355"/>
      <c r="G4727" s="355"/>
      <c r="H4727" s="355"/>
      <c r="I4727" s="355"/>
      <c r="J4727" s="355"/>
      <c r="K4727" s="355"/>
      <c r="L4727" s="355"/>
      <c r="M4727" s="355"/>
    </row>
    <row r="4728" spans="5:13">
      <c r="E4728" s="355"/>
      <c r="F4728" s="355"/>
      <c r="G4728" s="355"/>
      <c r="H4728" s="355"/>
      <c r="I4728" s="355"/>
      <c r="J4728" s="355"/>
      <c r="K4728" s="355"/>
      <c r="L4728" s="355"/>
      <c r="M4728" s="355"/>
    </row>
    <row r="4729" spans="5:13">
      <c r="E4729" s="355"/>
      <c r="F4729" s="355"/>
      <c r="G4729" s="355"/>
      <c r="H4729" s="355"/>
      <c r="I4729" s="355"/>
      <c r="J4729" s="355"/>
      <c r="K4729" s="355"/>
      <c r="L4729" s="355"/>
      <c r="M4729" s="355"/>
    </row>
    <row r="4730" spans="5:13">
      <c r="E4730" s="355"/>
      <c r="F4730" s="355"/>
      <c r="G4730" s="355"/>
      <c r="H4730" s="355"/>
      <c r="I4730" s="355"/>
      <c r="J4730" s="355"/>
      <c r="K4730" s="355"/>
      <c r="L4730" s="355"/>
      <c r="M4730" s="355"/>
    </row>
    <row r="4731" spans="5:13">
      <c r="E4731" s="355"/>
      <c r="F4731" s="355"/>
      <c r="G4731" s="355"/>
      <c r="H4731" s="355"/>
      <c r="I4731" s="355"/>
      <c r="J4731" s="355"/>
      <c r="K4731" s="355"/>
      <c r="L4731" s="355"/>
      <c r="M4731" s="355"/>
    </row>
    <row r="4732" spans="5:13">
      <c r="E4732" s="355"/>
      <c r="F4732" s="355"/>
      <c r="G4732" s="355"/>
      <c r="H4732" s="355"/>
      <c r="I4732" s="355"/>
      <c r="J4732" s="355"/>
      <c r="K4732" s="355"/>
      <c r="L4732" s="355"/>
      <c r="M4732" s="355"/>
    </row>
    <row r="4733" spans="5:13">
      <c r="E4733" s="355"/>
      <c r="F4733" s="355"/>
      <c r="G4733" s="355"/>
      <c r="H4733" s="355"/>
      <c r="I4733" s="355"/>
      <c r="J4733" s="355"/>
      <c r="K4733" s="355"/>
      <c r="L4733" s="355"/>
      <c r="M4733" s="355"/>
    </row>
    <row r="4734" spans="5:13">
      <c r="E4734" s="355"/>
      <c r="F4734" s="355"/>
      <c r="G4734" s="355"/>
      <c r="H4734" s="355"/>
      <c r="I4734" s="355"/>
      <c r="J4734" s="355"/>
      <c r="K4734" s="355"/>
      <c r="L4734" s="355"/>
      <c r="M4734" s="355"/>
    </row>
    <row r="4735" spans="5:13">
      <c r="E4735" s="355"/>
      <c r="F4735" s="355"/>
      <c r="G4735" s="355"/>
      <c r="H4735" s="355"/>
      <c r="I4735" s="355"/>
      <c r="J4735" s="355"/>
      <c r="K4735" s="355"/>
      <c r="L4735" s="355"/>
      <c r="M4735" s="355"/>
    </row>
    <row r="4736" spans="5:13">
      <c r="E4736" s="355"/>
      <c r="F4736" s="355"/>
      <c r="G4736" s="355"/>
      <c r="H4736" s="355"/>
      <c r="I4736" s="355"/>
      <c r="J4736" s="355"/>
      <c r="K4736" s="355"/>
      <c r="L4736" s="355"/>
      <c r="M4736" s="355"/>
    </row>
    <row r="4737" spans="5:13">
      <c r="E4737" s="355"/>
      <c r="F4737" s="355"/>
      <c r="G4737" s="355"/>
      <c r="H4737" s="355"/>
      <c r="I4737" s="355"/>
      <c r="J4737" s="355"/>
      <c r="K4737" s="355"/>
      <c r="L4737" s="355"/>
      <c r="M4737" s="355"/>
    </row>
    <row r="4738" spans="5:13">
      <c r="E4738" s="355"/>
      <c r="F4738" s="355"/>
      <c r="G4738" s="355"/>
      <c r="H4738" s="355"/>
      <c r="I4738" s="355"/>
      <c r="J4738" s="355"/>
      <c r="K4738" s="355"/>
      <c r="L4738" s="355"/>
      <c r="M4738" s="355"/>
    </row>
    <row r="4739" spans="5:13">
      <c r="E4739" s="355"/>
      <c r="F4739" s="355"/>
      <c r="G4739" s="355"/>
      <c r="H4739" s="355"/>
      <c r="I4739" s="355"/>
      <c r="J4739" s="355"/>
      <c r="K4739" s="355"/>
      <c r="L4739" s="355"/>
      <c r="M4739" s="355"/>
    </row>
    <row r="4740" spans="5:13">
      <c r="E4740" s="355"/>
      <c r="F4740" s="355"/>
      <c r="G4740" s="355"/>
      <c r="H4740" s="355"/>
      <c r="I4740" s="355"/>
      <c r="J4740" s="355"/>
      <c r="K4740" s="355"/>
      <c r="L4740" s="355"/>
      <c r="M4740" s="355"/>
    </row>
    <row r="4741" spans="5:13">
      <c r="E4741" s="355"/>
      <c r="F4741" s="355"/>
      <c r="G4741" s="355"/>
      <c r="H4741" s="355"/>
      <c r="I4741" s="355"/>
      <c r="J4741" s="355"/>
      <c r="K4741" s="355"/>
      <c r="L4741" s="355"/>
      <c r="M4741" s="355"/>
    </row>
    <row r="4742" spans="5:13">
      <c r="E4742" s="355"/>
      <c r="F4742" s="355"/>
      <c r="G4742" s="355"/>
      <c r="H4742" s="355"/>
      <c r="I4742" s="355"/>
      <c r="J4742" s="355"/>
      <c r="K4742" s="355"/>
      <c r="L4742" s="355"/>
      <c r="M4742" s="355"/>
    </row>
    <row r="4743" spans="5:13">
      <c r="E4743" s="355"/>
      <c r="F4743" s="355"/>
      <c r="G4743" s="355"/>
      <c r="H4743" s="355"/>
      <c r="I4743" s="355"/>
      <c r="J4743" s="355"/>
      <c r="K4743" s="355"/>
      <c r="L4743" s="355"/>
      <c r="M4743" s="355"/>
    </row>
    <row r="4744" spans="5:13">
      <c r="E4744" s="355"/>
      <c r="F4744" s="355"/>
      <c r="G4744" s="355"/>
      <c r="H4744" s="355"/>
      <c r="I4744" s="355"/>
      <c r="J4744" s="355"/>
      <c r="K4744" s="355"/>
      <c r="L4744" s="355"/>
      <c r="M4744" s="355"/>
    </row>
    <row r="4745" spans="5:13">
      <c r="E4745" s="355"/>
      <c r="F4745" s="355"/>
      <c r="G4745" s="355"/>
      <c r="H4745" s="355"/>
      <c r="I4745" s="355"/>
      <c r="J4745" s="355"/>
      <c r="K4745" s="355"/>
      <c r="L4745" s="355"/>
      <c r="M4745" s="355"/>
    </row>
    <row r="4746" spans="5:13">
      <c r="E4746" s="355"/>
      <c r="F4746" s="355"/>
      <c r="G4746" s="355"/>
      <c r="H4746" s="355"/>
      <c r="I4746" s="355"/>
      <c r="J4746" s="355"/>
      <c r="K4746" s="355"/>
      <c r="L4746" s="355"/>
      <c r="M4746" s="355"/>
    </row>
    <row r="4747" spans="5:13">
      <c r="E4747" s="355"/>
      <c r="F4747" s="355"/>
      <c r="G4747" s="355"/>
      <c r="H4747" s="355"/>
      <c r="I4747" s="355"/>
      <c r="J4747" s="355"/>
      <c r="K4747" s="355"/>
      <c r="L4747" s="355"/>
      <c r="M4747" s="355"/>
    </row>
    <row r="4748" spans="5:13">
      <c r="E4748" s="355"/>
      <c r="F4748" s="355"/>
      <c r="G4748" s="355"/>
      <c r="H4748" s="355"/>
      <c r="I4748" s="355"/>
      <c r="J4748" s="355"/>
      <c r="K4748" s="355"/>
      <c r="L4748" s="355"/>
      <c r="M4748" s="355"/>
    </row>
    <row r="4749" spans="5:13">
      <c r="E4749" s="355"/>
      <c r="F4749" s="355"/>
      <c r="G4749" s="355"/>
      <c r="H4749" s="355"/>
      <c r="I4749" s="355"/>
      <c r="J4749" s="355"/>
      <c r="K4749" s="355"/>
      <c r="L4749" s="355"/>
      <c r="M4749" s="355"/>
    </row>
    <row r="4750" spans="5:13">
      <c r="E4750" s="355"/>
      <c r="F4750" s="355"/>
      <c r="G4750" s="355"/>
      <c r="H4750" s="355"/>
      <c r="I4750" s="355"/>
      <c r="J4750" s="355"/>
      <c r="K4750" s="355"/>
      <c r="L4750" s="355"/>
      <c r="M4750" s="355"/>
    </row>
    <row r="4751" spans="5:13">
      <c r="E4751" s="355"/>
      <c r="F4751" s="355"/>
      <c r="G4751" s="355"/>
      <c r="H4751" s="355"/>
      <c r="I4751" s="355"/>
      <c r="J4751" s="355"/>
      <c r="K4751" s="355"/>
      <c r="L4751" s="355"/>
      <c r="M4751" s="355"/>
    </row>
    <row r="4752" spans="5:13">
      <c r="E4752" s="355"/>
      <c r="F4752" s="355"/>
      <c r="G4752" s="355"/>
      <c r="H4752" s="355"/>
      <c r="I4752" s="355"/>
      <c r="J4752" s="355"/>
      <c r="K4752" s="355"/>
      <c r="L4752" s="355"/>
      <c r="M4752" s="355"/>
    </row>
    <row r="4753" spans="5:13">
      <c r="E4753" s="355"/>
      <c r="F4753" s="355"/>
      <c r="G4753" s="355"/>
      <c r="H4753" s="355"/>
      <c r="I4753" s="355"/>
      <c r="J4753" s="355"/>
      <c r="K4753" s="355"/>
      <c r="L4753" s="355"/>
      <c r="M4753" s="355"/>
    </row>
    <row r="4754" spans="5:13">
      <c r="E4754" s="355"/>
      <c r="F4754" s="355"/>
      <c r="G4754" s="355"/>
      <c r="H4754" s="355"/>
      <c r="I4754" s="355"/>
      <c r="J4754" s="355"/>
      <c r="K4754" s="355"/>
      <c r="L4754" s="355"/>
      <c r="M4754" s="355"/>
    </row>
    <row r="4755" spans="5:13">
      <c r="E4755" s="355"/>
      <c r="F4755" s="355"/>
      <c r="G4755" s="355"/>
      <c r="H4755" s="355"/>
      <c r="I4755" s="355"/>
      <c r="J4755" s="355"/>
      <c r="K4755" s="355"/>
      <c r="L4755" s="355"/>
      <c r="M4755" s="355"/>
    </row>
    <row r="4756" spans="5:13">
      <c r="E4756" s="355"/>
      <c r="F4756" s="355"/>
      <c r="G4756" s="355"/>
      <c r="H4756" s="355"/>
      <c r="I4756" s="355"/>
      <c r="J4756" s="355"/>
      <c r="K4756" s="355"/>
      <c r="L4756" s="355"/>
      <c r="M4756" s="355"/>
    </row>
    <row r="4757" spans="5:13">
      <c r="E4757" s="355"/>
      <c r="F4757" s="355"/>
      <c r="G4757" s="355"/>
      <c r="H4757" s="355"/>
      <c r="I4757" s="355"/>
      <c r="J4757" s="355"/>
      <c r="K4757" s="355"/>
      <c r="L4757" s="355"/>
      <c r="M4757" s="355"/>
    </row>
    <row r="4758" spans="5:13">
      <c r="E4758" s="355"/>
      <c r="F4758" s="355"/>
      <c r="G4758" s="355"/>
      <c r="H4758" s="355"/>
      <c r="I4758" s="355"/>
      <c r="J4758" s="355"/>
      <c r="K4758" s="355"/>
      <c r="L4758" s="355"/>
      <c r="M4758" s="355"/>
    </row>
    <row r="4759" spans="5:13">
      <c r="E4759" s="355"/>
      <c r="F4759" s="355"/>
      <c r="G4759" s="355"/>
      <c r="H4759" s="355"/>
      <c r="I4759" s="355"/>
      <c r="J4759" s="355"/>
      <c r="K4759" s="355"/>
      <c r="L4759" s="355"/>
      <c r="M4759" s="355"/>
    </row>
    <row r="4760" spans="5:13">
      <c r="E4760" s="355"/>
      <c r="F4760" s="355"/>
      <c r="G4760" s="355"/>
      <c r="H4760" s="355"/>
      <c r="I4760" s="355"/>
      <c r="J4760" s="355"/>
      <c r="K4760" s="355"/>
      <c r="L4760" s="355"/>
      <c r="M4760" s="355"/>
    </row>
    <row r="4761" spans="5:13">
      <c r="E4761" s="355"/>
      <c r="F4761" s="355"/>
      <c r="G4761" s="355"/>
      <c r="H4761" s="355"/>
      <c r="I4761" s="355"/>
      <c r="J4761" s="355"/>
      <c r="K4761" s="355"/>
      <c r="L4761" s="355"/>
      <c r="M4761" s="355"/>
    </row>
    <row r="4762" spans="5:13">
      <c r="E4762" s="355"/>
      <c r="F4762" s="355"/>
      <c r="G4762" s="355"/>
      <c r="H4762" s="355"/>
      <c r="I4762" s="355"/>
      <c r="J4762" s="355"/>
      <c r="K4762" s="355"/>
      <c r="L4762" s="355"/>
      <c r="M4762" s="355"/>
    </row>
    <row r="4763" spans="5:13">
      <c r="E4763" s="355"/>
      <c r="F4763" s="355"/>
      <c r="G4763" s="355"/>
      <c r="H4763" s="355"/>
      <c r="I4763" s="355"/>
      <c r="J4763" s="355"/>
      <c r="K4763" s="355"/>
      <c r="L4763" s="355"/>
      <c r="M4763" s="355"/>
    </row>
    <row r="4764" spans="5:13">
      <c r="E4764" s="355"/>
      <c r="F4764" s="355"/>
      <c r="G4764" s="355"/>
      <c r="H4764" s="355"/>
      <c r="I4764" s="355"/>
      <c r="J4764" s="355"/>
      <c r="K4764" s="355"/>
      <c r="L4764" s="355"/>
      <c r="M4764" s="355"/>
    </row>
    <row r="4765" spans="5:13">
      <c r="E4765" s="355"/>
      <c r="F4765" s="355"/>
      <c r="G4765" s="355"/>
      <c r="H4765" s="355"/>
      <c r="I4765" s="355"/>
      <c r="J4765" s="355"/>
      <c r="K4765" s="355"/>
      <c r="L4765" s="355"/>
      <c r="M4765" s="355"/>
    </row>
    <row r="4766" spans="5:13">
      <c r="E4766" s="355"/>
      <c r="F4766" s="355"/>
      <c r="G4766" s="355"/>
      <c r="H4766" s="355"/>
      <c r="I4766" s="355"/>
      <c r="J4766" s="355"/>
      <c r="K4766" s="355"/>
      <c r="L4766" s="355"/>
      <c r="M4766" s="355"/>
    </row>
    <row r="4767" spans="5:13">
      <c r="E4767" s="355"/>
      <c r="F4767" s="355"/>
      <c r="G4767" s="355"/>
      <c r="H4767" s="355"/>
      <c r="I4767" s="355"/>
      <c r="J4767" s="355"/>
      <c r="K4767" s="355"/>
      <c r="L4767" s="355"/>
      <c r="M4767" s="355"/>
    </row>
    <row r="4768" spans="5:13">
      <c r="E4768" s="355"/>
      <c r="F4768" s="355"/>
      <c r="G4768" s="355"/>
      <c r="H4768" s="355"/>
      <c r="I4768" s="355"/>
      <c r="J4768" s="355"/>
      <c r="K4768" s="355"/>
      <c r="L4768" s="355"/>
      <c r="M4768" s="355"/>
    </row>
    <row r="4769" spans="5:13">
      <c r="E4769" s="355"/>
      <c r="F4769" s="355"/>
      <c r="G4769" s="355"/>
      <c r="H4769" s="355"/>
      <c r="I4769" s="355"/>
      <c r="J4769" s="355"/>
      <c r="K4769" s="355"/>
      <c r="L4769" s="355"/>
      <c r="M4769" s="355"/>
    </row>
    <row r="4770" spans="5:13">
      <c r="E4770" s="355"/>
      <c r="F4770" s="355"/>
      <c r="G4770" s="355"/>
      <c r="H4770" s="355"/>
      <c r="I4770" s="355"/>
      <c r="J4770" s="355"/>
      <c r="K4770" s="355"/>
      <c r="L4770" s="355"/>
      <c r="M4770" s="355"/>
    </row>
    <row r="4771" spans="5:13">
      <c r="E4771" s="355"/>
      <c r="F4771" s="355"/>
      <c r="G4771" s="355"/>
      <c r="H4771" s="355"/>
      <c r="I4771" s="355"/>
      <c r="J4771" s="355"/>
      <c r="K4771" s="355"/>
      <c r="L4771" s="355"/>
      <c r="M4771" s="355"/>
    </row>
    <row r="4772" spans="5:13">
      <c r="E4772" s="355"/>
      <c r="F4772" s="355"/>
      <c r="G4772" s="355"/>
      <c r="H4772" s="355"/>
      <c r="I4772" s="355"/>
      <c r="J4772" s="355"/>
      <c r="K4772" s="355"/>
      <c r="L4772" s="355"/>
      <c r="M4772" s="355"/>
    </row>
    <row r="4773" spans="5:13">
      <c r="E4773" s="355"/>
      <c r="F4773" s="355"/>
      <c r="G4773" s="355"/>
      <c r="H4773" s="355"/>
      <c r="I4773" s="355"/>
      <c r="J4773" s="355"/>
      <c r="K4773" s="355"/>
      <c r="L4773" s="355"/>
      <c r="M4773" s="355"/>
    </row>
    <row r="4774" spans="5:13">
      <c r="E4774" s="355"/>
      <c r="F4774" s="355"/>
      <c r="G4774" s="355"/>
      <c r="H4774" s="355"/>
      <c r="I4774" s="355"/>
      <c r="J4774" s="355"/>
      <c r="K4774" s="355"/>
      <c r="L4774" s="355"/>
      <c r="M4774" s="355"/>
    </row>
    <row r="4775" spans="5:13">
      <c r="E4775" s="355"/>
      <c r="F4775" s="355"/>
      <c r="G4775" s="355"/>
      <c r="H4775" s="355"/>
      <c r="I4775" s="355"/>
      <c r="J4775" s="355"/>
      <c r="K4775" s="355"/>
      <c r="L4775" s="355"/>
      <c r="M4775" s="355"/>
    </row>
    <row r="4776" spans="5:13">
      <c r="E4776" s="355"/>
      <c r="F4776" s="355"/>
      <c r="G4776" s="355"/>
      <c r="H4776" s="355"/>
      <c r="I4776" s="355"/>
      <c r="J4776" s="355"/>
      <c r="K4776" s="355"/>
      <c r="L4776" s="355"/>
      <c r="M4776" s="355"/>
    </row>
    <row r="4777" spans="5:13">
      <c r="E4777" s="355"/>
      <c r="F4777" s="355"/>
      <c r="G4777" s="355"/>
      <c r="H4777" s="355"/>
      <c r="I4777" s="355"/>
      <c r="J4777" s="355"/>
      <c r="K4777" s="355"/>
      <c r="L4777" s="355"/>
      <c r="M4777" s="355"/>
    </row>
    <row r="4778" spans="5:13">
      <c r="E4778" s="355"/>
      <c r="F4778" s="355"/>
      <c r="G4778" s="355"/>
      <c r="H4778" s="355"/>
      <c r="I4778" s="355"/>
      <c r="J4778" s="355"/>
      <c r="K4778" s="355"/>
      <c r="L4778" s="355"/>
      <c r="M4778" s="355"/>
    </row>
    <row r="4779" spans="5:13">
      <c r="E4779" s="355"/>
      <c r="F4779" s="355"/>
      <c r="G4779" s="355"/>
      <c r="H4779" s="355"/>
      <c r="I4779" s="355"/>
      <c r="J4779" s="355"/>
      <c r="K4779" s="355"/>
      <c r="L4779" s="355"/>
      <c r="M4779" s="355"/>
    </row>
    <row r="4780" spans="5:13">
      <c r="E4780" s="355"/>
      <c r="F4780" s="355"/>
      <c r="G4780" s="355"/>
      <c r="H4780" s="355"/>
      <c r="I4780" s="355"/>
      <c r="J4780" s="355"/>
      <c r="K4780" s="355"/>
      <c r="L4780" s="355"/>
      <c r="M4780" s="355"/>
    </row>
    <row r="4781" spans="5:13">
      <c r="E4781" s="355"/>
      <c r="F4781" s="355"/>
      <c r="G4781" s="355"/>
      <c r="H4781" s="355"/>
      <c r="I4781" s="355"/>
      <c r="J4781" s="355"/>
      <c r="K4781" s="355"/>
      <c r="L4781" s="355"/>
      <c r="M4781" s="355"/>
    </row>
    <row r="4782" spans="5:13">
      <c r="E4782" s="355"/>
      <c r="F4782" s="355"/>
      <c r="G4782" s="355"/>
      <c r="H4782" s="355"/>
      <c r="I4782" s="355"/>
      <c r="J4782" s="355"/>
      <c r="K4782" s="355"/>
      <c r="L4782" s="355"/>
      <c r="M4782" s="355"/>
    </row>
    <row r="4783" spans="5:13">
      <c r="E4783" s="355"/>
      <c r="F4783" s="355"/>
      <c r="G4783" s="355"/>
      <c r="H4783" s="355"/>
      <c r="I4783" s="355"/>
      <c r="J4783" s="355"/>
      <c r="K4783" s="355"/>
      <c r="L4783" s="355"/>
      <c r="M4783" s="355"/>
    </row>
    <row r="4784" spans="5:13">
      <c r="E4784" s="355"/>
      <c r="F4784" s="355"/>
      <c r="G4784" s="355"/>
      <c r="H4784" s="355"/>
      <c r="I4784" s="355"/>
      <c r="J4784" s="355"/>
      <c r="K4784" s="355"/>
      <c r="L4784" s="355"/>
      <c r="M4784" s="355"/>
    </row>
    <row r="4785" spans="5:13">
      <c r="E4785" s="355"/>
      <c r="F4785" s="355"/>
      <c r="G4785" s="355"/>
      <c r="H4785" s="355"/>
      <c r="I4785" s="355"/>
      <c r="J4785" s="355"/>
      <c r="K4785" s="355"/>
      <c r="L4785" s="355"/>
      <c r="M4785" s="355"/>
    </row>
    <row r="4786" spans="5:13">
      <c r="E4786" s="355"/>
      <c r="F4786" s="355"/>
      <c r="G4786" s="355"/>
      <c r="H4786" s="355"/>
      <c r="I4786" s="355"/>
      <c r="J4786" s="355"/>
      <c r="K4786" s="355"/>
      <c r="L4786" s="355"/>
      <c r="M4786" s="355"/>
    </row>
    <row r="4787" spans="5:13">
      <c r="E4787" s="355"/>
      <c r="F4787" s="355"/>
      <c r="G4787" s="355"/>
      <c r="H4787" s="355"/>
      <c r="I4787" s="355"/>
      <c r="J4787" s="355"/>
      <c r="K4787" s="355"/>
      <c r="L4787" s="355"/>
      <c r="M4787" s="355"/>
    </row>
    <row r="4788" spans="5:13">
      <c r="E4788" s="355"/>
      <c r="F4788" s="355"/>
      <c r="G4788" s="355"/>
      <c r="H4788" s="355"/>
      <c r="I4788" s="355"/>
      <c r="J4788" s="355"/>
      <c r="K4788" s="355"/>
      <c r="L4788" s="355"/>
      <c r="M4788" s="355"/>
    </row>
    <row r="4789" spans="5:13">
      <c r="E4789" s="355"/>
      <c r="F4789" s="355"/>
      <c r="G4789" s="355"/>
      <c r="H4789" s="355"/>
      <c r="I4789" s="355"/>
      <c r="J4789" s="355"/>
      <c r="K4789" s="355"/>
      <c r="L4789" s="355"/>
      <c r="M4789" s="355"/>
    </row>
    <row r="4790" spans="5:13">
      <c r="E4790" s="355"/>
      <c r="F4790" s="355"/>
      <c r="G4790" s="355"/>
      <c r="H4790" s="355"/>
      <c r="I4790" s="355"/>
      <c r="J4790" s="355"/>
      <c r="K4790" s="355"/>
      <c r="L4790" s="355"/>
      <c r="M4790" s="355"/>
    </row>
    <row r="4791" spans="5:13">
      <c r="E4791" s="355"/>
      <c r="F4791" s="355"/>
      <c r="G4791" s="355"/>
      <c r="H4791" s="355"/>
      <c r="I4791" s="355"/>
      <c r="J4791" s="355"/>
      <c r="K4791" s="355"/>
      <c r="L4791" s="355"/>
      <c r="M4791" s="355"/>
    </row>
    <row r="4792" spans="5:13">
      <c r="E4792" s="355"/>
      <c r="F4792" s="355"/>
      <c r="G4792" s="355"/>
      <c r="H4792" s="355"/>
      <c r="I4792" s="355"/>
      <c r="J4792" s="355"/>
      <c r="K4792" s="355"/>
      <c r="L4792" s="355"/>
      <c r="M4792" s="355"/>
    </row>
    <row r="4793" spans="5:13">
      <c r="E4793" s="355"/>
      <c r="F4793" s="355"/>
      <c r="G4793" s="355"/>
      <c r="H4793" s="355"/>
      <c r="I4793" s="355"/>
      <c r="J4793" s="355"/>
      <c r="K4793" s="355"/>
      <c r="L4793" s="355"/>
      <c r="M4793" s="355"/>
    </row>
    <row r="4794" spans="5:13">
      <c r="E4794" s="355"/>
      <c r="F4794" s="355"/>
      <c r="G4794" s="355"/>
      <c r="H4794" s="355"/>
      <c r="I4794" s="355"/>
      <c r="J4794" s="355"/>
      <c r="K4794" s="355"/>
      <c r="L4794" s="355"/>
      <c r="M4794" s="355"/>
    </row>
    <row r="4795" spans="5:13">
      <c r="E4795" s="355"/>
      <c r="F4795" s="355"/>
      <c r="G4795" s="355"/>
      <c r="H4795" s="355"/>
      <c r="I4795" s="355"/>
      <c r="J4795" s="355"/>
      <c r="K4795" s="355"/>
      <c r="L4795" s="355"/>
      <c r="M4795" s="355"/>
    </row>
    <row r="4796" spans="5:13">
      <c r="E4796" s="355"/>
      <c r="F4796" s="355"/>
      <c r="G4796" s="355"/>
      <c r="H4796" s="355"/>
      <c r="I4796" s="355"/>
      <c r="J4796" s="355"/>
      <c r="K4796" s="355"/>
      <c r="L4796" s="355"/>
      <c r="M4796" s="355"/>
    </row>
    <row r="4797" spans="5:13">
      <c r="E4797" s="355"/>
      <c r="F4797" s="355"/>
      <c r="G4797" s="355"/>
      <c r="H4797" s="355"/>
      <c r="I4797" s="355"/>
      <c r="J4797" s="355"/>
      <c r="K4797" s="355"/>
      <c r="L4797" s="355"/>
      <c r="M4797" s="355"/>
    </row>
    <row r="4798" spans="5:13">
      <c r="E4798" s="355"/>
      <c r="F4798" s="355"/>
      <c r="G4798" s="355"/>
      <c r="H4798" s="355"/>
      <c r="I4798" s="355"/>
      <c r="J4798" s="355"/>
      <c r="K4798" s="355"/>
      <c r="L4798" s="355"/>
      <c r="M4798" s="355"/>
    </row>
    <row r="4799" spans="5:13">
      <c r="E4799" s="355"/>
      <c r="F4799" s="355"/>
      <c r="G4799" s="355"/>
      <c r="H4799" s="355"/>
      <c r="I4799" s="355"/>
      <c r="J4799" s="355"/>
      <c r="K4799" s="355"/>
      <c r="L4799" s="355"/>
      <c r="M4799" s="355"/>
    </row>
    <row r="4800" spans="5:13">
      <c r="E4800" s="355"/>
      <c r="F4800" s="355"/>
      <c r="G4800" s="355"/>
      <c r="H4800" s="355"/>
      <c r="I4800" s="355"/>
      <c r="J4800" s="355"/>
      <c r="K4800" s="355"/>
      <c r="L4800" s="355"/>
      <c r="M4800" s="355"/>
    </row>
    <row r="4801" spans="5:13">
      <c r="E4801" s="355"/>
      <c r="F4801" s="355"/>
      <c r="G4801" s="355"/>
      <c r="H4801" s="355"/>
      <c r="I4801" s="355"/>
      <c r="J4801" s="355"/>
      <c r="K4801" s="355"/>
      <c r="L4801" s="355"/>
      <c r="M4801" s="355"/>
    </row>
    <row r="4802" spans="5:13">
      <c r="E4802" s="355"/>
      <c r="F4802" s="355"/>
      <c r="G4802" s="355"/>
      <c r="H4802" s="355"/>
      <c r="I4802" s="355"/>
      <c r="J4802" s="355"/>
      <c r="K4802" s="355"/>
      <c r="L4802" s="355"/>
      <c r="M4802" s="355"/>
    </row>
    <row r="4803" spans="5:13">
      <c r="E4803" s="355"/>
      <c r="F4803" s="355"/>
      <c r="G4803" s="355"/>
      <c r="H4803" s="355"/>
      <c r="I4803" s="355"/>
      <c r="J4803" s="355"/>
      <c r="K4803" s="355"/>
      <c r="L4803" s="355"/>
      <c r="M4803" s="355"/>
    </row>
    <row r="4804" spans="5:13">
      <c r="E4804" s="355"/>
      <c r="F4804" s="355"/>
      <c r="G4804" s="355"/>
      <c r="H4804" s="355"/>
      <c r="I4804" s="355"/>
      <c r="J4804" s="355"/>
      <c r="K4804" s="355"/>
      <c r="L4804" s="355"/>
      <c r="M4804" s="355"/>
    </row>
    <row r="4805" spans="5:13">
      <c r="E4805" s="355"/>
      <c r="F4805" s="355"/>
      <c r="G4805" s="355"/>
      <c r="H4805" s="355"/>
      <c r="I4805" s="355"/>
      <c r="J4805" s="355"/>
      <c r="K4805" s="355"/>
      <c r="L4805" s="355"/>
      <c r="M4805" s="355"/>
    </row>
    <row r="4806" spans="5:13">
      <c r="E4806" s="355"/>
      <c r="F4806" s="355"/>
      <c r="G4806" s="355"/>
      <c r="H4806" s="355"/>
      <c r="I4806" s="355"/>
      <c r="J4806" s="355"/>
      <c r="K4806" s="355"/>
      <c r="L4806" s="355"/>
      <c r="M4806" s="355"/>
    </row>
    <row r="4807" spans="5:13">
      <c r="E4807" s="355"/>
      <c r="F4807" s="355"/>
      <c r="G4807" s="355"/>
      <c r="H4807" s="355"/>
      <c r="I4807" s="355"/>
      <c r="J4807" s="355"/>
      <c r="K4807" s="355"/>
      <c r="L4807" s="355"/>
      <c r="M4807" s="355"/>
    </row>
    <row r="4808" spans="5:13">
      <c r="E4808" s="355"/>
      <c r="F4808" s="355"/>
      <c r="G4808" s="355"/>
      <c r="H4808" s="355"/>
      <c r="I4808" s="355"/>
      <c r="J4808" s="355"/>
      <c r="K4808" s="355"/>
      <c r="L4808" s="355"/>
      <c r="M4808" s="355"/>
    </row>
    <row r="4809" spans="5:13">
      <c r="E4809" s="355"/>
      <c r="F4809" s="355"/>
      <c r="G4809" s="355"/>
      <c r="H4809" s="355"/>
      <c r="I4809" s="355"/>
      <c r="J4809" s="355"/>
      <c r="K4809" s="355"/>
      <c r="L4809" s="355"/>
      <c r="M4809" s="355"/>
    </row>
    <row r="4810" spans="5:13">
      <c r="E4810" s="355"/>
      <c r="F4810" s="355"/>
      <c r="G4810" s="355"/>
      <c r="H4810" s="355"/>
      <c r="I4810" s="355"/>
      <c r="J4810" s="355"/>
      <c r="K4810" s="355"/>
      <c r="L4810" s="355"/>
      <c r="M4810" s="355"/>
    </row>
    <row r="4811" spans="5:13">
      <c r="E4811" s="355"/>
      <c r="F4811" s="355"/>
      <c r="G4811" s="355"/>
      <c r="H4811" s="355"/>
      <c r="I4811" s="355"/>
      <c r="J4811" s="355"/>
      <c r="K4811" s="355"/>
      <c r="L4811" s="355"/>
      <c r="M4811" s="355"/>
    </row>
    <row r="4812" spans="5:13">
      <c r="E4812" s="355"/>
      <c r="F4812" s="355"/>
      <c r="G4812" s="355"/>
      <c r="H4812" s="355"/>
      <c r="I4812" s="355"/>
      <c r="J4812" s="355"/>
      <c r="K4812" s="355"/>
      <c r="L4812" s="355"/>
      <c r="M4812" s="355"/>
    </row>
    <row r="4813" spans="5:13">
      <c r="E4813" s="355"/>
      <c r="F4813" s="355"/>
      <c r="G4813" s="355"/>
      <c r="H4813" s="355"/>
      <c r="I4813" s="355"/>
      <c r="J4813" s="355"/>
      <c r="K4813" s="355"/>
      <c r="L4813" s="355"/>
      <c r="M4813" s="355"/>
    </row>
    <row r="4814" spans="5:13">
      <c r="E4814" s="355"/>
      <c r="F4814" s="355"/>
      <c r="G4814" s="355"/>
      <c r="H4814" s="355"/>
      <c r="I4814" s="355"/>
      <c r="J4814" s="355"/>
      <c r="K4814" s="355"/>
      <c r="L4814" s="355"/>
      <c r="M4814" s="355"/>
    </row>
    <row r="4815" spans="5:13">
      <c r="E4815" s="355"/>
      <c r="F4815" s="355"/>
      <c r="G4815" s="355"/>
      <c r="H4815" s="355"/>
      <c r="I4815" s="355"/>
      <c r="J4815" s="355"/>
      <c r="K4815" s="355"/>
      <c r="L4815" s="355"/>
      <c r="M4815" s="355"/>
    </row>
    <row r="4816" spans="5:13">
      <c r="E4816" s="355"/>
      <c r="F4816" s="355"/>
      <c r="G4816" s="355"/>
      <c r="H4816" s="355"/>
      <c r="I4816" s="355"/>
      <c r="J4816" s="355"/>
      <c r="K4816" s="355"/>
      <c r="L4816" s="355"/>
      <c r="M4816" s="355"/>
    </row>
    <row r="4817" spans="5:13">
      <c r="E4817" s="355"/>
      <c r="F4817" s="355"/>
      <c r="G4817" s="355"/>
      <c r="H4817" s="355"/>
      <c r="I4817" s="355"/>
      <c r="J4817" s="355"/>
      <c r="K4817" s="355"/>
      <c r="L4817" s="355"/>
      <c r="M4817" s="355"/>
    </row>
    <row r="4818" spans="5:13">
      <c r="E4818" s="355"/>
      <c r="F4818" s="355"/>
      <c r="G4818" s="355"/>
      <c r="H4818" s="355"/>
      <c r="I4818" s="355"/>
      <c r="J4818" s="355"/>
      <c r="K4818" s="355"/>
      <c r="L4818" s="355"/>
      <c r="M4818" s="355"/>
    </row>
    <row r="4819" spans="5:13">
      <c r="E4819" s="355"/>
      <c r="F4819" s="355"/>
      <c r="G4819" s="355"/>
      <c r="H4819" s="355"/>
      <c r="I4819" s="355"/>
      <c r="J4819" s="355"/>
      <c r="K4819" s="355"/>
      <c r="L4819" s="355"/>
      <c r="M4819" s="355"/>
    </row>
    <row r="4820" spans="5:13">
      <c r="E4820" s="355"/>
      <c r="F4820" s="355"/>
      <c r="G4820" s="355"/>
      <c r="H4820" s="355"/>
      <c r="I4820" s="355"/>
      <c r="J4820" s="355"/>
      <c r="K4820" s="355"/>
      <c r="L4820" s="355"/>
      <c r="M4820" s="355"/>
    </row>
    <row r="4821" spans="5:13">
      <c r="E4821" s="355"/>
      <c r="F4821" s="355"/>
      <c r="G4821" s="355"/>
      <c r="H4821" s="355"/>
      <c r="I4821" s="355"/>
      <c r="J4821" s="355"/>
      <c r="K4821" s="355"/>
      <c r="L4821" s="355"/>
      <c r="M4821" s="355"/>
    </row>
    <row r="4822" spans="5:13">
      <c r="E4822" s="355"/>
      <c r="F4822" s="355"/>
      <c r="G4822" s="355"/>
      <c r="H4822" s="355"/>
      <c r="I4822" s="355"/>
      <c r="J4822" s="355"/>
      <c r="K4822" s="355"/>
      <c r="L4822" s="355"/>
      <c r="M4822" s="355"/>
    </row>
    <row r="4823" spans="5:13">
      <c r="E4823" s="355"/>
      <c r="F4823" s="355"/>
      <c r="G4823" s="355"/>
      <c r="H4823" s="355"/>
      <c r="I4823" s="355"/>
      <c r="J4823" s="355"/>
      <c r="K4823" s="355"/>
      <c r="L4823" s="355"/>
      <c r="M4823" s="355"/>
    </row>
    <row r="4824" spans="5:13">
      <c r="E4824" s="355"/>
      <c r="F4824" s="355"/>
      <c r="G4824" s="355"/>
      <c r="H4824" s="355"/>
      <c r="I4824" s="355"/>
      <c r="J4824" s="355"/>
      <c r="K4824" s="355"/>
      <c r="L4824" s="355"/>
      <c r="M4824" s="355"/>
    </row>
    <row r="4825" spans="5:13">
      <c r="E4825" s="355"/>
      <c r="F4825" s="355"/>
      <c r="G4825" s="355"/>
      <c r="H4825" s="355"/>
      <c r="I4825" s="355"/>
      <c r="J4825" s="355"/>
      <c r="K4825" s="355"/>
      <c r="L4825" s="355"/>
      <c r="M4825" s="355"/>
    </row>
    <row r="4826" spans="5:13">
      <c r="E4826" s="355"/>
      <c r="F4826" s="355"/>
      <c r="G4826" s="355"/>
      <c r="H4826" s="355"/>
      <c r="I4826" s="355"/>
      <c r="J4826" s="355"/>
      <c r="K4826" s="355"/>
      <c r="L4826" s="355"/>
      <c r="M4826" s="355"/>
    </row>
    <row r="4827" spans="5:13">
      <c r="E4827" s="355"/>
      <c r="F4827" s="355"/>
      <c r="G4827" s="355"/>
      <c r="H4827" s="355"/>
      <c r="I4827" s="355"/>
      <c r="J4827" s="355"/>
      <c r="K4827" s="355"/>
      <c r="L4827" s="355"/>
      <c r="M4827" s="355"/>
    </row>
    <row r="4828" spans="5:13">
      <c r="E4828" s="355"/>
      <c r="F4828" s="355"/>
      <c r="G4828" s="355"/>
      <c r="H4828" s="355"/>
      <c r="I4828" s="355"/>
      <c r="J4828" s="355"/>
      <c r="K4828" s="355"/>
      <c r="L4828" s="355"/>
      <c r="M4828" s="355"/>
    </row>
    <row r="4829" spans="5:13">
      <c r="E4829" s="355"/>
      <c r="F4829" s="355"/>
      <c r="G4829" s="355"/>
      <c r="H4829" s="355"/>
      <c r="I4829" s="355"/>
      <c r="J4829" s="355"/>
      <c r="K4829" s="355"/>
      <c r="L4829" s="355"/>
      <c r="M4829" s="355"/>
    </row>
    <row r="4830" spans="5:13">
      <c r="E4830" s="355"/>
      <c r="F4830" s="355"/>
      <c r="G4830" s="355"/>
      <c r="H4830" s="355"/>
      <c r="I4830" s="355"/>
      <c r="J4830" s="355"/>
      <c r="K4830" s="355"/>
      <c r="L4830" s="355"/>
      <c r="M4830" s="355"/>
    </row>
    <row r="4831" spans="5:13">
      <c r="E4831" s="355"/>
      <c r="F4831" s="355"/>
      <c r="G4831" s="355"/>
      <c r="H4831" s="355"/>
      <c r="I4831" s="355"/>
      <c r="J4831" s="355"/>
      <c r="K4831" s="355"/>
      <c r="L4831" s="355"/>
      <c r="M4831" s="355"/>
    </row>
    <row r="4832" spans="5:13">
      <c r="E4832" s="355"/>
      <c r="F4832" s="355"/>
      <c r="G4832" s="355"/>
      <c r="H4832" s="355"/>
      <c r="I4832" s="355"/>
      <c r="J4832" s="355"/>
      <c r="K4832" s="355"/>
      <c r="L4832" s="355"/>
      <c r="M4832" s="355"/>
    </row>
    <row r="4833" spans="5:13">
      <c r="E4833" s="355"/>
      <c r="F4833" s="355"/>
      <c r="G4833" s="355"/>
      <c r="H4833" s="355"/>
      <c r="I4833" s="355"/>
      <c r="J4833" s="355"/>
      <c r="K4833" s="355"/>
      <c r="L4833" s="355"/>
      <c r="M4833" s="355"/>
    </row>
    <row r="4834" spans="5:13">
      <c r="E4834" s="355"/>
      <c r="F4834" s="355"/>
      <c r="G4834" s="355"/>
      <c r="H4834" s="355"/>
      <c r="I4834" s="355"/>
      <c r="J4834" s="355"/>
      <c r="K4834" s="355"/>
      <c r="L4834" s="355"/>
      <c r="M4834" s="355"/>
    </row>
    <row r="4835" spans="5:13">
      <c r="E4835" s="355"/>
      <c r="F4835" s="355"/>
      <c r="G4835" s="355"/>
      <c r="H4835" s="355"/>
      <c r="I4835" s="355"/>
      <c r="J4835" s="355"/>
      <c r="K4835" s="355"/>
      <c r="L4835" s="355"/>
      <c r="M4835" s="355"/>
    </row>
    <row r="4836" spans="5:13">
      <c r="E4836" s="355"/>
      <c r="F4836" s="355"/>
      <c r="G4836" s="355"/>
      <c r="H4836" s="355"/>
      <c r="I4836" s="355"/>
      <c r="J4836" s="355"/>
      <c r="K4836" s="355"/>
      <c r="L4836" s="355"/>
      <c r="M4836" s="355"/>
    </row>
    <row r="4837" spans="5:13">
      <c r="E4837" s="355"/>
      <c r="F4837" s="355"/>
      <c r="G4837" s="355"/>
      <c r="H4837" s="355"/>
      <c r="I4837" s="355"/>
      <c r="J4837" s="355"/>
      <c r="K4837" s="355"/>
      <c r="L4837" s="355"/>
      <c r="M4837" s="355"/>
    </row>
    <row r="4838" spans="5:13">
      <c r="E4838" s="355"/>
      <c r="F4838" s="355"/>
      <c r="G4838" s="355"/>
      <c r="H4838" s="355"/>
      <c r="I4838" s="355"/>
      <c r="J4838" s="355"/>
      <c r="K4838" s="355"/>
      <c r="L4838" s="355"/>
      <c r="M4838" s="355"/>
    </row>
    <row r="4839" spans="5:13">
      <c r="E4839" s="355"/>
      <c r="F4839" s="355"/>
      <c r="G4839" s="355"/>
      <c r="H4839" s="355"/>
      <c r="I4839" s="355"/>
      <c r="J4839" s="355"/>
      <c r="K4839" s="355"/>
      <c r="L4839" s="355"/>
      <c r="M4839" s="355"/>
    </row>
    <row r="4840" spans="5:13">
      <c r="E4840" s="355"/>
      <c r="F4840" s="355"/>
      <c r="G4840" s="355"/>
      <c r="H4840" s="355"/>
      <c r="I4840" s="355"/>
      <c r="J4840" s="355"/>
      <c r="K4840" s="355"/>
      <c r="L4840" s="355"/>
      <c r="M4840" s="355"/>
    </row>
    <row r="4841" spans="5:13">
      <c r="E4841" s="355"/>
      <c r="F4841" s="355"/>
      <c r="G4841" s="355"/>
      <c r="H4841" s="355"/>
      <c r="I4841" s="355"/>
      <c r="J4841" s="355"/>
      <c r="K4841" s="355"/>
      <c r="L4841" s="355"/>
      <c r="M4841" s="355"/>
    </row>
    <row r="4842" spans="5:13">
      <c r="E4842" s="355"/>
      <c r="F4842" s="355"/>
      <c r="G4842" s="355"/>
      <c r="H4842" s="355"/>
      <c r="I4842" s="355"/>
      <c r="J4842" s="355"/>
      <c r="K4842" s="355"/>
      <c r="L4842" s="355"/>
      <c r="M4842" s="355"/>
    </row>
    <row r="4843" spans="5:13">
      <c r="E4843" s="355"/>
      <c r="F4843" s="355"/>
      <c r="G4843" s="355"/>
      <c r="H4843" s="355"/>
      <c r="I4843" s="355"/>
      <c r="J4843" s="355"/>
      <c r="K4843" s="355"/>
      <c r="L4843" s="355"/>
      <c r="M4843" s="355"/>
    </row>
    <row r="4844" spans="5:13">
      <c r="E4844" s="355"/>
      <c r="F4844" s="355"/>
      <c r="G4844" s="355"/>
      <c r="H4844" s="355"/>
      <c r="I4844" s="355"/>
      <c r="J4844" s="355"/>
      <c r="K4844" s="355"/>
      <c r="L4844" s="355"/>
      <c r="M4844" s="355"/>
    </row>
    <row r="4845" spans="5:13">
      <c r="E4845" s="355"/>
      <c r="F4845" s="355"/>
      <c r="G4845" s="355"/>
      <c r="H4845" s="355"/>
      <c r="I4845" s="355"/>
      <c r="J4845" s="355"/>
      <c r="K4845" s="355"/>
      <c r="L4845" s="355"/>
      <c r="M4845" s="355"/>
    </row>
    <row r="4846" spans="5:13">
      <c r="E4846" s="355"/>
      <c r="F4846" s="355"/>
      <c r="G4846" s="355"/>
      <c r="H4846" s="355"/>
      <c r="I4846" s="355"/>
      <c r="J4846" s="355"/>
      <c r="K4846" s="355"/>
      <c r="L4846" s="355"/>
      <c r="M4846" s="355"/>
    </row>
    <row r="4847" spans="5:13">
      <c r="E4847" s="355"/>
      <c r="F4847" s="355"/>
      <c r="G4847" s="355"/>
      <c r="H4847" s="355"/>
      <c r="I4847" s="355"/>
      <c r="J4847" s="355"/>
      <c r="K4847" s="355"/>
      <c r="L4847" s="355"/>
      <c r="M4847" s="355"/>
    </row>
    <row r="4848" spans="5:13">
      <c r="E4848" s="355"/>
      <c r="F4848" s="355"/>
      <c r="G4848" s="355"/>
      <c r="H4848" s="355"/>
      <c r="I4848" s="355"/>
      <c r="J4848" s="355"/>
      <c r="K4848" s="355"/>
      <c r="L4848" s="355"/>
      <c r="M4848" s="355"/>
    </row>
    <row r="4849" spans="5:13">
      <c r="E4849" s="355"/>
      <c r="F4849" s="355"/>
      <c r="G4849" s="355"/>
      <c r="H4849" s="355"/>
      <c r="I4849" s="355"/>
      <c r="J4849" s="355"/>
      <c r="K4849" s="355"/>
      <c r="L4849" s="355"/>
      <c r="M4849" s="355"/>
    </row>
    <row r="4850" spans="5:13">
      <c r="E4850" s="355"/>
      <c r="F4850" s="355"/>
      <c r="G4850" s="355"/>
      <c r="H4850" s="355"/>
      <c r="I4850" s="355"/>
      <c r="J4850" s="355"/>
      <c r="K4850" s="355"/>
      <c r="L4850" s="355"/>
      <c r="M4850" s="355"/>
    </row>
    <row r="4851" spans="5:13">
      <c r="E4851" s="355"/>
      <c r="F4851" s="355"/>
      <c r="G4851" s="355"/>
      <c r="H4851" s="355"/>
      <c r="I4851" s="355"/>
      <c r="J4851" s="355"/>
      <c r="K4851" s="355"/>
      <c r="L4851" s="355"/>
      <c r="M4851" s="355"/>
    </row>
    <row r="4852" spans="5:13">
      <c r="E4852" s="355"/>
      <c r="F4852" s="355"/>
      <c r="G4852" s="355"/>
      <c r="H4852" s="355"/>
      <c r="I4852" s="355"/>
      <c r="J4852" s="355"/>
      <c r="K4852" s="355"/>
      <c r="L4852" s="355"/>
      <c r="M4852" s="355"/>
    </row>
    <row r="4853" spans="5:13">
      <c r="E4853" s="355"/>
      <c r="F4853" s="355"/>
      <c r="G4853" s="355"/>
      <c r="H4853" s="355"/>
      <c r="I4853" s="355"/>
      <c r="J4853" s="355"/>
      <c r="K4853" s="355"/>
      <c r="L4853" s="355"/>
      <c r="M4853" s="355"/>
    </row>
    <row r="4854" spans="5:13">
      <c r="E4854" s="355"/>
      <c r="F4854" s="355"/>
      <c r="G4854" s="355"/>
      <c r="H4854" s="355"/>
      <c r="I4854" s="355"/>
      <c r="J4854" s="355"/>
      <c r="K4854" s="355"/>
      <c r="L4854" s="355"/>
      <c r="M4854" s="355"/>
    </row>
    <row r="4855" spans="5:13">
      <c r="E4855" s="355"/>
      <c r="F4855" s="355"/>
      <c r="G4855" s="355"/>
      <c r="H4855" s="355"/>
      <c r="I4855" s="355"/>
      <c r="J4855" s="355"/>
      <c r="K4855" s="355"/>
      <c r="L4855" s="355"/>
      <c r="M4855" s="355"/>
    </row>
    <row r="4856" spans="5:13">
      <c r="E4856" s="355"/>
      <c r="F4856" s="355"/>
      <c r="G4856" s="355"/>
      <c r="H4856" s="355"/>
      <c r="I4856" s="355"/>
      <c r="J4856" s="355"/>
      <c r="K4856" s="355"/>
      <c r="L4856" s="355"/>
      <c r="M4856" s="355"/>
    </row>
    <row r="4857" spans="5:13">
      <c r="E4857" s="355"/>
      <c r="F4857" s="355"/>
      <c r="G4857" s="355"/>
      <c r="H4857" s="355"/>
      <c r="I4857" s="355"/>
      <c r="J4857" s="355"/>
      <c r="K4857" s="355"/>
      <c r="L4857" s="355"/>
      <c r="M4857" s="355"/>
    </row>
    <row r="4858" spans="5:13">
      <c r="E4858" s="355"/>
      <c r="F4858" s="355"/>
      <c r="G4858" s="355"/>
      <c r="H4858" s="355"/>
      <c r="I4858" s="355"/>
      <c r="J4858" s="355"/>
      <c r="K4858" s="355"/>
      <c r="L4858" s="355"/>
      <c r="M4858" s="355"/>
    </row>
    <row r="4859" spans="5:13">
      <c r="E4859" s="355"/>
      <c r="F4859" s="355"/>
      <c r="G4859" s="355"/>
      <c r="H4859" s="355"/>
      <c r="I4859" s="355"/>
      <c r="J4859" s="355"/>
      <c r="K4859" s="355"/>
      <c r="L4859" s="355"/>
      <c r="M4859" s="355"/>
    </row>
    <row r="4860" spans="5:13">
      <c r="E4860" s="355"/>
      <c r="F4860" s="355"/>
      <c r="G4860" s="355"/>
      <c r="H4860" s="355"/>
      <c r="I4860" s="355"/>
      <c r="J4860" s="355"/>
      <c r="K4860" s="355"/>
      <c r="L4860" s="355"/>
      <c r="M4860" s="355"/>
    </row>
    <row r="4861" spans="5:13">
      <c r="E4861" s="355"/>
      <c r="F4861" s="355"/>
      <c r="G4861" s="355"/>
      <c r="H4861" s="355"/>
      <c r="I4861" s="355"/>
      <c r="J4861" s="355"/>
      <c r="K4861" s="355"/>
      <c r="L4861" s="355"/>
      <c r="M4861" s="355"/>
    </row>
    <row r="4862" spans="5:13">
      <c r="E4862" s="355"/>
      <c r="F4862" s="355"/>
      <c r="G4862" s="355"/>
      <c r="H4862" s="355"/>
      <c r="I4862" s="355"/>
      <c r="J4862" s="355"/>
      <c r="K4862" s="355"/>
      <c r="L4862" s="355"/>
      <c r="M4862" s="355"/>
    </row>
    <row r="4863" spans="5:13">
      <c r="E4863" s="355"/>
      <c r="F4863" s="355"/>
      <c r="G4863" s="355"/>
      <c r="H4863" s="355"/>
      <c r="I4863" s="355"/>
      <c r="J4863" s="355"/>
      <c r="K4863" s="355"/>
      <c r="L4863" s="355"/>
      <c r="M4863" s="355"/>
    </row>
    <row r="4864" spans="5:13">
      <c r="E4864" s="355"/>
      <c r="F4864" s="355"/>
      <c r="G4864" s="355"/>
      <c r="H4864" s="355"/>
      <c r="I4864" s="355"/>
      <c r="J4864" s="355"/>
      <c r="K4864" s="355"/>
      <c r="L4864" s="355"/>
      <c r="M4864" s="355"/>
    </row>
    <row r="4865" spans="5:13">
      <c r="E4865" s="355"/>
      <c r="F4865" s="355"/>
      <c r="G4865" s="355"/>
      <c r="H4865" s="355"/>
      <c r="I4865" s="355"/>
      <c r="J4865" s="355"/>
      <c r="K4865" s="355"/>
      <c r="L4865" s="355"/>
      <c r="M4865" s="355"/>
    </row>
    <row r="4866" spans="5:13">
      <c r="E4866" s="355"/>
      <c r="F4866" s="355"/>
      <c r="G4866" s="355"/>
      <c r="H4866" s="355"/>
      <c r="I4866" s="355"/>
      <c r="J4866" s="355"/>
      <c r="K4866" s="355"/>
      <c r="L4866" s="355"/>
      <c r="M4866" s="355"/>
    </row>
    <row r="4867" spans="5:13">
      <c r="E4867" s="355"/>
      <c r="F4867" s="355"/>
      <c r="G4867" s="355"/>
      <c r="H4867" s="355"/>
      <c r="I4867" s="355"/>
      <c r="J4867" s="355"/>
      <c r="K4867" s="355"/>
      <c r="L4867" s="355"/>
      <c r="M4867" s="355"/>
    </row>
    <row r="4868" spans="5:13">
      <c r="E4868" s="355"/>
      <c r="F4868" s="355"/>
      <c r="G4868" s="355"/>
      <c r="H4868" s="355"/>
      <c r="I4868" s="355"/>
      <c r="J4868" s="355"/>
      <c r="K4868" s="355"/>
      <c r="L4868" s="355"/>
      <c r="M4868" s="355"/>
    </row>
    <row r="4869" spans="5:13">
      <c r="E4869" s="355"/>
      <c r="F4869" s="355"/>
      <c r="G4869" s="355"/>
      <c r="H4869" s="355"/>
      <c r="I4869" s="355"/>
      <c r="J4869" s="355"/>
      <c r="K4869" s="355"/>
      <c r="L4869" s="355"/>
      <c r="M4869" s="355"/>
    </row>
    <row r="4870" spans="5:13">
      <c r="E4870" s="355"/>
      <c r="F4870" s="355"/>
      <c r="G4870" s="355"/>
      <c r="H4870" s="355"/>
      <c r="I4870" s="355"/>
      <c r="J4870" s="355"/>
      <c r="K4870" s="355"/>
      <c r="L4870" s="355"/>
      <c r="M4870" s="355"/>
    </row>
    <row r="4871" spans="5:13">
      <c r="E4871" s="355"/>
      <c r="F4871" s="355"/>
      <c r="G4871" s="355"/>
      <c r="H4871" s="355"/>
      <c r="I4871" s="355"/>
      <c r="J4871" s="355"/>
      <c r="K4871" s="355"/>
      <c r="L4871" s="355"/>
      <c r="M4871" s="355"/>
    </row>
    <row r="4872" spans="5:13">
      <c r="E4872" s="355"/>
      <c r="F4872" s="355"/>
      <c r="G4872" s="355"/>
      <c r="H4872" s="355"/>
      <c r="I4872" s="355"/>
      <c r="J4872" s="355"/>
      <c r="K4872" s="355"/>
      <c r="L4872" s="355"/>
      <c r="M4872" s="355"/>
    </row>
    <row r="4873" spans="5:13">
      <c r="E4873" s="355"/>
      <c r="F4873" s="355"/>
      <c r="G4873" s="355"/>
      <c r="H4873" s="355"/>
      <c r="I4873" s="355"/>
      <c r="J4873" s="355"/>
      <c r="K4873" s="355"/>
      <c r="L4873" s="355"/>
      <c r="M4873" s="355"/>
    </row>
    <row r="4874" spans="5:13">
      <c r="E4874" s="355"/>
      <c r="F4874" s="355"/>
      <c r="G4874" s="355"/>
      <c r="H4874" s="355"/>
      <c r="I4874" s="355"/>
      <c r="J4874" s="355"/>
      <c r="K4874" s="355"/>
      <c r="L4874" s="355"/>
      <c r="M4874" s="355"/>
    </row>
    <row r="4875" spans="5:13">
      <c r="E4875" s="355"/>
      <c r="F4875" s="355"/>
      <c r="G4875" s="355"/>
      <c r="H4875" s="355"/>
      <c r="I4875" s="355"/>
      <c r="J4875" s="355"/>
      <c r="K4875" s="355"/>
      <c r="L4875" s="355"/>
      <c r="M4875" s="355"/>
    </row>
    <row r="4876" spans="5:13">
      <c r="E4876" s="355"/>
      <c r="F4876" s="355"/>
      <c r="G4876" s="355"/>
      <c r="H4876" s="355"/>
      <c r="I4876" s="355"/>
      <c r="J4876" s="355"/>
      <c r="K4876" s="355"/>
      <c r="L4876" s="355"/>
      <c r="M4876" s="355"/>
    </row>
    <row r="4877" spans="5:13">
      <c r="E4877" s="355"/>
      <c r="F4877" s="355"/>
      <c r="G4877" s="355"/>
      <c r="H4877" s="355"/>
      <c r="I4877" s="355"/>
      <c r="J4877" s="355"/>
      <c r="K4877" s="355"/>
      <c r="L4877" s="355"/>
      <c r="M4877" s="355"/>
    </row>
    <row r="4878" spans="5:13">
      <c r="E4878" s="355"/>
      <c r="F4878" s="355"/>
      <c r="G4878" s="355"/>
      <c r="H4878" s="355"/>
      <c r="I4878" s="355"/>
      <c r="J4878" s="355"/>
      <c r="K4878" s="355"/>
      <c r="L4878" s="355"/>
      <c r="M4878" s="355"/>
    </row>
    <row r="4879" spans="5:13">
      <c r="E4879" s="355"/>
      <c r="F4879" s="355"/>
      <c r="G4879" s="355"/>
      <c r="H4879" s="355"/>
      <c r="I4879" s="355"/>
      <c r="J4879" s="355"/>
      <c r="K4879" s="355"/>
      <c r="L4879" s="355"/>
      <c r="M4879" s="355"/>
    </row>
    <row r="4880" spans="5:13">
      <c r="E4880" s="355"/>
      <c r="F4880" s="355"/>
      <c r="G4880" s="355"/>
      <c r="H4880" s="355"/>
      <c r="I4880" s="355"/>
      <c r="J4880" s="355"/>
      <c r="K4880" s="355"/>
      <c r="L4880" s="355"/>
      <c r="M4880" s="355"/>
    </row>
    <row r="4881" spans="5:13">
      <c r="E4881" s="355"/>
      <c r="F4881" s="355"/>
      <c r="G4881" s="355"/>
      <c r="H4881" s="355"/>
      <c r="I4881" s="355"/>
      <c r="J4881" s="355"/>
      <c r="K4881" s="355"/>
      <c r="L4881" s="355"/>
      <c r="M4881" s="355"/>
    </row>
    <row r="4882" spans="5:13">
      <c r="E4882" s="355"/>
      <c r="F4882" s="355"/>
      <c r="G4882" s="355"/>
      <c r="H4882" s="355"/>
      <c r="I4882" s="355"/>
      <c r="J4882" s="355"/>
      <c r="K4882" s="355"/>
      <c r="L4882" s="355"/>
      <c r="M4882" s="355"/>
    </row>
    <row r="4883" spans="5:13">
      <c r="E4883" s="355"/>
      <c r="F4883" s="355"/>
      <c r="G4883" s="355"/>
      <c r="H4883" s="355"/>
      <c r="I4883" s="355"/>
      <c r="J4883" s="355"/>
      <c r="K4883" s="355"/>
      <c r="L4883" s="355"/>
      <c r="M4883" s="355"/>
    </row>
    <row r="4884" spans="5:13">
      <c r="E4884" s="355"/>
      <c r="F4884" s="355"/>
      <c r="G4884" s="355"/>
      <c r="H4884" s="355"/>
      <c r="I4884" s="355"/>
      <c r="J4884" s="355"/>
      <c r="K4884" s="355"/>
      <c r="L4884" s="355"/>
      <c r="M4884" s="355"/>
    </row>
    <row r="4885" spans="5:13">
      <c r="E4885" s="355"/>
      <c r="F4885" s="355"/>
      <c r="G4885" s="355"/>
      <c r="H4885" s="355"/>
      <c r="I4885" s="355"/>
      <c r="J4885" s="355"/>
      <c r="K4885" s="355"/>
      <c r="L4885" s="355"/>
      <c r="M4885" s="355"/>
    </row>
    <row r="4886" spans="5:13">
      <c r="E4886" s="355"/>
      <c r="F4886" s="355"/>
      <c r="G4886" s="355"/>
      <c r="H4886" s="355"/>
      <c r="I4886" s="355"/>
      <c r="J4886" s="355"/>
      <c r="K4886" s="355"/>
      <c r="L4886" s="355"/>
      <c r="M4886" s="355"/>
    </row>
    <row r="4887" spans="5:13">
      <c r="E4887" s="355"/>
      <c r="F4887" s="355"/>
      <c r="G4887" s="355"/>
      <c r="H4887" s="355"/>
      <c r="I4887" s="355"/>
      <c r="J4887" s="355"/>
      <c r="K4887" s="355"/>
      <c r="L4887" s="355"/>
      <c r="M4887" s="355"/>
    </row>
    <row r="4888" spans="5:13">
      <c r="E4888" s="355"/>
      <c r="F4888" s="355"/>
      <c r="G4888" s="355"/>
      <c r="H4888" s="355"/>
      <c r="I4888" s="355"/>
      <c r="J4888" s="355"/>
      <c r="K4888" s="355"/>
      <c r="L4888" s="355"/>
      <c r="M4888" s="355"/>
    </row>
    <row r="4889" spans="5:13">
      <c r="E4889" s="355"/>
      <c r="F4889" s="355"/>
      <c r="G4889" s="355"/>
      <c r="H4889" s="355"/>
      <c r="I4889" s="355"/>
      <c r="J4889" s="355"/>
      <c r="K4889" s="355"/>
      <c r="L4889" s="355"/>
      <c r="M4889" s="355"/>
    </row>
    <row r="4890" spans="5:13">
      <c r="E4890" s="355"/>
      <c r="F4890" s="355"/>
      <c r="G4890" s="355"/>
      <c r="H4890" s="355"/>
      <c r="I4890" s="355"/>
      <c r="J4890" s="355"/>
      <c r="K4890" s="355"/>
      <c r="L4890" s="355"/>
      <c r="M4890" s="355"/>
    </row>
    <row r="4891" spans="5:13">
      <c r="E4891" s="355"/>
      <c r="F4891" s="355"/>
      <c r="G4891" s="355"/>
      <c r="H4891" s="355"/>
      <c r="I4891" s="355"/>
      <c r="J4891" s="355"/>
      <c r="K4891" s="355"/>
      <c r="L4891" s="355"/>
      <c r="M4891" s="355"/>
    </row>
    <row r="4892" spans="5:13">
      <c r="E4892" s="355"/>
      <c r="F4892" s="355"/>
      <c r="G4892" s="355"/>
      <c r="H4892" s="355"/>
      <c r="I4892" s="355"/>
      <c r="J4892" s="355"/>
      <c r="K4892" s="355"/>
      <c r="L4892" s="355"/>
      <c r="M4892" s="355"/>
    </row>
    <row r="4893" spans="5:13">
      <c r="E4893" s="355"/>
      <c r="F4893" s="355"/>
      <c r="G4893" s="355"/>
      <c r="H4893" s="355"/>
      <c r="I4893" s="355"/>
      <c r="J4893" s="355"/>
      <c r="K4893" s="355"/>
      <c r="L4893" s="355"/>
      <c r="M4893" s="355"/>
    </row>
    <row r="4894" spans="5:13">
      <c r="E4894" s="355"/>
      <c r="F4894" s="355"/>
      <c r="G4894" s="355"/>
      <c r="H4894" s="355"/>
      <c r="I4894" s="355"/>
      <c r="J4894" s="355"/>
      <c r="K4894" s="355"/>
      <c r="L4894" s="355"/>
      <c r="M4894" s="355"/>
    </row>
    <row r="4895" spans="5:13">
      <c r="E4895" s="355"/>
      <c r="F4895" s="355"/>
      <c r="G4895" s="355"/>
      <c r="H4895" s="355"/>
      <c r="I4895" s="355"/>
      <c r="J4895" s="355"/>
      <c r="K4895" s="355"/>
      <c r="L4895" s="355"/>
      <c r="M4895" s="355"/>
    </row>
    <row r="4896" spans="5:13">
      <c r="E4896" s="355"/>
      <c r="F4896" s="355"/>
      <c r="G4896" s="355"/>
      <c r="H4896" s="355"/>
      <c r="I4896" s="355"/>
      <c r="J4896" s="355"/>
      <c r="K4896" s="355"/>
      <c r="L4896" s="355"/>
      <c r="M4896" s="355"/>
    </row>
    <row r="4897" spans="5:13">
      <c r="E4897" s="355"/>
      <c r="F4897" s="355"/>
      <c r="G4897" s="355"/>
      <c r="H4897" s="355"/>
      <c r="I4897" s="355"/>
      <c r="J4897" s="355"/>
      <c r="K4897" s="355"/>
      <c r="L4897" s="355"/>
      <c r="M4897" s="355"/>
    </row>
    <row r="4898" spans="5:13">
      <c r="E4898" s="355"/>
      <c r="F4898" s="355"/>
      <c r="G4898" s="355"/>
      <c r="H4898" s="355"/>
      <c r="I4898" s="355"/>
      <c r="J4898" s="355"/>
      <c r="K4898" s="355"/>
      <c r="L4898" s="355"/>
      <c r="M4898" s="355"/>
    </row>
    <row r="4899" spans="5:13">
      <c r="E4899" s="355"/>
      <c r="F4899" s="355"/>
      <c r="G4899" s="355"/>
      <c r="H4899" s="355"/>
      <c r="I4899" s="355"/>
      <c r="J4899" s="355"/>
      <c r="K4899" s="355"/>
      <c r="L4899" s="355"/>
      <c r="M4899" s="355"/>
    </row>
    <row r="4900" spans="5:13">
      <c r="E4900" s="355"/>
      <c r="F4900" s="355"/>
      <c r="G4900" s="355"/>
      <c r="H4900" s="355"/>
      <c r="I4900" s="355"/>
      <c r="J4900" s="355"/>
      <c r="K4900" s="355"/>
      <c r="L4900" s="355"/>
      <c r="M4900" s="355"/>
    </row>
    <row r="4901" spans="5:13">
      <c r="E4901" s="355"/>
      <c r="F4901" s="355"/>
      <c r="G4901" s="355"/>
      <c r="H4901" s="355"/>
      <c r="I4901" s="355"/>
      <c r="J4901" s="355"/>
      <c r="K4901" s="355"/>
      <c r="L4901" s="355"/>
      <c r="M4901" s="355"/>
    </row>
    <row r="4902" spans="5:13">
      <c r="E4902" s="355"/>
      <c r="F4902" s="355"/>
      <c r="G4902" s="355"/>
      <c r="H4902" s="355"/>
      <c r="I4902" s="355"/>
      <c r="J4902" s="355"/>
      <c r="K4902" s="355"/>
      <c r="L4902" s="355"/>
      <c r="M4902" s="355"/>
    </row>
    <row r="4903" spans="5:13">
      <c r="E4903" s="355"/>
      <c r="F4903" s="355"/>
      <c r="G4903" s="355"/>
      <c r="H4903" s="355"/>
      <c r="I4903" s="355"/>
      <c r="J4903" s="355"/>
      <c r="K4903" s="355"/>
      <c r="L4903" s="355"/>
      <c r="M4903" s="355"/>
    </row>
    <row r="4904" spans="5:13">
      <c r="E4904" s="355"/>
      <c r="F4904" s="355"/>
      <c r="G4904" s="355"/>
      <c r="H4904" s="355"/>
      <c r="I4904" s="355"/>
      <c r="J4904" s="355"/>
      <c r="K4904" s="355"/>
      <c r="L4904" s="355"/>
      <c r="M4904" s="355"/>
    </row>
    <row r="4905" spans="5:13">
      <c r="E4905" s="355"/>
      <c r="F4905" s="355"/>
      <c r="G4905" s="355"/>
      <c r="H4905" s="355"/>
      <c r="I4905" s="355"/>
      <c r="J4905" s="355"/>
      <c r="K4905" s="355"/>
      <c r="L4905" s="355"/>
      <c r="M4905" s="355"/>
    </row>
    <row r="4906" spans="5:13">
      <c r="E4906" s="355"/>
      <c r="F4906" s="355"/>
      <c r="G4906" s="355"/>
      <c r="H4906" s="355"/>
      <c r="I4906" s="355"/>
      <c r="J4906" s="355"/>
      <c r="K4906" s="355"/>
      <c r="L4906" s="355"/>
      <c r="M4906" s="355"/>
    </row>
    <row r="4907" spans="5:13">
      <c r="E4907" s="355"/>
      <c r="F4907" s="355"/>
      <c r="G4907" s="355"/>
      <c r="H4907" s="355"/>
      <c r="I4907" s="355"/>
      <c r="J4907" s="355"/>
      <c r="K4907" s="355"/>
      <c r="L4907" s="355"/>
      <c r="M4907" s="355"/>
    </row>
    <row r="4908" spans="5:13">
      <c r="E4908" s="355"/>
      <c r="F4908" s="355"/>
      <c r="G4908" s="355"/>
      <c r="H4908" s="355"/>
      <c r="I4908" s="355"/>
      <c r="J4908" s="355"/>
      <c r="K4908" s="355"/>
      <c r="L4908" s="355"/>
      <c r="M4908" s="355"/>
    </row>
    <row r="4909" spans="5:13">
      <c r="E4909" s="355"/>
      <c r="F4909" s="355"/>
      <c r="G4909" s="355"/>
      <c r="H4909" s="355"/>
      <c r="I4909" s="355"/>
      <c r="J4909" s="355"/>
      <c r="K4909" s="355"/>
      <c r="L4909" s="355"/>
      <c r="M4909" s="355"/>
    </row>
    <row r="4910" spans="5:13">
      <c r="E4910" s="355"/>
      <c r="F4910" s="355"/>
      <c r="G4910" s="355"/>
      <c r="H4910" s="355"/>
      <c r="I4910" s="355"/>
      <c r="J4910" s="355"/>
      <c r="K4910" s="355"/>
      <c r="L4910" s="355"/>
      <c r="M4910" s="355"/>
    </row>
    <row r="4911" spans="5:13">
      <c r="E4911" s="355"/>
      <c r="F4911" s="355"/>
      <c r="G4911" s="355"/>
      <c r="H4911" s="355"/>
      <c r="I4911" s="355"/>
      <c r="J4911" s="355"/>
      <c r="K4911" s="355"/>
      <c r="L4911" s="355"/>
      <c r="M4911" s="355"/>
    </row>
    <row r="4912" spans="5:13">
      <c r="E4912" s="355"/>
      <c r="F4912" s="355"/>
      <c r="G4912" s="355"/>
      <c r="H4912" s="355"/>
      <c r="I4912" s="355"/>
      <c r="J4912" s="355"/>
      <c r="K4912" s="355"/>
      <c r="L4912" s="355"/>
      <c r="M4912" s="355"/>
    </row>
    <row r="4913" spans="5:13">
      <c r="E4913" s="355"/>
      <c r="F4913" s="355"/>
      <c r="G4913" s="355"/>
      <c r="H4913" s="355"/>
      <c r="I4913" s="355"/>
      <c r="J4913" s="355"/>
      <c r="K4913" s="355"/>
      <c r="L4913" s="355"/>
      <c r="M4913" s="355"/>
    </row>
    <row r="4914" spans="5:13">
      <c r="E4914" s="355"/>
      <c r="F4914" s="355"/>
      <c r="G4914" s="355"/>
      <c r="H4914" s="355"/>
      <c r="I4914" s="355"/>
      <c r="J4914" s="355"/>
      <c r="K4914" s="355"/>
      <c r="L4914" s="355"/>
      <c r="M4914" s="355"/>
    </row>
    <row r="4915" spans="5:13">
      <c r="E4915" s="355"/>
      <c r="F4915" s="355"/>
      <c r="G4915" s="355"/>
      <c r="H4915" s="355"/>
      <c r="I4915" s="355"/>
      <c r="J4915" s="355"/>
      <c r="K4915" s="355"/>
      <c r="L4915" s="355"/>
      <c r="M4915" s="355"/>
    </row>
    <row r="4916" spans="5:13">
      <c r="E4916" s="355"/>
      <c r="F4916" s="355"/>
      <c r="G4916" s="355"/>
      <c r="H4916" s="355"/>
      <c r="I4916" s="355"/>
      <c r="J4916" s="355"/>
      <c r="K4916" s="355"/>
      <c r="L4916" s="355"/>
      <c r="M4916" s="355"/>
    </row>
    <row r="4917" spans="5:13">
      <c r="E4917" s="355"/>
      <c r="F4917" s="355"/>
      <c r="G4917" s="355"/>
      <c r="H4917" s="355"/>
      <c r="I4917" s="355"/>
      <c r="J4917" s="355"/>
      <c r="K4917" s="355"/>
      <c r="L4917" s="355"/>
      <c r="M4917" s="355"/>
    </row>
    <row r="4918" spans="5:13">
      <c r="E4918" s="355"/>
      <c r="F4918" s="355"/>
      <c r="G4918" s="355"/>
      <c r="H4918" s="355"/>
      <c r="I4918" s="355"/>
      <c r="J4918" s="355"/>
      <c r="K4918" s="355"/>
      <c r="L4918" s="355"/>
      <c r="M4918" s="355"/>
    </row>
    <row r="4919" spans="5:13">
      <c r="E4919" s="355"/>
      <c r="F4919" s="355"/>
      <c r="G4919" s="355"/>
      <c r="H4919" s="355"/>
      <c r="I4919" s="355"/>
      <c r="J4919" s="355"/>
      <c r="K4919" s="355"/>
      <c r="L4919" s="355"/>
      <c r="M4919" s="355"/>
    </row>
    <row r="4920" spans="5:13">
      <c r="E4920" s="355"/>
      <c r="F4920" s="355"/>
      <c r="G4920" s="355"/>
      <c r="H4920" s="355"/>
      <c r="I4920" s="355"/>
      <c r="J4920" s="355"/>
      <c r="K4920" s="355"/>
      <c r="L4920" s="355"/>
      <c r="M4920" s="355"/>
    </row>
    <row r="4921" spans="5:13">
      <c r="E4921" s="355"/>
      <c r="F4921" s="355"/>
      <c r="G4921" s="355"/>
      <c r="H4921" s="355"/>
      <c r="I4921" s="355"/>
      <c r="J4921" s="355"/>
      <c r="K4921" s="355"/>
      <c r="L4921" s="355"/>
      <c r="M4921" s="355"/>
    </row>
    <row r="4922" spans="5:13">
      <c r="E4922" s="355"/>
      <c r="F4922" s="355"/>
      <c r="G4922" s="355"/>
      <c r="H4922" s="355"/>
      <c r="I4922" s="355"/>
      <c r="J4922" s="355"/>
      <c r="K4922" s="355"/>
      <c r="L4922" s="355"/>
      <c r="M4922" s="355"/>
    </row>
    <row r="4923" spans="5:13">
      <c r="E4923" s="355"/>
      <c r="F4923" s="355"/>
      <c r="G4923" s="355"/>
      <c r="H4923" s="355"/>
      <c r="I4923" s="355"/>
      <c r="J4923" s="355"/>
      <c r="K4923" s="355"/>
      <c r="L4923" s="355"/>
      <c r="M4923" s="355"/>
    </row>
    <row r="4924" spans="5:13">
      <c r="E4924" s="355"/>
      <c r="F4924" s="355"/>
      <c r="G4924" s="355"/>
      <c r="H4924" s="355"/>
      <c r="I4924" s="355"/>
      <c r="J4924" s="355"/>
      <c r="K4924" s="355"/>
      <c r="L4924" s="355"/>
      <c r="M4924" s="355"/>
    </row>
    <row r="4925" spans="5:13">
      <c r="E4925" s="355"/>
      <c r="F4925" s="355"/>
      <c r="G4925" s="355"/>
      <c r="H4925" s="355"/>
      <c r="I4925" s="355"/>
      <c r="J4925" s="355"/>
      <c r="K4925" s="355"/>
      <c r="L4925" s="355"/>
      <c r="M4925" s="355"/>
    </row>
    <row r="4926" spans="5:13">
      <c r="E4926" s="355"/>
      <c r="F4926" s="355"/>
      <c r="G4926" s="355"/>
      <c r="H4926" s="355"/>
      <c r="I4926" s="355"/>
      <c r="J4926" s="355"/>
      <c r="K4926" s="355"/>
      <c r="L4926" s="355"/>
      <c r="M4926" s="355"/>
    </row>
    <row r="4927" spans="5:13">
      <c r="E4927" s="355"/>
      <c r="F4927" s="355"/>
      <c r="G4927" s="355"/>
      <c r="H4927" s="355"/>
      <c r="I4927" s="355"/>
      <c r="J4927" s="355"/>
      <c r="K4927" s="355"/>
      <c r="L4927" s="355"/>
      <c r="M4927" s="355"/>
    </row>
    <row r="4928" spans="5:13">
      <c r="E4928" s="355"/>
      <c r="F4928" s="355"/>
      <c r="G4928" s="355"/>
      <c r="H4928" s="355"/>
      <c r="I4928" s="355"/>
      <c r="J4928" s="355"/>
      <c r="K4928" s="355"/>
      <c r="L4928" s="355"/>
      <c r="M4928" s="355"/>
    </row>
    <row r="4929" spans="5:13">
      <c r="E4929" s="355"/>
      <c r="F4929" s="355"/>
      <c r="G4929" s="355"/>
      <c r="H4929" s="355"/>
      <c r="I4929" s="355"/>
      <c r="J4929" s="355"/>
      <c r="K4929" s="355"/>
      <c r="L4929" s="355"/>
      <c r="M4929" s="355"/>
    </row>
    <row r="4930" spans="5:13">
      <c r="E4930" s="355"/>
      <c r="F4930" s="355"/>
      <c r="G4930" s="355"/>
      <c r="H4930" s="355"/>
      <c r="I4930" s="355"/>
      <c r="J4930" s="355"/>
      <c r="K4930" s="355"/>
      <c r="L4930" s="355"/>
      <c r="M4930" s="355"/>
    </row>
    <row r="4931" spans="5:13">
      <c r="E4931" s="355"/>
      <c r="F4931" s="355"/>
      <c r="G4931" s="355"/>
      <c r="H4931" s="355"/>
      <c r="I4931" s="355"/>
      <c r="J4931" s="355"/>
      <c r="K4931" s="355"/>
      <c r="L4931" s="355"/>
      <c r="M4931" s="355"/>
    </row>
    <row r="4932" spans="5:13">
      <c r="E4932" s="355"/>
      <c r="F4932" s="355"/>
      <c r="G4932" s="355"/>
      <c r="H4932" s="355"/>
      <c r="I4932" s="355"/>
      <c r="J4932" s="355"/>
      <c r="K4932" s="355"/>
      <c r="L4932" s="355"/>
      <c r="M4932" s="355"/>
    </row>
    <row r="4933" spans="5:13">
      <c r="E4933" s="355"/>
      <c r="F4933" s="355"/>
      <c r="G4933" s="355"/>
      <c r="H4933" s="355"/>
      <c r="I4933" s="355"/>
      <c r="J4933" s="355"/>
      <c r="K4933" s="355"/>
      <c r="L4933" s="355"/>
      <c r="M4933" s="355"/>
    </row>
    <row r="4934" spans="5:13">
      <c r="E4934" s="355"/>
      <c r="F4934" s="355"/>
      <c r="G4934" s="355"/>
      <c r="H4934" s="355"/>
      <c r="I4934" s="355"/>
      <c r="J4934" s="355"/>
      <c r="K4934" s="355"/>
      <c r="L4934" s="355"/>
      <c r="M4934" s="355"/>
    </row>
    <row r="4935" spans="5:13">
      <c r="E4935" s="355"/>
      <c r="F4935" s="355"/>
      <c r="G4935" s="355"/>
      <c r="H4935" s="355"/>
      <c r="I4935" s="355"/>
      <c r="J4935" s="355"/>
      <c r="K4935" s="355"/>
      <c r="L4935" s="355"/>
      <c r="M4935" s="355"/>
    </row>
    <row r="4936" spans="5:13">
      <c r="E4936" s="355"/>
      <c r="F4936" s="355"/>
      <c r="G4936" s="355"/>
      <c r="H4936" s="355"/>
      <c r="I4936" s="355"/>
      <c r="J4936" s="355"/>
      <c r="K4936" s="355"/>
      <c r="L4936" s="355"/>
      <c r="M4936" s="355"/>
    </row>
    <row r="4937" spans="5:13">
      <c r="E4937" s="355"/>
      <c r="F4937" s="355"/>
      <c r="G4937" s="355"/>
      <c r="H4937" s="355"/>
      <c r="I4937" s="355"/>
      <c r="J4937" s="355"/>
      <c r="K4937" s="355"/>
      <c r="L4937" s="355"/>
      <c r="M4937" s="355"/>
    </row>
    <row r="4938" spans="5:13">
      <c r="E4938" s="355"/>
      <c r="F4938" s="355"/>
      <c r="G4938" s="355"/>
      <c r="H4938" s="355"/>
      <c r="I4938" s="355"/>
      <c r="J4938" s="355"/>
      <c r="K4938" s="355"/>
      <c r="L4938" s="355"/>
      <c r="M4938" s="355"/>
    </row>
    <row r="4939" spans="5:13">
      <c r="E4939" s="355"/>
      <c r="F4939" s="355"/>
      <c r="G4939" s="355"/>
      <c r="H4939" s="355"/>
      <c r="I4939" s="355"/>
      <c r="J4939" s="355"/>
      <c r="K4939" s="355"/>
      <c r="L4939" s="355"/>
      <c r="M4939" s="355"/>
    </row>
    <row r="4940" spans="5:13">
      <c r="E4940" s="355"/>
      <c r="F4940" s="355"/>
      <c r="G4940" s="355"/>
      <c r="H4940" s="355"/>
      <c r="I4940" s="355"/>
      <c r="J4940" s="355"/>
      <c r="K4940" s="355"/>
      <c r="L4940" s="355"/>
      <c r="M4940" s="355"/>
    </row>
    <row r="4941" spans="5:13">
      <c r="E4941" s="355"/>
      <c r="F4941" s="355"/>
      <c r="G4941" s="355"/>
      <c r="H4941" s="355"/>
      <c r="I4941" s="355"/>
      <c r="J4941" s="355"/>
      <c r="K4941" s="355"/>
      <c r="L4941" s="355"/>
      <c r="M4941" s="355"/>
    </row>
    <row r="4942" spans="5:13">
      <c r="E4942" s="355"/>
      <c r="F4942" s="355"/>
      <c r="G4942" s="355"/>
      <c r="H4942" s="355"/>
      <c r="I4942" s="355"/>
      <c r="J4942" s="355"/>
      <c r="K4942" s="355"/>
      <c r="L4942" s="355"/>
      <c r="M4942" s="355"/>
    </row>
    <row r="4943" spans="5:13">
      <c r="E4943" s="355"/>
      <c r="F4943" s="355"/>
      <c r="G4943" s="355"/>
      <c r="H4943" s="355"/>
      <c r="I4943" s="355"/>
      <c r="J4943" s="355"/>
      <c r="K4943" s="355"/>
      <c r="L4943" s="355"/>
      <c r="M4943" s="355"/>
    </row>
    <row r="4944" spans="5:13">
      <c r="E4944" s="355"/>
      <c r="F4944" s="355"/>
      <c r="G4944" s="355"/>
      <c r="H4944" s="355"/>
      <c r="I4944" s="355"/>
      <c r="J4944" s="355"/>
      <c r="K4944" s="355"/>
      <c r="L4944" s="355"/>
      <c r="M4944" s="355"/>
    </row>
    <row r="4945" spans="5:13">
      <c r="E4945" s="355"/>
      <c r="F4945" s="355"/>
      <c r="G4945" s="355"/>
      <c r="H4945" s="355"/>
      <c r="I4945" s="355"/>
      <c r="J4945" s="355"/>
      <c r="K4945" s="355"/>
      <c r="L4945" s="355"/>
      <c r="M4945" s="355"/>
    </row>
    <row r="4946" spans="5:13">
      <c r="E4946" s="355"/>
      <c r="F4946" s="355"/>
      <c r="G4946" s="355"/>
      <c r="H4946" s="355"/>
      <c r="I4946" s="355"/>
      <c r="J4946" s="355"/>
      <c r="K4946" s="355"/>
      <c r="L4946" s="355"/>
      <c r="M4946" s="355"/>
    </row>
    <row r="4947" spans="5:13">
      <c r="E4947" s="355"/>
      <c r="F4947" s="355"/>
      <c r="G4947" s="355"/>
      <c r="H4947" s="355"/>
      <c r="I4947" s="355"/>
      <c r="J4947" s="355"/>
      <c r="K4947" s="355"/>
      <c r="L4947" s="355"/>
      <c r="M4947" s="355"/>
    </row>
    <row r="4948" spans="5:13">
      <c r="E4948" s="355"/>
      <c r="F4948" s="355"/>
      <c r="G4948" s="355"/>
      <c r="H4948" s="355"/>
      <c r="I4948" s="355"/>
      <c r="J4948" s="355"/>
      <c r="K4948" s="355"/>
      <c r="L4948" s="355"/>
      <c r="M4948" s="355"/>
    </row>
    <row r="4949" spans="5:13">
      <c r="E4949" s="355"/>
      <c r="F4949" s="355"/>
      <c r="G4949" s="355"/>
      <c r="H4949" s="355"/>
      <c r="I4949" s="355"/>
      <c r="J4949" s="355"/>
      <c r="K4949" s="355"/>
      <c r="L4949" s="355"/>
      <c r="M4949" s="355"/>
    </row>
    <row r="4950" spans="5:13">
      <c r="E4950" s="355"/>
      <c r="F4950" s="355"/>
      <c r="G4950" s="355"/>
      <c r="H4950" s="355"/>
      <c r="I4950" s="355"/>
      <c r="J4950" s="355"/>
      <c r="K4950" s="355"/>
      <c r="L4950" s="355"/>
      <c r="M4950" s="355"/>
    </row>
    <row r="4951" spans="5:13">
      <c r="E4951" s="355"/>
      <c r="F4951" s="355"/>
      <c r="G4951" s="355"/>
      <c r="H4951" s="355"/>
      <c r="I4951" s="355"/>
      <c r="J4951" s="355"/>
      <c r="K4951" s="355"/>
      <c r="L4951" s="355"/>
      <c r="M4951" s="355"/>
    </row>
    <row r="4952" spans="5:13">
      <c r="E4952" s="355"/>
      <c r="F4952" s="355"/>
      <c r="G4952" s="355"/>
      <c r="H4952" s="355"/>
      <c r="I4952" s="355"/>
      <c r="J4952" s="355"/>
      <c r="K4952" s="355"/>
      <c r="L4952" s="355"/>
      <c r="M4952" s="355"/>
    </row>
    <row r="4953" spans="5:13">
      <c r="E4953" s="355"/>
      <c r="F4953" s="355"/>
      <c r="G4953" s="355"/>
      <c r="H4953" s="355"/>
      <c r="I4953" s="355"/>
      <c r="J4953" s="355"/>
      <c r="K4953" s="355"/>
      <c r="L4953" s="355"/>
      <c r="M4953" s="355"/>
    </row>
    <row r="4954" spans="5:13">
      <c r="E4954" s="355"/>
      <c r="F4954" s="355"/>
      <c r="G4954" s="355"/>
      <c r="H4954" s="355"/>
      <c r="I4954" s="355"/>
      <c r="J4954" s="355"/>
      <c r="K4954" s="355"/>
      <c r="L4954" s="355"/>
      <c r="M4954" s="355"/>
    </row>
    <row r="4955" spans="5:13">
      <c r="E4955" s="355"/>
      <c r="F4955" s="355"/>
      <c r="G4955" s="355"/>
      <c r="H4955" s="355"/>
      <c r="I4955" s="355"/>
      <c r="J4955" s="355"/>
      <c r="K4955" s="355"/>
      <c r="L4955" s="355"/>
      <c r="M4955" s="355"/>
    </row>
    <row r="4956" spans="5:13">
      <c r="E4956" s="355"/>
      <c r="F4956" s="355"/>
      <c r="G4956" s="355"/>
      <c r="H4956" s="355"/>
      <c r="I4956" s="355"/>
      <c r="J4956" s="355"/>
      <c r="K4956" s="355"/>
      <c r="L4956" s="355"/>
      <c r="M4956" s="355"/>
    </row>
    <row r="4957" spans="5:13">
      <c r="E4957" s="355"/>
      <c r="F4957" s="355"/>
      <c r="G4957" s="355"/>
      <c r="H4957" s="355"/>
      <c r="I4957" s="355"/>
      <c r="J4957" s="355"/>
      <c r="K4957" s="355"/>
      <c r="L4957" s="355"/>
      <c r="M4957" s="355"/>
    </row>
    <row r="4958" spans="5:13">
      <c r="E4958" s="355"/>
      <c r="F4958" s="355"/>
      <c r="G4958" s="355"/>
      <c r="H4958" s="355"/>
      <c r="I4958" s="355"/>
      <c r="J4958" s="355"/>
      <c r="K4958" s="355"/>
      <c r="L4958" s="355"/>
      <c r="M4958" s="355"/>
    </row>
    <row r="4959" spans="5:13">
      <c r="E4959" s="355"/>
      <c r="F4959" s="355"/>
      <c r="G4959" s="355"/>
      <c r="H4959" s="355"/>
      <c r="I4959" s="355"/>
      <c r="J4959" s="355"/>
      <c r="K4959" s="355"/>
      <c r="L4959" s="355"/>
      <c r="M4959" s="355"/>
    </row>
    <row r="4960" spans="5:13">
      <c r="E4960" s="355"/>
      <c r="F4960" s="355"/>
      <c r="G4960" s="355"/>
      <c r="H4960" s="355"/>
      <c r="I4960" s="355"/>
      <c r="J4960" s="355"/>
      <c r="K4960" s="355"/>
      <c r="L4960" s="355"/>
      <c r="M4960" s="355"/>
    </row>
    <row r="4961" spans="5:13">
      <c r="E4961" s="355"/>
      <c r="F4961" s="355"/>
      <c r="G4961" s="355"/>
      <c r="H4961" s="355"/>
      <c r="I4961" s="355"/>
      <c r="J4961" s="355"/>
      <c r="K4961" s="355"/>
      <c r="L4961" s="355"/>
      <c r="M4961" s="355"/>
    </row>
    <row r="4962" spans="5:13">
      <c r="E4962" s="355"/>
      <c r="F4962" s="355"/>
      <c r="G4962" s="355"/>
      <c r="H4962" s="355"/>
      <c r="I4962" s="355"/>
      <c r="J4962" s="355"/>
      <c r="K4962" s="355"/>
      <c r="L4962" s="355"/>
      <c r="M4962" s="355"/>
    </row>
    <row r="4963" spans="5:13">
      <c r="E4963" s="355"/>
      <c r="F4963" s="355"/>
      <c r="G4963" s="355"/>
      <c r="H4963" s="355"/>
      <c r="I4963" s="355"/>
      <c r="J4963" s="355"/>
      <c r="K4963" s="355"/>
      <c r="L4963" s="355"/>
      <c r="M4963" s="355"/>
    </row>
    <row r="4964" spans="5:13">
      <c r="E4964" s="355"/>
      <c r="F4964" s="355"/>
      <c r="G4964" s="355"/>
      <c r="H4964" s="355"/>
      <c r="I4964" s="355"/>
      <c r="J4964" s="355"/>
      <c r="K4964" s="355"/>
      <c r="L4964" s="355"/>
      <c r="M4964" s="355"/>
    </row>
    <row r="4965" spans="5:13">
      <c r="E4965" s="355"/>
      <c r="F4965" s="355"/>
      <c r="G4965" s="355"/>
      <c r="H4965" s="355"/>
      <c r="I4965" s="355"/>
      <c r="J4965" s="355"/>
      <c r="K4965" s="355"/>
      <c r="L4965" s="355"/>
      <c r="M4965" s="355"/>
    </row>
    <row r="4966" spans="5:13">
      <c r="E4966" s="355"/>
      <c r="F4966" s="355"/>
      <c r="G4966" s="355"/>
      <c r="H4966" s="355"/>
      <c r="I4966" s="355"/>
      <c r="J4966" s="355"/>
      <c r="K4966" s="355"/>
      <c r="L4966" s="355"/>
      <c r="M4966" s="355"/>
    </row>
    <row r="4967" spans="5:13">
      <c r="E4967" s="355"/>
      <c r="F4967" s="355"/>
      <c r="G4967" s="355"/>
      <c r="H4967" s="355"/>
      <c r="I4967" s="355"/>
      <c r="J4967" s="355"/>
      <c r="K4967" s="355"/>
      <c r="L4967" s="355"/>
      <c r="M4967" s="355"/>
    </row>
    <row r="4968" spans="5:13">
      <c r="E4968" s="355"/>
      <c r="F4968" s="355"/>
      <c r="G4968" s="355"/>
      <c r="H4968" s="355"/>
      <c r="I4968" s="355"/>
      <c r="J4968" s="355"/>
      <c r="K4968" s="355"/>
      <c r="L4968" s="355"/>
      <c r="M4968" s="355"/>
    </row>
    <row r="4969" spans="5:13">
      <c r="E4969" s="355"/>
      <c r="F4969" s="355"/>
      <c r="G4969" s="355"/>
      <c r="H4969" s="355"/>
      <c r="I4969" s="355"/>
      <c r="J4969" s="355"/>
      <c r="K4969" s="355"/>
      <c r="L4969" s="355"/>
      <c r="M4969" s="355"/>
    </row>
    <row r="4970" spans="5:13">
      <c r="E4970" s="355"/>
      <c r="F4970" s="355"/>
      <c r="G4970" s="355"/>
      <c r="H4970" s="355"/>
      <c r="I4970" s="355"/>
      <c r="J4970" s="355"/>
      <c r="K4970" s="355"/>
      <c r="L4970" s="355"/>
      <c r="M4970" s="355"/>
    </row>
    <row r="4971" spans="5:13">
      <c r="E4971" s="355"/>
      <c r="F4971" s="355"/>
      <c r="G4971" s="355"/>
      <c r="H4971" s="355"/>
      <c r="I4971" s="355"/>
      <c r="J4971" s="355"/>
      <c r="K4971" s="355"/>
      <c r="L4971" s="355"/>
      <c r="M4971" s="355"/>
    </row>
    <row r="4972" spans="5:13">
      <c r="E4972" s="355"/>
      <c r="F4972" s="355"/>
      <c r="G4972" s="355"/>
      <c r="H4972" s="355"/>
      <c r="I4972" s="355"/>
      <c r="J4972" s="355"/>
      <c r="K4972" s="355"/>
      <c r="L4972" s="355"/>
      <c r="M4972" s="355"/>
    </row>
    <row r="4973" spans="5:13">
      <c r="E4973" s="355"/>
      <c r="F4973" s="355"/>
      <c r="G4973" s="355"/>
      <c r="H4973" s="355"/>
      <c r="I4973" s="355"/>
      <c r="J4973" s="355"/>
      <c r="K4973" s="355"/>
      <c r="L4973" s="355"/>
      <c r="M4973" s="355"/>
    </row>
    <row r="4974" spans="5:13">
      <c r="E4974" s="355"/>
      <c r="F4974" s="355"/>
      <c r="G4974" s="355"/>
      <c r="H4974" s="355"/>
      <c r="I4974" s="355"/>
      <c r="J4974" s="355"/>
      <c r="K4974" s="355"/>
      <c r="L4974" s="355"/>
      <c r="M4974" s="355"/>
    </row>
    <row r="4975" spans="5:13">
      <c r="E4975" s="355"/>
      <c r="F4975" s="355"/>
      <c r="G4975" s="355"/>
      <c r="H4975" s="355"/>
      <c r="I4975" s="355"/>
      <c r="J4975" s="355"/>
      <c r="K4975" s="355"/>
      <c r="L4975" s="355"/>
      <c r="M4975" s="355"/>
    </row>
    <row r="4976" spans="5:13">
      <c r="E4976" s="355"/>
      <c r="F4976" s="355"/>
      <c r="G4976" s="355"/>
      <c r="H4976" s="355"/>
      <c r="I4976" s="355"/>
      <c r="J4976" s="355"/>
      <c r="K4976" s="355"/>
      <c r="L4976" s="355"/>
      <c r="M4976" s="355"/>
    </row>
    <row r="4977" spans="5:13">
      <c r="E4977" s="355"/>
      <c r="F4977" s="355"/>
      <c r="G4977" s="355"/>
      <c r="H4977" s="355"/>
      <c r="I4977" s="355"/>
      <c r="J4977" s="355"/>
      <c r="K4977" s="355"/>
      <c r="L4977" s="355"/>
      <c r="M4977" s="355"/>
    </row>
    <row r="4978" spans="5:13">
      <c r="E4978" s="355"/>
      <c r="F4978" s="355"/>
      <c r="G4978" s="355"/>
      <c r="H4978" s="355"/>
      <c r="I4978" s="355"/>
      <c r="J4978" s="355"/>
      <c r="K4978" s="355"/>
      <c r="L4978" s="355"/>
      <c r="M4978" s="355"/>
    </row>
    <row r="4979" spans="5:13">
      <c r="E4979" s="355"/>
      <c r="F4979" s="355"/>
      <c r="G4979" s="355"/>
      <c r="H4979" s="355"/>
      <c r="I4979" s="355"/>
      <c r="J4979" s="355"/>
      <c r="K4979" s="355"/>
      <c r="L4979" s="355"/>
      <c r="M4979" s="355"/>
    </row>
    <row r="4980" spans="5:13">
      <c r="E4980" s="355"/>
      <c r="F4980" s="355"/>
      <c r="G4980" s="355"/>
      <c r="H4980" s="355"/>
      <c r="I4980" s="355"/>
      <c r="J4980" s="355"/>
      <c r="K4980" s="355"/>
      <c r="L4980" s="355"/>
      <c r="M4980" s="355"/>
    </row>
    <row r="4981" spans="5:13">
      <c r="E4981" s="355"/>
      <c r="F4981" s="355"/>
      <c r="G4981" s="355"/>
      <c r="H4981" s="355"/>
      <c r="I4981" s="355"/>
      <c r="J4981" s="355"/>
      <c r="K4981" s="355"/>
      <c r="L4981" s="355"/>
      <c r="M4981" s="355"/>
    </row>
    <row r="4982" spans="5:13">
      <c r="E4982" s="355"/>
      <c r="F4982" s="355"/>
      <c r="G4982" s="355"/>
      <c r="H4982" s="355"/>
      <c r="I4982" s="355"/>
      <c r="J4982" s="355"/>
      <c r="K4982" s="355"/>
      <c r="L4982" s="355"/>
      <c r="M4982" s="355"/>
    </row>
    <row r="4983" spans="5:13">
      <c r="E4983" s="355"/>
      <c r="F4983" s="355"/>
      <c r="G4983" s="355"/>
      <c r="H4983" s="355"/>
      <c r="I4983" s="355"/>
      <c r="J4983" s="355"/>
      <c r="K4983" s="355"/>
      <c r="L4983" s="355"/>
      <c r="M4983" s="355"/>
    </row>
    <row r="4984" spans="5:13">
      <c r="E4984" s="355"/>
      <c r="F4984" s="355"/>
      <c r="G4984" s="355"/>
      <c r="H4984" s="355"/>
      <c r="I4984" s="355"/>
      <c r="J4984" s="355"/>
      <c r="K4984" s="355"/>
      <c r="L4984" s="355"/>
      <c r="M4984" s="355"/>
    </row>
    <row r="4985" spans="5:13">
      <c r="E4985" s="355"/>
      <c r="F4985" s="355"/>
      <c r="G4985" s="355"/>
      <c r="H4985" s="355"/>
      <c r="I4985" s="355"/>
      <c r="J4985" s="355"/>
      <c r="K4985" s="355"/>
      <c r="L4985" s="355"/>
      <c r="M4985" s="355"/>
    </row>
    <row r="4986" spans="5:13">
      <c r="E4986" s="355"/>
      <c r="F4986" s="355"/>
      <c r="G4986" s="355"/>
      <c r="H4986" s="355"/>
      <c r="I4986" s="355"/>
      <c r="J4986" s="355"/>
      <c r="K4986" s="355"/>
      <c r="L4986" s="355"/>
      <c r="M4986" s="355"/>
    </row>
    <row r="4987" spans="5:13">
      <c r="E4987" s="355"/>
      <c r="F4987" s="355"/>
      <c r="G4987" s="355"/>
      <c r="H4987" s="355"/>
      <c r="I4987" s="355"/>
      <c r="J4987" s="355"/>
      <c r="K4987" s="355"/>
      <c r="L4987" s="355"/>
      <c r="M4987" s="355"/>
    </row>
    <row r="4988" spans="5:13">
      <c r="E4988" s="355"/>
      <c r="F4988" s="355"/>
      <c r="G4988" s="355"/>
      <c r="H4988" s="355"/>
      <c r="I4988" s="355"/>
      <c r="J4988" s="355"/>
      <c r="K4988" s="355"/>
      <c r="L4988" s="355"/>
      <c r="M4988" s="355"/>
    </row>
    <row r="4989" spans="5:13">
      <c r="E4989" s="355"/>
      <c r="F4989" s="355"/>
      <c r="G4989" s="355"/>
      <c r="H4989" s="355"/>
      <c r="I4989" s="355"/>
      <c r="J4989" s="355"/>
      <c r="K4989" s="355"/>
      <c r="L4989" s="355"/>
      <c r="M4989" s="355"/>
    </row>
    <row r="4990" spans="5:13">
      <c r="E4990" s="355"/>
      <c r="F4990" s="355"/>
      <c r="G4990" s="355"/>
      <c r="H4990" s="355"/>
      <c r="I4990" s="355"/>
      <c r="J4990" s="355"/>
      <c r="K4990" s="355"/>
      <c r="L4990" s="355"/>
      <c r="M4990" s="355"/>
    </row>
    <row r="4991" spans="5:13">
      <c r="E4991" s="355"/>
      <c r="F4991" s="355"/>
      <c r="G4991" s="355"/>
      <c r="H4991" s="355"/>
      <c r="I4991" s="355"/>
      <c r="J4991" s="355"/>
      <c r="K4991" s="355"/>
      <c r="L4991" s="355"/>
      <c r="M4991" s="355"/>
    </row>
    <row r="4992" spans="5:13">
      <c r="E4992" s="355"/>
      <c r="F4992" s="355"/>
      <c r="G4992" s="355"/>
      <c r="H4992" s="355"/>
      <c r="I4992" s="355"/>
      <c r="J4992" s="355"/>
      <c r="K4992" s="355"/>
      <c r="L4992" s="355"/>
      <c r="M4992" s="355"/>
    </row>
    <row r="4993" spans="5:13">
      <c r="E4993" s="355"/>
      <c r="F4993" s="355"/>
      <c r="G4993" s="355"/>
      <c r="H4993" s="355"/>
      <c r="I4993" s="355"/>
      <c r="J4993" s="355"/>
      <c r="K4993" s="355"/>
      <c r="L4993" s="355"/>
      <c r="M4993" s="355"/>
    </row>
    <row r="4994" spans="5:13">
      <c r="E4994" s="355"/>
      <c r="F4994" s="355"/>
      <c r="G4994" s="355"/>
      <c r="H4994" s="355"/>
      <c r="I4994" s="355"/>
      <c r="J4994" s="355"/>
      <c r="K4994" s="355"/>
      <c r="L4994" s="355"/>
      <c r="M4994" s="355"/>
    </row>
    <row r="4995" spans="5:13">
      <c r="E4995" s="355"/>
      <c r="F4995" s="355"/>
      <c r="G4995" s="355"/>
      <c r="H4995" s="355"/>
      <c r="I4995" s="355"/>
      <c r="J4995" s="355"/>
      <c r="K4995" s="355"/>
      <c r="L4995" s="355"/>
      <c r="M4995" s="355"/>
    </row>
    <row r="4996" spans="5:13">
      <c r="E4996" s="355"/>
      <c r="F4996" s="355"/>
      <c r="G4996" s="355"/>
      <c r="H4996" s="355"/>
      <c r="I4996" s="355"/>
      <c r="J4996" s="355"/>
      <c r="K4996" s="355"/>
      <c r="L4996" s="355"/>
      <c r="M4996" s="355"/>
    </row>
    <row r="4997" spans="5:13">
      <c r="E4997" s="355"/>
      <c r="F4997" s="355"/>
      <c r="G4997" s="355"/>
      <c r="H4997" s="355"/>
      <c r="I4997" s="355"/>
      <c r="J4997" s="355"/>
      <c r="K4997" s="355"/>
      <c r="L4997" s="355"/>
      <c r="M4997" s="355"/>
    </row>
    <row r="4998" spans="5:13">
      <c r="E4998" s="355"/>
      <c r="F4998" s="355"/>
      <c r="G4998" s="355"/>
      <c r="H4998" s="355"/>
      <c r="I4998" s="355"/>
      <c r="J4998" s="355"/>
      <c r="K4998" s="355"/>
      <c r="L4998" s="355"/>
      <c r="M4998" s="355"/>
    </row>
    <row r="4999" spans="5:13">
      <c r="E4999" s="355"/>
      <c r="F4999" s="355"/>
      <c r="G4999" s="355"/>
      <c r="H4999" s="355"/>
      <c r="I4999" s="355"/>
      <c r="J4999" s="355"/>
      <c r="K4999" s="355"/>
      <c r="L4999" s="355"/>
      <c r="M4999" s="355"/>
    </row>
    <row r="5000" spans="5:13">
      <c r="E5000" s="355"/>
      <c r="F5000" s="355"/>
      <c r="G5000" s="355"/>
      <c r="H5000" s="355"/>
      <c r="I5000" s="355"/>
      <c r="J5000" s="355"/>
      <c r="K5000" s="355"/>
      <c r="L5000" s="355"/>
      <c r="M5000" s="355"/>
    </row>
    <row r="5001" spans="5:13">
      <c r="E5001" s="355"/>
      <c r="F5001" s="355"/>
      <c r="G5001" s="355"/>
      <c r="H5001" s="355"/>
      <c r="I5001" s="355"/>
      <c r="J5001" s="355"/>
      <c r="K5001" s="355"/>
      <c r="L5001" s="355"/>
      <c r="M5001" s="355"/>
    </row>
    <row r="5002" spans="5:13">
      <c r="E5002" s="355"/>
      <c r="F5002" s="355"/>
      <c r="G5002" s="355"/>
      <c r="H5002" s="355"/>
      <c r="I5002" s="355"/>
      <c r="J5002" s="355"/>
      <c r="K5002" s="355"/>
      <c r="L5002" s="355"/>
      <c r="M5002" s="355"/>
    </row>
    <row r="5003" spans="5:13">
      <c r="E5003" s="355"/>
      <c r="F5003" s="355"/>
      <c r="G5003" s="355"/>
      <c r="H5003" s="355"/>
      <c r="I5003" s="355"/>
      <c r="J5003" s="355"/>
      <c r="K5003" s="355"/>
      <c r="L5003" s="355"/>
      <c r="M5003" s="355"/>
    </row>
    <row r="5004" spans="5:13">
      <c r="E5004" s="355"/>
      <c r="F5004" s="355"/>
      <c r="G5004" s="355"/>
      <c r="H5004" s="355"/>
      <c r="I5004" s="355"/>
      <c r="J5004" s="355"/>
      <c r="K5004" s="355"/>
      <c r="L5004" s="355"/>
      <c r="M5004" s="355"/>
    </row>
    <row r="5005" spans="5:13">
      <c r="E5005" s="355"/>
      <c r="F5005" s="355"/>
      <c r="G5005" s="355"/>
      <c r="H5005" s="355"/>
      <c r="I5005" s="355"/>
      <c r="J5005" s="355"/>
      <c r="K5005" s="355"/>
      <c r="L5005" s="355"/>
      <c r="M5005" s="355"/>
    </row>
    <row r="5006" spans="5:13">
      <c r="E5006" s="355"/>
      <c r="F5006" s="355"/>
      <c r="G5006" s="355"/>
      <c r="H5006" s="355"/>
      <c r="I5006" s="355"/>
      <c r="J5006" s="355"/>
      <c r="K5006" s="355"/>
      <c r="L5006" s="355"/>
      <c r="M5006" s="355"/>
    </row>
    <row r="5007" spans="5:13">
      <c r="E5007" s="355"/>
      <c r="F5007" s="355"/>
      <c r="G5007" s="355"/>
      <c r="H5007" s="355"/>
      <c r="I5007" s="355"/>
      <c r="J5007" s="355"/>
      <c r="K5007" s="355"/>
      <c r="L5007" s="355"/>
      <c r="M5007" s="355"/>
    </row>
    <row r="5008" spans="5:13">
      <c r="E5008" s="355"/>
      <c r="F5008" s="355"/>
      <c r="G5008" s="355"/>
      <c r="H5008" s="355"/>
      <c r="I5008" s="355"/>
      <c r="J5008" s="355"/>
      <c r="K5008" s="355"/>
      <c r="L5008" s="355"/>
      <c r="M5008" s="355"/>
    </row>
    <row r="5009" spans="5:13">
      <c r="E5009" s="355"/>
      <c r="F5009" s="355"/>
      <c r="G5009" s="355"/>
      <c r="H5009" s="355"/>
      <c r="I5009" s="355"/>
      <c r="J5009" s="355"/>
      <c r="K5009" s="355"/>
      <c r="L5009" s="355"/>
      <c r="M5009" s="355"/>
    </row>
    <row r="5010" spans="5:13">
      <c r="E5010" s="355"/>
      <c r="F5010" s="355"/>
      <c r="G5010" s="355"/>
      <c r="H5010" s="355"/>
      <c r="I5010" s="355"/>
      <c r="J5010" s="355"/>
      <c r="K5010" s="355"/>
      <c r="L5010" s="355"/>
      <c r="M5010" s="355"/>
    </row>
    <row r="5011" spans="5:13">
      <c r="E5011" s="355"/>
      <c r="F5011" s="355"/>
      <c r="G5011" s="355"/>
      <c r="H5011" s="355"/>
      <c r="I5011" s="355"/>
      <c r="J5011" s="355"/>
      <c r="K5011" s="355"/>
      <c r="L5011" s="355"/>
      <c r="M5011" s="355"/>
    </row>
    <row r="5012" spans="5:13">
      <c r="E5012" s="355"/>
      <c r="F5012" s="355"/>
      <c r="G5012" s="355"/>
      <c r="H5012" s="355"/>
      <c r="I5012" s="355"/>
      <c r="J5012" s="355"/>
      <c r="K5012" s="355"/>
      <c r="L5012" s="355"/>
      <c r="M5012" s="355"/>
    </row>
    <row r="5013" spans="5:13">
      <c r="E5013" s="355"/>
      <c r="F5013" s="355"/>
      <c r="G5013" s="355"/>
      <c r="H5013" s="355"/>
      <c r="I5013" s="355"/>
      <c r="J5013" s="355"/>
      <c r="K5013" s="355"/>
      <c r="L5013" s="355"/>
      <c r="M5013" s="355"/>
    </row>
    <row r="5014" spans="5:13">
      <c r="E5014" s="355"/>
      <c r="F5014" s="355"/>
      <c r="G5014" s="355"/>
      <c r="H5014" s="355"/>
      <c r="I5014" s="355"/>
      <c r="J5014" s="355"/>
      <c r="K5014" s="355"/>
      <c r="L5014" s="355"/>
      <c r="M5014" s="355"/>
    </row>
    <row r="5015" spans="5:13">
      <c r="E5015" s="355"/>
      <c r="F5015" s="355"/>
      <c r="G5015" s="355"/>
      <c r="H5015" s="355"/>
      <c r="I5015" s="355"/>
      <c r="J5015" s="355"/>
      <c r="K5015" s="355"/>
      <c r="L5015" s="355"/>
      <c r="M5015" s="355"/>
    </row>
    <row r="5016" spans="5:13">
      <c r="E5016" s="355"/>
      <c r="F5016" s="355"/>
      <c r="G5016" s="355"/>
      <c r="H5016" s="355"/>
      <c r="I5016" s="355"/>
      <c r="J5016" s="355"/>
      <c r="K5016" s="355"/>
      <c r="L5016" s="355"/>
      <c r="M5016" s="355"/>
    </row>
    <row r="5017" spans="5:13">
      <c r="E5017" s="355"/>
      <c r="F5017" s="355"/>
      <c r="G5017" s="355"/>
      <c r="H5017" s="355"/>
      <c r="I5017" s="355"/>
      <c r="J5017" s="355"/>
      <c r="K5017" s="355"/>
      <c r="L5017" s="355"/>
      <c r="M5017" s="355"/>
    </row>
    <row r="5018" spans="5:13">
      <c r="E5018" s="355"/>
      <c r="F5018" s="355"/>
      <c r="G5018" s="355"/>
      <c r="H5018" s="355"/>
      <c r="I5018" s="355"/>
      <c r="J5018" s="355"/>
      <c r="K5018" s="355"/>
      <c r="L5018" s="355"/>
      <c r="M5018" s="355"/>
    </row>
    <row r="5019" spans="5:13">
      <c r="E5019" s="355"/>
      <c r="F5019" s="355"/>
      <c r="G5019" s="355"/>
      <c r="H5019" s="355"/>
      <c r="I5019" s="355"/>
      <c r="J5019" s="355"/>
      <c r="K5019" s="355"/>
      <c r="L5019" s="355"/>
      <c r="M5019" s="355"/>
    </row>
    <row r="5020" spans="5:13">
      <c r="E5020" s="355"/>
      <c r="F5020" s="355"/>
      <c r="G5020" s="355"/>
      <c r="H5020" s="355"/>
      <c r="I5020" s="355"/>
      <c r="J5020" s="355"/>
      <c r="K5020" s="355"/>
      <c r="L5020" s="355"/>
      <c r="M5020" s="355"/>
    </row>
    <row r="5021" spans="5:13">
      <c r="E5021" s="355"/>
      <c r="F5021" s="355"/>
      <c r="G5021" s="355"/>
      <c r="H5021" s="355"/>
      <c r="I5021" s="355"/>
      <c r="J5021" s="355"/>
      <c r="K5021" s="355"/>
      <c r="L5021" s="355"/>
      <c r="M5021" s="355"/>
    </row>
    <row r="5022" spans="5:13">
      <c r="E5022" s="355"/>
      <c r="F5022" s="355"/>
      <c r="G5022" s="355"/>
      <c r="H5022" s="355"/>
      <c r="I5022" s="355"/>
      <c r="J5022" s="355"/>
      <c r="K5022" s="355"/>
      <c r="L5022" s="355"/>
      <c r="M5022" s="355"/>
    </row>
    <row r="5023" spans="5:13">
      <c r="E5023" s="355"/>
      <c r="F5023" s="355"/>
      <c r="G5023" s="355"/>
      <c r="H5023" s="355"/>
      <c r="I5023" s="355"/>
      <c r="J5023" s="355"/>
      <c r="K5023" s="355"/>
      <c r="L5023" s="355"/>
      <c r="M5023" s="355"/>
    </row>
    <row r="5024" spans="5:13">
      <c r="E5024" s="355"/>
      <c r="F5024" s="355"/>
      <c r="G5024" s="355"/>
      <c r="H5024" s="355"/>
      <c r="I5024" s="355"/>
      <c r="J5024" s="355"/>
      <c r="K5024" s="355"/>
      <c r="L5024" s="355"/>
      <c r="M5024" s="355"/>
    </row>
    <row r="5025" spans="5:13">
      <c r="E5025" s="355"/>
      <c r="F5025" s="355"/>
      <c r="G5025" s="355"/>
      <c r="H5025" s="355"/>
      <c r="I5025" s="355"/>
      <c r="J5025" s="355"/>
      <c r="K5025" s="355"/>
      <c r="L5025" s="355"/>
      <c r="M5025" s="355"/>
    </row>
    <row r="5026" spans="5:13">
      <c r="E5026" s="355"/>
      <c r="F5026" s="355"/>
      <c r="G5026" s="355"/>
      <c r="H5026" s="355"/>
      <c r="I5026" s="355"/>
      <c r="J5026" s="355"/>
      <c r="K5026" s="355"/>
      <c r="L5026" s="355"/>
      <c r="M5026" s="355"/>
    </row>
    <row r="5027" spans="5:13">
      <c r="E5027" s="355"/>
      <c r="F5027" s="355"/>
      <c r="G5027" s="355"/>
      <c r="H5027" s="355"/>
      <c r="I5027" s="355"/>
      <c r="J5027" s="355"/>
      <c r="K5027" s="355"/>
      <c r="L5027" s="355"/>
      <c r="M5027" s="355"/>
    </row>
    <row r="5028" spans="5:13">
      <c r="E5028" s="355"/>
      <c r="F5028" s="355"/>
      <c r="G5028" s="355"/>
      <c r="H5028" s="355"/>
      <c r="I5028" s="355"/>
      <c r="J5028" s="355"/>
      <c r="K5028" s="355"/>
      <c r="L5028" s="355"/>
      <c r="M5028" s="355"/>
    </row>
    <row r="5029" spans="5:13">
      <c r="E5029" s="355"/>
      <c r="F5029" s="355"/>
      <c r="G5029" s="355"/>
      <c r="H5029" s="355"/>
      <c r="I5029" s="355"/>
      <c r="J5029" s="355"/>
      <c r="K5029" s="355"/>
      <c r="L5029" s="355"/>
      <c r="M5029" s="355"/>
    </row>
    <row r="5030" spans="5:13">
      <c r="E5030" s="355"/>
      <c r="F5030" s="355"/>
      <c r="G5030" s="355"/>
      <c r="H5030" s="355"/>
      <c r="I5030" s="355"/>
      <c r="J5030" s="355"/>
      <c r="K5030" s="355"/>
      <c r="L5030" s="355"/>
      <c r="M5030" s="355"/>
    </row>
    <row r="5031" spans="5:13">
      <c r="E5031" s="355"/>
      <c r="F5031" s="355"/>
      <c r="G5031" s="355"/>
      <c r="H5031" s="355"/>
      <c r="I5031" s="355"/>
      <c r="J5031" s="355"/>
      <c r="K5031" s="355"/>
      <c r="L5031" s="355"/>
      <c r="M5031" s="355"/>
    </row>
    <row r="5032" spans="5:13">
      <c r="E5032" s="355"/>
      <c r="F5032" s="355"/>
      <c r="G5032" s="355"/>
      <c r="H5032" s="355"/>
      <c r="I5032" s="355"/>
      <c r="J5032" s="355"/>
      <c r="K5032" s="355"/>
      <c r="L5032" s="355"/>
      <c r="M5032" s="355"/>
    </row>
    <row r="5033" spans="5:13">
      <c r="E5033" s="355"/>
      <c r="F5033" s="355"/>
      <c r="G5033" s="355"/>
      <c r="H5033" s="355"/>
      <c r="I5033" s="355"/>
      <c r="J5033" s="355"/>
      <c r="K5033" s="355"/>
      <c r="L5033" s="355"/>
      <c r="M5033" s="355"/>
    </row>
    <row r="5034" spans="5:13">
      <c r="E5034" s="355"/>
      <c r="F5034" s="355"/>
      <c r="G5034" s="355"/>
      <c r="H5034" s="355"/>
      <c r="I5034" s="355"/>
      <c r="J5034" s="355"/>
      <c r="K5034" s="355"/>
      <c r="L5034" s="355"/>
      <c r="M5034" s="355"/>
    </row>
    <row r="5035" spans="5:13">
      <c r="E5035" s="355"/>
      <c r="F5035" s="355"/>
      <c r="G5035" s="355"/>
      <c r="H5035" s="355"/>
      <c r="I5035" s="355"/>
      <c r="J5035" s="355"/>
      <c r="K5035" s="355"/>
      <c r="L5035" s="355"/>
      <c r="M5035" s="355"/>
    </row>
    <row r="5036" spans="5:13">
      <c r="E5036" s="355"/>
      <c r="F5036" s="355"/>
      <c r="G5036" s="355"/>
      <c r="H5036" s="355"/>
      <c r="I5036" s="355"/>
      <c r="J5036" s="355"/>
      <c r="K5036" s="355"/>
      <c r="L5036" s="355"/>
      <c r="M5036" s="355"/>
    </row>
    <row r="5037" spans="5:13">
      <c r="E5037" s="355"/>
      <c r="F5037" s="355"/>
      <c r="G5037" s="355"/>
      <c r="H5037" s="355"/>
      <c r="I5037" s="355"/>
      <c r="J5037" s="355"/>
      <c r="K5037" s="355"/>
      <c r="L5037" s="355"/>
      <c r="M5037" s="355"/>
    </row>
    <row r="5038" spans="5:13">
      <c r="E5038" s="355"/>
      <c r="F5038" s="355"/>
      <c r="G5038" s="355"/>
      <c r="H5038" s="355"/>
      <c r="I5038" s="355"/>
      <c r="J5038" s="355"/>
      <c r="K5038" s="355"/>
      <c r="L5038" s="355"/>
      <c r="M5038" s="355"/>
    </row>
    <row r="5039" spans="5:13">
      <c r="E5039" s="355"/>
      <c r="F5039" s="355"/>
      <c r="G5039" s="355"/>
      <c r="H5039" s="355"/>
      <c r="I5039" s="355"/>
      <c r="J5039" s="355"/>
      <c r="K5039" s="355"/>
      <c r="L5039" s="355"/>
      <c r="M5039" s="355"/>
    </row>
    <row r="5040" spans="5:13">
      <c r="E5040" s="355"/>
      <c r="F5040" s="355"/>
      <c r="G5040" s="355"/>
      <c r="H5040" s="355"/>
      <c r="I5040" s="355"/>
      <c r="J5040" s="355"/>
      <c r="K5040" s="355"/>
      <c r="L5040" s="355"/>
      <c r="M5040" s="355"/>
    </row>
    <row r="5041" spans="5:13">
      <c r="E5041" s="355"/>
      <c r="F5041" s="355"/>
      <c r="G5041" s="355"/>
      <c r="H5041" s="355"/>
      <c r="I5041" s="355"/>
      <c r="J5041" s="355"/>
      <c r="K5041" s="355"/>
      <c r="L5041" s="355"/>
      <c r="M5041" s="355"/>
    </row>
    <row r="5042" spans="5:13">
      <c r="E5042" s="355"/>
      <c r="F5042" s="355"/>
      <c r="G5042" s="355"/>
      <c r="H5042" s="355"/>
      <c r="I5042" s="355"/>
      <c r="J5042" s="355"/>
      <c r="K5042" s="355"/>
      <c r="L5042" s="355"/>
      <c r="M5042" s="355"/>
    </row>
    <row r="5043" spans="5:13">
      <c r="E5043" s="355"/>
      <c r="F5043" s="355"/>
      <c r="G5043" s="355"/>
      <c r="H5043" s="355"/>
      <c r="I5043" s="355"/>
      <c r="J5043" s="355"/>
      <c r="K5043" s="355"/>
      <c r="L5043" s="355"/>
      <c r="M5043" s="355"/>
    </row>
    <row r="5044" spans="5:13">
      <c r="E5044" s="355"/>
      <c r="F5044" s="355"/>
      <c r="G5044" s="355"/>
      <c r="H5044" s="355"/>
      <c r="I5044" s="355"/>
      <c r="J5044" s="355"/>
      <c r="K5044" s="355"/>
      <c r="L5044" s="355"/>
      <c r="M5044" s="355"/>
    </row>
    <row r="5045" spans="5:13">
      <c r="E5045" s="355"/>
      <c r="F5045" s="355"/>
      <c r="G5045" s="355"/>
      <c r="H5045" s="355"/>
      <c r="I5045" s="355"/>
      <c r="J5045" s="355"/>
      <c r="K5045" s="355"/>
      <c r="L5045" s="355"/>
      <c r="M5045" s="355"/>
    </row>
    <row r="5046" spans="5:13">
      <c r="E5046" s="355"/>
      <c r="F5046" s="355"/>
      <c r="G5046" s="355"/>
      <c r="H5046" s="355"/>
      <c r="I5046" s="355"/>
      <c r="J5046" s="355"/>
      <c r="K5046" s="355"/>
      <c r="L5046" s="355"/>
      <c r="M5046" s="355"/>
    </row>
    <row r="5047" spans="5:13">
      <c r="E5047" s="355"/>
      <c r="F5047" s="355"/>
      <c r="G5047" s="355"/>
      <c r="H5047" s="355"/>
      <c r="I5047" s="355"/>
      <c r="J5047" s="355"/>
      <c r="K5047" s="355"/>
      <c r="L5047" s="355"/>
      <c r="M5047" s="355"/>
    </row>
    <row r="5048" spans="5:13">
      <c r="E5048" s="355"/>
      <c r="F5048" s="355"/>
      <c r="G5048" s="355"/>
      <c r="H5048" s="355"/>
      <c r="I5048" s="355"/>
      <c r="J5048" s="355"/>
      <c r="K5048" s="355"/>
      <c r="L5048" s="355"/>
      <c r="M5048" s="355"/>
    </row>
    <row r="5049" spans="5:13">
      <c r="E5049" s="355"/>
      <c r="F5049" s="355"/>
      <c r="G5049" s="355"/>
      <c r="H5049" s="355"/>
      <c r="I5049" s="355"/>
      <c r="J5049" s="355"/>
      <c r="K5049" s="355"/>
      <c r="L5049" s="355"/>
      <c r="M5049" s="355"/>
    </row>
    <row r="5050" spans="5:13">
      <c r="E5050" s="355"/>
      <c r="F5050" s="355"/>
      <c r="G5050" s="355"/>
      <c r="H5050" s="355"/>
      <c r="I5050" s="355"/>
      <c r="J5050" s="355"/>
      <c r="K5050" s="355"/>
      <c r="L5050" s="355"/>
      <c r="M5050" s="355"/>
    </row>
    <row r="5051" spans="5:13">
      <c r="E5051" s="355"/>
      <c r="F5051" s="355"/>
      <c r="G5051" s="355"/>
      <c r="H5051" s="355"/>
      <c r="I5051" s="355"/>
      <c r="J5051" s="355"/>
      <c r="K5051" s="355"/>
      <c r="L5051" s="355"/>
      <c r="M5051" s="355"/>
    </row>
    <row r="5052" spans="5:13">
      <c r="E5052" s="355"/>
      <c r="F5052" s="355"/>
      <c r="G5052" s="355"/>
      <c r="H5052" s="355"/>
      <c r="I5052" s="355"/>
      <c r="J5052" s="355"/>
      <c r="K5052" s="355"/>
      <c r="L5052" s="355"/>
      <c r="M5052" s="355"/>
    </row>
    <row r="5053" spans="5:13">
      <c r="E5053" s="355"/>
      <c r="F5053" s="355"/>
      <c r="G5053" s="355"/>
      <c r="H5053" s="355"/>
      <c r="I5053" s="355"/>
      <c r="J5053" s="355"/>
      <c r="K5053" s="355"/>
      <c r="L5053" s="355"/>
      <c r="M5053" s="355"/>
    </row>
    <row r="5054" spans="5:13">
      <c r="E5054" s="355"/>
      <c r="F5054" s="355"/>
      <c r="G5054" s="355"/>
      <c r="H5054" s="355"/>
      <c r="I5054" s="355"/>
      <c r="J5054" s="355"/>
      <c r="K5054" s="355"/>
      <c r="L5054" s="355"/>
      <c r="M5054" s="355"/>
    </row>
    <row r="5055" spans="5:13">
      <c r="E5055" s="355"/>
      <c r="F5055" s="355"/>
      <c r="G5055" s="355"/>
      <c r="H5055" s="355"/>
      <c r="I5055" s="355"/>
      <c r="J5055" s="355"/>
      <c r="K5055" s="355"/>
      <c r="L5055" s="355"/>
      <c r="M5055" s="355"/>
    </row>
    <row r="5056" spans="5:13">
      <c r="E5056" s="355"/>
      <c r="F5056" s="355"/>
      <c r="G5056" s="355"/>
      <c r="H5056" s="355"/>
      <c r="I5056" s="355"/>
      <c r="J5056" s="355"/>
      <c r="K5056" s="355"/>
      <c r="L5056" s="355"/>
      <c r="M5056" s="355"/>
    </row>
    <row r="5057" spans="5:13">
      <c r="E5057" s="355"/>
      <c r="F5057" s="355"/>
      <c r="G5057" s="355"/>
      <c r="H5057" s="355"/>
      <c r="I5057" s="355"/>
      <c r="J5057" s="355"/>
      <c r="K5057" s="355"/>
      <c r="L5057" s="355"/>
      <c r="M5057" s="355"/>
    </row>
    <row r="5058" spans="5:13">
      <c r="E5058" s="355"/>
      <c r="F5058" s="355"/>
      <c r="G5058" s="355"/>
      <c r="H5058" s="355"/>
      <c r="I5058" s="355"/>
      <c r="J5058" s="355"/>
      <c r="K5058" s="355"/>
      <c r="L5058" s="355"/>
      <c r="M5058" s="355"/>
    </row>
    <row r="5059" spans="5:13">
      <c r="E5059" s="355"/>
      <c r="F5059" s="355"/>
      <c r="G5059" s="355"/>
      <c r="H5059" s="355"/>
      <c r="I5059" s="355"/>
      <c r="J5059" s="355"/>
      <c r="K5059" s="355"/>
      <c r="L5059" s="355"/>
      <c r="M5059" s="355"/>
    </row>
    <row r="5060" spans="5:13">
      <c r="E5060" s="355"/>
      <c r="F5060" s="355"/>
      <c r="G5060" s="355"/>
      <c r="H5060" s="355"/>
      <c r="I5060" s="355"/>
      <c r="J5060" s="355"/>
      <c r="K5060" s="355"/>
      <c r="L5060" s="355"/>
      <c r="M5060" s="355"/>
    </row>
    <row r="5061" spans="5:13">
      <c r="E5061" s="355"/>
      <c r="F5061" s="355"/>
      <c r="G5061" s="355"/>
      <c r="H5061" s="355"/>
      <c r="I5061" s="355"/>
      <c r="J5061" s="355"/>
      <c r="K5061" s="355"/>
      <c r="L5061" s="355"/>
      <c r="M5061" s="355"/>
    </row>
    <row r="5062" spans="5:13">
      <c r="E5062" s="355"/>
      <c r="F5062" s="355"/>
      <c r="G5062" s="355"/>
      <c r="H5062" s="355"/>
      <c r="I5062" s="355"/>
      <c r="J5062" s="355"/>
      <c r="K5062" s="355"/>
      <c r="L5062" s="355"/>
      <c r="M5062" s="355"/>
    </row>
    <row r="5063" spans="5:13">
      <c r="E5063" s="355"/>
      <c r="F5063" s="355"/>
      <c r="G5063" s="355"/>
      <c r="H5063" s="355"/>
      <c r="I5063" s="355"/>
      <c r="J5063" s="355"/>
      <c r="K5063" s="355"/>
      <c r="L5063" s="355"/>
      <c r="M5063" s="355"/>
    </row>
    <row r="5064" spans="5:13">
      <c r="E5064" s="355"/>
      <c r="F5064" s="355"/>
      <c r="G5064" s="355"/>
      <c r="H5064" s="355"/>
      <c r="I5064" s="355"/>
      <c r="J5064" s="355"/>
      <c r="K5064" s="355"/>
      <c r="L5064" s="355"/>
      <c r="M5064" s="355"/>
    </row>
    <row r="5065" spans="5:13">
      <c r="E5065" s="355"/>
      <c r="F5065" s="355"/>
      <c r="G5065" s="355"/>
      <c r="H5065" s="355"/>
      <c r="I5065" s="355"/>
      <c r="J5065" s="355"/>
      <c r="K5065" s="355"/>
      <c r="L5065" s="355"/>
      <c r="M5065" s="355"/>
    </row>
    <row r="5066" spans="5:13">
      <c r="E5066" s="355"/>
      <c r="F5066" s="355"/>
      <c r="G5066" s="355"/>
      <c r="H5066" s="355"/>
      <c r="I5066" s="355"/>
      <c r="J5066" s="355"/>
      <c r="K5066" s="355"/>
      <c r="L5066" s="355"/>
      <c r="M5066" s="355"/>
    </row>
    <row r="5067" spans="5:13">
      <c r="E5067" s="355"/>
      <c r="F5067" s="355"/>
      <c r="G5067" s="355"/>
      <c r="H5067" s="355"/>
      <c r="I5067" s="355"/>
      <c r="J5067" s="355"/>
      <c r="K5067" s="355"/>
      <c r="L5067" s="355"/>
      <c r="M5067" s="355"/>
    </row>
    <row r="5068" spans="5:13">
      <c r="E5068" s="355"/>
      <c r="F5068" s="355"/>
      <c r="G5068" s="355"/>
      <c r="H5068" s="355"/>
      <c r="I5068" s="355"/>
      <c r="J5068" s="355"/>
      <c r="K5068" s="355"/>
      <c r="L5068" s="355"/>
      <c r="M5068" s="355"/>
    </row>
    <row r="5069" spans="5:13">
      <c r="E5069" s="355"/>
      <c r="F5069" s="355"/>
      <c r="G5069" s="355"/>
      <c r="H5069" s="355"/>
      <c r="I5069" s="355"/>
      <c r="J5069" s="355"/>
      <c r="K5069" s="355"/>
      <c r="L5069" s="355"/>
      <c r="M5069" s="355"/>
    </row>
    <row r="5070" spans="5:13">
      <c r="E5070" s="355"/>
      <c r="F5070" s="355"/>
      <c r="G5070" s="355"/>
      <c r="H5070" s="355"/>
      <c r="I5070" s="355"/>
      <c r="J5070" s="355"/>
      <c r="K5070" s="355"/>
      <c r="L5070" s="355"/>
      <c r="M5070" s="355"/>
    </row>
    <row r="5071" spans="5:13">
      <c r="E5071" s="355"/>
      <c r="F5071" s="355"/>
      <c r="G5071" s="355"/>
      <c r="H5071" s="355"/>
      <c r="I5071" s="355"/>
      <c r="J5071" s="355"/>
      <c r="K5071" s="355"/>
      <c r="L5071" s="355"/>
      <c r="M5071" s="355"/>
    </row>
    <row r="5072" spans="5:13">
      <c r="E5072" s="355"/>
      <c r="F5072" s="355"/>
      <c r="G5072" s="355"/>
      <c r="H5072" s="355"/>
      <c r="I5072" s="355"/>
      <c r="J5072" s="355"/>
      <c r="K5072" s="355"/>
      <c r="L5072" s="355"/>
      <c r="M5072" s="355"/>
    </row>
    <row r="5073" spans="5:13">
      <c r="E5073" s="355"/>
      <c r="F5073" s="355"/>
      <c r="G5073" s="355"/>
      <c r="H5073" s="355"/>
      <c r="I5073" s="355"/>
      <c r="J5073" s="355"/>
      <c r="K5073" s="355"/>
      <c r="L5073" s="355"/>
      <c r="M5073" s="355"/>
    </row>
    <row r="5074" spans="5:13">
      <c r="E5074" s="355"/>
      <c r="F5074" s="355"/>
      <c r="G5074" s="355"/>
      <c r="H5074" s="355"/>
      <c r="I5074" s="355"/>
      <c r="J5074" s="355"/>
      <c r="K5074" s="355"/>
      <c r="L5074" s="355"/>
      <c r="M5074" s="355"/>
    </row>
    <row r="5075" spans="5:13">
      <c r="E5075" s="355"/>
      <c r="F5075" s="355"/>
      <c r="G5075" s="355"/>
      <c r="H5075" s="355"/>
      <c r="I5075" s="355"/>
      <c r="J5075" s="355"/>
      <c r="K5075" s="355"/>
      <c r="L5075" s="355"/>
      <c r="M5075" s="355"/>
    </row>
    <row r="5076" spans="5:13">
      <c r="E5076" s="355"/>
      <c r="F5076" s="355"/>
      <c r="G5076" s="355"/>
      <c r="H5076" s="355"/>
      <c r="I5076" s="355"/>
      <c r="J5076" s="355"/>
      <c r="K5076" s="355"/>
      <c r="L5076" s="355"/>
      <c r="M5076" s="355"/>
    </row>
    <row r="5077" spans="5:13">
      <c r="E5077" s="355"/>
      <c r="F5077" s="355"/>
      <c r="G5077" s="355"/>
      <c r="H5077" s="355"/>
      <c r="I5077" s="355"/>
      <c r="J5077" s="355"/>
      <c r="K5077" s="355"/>
      <c r="L5077" s="355"/>
      <c r="M5077" s="355"/>
    </row>
    <row r="5078" spans="5:13">
      <c r="E5078" s="355"/>
      <c r="F5078" s="355"/>
      <c r="G5078" s="355"/>
      <c r="H5078" s="355"/>
      <c r="I5078" s="355"/>
      <c r="J5078" s="355"/>
      <c r="K5078" s="355"/>
      <c r="L5078" s="355"/>
      <c r="M5078" s="355"/>
    </row>
    <row r="5079" spans="5:13">
      <c r="E5079" s="355"/>
      <c r="F5079" s="355"/>
      <c r="G5079" s="355"/>
      <c r="H5079" s="355"/>
      <c r="I5079" s="355"/>
      <c r="J5079" s="355"/>
      <c r="K5079" s="355"/>
      <c r="L5079" s="355"/>
      <c r="M5079" s="355"/>
    </row>
    <row r="5080" spans="5:13">
      <c r="E5080" s="355"/>
      <c r="F5080" s="355"/>
      <c r="G5080" s="355"/>
      <c r="H5080" s="355"/>
      <c r="I5080" s="355"/>
      <c r="J5080" s="355"/>
      <c r="K5080" s="355"/>
      <c r="L5080" s="355"/>
      <c r="M5080" s="355"/>
    </row>
    <row r="5081" spans="5:13">
      <c r="E5081" s="355"/>
      <c r="F5081" s="355"/>
      <c r="G5081" s="355"/>
      <c r="H5081" s="355"/>
      <c r="I5081" s="355"/>
      <c r="J5081" s="355"/>
      <c r="K5081" s="355"/>
      <c r="L5081" s="355"/>
      <c r="M5081" s="355"/>
    </row>
    <row r="5082" spans="5:13">
      <c r="E5082" s="355"/>
      <c r="F5082" s="355"/>
      <c r="G5082" s="355"/>
      <c r="H5082" s="355"/>
      <c r="I5082" s="355"/>
      <c r="J5082" s="355"/>
      <c r="K5082" s="355"/>
      <c r="L5082" s="355"/>
      <c r="M5082" s="355"/>
    </row>
    <row r="5083" spans="5:13">
      <c r="E5083" s="355"/>
      <c r="F5083" s="355"/>
      <c r="G5083" s="355"/>
      <c r="H5083" s="355"/>
      <c r="I5083" s="355"/>
      <c r="J5083" s="355"/>
      <c r="K5083" s="355"/>
      <c r="L5083" s="355"/>
      <c r="M5083" s="355"/>
    </row>
    <row r="5084" spans="5:13">
      <c r="E5084" s="355"/>
      <c r="F5084" s="355"/>
      <c r="G5084" s="355"/>
      <c r="H5084" s="355"/>
      <c r="I5084" s="355"/>
      <c r="J5084" s="355"/>
      <c r="K5084" s="355"/>
      <c r="L5084" s="355"/>
      <c r="M5084" s="355"/>
    </row>
    <row r="5085" spans="5:13">
      <c r="E5085" s="355"/>
      <c r="F5085" s="355"/>
      <c r="G5085" s="355"/>
      <c r="H5085" s="355"/>
      <c r="I5085" s="355"/>
      <c r="J5085" s="355"/>
      <c r="K5085" s="355"/>
      <c r="L5085" s="355"/>
      <c r="M5085" s="355"/>
    </row>
    <row r="5086" spans="5:13">
      <c r="E5086" s="355"/>
      <c r="F5086" s="355"/>
      <c r="G5086" s="355"/>
      <c r="H5086" s="355"/>
      <c r="I5086" s="355"/>
      <c r="J5086" s="355"/>
      <c r="K5086" s="355"/>
      <c r="L5086" s="355"/>
      <c r="M5086" s="355"/>
    </row>
    <row r="5087" spans="5:13">
      <c r="E5087" s="355"/>
      <c r="F5087" s="355"/>
      <c r="G5087" s="355"/>
      <c r="H5087" s="355"/>
      <c r="I5087" s="355"/>
      <c r="J5087" s="355"/>
      <c r="K5087" s="355"/>
      <c r="L5087" s="355"/>
      <c r="M5087" s="355"/>
    </row>
    <row r="5088" spans="5:13">
      <c r="E5088" s="355"/>
      <c r="F5088" s="355"/>
      <c r="G5088" s="355"/>
      <c r="H5088" s="355"/>
      <c r="I5088" s="355"/>
      <c r="J5088" s="355"/>
      <c r="K5088" s="355"/>
      <c r="L5088" s="355"/>
      <c r="M5088" s="355"/>
    </row>
    <row r="5089" spans="5:13">
      <c r="E5089" s="355"/>
      <c r="F5089" s="355"/>
      <c r="G5089" s="355"/>
      <c r="H5089" s="355"/>
      <c r="I5089" s="355"/>
      <c r="J5089" s="355"/>
      <c r="K5089" s="355"/>
      <c r="L5089" s="355"/>
      <c r="M5089" s="355"/>
    </row>
    <row r="5090" spans="5:13">
      <c r="E5090" s="355"/>
      <c r="F5090" s="355"/>
      <c r="G5090" s="355"/>
      <c r="H5090" s="355"/>
      <c r="I5090" s="355"/>
      <c r="J5090" s="355"/>
      <c r="K5090" s="355"/>
      <c r="L5090" s="355"/>
      <c r="M5090" s="355"/>
    </row>
    <row r="5091" spans="5:13">
      <c r="E5091" s="355"/>
      <c r="F5091" s="355"/>
      <c r="G5091" s="355"/>
      <c r="H5091" s="355"/>
      <c r="I5091" s="355"/>
      <c r="J5091" s="355"/>
      <c r="K5091" s="355"/>
      <c r="L5091" s="355"/>
      <c r="M5091" s="355"/>
    </row>
    <row r="5092" spans="5:13">
      <c r="E5092" s="355"/>
      <c r="F5092" s="355"/>
      <c r="G5092" s="355"/>
      <c r="H5092" s="355"/>
      <c r="I5092" s="355"/>
      <c r="J5092" s="355"/>
      <c r="K5092" s="355"/>
      <c r="L5092" s="355"/>
      <c r="M5092" s="355"/>
    </row>
    <row r="5093" spans="5:13">
      <c r="E5093" s="355"/>
      <c r="F5093" s="355"/>
      <c r="G5093" s="355"/>
      <c r="H5093" s="355"/>
      <c r="I5093" s="355"/>
      <c r="J5093" s="355"/>
      <c r="K5093" s="355"/>
      <c r="L5093" s="355"/>
      <c r="M5093" s="355"/>
    </row>
    <row r="5094" spans="5:13">
      <c r="E5094" s="355"/>
      <c r="F5094" s="355"/>
      <c r="G5094" s="355"/>
      <c r="H5094" s="355"/>
      <c r="I5094" s="355"/>
      <c r="J5094" s="355"/>
      <c r="K5094" s="355"/>
      <c r="L5094" s="355"/>
      <c r="M5094" s="355"/>
    </row>
    <row r="5095" spans="5:13">
      <c r="E5095" s="355"/>
      <c r="F5095" s="355"/>
      <c r="G5095" s="355"/>
      <c r="H5095" s="355"/>
      <c r="I5095" s="355"/>
      <c r="J5095" s="355"/>
      <c r="K5095" s="355"/>
      <c r="L5095" s="355"/>
      <c r="M5095" s="355"/>
    </row>
    <row r="5096" spans="5:13">
      <c r="E5096" s="355"/>
      <c r="F5096" s="355"/>
      <c r="G5096" s="355"/>
      <c r="H5096" s="355"/>
      <c r="I5096" s="355"/>
      <c r="J5096" s="355"/>
      <c r="K5096" s="355"/>
      <c r="L5096" s="355"/>
      <c r="M5096" s="355"/>
    </row>
    <row r="5097" spans="5:13">
      <c r="E5097" s="355"/>
      <c r="F5097" s="355"/>
      <c r="G5097" s="355"/>
      <c r="H5097" s="355"/>
      <c r="I5097" s="355"/>
      <c r="J5097" s="355"/>
      <c r="K5097" s="355"/>
      <c r="L5097" s="355"/>
      <c r="M5097" s="355"/>
    </row>
    <row r="5098" spans="5:13">
      <c r="E5098" s="355"/>
      <c r="F5098" s="355"/>
      <c r="G5098" s="355"/>
      <c r="H5098" s="355"/>
      <c r="I5098" s="355"/>
      <c r="J5098" s="355"/>
      <c r="K5098" s="355"/>
      <c r="L5098" s="355"/>
      <c r="M5098" s="355"/>
    </row>
    <row r="5099" spans="5:13">
      <c r="E5099" s="355"/>
      <c r="F5099" s="355"/>
      <c r="G5099" s="355"/>
      <c r="H5099" s="355"/>
      <c r="I5099" s="355"/>
      <c r="J5099" s="355"/>
      <c r="K5099" s="355"/>
      <c r="L5099" s="355"/>
      <c r="M5099" s="355"/>
    </row>
    <row r="5100" spans="5:13">
      <c r="E5100" s="355"/>
      <c r="F5100" s="355"/>
      <c r="G5100" s="355"/>
      <c r="H5100" s="355"/>
      <c r="I5100" s="355"/>
      <c r="J5100" s="355"/>
      <c r="K5100" s="355"/>
      <c r="L5100" s="355"/>
      <c r="M5100" s="355"/>
    </row>
    <row r="5101" spans="5:13">
      <c r="E5101" s="355"/>
      <c r="F5101" s="355"/>
      <c r="G5101" s="355"/>
      <c r="H5101" s="355"/>
      <c r="I5101" s="355"/>
      <c r="J5101" s="355"/>
      <c r="K5101" s="355"/>
      <c r="L5101" s="355"/>
      <c r="M5101" s="355"/>
    </row>
    <row r="5102" spans="5:13">
      <c r="E5102" s="355"/>
      <c r="F5102" s="355"/>
      <c r="G5102" s="355"/>
      <c r="H5102" s="355"/>
      <c r="I5102" s="355"/>
      <c r="J5102" s="355"/>
      <c r="K5102" s="355"/>
      <c r="L5102" s="355"/>
      <c r="M5102" s="355"/>
    </row>
    <row r="5103" spans="5:13">
      <c r="E5103" s="355"/>
      <c r="F5103" s="355"/>
      <c r="G5103" s="355"/>
      <c r="H5103" s="355"/>
      <c r="I5103" s="355"/>
      <c r="J5103" s="355"/>
      <c r="K5103" s="355"/>
      <c r="L5103" s="355"/>
      <c r="M5103" s="355"/>
    </row>
    <row r="5104" spans="5:13">
      <c r="E5104" s="355"/>
      <c r="F5104" s="355"/>
      <c r="G5104" s="355"/>
      <c r="H5104" s="355"/>
      <c r="I5104" s="355"/>
      <c r="J5104" s="355"/>
      <c r="K5104" s="355"/>
      <c r="L5104" s="355"/>
      <c r="M5104" s="355"/>
    </row>
    <row r="5105" spans="5:13">
      <c r="E5105" s="355"/>
      <c r="F5105" s="355"/>
      <c r="G5105" s="355"/>
      <c r="H5105" s="355"/>
      <c r="I5105" s="355"/>
      <c r="J5105" s="355"/>
      <c r="K5105" s="355"/>
      <c r="L5105" s="355"/>
      <c r="M5105" s="355"/>
    </row>
    <row r="5106" spans="5:13">
      <c r="E5106" s="355"/>
      <c r="F5106" s="355"/>
      <c r="G5106" s="355"/>
      <c r="H5106" s="355"/>
      <c r="I5106" s="355"/>
      <c r="J5106" s="355"/>
      <c r="K5106" s="355"/>
      <c r="L5106" s="355"/>
      <c r="M5106" s="355"/>
    </row>
    <row r="5107" spans="5:13">
      <c r="E5107" s="355"/>
      <c r="F5107" s="355"/>
      <c r="G5107" s="355"/>
      <c r="H5107" s="355"/>
      <c r="I5107" s="355"/>
      <c r="J5107" s="355"/>
      <c r="K5107" s="355"/>
      <c r="L5107" s="355"/>
      <c r="M5107" s="355"/>
    </row>
    <row r="5108" spans="5:13">
      <c r="E5108" s="355"/>
      <c r="F5108" s="355"/>
      <c r="G5108" s="355"/>
      <c r="H5108" s="355"/>
      <c r="I5108" s="355"/>
      <c r="J5108" s="355"/>
      <c r="K5108" s="355"/>
      <c r="L5108" s="355"/>
      <c r="M5108" s="355"/>
    </row>
    <row r="5109" spans="5:13">
      <c r="E5109" s="355"/>
      <c r="F5109" s="355"/>
      <c r="G5109" s="355"/>
      <c r="H5109" s="355"/>
      <c r="I5109" s="355"/>
      <c r="J5109" s="355"/>
      <c r="K5109" s="355"/>
      <c r="L5109" s="355"/>
      <c r="M5109" s="355"/>
    </row>
    <row r="5110" spans="5:13">
      <c r="E5110" s="355"/>
      <c r="F5110" s="355"/>
      <c r="G5110" s="355"/>
      <c r="H5110" s="355"/>
      <c r="I5110" s="355"/>
      <c r="J5110" s="355"/>
      <c r="K5110" s="355"/>
      <c r="L5110" s="355"/>
      <c r="M5110" s="355"/>
    </row>
    <row r="5111" spans="5:13">
      <c r="E5111" s="355"/>
      <c r="F5111" s="355"/>
      <c r="G5111" s="355"/>
      <c r="H5111" s="355"/>
      <c r="I5111" s="355"/>
      <c r="J5111" s="355"/>
      <c r="K5111" s="355"/>
      <c r="L5111" s="355"/>
      <c r="M5111" s="355"/>
    </row>
    <row r="5112" spans="5:13">
      <c r="E5112" s="355"/>
      <c r="F5112" s="355"/>
      <c r="G5112" s="355"/>
      <c r="H5112" s="355"/>
      <c r="I5112" s="355"/>
      <c r="J5112" s="355"/>
      <c r="K5112" s="355"/>
      <c r="L5112" s="355"/>
      <c r="M5112" s="355"/>
    </row>
    <row r="5113" spans="5:13">
      <c r="E5113" s="355"/>
      <c r="F5113" s="355"/>
      <c r="G5113" s="355"/>
      <c r="H5113" s="355"/>
      <c r="I5113" s="355"/>
      <c r="J5113" s="355"/>
      <c r="K5113" s="355"/>
      <c r="L5113" s="355"/>
      <c r="M5113" s="355"/>
    </row>
    <row r="5114" spans="5:13">
      <c r="E5114" s="355"/>
      <c r="F5114" s="355"/>
      <c r="G5114" s="355"/>
      <c r="H5114" s="355"/>
      <c r="I5114" s="355"/>
      <c r="J5114" s="355"/>
      <c r="K5114" s="355"/>
      <c r="L5114" s="355"/>
      <c r="M5114" s="355"/>
    </row>
    <row r="5115" spans="5:13">
      <c r="E5115" s="355"/>
      <c r="F5115" s="355"/>
      <c r="G5115" s="355"/>
      <c r="H5115" s="355"/>
      <c r="I5115" s="355"/>
      <c r="J5115" s="355"/>
      <c r="K5115" s="355"/>
      <c r="L5115" s="355"/>
      <c r="M5115" s="355"/>
    </row>
    <row r="5116" spans="5:13">
      <c r="E5116" s="355"/>
      <c r="F5116" s="355"/>
      <c r="G5116" s="355"/>
      <c r="H5116" s="355"/>
      <c r="I5116" s="355"/>
      <c r="J5116" s="355"/>
      <c r="K5116" s="355"/>
      <c r="L5116" s="355"/>
      <c r="M5116" s="355"/>
    </row>
    <row r="5117" spans="5:13">
      <c r="E5117" s="355"/>
      <c r="F5117" s="355"/>
      <c r="G5117" s="355"/>
      <c r="H5117" s="355"/>
      <c r="I5117" s="355"/>
      <c r="J5117" s="355"/>
      <c r="K5117" s="355"/>
      <c r="L5117" s="355"/>
      <c r="M5117" s="355"/>
    </row>
    <row r="5118" spans="5:13">
      <c r="E5118" s="355"/>
      <c r="F5118" s="355"/>
      <c r="G5118" s="355"/>
      <c r="H5118" s="355"/>
      <c r="I5118" s="355"/>
      <c r="J5118" s="355"/>
      <c r="K5118" s="355"/>
      <c r="L5118" s="355"/>
      <c r="M5118" s="355"/>
    </row>
    <row r="5119" spans="5:13">
      <c r="E5119" s="355"/>
      <c r="F5119" s="355"/>
      <c r="G5119" s="355"/>
      <c r="H5119" s="355"/>
      <c r="I5119" s="355"/>
      <c r="J5119" s="355"/>
      <c r="K5119" s="355"/>
      <c r="L5119" s="355"/>
      <c r="M5119" s="355"/>
    </row>
    <row r="5120" spans="5:13">
      <c r="E5120" s="355"/>
      <c r="F5120" s="355"/>
      <c r="G5120" s="355"/>
      <c r="H5120" s="355"/>
      <c r="I5120" s="355"/>
      <c r="J5120" s="355"/>
      <c r="K5120" s="355"/>
      <c r="L5120" s="355"/>
      <c r="M5120" s="355"/>
    </row>
    <row r="5121" spans="5:13">
      <c r="E5121" s="355"/>
      <c r="F5121" s="355"/>
      <c r="G5121" s="355"/>
      <c r="H5121" s="355"/>
      <c r="I5121" s="355"/>
      <c r="J5121" s="355"/>
      <c r="K5121" s="355"/>
      <c r="L5121" s="355"/>
      <c r="M5121" s="355"/>
    </row>
    <row r="5122" spans="5:13">
      <c r="E5122" s="355"/>
      <c r="F5122" s="355"/>
      <c r="G5122" s="355"/>
      <c r="H5122" s="355"/>
      <c r="I5122" s="355"/>
      <c r="J5122" s="355"/>
      <c r="K5122" s="355"/>
      <c r="L5122" s="355"/>
      <c r="M5122" s="355"/>
    </row>
    <row r="5123" spans="5:13">
      <c r="E5123" s="355"/>
      <c r="F5123" s="355"/>
      <c r="G5123" s="355"/>
      <c r="H5123" s="355"/>
      <c r="I5123" s="355"/>
      <c r="J5123" s="355"/>
      <c r="K5123" s="355"/>
      <c r="L5123" s="355"/>
      <c r="M5123" s="355"/>
    </row>
    <row r="5124" spans="5:13">
      <c r="E5124" s="355"/>
      <c r="F5124" s="355"/>
      <c r="G5124" s="355"/>
      <c r="H5124" s="355"/>
      <c r="I5124" s="355"/>
      <c r="J5124" s="355"/>
      <c r="K5124" s="355"/>
      <c r="L5124" s="355"/>
      <c r="M5124" s="355"/>
    </row>
    <row r="5125" spans="5:13">
      <c r="E5125" s="355"/>
      <c r="F5125" s="355"/>
      <c r="G5125" s="355"/>
      <c r="H5125" s="355"/>
      <c r="I5125" s="355"/>
      <c r="J5125" s="355"/>
      <c r="K5125" s="355"/>
      <c r="L5125" s="355"/>
      <c r="M5125" s="355"/>
    </row>
    <row r="5126" spans="5:13">
      <c r="E5126" s="355"/>
      <c r="F5126" s="355"/>
      <c r="G5126" s="355"/>
      <c r="H5126" s="355"/>
      <c r="I5126" s="355"/>
      <c r="J5126" s="355"/>
      <c r="K5126" s="355"/>
      <c r="L5126" s="355"/>
      <c r="M5126" s="355"/>
    </row>
    <row r="5127" spans="5:13">
      <c r="E5127" s="355"/>
      <c r="F5127" s="355"/>
      <c r="G5127" s="355"/>
      <c r="H5127" s="355"/>
      <c r="I5127" s="355"/>
      <c r="J5127" s="355"/>
      <c r="K5127" s="355"/>
      <c r="L5127" s="355"/>
      <c r="M5127" s="355"/>
    </row>
    <row r="5128" spans="5:13">
      <c r="E5128" s="355"/>
      <c r="F5128" s="355"/>
      <c r="G5128" s="355"/>
      <c r="H5128" s="355"/>
      <c r="I5128" s="355"/>
      <c r="J5128" s="355"/>
      <c r="K5128" s="355"/>
      <c r="L5128" s="355"/>
      <c r="M5128" s="355"/>
    </row>
    <row r="5129" spans="5:13">
      <c r="E5129" s="355"/>
      <c r="F5129" s="355"/>
      <c r="G5129" s="355"/>
      <c r="H5129" s="355"/>
      <c r="I5129" s="355"/>
      <c r="J5129" s="355"/>
      <c r="K5129" s="355"/>
      <c r="L5129" s="355"/>
      <c r="M5129" s="355"/>
    </row>
    <row r="5130" spans="5:13">
      <c r="E5130" s="355"/>
      <c r="F5130" s="355"/>
      <c r="G5130" s="355"/>
      <c r="H5130" s="355"/>
      <c r="I5130" s="355"/>
      <c r="J5130" s="355"/>
      <c r="K5130" s="355"/>
      <c r="L5130" s="355"/>
      <c r="M5130" s="355"/>
    </row>
    <row r="5131" spans="5:13">
      <c r="E5131" s="355"/>
      <c r="F5131" s="355"/>
      <c r="G5131" s="355"/>
      <c r="H5131" s="355"/>
      <c r="I5131" s="355"/>
      <c r="J5131" s="355"/>
      <c r="K5131" s="355"/>
      <c r="L5131" s="355"/>
      <c r="M5131" s="355"/>
    </row>
    <row r="5132" spans="5:13">
      <c r="E5132" s="355"/>
      <c r="F5132" s="355"/>
      <c r="G5132" s="355"/>
      <c r="H5132" s="355"/>
      <c r="I5132" s="355"/>
      <c r="J5132" s="355"/>
      <c r="K5132" s="355"/>
      <c r="L5132" s="355"/>
      <c r="M5132" s="355"/>
    </row>
    <row r="5133" spans="5:13">
      <c r="E5133" s="355"/>
      <c r="F5133" s="355"/>
      <c r="G5133" s="355"/>
      <c r="H5133" s="355"/>
      <c r="I5133" s="355"/>
      <c r="J5133" s="355"/>
      <c r="K5133" s="355"/>
      <c r="L5133" s="355"/>
      <c r="M5133" s="355"/>
    </row>
    <row r="5134" spans="5:13">
      <c r="E5134" s="355"/>
      <c r="F5134" s="355"/>
      <c r="G5134" s="355"/>
      <c r="H5134" s="355"/>
      <c r="I5134" s="355"/>
      <c r="J5134" s="355"/>
      <c r="K5134" s="355"/>
      <c r="L5134" s="355"/>
      <c r="M5134" s="355"/>
    </row>
    <row r="5135" spans="5:13">
      <c r="E5135" s="355"/>
      <c r="F5135" s="355"/>
      <c r="G5135" s="355"/>
      <c r="H5135" s="355"/>
      <c r="I5135" s="355"/>
      <c r="J5135" s="355"/>
      <c r="K5135" s="355"/>
      <c r="L5135" s="355"/>
      <c r="M5135" s="355"/>
    </row>
    <row r="5136" spans="5:13">
      <c r="E5136" s="355"/>
      <c r="F5136" s="355"/>
      <c r="G5136" s="355"/>
      <c r="H5136" s="355"/>
      <c r="I5136" s="355"/>
      <c r="J5136" s="355"/>
      <c r="K5136" s="355"/>
      <c r="L5136" s="355"/>
      <c r="M5136" s="355"/>
    </row>
    <row r="5137" spans="5:13">
      <c r="E5137" s="355"/>
      <c r="F5137" s="355"/>
      <c r="G5137" s="355"/>
      <c r="H5137" s="355"/>
      <c r="I5137" s="355"/>
      <c r="J5137" s="355"/>
      <c r="K5137" s="355"/>
      <c r="L5137" s="355"/>
      <c r="M5137" s="355"/>
    </row>
    <row r="5138" spans="5:13">
      <c r="E5138" s="355"/>
      <c r="F5138" s="355"/>
      <c r="G5138" s="355"/>
      <c r="H5138" s="355"/>
      <c r="I5138" s="355"/>
      <c r="J5138" s="355"/>
      <c r="K5138" s="355"/>
      <c r="L5138" s="355"/>
      <c r="M5138" s="355"/>
    </row>
    <row r="5139" spans="5:13">
      <c r="E5139" s="355"/>
      <c r="F5139" s="355"/>
      <c r="G5139" s="355"/>
      <c r="H5139" s="355"/>
      <c r="I5139" s="355"/>
      <c r="J5139" s="355"/>
      <c r="K5139" s="355"/>
      <c r="L5139" s="355"/>
      <c r="M5139" s="355"/>
    </row>
    <row r="5140" spans="5:13">
      <c r="E5140" s="355"/>
      <c r="F5140" s="355"/>
      <c r="G5140" s="355"/>
      <c r="H5140" s="355"/>
      <c r="I5140" s="355"/>
      <c r="J5140" s="355"/>
      <c r="K5140" s="355"/>
      <c r="L5140" s="355"/>
      <c r="M5140" s="355"/>
    </row>
    <row r="5141" spans="5:13">
      <c r="E5141" s="355"/>
      <c r="F5141" s="355"/>
      <c r="G5141" s="355"/>
      <c r="H5141" s="355"/>
      <c r="I5141" s="355"/>
      <c r="J5141" s="355"/>
      <c r="K5141" s="355"/>
      <c r="L5141" s="355"/>
      <c r="M5141" s="355"/>
    </row>
    <row r="5142" spans="5:13">
      <c r="E5142" s="355"/>
      <c r="F5142" s="355"/>
      <c r="G5142" s="355"/>
      <c r="H5142" s="355"/>
      <c r="I5142" s="355"/>
      <c r="J5142" s="355"/>
      <c r="K5142" s="355"/>
      <c r="L5142" s="355"/>
      <c r="M5142" s="355"/>
    </row>
    <row r="5143" spans="5:13">
      <c r="E5143" s="355"/>
      <c r="F5143" s="355"/>
      <c r="G5143" s="355"/>
      <c r="H5143" s="355"/>
      <c r="I5143" s="355"/>
      <c r="J5143" s="355"/>
      <c r="K5143" s="355"/>
      <c r="L5143" s="355"/>
      <c r="M5143" s="355"/>
    </row>
    <row r="5144" spans="5:13">
      <c r="E5144" s="355"/>
      <c r="F5144" s="355"/>
      <c r="G5144" s="355"/>
      <c r="H5144" s="355"/>
      <c r="I5144" s="355"/>
      <c r="J5144" s="355"/>
      <c r="K5144" s="355"/>
      <c r="L5144" s="355"/>
      <c r="M5144" s="355"/>
    </row>
    <row r="5145" spans="5:13">
      <c r="E5145" s="355"/>
      <c r="F5145" s="355"/>
      <c r="G5145" s="355"/>
      <c r="H5145" s="355"/>
      <c r="I5145" s="355"/>
      <c r="J5145" s="355"/>
      <c r="K5145" s="355"/>
      <c r="L5145" s="355"/>
      <c r="M5145" s="355"/>
    </row>
    <row r="5146" spans="5:13">
      <c r="E5146" s="355"/>
      <c r="F5146" s="355"/>
      <c r="G5146" s="355"/>
      <c r="H5146" s="355"/>
      <c r="I5146" s="355"/>
      <c r="J5146" s="355"/>
      <c r="K5146" s="355"/>
      <c r="L5146" s="355"/>
      <c r="M5146" s="355"/>
    </row>
    <row r="5147" spans="5:13">
      <c r="E5147" s="355"/>
      <c r="F5147" s="355"/>
      <c r="G5147" s="355"/>
      <c r="H5147" s="355"/>
      <c r="I5147" s="355"/>
      <c r="J5147" s="355"/>
      <c r="K5147" s="355"/>
      <c r="L5147" s="355"/>
      <c r="M5147" s="355"/>
    </row>
    <row r="5148" spans="5:13">
      <c r="E5148" s="355"/>
      <c r="F5148" s="355"/>
      <c r="G5148" s="355"/>
      <c r="H5148" s="355"/>
      <c r="I5148" s="355"/>
      <c r="J5148" s="355"/>
      <c r="K5148" s="355"/>
      <c r="L5148" s="355"/>
      <c r="M5148" s="355"/>
    </row>
    <row r="5149" spans="5:13">
      <c r="E5149" s="355"/>
      <c r="F5149" s="355"/>
      <c r="G5149" s="355"/>
      <c r="H5149" s="355"/>
      <c r="I5149" s="355"/>
      <c r="J5149" s="355"/>
      <c r="K5149" s="355"/>
      <c r="L5149" s="355"/>
      <c r="M5149" s="355"/>
    </row>
    <row r="5150" spans="5:13">
      <c r="E5150" s="355"/>
      <c r="F5150" s="355"/>
      <c r="G5150" s="355"/>
      <c r="H5150" s="355"/>
      <c r="I5150" s="355"/>
      <c r="J5150" s="355"/>
      <c r="K5150" s="355"/>
      <c r="L5150" s="355"/>
      <c r="M5150" s="355"/>
    </row>
    <row r="5151" spans="5:13">
      <c r="E5151" s="355"/>
      <c r="F5151" s="355"/>
      <c r="G5151" s="355"/>
      <c r="H5151" s="355"/>
      <c r="I5151" s="355"/>
      <c r="J5151" s="355"/>
      <c r="K5151" s="355"/>
      <c r="L5151" s="355"/>
      <c r="M5151" s="355"/>
    </row>
    <row r="5152" spans="5:13">
      <c r="E5152" s="355"/>
      <c r="F5152" s="355"/>
      <c r="G5152" s="355"/>
      <c r="H5152" s="355"/>
      <c r="I5152" s="355"/>
      <c r="J5152" s="355"/>
      <c r="K5152" s="355"/>
      <c r="L5152" s="355"/>
      <c r="M5152" s="355"/>
    </row>
    <row r="5153" spans="5:13">
      <c r="E5153" s="355"/>
      <c r="F5153" s="355"/>
      <c r="G5153" s="355"/>
      <c r="H5153" s="355"/>
      <c r="I5153" s="355"/>
      <c r="J5153" s="355"/>
      <c r="K5153" s="355"/>
      <c r="L5153" s="355"/>
      <c r="M5153" s="355"/>
    </row>
    <row r="5154" spans="5:13">
      <c r="E5154" s="355"/>
      <c r="F5154" s="355"/>
      <c r="G5154" s="355"/>
      <c r="H5154" s="355"/>
      <c r="I5154" s="355"/>
      <c r="J5154" s="355"/>
      <c r="K5154" s="355"/>
      <c r="L5154" s="355"/>
      <c r="M5154" s="355"/>
    </row>
    <row r="5155" spans="5:13">
      <c r="E5155" s="355"/>
      <c r="F5155" s="355"/>
      <c r="G5155" s="355"/>
      <c r="H5155" s="355"/>
      <c r="I5155" s="355"/>
      <c r="J5155" s="355"/>
      <c r="K5155" s="355"/>
      <c r="L5155" s="355"/>
      <c r="M5155" s="355"/>
    </row>
    <row r="5156" spans="5:13">
      <c r="E5156" s="355"/>
      <c r="F5156" s="355"/>
      <c r="G5156" s="355"/>
      <c r="H5156" s="355"/>
      <c r="I5156" s="355"/>
      <c r="J5156" s="355"/>
      <c r="K5156" s="355"/>
      <c r="L5156" s="355"/>
      <c r="M5156" s="355"/>
    </row>
    <row r="5157" spans="5:13">
      <c r="E5157" s="355"/>
      <c r="F5157" s="355"/>
      <c r="G5157" s="355"/>
      <c r="H5157" s="355"/>
      <c r="I5157" s="355"/>
      <c r="J5157" s="355"/>
      <c r="K5157" s="355"/>
      <c r="L5157" s="355"/>
      <c r="M5157" s="355"/>
    </row>
    <row r="5158" spans="5:13">
      <c r="E5158" s="355"/>
      <c r="F5158" s="355"/>
      <c r="G5158" s="355"/>
      <c r="H5158" s="355"/>
      <c r="I5158" s="355"/>
      <c r="J5158" s="355"/>
      <c r="K5158" s="355"/>
      <c r="L5158" s="355"/>
      <c r="M5158" s="355"/>
    </row>
    <row r="5159" spans="5:13">
      <c r="E5159" s="355"/>
      <c r="F5159" s="355"/>
      <c r="G5159" s="355"/>
      <c r="H5159" s="355"/>
      <c r="I5159" s="355"/>
      <c r="J5159" s="355"/>
      <c r="K5159" s="355"/>
      <c r="L5159" s="355"/>
      <c r="M5159" s="355"/>
    </row>
    <row r="5160" spans="5:13">
      <c r="E5160" s="355"/>
      <c r="F5160" s="355"/>
      <c r="G5160" s="355"/>
      <c r="H5160" s="355"/>
      <c r="I5160" s="355"/>
      <c r="J5160" s="355"/>
      <c r="K5160" s="355"/>
      <c r="L5160" s="355"/>
      <c r="M5160" s="355"/>
    </row>
    <row r="5161" spans="5:13">
      <c r="E5161" s="355"/>
      <c r="F5161" s="355"/>
      <c r="G5161" s="355"/>
      <c r="H5161" s="355"/>
      <c r="I5161" s="355"/>
      <c r="J5161" s="355"/>
      <c r="K5161" s="355"/>
      <c r="L5161" s="355"/>
      <c r="M5161" s="355"/>
    </row>
    <row r="5162" spans="5:13">
      <c r="E5162" s="355"/>
      <c r="F5162" s="355"/>
      <c r="G5162" s="355"/>
      <c r="H5162" s="355"/>
      <c r="I5162" s="355"/>
      <c r="J5162" s="355"/>
      <c r="K5162" s="355"/>
      <c r="L5162" s="355"/>
      <c r="M5162" s="355"/>
    </row>
    <row r="5163" spans="5:13">
      <c r="E5163" s="355"/>
      <c r="F5163" s="355"/>
      <c r="G5163" s="355"/>
      <c r="H5163" s="355"/>
      <c r="I5163" s="355"/>
      <c r="J5163" s="355"/>
      <c r="K5163" s="355"/>
      <c r="L5163" s="355"/>
      <c r="M5163" s="355"/>
    </row>
    <row r="5164" spans="5:13">
      <c r="E5164" s="355"/>
      <c r="F5164" s="355"/>
      <c r="G5164" s="355"/>
      <c r="H5164" s="355"/>
      <c r="I5164" s="355"/>
      <c r="J5164" s="355"/>
      <c r="K5164" s="355"/>
      <c r="L5164" s="355"/>
      <c r="M5164" s="355"/>
    </row>
    <row r="5165" spans="5:13">
      <c r="E5165" s="355"/>
      <c r="F5165" s="355"/>
      <c r="G5165" s="355"/>
      <c r="H5165" s="355"/>
      <c r="I5165" s="355"/>
      <c r="J5165" s="355"/>
      <c r="K5165" s="355"/>
      <c r="L5165" s="355"/>
      <c r="M5165" s="355"/>
    </row>
    <row r="5166" spans="5:13">
      <c r="E5166" s="355"/>
      <c r="F5166" s="355"/>
      <c r="G5166" s="355"/>
      <c r="H5166" s="355"/>
      <c r="I5166" s="355"/>
      <c r="J5166" s="355"/>
      <c r="K5166" s="355"/>
      <c r="L5166" s="355"/>
      <c r="M5166" s="355"/>
    </row>
    <row r="5167" spans="5:13">
      <c r="E5167" s="355"/>
      <c r="F5167" s="355"/>
      <c r="G5167" s="355"/>
      <c r="H5167" s="355"/>
      <c r="I5167" s="355"/>
      <c r="J5167" s="355"/>
      <c r="K5167" s="355"/>
      <c r="L5167" s="355"/>
      <c r="M5167" s="355"/>
    </row>
    <row r="5168" spans="5:13">
      <c r="E5168" s="355"/>
      <c r="F5168" s="355"/>
      <c r="G5168" s="355"/>
      <c r="H5168" s="355"/>
      <c r="I5168" s="355"/>
      <c r="J5168" s="355"/>
      <c r="K5168" s="355"/>
      <c r="L5168" s="355"/>
      <c r="M5168" s="355"/>
    </row>
    <row r="5169" spans="5:13">
      <c r="E5169" s="355"/>
      <c r="F5169" s="355"/>
      <c r="G5169" s="355"/>
      <c r="H5169" s="355"/>
      <c r="I5169" s="355"/>
      <c r="J5169" s="355"/>
      <c r="K5169" s="355"/>
      <c r="L5169" s="355"/>
      <c r="M5169" s="355"/>
    </row>
    <row r="5170" spans="5:13">
      <c r="E5170" s="355"/>
      <c r="F5170" s="355"/>
      <c r="G5170" s="355"/>
      <c r="H5170" s="355"/>
      <c r="I5170" s="355"/>
      <c r="J5170" s="355"/>
      <c r="K5170" s="355"/>
      <c r="L5170" s="355"/>
      <c r="M5170" s="355"/>
    </row>
    <row r="5171" spans="5:13">
      <c r="E5171" s="355"/>
      <c r="F5171" s="355"/>
      <c r="G5171" s="355"/>
      <c r="H5171" s="355"/>
      <c r="I5171" s="355"/>
      <c r="J5171" s="355"/>
      <c r="K5171" s="355"/>
      <c r="L5171" s="355"/>
      <c r="M5171" s="355"/>
    </row>
    <row r="5172" spans="5:13">
      <c r="E5172" s="355"/>
      <c r="F5172" s="355"/>
      <c r="G5172" s="355"/>
      <c r="H5172" s="355"/>
      <c r="I5172" s="355"/>
      <c r="J5172" s="355"/>
      <c r="K5172" s="355"/>
      <c r="L5172" s="355"/>
      <c r="M5172" s="355"/>
    </row>
    <row r="5173" spans="5:13">
      <c r="E5173" s="355"/>
      <c r="F5173" s="355"/>
      <c r="G5173" s="355"/>
      <c r="H5173" s="355"/>
      <c r="I5173" s="355"/>
      <c r="J5173" s="355"/>
      <c r="K5173" s="355"/>
      <c r="L5173" s="355"/>
      <c r="M5173" s="355"/>
    </row>
    <row r="5174" spans="5:13">
      <c r="E5174" s="355"/>
      <c r="F5174" s="355"/>
      <c r="G5174" s="355"/>
      <c r="H5174" s="355"/>
      <c r="I5174" s="355"/>
      <c r="J5174" s="355"/>
      <c r="K5174" s="355"/>
      <c r="L5174" s="355"/>
      <c r="M5174" s="355"/>
    </row>
    <row r="5175" spans="5:13">
      <c r="E5175" s="355"/>
      <c r="F5175" s="355"/>
      <c r="G5175" s="355"/>
      <c r="H5175" s="355"/>
      <c r="I5175" s="355"/>
      <c r="J5175" s="355"/>
      <c r="K5175" s="355"/>
      <c r="L5175" s="355"/>
      <c r="M5175" s="355"/>
    </row>
    <row r="5176" spans="5:13">
      <c r="E5176" s="355"/>
      <c r="F5176" s="355"/>
      <c r="G5176" s="355"/>
      <c r="H5176" s="355"/>
      <c r="I5176" s="355"/>
      <c r="J5176" s="355"/>
      <c r="K5176" s="355"/>
      <c r="L5176" s="355"/>
      <c r="M5176" s="355"/>
    </row>
    <row r="5177" spans="5:13">
      <c r="E5177" s="355"/>
      <c r="F5177" s="355"/>
      <c r="G5177" s="355"/>
      <c r="H5177" s="355"/>
      <c r="I5177" s="355"/>
      <c r="J5177" s="355"/>
      <c r="K5177" s="355"/>
      <c r="L5177" s="355"/>
      <c r="M5177" s="355"/>
    </row>
    <row r="5178" spans="5:13">
      <c r="E5178" s="355"/>
      <c r="F5178" s="355"/>
      <c r="G5178" s="355"/>
      <c r="H5178" s="355"/>
      <c r="I5178" s="355"/>
      <c r="J5178" s="355"/>
      <c r="K5178" s="355"/>
      <c r="L5178" s="355"/>
      <c r="M5178" s="355"/>
    </row>
    <row r="5179" spans="5:13">
      <c r="E5179" s="355"/>
      <c r="F5179" s="355"/>
      <c r="G5179" s="355"/>
      <c r="H5179" s="355"/>
      <c r="I5179" s="355"/>
      <c r="J5179" s="355"/>
      <c r="K5179" s="355"/>
      <c r="L5179" s="355"/>
      <c r="M5179" s="355"/>
    </row>
    <row r="5180" spans="5:13">
      <c r="E5180" s="355"/>
      <c r="F5180" s="355"/>
      <c r="G5180" s="355"/>
      <c r="H5180" s="355"/>
      <c r="I5180" s="355"/>
      <c r="J5180" s="355"/>
      <c r="K5180" s="355"/>
      <c r="L5180" s="355"/>
      <c r="M5180" s="355"/>
    </row>
    <row r="5181" spans="5:13">
      <c r="E5181" s="355"/>
      <c r="F5181" s="355"/>
      <c r="G5181" s="355"/>
      <c r="H5181" s="355"/>
      <c r="I5181" s="355"/>
      <c r="J5181" s="355"/>
      <c r="K5181" s="355"/>
      <c r="L5181" s="355"/>
      <c r="M5181" s="355"/>
    </row>
    <row r="5182" spans="5:13">
      <c r="E5182" s="355"/>
      <c r="F5182" s="355"/>
      <c r="G5182" s="355"/>
      <c r="H5182" s="355"/>
      <c r="I5182" s="355"/>
      <c r="J5182" s="355"/>
      <c r="K5182" s="355"/>
      <c r="L5182" s="355"/>
      <c r="M5182" s="355"/>
    </row>
    <row r="5183" spans="5:13">
      <c r="E5183" s="355"/>
      <c r="F5183" s="355"/>
      <c r="G5183" s="355"/>
      <c r="H5183" s="355"/>
      <c r="I5183" s="355"/>
      <c r="J5183" s="355"/>
      <c r="K5183" s="355"/>
      <c r="L5183" s="355"/>
      <c r="M5183" s="355"/>
    </row>
    <row r="5184" spans="5:13">
      <c r="E5184" s="355"/>
      <c r="F5184" s="355"/>
      <c r="G5184" s="355"/>
      <c r="H5184" s="355"/>
      <c r="I5184" s="355"/>
      <c r="J5184" s="355"/>
      <c r="K5184" s="355"/>
      <c r="L5184" s="355"/>
      <c r="M5184" s="355"/>
    </row>
    <row r="5185" spans="5:13">
      <c r="E5185" s="355"/>
      <c r="F5185" s="355"/>
      <c r="G5185" s="355"/>
      <c r="H5185" s="355"/>
      <c r="I5185" s="355"/>
      <c r="J5185" s="355"/>
      <c r="K5185" s="355"/>
      <c r="L5185" s="355"/>
      <c r="M5185" s="355"/>
    </row>
    <row r="5186" spans="5:13">
      <c r="E5186" s="355"/>
      <c r="F5186" s="355"/>
      <c r="G5186" s="355"/>
      <c r="H5186" s="355"/>
      <c r="I5186" s="355"/>
      <c r="J5186" s="355"/>
      <c r="K5186" s="355"/>
      <c r="L5186" s="355"/>
      <c r="M5186" s="355"/>
    </row>
    <row r="5187" spans="5:13">
      <c r="E5187" s="355"/>
      <c r="F5187" s="355"/>
      <c r="G5187" s="355"/>
      <c r="H5187" s="355"/>
      <c r="I5187" s="355"/>
      <c r="J5187" s="355"/>
      <c r="K5187" s="355"/>
      <c r="L5187" s="355"/>
      <c r="M5187" s="355"/>
    </row>
    <row r="5188" spans="5:13">
      <c r="E5188" s="355"/>
      <c r="F5188" s="355"/>
      <c r="G5188" s="355"/>
      <c r="H5188" s="355"/>
      <c r="I5188" s="355"/>
      <c r="J5188" s="355"/>
      <c r="K5188" s="355"/>
      <c r="L5188" s="355"/>
      <c r="M5188" s="355"/>
    </row>
    <row r="5189" spans="5:13">
      <c r="E5189" s="355"/>
      <c r="F5189" s="355"/>
      <c r="G5189" s="355"/>
      <c r="H5189" s="355"/>
      <c r="I5189" s="355"/>
      <c r="J5189" s="355"/>
      <c r="K5189" s="355"/>
      <c r="L5189" s="355"/>
      <c r="M5189" s="355"/>
    </row>
    <row r="5190" spans="5:13">
      <c r="E5190" s="355"/>
      <c r="F5190" s="355"/>
      <c r="G5190" s="355"/>
      <c r="H5190" s="355"/>
      <c r="I5190" s="355"/>
      <c r="J5190" s="355"/>
      <c r="K5190" s="355"/>
      <c r="L5190" s="355"/>
      <c r="M5190" s="355"/>
    </row>
    <row r="5191" spans="5:13">
      <c r="E5191" s="355"/>
      <c r="F5191" s="355"/>
      <c r="G5191" s="355"/>
      <c r="H5191" s="355"/>
      <c r="I5191" s="355"/>
      <c r="J5191" s="355"/>
      <c r="K5191" s="355"/>
      <c r="L5191" s="355"/>
      <c r="M5191" s="355"/>
    </row>
    <row r="5192" spans="5:13">
      <c r="E5192" s="355"/>
      <c r="F5192" s="355"/>
      <c r="G5192" s="355"/>
      <c r="H5192" s="355"/>
      <c r="I5192" s="355"/>
      <c r="J5192" s="355"/>
      <c r="K5192" s="355"/>
      <c r="L5192" s="355"/>
      <c r="M5192" s="355"/>
    </row>
    <row r="5193" spans="5:13">
      <c r="E5193" s="355"/>
      <c r="F5193" s="355"/>
      <c r="G5193" s="355"/>
      <c r="H5193" s="355"/>
      <c r="I5193" s="355"/>
      <c r="J5193" s="355"/>
      <c r="K5193" s="355"/>
      <c r="L5193" s="355"/>
      <c r="M5193" s="355"/>
    </row>
    <row r="5194" spans="5:13">
      <c r="E5194" s="355"/>
      <c r="F5194" s="355"/>
      <c r="G5194" s="355"/>
      <c r="H5194" s="355"/>
      <c r="I5194" s="355"/>
      <c r="J5194" s="355"/>
      <c r="K5194" s="355"/>
      <c r="L5194" s="355"/>
      <c r="M5194" s="355"/>
    </row>
    <row r="5195" spans="5:13">
      <c r="E5195" s="355"/>
      <c r="F5195" s="355"/>
      <c r="G5195" s="355"/>
      <c r="H5195" s="355"/>
      <c r="I5195" s="355"/>
      <c r="J5195" s="355"/>
      <c r="K5195" s="355"/>
      <c r="L5195" s="355"/>
      <c r="M5195" s="355"/>
    </row>
    <row r="5196" spans="5:13">
      <c r="E5196" s="355"/>
      <c r="F5196" s="355"/>
      <c r="G5196" s="355"/>
      <c r="H5196" s="355"/>
      <c r="I5196" s="355"/>
      <c r="J5196" s="355"/>
      <c r="K5196" s="355"/>
      <c r="L5196" s="355"/>
      <c r="M5196" s="355"/>
    </row>
    <row r="5197" spans="5:13">
      <c r="E5197" s="355"/>
      <c r="F5197" s="355"/>
      <c r="G5197" s="355"/>
      <c r="H5197" s="355"/>
      <c r="I5197" s="355"/>
      <c r="J5197" s="355"/>
      <c r="K5197" s="355"/>
      <c r="L5197" s="355"/>
      <c r="M5197" s="355"/>
    </row>
    <row r="5198" spans="5:13">
      <c r="E5198" s="355"/>
      <c r="F5198" s="355"/>
      <c r="G5198" s="355"/>
      <c r="H5198" s="355"/>
      <c r="I5198" s="355"/>
      <c r="J5198" s="355"/>
      <c r="K5198" s="355"/>
      <c r="L5198" s="355"/>
      <c r="M5198" s="355"/>
    </row>
    <row r="5199" spans="5:13">
      <c r="E5199" s="355"/>
      <c r="F5199" s="355"/>
      <c r="G5199" s="355"/>
      <c r="H5199" s="355"/>
      <c r="I5199" s="355"/>
      <c r="J5199" s="355"/>
      <c r="K5199" s="355"/>
      <c r="L5199" s="355"/>
      <c r="M5199" s="355"/>
    </row>
    <row r="5200" spans="5:13">
      <c r="E5200" s="355"/>
      <c r="F5200" s="355"/>
      <c r="G5200" s="355"/>
      <c r="H5200" s="355"/>
      <c r="I5200" s="355"/>
      <c r="J5200" s="355"/>
      <c r="K5200" s="355"/>
      <c r="L5200" s="355"/>
      <c r="M5200" s="355"/>
    </row>
    <row r="5201" spans="5:13">
      <c r="E5201" s="355"/>
      <c r="F5201" s="355"/>
      <c r="G5201" s="355"/>
      <c r="H5201" s="355"/>
      <c r="I5201" s="355"/>
      <c r="J5201" s="355"/>
      <c r="K5201" s="355"/>
      <c r="L5201" s="355"/>
      <c r="M5201" s="355"/>
    </row>
    <row r="5202" spans="5:13">
      <c r="E5202" s="355"/>
      <c r="F5202" s="355"/>
      <c r="G5202" s="355"/>
      <c r="H5202" s="355"/>
      <c r="I5202" s="355"/>
      <c r="J5202" s="355"/>
      <c r="K5202" s="355"/>
      <c r="L5202" s="355"/>
      <c r="M5202" s="355"/>
    </row>
    <row r="5203" spans="5:13">
      <c r="E5203" s="355"/>
      <c r="F5203" s="355"/>
      <c r="G5203" s="355"/>
      <c r="H5203" s="355"/>
      <c r="I5203" s="355"/>
      <c r="J5203" s="355"/>
      <c r="K5203" s="355"/>
      <c r="L5203" s="355"/>
      <c r="M5203" s="355"/>
    </row>
    <row r="5204" spans="5:13">
      <c r="E5204" s="355"/>
      <c r="F5204" s="355"/>
      <c r="G5204" s="355"/>
      <c r="H5204" s="355"/>
      <c r="I5204" s="355"/>
      <c r="J5204" s="355"/>
      <c r="K5204" s="355"/>
      <c r="L5204" s="355"/>
      <c r="M5204" s="355"/>
    </row>
    <row r="5205" spans="5:13">
      <c r="E5205" s="355"/>
      <c r="F5205" s="355"/>
      <c r="G5205" s="355"/>
      <c r="H5205" s="355"/>
      <c r="I5205" s="355"/>
      <c r="J5205" s="355"/>
      <c r="K5205" s="355"/>
      <c r="L5205" s="355"/>
      <c r="M5205" s="355"/>
    </row>
    <row r="5206" spans="5:13">
      <c r="E5206" s="355"/>
      <c r="F5206" s="355"/>
      <c r="G5206" s="355"/>
      <c r="H5206" s="355"/>
      <c r="I5206" s="355"/>
      <c r="J5206" s="355"/>
      <c r="K5206" s="355"/>
      <c r="L5206" s="355"/>
      <c r="M5206" s="355"/>
    </row>
    <row r="5207" spans="5:13">
      <c r="E5207" s="355"/>
      <c r="F5207" s="355"/>
      <c r="G5207" s="355"/>
      <c r="H5207" s="355"/>
      <c r="I5207" s="355"/>
      <c r="J5207" s="355"/>
      <c r="K5207" s="355"/>
      <c r="L5207" s="355"/>
      <c r="M5207" s="355"/>
    </row>
    <row r="5208" spans="5:13">
      <c r="E5208" s="355"/>
      <c r="F5208" s="355"/>
      <c r="G5208" s="355"/>
      <c r="H5208" s="355"/>
      <c r="I5208" s="355"/>
      <c r="J5208" s="355"/>
      <c r="K5208" s="355"/>
      <c r="L5208" s="355"/>
      <c r="M5208" s="355"/>
    </row>
    <row r="5209" spans="5:13">
      <c r="E5209" s="355"/>
      <c r="F5209" s="355"/>
      <c r="G5209" s="355"/>
      <c r="H5209" s="355"/>
      <c r="I5209" s="355"/>
      <c r="J5209" s="355"/>
      <c r="K5209" s="355"/>
      <c r="L5209" s="355"/>
      <c r="M5209" s="355"/>
    </row>
    <row r="5210" spans="5:13">
      <c r="E5210" s="355"/>
      <c r="F5210" s="355"/>
      <c r="G5210" s="355"/>
      <c r="H5210" s="355"/>
      <c r="I5210" s="355"/>
      <c r="J5210" s="355"/>
      <c r="K5210" s="355"/>
      <c r="L5210" s="355"/>
      <c r="M5210" s="355"/>
    </row>
    <row r="5211" spans="5:13">
      <c r="E5211" s="355"/>
      <c r="F5211" s="355"/>
      <c r="G5211" s="355"/>
      <c r="H5211" s="355"/>
      <c r="I5211" s="355"/>
      <c r="J5211" s="355"/>
      <c r="K5211" s="355"/>
      <c r="L5211" s="355"/>
      <c r="M5211" s="355"/>
    </row>
    <row r="5212" spans="5:13">
      <c r="E5212" s="355"/>
      <c r="F5212" s="355"/>
      <c r="G5212" s="355"/>
      <c r="H5212" s="355"/>
      <c r="I5212" s="355"/>
      <c r="J5212" s="355"/>
      <c r="K5212" s="355"/>
      <c r="L5212" s="355"/>
      <c r="M5212" s="355"/>
    </row>
    <row r="5213" spans="5:13">
      <c r="E5213" s="355"/>
      <c r="F5213" s="355"/>
      <c r="G5213" s="355"/>
      <c r="H5213" s="355"/>
      <c r="I5213" s="355"/>
      <c r="J5213" s="355"/>
      <c r="K5213" s="355"/>
      <c r="L5213" s="355"/>
      <c r="M5213" s="355"/>
    </row>
    <row r="5214" spans="5:13">
      <c r="E5214" s="355"/>
      <c r="F5214" s="355"/>
      <c r="G5214" s="355"/>
      <c r="H5214" s="355"/>
      <c r="I5214" s="355"/>
      <c r="J5214" s="355"/>
      <c r="K5214" s="355"/>
      <c r="L5214" s="355"/>
      <c r="M5214" s="355"/>
    </row>
    <row r="5215" spans="5:13">
      <c r="E5215" s="355"/>
      <c r="F5215" s="355"/>
      <c r="G5215" s="355"/>
      <c r="H5215" s="355"/>
      <c r="I5215" s="355"/>
      <c r="J5215" s="355"/>
      <c r="K5215" s="355"/>
      <c r="L5215" s="355"/>
      <c r="M5215" s="355"/>
    </row>
    <row r="5216" spans="5:13">
      <c r="E5216" s="355"/>
      <c r="F5216" s="355"/>
      <c r="G5216" s="355"/>
      <c r="H5216" s="355"/>
      <c r="I5216" s="355"/>
      <c r="J5216" s="355"/>
      <c r="K5216" s="355"/>
      <c r="L5216" s="355"/>
      <c r="M5216" s="355"/>
    </row>
    <row r="5217" spans="5:13">
      <c r="E5217" s="355"/>
      <c r="F5217" s="355"/>
      <c r="G5217" s="355"/>
      <c r="H5217" s="355"/>
      <c r="I5217" s="355"/>
      <c r="J5217" s="355"/>
      <c r="K5217" s="355"/>
      <c r="L5217" s="355"/>
      <c r="M5217" s="355"/>
    </row>
    <row r="5218" spans="5:13">
      <c r="E5218" s="355"/>
      <c r="F5218" s="355"/>
      <c r="G5218" s="355"/>
      <c r="H5218" s="355"/>
      <c r="I5218" s="355"/>
      <c r="J5218" s="355"/>
      <c r="K5218" s="355"/>
      <c r="L5218" s="355"/>
      <c r="M5218" s="355"/>
    </row>
    <row r="5219" spans="5:13">
      <c r="E5219" s="355"/>
      <c r="F5219" s="355"/>
      <c r="G5219" s="355"/>
      <c r="H5219" s="355"/>
      <c r="I5219" s="355"/>
      <c r="J5219" s="355"/>
      <c r="K5219" s="355"/>
      <c r="L5219" s="355"/>
      <c r="M5219" s="355"/>
    </row>
    <row r="5220" spans="5:13">
      <c r="E5220" s="355"/>
      <c r="F5220" s="355"/>
      <c r="G5220" s="355"/>
      <c r="H5220" s="355"/>
      <c r="I5220" s="355"/>
      <c r="J5220" s="355"/>
      <c r="K5220" s="355"/>
      <c r="L5220" s="355"/>
      <c r="M5220" s="355"/>
    </row>
    <row r="5221" spans="5:13">
      <c r="E5221" s="355"/>
      <c r="F5221" s="355"/>
      <c r="G5221" s="355"/>
      <c r="H5221" s="355"/>
      <c r="I5221" s="355"/>
      <c r="J5221" s="355"/>
      <c r="K5221" s="355"/>
      <c r="L5221" s="355"/>
      <c r="M5221" s="355"/>
    </row>
    <row r="5222" spans="5:13">
      <c r="E5222" s="355"/>
      <c r="F5222" s="355"/>
      <c r="G5222" s="355"/>
      <c r="H5222" s="355"/>
      <c r="I5222" s="355"/>
      <c r="J5222" s="355"/>
      <c r="K5222" s="355"/>
      <c r="L5222" s="355"/>
      <c r="M5222" s="355"/>
    </row>
    <row r="5223" spans="5:13">
      <c r="E5223" s="355"/>
      <c r="F5223" s="355"/>
      <c r="G5223" s="355"/>
      <c r="H5223" s="355"/>
      <c r="I5223" s="355"/>
      <c r="J5223" s="355"/>
      <c r="K5223" s="355"/>
      <c r="L5223" s="355"/>
      <c r="M5223" s="355"/>
    </row>
    <row r="5224" spans="5:13">
      <c r="E5224" s="355"/>
      <c r="F5224" s="355"/>
      <c r="G5224" s="355"/>
      <c r="H5224" s="355"/>
      <c r="I5224" s="355"/>
      <c r="J5224" s="355"/>
      <c r="K5224" s="355"/>
      <c r="L5224" s="355"/>
      <c r="M5224" s="355"/>
    </row>
    <row r="5225" spans="5:13">
      <c r="E5225" s="355"/>
      <c r="F5225" s="355"/>
      <c r="G5225" s="355"/>
      <c r="H5225" s="355"/>
      <c r="I5225" s="355"/>
      <c r="J5225" s="355"/>
      <c r="K5225" s="355"/>
      <c r="L5225" s="355"/>
      <c r="M5225" s="355"/>
    </row>
    <row r="5226" spans="5:13">
      <c r="E5226" s="355"/>
      <c r="F5226" s="355"/>
      <c r="G5226" s="355"/>
      <c r="H5226" s="355"/>
      <c r="I5226" s="355"/>
      <c r="J5226" s="355"/>
      <c r="K5226" s="355"/>
      <c r="L5226" s="355"/>
      <c r="M5226" s="355"/>
    </row>
    <row r="5227" spans="5:13">
      <c r="E5227" s="355"/>
      <c r="F5227" s="355"/>
      <c r="G5227" s="355"/>
      <c r="H5227" s="355"/>
      <c r="I5227" s="355"/>
      <c r="J5227" s="355"/>
      <c r="K5227" s="355"/>
      <c r="L5227" s="355"/>
      <c r="M5227" s="355"/>
    </row>
    <row r="5228" spans="5:13">
      <c r="E5228" s="355"/>
      <c r="F5228" s="355"/>
      <c r="G5228" s="355"/>
      <c r="H5228" s="355"/>
      <c r="I5228" s="355"/>
      <c r="J5228" s="355"/>
      <c r="K5228" s="355"/>
      <c r="L5228" s="355"/>
      <c r="M5228" s="355"/>
    </row>
    <row r="5229" spans="5:13">
      <c r="E5229" s="355"/>
      <c r="F5229" s="355"/>
      <c r="G5229" s="355"/>
      <c r="H5229" s="355"/>
      <c r="I5229" s="355"/>
      <c r="J5229" s="355"/>
      <c r="K5229" s="355"/>
      <c r="L5229" s="355"/>
      <c r="M5229" s="355"/>
    </row>
    <row r="5230" spans="5:13">
      <c r="E5230" s="355"/>
      <c r="F5230" s="355"/>
      <c r="G5230" s="355"/>
      <c r="H5230" s="355"/>
      <c r="I5230" s="355"/>
      <c r="J5230" s="355"/>
      <c r="K5230" s="355"/>
      <c r="L5230" s="355"/>
      <c r="M5230" s="355"/>
    </row>
    <row r="5231" spans="5:13">
      <c r="E5231" s="355"/>
      <c r="F5231" s="355"/>
      <c r="G5231" s="355"/>
      <c r="H5231" s="355"/>
      <c r="I5231" s="355"/>
      <c r="J5231" s="355"/>
      <c r="K5231" s="355"/>
      <c r="L5231" s="355"/>
      <c r="M5231" s="355"/>
    </row>
    <row r="5232" spans="5:13">
      <c r="E5232" s="355"/>
      <c r="F5232" s="355"/>
      <c r="G5232" s="355"/>
      <c r="H5232" s="355"/>
      <c r="I5232" s="355"/>
      <c r="J5232" s="355"/>
      <c r="K5232" s="355"/>
      <c r="L5232" s="355"/>
      <c r="M5232" s="355"/>
    </row>
    <row r="5233" spans="5:13">
      <c r="E5233" s="355"/>
      <c r="F5233" s="355"/>
      <c r="G5233" s="355"/>
      <c r="H5233" s="355"/>
      <c r="I5233" s="355"/>
      <c r="J5233" s="355"/>
      <c r="K5233" s="355"/>
      <c r="L5233" s="355"/>
      <c r="M5233" s="355"/>
    </row>
    <row r="5234" spans="5:13">
      <c r="E5234" s="355"/>
      <c r="F5234" s="355"/>
      <c r="G5234" s="355"/>
      <c r="H5234" s="355"/>
      <c r="I5234" s="355"/>
      <c r="J5234" s="355"/>
      <c r="K5234" s="355"/>
      <c r="L5234" s="355"/>
      <c r="M5234" s="355"/>
    </row>
    <row r="5235" spans="5:13">
      <c r="E5235" s="355"/>
      <c r="F5235" s="355"/>
      <c r="G5235" s="355"/>
      <c r="H5235" s="355"/>
      <c r="I5235" s="355"/>
      <c r="J5235" s="355"/>
      <c r="K5235" s="355"/>
      <c r="L5235" s="355"/>
      <c r="M5235" s="355"/>
    </row>
    <row r="5236" spans="5:13">
      <c r="E5236" s="355"/>
      <c r="F5236" s="355"/>
      <c r="G5236" s="355"/>
      <c r="H5236" s="355"/>
      <c r="I5236" s="355"/>
      <c r="J5236" s="355"/>
      <c r="K5236" s="355"/>
      <c r="L5236" s="355"/>
      <c r="M5236" s="355"/>
    </row>
    <row r="5237" spans="5:13">
      <c r="E5237" s="355"/>
      <c r="F5237" s="355"/>
      <c r="G5237" s="355"/>
      <c r="H5237" s="355"/>
      <c r="I5237" s="355"/>
      <c r="J5237" s="355"/>
      <c r="K5237" s="355"/>
      <c r="L5237" s="355"/>
      <c r="M5237" s="355"/>
    </row>
    <row r="5238" spans="5:13">
      <c r="E5238" s="355"/>
      <c r="F5238" s="355"/>
      <c r="G5238" s="355"/>
      <c r="H5238" s="355"/>
      <c r="I5238" s="355"/>
      <c r="J5238" s="355"/>
      <c r="K5238" s="355"/>
      <c r="L5238" s="355"/>
      <c r="M5238" s="355"/>
    </row>
    <row r="5239" spans="5:13">
      <c r="E5239" s="355"/>
      <c r="F5239" s="355"/>
      <c r="G5239" s="355"/>
      <c r="H5239" s="355"/>
      <c r="I5239" s="355"/>
      <c r="J5239" s="355"/>
      <c r="K5239" s="355"/>
      <c r="L5239" s="355"/>
      <c r="M5239" s="355"/>
    </row>
    <row r="5240" spans="5:13">
      <c r="E5240" s="355"/>
      <c r="F5240" s="355"/>
      <c r="G5240" s="355"/>
      <c r="H5240" s="355"/>
      <c r="I5240" s="355"/>
      <c r="J5240" s="355"/>
      <c r="K5240" s="355"/>
      <c r="L5240" s="355"/>
      <c r="M5240" s="355"/>
    </row>
    <row r="5241" spans="5:13">
      <c r="E5241" s="355"/>
      <c r="F5241" s="355"/>
      <c r="G5241" s="355"/>
      <c r="H5241" s="355"/>
      <c r="I5241" s="355"/>
      <c r="J5241" s="355"/>
      <c r="K5241" s="355"/>
      <c r="L5241" s="355"/>
      <c r="M5241" s="355"/>
    </row>
    <row r="5242" spans="5:13">
      <c r="E5242" s="355"/>
      <c r="F5242" s="355"/>
      <c r="G5242" s="355"/>
      <c r="H5242" s="355"/>
      <c r="I5242" s="355"/>
      <c r="J5242" s="355"/>
      <c r="K5242" s="355"/>
      <c r="L5242" s="355"/>
      <c r="M5242" s="355"/>
    </row>
    <row r="5243" spans="5:13">
      <c r="E5243" s="355"/>
      <c r="F5243" s="355"/>
      <c r="G5243" s="355"/>
      <c r="H5243" s="355"/>
      <c r="I5243" s="355"/>
      <c r="J5243" s="355"/>
      <c r="K5243" s="355"/>
      <c r="L5243" s="355"/>
      <c r="M5243" s="355"/>
    </row>
    <row r="5244" spans="5:13">
      <c r="E5244" s="355"/>
      <c r="F5244" s="355"/>
      <c r="G5244" s="355"/>
      <c r="H5244" s="355"/>
      <c r="I5244" s="355"/>
      <c r="J5244" s="355"/>
      <c r="K5244" s="355"/>
      <c r="L5244" s="355"/>
      <c r="M5244" s="355"/>
    </row>
    <row r="5245" spans="5:13">
      <c r="E5245" s="355"/>
      <c r="F5245" s="355"/>
      <c r="G5245" s="355"/>
      <c r="H5245" s="355"/>
      <c r="I5245" s="355"/>
      <c r="J5245" s="355"/>
      <c r="K5245" s="355"/>
      <c r="L5245" s="355"/>
      <c r="M5245" s="355"/>
    </row>
    <row r="5246" spans="5:13">
      <c r="E5246" s="355"/>
      <c r="F5246" s="355"/>
      <c r="G5246" s="355"/>
      <c r="H5246" s="355"/>
      <c r="I5246" s="355"/>
      <c r="J5246" s="355"/>
      <c r="K5246" s="355"/>
      <c r="L5246" s="355"/>
      <c r="M5246" s="355"/>
    </row>
    <row r="5247" spans="5:13">
      <c r="E5247" s="355"/>
      <c r="F5247" s="355"/>
      <c r="G5247" s="355"/>
      <c r="H5247" s="355"/>
      <c r="I5247" s="355"/>
      <c r="J5247" s="355"/>
      <c r="K5247" s="355"/>
      <c r="L5247" s="355"/>
      <c r="M5247" s="355"/>
    </row>
    <row r="5248" spans="5:13">
      <c r="E5248" s="355"/>
      <c r="F5248" s="355"/>
      <c r="G5248" s="355"/>
      <c r="H5248" s="355"/>
      <c r="I5248" s="355"/>
      <c r="J5248" s="355"/>
      <c r="K5248" s="355"/>
      <c r="L5248" s="355"/>
      <c r="M5248" s="355"/>
    </row>
    <row r="5249" spans="5:13">
      <c r="E5249" s="355"/>
      <c r="F5249" s="355"/>
      <c r="G5249" s="355"/>
      <c r="H5249" s="355"/>
      <c r="I5249" s="355"/>
      <c r="J5249" s="355"/>
      <c r="K5249" s="355"/>
      <c r="L5249" s="355"/>
      <c r="M5249" s="355"/>
    </row>
    <row r="5250" spans="5:13">
      <c r="E5250" s="355"/>
      <c r="F5250" s="355"/>
      <c r="G5250" s="355"/>
      <c r="H5250" s="355"/>
      <c r="I5250" s="355"/>
      <c r="J5250" s="355"/>
      <c r="K5250" s="355"/>
      <c r="L5250" s="355"/>
      <c r="M5250" s="355"/>
    </row>
    <row r="5251" spans="5:13">
      <c r="E5251" s="355"/>
      <c r="F5251" s="355"/>
      <c r="G5251" s="355"/>
      <c r="H5251" s="355"/>
      <c r="I5251" s="355"/>
      <c r="J5251" s="355"/>
      <c r="K5251" s="355"/>
      <c r="L5251" s="355"/>
      <c r="M5251" s="355"/>
    </row>
    <row r="5252" spans="5:13">
      <c r="E5252" s="355"/>
      <c r="F5252" s="355"/>
      <c r="G5252" s="355"/>
      <c r="H5252" s="355"/>
      <c r="I5252" s="355"/>
      <c r="J5252" s="355"/>
      <c r="K5252" s="355"/>
      <c r="L5252" s="355"/>
      <c r="M5252" s="355"/>
    </row>
    <row r="5253" spans="5:13">
      <c r="E5253" s="355"/>
      <c r="F5253" s="355"/>
      <c r="G5253" s="355"/>
      <c r="H5253" s="355"/>
      <c r="I5253" s="355"/>
      <c r="J5253" s="355"/>
      <c r="K5253" s="355"/>
      <c r="L5253" s="355"/>
      <c r="M5253" s="355"/>
    </row>
    <row r="5254" spans="5:13">
      <c r="E5254" s="355"/>
      <c r="F5254" s="355"/>
      <c r="G5254" s="355"/>
      <c r="H5254" s="355"/>
      <c r="I5254" s="355"/>
      <c r="J5254" s="355"/>
      <c r="K5254" s="355"/>
      <c r="L5254" s="355"/>
      <c r="M5254" s="355"/>
    </row>
    <row r="5255" spans="5:13">
      <c r="E5255" s="355"/>
      <c r="F5255" s="355"/>
      <c r="G5255" s="355"/>
      <c r="H5255" s="355"/>
      <c r="I5255" s="355"/>
      <c r="J5255" s="355"/>
      <c r="K5255" s="355"/>
      <c r="L5255" s="355"/>
      <c r="M5255" s="355"/>
    </row>
    <row r="5256" spans="5:13">
      <c r="E5256" s="355"/>
      <c r="F5256" s="355"/>
      <c r="G5256" s="355"/>
      <c r="H5256" s="355"/>
      <c r="I5256" s="355"/>
      <c r="J5256" s="355"/>
      <c r="K5256" s="355"/>
      <c r="L5256" s="355"/>
      <c r="M5256" s="355"/>
    </row>
    <row r="5257" spans="5:13">
      <c r="E5257" s="355"/>
      <c r="F5257" s="355"/>
      <c r="G5257" s="355"/>
      <c r="H5257" s="355"/>
      <c r="I5257" s="355"/>
      <c r="J5257" s="355"/>
      <c r="K5257" s="355"/>
      <c r="L5257" s="355"/>
      <c r="M5257" s="355"/>
    </row>
    <row r="5258" spans="5:13">
      <c r="E5258" s="355"/>
      <c r="F5258" s="355"/>
      <c r="G5258" s="355"/>
      <c r="H5258" s="355"/>
      <c r="I5258" s="355"/>
      <c r="J5258" s="355"/>
      <c r="K5258" s="355"/>
      <c r="L5258" s="355"/>
      <c r="M5258" s="355"/>
    </row>
    <row r="5259" spans="5:13">
      <c r="E5259" s="355"/>
      <c r="F5259" s="355"/>
      <c r="G5259" s="355"/>
      <c r="H5259" s="355"/>
      <c r="I5259" s="355"/>
      <c r="J5259" s="355"/>
      <c r="K5259" s="355"/>
      <c r="L5259" s="355"/>
      <c r="M5259" s="355"/>
    </row>
    <row r="5260" spans="5:13">
      <c r="E5260" s="355"/>
      <c r="F5260" s="355"/>
      <c r="G5260" s="355"/>
      <c r="H5260" s="355"/>
      <c r="I5260" s="355"/>
      <c r="J5260" s="355"/>
      <c r="K5260" s="355"/>
      <c r="L5260" s="355"/>
      <c r="M5260" s="355"/>
    </row>
    <row r="5261" spans="5:13">
      <c r="E5261" s="355"/>
      <c r="F5261" s="355"/>
      <c r="G5261" s="355"/>
      <c r="H5261" s="355"/>
      <c r="I5261" s="355"/>
      <c r="J5261" s="355"/>
      <c r="K5261" s="355"/>
      <c r="L5261" s="355"/>
      <c r="M5261" s="355"/>
    </row>
    <row r="5262" spans="5:13">
      <c r="E5262" s="355"/>
      <c r="F5262" s="355"/>
      <c r="G5262" s="355"/>
      <c r="H5262" s="355"/>
      <c r="I5262" s="355"/>
      <c r="J5262" s="355"/>
      <c r="K5262" s="355"/>
      <c r="L5262" s="355"/>
      <c r="M5262" s="355"/>
    </row>
    <row r="5263" spans="5:13">
      <c r="E5263" s="355"/>
      <c r="F5263" s="355"/>
      <c r="G5263" s="355"/>
      <c r="H5263" s="355"/>
      <c r="I5263" s="355"/>
      <c r="J5263" s="355"/>
      <c r="K5263" s="355"/>
      <c r="L5263" s="355"/>
      <c r="M5263" s="355"/>
    </row>
    <row r="5264" spans="5:13">
      <c r="E5264" s="355"/>
      <c r="F5264" s="355"/>
      <c r="G5264" s="355"/>
      <c r="H5264" s="355"/>
      <c r="I5264" s="355"/>
      <c r="J5264" s="355"/>
      <c r="K5264" s="355"/>
      <c r="L5264" s="355"/>
      <c r="M5264" s="355"/>
    </row>
    <row r="5265" spans="5:13">
      <c r="E5265" s="355"/>
      <c r="F5265" s="355"/>
      <c r="G5265" s="355"/>
      <c r="H5265" s="355"/>
      <c r="I5265" s="355"/>
      <c r="J5265" s="355"/>
      <c r="K5265" s="355"/>
      <c r="L5265" s="355"/>
      <c r="M5265" s="355"/>
    </row>
    <row r="5266" spans="5:13">
      <c r="E5266" s="355"/>
      <c r="F5266" s="355"/>
      <c r="G5266" s="355"/>
      <c r="H5266" s="355"/>
      <c r="I5266" s="355"/>
      <c r="J5266" s="355"/>
      <c r="K5266" s="355"/>
      <c r="L5266" s="355"/>
      <c r="M5266" s="355"/>
    </row>
    <row r="5267" spans="5:13">
      <c r="E5267" s="355"/>
      <c r="F5267" s="355"/>
      <c r="G5267" s="355"/>
      <c r="H5267" s="355"/>
      <c r="I5267" s="355"/>
      <c r="J5267" s="355"/>
      <c r="K5267" s="355"/>
      <c r="L5267" s="355"/>
      <c r="M5267" s="355"/>
    </row>
    <row r="5268" spans="5:13">
      <c r="E5268" s="355"/>
      <c r="F5268" s="355"/>
      <c r="G5268" s="355"/>
      <c r="H5268" s="355"/>
      <c r="I5268" s="355"/>
      <c r="J5268" s="355"/>
      <c r="K5268" s="355"/>
      <c r="L5268" s="355"/>
      <c r="M5268" s="355"/>
    </row>
    <row r="5269" spans="5:13">
      <c r="E5269" s="355"/>
      <c r="F5269" s="355"/>
      <c r="G5269" s="355"/>
      <c r="H5269" s="355"/>
      <c r="I5269" s="355"/>
      <c r="J5269" s="355"/>
      <c r="K5269" s="355"/>
      <c r="L5269" s="355"/>
      <c r="M5269" s="355"/>
    </row>
    <row r="5270" spans="5:13">
      <c r="E5270" s="355"/>
      <c r="F5270" s="355"/>
      <c r="G5270" s="355"/>
      <c r="H5270" s="355"/>
      <c r="I5270" s="355"/>
      <c r="J5270" s="355"/>
      <c r="K5270" s="355"/>
      <c r="L5270" s="355"/>
      <c r="M5270" s="355"/>
    </row>
    <row r="5271" spans="5:13">
      <c r="E5271" s="355"/>
      <c r="F5271" s="355"/>
      <c r="G5271" s="355"/>
      <c r="H5271" s="355"/>
      <c r="I5271" s="355"/>
      <c r="J5271" s="355"/>
      <c r="K5271" s="355"/>
      <c r="L5271" s="355"/>
      <c r="M5271" s="355"/>
    </row>
    <row r="5272" spans="5:13">
      <c r="E5272" s="355"/>
      <c r="F5272" s="355"/>
      <c r="G5272" s="355"/>
      <c r="H5272" s="355"/>
      <c r="I5272" s="355"/>
      <c r="J5272" s="355"/>
      <c r="K5272" s="355"/>
      <c r="L5272" s="355"/>
      <c r="M5272" s="355"/>
    </row>
    <row r="5273" spans="5:13">
      <c r="E5273" s="355"/>
      <c r="F5273" s="355"/>
      <c r="G5273" s="355"/>
      <c r="H5273" s="355"/>
      <c r="I5273" s="355"/>
      <c r="J5273" s="355"/>
      <c r="K5273" s="355"/>
      <c r="L5273" s="355"/>
      <c r="M5273" s="355"/>
    </row>
    <row r="5274" spans="5:13">
      <c r="E5274" s="355"/>
      <c r="F5274" s="355"/>
      <c r="G5274" s="355"/>
      <c r="H5274" s="355"/>
      <c r="I5274" s="355"/>
      <c r="J5274" s="355"/>
      <c r="K5274" s="355"/>
      <c r="L5274" s="355"/>
      <c r="M5274" s="355"/>
    </row>
    <row r="5275" spans="5:13">
      <c r="E5275" s="355"/>
      <c r="F5275" s="355"/>
      <c r="G5275" s="355"/>
      <c r="H5275" s="355"/>
      <c r="I5275" s="355"/>
      <c r="J5275" s="355"/>
      <c r="K5275" s="355"/>
      <c r="L5275" s="355"/>
      <c r="M5275" s="355"/>
    </row>
    <row r="5276" spans="5:13">
      <c r="E5276" s="355"/>
      <c r="F5276" s="355"/>
      <c r="G5276" s="355"/>
      <c r="H5276" s="355"/>
      <c r="I5276" s="355"/>
      <c r="J5276" s="355"/>
      <c r="K5276" s="355"/>
      <c r="L5276" s="355"/>
      <c r="M5276" s="355"/>
    </row>
    <row r="5277" spans="5:13">
      <c r="E5277" s="355"/>
      <c r="F5277" s="355"/>
      <c r="G5277" s="355"/>
      <c r="H5277" s="355"/>
      <c r="I5277" s="355"/>
      <c r="J5277" s="355"/>
      <c r="K5277" s="355"/>
      <c r="L5277" s="355"/>
      <c r="M5277" s="355"/>
    </row>
    <row r="5278" spans="5:13">
      <c r="E5278" s="355"/>
      <c r="F5278" s="355"/>
      <c r="G5278" s="355"/>
      <c r="H5278" s="355"/>
      <c r="I5278" s="355"/>
      <c r="J5278" s="355"/>
      <c r="K5278" s="355"/>
      <c r="L5278" s="355"/>
      <c r="M5278" s="355"/>
    </row>
    <row r="5279" spans="5:13">
      <c r="E5279" s="355"/>
      <c r="F5279" s="355"/>
      <c r="G5279" s="355"/>
      <c r="H5279" s="355"/>
      <c r="I5279" s="355"/>
      <c r="J5279" s="355"/>
      <c r="K5279" s="355"/>
      <c r="L5279" s="355"/>
      <c r="M5279" s="355"/>
    </row>
    <row r="5280" spans="5:13">
      <c r="E5280" s="355"/>
      <c r="F5280" s="355"/>
      <c r="G5280" s="355"/>
      <c r="H5280" s="355"/>
      <c r="I5280" s="355"/>
      <c r="J5280" s="355"/>
      <c r="K5280" s="355"/>
      <c r="L5280" s="355"/>
      <c r="M5280" s="355"/>
    </row>
    <row r="5281" spans="5:13">
      <c r="E5281" s="355"/>
      <c r="F5281" s="355"/>
      <c r="G5281" s="355"/>
      <c r="H5281" s="355"/>
      <c r="I5281" s="355"/>
      <c r="J5281" s="355"/>
      <c r="K5281" s="355"/>
      <c r="L5281" s="355"/>
      <c r="M5281" s="355"/>
    </row>
    <row r="5282" spans="5:13">
      <c r="E5282" s="355"/>
      <c r="F5282" s="355"/>
      <c r="G5282" s="355"/>
      <c r="H5282" s="355"/>
      <c r="I5282" s="355"/>
      <c r="J5282" s="355"/>
      <c r="K5282" s="355"/>
      <c r="L5282" s="355"/>
      <c r="M5282" s="355"/>
    </row>
    <row r="5283" spans="5:13">
      <c r="E5283" s="355"/>
      <c r="F5283" s="355"/>
      <c r="G5283" s="355"/>
      <c r="H5283" s="355"/>
      <c r="I5283" s="355"/>
      <c r="J5283" s="355"/>
      <c r="K5283" s="355"/>
      <c r="L5283" s="355"/>
      <c r="M5283" s="355"/>
    </row>
    <row r="5284" spans="5:13">
      <c r="E5284" s="355"/>
      <c r="F5284" s="355"/>
      <c r="G5284" s="355"/>
      <c r="H5284" s="355"/>
      <c r="I5284" s="355"/>
      <c r="J5284" s="355"/>
      <c r="K5284" s="355"/>
      <c r="L5284" s="355"/>
      <c r="M5284" s="355"/>
    </row>
    <row r="5285" spans="5:13">
      <c r="E5285" s="355"/>
      <c r="F5285" s="355"/>
      <c r="G5285" s="355"/>
      <c r="H5285" s="355"/>
      <c r="I5285" s="355"/>
      <c r="J5285" s="355"/>
      <c r="K5285" s="355"/>
      <c r="L5285" s="355"/>
      <c r="M5285" s="355"/>
    </row>
    <row r="5286" spans="5:13">
      <c r="E5286" s="355"/>
      <c r="F5286" s="355"/>
      <c r="G5286" s="355"/>
      <c r="H5286" s="355"/>
      <c r="I5286" s="355"/>
      <c r="J5286" s="355"/>
      <c r="K5286" s="355"/>
      <c r="L5286" s="355"/>
      <c r="M5286" s="355"/>
    </row>
    <row r="5287" spans="5:13">
      <c r="E5287" s="355"/>
      <c r="F5287" s="355"/>
      <c r="G5287" s="355"/>
      <c r="H5287" s="355"/>
      <c r="I5287" s="355"/>
      <c r="J5287" s="355"/>
      <c r="K5287" s="355"/>
      <c r="L5287" s="355"/>
      <c r="M5287" s="355"/>
    </row>
    <row r="5288" spans="5:13">
      <c r="E5288" s="355"/>
      <c r="F5288" s="355"/>
      <c r="G5288" s="355"/>
      <c r="H5288" s="355"/>
      <c r="I5288" s="355"/>
      <c r="J5288" s="355"/>
      <c r="K5288" s="355"/>
      <c r="L5288" s="355"/>
      <c r="M5288" s="355"/>
    </row>
    <row r="5289" spans="5:13">
      <c r="E5289" s="355"/>
      <c r="F5289" s="355"/>
      <c r="G5289" s="355"/>
      <c r="H5289" s="355"/>
      <c r="I5289" s="355"/>
      <c r="J5289" s="355"/>
      <c r="K5289" s="355"/>
      <c r="L5289" s="355"/>
      <c r="M5289" s="355"/>
    </row>
    <row r="5290" spans="5:13">
      <c r="E5290" s="355"/>
      <c r="F5290" s="355"/>
      <c r="G5290" s="355"/>
      <c r="H5290" s="355"/>
      <c r="I5290" s="355"/>
      <c r="J5290" s="355"/>
      <c r="K5290" s="355"/>
      <c r="L5290" s="355"/>
      <c r="M5290" s="355"/>
    </row>
    <row r="5291" spans="5:13">
      <c r="E5291" s="355"/>
      <c r="F5291" s="355"/>
      <c r="G5291" s="355"/>
      <c r="H5291" s="355"/>
      <c r="I5291" s="355"/>
      <c r="J5291" s="355"/>
      <c r="K5291" s="355"/>
      <c r="L5291" s="355"/>
      <c r="M5291" s="355"/>
    </row>
    <row r="5292" spans="5:13">
      <c r="E5292" s="355"/>
      <c r="F5292" s="355"/>
      <c r="G5292" s="355"/>
      <c r="H5292" s="355"/>
      <c r="I5292" s="355"/>
      <c r="J5292" s="355"/>
      <c r="K5292" s="355"/>
      <c r="L5292" s="355"/>
      <c r="M5292" s="355"/>
    </row>
    <row r="5293" spans="5:13">
      <c r="E5293" s="355"/>
      <c r="F5293" s="355"/>
      <c r="G5293" s="355"/>
      <c r="H5293" s="355"/>
      <c r="I5293" s="355"/>
      <c r="J5293" s="355"/>
      <c r="K5293" s="355"/>
      <c r="L5293" s="355"/>
      <c r="M5293" s="355"/>
    </row>
    <row r="5294" spans="5:13">
      <c r="E5294" s="355"/>
      <c r="F5294" s="355"/>
      <c r="G5294" s="355"/>
      <c r="H5294" s="355"/>
      <c r="I5294" s="355"/>
      <c r="J5294" s="355"/>
      <c r="K5294" s="355"/>
      <c r="L5294" s="355"/>
      <c r="M5294" s="355"/>
    </row>
    <row r="5295" spans="5:13">
      <c r="E5295" s="355"/>
      <c r="F5295" s="355"/>
      <c r="G5295" s="355"/>
      <c r="H5295" s="355"/>
      <c r="I5295" s="355"/>
      <c r="J5295" s="355"/>
      <c r="K5295" s="355"/>
      <c r="L5295" s="355"/>
      <c r="M5295" s="355"/>
    </row>
    <row r="5296" spans="5:13">
      <c r="E5296" s="355"/>
      <c r="F5296" s="355"/>
      <c r="G5296" s="355"/>
      <c r="H5296" s="355"/>
      <c r="I5296" s="355"/>
      <c r="J5296" s="355"/>
      <c r="K5296" s="355"/>
      <c r="L5296" s="355"/>
      <c r="M5296" s="355"/>
    </row>
    <row r="5297" spans="5:13">
      <c r="E5297" s="355"/>
      <c r="F5297" s="355"/>
      <c r="G5297" s="355"/>
      <c r="H5297" s="355"/>
      <c r="I5297" s="355"/>
      <c r="J5297" s="355"/>
      <c r="K5297" s="355"/>
      <c r="L5297" s="355"/>
      <c r="M5297" s="355"/>
    </row>
    <row r="5298" spans="5:13">
      <c r="E5298" s="355"/>
      <c r="F5298" s="355"/>
      <c r="G5298" s="355"/>
      <c r="H5298" s="355"/>
      <c r="I5298" s="355"/>
      <c r="J5298" s="355"/>
      <c r="K5298" s="355"/>
      <c r="L5298" s="355"/>
      <c r="M5298" s="355"/>
    </row>
    <row r="5299" spans="5:13">
      <c r="E5299" s="355"/>
      <c r="F5299" s="355"/>
      <c r="G5299" s="355"/>
      <c r="H5299" s="355"/>
      <c r="I5299" s="355"/>
      <c r="J5299" s="355"/>
      <c r="K5299" s="355"/>
      <c r="L5299" s="355"/>
      <c r="M5299" s="355"/>
    </row>
    <row r="5300" spans="5:13">
      <c r="E5300" s="355"/>
      <c r="F5300" s="355"/>
      <c r="G5300" s="355"/>
      <c r="H5300" s="355"/>
      <c r="I5300" s="355"/>
      <c r="J5300" s="355"/>
      <c r="K5300" s="355"/>
      <c r="L5300" s="355"/>
      <c r="M5300" s="355"/>
    </row>
    <row r="5301" spans="5:13">
      <c r="E5301" s="355"/>
      <c r="F5301" s="355"/>
      <c r="G5301" s="355"/>
      <c r="H5301" s="355"/>
      <c r="I5301" s="355"/>
      <c r="J5301" s="355"/>
      <c r="K5301" s="355"/>
      <c r="L5301" s="355"/>
      <c r="M5301" s="355"/>
    </row>
    <row r="5302" spans="5:13">
      <c r="E5302" s="355"/>
      <c r="F5302" s="355"/>
      <c r="G5302" s="355"/>
      <c r="H5302" s="355"/>
      <c r="I5302" s="355"/>
      <c r="J5302" s="355"/>
      <c r="K5302" s="355"/>
      <c r="L5302" s="355"/>
      <c r="M5302" s="355"/>
    </row>
    <row r="5303" spans="5:13">
      <c r="E5303" s="355"/>
      <c r="F5303" s="355"/>
      <c r="G5303" s="355"/>
      <c r="H5303" s="355"/>
      <c r="I5303" s="355"/>
      <c r="J5303" s="355"/>
      <c r="K5303" s="355"/>
      <c r="L5303" s="355"/>
      <c r="M5303" s="355"/>
    </row>
    <row r="5304" spans="5:13">
      <c r="E5304" s="355"/>
      <c r="F5304" s="355"/>
      <c r="G5304" s="355"/>
      <c r="H5304" s="355"/>
      <c r="I5304" s="355"/>
      <c r="J5304" s="355"/>
      <c r="K5304" s="355"/>
      <c r="L5304" s="355"/>
      <c r="M5304" s="355"/>
    </row>
    <row r="5305" spans="5:13">
      <c r="E5305" s="355"/>
      <c r="F5305" s="355"/>
      <c r="G5305" s="355"/>
      <c r="H5305" s="355"/>
      <c r="I5305" s="355"/>
      <c r="J5305" s="355"/>
      <c r="K5305" s="355"/>
      <c r="L5305" s="355"/>
      <c r="M5305" s="355"/>
    </row>
    <row r="5306" spans="5:13">
      <c r="E5306" s="355"/>
      <c r="F5306" s="355"/>
      <c r="G5306" s="355"/>
      <c r="H5306" s="355"/>
      <c r="I5306" s="355"/>
      <c r="J5306" s="355"/>
      <c r="K5306" s="355"/>
      <c r="L5306" s="355"/>
      <c r="M5306" s="355"/>
    </row>
    <row r="5307" spans="5:13">
      <c r="E5307" s="355"/>
      <c r="F5307" s="355"/>
      <c r="G5307" s="355"/>
      <c r="H5307" s="355"/>
      <c r="I5307" s="355"/>
      <c r="J5307" s="355"/>
      <c r="K5307" s="355"/>
      <c r="L5307" s="355"/>
      <c r="M5307" s="355"/>
    </row>
    <row r="5308" spans="5:13">
      <c r="E5308" s="355"/>
      <c r="F5308" s="355"/>
      <c r="G5308" s="355"/>
      <c r="H5308" s="355"/>
      <c r="I5308" s="355"/>
      <c r="J5308" s="355"/>
      <c r="K5308" s="355"/>
      <c r="L5308" s="355"/>
      <c r="M5308" s="355"/>
    </row>
    <row r="5309" spans="5:13">
      <c r="E5309" s="355"/>
      <c r="F5309" s="355"/>
      <c r="G5309" s="355"/>
      <c r="H5309" s="355"/>
      <c r="I5309" s="355"/>
      <c r="J5309" s="355"/>
      <c r="K5309" s="355"/>
      <c r="L5309" s="355"/>
      <c r="M5309" s="355"/>
    </row>
    <row r="5310" spans="5:13">
      <c r="E5310" s="355"/>
      <c r="F5310" s="355"/>
      <c r="G5310" s="355"/>
      <c r="H5310" s="355"/>
      <c r="I5310" s="355"/>
      <c r="J5310" s="355"/>
      <c r="K5310" s="355"/>
      <c r="L5310" s="355"/>
      <c r="M5310" s="355"/>
    </row>
    <row r="5311" spans="5:13">
      <c r="E5311" s="355"/>
      <c r="F5311" s="355"/>
      <c r="G5311" s="355"/>
      <c r="H5311" s="355"/>
      <c r="I5311" s="355"/>
      <c r="J5311" s="355"/>
      <c r="K5311" s="355"/>
      <c r="L5311" s="355"/>
      <c r="M5311" s="355"/>
    </row>
    <row r="5312" spans="5:13">
      <c r="E5312" s="355"/>
      <c r="F5312" s="355"/>
      <c r="G5312" s="355"/>
      <c r="H5312" s="355"/>
      <c r="I5312" s="355"/>
      <c r="J5312" s="355"/>
      <c r="K5312" s="355"/>
      <c r="L5312" s="355"/>
      <c r="M5312" s="355"/>
    </row>
    <row r="5313" spans="5:13">
      <c r="E5313" s="355"/>
      <c r="F5313" s="355"/>
      <c r="G5313" s="355"/>
      <c r="H5313" s="355"/>
      <c r="I5313" s="355"/>
      <c r="J5313" s="355"/>
      <c r="K5313" s="355"/>
      <c r="L5313" s="355"/>
      <c r="M5313" s="355"/>
    </row>
    <row r="5314" spans="5:13">
      <c r="E5314" s="355"/>
      <c r="F5314" s="355"/>
      <c r="G5314" s="355"/>
      <c r="H5314" s="355"/>
      <c r="I5314" s="355"/>
      <c r="J5314" s="355"/>
      <c r="K5314" s="355"/>
      <c r="L5314" s="355"/>
      <c r="M5314" s="355"/>
    </row>
    <row r="5315" spans="5:13">
      <c r="E5315" s="355"/>
      <c r="F5315" s="355"/>
      <c r="G5315" s="355"/>
      <c r="H5315" s="355"/>
      <c r="I5315" s="355"/>
      <c r="J5315" s="355"/>
      <c r="K5315" s="355"/>
      <c r="L5315" s="355"/>
      <c r="M5315" s="355"/>
    </row>
    <row r="5316" spans="5:13">
      <c r="E5316" s="355"/>
      <c r="F5316" s="355"/>
      <c r="G5316" s="355"/>
      <c r="H5316" s="355"/>
      <c r="I5316" s="355"/>
      <c r="J5316" s="355"/>
      <c r="K5316" s="355"/>
      <c r="L5316" s="355"/>
      <c r="M5316" s="355"/>
    </row>
    <row r="5317" spans="5:13">
      <c r="E5317" s="355"/>
      <c r="F5317" s="355"/>
      <c r="G5317" s="355"/>
      <c r="H5317" s="355"/>
      <c r="I5317" s="355"/>
      <c r="J5317" s="355"/>
      <c r="K5317" s="355"/>
      <c r="L5317" s="355"/>
      <c r="M5317" s="355"/>
    </row>
    <row r="5318" spans="5:13">
      <c r="E5318" s="355"/>
      <c r="F5318" s="355"/>
      <c r="G5318" s="355"/>
      <c r="H5318" s="355"/>
      <c r="I5318" s="355"/>
      <c r="J5318" s="355"/>
      <c r="K5318" s="355"/>
      <c r="L5318" s="355"/>
      <c r="M5318" s="355"/>
    </row>
    <row r="5319" spans="5:13">
      <c r="E5319" s="355"/>
      <c r="F5319" s="355"/>
      <c r="G5319" s="355"/>
      <c r="H5319" s="355"/>
      <c r="I5319" s="355"/>
      <c r="J5319" s="355"/>
      <c r="K5319" s="355"/>
      <c r="L5319" s="355"/>
      <c r="M5319" s="355"/>
    </row>
    <row r="5320" spans="5:13">
      <c r="E5320" s="355"/>
      <c r="F5320" s="355"/>
      <c r="G5320" s="355"/>
      <c r="H5320" s="355"/>
      <c r="I5320" s="355"/>
      <c r="J5320" s="355"/>
      <c r="K5320" s="355"/>
      <c r="L5320" s="355"/>
      <c r="M5320" s="355"/>
    </row>
    <row r="5321" spans="5:13">
      <c r="E5321" s="355"/>
      <c r="F5321" s="355"/>
      <c r="G5321" s="355"/>
      <c r="H5321" s="355"/>
      <c r="I5321" s="355"/>
      <c r="J5321" s="355"/>
      <c r="K5321" s="355"/>
      <c r="L5321" s="355"/>
      <c r="M5321" s="355"/>
    </row>
    <row r="5322" spans="5:13">
      <c r="E5322" s="355"/>
      <c r="F5322" s="355"/>
      <c r="G5322" s="355"/>
      <c r="H5322" s="355"/>
      <c r="I5322" s="355"/>
      <c r="J5322" s="355"/>
      <c r="K5322" s="355"/>
      <c r="L5322" s="355"/>
      <c r="M5322" s="355"/>
    </row>
    <row r="5323" spans="5:13">
      <c r="E5323" s="355"/>
      <c r="F5323" s="355"/>
      <c r="G5323" s="355"/>
      <c r="H5323" s="355"/>
      <c r="I5323" s="355"/>
      <c r="J5323" s="355"/>
      <c r="K5323" s="355"/>
      <c r="L5323" s="355"/>
      <c r="M5323" s="355"/>
    </row>
    <row r="5324" spans="5:13">
      <c r="E5324" s="355"/>
      <c r="F5324" s="355"/>
      <c r="G5324" s="355"/>
      <c r="H5324" s="355"/>
      <c r="I5324" s="355"/>
      <c r="J5324" s="355"/>
      <c r="K5324" s="355"/>
      <c r="L5324" s="355"/>
      <c r="M5324" s="355"/>
    </row>
    <row r="5325" spans="5:13">
      <c r="E5325" s="355"/>
      <c r="F5325" s="355"/>
      <c r="G5325" s="355"/>
      <c r="H5325" s="355"/>
      <c r="I5325" s="355"/>
      <c r="J5325" s="355"/>
      <c r="K5325" s="355"/>
      <c r="L5325" s="355"/>
      <c r="M5325" s="355"/>
    </row>
    <row r="5326" spans="5:13">
      <c r="E5326" s="355"/>
      <c r="F5326" s="355"/>
      <c r="G5326" s="355"/>
      <c r="H5326" s="355"/>
      <c r="I5326" s="355"/>
      <c r="J5326" s="355"/>
      <c r="K5326" s="355"/>
      <c r="L5326" s="355"/>
      <c r="M5326" s="355"/>
    </row>
    <row r="5327" spans="5:13">
      <c r="E5327" s="355"/>
      <c r="F5327" s="355"/>
      <c r="G5327" s="355"/>
      <c r="H5327" s="355"/>
      <c r="I5327" s="355"/>
      <c r="J5327" s="355"/>
      <c r="K5327" s="355"/>
      <c r="L5327" s="355"/>
      <c r="M5327" s="355"/>
    </row>
    <row r="5328" spans="5:13">
      <c r="E5328" s="355"/>
      <c r="F5328" s="355"/>
      <c r="G5328" s="355"/>
      <c r="H5328" s="355"/>
      <c r="I5328" s="355"/>
      <c r="J5328" s="355"/>
      <c r="K5328" s="355"/>
      <c r="L5328" s="355"/>
      <c r="M5328" s="355"/>
    </row>
    <row r="5329" spans="5:13">
      <c r="E5329" s="355"/>
      <c r="F5329" s="355"/>
      <c r="G5329" s="355"/>
      <c r="H5329" s="355"/>
      <c r="I5329" s="355"/>
      <c r="J5329" s="355"/>
      <c r="K5329" s="355"/>
      <c r="L5329" s="355"/>
      <c r="M5329" s="355"/>
    </row>
    <row r="5330" spans="5:13">
      <c r="E5330" s="355"/>
      <c r="F5330" s="355"/>
      <c r="G5330" s="355"/>
      <c r="H5330" s="355"/>
      <c r="I5330" s="355"/>
      <c r="J5330" s="355"/>
      <c r="K5330" s="355"/>
      <c r="L5330" s="355"/>
      <c r="M5330" s="355"/>
    </row>
    <row r="5331" spans="5:13">
      <c r="E5331" s="355"/>
      <c r="F5331" s="355"/>
      <c r="G5331" s="355"/>
      <c r="H5331" s="355"/>
      <c r="I5331" s="355"/>
      <c r="J5331" s="355"/>
      <c r="K5331" s="355"/>
      <c r="L5331" s="355"/>
      <c r="M5331" s="355"/>
    </row>
    <row r="5332" spans="5:13">
      <c r="E5332" s="355"/>
      <c r="F5332" s="355"/>
      <c r="G5332" s="355"/>
      <c r="H5332" s="355"/>
      <c r="I5332" s="355"/>
      <c r="J5332" s="355"/>
      <c r="K5332" s="355"/>
      <c r="L5332" s="355"/>
      <c r="M5332" s="355"/>
    </row>
    <row r="5333" spans="5:13">
      <c r="E5333" s="355"/>
      <c r="F5333" s="355"/>
      <c r="G5333" s="355"/>
      <c r="H5333" s="355"/>
      <c r="I5333" s="355"/>
      <c r="J5333" s="355"/>
      <c r="K5333" s="355"/>
      <c r="L5333" s="355"/>
      <c r="M5333" s="355"/>
    </row>
    <row r="5334" spans="5:13">
      <c r="E5334" s="355"/>
      <c r="F5334" s="355"/>
      <c r="G5334" s="355"/>
      <c r="H5334" s="355"/>
      <c r="I5334" s="355"/>
      <c r="J5334" s="355"/>
      <c r="K5334" s="355"/>
      <c r="L5334" s="355"/>
      <c r="M5334" s="355"/>
    </row>
    <row r="5335" spans="5:13">
      <c r="E5335" s="355"/>
      <c r="F5335" s="355"/>
      <c r="G5335" s="355"/>
      <c r="H5335" s="355"/>
      <c r="I5335" s="355"/>
      <c r="J5335" s="355"/>
      <c r="K5335" s="355"/>
      <c r="L5335" s="355"/>
      <c r="M5335" s="355"/>
    </row>
    <row r="5336" spans="5:13">
      <c r="E5336" s="355"/>
      <c r="F5336" s="355"/>
      <c r="G5336" s="355"/>
      <c r="H5336" s="355"/>
      <c r="I5336" s="355"/>
      <c r="J5336" s="355"/>
      <c r="K5336" s="355"/>
      <c r="L5336" s="355"/>
      <c r="M5336" s="355"/>
    </row>
    <row r="5337" spans="5:13">
      <c r="E5337" s="355"/>
      <c r="F5337" s="355"/>
      <c r="G5337" s="355"/>
      <c r="H5337" s="355"/>
      <c r="I5337" s="355"/>
      <c r="J5337" s="355"/>
      <c r="K5337" s="355"/>
      <c r="L5337" s="355"/>
      <c r="M5337" s="355"/>
    </row>
    <row r="5338" spans="5:13">
      <c r="E5338" s="355"/>
      <c r="F5338" s="355"/>
      <c r="G5338" s="355"/>
      <c r="H5338" s="355"/>
      <c r="I5338" s="355"/>
      <c r="J5338" s="355"/>
      <c r="K5338" s="355"/>
      <c r="L5338" s="355"/>
      <c r="M5338" s="355"/>
    </row>
    <row r="5339" spans="5:13">
      <c r="E5339" s="355"/>
      <c r="F5339" s="355"/>
      <c r="G5339" s="355"/>
      <c r="H5339" s="355"/>
      <c r="I5339" s="355"/>
      <c r="J5339" s="355"/>
      <c r="K5339" s="355"/>
      <c r="L5339" s="355"/>
      <c r="M5339" s="355"/>
    </row>
    <row r="5340" spans="5:13">
      <c r="E5340" s="355"/>
      <c r="F5340" s="355"/>
      <c r="G5340" s="355"/>
      <c r="H5340" s="355"/>
      <c r="I5340" s="355"/>
      <c r="J5340" s="355"/>
      <c r="K5340" s="355"/>
      <c r="L5340" s="355"/>
      <c r="M5340" s="355"/>
    </row>
    <row r="5341" spans="5:13">
      <c r="E5341" s="355"/>
      <c r="F5341" s="355"/>
      <c r="G5341" s="355"/>
      <c r="H5341" s="355"/>
      <c r="I5341" s="355"/>
      <c r="J5341" s="355"/>
      <c r="K5341" s="355"/>
      <c r="L5341" s="355"/>
      <c r="M5341" s="355"/>
    </row>
    <row r="5342" spans="5:13">
      <c r="E5342" s="355"/>
      <c r="F5342" s="355"/>
      <c r="G5342" s="355"/>
      <c r="H5342" s="355"/>
      <c r="I5342" s="355"/>
      <c r="J5342" s="355"/>
      <c r="K5342" s="355"/>
      <c r="L5342" s="355"/>
      <c r="M5342" s="355"/>
    </row>
    <row r="5343" spans="5:13">
      <c r="E5343" s="355"/>
      <c r="F5343" s="355"/>
      <c r="G5343" s="355"/>
      <c r="H5343" s="355"/>
      <c r="I5343" s="355"/>
      <c r="J5343" s="355"/>
      <c r="K5343" s="355"/>
      <c r="L5343" s="355"/>
      <c r="M5343" s="355"/>
    </row>
    <row r="5344" spans="5:13">
      <c r="E5344" s="355"/>
      <c r="F5344" s="355"/>
      <c r="G5344" s="355"/>
      <c r="H5344" s="355"/>
      <c r="I5344" s="355"/>
      <c r="J5344" s="355"/>
      <c r="K5344" s="355"/>
      <c r="L5344" s="355"/>
      <c r="M5344" s="355"/>
    </row>
    <row r="5345" spans="5:13">
      <c r="E5345" s="355"/>
      <c r="F5345" s="355"/>
      <c r="G5345" s="355"/>
      <c r="H5345" s="355"/>
      <c r="I5345" s="355"/>
      <c r="J5345" s="355"/>
      <c r="K5345" s="355"/>
      <c r="L5345" s="355"/>
      <c r="M5345" s="355"/>
    </row>
    <row r="5346" spans="5:13">
      <c r="E5346" s="355"/>
      <c r="F5346" s="355"/>
      <c r="G5346" s="355"/>
      <c r="H5346" s="355"/>
      <c r="I5346" s="355"/>
      <c r="J5346" s="355"/>
      <c r="K5346" s="355"/>
      <c r="L5346" s="355"/>
      <c r="M5346" s="355"/>
    </row>
    <row r="5347" spans="5:13">
      <c r="E5347" s="355"/>
      <c r="F5347" s="355"/>
      <c r="G5347" s="355"/>
      <c r="H5347" s="355"/>
      <c r="I5347" s="355"/>
      <c r="J5347" s="355"/>
      <c r="K5347" s="355"/>
      <c r="L5347" s="355"/>
      <c r="M5347" s="355"/>
    </row>
    <row r="5348" spans="5:13">
      <c r="E5348" s="355"/>
      <c r="F5348" s="355"/>
      <c r="G5348" s="355"/>
      <c r="H5348" s="355"/>
      <c r="I5348" s="355"/>
      <c r="J5348" s="355"/>
      <c r="K5348" s="355"/>
      <c r="L5348" s="355"/>
      <c r="M5348" s="355"/>
    </row>
    <row r="5349" spans="5:13">
      <c r="E5349" s="355"/>
      <c r="F5349" s="355"/>
      <c r="G5349" s="355"/>
      <c r="H5349" s="355"/>
      <c r="I5349" s="355"/>
      <c r="J5349" s="355"/>
      <c r="K5349" s="355"/>
      <c r="L5349" s="355"/>
      <c r="M5349" s="355"/>
    </row>
    <row r="5350" spans="5:13">
      <c r="E5350" s="355"/>
      <c r="F5350" s="355"/>
      <c r="G5350" s="355"/>
      <c r="H5350" s="355"/>
      <c r="I5350" s="355"/>
      <c r="J5350" s="355"/>
      <c r="K5350" s="355"/>
      <c r="L5350" s="355"/>
      <c r="M5350" s="355"/>
    </row>
    <row r="5351" spans="5:13">
      <c r="E5351" s="355"/>
      <c r="F5351" s="355"/>
      <c r="G5351" s="355"/>
      <c r="H5351" s="355"/>
      <c r="I5351" s="355"/>
      <c r="J5351" s="355"/>
      <c r="K5351" s="355"/>
      <c r="L5351" s="355"/>
      <c r="M5351" s="355"/>
    </row>
    <row r="5352" spans="5:13">
      <c r="E5352" s="355"/>
      <c r="F5352" s="355"/>
      <c r="G5352" s="355"/>
      <c r="H5352" s="355"/>
      <c r="I5352" s="355"/>
      <c r="J5352" s="355"/>
      <c r="K5352" s="355"/>
      <c r="L5352" s="355"/>
      <c r="M5352" s="355"/>
    </row>
    <row r="5353" spans="5:13">
      <c r="E5353" s="355"/>
      <c r="F5353" s="355"/>
      <c r="G5353" s="355"/>
      <c r="H5353" s="355"/>
      <c r="I5353" s="355"/>
      <c r="J5353" s="355"/>
      <c r="K5353" s="355"/>
      <c r="L5353" s="355"/>
      <c r="M5353" s="355"/>
    </row>
    <row r="5354" spans="5:13">
      <c r="E5354" s="355"/>
      <c r="F5354" s="355"/>
      <c r="G5354" s="355"/>
      <c r="H5354" s="355"/>
      <c r="I5354" s="355"/>
      <c r="J5354" s="355"/>
      <c r="K5354" s="355"/>
      <c r="L5354" s="355"/>
      <c r="M5354" s="355"/>
    </row>
    <row r="5355" spans="5:13">
      <c r="E5355" s="355"/>
      <c r="F5355" s="355"/>
      <c r="G5355" s="355"/>
      <c r="H5355" s="355"/>
      <c r="I5355" s="355"/>
      <c r="J5355" s="355"/>
      <c r="K5355" s="355"/>
      <c r="L5355" s="355"/>
      <c r="M5355" s="355"/>
    </row>
    <row r="5356" spans="5:13">
      <c r="E5356" s="355"/>
      <c r="F5356" s="355"/>
      <c r="G5356" s="355"/>
      <c r="H5356" s="355"/>
      <c r="I5356" s="355"/>
      <c r="J5356" s="355"/>
      <c r="K5356" s="355"/>
      <c r="L5356" s="355"/>
      <c r="M5356" s="355"/>
    </row>
    <row r="5357" spans="5:13">
      <c r="E5357" s="355"/>
      <c r="F5357" s="355"/>
      <c r="G5357" s="355"/>
      <c r="H5357" s="355"/>
      <c r="I5357" s="355"/>
      <c r="J5357" s="355"/>
      <c r="K5357" s="355"/>
      <c r="L5357" s="355"/>
      <c r="M5357" s="355"/>
    </row>
    <row r="5358" spans="5:13">
      <c r="E5358" s="355"/>
      <c r="F5358" s="355"/>
      <c r="G5358" s="355"/>
      <c r="H5358" s="355"/>
      <c r="I5358" s="355"/>
      <c r="J5358" s="355"/>
      <c r="K5358" s="355"/>
      <c r="L5358" s="355"/>
      <c r="M5358" s="355"/>
    </row>
    <row r="5359" spans="5:13">
      <c r="E5359" s="355"/>
      <c r="F5359" s="355"/>
      <c r="G5359" s="355"/>
      <c r="H5359" s="355"/>
      <c r="I5359" s="355"/>
      <c r="J5359" s="355"/>
      <c r="K5359" s="355"/>
      <c r="L5359" s="355"/>
      <c r="M5359" s="355"/>
    </row>
    <row r="5360" spans="5:13">
      <c r="E5360" s="355"/>
      <c r="F5360" s="355"/>
      <c r="G5360" s="355"/>
      <c r="H5360" s="355"/>
      <c r="I5360" s="355"/>
      <c r="J5360" s="355"/>
      <c r="K5360" s="355"/>
      <c r="L5360" s="355"/>
      <c r="M5360" s="355"/>
    </row>
    <row r="5361" spans="5:13">
      <c r="E5361" s="355"/>
      <c r="F5361" s="355"/>
      <c r="G5361" s="355"/>
      <c r="H5361" s="355"/>
      <c r="I5361" s="355"/>
      <c r="J5361" s="355"/>
      <c r="K5361" s="355"/>
      <c r="L5361" s="355"/>
      <c r="M5361" s="355"/>
    </row>
    <row r="5362" spans="5:13">
      <c r="E5362" s="355"/>
      <c r="F5362" s="355"/>
      <c r="G5362" s="355"/>
      <c r="H5362" s="355"/>
      <c r="I5362" s="355"/>
      <c r="J5362" s="355"/>
      <c r="K5362" s="355"/>
      <c r="L5362" s="355"/>
      <c r="M5362" s="355"/>
    </row>
    <row r="5363" spans="5:13">
      <c r="E5363" s="355"/>
      <c r="F5363" s="355"/>
      <c r="G5363" s="355"/>
      <c r="H5363" s="355"/>
      <c r="I5363" s="355"/>
      <c r="J5363" s="355"/>
      <c r="K5363" s="355"/>
      <c r="L5363" s="355"/>
      <c r="M5363" s="355"/>
    </row>
    <row r="5364" spans="5:13">
      <c r="E5364" s="355"/>
      <c r="F5364" s="355"/>
      <c r="G5364" s="355"/>
      <c r="H5364" s="355"/>
      <c r="I5364" s="355"/>
      <c r="J5364" s="355"/>
      <c r="K5364" s="355"/>
      <c r="L5364" s="355"/>
      <c r="M5364" s="355"/>
    </row>
    <row r="5365" spans="5:13">
      <c r="E5365" s="355"/>
      <c r="F5365" s="355"/>
      <c r="G5365" s="355"/>
      <c r="H5365" s="355"/>
      <c r="I5365" s="355"/>
      <c r="J5365" s="355"/>
      <c r="K5365" s="355"/>
      <c r="L5365" s="355"/>
      <c r="M5365" s="355"/>
    </row>
    <row r="5366" spans="5:13">
      <c r="E5366" s="355"/>
      <c r="F5366" s="355"/>
      <c r="G5366" s="355"/>
      <c r="H5366" s="355"/>
      <c r="I5366" s="355"/>
      <c r="J5366" s="355"/>
      <c r="K5366" s="355"/>
      <c r="L5366" s="355"/>
      <c r="M5366" s="355"/>
    </row>
    <row r="5367" spans="5:13">
      <c r="E5367" s="355"/>
      <c r="F5367" s="355"/>
      <c r="G5367" s="355"/>
      <c r="H5367" s="355"/>
      <c r="I5367" s="355"/>
      <c r="J5367" s="355"/>
      <c r="K5367" s="355"/>
      <c r="L5367" s="355"/>
      <c r="M5367" s="355"/>
    </row>
    <row r="5368" spans="5:13">
      <c r="E5368" s="355"/>
      <c r="F5368" s="355"/>
      <c r="G5368" s="355"/>
      <c r="H5368" s="355"/>
      <c r="I5368" s="355"/>
      <c r="J5368" s="355"/>
      <c r="K5368" s="355"/>
      <c r="L5368" s="355"/>
      <c r="M5368" s="355"/>
    </row>
    <row r="5369" spans="5:13">
      <c r="E5369" s="355"/>
      <c r="F5369" s="355"/>
      <c r="G5369" s="355"/>
      <c r="H5369" s="355"/>
      <c r="I5369" s="355"/>
      <c r="J5369" s="355"/>
      <c r="K5369" s="355"/>
      <c r="L5369" s="355"/>
      <c r="M5369" s="355"/>
    </row>
    <row r="5370" spans="5:13">
      <c r="E5370" s="355"/>
      <c r="F5370" s="355"/>
      <c r="G5370" s="355"/>
      <c r="H5370" s="355"/>
      <c r="I5370" s="355"/>
      <c r="J5370" s="355"/>
      <c r="K5370" s="355"/>
      <c r="L5370" s="355"/>
      <c r="M5370" s="355"/>
    </row>
    <row r="5371" spans="5:13">
      <c r="E5371" s="355"/>
      <c r="F5371" s="355"/>
      <c r="G5371" s="355"/>
      <c r="H5371" s="355"/>
      <c r="I5371" s="355"/>
      <c r="J5371" s="355"/>
      <c r="K5371" s="355"/>
      <c r="L5371" s="355"/>
      <c r="M5371" s="355"/>
    </row>
    <row r="5372" spans="5:13">
      <c r="E5372" s="355"/>
      <c r="F5372" s="355"/>
      <c r="G5372" s="355"/>
      <c r="H5372" s="355"/>
      <c r="I5372" s="355"/>
      <c r="J5372" s="355"/>
      <c r="K5372" s="355"/>
      <c r="L5372" s="355"/>
      <c r="M5372" s="355"/>
    </row>
    <row r="5373" spans="5:13">
      <c r="E5373" s="355"/>
      <c r="F5373" s="355"/>
      <c r="G5373" s="355"/>
      <c r="H5373" s="355"/>
      <c r="I5373" s="355"/>
      <c r="J5373" s="355"/>
      <c r="K5373" s="355"/>
      <c r="L5373" s="355"/>
      <c r="M5373" s="355"/>
    </row>
    <row r="5374" spans="5:13">
      <c r="E5374" s="355"/>
      <c r="F5374" s="355"/>
      <c r="G5374" s="355"/>
      <c r="H5374" s="355"/>
      <c r="I5374" s="355"/>
      <c r="J5374" s="355"/>
      <c r="K5374" s="355"/>
      <c r="L5374" s="355"/>
      <c r="M5374" s="355"/>
    </row>
    <row r="5375" spans="5:13">
      <c r="E5375" s="355"/>
      <c r="F5375" s="355"/>
      <c r="G5375" s="355"/>
      <c r="H5375" s="355"/>
      <c r="I5375" s="355"/>
      <c r="J5375" s="355"/>
      <c r="K5375" s="355"/>
      <c r="L5375" s="355"/>
      <c r="M5375" s="355"/>
    </row>
    <row r="5376" spans="5:13">
      <c r="E5376" s="355"/>
      <c r="F5376" s="355"/>
      <c r="G5376" s="355"/>
      <c r="H5376" s="355"/>
      <c r="I5376" s="355"/>
      <c r="J5376" s="355"/>
      <c r="K5376" s="355"/>
      <c r="L5376" s="355"/>
      <c r="M5376" s="355"/>
    </row>
    <row r="5377" spans="5:13">
      <c r="E5377" s="355"/>
      <c r="F5377" s="355"/>
      <c r="G5377" s="355"/>
      <c r="H5377" s="355"/>
      <c r="I5377" s="355"/>
      <c r="J5377" s="355"/>
      <c r="K5377" s="355"/>
      <c r="L5377" s="355"/>
      <c r="M5377" s="355"/>
    </row>
    <row r="5378" spans="5:13">
      <c r="E5378" s="355"/>
      <c r="F5378" s="355"/>
      <c r="G5378" s="355"/>
      <c r="H5378" s="355"/>
      <c r="I5378" s="355"/>
      <c r="J5378" s="355"/>
      <c r="K5378" s="355"/>
      <c r="L5378" s="355"/>
      <c r="M5378" s="355"/>
    </row>
    <row r="5379" spans="5:13">
      <c r="E5379" s="355"/>
      <c r="F5379" s="355"/>
      <c r="G5379" s="355"/>
      <c r="H5379" s="355"/>
      <c r="I5379" s="355"/>
      <c r="J5379" s="355"/>
      <c r="K5379" s="355"/>
      <c r="L5379" s="355"/>
      <c r="M5379" s="355"/>
    </row>
    <row r="5380" spans="5:13">
      <c r="E5380" s="355"/>
      <c r="F5380" s="355"/>
      <c r="G5380" s="355"/>
      <c r="H5380" s="355"/>
      <c r="I5380" s="355"/>
      <c r="J5380" s="355"/>
      <c r="K5380" s="355"/>
      <c r="L5380" s="355"/>
      <c r="M5380" s="355"/>
    </row>
    <row r="5381" spans="5:13">
      <c r="E5381" s="355"/>
      <c r="F5381" s="355"/>
      <c r="G5381" s="355"/>
      <c r="H5381" s="355"/>
      <c r="I5381" s="355"/>
      <c r="J5381" s="355"/>
      <c r="K5381" s="355"/>
      <c r="L5381" s="355"/>
      <c r="M5381" s="355"/>
    </row>
    <row r="5382" spans="5:13">
      <c r="E5382" s="355"/>
      <c r="F5382" s="355"/>
      <c r="G5382" s="355"/>
      <c r="H5382" s="355"/>
      <c r="I5382" s="355"/>
      <c r="J5382" s="355"/>
      <c r="K5382" s="355"/>
      <c r="L5382" s="355"/>
      <c r="M5382" s="355"/>
    </row>
    <row r="5383" spans="5:13">
      <c r="E5383" s="355"/>
      <c r="F5383" s="355"/>
      <c r="G5383" s="355"/>
      <c r="H5383" s="355"/>
      <c r="I5383" s="355"/>
      <c r="J5383" s="355"/>
      <c r="K5383" s="355"/>
      <c r="L5383" s="355"/>
      <c r="M5383" s="355"/>
    </row>
    <row r="5384" spans="5:13">
      <c r="E5384" s="355"/>
      <c r="F5384" s="355"/>
      <c r="G5384" s="355"/>
      <c r="H5384" s="355"/>
      <c r="I5384" s="355"/>
      <c r="J5384" s="355"/>
      <c r="K5384" s="355"/>
      <c r="L5384" s="355"/>
      <c r="M5384" s="355"/>
    </row>
    <row r="5385" spans="5:13">
      <c r="E5385" s="355"/>
      <c r="F5385" s="355"/>
      <c r="G5385" s="355"/>
      <c r="H5385" s="355"/>
      <c r="I5385" s="355"/>
      <c r="J5385" s="355"/>
      <c r="K5385" s="355"/>
      <c r="L5385" s="355"/>
      <c r="M5385" s="355"/>
    </row>
    <row r="5386" spans="5:13">
      <c r="E5386" s="355"/>
      <c r="F5386" s="355"/>
      <c r="G5386" s="355"/>
      <c r="H5386" s="355"/>
      <c r="I5386" s="355"/>
      <c r="J5386" s="355"/>
      <c r="K5386" s="355"/>
      <c r="L5386" s="355"/>
      <c r="M5386" s="355"/>
    </row>
    <row r="5387" spans="5:13">
      <c r="E5387" s="355"/>
      <c r="F5387" s="355"/>
      <c r="G5387" s="355"/>
      <c r="H5387" s="355"/>
      <c r="I5387" s="355"/>
      <c r="J5387" s="355"/>
      <c r="K5387" s="355"/>
      <c r="L5387" s="355"/>
      <c r="M5387" s="355"/>
    </row>
    <row r="5388" spans="5:13">
      <c r="E5388" s="355"/>
      <c r="F5388" s="355"/>
      <c r="G5388" s="355"/>
      <c r="H5388" s="355"/>
      <c r="I5388" s="355"/>
      <c r="J5388" s="355"/>
      <c r="K5388" s="355"/>
      <c r="L5388" s="355"/>
      <c r="M5388" s="355"/>
    </row>
    <row r="5389" spans="5:13">
      <c r="E5389" s="355"/>
      <c r="F5389" s="355"/>
      <c r="G5389" s="355"/>
      <c r="H5389" s="355"/>
      <c r="I5389" s="355"/>
      <c r="J5389" s="355"/>
      <c r="K5389" s="355"/>
      <c r="L5389" s="355"/>
      <c r="M5389" s="355"/>
    </row>
    <row r="5390" spans="5:13">
      <c r="E5390" s="355"/>
      <c r="F5390" s="355"/>
      <c r="G5390" s="355"/>
      <c r="H5390" s="355"/>
      <c r="I5390" s="355"/>
      <c r="J5390" s="355"/>
      <c r="K5390" s="355"/>
      <c r="L5390" s="355"/>
      <c r="M5390" s="355"/>
    </row>
    <row r="5391" spans="5:13">
      <c r="E5391" s="355"/>
      <c r="F5391" s="355"/>
      <c r="G5391" s="355"/>
      <c r="H5391" s="355"/>
      <c r="I5391" s="355"/>
      <c r="J5391" s="355"/>
      <c r="K5391" s="355"/>
      <c r="L5391" s="355"/>
      <c r="M5391" s="355"/>
    </row>
    <row r="5392" spans="5:13">
      <c r="E5392" s="355"/>
      <c r="F5392" s="355"/>
      <c r="G5392" s="355"/>
      <c r="H5392" s="355"/>
      <c r="I5392" s="355"/>
      <c r="J5392" s="355"/>
      <c r="K5392" s="355"/>
      <c r="L5392" s="355"/>
      <c r="M5392" s="355"/>
    </row>
    <row r="5393" spans="5:13">
      <c r="E5393" s="355"/>
      <c r="F5393" s="355"/>
      <c r="G5393" s="355"/>
      <c r="H5393" s="355"/>
      <c r="I5393" s="355"/>
      <c r="J5393" s="355"/>
      <c r="K5393" s="355"/>
      <c r="L5393" s="355"/>
      <c r="M5393" s="355"/>
    </row>
    <row r="5394" spans="5:13">
      <c r="E5394" s="355"/>
      <c r="F5394" s="355"/>
      <c r="G5394" s="355"/>
      <c r="H5394" s="355"/>
      <c r="I5394" s="355"/>
      <c r="J5394" s="355"/>
      <c r="K5394" s="355"/>
      <c r="L5394" s="355"/>
      <c r="M5394" s="355"/>
    </row>
    <row r="5395" spans="5:13">
      <c r="E5395" s="355"/>
      <c r="F5395" s="355"/>
      <c r="G5395" s="355"/>
      <c r="H5395" s="355"/>
      <c r="I5395" s="355"/>
      <c r="J5395" s="355"/>
      <c r="K5395" s="355"/>
      <c r="L5395" s="355"/>
      <c r="M5395" s="355"/>
    </row>
    <row r="5396" spans="5:13">
      <c r="E5396" s="355"/>
      <c r="F5396" s="355"/>
      <c r="G5396" s="355"/>
      <c r="H5396" s="355"/>
      <c r="I5396" s="355"/>
      <c r="J5396" s="355"/>
      <c r="K5396" s="355"/>
      <c r="L5396" s="355"/>
      <c r="M5396" s="355"/>
    </row>
    <row r="5397" spans="5:13">
      <c r="E5397" s="355"/>
      <c r="F5397" s="355"/>
      <c r="G5397" s="355"/>
      <c r="H5397" s="355"/>
      <c r="I5397" s="355"/>
      <c r="J5397" s="355"/>
      <c r="K5397" s="355"/>
      <c r="L5397" s="355"/>
      <c r="M5397" s="355"/>
    </row>
    <row r="5398" spans="5:13">
      <c r="E5398" s="355"/>
      <c r="F5398" s="355"/>
      <c r="G5398" s="355"/>
      <c r="H5398" s="355"/>
      <c r="I5398" s="355"/>
      <c r="J5398" s="355"/>
      <c r="K5398" s="355"/>
      <c r="L5398" s="355"/>
      <c r="M5398" s="355"/>
    </row>
    <row r="5399" spans="5:13">
      <c r="E5399" s="355"/>
      <c r="F5399" s="355"/>
      <c r="G5399" s="355"/>
      <c r="H5399" s="355"/>
      <c r="I5399" s="355"/>
      <c r="J5399" s="355"/>
      <c r="K5399" s="355"/>
      <c r="L5399" s="355"/>
      <c r="M5399" s="355"/>
    </row>
    <row r="5400" spans="5:13">
      <c r="E5400" s="355"/>
      <c r="F5400" s="355"/>
      <c r="G5400" s="355"/>
      <c r="H5400" s="355"/>
      <c r="I5400" s="355"/>
      <c r="J5400" s="355"/>
      <c r="K5400" s="355"/>
      <c r="L5400" s="355"/>
      <c r="M5400" s="355"/>
    </row>
    <row r="5401" spans="5:13">
      <c r="E5401" s="355"/>
      <c r="F5401" s="355"/>
      <c r="G5401" s="355"/>
      <c r="H5401" s="355"/>
      <c r="I5401" s="355"/>
      <c r="J5401" s="355"/>
      <c r="K5401" s="355"/>
      <c r="L5401" s="355"/>
      <c r="M5401" s="355"/>
    </row>
    <row r="5402" spans="5:13">
      <c r="E5402" s="355"/>
      <c r="F5402" s="355"/>
      <c r="G5402" s="355"/>
      <c r="H5402" s="355"/>
      <c r="I5402" s="355"/>
      <c r="J5402" s="355"/>
      <c r="K5402" s="355"/>
      <c r="L5402" s="355"/>
      <c r="M5402" s="355"/>
    </row>
    <row r="5403" spans="5:13">
      <c r="E5403" s="355"/>
      <c r="F5403" s="355"/>
      <c r="G5403" s="355"/>
      <c r="H5403" s="355"/>
      <c r="I5403" s="355"/>
      <c r="J5403" s="355"/>
      <c r="K5403" s="355"/>
      <c r="L5403" s="355"/>
      <c r="M5403" s="355"/>
    </row>
    <row r="5404" spans="5:13">
      <c r="E5404" s="355"/>
      <c r="F5404" s="355"/>
      <c r="G5404" s="355"/>
      <c r="H5404" s="355"/>
      <c r="I5404" s="355"/>
      <c r="J5404" s="355"/>
      <c r="K5404" s="355"/>
      <c r="L5404" s="355"/>
      <c r="M5404" s="355"/>
    </row>
    <row r="5405" spans="5:13">
      <c r="E5405" s="355"/>
      <c r="F5405" s="355"/>
      <c r="G5405" s="355"/>
      <c r="H5405" s="355"/>
      <c r="I5405" s="355"/>
      <c r="J5405" s="355"/>
      <c r="K5405" s="355"/>
      <c r="L5405" s="355"/>
      <c r="M5405" s="355"/>
    </row>
    <row r="5406" spans="5:13">
      <c r="E5406" s="355"/>
      <c r="F5406" s="355"/>
      <c r="G5406" s="355"/>
      <c r="H5406" s="355"/>
      <c r="I5406" s="355"/>
      <c r="J5406" s="355"/>
      <c r="K5406" s="355"/>
      <c r="L5406" s="355"/>
      <c r="M5406" s="355"/>
    </row>
    <row r="5407" spans="5:13">
      <c r="E5407" s="355"/>
      <c r="F5407" s="355"/>
      <c r="G5407" s="355"/>
      <c r="H5407" s="355"/>
      <c r="I5407" s="355"/>
      <c r="J5407" s="355"/>
      <c r="K5407" s="355"/>
      <c r="L5407" s="355"/>
      <c r="M5407" s="355"/>
    </row>
    <row r="5408" spans="5:13">
      <c r="E5408" s="355"/>
      <c r="F5408" s="355"/>
      <c r="G5408" s="355"/>
      <c r="H5408" s="355"/>
      <c r="I5408" s="355"/>
      <c r="J5408" s="355"/>
      <c r="K5408" s="355"/>
      <c r="L5408" s="355"/>
      <c r="M5408" s="355"/>
    </row>
    <row r="5409" spans="5:13">
      <c r="E5409" s="355"/>
      <c r="F5409" s="355"/>
      <c r="G5409" s="355"/>
      <c r="H5409" s="355"/>
      <c r="I5409" s="355"/>
      <c r="J5409" s="355"/>
      <c r="K5409" s="355"/>
      <c r="L5409" s="355"/>
      <c r="M5409" s="355"/>
    </row>
    <row r="5410" spans="5:13">
      <c r="E5410" s="355"/>
      <c r="F5410" s="355"/>
      <c r="G5410" s="355"/>
      <c r="H5410" s="355"/>
      <c r="I5410" s="355"/>
      <c r="J5410" s="355"/>
      <c r="K5410" s="355"/>
      <c r="L5410" s="355"/>
      <c r="M5410" s="355"/>
    </row>
    <row r="5411" spans="5:13">
      <c r="E5411" s="355"/>
      <c r="F5411" s="355"/>
      <c r="G5411" s="355"/>
      <c r="H5411" s="355"/>
      <c r="I5411" s="355"/>
      <c r="J5411" s="355"/>
      <c r="K5411" s="355"/>
      <c r="L5411" s="355"/>
      <c r="M5411" s="355"/>
    </row>
    <row r="5412" spans="5:13">
      <c r="E5412" s="355"/>
      <c r="F5412" s="355"/>
      <c r="G5412" s="355"/>
      <c r="H5412" s="355"/>
      <c r="I5412" s="355"/>
      <c r="J5412" s="355"/>
      <c r="K5412" s="355"/>
      <c r="L5412" s="355"/>
      <c r="M5412" s="355"/>
    </row>
    <row r="5413" spans="5:13">
      <c r="E5413" s="355"/>
      <c r="F5413" s="355"/>
      <c r="G5413" s="355"/>
      <c r="H5413" s="355"/>
      <c r="I5413" s="355"/>
      <c r="J5413" s="355"/>
      <c r="K5413" s="355"/>
      <c r="L5413" s="355"/>
      <c r="M5413" s="355"/>
    </row>
    <row r="5414" spans="5:13">
      <c r="E5414" s="355"/>
      <c r="F5414" s="355"/>
      <c r="G5414" s="355"/>
      <c r="H5414" s="355"/>
      <c r="I5414" s="355"/>
      <c r="J5414" s="355"/>
      <c r="K5414" s="355"/>
      <c r="L5414" s="355"/>
      <c r="M5414" s="355"/>
    </row>
    <row r="5415" spans="5:13">
      <c r="E5415" s="355"/>
      <c r="F5415" s="355"/>
      <c r="G5415" s="355"/>
      <c r="H5415" s="355"/>
      <c r="I5415" s="355"/>
      <c r="J5415" s="355"/>
      <c r="K5415" s="355"/>
      <c r="L5415" s="355"/>
      <c r="M5415" s="355"/>
    </row>
    <row r="5416" spans="5:13">
      <c r="E5416" s="355"/>
      <c r="F5416" s="355"/>
      <c r="G5416" s="355"/>
      <c r="H5416" s="355"/>
      <c r="I5416" s="355"/>
      <c r="J5416" s="355"/>
      <c r="K5416" s="355"/>
      <c r="L5416" s="355"/>
      <c r="M5416" s="355"/>
    </row>
    <row r="5417" spans="5:13">
      <c r="E5417" s="355"/>
      <c r="F5417" s="355"/>
      <c r="G5417" s="355"/>
      <c r="H5417" s="355"/>
      <c r="I5417" s="355"/>
      <c r="J5417" s="355"/>
      <c r="K5417" s="355"/>
      <c r="L5417" s="355"/>
      <c r="M5417" s="355"/>
    </row>
    <row r="5418" spans="5:13">
      <c r="E5418" s="355"/>
      <c r="F5418" s="355"/>
      <c r="G5418" s="355"/>
      <c r="H5418" s="355"/>
      <c r="I5418" s="355"/>
      <c r="J5418" s="355"/>
      <c r="K5418" s="355"/>
      <c r="L5418" s="355"/>
      <c r="M5418" s="355"/>
    </row>
    <row r="5419" spans="5:13">
      <c r="E5419" s="355"/>
      <c r="F5419" s="355"/>
      <c r="G5419" s="355"/>
      <c r="H5419" s="355"/>
      <c r="I5419" s="355"/>
      <c r="J5419" s="355"/>
      <c r="K5419" s="355"/>
      <c r="L5419" s="355"/>
      <c r="M5419" s="355"/>
    </row>
    <row r="5420" spans="5:13">
      <c r="E5420" s="355"/>
      <c r="F5420" s="355"/>
      <c r="G5420" s="355"/>
      <c r="H5420" s="355"/>
      <c r="I5420" s="355"/>
      <c r="J5420" s="355"/>
      <c r="K5420" s="355"/>
      <c r="L5420" s="355"/>
      <c r="M5420" s="355"/>
    </row>
    <row r="5421" spans="5:13">
      <c r="E5421" s="355"/>
      <c r="F5421" s="355"/>
      <c r="G5421" s="355"/>
      <c r="H5421" s="355"/>
      <c r="I5421" s="355"/>
      <c r="J5421" s="355"/>
      <c r="K5421" s="355"/>
      <c r="L5421" s="355"/>
      <c r="M5421" s="355"/>
    </row>
    <row r="5422" spans="5:13">
      <c r="E5422" s="355"/>
      <c r="F5422" s="355"/>
      <c r="G5422" s="355"/>
      <c r="H5422" s="355"/>
      <c r="I5422" s="355"/>
      <c r="J5422" s="355"/>
      <c r="K5422" s="355"/>
      <c r="L5422" s="355"/>
      <c r="M5422" s="355"/>
    </row>
    <row r="5423" spans="5:13">
      <c r="E5423" s="355"/>
      <c r="F5423" s="355"/>
      <c r="G5423" s="355"/>
      <c r="H5423" s="355"/>
      <c r="I5423" s="355"/>
      <c r="J5423" s="355"/>
      <c r="K5423" s="355"/>
      <c r="L5423" s="355"/>
      <c r="M5423" s="355"/>
    </row>
    <row r="5424" spans="5:13">
      <c r="E5424" s="355"/>
      <c r="F5424" s="355"/>
      <c r="G5424" s="355"/>
      <c r="H5424" s="355"/>
      <c r="I5424" s="355"/>
      <c r="J5424" s="355"/>
      <c r="K5424" s="355"/>
      <c r="L5424" s="355"/>
      <c r="M5424" s="355"/>
    </row>
    <row r="5425" spans="5:13">
      <c r="E5425" s="355"/>
      <c r="F5425" s="355"/>
      <c r="G5425" s="355"/>
      <c r="H5425" s="355"/>
      <c r="I5425" s="355"/>
      <c r="J5425" s="355"/>
      <c r="K5425" s="355"/>
      <c r="L5425" s="355"/>
      <c r="M5425" s="355"/>
    </row>
    <row r="5426" spans="5:13">
      <c r="E5426" s="355"/>
      <c r="F5426" s="355"/>
      <c r="G5426" s="355"/>
      <c r="H5426" s="355"/>
      <c r="I5426" s="355"/>
      <c r="J5426" s="355"/>
      <c r="K5426" s="355"/>
      <c r="L5426" s="355"/>
      <c r="M5426" s="355"/>
    </row>
    <row r="5427" spans="5:13">
      <c r="E5427" s="355"/>
      <c r="F5427" s="355"/>
      <c r="G5427" s="355"/>
      <c r="H5427" s="355"/>
      <c r="I5427" s="355"/>
      <c r="J5427" s="355"/>
      <c r="K5427" s="355"/>
      <c r="L5427" s="355"/>
      <c r="M5427" s="355"/>
    </row>
    <row r="5428" spans="5:13">
      <c r="E5428" s="355"/>
      <c r="F5428" s="355"/>
      <c r="G5428" s="355"/>
      <c r="H5428" s="355"/>
      <c r="I5428" s="355"/>
      <c r="J5428" s="355"/>
      <c r="K5428" s="355"/>
      <c r="L5428" s="355"/>
      <c r="M5428" s="355"/>
    </row>
    <row r="5429" spans="5:13">
      <c r="E5429" s="355"/>
      <c r="F5429" s="355"/>
      <c r="G5429" s="355"/>
      <c r="H5429" s="355"/>
      <c r="I5429" s="355"/>
      <c r="J5429" s="355"/>
      <c r="K5429" s="355"/>
      <c r="L5429" s="355"/>
      <c r="M5429" s="355"/>
    </row>
    <row r="5430" spans="5:13">
      <c r="E5430" s="355"/>
      <c r="F5430" s="355"/>
      <c r="G5430" s="355"/>
      <c r="H5430" s="355"/>
      <c r="I5430" s="355"/>
      <c r="J5430" s="355"/>
      <c r="K5430" s="355"/>
      <c r="L5430" s="355"/>
      <c r="M5430" s="355"/>
    </row>
    <row r="5431" spans="5:13">
      <c r="E5431" s="355"/>
      <c r="F5431" s="355"/>
      <c r="G5431" s="355"/>
      <c r="H5431" s="355"/>
      <c r="I5431" s="355"/>
      <c r="J5431" s="355"/>
      <c r="K5431" s="355"/>
      <c r="L5431" s="355"/>
      <c r="M5431" s="355"/>
    </row>
    <row r="5432" spans="5:13">
      <c r="E5432" s="355"/>
      <c r="F5432" s="355"/>
      <c r="G5432" s="355"/>
      <c r="H5432" s="355"/>
      <c r="I5432" s="355"/>
      <c r="J5432" s="355"/>
      <c r="K5432" s="355"/>
      <c r="L5432" s="355"/>
      <c r="M5432" s="355"/>
    </row>
    <row r="5433" spans="5:13">
      <c r="E5433" s="355"/>
      <c r="F5433" s="355"/>
      <c r="G5433" s="355"/>
      <c r="H5433" s="355"/>
      <c r="I5433" s="355"/>
      <c r="J5433" s="355"/>
      <c r="K5433" s="355"/>
      <c r="L5433" s="355"/>
      <c r="M5433" s="355"/>
    </row>
    <row r="5434" spans="5:13">
      <c r="E5434" s="355"/>
      <c r="F5434" s="355"/>
      <c r="G5434" s="355"/>
      <c r="H5434" s="355"/>
      <c r="I5434" s="355"/>
      <c r="J5434" s="355"/>
      <c r="K5434" s="355"/>
      <c r="L5434" s="355"/>
      <c r="M5434" s="355"/>
    </row>
    <row r="5435" spans="5:13">
      <c r="E5435" s="355"/>
      <c r="F5435" s="355"/>
      <c r="G5435" s="355"/>
      <c r="H5435" s="355"/>
      <c r="I5435" s="355"/>
      <c r="J5435" s="355"/>
      <c r="K5435" s="355"/>
      <c r="L5435" s="355"/>
      <c r="M5435" s="355"/>
    </row>
    <row r="5436" spans="5:13">
      <c r="E5436" s="355"/>
      <c r="F5436" s="355"/>
      <c r="G5436" s="355"/>
      <c r="H5436" s="355"/>
      <c r="I5436" s="355"/>
      <c r="J5436" s="355"/>
      <c r="K5436" s="355"/>
      <c r="L5436" s="355"/>
      <c r="M5436" s="355"/>
    </row>
    <row r="5437" spans="5:13">
      <c r="E5437" s="355"/>
      <c r="F5437" s="355"/>
      <c r="G5437" s="355"/>
      <c r="H5437" s="355"/>
      <c r="I5437" s="355"/>
      <c r="J5437" s="355"/>
      <c r="K5437" s="355"/>
      <c r="L5437" s="355"/>
      <c r="M5437" s="355"/>
    </row>
    <row r="5438" spans="5:13">
      <c r="E5438" s="355"/>
      <c r="F5438" s="355"/>
      <c r="G5438" s="355"/>
      <c r="H5438" s="355"/>
      <c r="I5438" s="355"/>
      <c r="J5438" s="355"/>
      <c r="K5438" s="355"/>
      <c r="L5438" s="355"/>
      <c r="M5438" s="355"/>
    </row>
    <row r="5439" spans="5:13">
      <c r="E5439" s="355"/>
      <c r="F5439" s="355"/>
      <c r="G5439" s="355"/>
      <c r="H5439" s="355"/>
      <c r="I5439" s="355"/>
      <c r="J5439" s="355"/>
      <c r="K5439" s="355"/>
      <c r="L5439" s="355"/>
      <c r="M5439" s="355"/>
    </row>
    <row r="5440" spans="5:13">
      <c r="E5440" s="355"/>
      <c r="F5440" s="355"/>
      <c r="G5440" s="355"/>
      <c r="H5440" s="355"/>
      <c r="I5440" s="355"/>
      <c r="J5440" s="355"/>
      <c r="K5440" s="355"/>
      <c r="L5440" s="355"/>
      <c r="M5440" s="355"/>
    </row>
    <row r="5441" spans="5:13">
      <c r="E5441" s="355"/>
      <c r="F5441" s="355"/>
      <c r="G5441" s="355"/>
      <c r="H5441" s="355"/>
      <c r="I5441" s="355"/>
      <c r="J5441" s="355"/>
      <c r="K5441" s="355"/>
      <c r="L5441" s="355"/>
      <c r="M5441" s="355"/>
    </row>
    <row r="5442" spans="5:13">
      <c r="E5442" s="355"/>
      <c r="F5442" s="355"/>
      <c r="G5442" s="355"/>
      <c r="H5442" s="355"/>
      <c r="I5442" s="355"/>
      <c r="J5442" s="355"/>
      <c r="K5442" s="355"/>
      <c r="L5442" s="355"/>
      <c r="M5442" s="355"/>
    </row>
    <row r="5443" spans="5:13">
      <c r="E5443" s="355"/>
      <c r="F5443" s="355"/>
      <c r="G5443" s="355"/>
      <c r="H5443" s="355"/>
      <c r="I5443" s="355"/>
      <c r="J5443" s="355"/>
      <c r="K5443" s="355"/>
      <c r="L5443" s="355"/>
      <c r="M5443" s="355"/>
    </row>
    <row r="5444" spans="5:13">
      <c r="E5444" s="355"/>
      <c r="F5444" s="355"/>
      <c r="G5444" s="355"/>
      <c r="H5444" s="355"/>
      <c r="I5444" s="355"/>
      <c r="J5444" s="355"/>
      <c r="K5444" s="355"/>
      <c r="L5444" s="355"/>
      <c r="M5444" s="355"/>
    </row>
    <row r="5445" spans="5:13">
      <c r="E5445" s="355"/>
      <c r="F5445" s="355"/>
      <c r="G5445" s="355"/>
      <c r="H5445" s="355"/>
      <c r="I5445" s="355"/>
      <c r="J5445" s="355"/>
      <c r="K5445" s="355"/>
      <c r="L5445" s="355"/>
      <c r="M5445" s="355"/>
    </row>
    <row r="5446" spans="5:13">
      <c r="E5446" s="355"/>
      <c r="F5446" s="355"/>
      <c r="G5446" s="355"/>
      <c r="H5446" s="355"/>
      <c r="I5446" s="355"/>
      <c r="J5446" s="355"/>
      <c r="K5446" s="355"/>
      <c r="L5446" s="355"/>
      <c r="M5446" s="355"/>
    </row>
    <row r="5447" spans="5:13">
      <c r="E5447" s="355"/>
      <c r="F5447" s="355"/>
      <c r="G5447" s="355"/>
      <c r="H5447" s="355"/>
      <c r="I5447" s="355"/>
      <c r="J5447" s="355"/>
      <c r="K5447" s="355"/>
      <c r="L5447" s="355"/>
      <c r="M5447" s="355"/>
    </row>
    <row r="5448" spans="5:13">
      <c r="E5448" s="355"/>
      <c r="F5448" s="355"/>
      <c r="G5448" s="355"/>
      <c r="H5448" s="355"/>
      <c r="I5448" s="355"/>
      <c r="J5448" s="355"/>
      <c r="K5448" s="355"/>
      <c r="L5448" s="355"/>
      <c r="M5448" s="355"/>
    </row>
    <row r="5449" spans="5:13">
      <c r="E5449" s="355"/>
      <c r="F5449" s="355"/>
      <c r="G5449" s="355"/>
      <c r="H5449" s="355"/>
      <c r="I5449" s="355"/>
      <c r="J5449" s="355"/>
      <c r="K5449" s="355"/>
      <c r="L5449" s="355"/>
      <c r="M5449" s="355"/>
    </row>
    <row r="5450" spans="5:13">
      <c r="E5450" s="355"/>
      <c r="F5450" s="355"/>
      <c r="G5450" s="355"/>
      <c r="H5450" s="355"/>
      <c r="I5450" s="355"/>
      <c r="J5450" s="355"/>
      <c r="K5450" s="355"/>
      <c r="L5450" s="355"/>
      <c r="M5450" s="355"/>
    </row>
    <row r="5451" spans="5:13">
      <c r="E5451" s="355"/>
      <c r="F5451" s="355"/>
      <c r="G5451" s="355"/>
      <c r="H5451" s="355"/>
      <c r="I5451" s="355"/>
      <c r="J5451" s="355"/>
      <c r="K5451" s="355"/>
      <c r="L5451" s="355"/>
      <c r="M5451" s="355"/>
    </row>
    <row r="5452" spans="5:13">
      <c r="E5452" s="355"/>
      <c r="F5452" s="355"/>
      <c r="G5452" s="355"/>
      <c r="H5452" s="355"/>
      <c r="I5452" s="355"/>
      <c r="J5452" s="355"/>
      <c r="K5452" s="355"/>
      <c r="L5452" s="355"/>
      <c r="M5452" s="355"/>
    </row>
    <row r="5453" spans="5:13">
      <c r="E5453" s="355"/>
      <c r="F5453" s="355"/>
      <c r="G5453" s="355"/>
      <c r="H5453" s="355"/>
      <c r="I5453" s="355"/>
      <c r="J5453" s="355"/>
      <c r="K5453" s="355"/>
      <c r="L5453" s="355"/>
      <c r="M5453" s="355"/>
    </row>
    <row r="5454" spans="5:13">
      <c r="E5454" s="355"/>
      <c r="F5454" s="355"/>
      <c r="G5454" s="355"/>
      <c r="H5454" s="355"/>
      <c r="I5454" s="355"/>
      <c r="J5454" s="355"/>
      <c r="K5454" s="355"/>
      <c r="L5454" s="355"/>
      <c r="M5454" s="355"/>
    </row>
    <row r="5455" spans="5:13">
      <c r="E5455" s="355"/>
      <c r="F5455" s="355"/>
      <c r="G5455" s="355"/>
      <c r="H5455" s="355"/>
      <c r="I5455" s="355"/>
      <c r="J5455" s="355"/>
      <c r="K5455" s="355"/>
      <c r="L5455" s="355"/>
      <c r="M5455" s="355"/>
    </row>
    <row r="5456" spans="5:13">
      <c r="E5456" s="355"/>
      <c r="F5456" s="355"/>
      <c r="G5456" s="355"/>
      <c r="H5456" s="355"/>
      <c r="I5456" s="355"/>
      <c r="J5456" s="355"/>
      <c r="K5456" s="355"/>
      <c r="L5456" s="355"/>
      <c r="M5456" s="355"/>
    </row>
    <row r="5457" spans="5:13">
      <c r="E5457" s="355"/>
      <c r="F5457" s="355"/>
      <c r="G5457" s="355"/>
      <c r="H5457" s="355"/>
      <c r="I5457" s="355"/>
      <c r="J5457" s="355"/>
      <c r="K5457" s="355"/>
      <c r="L5457" s="355"/>
      <c r="M5457" s="355"/>
    </row>
    <row r="5458" spans="5:13">
      <c r="E5458" s="355"/>
      <c r="F5458" s="355"/>
      <c r="G5458" s="355"/>
      <c r="H5458" s="355"/>
      <c r="I5458" s="355"/>
      <c r="J5458" s="355"/>
      <c r="K5458" s="355"/>
      <c r="L5458" s="355"/>
      <c r="M5458" s="355"/>
    </row>
    <row r="5459" spans="5:13">
      <c r="E5459" s="355"/>
      <c r="F5459" s="355"/>
      <c r="G5459" s="355"/>
      <c r="H5459" s="355"/>
      <c r="I5459" s="355"/>
      <c r="J5459" s="355"/>
      <c r="K5459" s="355"/>
      <c r="L5459" s="355"/>
      <c r="M5459" s="355"/>
    </row>
    <row r="5460" spans="5:13">
      <c r="E5460" s="355"/>
      <c r="F5460" s="355"/>
      <c r="G5460" s="355"/>
      <c r="H5460" s="355"/>
      <c r="I5460" s="355"/>
      <c r="J5460" s="355"/>
      <c r="K5460" s="355"/>
      <c r="L5460" s="355"/>
      <c r="M5460" s="355"/>
    </row>
    <row r="5461" spans="5:13">
      <c r="E5461" s="355"/>
      <c r="F5461" s="355"/>
      <c r="G5461" s="355"/>
      <c r="H5461" s="355"/>
      <c r="I5461" s="355"/>
      <c r="J5461" s="355"/>
      <c r="K5461" s="355"/>
      <c r="L5461" s="355"/>
      <c r="M5461" s="355"/>
    </row>
    <row r="5462" spans="5:13">
      <c r="E5462" s="355"/>
      <c r="F5462" s="355"/>
      <c r="G5462" s="355"/>
      <c r="H5462" s="355"/>
      <c r="I5462" s="355"/>
      <c r="J5462" s="355"/>
      <c r="K5462" s="355"/>
      <c r="L5462" s="355"/>
      <c r="M5462" s="355"/>
    </row>
    <row r="5463" spans="5:13">
      <c r="E5463" s="355"/>
      <c r="F5463" s="355"/>
      <c r="G5463" s="355"/>
      <c r="H5463" s="355"/>
      <c r="I5463" s="355"/>
      <c r="J5463" s="355"/>
      <c r="K5463" s="355"/>
      <c r="L5463" s="355"/>
      <c r="M5463" s="355"/>
    </row>
    <row r="5464" spans="5:13">
      <c r="E5464" s="355"/>
      <c r="F5464" s="355"/>
      <c r="G5464" s="355"/>
      <c r="H5464" s="355"/>
      <c r="I5464" s="355"/>
      <c r="J5464" s="355"/>
      <c r="K5464" s="355"/>
      <c r="L5464" s="355"/>
      <c r="M5464" s="355"/>
    </row>
    <row r="5465" spans="5:13">
      <c r="E5465" s="355"/>
      <c r="F5465" s="355"/>
      <c r="G5465" s="355"/>
      <c r="H5465" s="355"/>
      <c r="I5465" s="355"/>
      <c r="J5465" s="355"/>
      <c r="K5465" s="355"/>
      <c r="L5465" s="355"/>
      <c r="M5465" s="355"/>
    </row>
    <row r="5466" spans="5:13">
      <c r="E5466" s="355"/>
      <c r="F5466" s="355"/>
      <c r="G5466" s="355"/>
      <c r="H5466" s="355"/>
      <c r="I5466" s="355"/>
      <c r="J5466" s="355"/>
      <c r="K5466" s="355"/>
      <c r="L5466" s="355"/>
      <c r="M5466" s="355"/>
    </row>
    <row r="5467" spans="5:13">
      <c r="E5467" s="355"/>
      <c r="F5467" s="355"/>
      <c r="G5467" s="355"/>
      <c r="H5467" s="355"/>
      <c r="I5467" s="355"/>
      <c r="J5467" s="355"/>
      <c r="K5467" s="355"/>
      <c r="L5467" s="355"/>
      <c r="M5467" s="355"/>
    </row>
    <row r="5468" spans="5:13">
      <c r="E5468" s="355"/>
      <c r="F5468" s="355"/>
      <c r="G5468" s="355"/>
      <c r="H5468" s="355"/>
      <c r="I5468" s="355"/>
      <c r="J5468" s="355"/>
      <c r="K5468" s="355"/>
      <c r="L5468" s="355"/>
      <c r="M5468" s="355"/>
    </row>
    <row r="5469" spans="5:13">
      <c r="E5469" s="355"/>
      <c r="F5469" s="355"/>
      <c r="G5469" s="355"/>
      <c r="H5469" s="355"/>
      <c r="I5469" s="355"/>
      <c r="J5469" s="355"/>
      <c r="K5469" s="355"/>
      <c r="L5469" s="355"/>
      <c r="M5469" s="355"/>
    </row>
    <row r="5470" spans="5:13">
      <c r="E5470" s="355"/>
      <c r="F5470" s="355"/>
      <c r="G5470" s="355"/>
      <c r="H5470" s="355"/>
      <c r="I5470" s="355"/>
      <c r="J5470" s="355"/>
      <c r="K5470" s="355"/>
      <c r="L5470" s="355"/>
      <c r="M5470" s="355"/>
    </row>
    <row r="5471" spans="5:13">
      <c r="E5471" s="355"/>
      <c r="F5471" s="355"/>
      <c r="G5471" s="355"/>
      <c r="H5471" s="355"/>
      <c r="I5471" s="355"/>
      <c r="J5471" s="355"/>
      <c r="K5471" s="355"/>
      <c r="L5471" s="355"/>
      <c r="M5471" s="355"/>
    </row>
    <row r="5472" spans="5:13">
      <c r="E5472" s="355"/>
      <c r="F5472" s="355"/>
      <c r="G5472" s="355"/>
      <c r="H5472" s="355"/>
      <c r="I5472" s="355"/>
      <c r="J5472" s="355"/>
      <c r="K5472" s="355"/>
      <c r="L5472" s="355"/>
      <c r="M5472" s="355"/>
    </row>
    <row r="5473" spans="5:13">
      <c r="E5473" s="355"/>
      <c r="F5473" s="355"/>
      <c r="G5473" s="355"/>
      <c r="H5473" s="355"/>
      <c r="I5473" s="355"/>
      <c r="J5473" s="355"/>
      <c r="K5473" s="355"/>
      <c r="L5473" s="355"/>
      <c r="M5473" s="355"/>
    </row>
    <row r="5474" spans="5:13">
      <c r="E5474" s="355"/>
      <c r="F5474" s="355"/>
      <c r="G5474" s="355"/>
      <c r="H5474" s="355"/>
      <c r="I5474" s="355"/>
      <c r="J5474" s="355"/>
      <c r="K5474" s="355"/>
      <c r="L5474" s="355"/>
      <c r="M5474" s="355"/>
    </row>
    <row r="5475" spans="5:13">
      <c r="E5475" s="355"/>
      <c r="F5475" s="355"/>
      <c r="G5475" s="355"/>
      <c r="H5475" s="355"/>
      <c r="I5475" s="355"/>
      <c r="J5475" s="355"/>
      <c r="K5475" s="355"/>
      <c r="L5475" s="355"/>
      <c r="M5475" s="355"/>
    </row>
    <row r="5476" spans="5:13">
      <c r="E5476" s="355"/>
      <c r="F5476" s="355"/>
      <c r="G5476" s="355"/>
      <c r="H5476" s="355"/>
      <c r="I5476" s="355"/>
      <c r="J5476" s="355"/>
      <c r="K5476" s="355"/>
      <c r="L5476" s="355"/>
      <c r="M5476" s="355"/>
    </row>
    <row r="5477" spans="5:13">
      <c r="E5477" s="355"/>
      <c r="F5477" s="355"/>
      <c r="G5477" s="355"/>
      <c r="H5477" s="355"/>
      <c r="I5477" s="355"/>
      <c r="J5477" s="355"/>
      <c r="K5477" s="355"/>
      <c r="L5477" s="355"/>
      <c r="M5477" s="355"/>
    </row>
    <row r="5478" spans="5:13">
      <c r="E5478" s="355"/>
      <c r="F5478" s="355"/>
      <c r="G5478" s="355"/>
      <c r="H5478" s="355"/>
      <c r="I5478" s="355"/>
      <c r="J5478" s="355"/>
      <c r="K5478" s="355"/>
      <c r="L5478" s="355"/>
      <c r="M5478" s="355"/>
    </row>
    <row r="5479" spans="5:13">
      <c r="E5479" s="355"/>
      <c r="F5479" s="355"/>
      <c r="G5479" s="355"/>
      <c r="H5479" s="355"/>
      <c r="I5479" s="355"/>
      <c r="J5479" s="355"/>
      <c r="K5479" s="355"/>
      <c r="L5479" s="355"/>
      <c r="M5479" s="355"/>
    </row>
    <row r="5480" spans="5:13">
      <c r="E5480" s="355"/>
      <c r="F5480" s="355"/>
      <c r="G5480" s="355"/>
      <c r="H5480" s="355"/>
      <c r="I5480" s="355"/>
      <c r="J5480" s="355"/>
      <c r="K5480" s="355"/>
      <c r="L5480" s="355"/>
      <c r="M5480" s="355"/>
    </row>
    <row r="5481" spans="5:13">
      <c r="E5481" s="355"/>
      <c r="F5481" s="355"/>
      <c r="G5481" s="355"/>
      <c r="H5481" s="355"/>
      <c r="I5481" s="355"/>
      <c r="J5481" s="355"/>
      <c r="K5481" s="355"/>
      <c r="L5481" s="355"/>
      <c r="M5481" s="355"/>
    </row>
    <row r="5482" spans="5:13">
      <c r="E5482" s="355"/>
      <c r="F5482" s="355"/>
      <c r="G5482" s="355"/>
      <c r="H5482" s="355"/>
      <c r="I5482" s="355"/>
      <c r="J5482" s="355"/>
      <c r="K5482" s="355"/>
      <c r="L5482" s="355"/>
      <c r="M5482" s="355"/>
    </row>
    <row r="5483" spans="5:13">
      <c r="E5483" s="355"/>
      <c r="F5483" s="355"/>
      <c r="G5483" s="355"/>
      <c r="H5483" s="355"/>
      <c r="I5483" s="355"/>
      <c r="J5483" s="355"/>
      <c r="K5483" s="355"/>
      <c r="L5483" s="355"/>
      <c r="M5483" s="355"/>
    </row>
    <row r="5484" spans="5:13">
      <c r="E5484" s="355"/>
      <c r="F5484" s="355"/>
      <c r="G5484" s="355"/>
      <c r="H5484" s="355"/>
      <c r="I5484" s="355"/>
      <c r="J5484" s="355"/>
      <c r="K5484" s="355"/>
      <c r="L5484" s="355"/>
      <c r="M5484" s="355"/>
    </row>
    <row r="5485" spans="5:13">
      <c r="E5485" s="355"/>
      <c r="F5485" s="355"/>
      <c r="G5485" s="355"/>
      <c r="H5485" s="355"/>
      <c r="I5485" s="355"/>
      <c r="J5485" s="355"/>
      <c r="K5485" s="355"/>
      <c r="L5485" s="355"/>
      <c r="M5485" s="355"/>
    </row>
    <row r="5486" spans="5:13">
      <c r="E5486" s="355"/>
      <c r="F5486" s="355"/>
      <c r="G5486" s="355"/>
      <c r="H5486" s="355"/>
      <c r="I5486" s="355"/>
      <c r="J5486" s="355"/>
      <c r="K5486" s="355"/>
      <c r="L5486" s="355"/>
      <c r="M5486" s="355"/>
    </row>
    <row r="5487" spans="5:13">
      <c r="E5487" s="355"/>
      <c r="F5487" s="355"/>
      <c r="G5487" s="355"/>
      <c r="H5487" s="355"/>
      <c r="I5487" s="355"/>
      <c r="J5487" s="355"/>
      <c r="K5487" s="355"/>
      <c r="L5487" s="355"/>
      <c r="M5487" s="355"/>
    </row>
    <row r="5488" spans="5:13">
      <c r="E5488" s="355"/>
      <c r="F5488" s="355"/>
      <c r="G5488" s="355"/>
      <c r="H5488" s="355"/>
      <c r="I5488" s="355"/>
      <c r="J5488" s="355"/>
      <c r="K5488" s="355"/>
      <c r="L5488" s="355"/>
      <c r="M5488" s="355"/>
    </row>
    <row r="5489" spans="5:13">
      <c r="E5489" s="355"/>
      <c r="F5489" s="355"/>
      <c r="G5489" s="355"/>
      <c r="H5489" s="355"/>
      <c r="I5489" s="355"/>
      <c r="J5489" s="355"/>
      <c r="K5489" s="355"/>
      <c r="L5489" s="355"/>
      <c r="M5489" s="355"/>
    </row>
    <row r="5490" spans="5:13">
      <c r="E5490" s="355"/>
      <c r="F5490" s="355"/>
      <c r="G5490" s="355"/>
      <c r="H5490" s="355"/>
      <c r="I5490" s="355"/>
      <c r="J5490" s="355"/>
      <c r="K5490" s="355"/>
      <c r="L5490" s="355"/>
      <c r="M5490" s="355"/>
    </row>
    <row r="5491" spans="5:13">
      <c r="E5491" s="355"/>
      <c r="F5491" s="355"/>
      <c r="G5491" s="355"/>
      <c r="H5491" s="355"/>
      <c r="I5491" s="355"/>
      <c r="J5491" s="355"/>
      <c r="K5491" s="355"/>
      <c r="L5491" s="355"/>
      <c r="M5491" s="355"/>
    </row>
    <row r="5492" spans="5:13">
      <c r="E5492" s="355"/>
      <c r="F5492" s="355"/>
      <c r="G5492" s="355"/>
      <c r="H5492" s="355"/>
      <c r="I5492" s="355"/>
      <c r="J5492" s="355"/>
      <c r="K5492" s="355"/>
      <c r="L5492" s="355"/>
      <c r="M5492" s="355"/>
    </row>
    <row r="5493" spans="5:13">
      <c r="E5493" s="355"/>
      <c r="F5493" s="355"/>
      <c r="G5493" s="355"/>
      <c r="H5493" s="355"/>
      <c r="I5493" s="355"/>
      <c r="J5493" s="355"/>
      <c r="K5493" s="355"/>
      <c r="L5493" s="355"/>
      <c r="M5493" s="355"/>
    </row>
    <row r="5494" spans="5:13">
      <c r="E5494" s="355"/>
      <c r="F5494" s="355"/>
      <c r="G5494" s="355"/>
      <c r="H5494" s="355"/>
      <c r="I5494" s="355"/>
      <c r="J5494" s="355"/>
      <c r="K5494" s="355"/>
      <c r="L5494" s="355"/>
      <c r="M5494" s="355"/>
    </row>
    <row r="5495" spans="5:13">
      <c r="E5495" s="355"/>
      <c r="F5495" s="355"/>
      <c r="G5495" s="355"/>
      <c r="H5495" s="355"/>
      <c r="I5495" s="355"/>
      <c r="J5495" s="355"/>
      <c r="K5495" s="355"/>
      <c r="L5495" s="355"/>
      <c r="M5495" s="355"/>
    </row>
    <row r="5496" spans="5:13">
      <c r="E5496" s="355"/>
      <c r="F5496" s="355"/>
      <c r="G5496" s="355"/>
      <c r="H5496" s="355"/>
      <c r="I5496" s="355"/>
      <c r="J5496" s="355"/>
      <c r="K5496" s="355"/>
      <c r="L5496" s="355"/>
      <c r="M5496" s="355"/>
    </row>
    <row r="5497" spans="5:13">
      <c r="E5497" s="355"/>
      <c r="F5497" s="355"/>
      <c r="G5497" s="355"/>
      <c r="H5497" s="355"/>
      <c r="I5497" s="355"/>
      <c r="J5497" s="355"/>
      <c r="K5497" s="355"/>
      <c r="L5497" s="355"/>
      <c r="M5497" s="355"/>
    </row>
    <row r="5498" spans="5:13">
      <c r="E5498" s="355"/>
      <c r="F5498" s="355"/>
      <c r="G5498" s="355"/>
      <c r="H5498" s="355"/>
      <c r="I5498" s="355"/>
      <c r="J5498" s="355"/>
      <c r="K5498" s="355"/>
      <c r="L5498" s="355"/>
      <c r="M5498" s="355"/>
    </row>
    <row r="5499" spans="5:13">
      <c r="E5499" s="355"/>
      <c r="F5499" s="355"/>
      <c r="G5499" s="355"/>
      <c r="H5499" s="355"/>
      <c r="I5499" s="355"/>
      <c r="J5499" s="355"/>
      <c r="K5499" s="355"/>
      <c r="L5499" s="355"/>
      <c r="M5499" s="355"/>
    </row>
    <row r="5500" spans="5:13">
      <c r="E5500" s="355"/>
      <c r="F5500" s="355"/>
      <c r="G5500" s="355"/>
      <c r="H5500" s="355"/>
      <c r="I5500" s="355"/>
      <c r="J5500" s="355"/>
      <c r="K5500" s="355"/>
      <c r="L5500" s="355"/>
      <c r="M5500" s="355"/>
    </row>
    <row r="5501" spans="5:13">
      <c r="E5501" s="355"/>
      <c r="F5501" s="355"/>
      <c r="G5501" s="355"/>
      <c r="H5501" s="355"/>
      <c r="I5501" s="355"/>
      <c r="J5501" s="355"/>
      <c r="K5501" s="355"/>
      <c r="L5501" s="355"/>
      <c r="M5501" s="355"/>
    </row>
    <row r="5502" spans="5:13">
      <c r="E5502" s="355"/>
      <c r="F5502" s="355"/>
      <c r="G5502" s="355"/>
      <c r="H5502" s="355"/>
      <c r="I5502" s="355"/>
      <c r="J5502" s="355"/>
      <c r="K5502" s="355"/>
      <c r="L5502" s="355"/>
      <c r="M5502" s="355"/>
    </row>
    <row r="5503" spans="5:13">
      <c r="E5503" s="355"/>
      <c r="F5503" s="355"/>
      <c r="G5503" s="355"/>
      <c r="H5503" s="355"/>
      <c r="I5503" s="355"/>
      <c r="J5503" s="355"/>
      <c r="K5503" s="355"/>
      <c r="L5503" s="355"/>
      <c r="M5503" s="355"/>
    </row>
    <row r="5504" spans="5:13">
      <c r="E5504" s="355"/>
      <c r="F5504" s="355"/>
      <c r="G5504" s="355"/>
      <c r="H5504" s="355"/>
      <c r="I5504" s="355"/>
      <c r="J5504" s="355"/>
      <c r="K5504" s="355"/>
      <c r="L5504" s="355"/>
      <c r="M5504" s="355"/>
    </row>
    <row r="5505" spans="5:13">
      <c r="E5505" s="355"/>
      <c r="F5505" s="355"/>
      <c r="G5505" s="355"/>
      <c r="H5505" s="355"/>
      <c r="I5505" s="355"/>
      <c r="J5505" s="355"/>
      <c r="K5505" s="355"/>
      <c r="L5505" s="355"/>
      <c r="M5505" s="355"/>
    </row>
    <row r="5506" spans="5:13">
      <c r="E5506" s="355"/>
      <c r="F5506" s="355"/>
      <c r="G5506" s="355"/>
      <c r="H5506" s="355"/>
      <c r="I5506" s="355"/>
      <c r="J5506" s="355"/>
      <c r="K5506" s="355"/>
      <c r="L5506" s="355"/>
      <c r="M5506" s="355"/>
    </row>
    <row r="5507" spans="5:13">
      <c r="E5507" s="355"/>
      <c r="F5507" s="355"/>
      <c r="G5507" s="355"/>
      <c r="H5507" s="355"/>
      <c r="I5507" s="355"/>
      <c r="J5507" s="355"/>
      <c r="K5507" s="355"/>
      <c r="L5507" s="355"/>
      <c r="M5507" s="355"/>
    </row>
    <row r="5508" spans="5:13">
      <c r="E5508" s="355"/>
      <c r="F5508" s="355"/>
      <c r="G5508" s="355"/>
      <c r="H5508" s="355"/>
      <c r="I5508" s="355"/>
      <c r="J5508" s="355"/>
      <c r="K5508" s="355"/>
      <c r="L5508" s="355"/>
      <c r="M5508" s="355"/>
    </row>
    <row r="5509" spans="5:13">
      <c r="E5509" s="355"/>
      <c r="F5509" s="355"/>
      <c r="G5509" s="355"/>
      <c r="H5509" s="355"/>
      <c r="I5509" s="355"/>
      <c r="J5509" s="355"/>
      <c r="K5509" s="355"/>
      <c r="L5509" s="355"/>
      <c r="M5509" s="355"/>
    </row>
    <row r="5510" spans="5:13">
      <c r="E5510" s="355"/>
      <c r="F5510" s="355"/>
      <c r="G5510" s="355"/>
      <c r="H5510" s="355"/>
      <c r="I5510" s="355"/>
      <c r="J5510" s="355"/>
      <c r="K5510" s="355"/>
      <c r="L5510" s="355"/>
      <c r="M5510" s="355"/>
    </row>
    <row r="5511" spans="5:13">
      <c r="E5511" s="355"/>
      <c r="F5511" s="355"/>
      <c r="G5511" s="355"/>
      <c r="H5511" s="355"/>
      <c r="I5511" s="355"/>
      <c r="J5511" s="355"/>
      <c r="K5511" s="355"/>
      <c r="L5511" s="355"/>
      <c r="M5511" s="355"/>
    </row>
    <row r="5512" spans="5:13">
      <c r="E5512" s="355"/>
      <c r="F5512" s="355"/>
      <c r="G5512" s="355"/>
      <c r="H5512" s="355"/>
      <c r="I5512" s="355"/>
      <c r="J5512" s="355"/>
      <c r="K5512" s="355"/>
      <c r="L5512" s="355"/>
      <c r="M5512" s="355"/>
    </row>
    <row r="5513" spans="5:13">
      <c r="E5513" s="355"/>
      <c r="F5513" s="355"/>
      <c r="G5513" s="355"/>
      <c r="H5513" s="355"/>
      <c r="I5513" s="355"/>
      <c r="J5513" s="355"/>
      <c r="K5513" s="355"/>
      <c r="L5513" s="355"/>
      <c r="M5513" s="355"/>
    </row>
    <row r="5514" spans="5:13">
      <c r="E5514" s="355"/>
      <c r="F5514" s="355"/>
      <c r="G5514" s="355"/>
      <c r="H5514" s="355"/>
      <c r="I5514" s="355"/>
      <c r="J5514" s="355"/>
      <c r="K5514" s="355"/>
      <c r="L5514" s="355"/>
      <c r="M5514" s="355"/>
    </row>
    <row r="5515" spans="5:13">
      <c r="E5515" s="355"/>
      <c r="F5515" s="355"/>
      <c r="G5515" s="355"/>
      <c r="H5515" s="355"/>
      <c r="I5515" s="355"/>
      <c r="J5515" s="355"/>
      <c r="K5515" s="355"/>
      <c r="L5515" s="355"/>
      <c r="M5515" s="355"/>
    </row>
    <row r="5516" spans="5:13">
      <c r="E5516" s="355"/>
      <c r="F5516" s="355"/>
      <c r="G5516" s="355"/>
      <c r="H5516" s="355"/>
      <c r="I5516" s="355"/>
      <c r="J5516" s="355"/>
      <c r="K5516" s="355"/>
      <c r="L5516" s="355"/>
      <c r="M5516" s="355"/>
    </row>
    <row r="5517" spans="5:13">
      <c r="E5517" s="355"/>
      <c r="F5517" s="355"/>
      <c r="G5517" s="355"/>
      <c r="H5517" s="355"/>
      <c r="I5517" s="355"/>
      <c r="J5517" s="355"/>
      <c r="K5517" s="355"/>
      <c r="L5517" s="355"/>
      <c r="M5517" s="355"/>
    </row>
    <row r="5518" spans="5:13">
      <c r="E5518" s="355"/>
      <c r="F5518" s="355"/>
      <c r="G5518" s="355"/>
      <c r="H5518" s="355"/>
      <c r="I5518" s="355"/>
      <c r="J5518" s="355"/>
      <c r="K5518" s="355"/>
      <c r="L5518" s="355"/>
      <c r="M5518" s="355"/>
    </row>
    <row r="5519" spans="5:13">
      <c r="E5519" s="355"/>
      <c r="F5519" s="355"/>
      <c r="G5519" s="355"/>
      <c r="H5519" s="355"/>
      <c r="I5519" s="355"/>
      <c r="J5519" s="355"/>
      <c r="K5519" s="355"/>
      <c r="L5519" s="355"/>
      <c r="M5519" s="355"/>
    </row>
    <row r="5520" spans="5:13">
      <c r="E5520" s="355"/>
      <c r="F5520" s="355"/>
      <c r="G5520" s="355"/>
      <c r="H5520" s="355"/>
      <c r="I5520" s="355"/>
      <c r="J5520" s="355"/>
      <c r="K5520" s="355"/>
      <c r="L5520" s="355"/>
      <c r="M5520" s="355"/>
    </row>
    <row r="5521" spans="5:13">
      <c r="E5521" s="355"/>
      <c r="F5521" s="355"/>
      <c r="G5521" s="355"/>
      <c r="H5521" s="355"/>
      <c r="I5521" s="355"/>
      <c r="J5521" s="355"/>
      <c r="K5521" s="355"/>
      <c r="L5521" s="355"/>
      <c r="M5521" s="355"/>
    </row>
    <row r="5522" spans="5:13">
      <c r="E5522" s="355"/>
      <c r="F5522" s="355"/>
      <c r="G5522" s="355"/>
      <c r="H5522" s="355"/>
      <c r="I5522" s="355"/>
      <c r="J5522" s="355"/>
      <c r="K5522" s="355"/>
      <c r="L5522" s="355"/>
      <c r="M5522" s="355"/>
    </row>
    <row r="5523" spans="5:13">
      <c r="E5523" s="355"/>
      <c r="F5523" s="355"/>
      <c r="G5523" s="355"/>
      <c r="H5523" s="355"/>
      <c r="I5523" s="355"/>
      <c r="J5523" s="355"/>
      <c r="K5523" s="355"/>
      <c r="L5523" s="355"/>
      <c r="M5523" s="355"/>
    </row>
    <row r="5524" spans="5:13">
      <c r="E5524" s="355"/>
      <c r="F5524" s="355"/>
      <c r="G5524" s="355"/>
      <c r="H5524" s="355"/>
      <c r="I5524" s="355"/>
      <c r="J5524" s="355"/>
      <c r="K5524" s="355"/>
      <c r="L5524" s="355"/>
      <c r="M5524" s="355"/>
    </row>
    <row r="5525" spans="5:13">
      <c r="E5525" s="355"/>
      <c r="F5525" s="355"/>
      <c r="G5525" s="355"/>
      <c r="H5525" s="355"/>
      <c r="I5525" s="355"/>
      <c r="J5525" s="355"/>
      <c r="K5525" s="355"/>
      <c r="L5525" s="355"/>
      <c r="M5525" s="355"/>
    </row>
    <row r="5526" spans="5:13">
      <c r="E5526" s="355"/>
      <c r="F5526" s="355"/>
      <c r="G5526" s="355"/>
      <c r="H5526" s="355"/>
      <c r="I5526" s="355"/>
      <c r="J5526" s="355"/>
      <c r="K5526" s="355"/>
      <c r="L5526" s="355"/>
      <c r="M5526" s="355"/>
    </row>
    <row r="5527" spans="5:13">
      <c r="E5527" s="355"/>
      <c r="F5527" s="355"/>
      <c r="G5527" s="355"/>
      <c r="H5527" s="355"/>
      <c r="I5527" s="355"/>
      <c r="J5527" s="355"/>
      <c r="K5527" s="355"/>
      <c r="L5527" s="355"/>
      <c r="M5527" s="355"/>
    </row>
    <row r="5528" spans="5:13">
      <c r="E5528" s="355"/>
      <c r="F5528" s="355"/>
      <c r="G5528" s="355"/>
      <c r="H5528" s="355"/>
      <c r="I5528" s="355"/>
      <c r="J5528" s="355"/>
      <c r="K5528" s="355"/>
      <c r="L5528" s="355"/>
      <c r="M5528" s="355"/>
    </row>
    <row r="5529" spans="5:13">
      <c r="E5529" s="355"/>
      <c r="F5529" s="355"/>
      <c r="G5529" s="355"/>
      <c r="H5529" s="355"/>
      <c r="I5529" s="355"/>
      <c r="J5529" s="355"/>
      <c r="K5529" s="355"/>
      <c r="L5529" s="355"/>
      <c r="M5529" s="355"/>
    </row>
    <row r="5530" spans="5:13">
      <c r="E5530" s="355"/>
      <c r="F5530" s="355"/>
      <c r="G5530" s="355"/>
      <c r="H5530" s="355"/>
      <c r="I5530" s="355"/>
      <c r="J5530" s="355"/>
      <c r="K5530" s="355"/>
      <c r="L5530" s="355"/>
      <c r="M5530" s="355"/>
    </row>
    <row r="5531" spans="5:13">
      <c r="E5531" s="355"/>
      <c r="F5531" s="355"/>
      <c r="G5531" s="355"/>
      <c r="H5531" s="355"/>
      <c r="I5531" s="355"/>
      <c r="J5531" s="355"/>
      <c r="K5531" s="355"/>
      <c r="L5531" s="355"/>
      <c r="M5531" s="355"/>
    </row>
    <row r="5532" spans="5:13">
      <c r="E5532" s="355"/>
      <c r="F5532" s="355"/>
      <c r="G5532" s="355"/>
      <c r="H5532" s="355"/>
      <c r="I5532" s="355"/>
      <c r="J5532" s="355"/>
      <c r="K5532" s="355"/>
      <c r="L5532" s="355"/>
      <c r="M5532" s="355"/>
    </row>
    <row r="5533" spans="5:13">
      <c r="E5533" s="355"/>
      <c r="F5533" s="355"/>
      <c r="G5533" s="355"/>
      <c r="H5533" s="355"/>
      <c r="I5533" s="355"/>
      <c r="J5533" s="355"/>
      <c r="K5533" s="355"/>
      <c r="L5533" s="355"/>
      <c r="M5533" s="355"/>
    </row>
    <row r="5534" spans="5:13">
      <c r="E5534" s="355"/>
      <c r="F5534" s="355"/>
      <c r="G5534" s="355"/>
      <c r="H5534" s="355"/>
      <c r="I5534" s="355"/>
      <c r="J5534" s="355"/>
      <c r="K5534" s="355"/>
      <c r="L5534" s="355"/>
      <c r="M5534" s="355"/>
    </row>
    <row r="5535" spans="5:13">
      <c r="E5535" s="355"/>
      <c r="F5535" s="355"/>
      <c r="G5535" s="355"/>
      <c r="H5535" s="355"/>
      <c r="I5535" s="355"/>
      <c r="J5535" s="355"/>
      <c r="K5535" s="355"/>
      <c r="L5535" s="355"/>
      <c r="M5535" s="355"/>
    </row>
    <row r="5536" spans="5:13">
      <c r="E5536" s="355"/>
      <c r="F5536" s="355"/>
      <c r="G5536" s="355"/>
      <c r="H5536" s="355"/>
      <c r="I5536" s="355"/>
      <c r="J5536" s="355"/>
      <c r="K5536" s="355"/>
      <c r="L5536" s="355"/>
      <c r="M5536" s="355"/>
    </row>
    <row r="5537" spans="5:13">
      <c r="E5537" s="355"/>
      <c r="F5537" s="355"/>
      <c r="G5537" s="355"/>
      <c r="H5537" s="355"/>
      <c r="I5537" s="355"/>
      <c r="J5537" s="355"/>
      <c r="K5537" s="355"/>
      <c r="L5537" s="355"/>
      <c r="M5537" s="355"/>
    </row>
    <row r="5538" spans="5:13">
      <c r="E5538" s="355"/>
      <c r="F5538" s="355"/>
      <c r="G5538" s="355"/>
      <c r="H5538" s="355"/>
      <c r="I5538" s="355"/>
      <c r="J5538" s="355"/>
      <c r="K5538" s="355"/>
      <c r="L5538" s="355"/>
      <c r="M5538" s="355"/>
    </row>
    <row r="5539" spans="5:13">
      <c r="E5539" s="355"/>
      <c r="F5539" s="355"/>
      <c r="G5539" s="355"/>
      <c r="H5539" s="355"/>
      <c r="I5539" s="355"/>
      <c r="J5539" s="355"/>
      <c r="K5539" s="355"/>
      <c r="L5539" s="355"/>
      <c r="M5539" s="355"/>
    </row>
    <row r="5540" spans="5:13">
      <c r="E5540" s="355"/>
      <c r="F5540" s="355"/>
      <c r="G5540" s="355"/>
      <c r="H5540" s="355"/>
      <c r="I5540" s="355"/>
      <c r="J5540" s="355"/>
      <c r="K5540" s="355"/>
      <c r="L5540" s="355"/>
      <c r="M5540" s="355"/>
    </row>
    <row r="5541" spans="5:13">
      <c r="E5541" s="355"/>
      <c r="F5541" s="355"/>
      <c r="G5541" s="355"/>
      <c r="H5541" s="355"/>
      <c r="I5541" s="355"/>
      <c r="J5541" s="355"/>
      <c r="K5541" s="355"/>
      <c r="L5541" s="355"/>
      <c r="M5541" s="355"/>
    </row>
    <row r="5542" spans="5:13">
      <c r="E5542" s="355"/>
      <c r="F5542" s="355"/>
      <c r="G5542" s="355"/>
      <c r="H5542" s="355"/>
      <c r="I5542" s="355"/>
      <c r="J5542" s="355"/>
      <c r="K5542" s="355"/>
      <c r="L5542" s="355"/>
      <c r="M5542" s="355"/>
    </row>
    <row r="5543" spans="5:13">
      <c r="E5543" s="355"/>
      <c r="F5543" s="355"/>
      <c r="G5543" s="355"/>
      <c r="H5543" s="355"/>
      <c r="I5543" s="355"/>
      <c r="J5543" s="355"/>
      <c r="K5543" s="355"/>
      <c r="L5543" s="355"/>
      <c r="M5543" s="355"/>
    </row>
    <row r="5544" spans="5:13">
      <c r="E5544" s="355"/>
      <c r="F5544" s="355"/>
      <c r="G5544" s="355"/>
      <c r="H5544" s="355"/>
      <c r="I5544" s="355"/>
      <c r="J5544" s="355"/>
      <c r="K5544" s="355"/>
      <c r="L5544" s="355"/>
      <c r="M5544" s="355"/>
    </row>
    <row r="5545" spans="5:13">
      <c r="E5545" s="355"/>
      <c r="F5545" s="355"/>
      <c r="G5545" s="355"/>
      <c r="H5545" s="355"/>
      <c r="I5545" s="355"/>
      <c r="J5545" s="355"/>
      <c r="K5545" s="355"/>
      <c r="L5545" s="355"/>
      <c r="M5545" s="355"/>
    </row>
    <row r="5546" spans="5:13">
      <c r="E5546" s="355"/>
      <c r="F5546" s="355"/>
      <c r="G5546" s="355"/>
      <c r="H5546" s="355"/>
      <c r="I5546" s="355"/>
      <c r="J5546" s="355"/>
      <c r="K5546" s="355"/>
      <c r="L5546" s="355"/>
      <c r="M5546" s="355"/>
    </row>
    <row r="5547" spans="5:13">
      <c r="E5547" s="355"/>
      <c r="F5547" s="355"/>
      <c r="G5547" s="355"/>
      <c r="H5547" s="355"/>
      <c r="I5547" s="355"/>
      <c r="J5547" s="355"/>
      <c r="K5547" s="355"/>
      <c r="L5547" s="355"/>
      <c r="M5547" s="355"/>
    </row>
    <row r="5548" spans="5:13">
      <c r="E5548" s="355"/>
      <c r="F5548" s="355"/>
      <c r="G5548" s="355"/>
      <c r="H5548" s="355"/>
      <c r="I5548" s="355"/>
      <c r="J5548" s="355"/>
      <c r="K5548" s="355"/>
      <c r="L5548" s="355"/>
      <c r="M5548" s="355"/>
    </row>
    <row r="5549" spans="5:13">
      <c r="E5549" s="355"/>
      <c r="F5549" s="355"/>
      <c r="G5549" s="355"/>
      <c r="H5549" s="355"/>
      <c r="I5549" s="355"/>
      <c r="J5549" s="355"/>
      <c r="K5549" s="355"/>
      <c r="L5549" s="355"/>
      <c r="M5549" s="355"/>
    </row>
    <row r="5550" spans="5:13">
      <c r="E5550" s="355"/>
      <c r="F5550" s="355"/>
      <c r="G5550" s="355"/>
      <c r="H5550" s="355"/>
      <c r="I5550" s="355"/>
      <c r="J5550" s="355"/>
      <c r="K5550" s="355"/>
      <c r="L5550" s="355"/>
      <c r="M5550" s="355"/>
    </row>
    <row r="5551" spans="5:13">
      <c r="E5551" s="355"/>
      <c r="F5551" s="355"/>
      <c r="G5551" s="355"/>
      <c r="H5551" s="355"/>
      <c r="I5551" s="355"/>
      <c r="J5551" s="355"/>
      <c r="K5551" s="355"/>
      <c r="L5551" s="355"/>
      <c r="M5551" s="355"/>
    </row>
    <row r="5552" spans="5:13">
      <c r="E5552" s="355"/>
      <c r="F5552" s="355"/>
      <c r="G5552" s="355"/>
      <c r="H5552" s="355"/>
      <c r="I5552" s="355"/>
      <c r="J5552" s="355"/>
      <c r="K5552" s="355"/>
      <c r="L5552" s="355"/>
      <c r="M5552" s="355"/>
    </row>
    <row r="5553" spans="5:13">
      <c r="E5553" s="355"/>
      <c r="F5553" s="355"/>
      <c r="G5553" s="355"/>
      <c r="H5553" s="355"/>
      <c r="I5553" s="355"/>
      <c r="J5553" s="355"/>
      <c r="K5553" s="355"/>
      <c r="L5553" s="355"/>
      <c r="M5553" s="355"/>
    </row>
    <row r="5554" spans="5:13">
      <c r="E5554" s="355"/>
      <c r="F5554" s="355"/>
      <c r="G5554" s="355"/>
      <c r="H5554" s="355"/>
      <c r="I5554" s="355"/>
      <c r="J5554" s="355"/>
      <c r="K5554" s="355"/>
      <c r="L5554" s="355"/>
      <c r="M5554" s="355"/>
    </row>
    <row r="5555" spans="5:13">
      <c r="E5555" s="355"/>
      <c r="F5555" s="355"/>
      <c r="G5555" s="355"/>
      <c r="H5555" s="355"/>
      <c r="I5555" s="355"/>
      <c r="J5555" s="355"/>
      <c r="K5555" s="355"/>
      <c r="L5555" s="355"/>
      <c r="M5555" s="355"/>
    </row>
    <row r="5556" spans="5:13">
      <c r="E5556" s="355"/>
      <c r="F5556" s="355"/>
      <c r="G5556" s="355"/>
      <c r="H5556" s="355"/>
      <c r="I5556" s="355"/>
      <c r="J5556" s="355"/>
      <c r="K5556" s="355"/>
      <c r="L5556" s="355"/>
      <c r="M5556" s="355"/>
    </row>
    <row r="5557" spans="5:13">
      <c r="E5557" s="355"/>
      <c r="F5557" s="355"/>
      <c r="G5557" s="355"/>
      <c r="H5557" s="355"/>
      <c r="I5557" s="355"/>
      <c r="J5557" s="355"/>
      <c r="K5557" s="355"/>
      <c r="L5557" s="355"/>
      <c r="M5557" s="355"/>
    </row>
    <row r="5558" spans="5:13">
      <c r="E5558" s="355"/>
      <c r="F5558" s="355"/>
      <c r="G5558" s="355"/>
      <c r="H5558" s="355"/>
      <c r="I5558" s="355"/>
      <c r="J5558" s="355"/>
      <c r="K5558" s="355"/>
      <c r="L5558" s="355"/>
      <c r="M5558" s="355"/>
    </row>
    <row r="5559" spans="5:13">
      <c r="E5559" s="355"/>
      <c r="F5559" s="355"/>
      <c r="G5559" s="355"/>
      <c r="H5559" s="355"/>
      <c r="I5559" s="355"/>
      <c r="J5559" s="355"/>
      <c r="K5559" s="355"/>
      <c r="L5559" s="355"/>
      <c r="M5559" s="355"/>
    </row>
    <row r="5560" spans="5:13">
      <c r="E5560" s="355"/>
      <c r="F5560" s="355"/>
      <c r="G5560" s="355"/>
      <c r="H5560" s="355"/>
      <c r="I5560" s="355"/>
      <c r="J5560" s="355"/>
      <c r="K5560" s="355"/>
      <c r="L5560" s="355"/>
      <c r="M5560" s="355"/>
    </row>
    <row r="5561" spans="5:13">
      <c r="E5561" s="355"/>
      <c r="F5561" s="355"/>
      <c r="G5561" s="355"/>
      <c r="H5561" s="355"/>
      <c r="I5561" s="355"/>
      <c r="J5561" s="355"/>
      <c r="K5561" s="355"/>
      <c r="L5561" s="355"/>
      <c r="M5561" s="355"/>
    </row>
    <row r="5562" spans="5:13">
      <c r="E5562" s="355"/>
      <c r="F5562" s="355"/>
      <c r="G5562" s="355"/>
      <c r="H5562" s="355"/>
      <c r="I5562" s="355"/>
      <c r="J5562" s="355"/>
      <c r="K5562" s="355"/>
      <c r="L5562" s="355"/>
      <c r="M5562" s="355"/>
    </row>
    <row r="5563" spans="5:13">
      <c r="E5563" s="355"/>
      <c r="F5563" s="355"/>
      <c r="G5563" s="355"/>
      <c r="H5563" s="355"/>
      <c r="I5563" s="355"/>
      <c r="J5563" s="355"/>
      <c r="K5563" s="355"/>
      <c r="L5563" s="355"/>
      <c r="M5563" s="355"/>
    </row>
    <row r="5564" spans="5:13">
      <c r="E5564" s="355"/>
      <c r="F5564" s="355"/>
      <c r="G5564" s="355"/>
      <c r="H5564" s="355"/>
      <c r="I5564" s="355"/>
      <c r="J5564" s="355"/>
      <c r="K5564" s="355"/>
      <c r="L5564" s="355"/>
      <c r="M5564" s="355"/>
    </row>
    <row r="5565" spans="5:13">
      <c r="E5565" s="355"/>
      <c r="F5565" s="355"/>
      <c r="G5565" s="355"/>
      <c r="H5565" s="355"/>
      <c r="I5565" s="355"/>
      <c r="J5565" s="355"/>
      <c r="K5565" s="355"/>
      <c r="L5565" s="355"/>
      <c r="M5565" s="355"/>
    </row>
    <row r="5566" spans="5:13">
      <c r="E5566" s="355"/>
      <c r="F5566" s="355"/>
      <c r="G5566" s="355"/>
      <c r="H5566" s="355"/>
      <c r="I5566" s="355"/>
      <c r="J5566" s="355"/>
      <c r="K5566" s="355"/>
      <c r="L5566" s="355"/>
      <c r="M5566" s="355"/>
    </row>
    <row r="5567" spans="5:13">
      <c r="E5567" s="355"/>
      <c r="F5567" s="355"/>
      <c r="G5567" s="355"/>
      <c r="H5567" s="355"/>
      <c r="I5567" s="355"/>
      <c r="J5567" s="355"/>
      <c r="K5567" s="355"/>
      <c r="L5567" s="355"/>
      <c r="M5567" s="355"/>
    </row>
    <row r="5568" spans="5:13">
      <c r="E5568" s="355"/>
      <c r="F5568" s="355"/>
      <c r="G5568" s="355"/>
      <c r="H5568" s="355"/>
      <c r="I5568" s="355"/>
      <c r="J5568" s="355"/>
      <c r="K5568" s="355"/>
      <c r="L5568" s="355"/>
      <c r="M5568" s="355"/>
    </row>
    <row r="5569" spans="5:13">
      <c r="E5569" s="355"/>
      <c r="F5569" s="355"/>
      <c r="G5569" s="355"/>
      <c r="H5569" s="355"/>
      <c r="I5569" s="355"/>
      <c r="J5569" s="355"/>
      <c r="K5569" s="355"/>
      <c r="L5569" s="355"/>
      <c r="M5569" s="355"/>
    </row>
    <row r="5570" spans="5:13">
      <c r="E5570" s="355"/>
      <c r="F5570" s="355"/>
      <c r="G5570" s="355"/>
      <c r="H5570" s="355"/>
      <c r="I5570" s="355"/>
      <c r="J5570" s="355"/>
      <c r="K5570" s="355"/>
      <c r="L5570" s="355"/>
      <c r="M5570" s="355"/>
    </row>
    <row r="5571" spans="5:13">
      <c r="E5571" s="355"/>
      <c r="F5571" s="355"/>
      <c r="G5571" s="355"/>
      <c r="H5571" s="355"/>
      <c r="I5571" s="355"/>
      <c r="J5571" s="355"/>
      <c r="K5571" s="355"/>
      <c r="L5571" s="355"/>
      <c r="M5571" s="355"/>
    </row>
    <row r="5572" spans="5:13">
      <c r="E5572" s="355"/>
      <c r="F5572" s="355"/>
      <c r="G5572" s="355"/>
      <c r="H5572" s="355"/>
      <c r="I5572" s="355"/>
      <c r="J5572" s="355"/>
      <c r="K5572" s="355"/>
      <c r="L5572" s="355"/>
      <c r="M5572" s="355"/>
    </row>
    <row r="5573" spans="5:13">
      <c r="E5573" s="355"/>
      <c r="F5573" s="355"/>
      <c r="G5573" s="355"/>
      <c r="H5573" s="355"/>
      <c r="I5573" s="355"/>
      <c r="J5573" s="355"/>
      <c r="K5573" s="355"/>
      <c r="L5573" s="355"/>
      <c r="M5573" s="355"/>
    </row>
    <row r="5574" spans="5:13">
      <c r="E5574" s="355"/>
      <c r="F5574" s="355"/>
      <c r="G5574" s="355"/>
      <c r="H5574" s="355"/>
      <c r="I5574" s="355"/>
      <c r="J5574" s="355"/>
      <c r="K5574" s="355"/>
      <c r="L5574" s="355"/>
      <c r="M5574" s="355"/>
    </row>
    <row r="5575" spans="5:13">
      <c r="E5575" s="355"/>
      <c r="F5575" s="355"/>
      <c r="G5575" s="355"/>
      <c r="H5575" s="355"/>
      <c r="I5575" s="355"/>
      <c r="J5575" s="355"/>
      <c r="K5575" s="355"/>
      <c r="L5575" s="355"/>
      <c r="M5575" s="355"/>
    </row>
    <row r="5576" spans="5:13">
      <c r="E5576" s="355"/>
      <c r="F5576" s="355"/>
      <c r="G5576" s="355"/>
      <c r="H5576" s="355"/>
      <c r="I5576" s="355"/>
      <c r="J5576" s="355"/>
      <c r="K5576" s="355"/>
      <c r="L5576" s="355"/>
      <c r="M5576" s="355"/>
    </row>
    <row r="5577" spans="5:13">
      <c r="E5577" s="355"/>
      <c r="F5577" s="355"/>
      <c r="G5577" s="355"/>
      <c r="H5577" s="355"/>
      <c r="I5577" s="355"/>
      <c r="J5577" s="355"/>
      <c r="K5577" s="355"/>
      <c r="L5577" s="355"/>
      <c r="M5577" s="355"/>
    </row>
    <row r="5578" spans="5:13">
      <c r="E5578" s="355"/>
      <c r="F5578" s="355"/>
      <c r="G5578" s="355"/>
      <c r="H5578" s="355"/>
      <c r="I5578" s="355"/>
      <c r="J5578" s="355"/>
      <c r="K5578" s="355"/>
      <c r="L5578" s="355"/>
      <c r="M5578" s="355"/>
    </row>
    <row r="5579" spans="5:13">
      <c r="E5579" s="355"/>
      <c r="F5579" s="355"/>
      <c r="G5579" s="355"/>
      <c r="H5579" s="355"/>
      <c r="I5579" s="355"/>
      <c r="J5579" s="355"/>
      <c r="K5579" s="355"/>
      <c r="L5579" s="355"/>
      <c r="M5579" s="355"/>
    </row>
    <row r="5580" spans="5:13">
      <c r="E5580" s="355"/>
      <c r="F5580" s="355"/>
      <c r="G5580" s="355"/>
      <c r="H5580" s="355"/>
      <c r="I5580" s="355"/>
      <c r="J5580" s="355"/>
      <c r="K5580" s="355"/>
      <c r="L5580" s="355"/>
      <c r="M5580" s="355"/>
    </row>
    <row r="5581" spans="5:13">
      <c r="E5581" s="355"/>
      <c r="F5581" s="355"/>
      <c r="G5581" s="355"/>
      <c r="H5581" s="355"/>
      <c r="I5581" s="355"/>
      <c r="J5581" s="355"/>
      <c r="K5581" s="355"/>
      <c r="L5581" s="355"/>
      <c r="M5581" s="355"/>
    </row>
    <row r="5582" spans="5:13">
      <c r="E5582" s="355"/>
      <c r="F5582" s="355"/>
      <c r="G5582" s="355"/>
      <c r="H5582" s="355"/>
      <c r="I5582" s="355"/>
      <c r="J5582" s="355"/>
      <c r="K5582" s="355"/>
      <c r="L5582" s="355"/>
      <c r="M5582" s="355"/>
    </row>
    <row r="5583" spans="5:13">
      <c r="E5583" s="355"/>
      <c r="F5583" s="355"/>
      <c r="G5583" s="355"/>
      <c r="H5583" s="355"/>
      <c r="I5583" s="355"/>
      <c r="J5583" s="355"/>
      <c r="K5583" s="355"/>
      <c r="L5583" s="355"/>
      <c r="M5583" s="355"/>
    </row>
    <row r="5584" spans="5:13">
      <c r="E5584" s="355"/>
      <c r="F5584" s="355"/>
      <c r="G5584" s="355"/>
      <c r="H5584" s="355"/>
      <c r="I5584" s="355"/>
      <c r="J5584" s="355"/>
      <c r="K5584" s="355"/>
      <c r="L5584" s="355"/>
      <c r="M5584" s="355"/>
    </row>
    <row r="5585" spans="5:13">
      <c r="E5585" s="355"/>
      <c r="F5585" s="355"/>
      <c r="G5585" s="355"/>
      <c r="H5585" s="355"/>
      <c r="I5585" s="355"/>
      <c r="J5585" s="355"/>
      <c r="K5585" s="355"/>
      <c r="L5585" s="355"/>
      <c r="M5585" s="355"/>
    </row>
    <row r="5586" spans="5:13">
      <c r="E5586" s="355"/>
      <c r="F5586" s="355"/>
      <c r="G5586" s="355"/>
      <c r="H5586" s="355"/>
      <c r="I5586" s="355"/>
      <c r="J5586" s="355"/>
      <c r="K5586" s="355"/>
      <c r="L5586" s="355"/>
      <c r="M5586" s="355"/>
    </row>
    <row r="5587" spans="5:13">
      <c r="E5587" s="355"/>
      <c r="F5587" s="355"/>
      <c r="G5587" s="355"/>
      <c r="H5587" s="355"/>
      <c r="I5587" s="355"/>
      <c r="J5587" s="355"/>
      <c r="K5587" s="355"/>
      <c r="L5587" s="355"/>
      <c r="M5587" s="355"/>
    </row>
    <row r="5588" spans="5:13">
      <c r="E5588" s="355"/>
      <c r="F5588" s="355"/>
      <c r="G5588" s="355"/>
      <c r="H5588" s="355"/>
      <c r="I5588" s="355"/>
      <c r="J5588" s="355"/>
      <c r="K5588" s="355"/>
      <c r="L5588" s="355"/>
      <c r="M5588" s="355"/>
    </row>
    <row r="5589" spans="5:13">
      <c r="E5589" s="355"/>
      <c r="F5589" s="355"/>
      <c r="G5589" s="355"/>
      <c r="H5589" s="355"/>
      <c r="I5589" s="355"/>
      <c r="J5589" s="355"/>
      <c r="K5589" s="355"/>
      <c r="L5589" s="355"/>
      <c r="M5589" s="355"/>
    </row>
    <row r="5590" spans="5:13">
      <c r="E5590" s="355"/>
      <c r="F5590" s="355"/>
      <c r="G5590" s="355"/>
      <c r="H5590" s="355"/>
      <c r="I5590" s="355"/>
      <c r="J5590" s="355"/>
      <c r="K5590" s="355"/>
      <c r="L5590" s="355"/>
      <c r="M5590" s="355"/>
    </row>
    <row r="5591" spans="5:13">
      <c r="E5591" s="355"/>
      <c r="F5591" s="355"/>
      <c r="G5591" s="355"/>
      <c r="H5591" s="355"/>
      <c r="I5591" s="355"/>
      <c r="J5591" s="355"/>
      <c r="K5591" s="355"/>
      <c r="L5591" s="355"/>
      <c r="M5591" s="355"/>
    </row>
    <row r="5592" spans="5:13">
      <c r="E5592" s="355"/>
      <c r="F5592" s="355"/>
      <c r="G5592" s="355"/>
      <c r="H5592" s="355"/>
      <c r="I5592" s="355"/>
      <c r="J5592" s="355"/>
      <c r="K5592" s="355"/>
      <c r="L5592" s="355"/>
      <c r="M5592" s="355"/>
    </row>
    <row r="5593" spans="5:13">
      <c r="E5593" s="355"/>
      <c r="F5593" s="355"/>
      <c r="G5593" s="355"/>
      <c r="H5593" s="355"/>
      <c r="I5593" s="355"/>
      <c r="J5593" s="355"/>
      <c r="K5593" s="355"/>
      <c r="L5593" s="355"/>
      <c r="M5593" s="355"/>
    </row>
    <row r="5594" spans="5:13">
      <c r="E5594" s="355"/>
      <c r="F5594" s="355"/>
      <c r="G5594" s="355"/>
      <c r="H5594" s="355"/>
      <c r="I5594" s="355"/>
      <c r="J5594" s="355"/>
      <c r="K5594" s="355"/>
      <c r="L5594" s="355"/>
      <c r="M5594" s="355"/>
    </row>
    <row r="5595" spans="5:13">
      <c r="E5595" s="355"/>
      <c r="F5595" s="355"/>
      <c r="G5595" s="355"/>
      <c r="H5595" s="355"/>
      <c r="I5595" s="355"/>
      <c r="J5595" s="355"/>
      <c r="K5595" s="355"/>
      <c r="L5595" s="355"/>
      <c r="M5595" s="355"/>
    </row>
    <row r="5596" spans="5:13">
      <c r="E5596" s="355"/>
      <c r="F5596" s="355"/>
      <c r="G5596" s="355"/>
      <c r="H5596" s="355"/>
      <c r="I5596" s="355"/>
      <c r="J5596" s="355"/>
      <c r="K5596" s="355"/>
      <c r="L5596" s="355"/>
      <c r="M5596" s="355"/>
    </row>
    <row r="5597" spans="5:13">
      <c r="E5597" s="355"/>
      <c r="F5597" s="355"/>
      <c r="G5597" s="355"/>
      <c r="H5597" s="355"/>
      <c r="I5597" s="355"/>
      <c r="J5597" s="355"/>
      <c r="K5597" s="355"/>
      <c r="L5597" s="355"/>
      <c r="M5597" s="355"/>
    </row>
    <row r="5598" spans="5:13">
      <c r="E5598" s="355"/>
      <c r="F5598" s="355"/>
      <c r="G5598" s="355"/>
      <c r="H5598" s="355"/>
      <c r="I5598" s="355"/>
      <c r="J5598" s="355"/>
      <c r="K5598" s="355"/>
      <c r="L5598" s="355"/>
      <c r="M5598" s="355"/>
    </row>
    <row r="5599" spans="5:13">
      <c r="E5599" s="355"/>
      <c r="F5599" s="355"/>
      <c r="G5599" s="355"/>
      <c r="H5599" s="355"/>
      <c r="I5599" s="355"/>
      <c r="J5599" s="355"/>
      <c r="K5599" s="355"/>
      <c r="L5599" s="355"/>
      <c r="M5599" s="355"/>
    </row>
    <row r="5600" spans="5:13">
      <c r="E5600" s="355"/>
      <c r="F5600" s="355"/>
      <c r="G5600" s="355"/>
      <c r="H5600" s="355"/>
      <c r="I5600" s="355"/>
      <c r="J5600" s="355"/>
      <c r="K5600" s="355"/>
      <c r="L5600" s="355"/>
      <c r="M5600" s="355"/>
    </row>
    <row r="5601" spans="5:13">
      <c r="E5601" s="355"/>
      <c r="F5601" s="355"/>
      <c r="G5601" s="355"/>
      <c r="H5601" s="355"/>
      <c r="I5601" s="355"/>
      <c r="J5601" s="355"/>
      <c r="K5601" s="355"/>
      <c r="L5601" s="355"/>
      <c r="M5601" s="355"/>
    </row>
    <row r="5602" spans="5:13">
      <c r="E5602" s="355"/>
      <c r="F5602" s="355"/>
      <c r="G5602" s="355"/>
      <c r="H5602" s="355"/>
      <c r="I5602" s="355"/>
      <c r="J5602" s="355"/>
      <c r="K5602" s="355"/>
      <c r="L5602" s="355"/>
      <c r="M5602" s="355"/>
    </row>
    <row r="5603" spans="5:13">
      <c r="E5603" s="355"/>
      <c r="F5603" s="355"/>
      <c r="G5603" s="355"/>
      <c r="H5603" s="355"/>
      <c r="I5603" s="355"/>
      <c r="J5603" s="355"/>
      <c r="K5603" s="355"/>
      <c r="L5603" s="355"/>
      <c r="M5603" s="355"/>
    </row>
    <row r="5604" spans="5:13">
      <c r="E5604" s="355"/>
      <c r="F5604" s="355"/>
      <c r="G5604" s="355"/>
      <c r="H5604" s="355"/>
      <c r="I5604" s="355"/>
      <c r="J5604" s="355"/>
      <c r="K5604" s="355"/>
      <c r="L5604" s="355"/>
      <c r="M5604" s="355"/>
    </row>
    <row r="5605" spans="5:13">
      <c r="E5605" s="355"/>
      <c r="F5605" s="355"/>
      <c r="G5605" s="355"/>
      <c r="H5605" s="355"/>
      <c r="I5605" s="355"/>
      <c r="J5605" s="355"/>
      <c r="K5605" s="355"/>
      <c r="L5605" s="355"/>
      <c r="M5605" s="355"/>
    </row>
    <row r="5606" spans="5:13">
      <c r="E5606" s="355"/>
      <c r="F5606" s="355"/>
      <c r="G5606" s="355"/>
      <c r="H5606" s="355"/>
      <c r="I5606" s="355"/>
      <c r="J5606" s="355"/>
      <c r="K5606" s="355"/>
      <c r="L5606" s="355"/>
      <c r="M5606" s="355"/>
    </row>
    <row r="5607" spans="5:13">
      <c r="E5607" s="355"/>
      <c r="F5607" s="355"/>
      <c r="G5607" s="355"/>
      <c r="H5607" s="355"/>
      <c r="I5607" s="355"/>
      <c r="J5607" s="355"/>
      <c r="K5607" s="355"/>
      <c r="L5607" s="355"/>
      <c r="M5607" s="355"/>
    </row>
    <row r="5608" spans="5:13">
      <c r="E5608" s="355"/>
      <c r="F5608" s="355"/>
      <c r="G5608" s="355"/>
      <c r="H5608" s="355"/>
      <c r="I5608" s="355"/>
      <c r="J5608" s="355"/>
      <c r="K5608" s="355"/>
      <c r="L5608" s="355"/>
      <c r="M5608" s="355"/>
    </row>
    <row r="5609" spans="5:13">
      <c r="E5609" s="355"/>
      <c r="F5609" s="355"/>
      <c r="G5609" s="355"/>
      <c r="H5609" s="355"/>
      <c r="I5609" s="355"/>
      <c r="J5609" s="355"/>
      <c r="K5609" s="355"/>
      <c r="L5609" s="355"/>
      <c r="M5609" s="355"/>
    </row>
    <row r="5610" spans="5:13">
      <c r="E5610" s="355"/>
      <c r="F5610" s="355"/>
      <c r="G5610" s="355"/>
      <c r="H5610" s="355"/>
      <c r="I5610" s="355"/>
      <c r="J5610" s="355"/>
      <c r="K5610" s="355"/>
      <c r="L5610" s="355"/>
      <c r="M5610" s="355"/>
    </row>
    <row r="5611" spans="5:13">
      <c r="E5611" s="355"/>
      <c r="F5611" s="355"/>
      <c r="G5611" s="355"/>
      <c r="H5611" s="355"/>
      <c r="I5611" s="355"/>
      <c r="J5611" s="355"/>
      <c r="K5611" s="355"/>
      <c r="L5611" s="355"/>
      <c r="M5611" s="355"/>
    </row>
    <row r="5612" spans="5:13">
      <c r="E5612" s="355"/>
      <c r="F5612" s="355"/>
      <c r="G5612" s="355"/>
      <c r="H5612" s="355"/>
      <c r="I5612" s="355"/>
      <c r="J5612" s="355"/>
      <c r="K5612" s="355"/>
      <c r="L5612" s="355"/>
      <c r="M5612" s="355"/>
    </row>
    <row r="5613" spans="5:13">
      <c r="E5613" s="355"/>
      <c r="F5613" s="355"/>
      <c r="G5613" s="355"/>
      <c r="H5613" s="355"/>
      <c r="I5613" s="355"/>
      <c r="J5613" s="355"/>
      <c r="K5613" s="355"/>
      <c r="L5613" s="355"/>
      <c r="M5613" s="355"/>
    </row>
    <row r="5614" spans="5:13">
      <c r="E5614" s="355"/>
      <c r="F5614" s="355"/>
      <c r="G5614" s="355"/>
      <c r="H5614" s="355"/>
      <c r="I5614" s="355"/>
      <c r="J5614" s="355"/>
      <c r="K5614" s="355"/>
      <c r="L5614" s="355"/>
      <c r="M5614" s="355"/>
    </row>
    <row r="5615" spans="5:13">
      <c r="E5615" s="355"/>
      <c r="F5615" s="355"/>
      <c r="G5615" s="355"/>
      <c r="H5615" s="355"/>
      <c r="I5615" s="355"/>
      <c r="J5615" s="355"/>
      <c r="K5615" s="355"/>
      <c r="L5615" s="355"/>
      <c r="M5615" s="355"/>
    </row>
    <row r="5616" spans="5:13">
      <c r="E5616" s="355"/>
      <c r="F5616" s="355"/>
      <c r="G5616" s="355"/>
      <c r="H5616" s="355"/>
      <c r="I5616" s="355"/>
      <c r="J5616" s="355"/>
      <c r="K5616" s="355"/>
      <c r="L5616" s="355"/>
      <c r="M5616" s="355"/>
    </row>
    <row r="5617" spans="5:13">
      <c r="E5617" s="355"/>
      <c r="F5617" s="355"/>
      <c r="G5617" s="355"/>
      <c r="H5617" s="355"/>
      <c r="I5617" s="355"/>
      <c r="J5617" s="355"/>
      <c r="K5617" s="355"/>
      <c r="L5617" s="355"/>
      <c r="M5617" s="355"/>
    </row>
    <row r="5618" spans="5:13">
      <c r="E5618" s="355"/>
      <c r="F5618" s="355"/>
      <c r="G5618" s="355"/>
      <c r="H5618" s="355"/>
      <c r="I5618" s="355"/>
      <c r="J5618" s="355"/>
      <c r="K5618" s="355"/>
      <c r="L5618" s="355"/>
      <c r="M5618" s="355"/>
    </row>
    <row r="5619" spans="5:13">
      <c r="E5619" s="355"/>
      <c r="F5619" s="355"/>
      <c r="G5619" s="355"/>
      <c r="H5619" s="355"/>
      <c r="I5619" s="355"/>
      <c r="J5619" s="355"/>
      <c r="K5619" s="355"/>
      <c r="L5619" s="355"/>
      <c r="M5619" s="355"/>
    </row>
    <row r="5620" spans="5:13">
      <c r="E5620" s="355"/>
      <c r="F5620" s="355"/>
      <c r="G5620" s="355"/>
      <c r="H5620" s="355"/>
      <c r="I5620" s="355"/>
      <c r="J5620" s="355"/>
      <c r="K5620" s="355"/>
      <c r="L5620" s="355"/>
      <c r="M5620" s="355"/>
    </row>
    <row r="5621" spans="5:13">
      <c r="E5621" s="355"/>
      <c r="F5621" s="355"/>
      <c r="G5621" s="355"/>
      <c r="H5621" s="355"/>
      <c r="I5621" s="355"/>
      <c r="J5621" s="355"/>
      <c r="K5621" s="355"/>
      <c r="L5621" s="355"/>
      <c r="M5621" s="355"/>
    </row>
    <row r="5622" spans="5:13">
      <c r="E5622" s="355"/>
      <c r="F5622" s="355"/>
      <c r="G5622" s="355"/>
      <c r="H5622" s="355"/>
      <c r="I5622" s="355"/>
      <c r="J5622" s="355"/>
      <c r="K5622" s="355"/>
      <c r="L5622" s="355"/>
      <c r="M5622" s="355"/>
    </row>
    <row r="5623" spans="5:13">
      <c r="E5623" s="355"/>
      <c r="F5623" s="355"/>
      <c r="G5623" s="355"/>
      <c r="H5623" s="355"/>
      <c r="I5623" s="355"/>
      <c r="J5623" s="355"/>
      <c r="K5623" s="355"/>
      <c r="L5623" s="355"/>
      <c r="M5623" s="355"/>
    </row>
    <row r="5624" spans="5:13">
      <c r="E5624" s="355"/>
      <c r="F5624" s="355"/>
      <c r="G5624" s="355"/>
      <c r="H5624" s="355"/>
      <c r="I5624" s="355"/>
      <c r="J5624" s="355"/>
      <c r="K5624" s="355"/>
      <c r="L5624" s="355"/>
      <c r="M5624" s="355"/>
    </row>
    <row r="5625" spans="5:13">
      <c r="E5625" s="355"/>
      <c r="F5625" s="355"/>
      <c r="G5625" s="355"/>
      <c r="H5625" s="355"/>
      <c r="I5625" s="355"/>
      <c r="J5625" s="355"/>
      <c r="K5625" s="355"/>
      <c r="L5625" s="355"/>
      <c r="M5625" s="355"/>
    </row>
    <row r="5626" spans="5:13">
      <c r="E5626" s="355"/>
      <c r="F5626" s="355"/>
      <c r="G5626" s="355"/>
      <c r="H5626" s="355"/>
      <c r="I5626" s="355"/>
      <c r="J5626" s="355"/>
      <c r="K5626" s="355"/>
      <c r="L5626" s="355"/>
      <c r="M5626" s="355"/>
    </row>
    <row r="5627" spans="5:13">
      <c r="E5627" s="355"/>
      <c r="F5627" s="355"/>
      <c r="G5627" s="355"/>
      <c r="H5627" s="355"/>
      <c r="I5627" s="355"/>
      <c r="J5627" s="355"/>
      <c r="K5627" s="355"/>
      <c r="L5627" s="355"/>
      <c r="M5627" s="355"/>
    </row>
    <row r="5628" spans="5:13">
      <c r="E5628" s="355"/>
      <c r="F5628" s="355"/>
      <c r="G5628" s="355"/>
      <c r="H5628" s="355"/>
      <c r="I5628" s="355"/>
      <c r="J5628" s="355"/>
      <c r="K5628" s="355"/>
      <c r="L5628" s="355"/>
      <c r="M5628" s="355"/>
    </row>
    <row r="5629" spans="5:13">
      <c r="E5629" s="355"/>
      <c r="F5629" s="355"/>
      <c r="G5629" s="355"/>
      <c r="H5629" s="355"/>
      <c r="I5629" s="355"/>
      <c r="J5629" s="355"/>
      <c r="K5629" s="355"/>
      <c r="L5629" s="355"/>
      <c r="M5629" s="355"/>
    </row>
    <row r="5630" spans="5:13">
      <c r="E5630" s="355"/>
      <c r="F5630" s="355"/>
      <c r="G5630" s="355"/>
      <c r="H5630" s="355"/>
      <c r="I5630" s="355"/>
      <c r="J5630" s="355"/>
      <c r="K5630" s="355"/>
      <c r="L5630" s="355"/>
      <c r="M5630" s="355"/>
    </row>
    <row r="5631" spans="5:13">
      <c r="E5631" s="355"/>
      <c r="F5631" s="355"/>
      <c r="G5631" s="355"/>
      <c r="H5631" s="355"/>
      <c r="I5631" s="355"/>
      <c r="J5631" s="355"/>
      <c r="K5631" s="355"/>
      <c r="L5631" s="355"/>
      <c r="M5631" s="355"/>
    </row>
    <row r="5632" spans="5:13">
      <c r="E5632" s="355"/>
      <c r="F5632" s="355"/>
      <c r="G5632" s="355"/>
      <c r="H5632" s="355"/>
      <c r="I5632" s="355"/>
      <c r="J5632" s="355"/>
      <c r="K5632" s="355"/>
      <c r="L5632" s="355"/>
      <c r="M5632" s="355"/>
    </row>
    <row r="5633" spans="5:13">
      <c r="E5633" s="355"/>
      <c r="F5633" s="355"/>
      <c r="G5633" s="355"/>
      <c r="H5633" s="355"/>
      <c r="I5633" s="355"/>
      <c r="J5633" s="355"/>
      <c r="K5633" s="355"/>
      <c r="L5633" s="355"/>
      <c r="M5633" s="355"/>
    </row>
    <row r="5634" spans="5:13">
      <c r="E5634" s="355"/>
      <c r="F5634" s="355"/>
      <c r="G5634" s="355"/>
      <c r="H5634" s="355"/>
      <c r="I5634" s="355"/>
      <c r="J5634" s="355"/>
      <c r="K5634" s="355"/>
      <c r="L5634" s="355"/>
      <c r="M5634" s="355"/>
    </row>
    <row r="5635" spans="5:13">
      <c r="E5635" s="355"/>
      <c r="F5635" s="355"/>
      <c r="G5635" s="355"/>
      <c r="H5635" s="355"/>
      <c r="I5635" s="355"/>
      <c r="J5635" s="355"/>
      <c r="K5635" s="355"/>
      <c r="L5635" s="355"/>
      <c r="M5635" s="355"/>
    </row>
    <row r="5636" spans="5:13">
      <c r="E5636" s="355"/>
      <c r="F5636" s="355"/>
      <c r="G5636" s="355"/>
      <c r="H5636" s="355"/>
      <c r="I5636" s="355"/>
      <c r="J5636" s="355"/>
      <c r="K5636" s="355"/>
      <c r="L5636" s="355"/>
      <c r="M5636" s="355"/>
    </row>
    <row r="5637" spans="5:13">
      <c r="E5637" s="355"/>
      <c r="F5637" s="355"/>
      <c r="G5637" s="355"/>
      <c r="H5637" s="355"/>
      <c r="I5637" s="355"/>
      <c r="J5637" s="355"/>
      <c r="K5637" s="355"/>
      <c r="L5637" s="355"/>
      <c r="M5637" s="355"/>
    </row>
    <row r="5638" spans="5:13">
      <c r="E5638" s="355"/>
      <c r="F5638" s="355"/>
      <c r="G5638" s="355"/>
      <c r="H5638" s="355"/>
      <c r="I5638" s="355"/>
      <c r="J5638" s="355"/>
      <c r="K5638" s="355"/>
      <c r="L5638" s="355"/>
      <c r="M5638" s="355"/>
    </row>
    <row r="5639" spans="5:13">
      <c r="E5639" s="355"/>
      <c r="F5639" s="355"/>
      <c r="G5639" s="355"/>
      <c r="H5639" s="355"/>
      <c r="I5639" s="355"/>
      <c r="J5639" s="355"/>
      <c r="K5639" s="355"/>
      <c r="L5639" s="355"/>
      <c r="M5639" s="355"/>
    </row>
    <row r="5640" spans="5:13">
      <c r="E5640" s="355"/>
      <c r="F5640" s="355"/>
      <c r="G5640" s="355"/>
      <c r="H5640" s="355"/>
      <c r="I5640" s="355"/>
      <c r="J5640" s="355"/>
      <c r="K5640" s="355"/>
      <c r="L5640" s="355"/>
      <c r="M5640" s="355"/>
    </row>
    <row r="5641" spans="5:13">
      <c r="E5641" s="355"/>
      <c r="F5641" s="355"/>
      <c r="G5641" s="355"/>
      <c r="H5641" s="355"/>
      <c r="I5641" s="355"/>
      <c r="J5641" s="355"/>
      <c r="K5641" s="355"/>
      <c r="L5641" s="355"/>
      <c r="M5641" s="355"/>
    </row>
    <row r="5642" spans="5:13">
      <c r="E5642" s="355"/>
      <c r="F5642" s="355"/>
      <c r="G5642" s="355"/>
      <c r="H5642" s="355"/>
      <c r="I5642" s="355"/>
      <c r="J5642" s="355"/>
      <c r="K5642" s="355"/>
      <c r="L5642" s="355"/>
      <c r="M5642" s="355"/>
    </row>
    <row r="5643" spans="5:13">
      <c r="E5643" s="355"/>
      <c r="F5643" s="355"/>
      <c r="G5643" s="355"/>
      <c r="H5643" s="355"/>
      <c r="I5643" s="355"/>
      <c r="J5643" s="355"/>
      <c r="K5643" s="355"/>
      <c r="L5643" s="355"/>
      <c r="M5643" s="355"/>
    </row>
    <row r="5644" spans="5:13">
      <c r="E5644" s="355"/>
      <c r="F5644" s="355"/>
      <c r="G5644" s="355"/>
      <c r="H5644" s="355"/>
      <c r="I5644" s="355"/>
      <c r="J5644" s="355"/>
      <c r="K5644" s="355"/>
      <c r="L5644" s="355"/>
      <c r="M5644" s="355"/>
    </row>
    <row r="5645" spans="5:13">
      <c r="E5645" s="355"/>
      <c r="F5645" s="355"/>
      <c r="G5645" s="355"/>
      <c r="H5645" s="355"/>
      <c r="I5645" s="355"/>
      <c r="J5645" s="355"/>
      <c r="K5645" s="355"/>
      <c r="L5645" s="355"/>
      <c r="M5645" s="355"/>
    </row>
    <row r="5646" spans="5:13">
      <c r="E5646" s="355"/>
      <c r="F5646" s="355"/>
      <c r="G5646" s="355"/>
      <c r="H5646" s="355"/>
      <c r="I5646" s="355"/>
      <c r="J5646" s="355"/>
      <c r="K5646" s="355"/>
      <c r="L5646" s="355"/>
      <c r="M5646" s="355"/>
    </row>
    <row r="5647" spans="5:13">
      <c r="E5647" s="355"/>
      <c r="F5647" s="355"/>
      <c r="G5647" s="355"/>
      <c r="H5647" s="355"/>
      <c r="I5647" s="355"/>
      <c r="J5647" s="355"/>
      <c r="K5647" s="355"/>
      <c r="L5647" s="355"/>
      <c r="M5647" s="355"/>
    </row>
    <row r="5648" spans="5:13">
      <c r="E5648" s="355"/>
      <c r="F5648" s="355"/>
      <c r="G5648" s="355"/>
      <c r="H5648" s="355"/>
      <c r="I5648" s="355"/>
      <c r="J5648" s="355"/>
      <c r="K5648" s="355"/>
      <c r="L5648" s="355"/>
      <c r="M5648" s="355"/>
    </row>
    <row r="5649" spans="5:13">
      <c r="E5649" s="355"/>
      <c r="F5649" s="355"/>
      <c r="G5649" s="355"/>
      <c r="H5649" s="355"/>
      <c r="I5649" s="355"/>
      <c r="J5649" s="355"/>
      <c r="K5649" s="355"/>
      <c r="L5649" s="355"/>
      <c r="M5649" s="355"/>
    </row>
    <row r="5650" spans="5:13">
      <c r="E5650" s="355"/>
      <c r="F5650" s="355"/>
      <c r="G5650" s="355"/>
      <c r="H5650" s="355"/>
      <c r="I5650" s="355"/>
      <c r="J5650" s="355"/>
      <c r="K5650" s="355"/>
      <c r="L5650" s="355"/>
      <c r="M5650" s="355"/>
    </row>
    <row r="5651" spans="5:13">
      <c r="E5651" s="355"/>
      <c r="F5651" s="355"/>
      <c r="G5651" s="355"/>
      <c r="H5651" s="355"/>
      <c r="I5651" s="355"/>
      <c r="J5651" s="355"/>
      <c r="K5651" s="355"/>
      <c r="L5651" s="355"/>
      <c r="M5651" s="355"/>
    </row>
    <row r="5652" spans="5:13">
      <c r="E5652" s="355"/>
      <c r="F5652" s="355"/>
      <c r="G5652" s="355"/>
      <c r="H5652" s="355"/>
      <c r="I5652" s="355"/>
      <c r="J5652" s="355"/>
      <c r="K5652" s="355"/>
      <c r="L5652" s="355"/>
      <c r="M5652" s="355"/>
    </row>
    <row r="5653" spans="5:13">
      <c r="E5653" s="355"/>
      <c r="F5653" s="355"/>
      <c r="G5653" s="355"/>
      <c r="H5653" s="355"/>
      <c r="I5653" s="355"/>
      <c r="J5653" s="355"/>
      <c r="K5653" s="355"/>
      <c r="L5653" s="355"/>
      <c r="M5653" s="355"/>
    </row>
    <row r="5654" spans="5:13">
      <c r="E5654" s="355"/>
      <c r="F5654" s="355"/>
      <c r="G5654" s="355"/>
      <c r="H5654" s="355"/>
      <c r="I5654" s="355"/>
      <c r="J5654" s="355"/>
      <c r="K5654" s="355"/>
      <c r="L5654" s="355"/>
      <c r="M5654" s="355"/>
    </row>
    <row r="5655" spans="5:13">
      <c r="E5655" s="355"/>
      <c r="F5655" s="355"/>
      <c r="G5655" s="355"/>
      <c r="H5655" s="355"/>
      <c r="I5655" s="355"/>
      <c r="J5655" s="355"/>
      <c r="K5655" s="355"/>
      <c r="L5655" s="355"/>
      <c r="M5655" s="355"/>
    </row>
    <row r="5656" spans="5:13">
      <c r="E5656" s="355"/>
      <c r="F5656" s="355"/>
      <c r="G5656" s="355"/>
      <c r="H5656" s="355"/>
      <c r="I5656" s="355"/>
      <c r="J5656" s="355"/>
      <c r="K5656" s="355"/>
      <c r="L5656" s="355"/>
      <c r="M5656" s="355"/>
    </row>
    <row r="5657" spans="5:13">
      <c r="E5657" s="355"/>
      <c r="F5657" s="355"/>
      <c r="G5657" s="355"/>
      <c r="H5657" s="355"/>
      <c r="I5657" s="355"/>
      <c r="J5657" s="355"/>
      <c r="K5657" s="355"/>
      <c r="L5657" s="355"/>
      <c r="M5657" s="355"/>
    </row>
    <row r="5658" spans="5:13">
      <c r="E5658" s="355"/>
      <c r="F5658" s="355"/>
      <c r="G5658" s="355"/>
      <c r="H5658" s="355"/>
      <c r="I5658" s="355"/>
      <c r="J5658" s="355"/>
      <c r="K5658" s="355"/>
      <c r="L5658" s="355"/>
      <c r="M5658" s="355"/>
    </row>
    <row r="5659" spans="5:13">
      <c r="E5659" s="355"/>
      <c r="F5659" s="355"/>
      <c r="G5659" s="355"/>
      <c r="H5659" s="355"/>
      <c r="I5659" s="355"/>
      <c r="J5659" s="355"/>
      <c r="K5659" s="355"/>
      <c r="L5659" s="355"/>
      <c r="M5659" s="355"/>
    </row>
    <row r="5660" spans="5:13">
      <c r="E5660" s="355"/>
      <c r="F5660" s="355"/>
      <c r="G5660" s="355"/>
      <c r="H5660" s="355"/>
      <c r="I5660" s="355"/>
      <c r="J5660" s="355"/>
      <c r="K5660" s="355"/>
      <c r="L5660" s="355"/>
      <c r="M5660" s="355"/>
    </row>
    <row r="5661" spans="5:13">
      <c r="E5661" s="355"/>
      <c r="F5661" s="355"/>
      <c r="G5661" s="355"/>
      <c r="H5661" s="355"/>
      <c r="I5661" s="355"/>
      <c r="J5661" s="355"/>
      <c r="K5661" s="355"/>
      <c r="L5661" s="355"/>
      <c r="M5661" s="355"/>
    </row>
    <row r="5662" spans="5:13">
      <c r="E5662" s="355"/>
      <c r="F5662" s="355"/>
      <c r="G5662" s="355"/>
      <c r="H5662" s="355"/>
      <c r="I5662" s="355"/>
      <c r="J5662" s="355"/>
      <c r="K5662" s="355"/>
      <c r="L5662" s="355"/>
      <c r="M5662" s="355"/>
    </row>
    <row r="5663" spans="5:13">
      <c r="E5663" s="355"/>
      <c r="F5663" s="355"/>
      <c r="G5663" s="355"/>
      <c r="H5663" s="355"/>
      <c r="I5663" s="355"/>
      <c r="J5663" s="355"/>
      <c r="K5663" s="355"/>
      <c r="L5663" s="355"/>
      <c r="M5663" s="355"/>
    </row>
    <row r="5664" spans="5:13">
      <c r="E5664" s="355"/>
      <c r="F5664" s="355"/>
      <c r="G5664" s="355"/>
      <c r="H5664" s="355"/>
      <c r="I5664" s="355"/>
      <c r="J5664" s="355"/>
      <c r="K5664" s="355"/>
      <c r="L5664" s="355"/>
      <c r="M5664" s="355"/>
    </row>
    <row r="5665" spans="5:13">
      <c r="E5665" s="355"/>
      <c r="F5665" s="355"/>
      <c r="G5665" s="355"/>
      <c r="H5665" s="355"/>
      <c r="I5665" s="355"/>
      <c r="J5665" s="355"/>
      <c r="K5665" s="355"/>
      <c r="L5665" s="355"/>
      <c r="M5665" s="355"/>
    </row>
    <row r="5666" spans="5:13">
      <c r="E5666" s="355"/>
      <c r="F5666" s="355"/>
      <c r="G5666" s="355"/>
      <c r="H5666" s="355"/>
      <c r="I5666" s="355"/>
      <c r="J5666" s="355"/>
      <c r="K5666" s="355"/>
      <c r="L5666" s="355"/>
      <c r="M5666" s="355"/>
    </row>
    <row r="5667" spans="5:13">
      <c r="E5667" s="355"/>
      <c r="F5667" s="355"/>
      <c r="G5667" s="355"/>
      <c r="H5667" s="355"/>
      <c r="I5667" s="355"/>
      <c r="J5667" s="355"/>
      <c r="K5667" s="355"/>
      <c r="L5667" s="355"/>
      <c r="M5667" s="355"/>
    </row>
    <row r="5668" spans="5:13">
      <c r="E5668" s="355"/>
      <c r="F5668" s="355"/>
      <c r="G5668" s="355"/>
      <c r="H5668" s="355"/>
      <c r="I5668" s="355"/>
      <c r="J5668" s="355"/>
      <c r="K5668" s="355"/>
      <c r="L5668" s="355"/>
      <c r="M5668" s="355"/>
    </row>
    <row r="5669" spans="5:13">
      <c r="E5669" s="355"/>
      <c r="F5669" s="355"/>
      <c r="G5669" s="355"/>
      <c r="H5669" s="355"/>
      <c r="I5669" s="355"/>
      <c r="J5669" s="355"/>
      <c r="K5669" s="355"/>
      <c r="L5669" s="355"/>
      <c r="M5669" s="355"/>
    </row>
    <row r="5670" spans="5:13">
      <c r="E5670" s="355"/>
      <c r="F5670" s="355"/>
      <c r="G5670" s="355"/>
      <c r="H5670" s="355"/>
      <c r="I5670" s="355"/>
      <c r="J5670" s="355"/>
      <c r="K5670" s="355"/>
      <c r="L5670" s="355"/>
      <c r="M5670" s="355"/>
    </row>
    <row r="5671" spans="5:13">
      <c r="E5671" s="355"/>
      <c r="F5671" s="355"/>
      <c r="G5671" s="355"/>
      <c r="H5671" s="355"/>
      <c r="I5671" s="355"/>
      <c r="J5671" s="355"/>
      <c r="K5671" s="355"/>
      <c r="L5671" s="355"/>
      <c r="M5671" s="355"/>
    </row>
    <row r="5672" spans="5:13">
      <c r="E5672" s="355"/>
      <c r="F5672" s="355"/>
      <c r="G5672" s="355"/>
      <c r="H5672" s="355"/>
      <c r="I5672" s="355"/>
      <c r="J5672" s="355"/>
      <c r="K5672" s="355"/>
      <c r="L5672" s="355"/>
      <c r="M5672" s="355"/>
    </row>
    <row r="5673" spans="5:13">
      <c r="E5673" s="355"/>
      <c r="F5673" s="355"/>
      <c r="G5673" s="355"/>
      <c r="H5673" s="355"/>
      <c r="I5673" s="355"/>
      <c r="J5673" s="355"/>
      <c r="K5673" s="355"/>
      <c r="L5673" s="355"/>
      <c r="M5673" s="355"/>
    </row>
    <row r="5674" spans="5:13">
      <c r="E5674" s="355"/>
      <c r="F5674" s="355"/>
      <c r="G5674" s="355"/>
      <c r="H5674" s="355"/>
      <c r="I5674" s="355"/>
      <c r="J5674" s="355"/>
      <c r="K5674" s="355"/>
      <c r="L5674" s="355"/>
      <c r="M5674" s="355"/>
    </row>
    <row r="5675" spans="5:13">
      <c r="E5675" s="355"/>
      <c r="F5675" s="355"/>
      <c r="G5675" s="355"/>
      <c r="H5675" s="355"/>
      <c r="I5675" s="355"/>
      <c r="J5675" s="355"/>
      <c r="K5675" s="355"/>
      <c r="L5675" s="355"/>
      <c r="M5675" s="355"/>
    </row>
    <row r="5676" spans="5:13">
      <c r="E5676" s="355"/>
      <c r="F5676" s="355"/>
      <c r="G5676" s="355"/>
      <c r="H5676" s="355"/>
      <c r="I5676" s="355"/>
      <c r="J5676" s="355"/>
      <c r="K5676" s="355"/>
      <c r="L5676" s="355"/>
      <c r="M5676" s="355"/>
    </row>
    <row r="5677" spans="5:13">
      <c r="E5677" s="355"/>
      <c r="F5677" s="355"/>
      <c r="G5677" s="355"/>
      <c r="H5677" s="355"/>
      <c r="I5677" s="355"/>
      <c r="J5677" s="355"/>
      <c r="K5677" s="355"/>
      <c r="L5677" s="355"/>
      <c r="M5677" s="355"/>
    </row>
    <row r="5678" spans="5:13">
      <c r="E5678" s="355"/>
      <c r="F5678" s="355"/>
      <c r="G5678" s="355"/>
      <c r="H5678" s="355"/>
      <c r="I5678" s="355"/>
      <c r="J5678" s="355"/>
      <c r="K5678" s="355"/>
      <c r="L5678" s="355"/>
      <c r="M5678" s="355"/>
    </row>
    <row r="5679" spans="5:13">
      <c r="E5679" s="355"/>
      <c r="F5679" s="355"/>
      <c r="G5679" s="355"/>
      <c r="H5679" s="355"/>
      <c r="I5679" s="355"/>
      <c r="J5679" s="355"/>
      <c r="K5679" s="355"/>
      <c r="L5679" s="355"/>
      <c r="M5679" s="355"/>
    </row>
    <row r="5680" spans="5:13">
      <c r="E5680" s="355"/>
      <c r="F5680" s="355"/>
      <c r="G5680" s="355"/>
      <c r="H5680" s="355"/>
      <c r="I5680" s="355"/>
      <c r="J5680" s="355"/>
      <c r="K5680" s="355"/>
      <c r="L5680" s="355"/>
      <c r="M5680" s="355"/>
    </row>
    <row r="5681" spans="5:13">
      <c r="E5681" s="355"/>
      <c r="F5681" s="355"/>
      <c r="G5681" s="355"/>
      <c r="H5681" s="355"/>
      <c r="I5681" s="355"/>
      <c r="J5681" s="355"/>
      <c r="K5681" s="355"/>
      <c r="L5681" s="355"/>
      <c r="M5681" s="355"/>
    </row>
    <row r="5682" spans="5:13">
      <c r="E5682" s="355"/>
      <c r="F5682" s="355"/>
      <c r="G5682" s="355"/>
      <c r="H5682" s="355"/>
      <c r="I5682" s="355"/>
      <c r="J5682" s="355"/>
      <c r="K5682" s="355"/>
      <c r="L5682" s="355"/>
      <c r="M5682" s="355"/>
    </row>
    <row r="5683" spans="5:13">
      <c r="E5683" s="355"/>
      <c r="F5683" s="355"/>
      <c r="G5683" s="355"/>
      <c r="H5683" s="355"/>
      <c r="I5683" s="355"/>
      <c r="J5683" s="355"/>
      <c r="K5683" s="355"/>
      <c r="L5683" s="355"/>
      <c r="M5683" s="355"/>
    </row>
    <row r="5684" spans="5:13">
      <c r="E5684" s="355"/>
      <c r="F5684" s="355"/>
      <c r="G5684" s="355"/>
      <c r="H5684" s="355"/>
      <c r="I5684" s="355"/>
      <c r="J5684" s="355"/>
      <c r="K5684" s="355"/>
      <c r="L5684" s="355"/>
      <c r="M5684" s="355"/>
    </row>
    <row r="5685" spans="5:13">
      <c r="E5685" s="355"/>
      <c r="F5685" s="355"/>
      <c r="G5685" s="355"/>
      <c r="H5685" s="355"/>
      <c r="I5685" s="355"/>
      <c r="J5685" s="355"/>
      <c r="K5685" s="355"/>
      <c r="L5685" s="355"/>
      <c r="M5685" s="355"/>
    </row>
    <row r="5686" spans="5:13">
      <c r="E5686" s="355"/>
      <c r="F5686" s="355"/>
      <c r="G5686" s="355"/>
      <c r="H5686" s="355"/>
      <c r="I5686" s="355"/>
      <c r="J5686" s="355"/>
      <c r="K5686" s="355"/>
      <c r="L5686" s="355"/>
      <c r="M5686" s="355"/>
    </row>
    <row r="5687" spans="5:13">
      <c r="E5687" s="355"/>
      <c r="F5687" s="355"/>
      <c r="G5687" s="355"/>
      <c r="H5687" s="355"/>
      <c r="I5687" s="355"/>
      <c r="J5687" s="355"/>
      <c r="K5687" s="355"/>
      <c r="L5687" s="355"/>
      <c r="M5687" s="355"/>
    </row>
    <row r="5688" spans="5:13">
      <c r="E5688" s="355"/>
      <c r="F5688" s="355"/>
      <c r="G5688" s="355"/>
      <c r="H5688" s="355"/>
      <c r="I5688" s="355"/>
      <c r="J5688" s="355"/>
      <c r="K5688" s="355"/>
      <c r="L5688" s="355"/>
      <c r="M5688" s="355"/>
    </row>
    <row r="5689" spans="5:13">
      <c r="E5689" s="355"/>
      <c r="F5689" s="355"/>
      <c r="G5689" s="355"/>
      <c r="H5689" s="355"/>
      <c r="I5689" s="355"/>
      <c r="J5689" s="355"/>
      <c r="K5689" s="355"/>
      <c r="L5689" s="355"/>
      <c r="M5689" s="355"/>
    </row>
    <row r="5690" spans="5:13">
      <c r="E5690" s="355"/>
      <c r="F5690" s="355"/>
      <c r="G5690" s="355"/>
      <c r="H5690" s="355"/>
      <c r="I5690" s="355"/>
      <c r="J5690" s="355"/>
      <c r="K5690" s="355"/>
      <c r="L5690" s="355"/>
      <c r="M5690" s="355"/>
    </row>
    <row r="5691" spans="5:13">
      <c r="E5691" s="355"/>
      <c r="F5691" s="355"/>
      <c r="G5691" s="355"/>
      <c r="H5691" s="355"/>
      <c r="I5691" s="355"/>
      <c r="J5691" s="355"/>
      <c r="K5691" s="355"/>
      <c r="L5691" s="355"/>
      <c r="M5691" s="355"/>
    </row>
    <row r="5692" spans="5:13">
      <c r="E5692" s="355"/>
      <c r="F5692" s="355"/>
      <c r="G5692" s="355"/>
      <c r="H5692" s="355"/>
      <c r="I5692" s="355"/>
      <c r="J5692" s="355"/>
      <c r="K5692" s="355"/>
      <c r="L5692" s="355"/>
      <c r="M5692" s="355"/>
    </row>
    <row r="5693" spans="5:13">
      <c r="E5693" s="355"/>
      <c r="F5693" s="355"/>
      <c r="G5693" s="355"/>
      <c r="H5693" s="355"/>
      <c r="I5693" s="355"/>
      <c r="J5693" s="355"/>
      <c r="K5693" s="355"/>
      <c r="L5693" s="355"/>
      <c r="M5693" s="355"/>
    </row>
    <row r="5694" spans="5:13">
      <c r="E5694" s="355"/>
      <c r="F5694" s="355"/>
      <c r="G5694" s="355"/>
      <c r="H5694" s="355"/>
      <c r="I5694" s="355"/>
      <c r="J5694" s="355"/>
      <c r="K5694" s="355"/>
      <c r="L5694" s="355"/>
      <c r="M5694" s="355"/>
    </row>
    <row r="5695" spans="5:13">
      <c r="E5695" s="355"/>
      <c r="F5695" s="355"/>
      <c r="G5695" s="355"/>
      <c r="H5695" s="355"/>
      <c r="I5695" s="355"/>
      <c r="J5695" s="355"/>
      <c r="K5695" s="355"/>
      <c r="L5695" s="355"/>
      <c r="M5695" s="355"/>
    </row>
    <row r="5696" spans="5:13">
      <c r="E5696" s="355"/>
      <c r="F5696" s="355"/>
      <c r="G5696" s="355"/>
      <c r="H5696" s="355"/>
      <c r="I5696" s="355"/>
      <c r="J5696" s="355"/>
      <c r="K5696" s="355"/>
      <c r="L5696" s="355"/>
      <c r="M5696" s="355"/>
    </row>
    <row r="5697" spans="5:13">
      <c r="E5697" s="355"/>
      <c r="F5697" s="355"/>
      <c r="G5697" s="355"/>
      <c r="H5697" s="355"/>
      <c r="I5697" s="355"/>
      <c r="J5697" s="355"/>
      <c r="K5697" s="355"/>
      <c r="L5697" s="355"/>
      <c r="M5697" s="355"/>
    </row>
    <row r="5698" spans="5:13">
      <c r="E5698" s="355"/>
      <c r="F5698" s="355"/>
      <c r="G5698" s="355"/>
      <c r="H5698" s="355"/>
      <c r="I5698" s="355"/>
      <c r="J5698" s="355"/>
      <c r="K5698" s="355"/>
      <c r="L5698" s="355"/>
      <c r="M5698" s="355"/>
    </row>
    <row r="5699" spans="5:13">
      <c r="E5699" s="355"/>
      <c r="F5699" s="355"/>
      <c r="G5699" s="355"/>
      <c r="H5699" s="355"/>
      <c r="I5699" s="355"/>
      <c r="J5699" s="355"/>
      <c r="K5699" s="355"/>
      <c r="L5699" s="355"/>
      <c r="M5699" s="355"/>
    </row>
    <row r="5700" spans="5:13">
      <c r="E5700" s="355"/>
      <c r="F5700" s="355"/>
      <c r="G5700" s="355"/>
      <c r="H5700" s="355"/>
      <c r="I5700" s="355"/>
      <c r="J5700" s="355"/>
      <c r="K5700" s="355"/>
      <c r="L5700" s="355"/>
      <c r="M5700" s="355"/>
    </row>
    <row r="5701" spans="5:13">
      <c r="E5701" s="355"/>
      <c r="F5701" s="355"/>
      <c r="G5701" s="355"/>
      <c r="H5701" s="355"/>
      <c r="I5701" s="355"/>
      <c r="J5701" s="355"/>
      <c r="K5701" s="355"/>
      <c r="L5701" s="355"/>
      <c r="M5701" s="355"/>
    </row>
    <row r="5702" spans="5:13">
      <c r="E5702" s="355"/>
      <c r="F5702" s="355"/>
      <c r="G5702" s="355"/>
      <c r="H5702" s="355"/>
      <c r="I5702" s="355"/>
      <c r="J5702" s="355"/>
      <c r="K5702" s="355"/>
      <c r="L5702" s="355"/>
      <c r="M5702" s="355"/>
    </row>
    <row r="5703" spans="5:13">
      <c r="E5703" s="355"/>
      <c r="F5703" s="355"/>
      <c r="G5703" s="355"/>
      <c r="H5703" s="355"/>
      <c r="I5703" s="355"/>
      <c r="J5703" s="355"/>
      <c r="K5703" s="355"/>
      <c r="L5703" s="355"/>
      <c r="M5703" s="355"/>
    </row>
    <row r="5704" spans="5:13">
      <c r="E5704" s="355"/>
      <c r="F5704" s="355"/>
      <c r="G5704" s="355"/>
      <c r="H5704" s="355"/>
      <c r="I5704" s="355"/>
      <c r="J5704" s="355"/>
      <c r="K5704" s="355"/>
      <c r="L5704" s="355"/>
      <c r="M5704" s="355"/>
    </row>
    <row r="5705" spans="5:13">
      <c r="E5705" s="355"/>
      <c r="F5705" s="355"/>
      <c r="G5705" s="355"/>
      <c r="H5705" s="355"/>
      <c r="I5705" s="355"/>
      <c r="J5705" s="355"/>
      <c r="K5705" s="355"/>
      <c r="L5705" s="355"/>
      <c r="M5705" s="355"/>
    </row>
    <row r="5706" spans="5:13">
      <c r="E5706" s="355"/>
      <c r="F5706" s="355"/>
      <c r="G5706" s="355"/>
      <c r="H5706" s="355"/>
      <c r="I5706" s="355"/>
      <c r="J5706" s="355"/>
      <c r="K5706" s="355"/>
      <c r="L5706" s="355"/>
      <c r="M5706" s="355"/>
    </row>
    <row r="5707" spans="5:13">
      <c r="E5707" s="355"/>
      <c r="F5707" s="355"/>
      <c r="G5707" s="355"/>
      <c r="H5707" s="355"/>
      <c r="I5707" s="355"/>
      <c r="J5707" s="355"/>
      <c r="K5707" s="355"/>
      <c r="L5707" s="355"/>
      <c r="M5707" s="355"/>
    </row>
    <row r="5708" spans="5:13">
      <c r="E5708" s="355"/>
      <c r="F5708" s="355"/>
      <c r="G5708" s="355"/>
      <c r="H5708" s="355"/>
      <c r="I5708" s="355"/>
      <c r="J5708" s="355"/>
      <c r="K5708" s="355"/>
      <c r="L5708" s="355"/>
      <c r="M5708" s="355"/>
    </row>
    <row r="5709" spans="5:13">
      <c r="E5709" s="355"/>
      <c r="F5709" s="355"/>
      <c r="G5709" s="355"/>
      <c r="H5709" s="355"/>
      <c r="I5709" s="355"/>
      <c r="J5709" s="355"/>
      <c r="K5709" s="355"/>
      <c r="L5709" s="355"/>
      <c r="M5709" s="355"/>
    </row>
    <row r="5710" spans="5:13">
      <c r="E5710" s="355"/>
      <c r="F5710" s="355"/>
      <c r="G5710" s="355"/>
      <c r="H5710" s="355"/>
      <c r="I5710" s="355"/>
      <c r="J5710" s="355"/>
      <c r="K5710" s="355"/>
      <c r="L5710" s="355"/>
      <c r="M5710" s="355"/>
    </row>
    <row r="5711" spans="5:13">
      <c r="E5711" s="355"/>
      <c r="F5711" s="355"/>
      <c r="G5711" s="355"/>
      <c r="H5711" s="355"/>
      <c r="I5711" s="355"/>
      <c r="J5711" s="355"/>
      <c r="K5711" s="355"/>
      <c r="L5711" s="355"/>
      <c r="M5711" s="355"/>
    </row>
    <row r="5712" spans="5:13">
      <c r="E5712" s="355"/>
      <c r="F5712" s="355"/>
      <c r="G5712" s="355"/>
      <c r="H5712" s="355"/>
      <c r="I5712" s="355"/>
      <c r="J5712" s="355"/>
      <c r="K5712" s="355"/>
      <c r="L5712" s="355"/>
      <c r="M5712" s="355"/>
    </row>
    <row r="5713" spans="5:13">
      <c r="E5713" s="355"/>
      <c r="F5713" s="355"/>
      <c r="G5713" s="355"/>
      <c r="H5713" s="355"/>
      <c r="I5713" s="355"/>
      <c r="J5713" s="355"/>
      <c r="K5713" s="355"/>
      <c r="L5713" s="355"/>
      <c r="M5713" s="355"/>
    </row>
    <row r="5714" spans="5:13">
      <c r="E5714" s="355"/>
      <c r="F5714" s="355"/>
      <c r="G5714" s="355"/>
      <c r="H5714" s="355"/>
      <c r="I5714" s="355"/>
      <c r="J5714" s="355"/>
      <c r="K5714" s="355"/>
      <c r="L5714" s="355"/>
      <c r="M5714" s="355"/>
    </row>
    <row r="5715" spans="5:13">
      <c r="E5715" s="355"/>
      <c r="F5715" s="355"/>
      <c r="G5715" s="355"/>
      <c r="H5715" s="355"/>
      <c r="I5715" s="355"/>
      <c r="J5715" s="355"/>
      <c r="K5715" s="355"/>
      <c r="L5715" s="355"/>
      <c r="M5715" s="355"/>
    </row>
    <row r="5716" spans="5:13">
      <c r="E5716" s="355"/>
      <c r="F5716" s="355"/>
      <c r="G5716" s="355"/>
      <c r="H5716" s="355"/>
      <c r="I5716" s="355"/>
      <c r="J5716" s="355"/>
      <c r="K5716" s="355"/>
      <c r="L5716" s="355"/>
      <c r="M5716" s="355"/>
    </row>
    <row r="5717" spans="5:13">
      <c r="E5717" s="355"/>
      <c r="F5717" s="355"/>
      <c r="G5717" s="355"/>
      <c r="H5717" s="355"/>
      <c r="I5717" s="355"/>
      <c r="J5717" s="355"/>
      <c r="K5717" s="355"/>
      <c r="L5717" s="355"/>
      <c r="M5717" s="355"/>
    </row>
    <row r="5718" spans="5:13">
      <c r="E5718" s="355"/>
      <c r="F5718" s="355"/>
      <c r="G5718" s="355"/>
      <c r="H5718" s="355"/>
      <c r="I5718" s="355"/>
      <c r="J5718" s="355"/>
      <c r="K5718" s="355"/>
      <c r="L5718" s="355"/>
      <c r="M5718" s="355"/>
    </row>
    <row r="5719" spans="5:13">
      <c r="E5719" s="355"/>
      <c r="F5719" s="355"/>
      <c r="G5719" s="355"/>
      <c r="H5719" s="355"/>
      <c r="I5719" s="355"/>
      <c r="J5719" s="355"/>
      <c r="K5719" s="355"/>
      <c r="L5719" s="355"/>
      <c r="M5719" s="355"/>
    </row>
    <row r="5720" spans="5:13">
      <c r="E5720" s="355"/>
      <c r="F5720" s="355"/>
      <c r="G5720" s="355"/>
      <c r="H5720" s="355"/>
      <c r="I5720" s="355"/>
      <c r="J5720" s="355"/>
      <c r="K5720" s="355"/>
      <c r="L5720" s="355"/>
      <c r="M5720" s="355"/>
    </row>
    <row r="5721" spans="5:13">
      <c r="E5721" s="355"/>
      <c r="F5721" s="355"/>
      <c r="G5721" s="355"/>
      <c r="H5721" s="355"/>
      <c r="I5721" s="355"/>
      <c r="J5721" s="355"/>
      <c r="K5721" s="355"/>
      <c r="L5721" s="355"/>
      <c r="M5721" s="355"/>
    </row>
    <row r="5722" spans="5:13">
      <c r="E5722" s="355"/>
      <c r="F5722" s="355"/>
      <c r="G5722" s="355"/>
      <c r="H5722" s="355"/>
      <c r="I5722" s="355"/>
      <c r="J5722" s="355"/>
      <c r="K5722" s="355"/>
      <c r="L5722" s="355"/>
      <c r="M5722" s="355"/>
    </row>
    <row r="5723" spans="5:13">
      <c r="E5723" s="355"/>
      <c r="F5723" s="355"/>
      <c r="G5723" s="355"/>
      <c r="H5723" s="355"/>
      <c r="I5723" s="355"/>
      <c r="J5723" s="355"/>
      <c r="K5723" s="355"/>
      <c r="L5723" s="355"/>
      <c r="M5723" s="355"/>
    </row>
    <row r="5724" spans="5:13">
      <c r="E5724" s="355"/>
      <c r="F5724" s="355"/>
      <c r="G5724" s="355"/>
      <c r="H5724" s="355"/>
      <c r="I5724" s="355"/>
      <c r="J5724" s="355"/>
      <c r="K5724" s="355"/>
      <c r="L5724" s="355"/>
      <c r="M5724" s="355"/>
    </row>
    <row r="5725" spans="5:13">
      <c r="E5725" s="355"/>
      <c r="F5725" s="355"/>
      <c r="G5725" s="355"/>
      <c r="H5725" s="355"/>
      <c r="I5725" s="355"/>
      <c r="J5725" s="355"/>
      <c r="K5725" s="355"/>
      <c r="L5725" s="355"/>
      <c r="M5725" s="355"/>
    </row>
    <row r="5726" spans="5:13">
      <c r="E5726" s="355"/>
      <c r="F5726" s="355"/>
      <c r="G5726" s="355"/>
      <c r="H5726" s="355"/>
      <c r="I5726" s="355"/>
      <c r="J5726" s="355"/>
      <c r="K5726" s="355"/>
      <c r="L5726" s="355"/>
      <c r="M5726" s="355"/>
    </row>
    <row r="5727" spans="5:13">
      <c r="E5727" s="355"/>
      <c r="F5727" s="355"/>
      <c r="G5727" s="355"/>
      <c r="H5727" s="355"/>
      <c r="I5727" s="355"/>
      <c r="J5727" s="355"/>
      <c r="K5727" s="355"/>
      <c r="L5727" s="355"/>
      <c r="M5727" s="355"/>
    </row>
    <row r="5728" spans="5:13">
      <c r="E5728" s="355"/>
      <c r="F5728" s="355"/>
      <c r="G5728" s="355"/>
      <c r="H5728" s="355"/>
      <c r="I5728" s="355"/>
      <c r="J5728" s="355"/>
      <c r="K5728" s="355"/>
      <c r="L5728" s="355"/>
      <c r="M5728" s="355"/>
    </row>
    <row r="5729" spans="5:13">
      <c r="E5729" s="355"/>
      <c r="F5729" s="355"/>
      <c r="G5729" s="355"/>
      <c r="H5729" s="355"/>
      <c r="I5729" s="355"/>
      <c r="J5729" s="355"/>
      <c r="K5729" s="355"/>
      <c r="L5729" s="355"/>
      <c r="M5729" s="355"/>
    </row>
    <row r="5730" spans="5:13">
      <c r="E5730" s="355"/>
      <c r="F5730" s="355"/>
      <c r="G5730" s="355"/>
      <c r="H5730" s="355"/>
      <c r="I5730" s="355"/>
      <c r="J5730" s="355"/>
      <c r="K5730" s="355"/>
      <c r="L5730" s="355"/>
      <c r="M5730" s="355"/>
    </row>
    <row r="5731" spans="5:13">
      <c r="E5731" s="355"/>
      <c r="F5731" s="355"/>
      <c r="G5731" s="355"/>
      <c r="H5731" s="355"/>
      <c r="I5731" s="355"/>
      <c r="J5731" s="355"/>
      <c r="K5731" s="355"/>
      <c r="L5731" s="355"/>
      <c r="M5731" s="355"/>
    </row>
    <row r="5732" spans="5:13">
      <c r="E5732" s="355"/>
      <c r="F5732" s="355"/>
      <c r="G5732" s="355"/>
      <c r="H5732" s="355"/>
      <c r="I5732" s="355"/>
      <c r="J5732" s="355"/>
      <c r="K5732" s="355"/>
      <c r="L5732" s="355"/>
      <c r="M5732" s="355"/>
    </row>
    <row r="5733" spans="5:13">
      <c r="E5733" s="355"/>
      <c r="F5733" s="355"/>
      <c r="G5733" s="355"/>
      <c r="H5733" s="355"/>
      <c r="I5733" s="355"/>
      <c r="J5733" s="355"/>
      <c r="K5733" s="355"/>
      <c r="L5733" s="355"/>
      <c r="M5733" s="355"/>
    </row>
    <row r="5734" spans="5:13">
      <c r="E5734" s="355"/>
      <c r="F5734" s="355"/>
      <c r="G5734" s="355"/>
      <c r="H5734" s="355"/>
      <c r="I5734" s="355"/>
      <c r="J5734" s="355"/>
      <c r="K5734" s="355"/>
      <c r="L5734" s="355"/>
      <c r="M5734" s="355"/>
    </row>
    <row r="5735" spans="5:13">
      <c r="E5735" s="355"/>
      <c r="F5735" s="355"/>
      <c r="G5735" s="355"/>
      <c r="H5735" s="355"/>
      <c r="I5735" s="355"/>
      <c r="J5735" s="355"/>
      <c r="K5735" s="355"/>
      <c r="L5735" s="355"/>
      <c r="M5735" s="355"/>
    </row>
    <row r="5736" spans="5:13">
      <c r="E5736" s="355"/>
      <c r="F5736" s="355"/>
      <c r="G5736" s="355"/>
      <c r="H5736" s="355"/>
      <c r="I5736" s="355"/>
      <c r="J5736" s="355"/>
      <c r="K5736" s="355"/>
      <c r="L5736" s="355"/>
      <c r="M5736" s="355"/>
    </row>
    <row r="5737" spans="5:13">
      <c r="E5737" s="355"/>
      <c r="F5737" s="355"/>
      <c r="G5737" s="355"/>
      <c r="H5737" s="355"/>
      <c r="I5737" s="355"/>
      <c r="J5737" s="355"/>
      <c r="K5737" s="355"/>
      <c r="L5737" s="355"/>
      <c r="M5737" s="355"/>
    </row>
    <row r="5738" spans="5:13">
      <c r="E5738" s="355"/>
      <c r="F5738" s="355"/>
      <c r="G5738" s="355"/>
      <c r="H5738" s="355"/>
      <c r="I5738" s="355"/>
      <c r="J5738" s="355"/>
      <c r="K5738" s="355"/>
      <c r="L5738" s="355"/>
      <c r="M5738" s="355"/>
    </row>
    <row r="5739" spans="5:13">
      <c r="E5739" s="355"/>
      <c r="F5739" s="355"/>
      <c r="G5739" s="355"/>
      <c r="H5739" s="355"/>
      <c r="I5739" s="355"/>
      <c r="J5739" s="355"/>
      <c r="K5739" s="355"/>
      <c r="L5739" s="355"/>
      <c r="M5739" s="355"/>
    </row>
    <row r="5740" spans="5:13">
      <c r="E5740" s="355"/>
      <c r="F5740" s="355"/>
      <c r="G5740" s="355"/>
      <c r="H5740" s="355"/>
      <c r="I5740" s="355"/>
      <c r="J5740" s="355"/>
      <c r="K5740" s="355"/>
      <c r="L5740" s="355"/>
      <c r="M5740" s="355"/>
    </row>
    <row r="5741" spans="5:13">
      <c r="E5741" s="355"/>
      <c r="F5741" s="355"/>
      <c r="G5741" s="355"/>
      <c r="H5741" s="355"/>
      <c r="I5741" s="355"/>
      <c r="J5741" s="355"/>
      <c r="K5741" s="355"/>
      <c r="L5741" s="355"/>
      <c r="M5741" s="355"/>
    </row>
    <row r="5742" spans="5:13">
      <c r="E5742" s="355"/>
      <c r="F5742" s="355"/>
      <c r="G5742" s="355"/>
      <c r="H5742" s="355"/>
      <c r="I5742" s="355"/>
      <c r="J5742" s="355"/>
      <c r="K5742" s="355"/>
      <c r="L5742" s="355"/>
      <c r="M5742" s="355"/>
    </row>
    <row r="5743" spans="5:13">
      <c r="E5743" s="355"/>
      <c r="F5743" s="355"/>
      <c r="G5743" s="355"/>
      <c r="H5743" s="355"/>
      <c r="I5743" s="355"/>
      <c r="J5743" s="355"/>
      <c r="K5743" s="355"/>
      <c r="L5743" s="355"/>
      <c r="M5743" s="355"/>
    </row>
    <row r="5744" spans="5:13">
      <c r="E5744" s="355"/>
      <c r="F5744" s="355"/>
      <c r="G5744" s="355"/>
      <c r="H5744" s="355"/>
      <c r="I5744" s="355"/>
      <c r="J5744" s="355"/>
      <c r="K5744" s="355"/>
      <c r="L5744" s="355"/>
      <c r="M5744" s="355"/>
    </row>
    <row r="5745" spans="5:13">
      <c r="E5745" s="355"/>
      <c r="F5745" s="355"/>
      <c r="G5745" s="355"/>
      <c r="H5745" s="355"/>
      <c r="I5745" s="355"/>
      <c r="J5745" s="355"/>
      <c r="K5745" s="355"/>
      <c r="L5745" s="355"/>
      <c r="M5745" s="355"/>
    </row>
    <row r="5746" spans="5:13">
      <c r="E5746" s="355"/>
      <c r="F5746" s="355"/>
      <c r="G5746" s="355"/>
      <c r="H5746" s="355"/>
      <c r="I5746" s="355"/>
      <c r="J5746" s="355"/>
      <c r="K5746" s="355"/>
      <c r="L5746" s="355"/>
      <c r="M5746" s="355"/>
    </row>
    <row r="5747" spans="5:13">
      <c r="E5747" s="355"/>
      <c r="F5747" s="355"/>
      <c r="G5747" s="355"/>
      <c r="H5747" s="355"/>
      <c r="I5747" s="355"/>
      <c r="J5747" s="355"/>
      <c r="K5747" s="355"/>
      <c r="L5747" s="355"/>
      <c r="M5747" s="355"/>
    </row>
    <row r="5748" spans="5:13">
      <c r="E5748" s="355"/>
      <c r="F5748" s="355"/>
      <c r="G5748" s="355"/>
      <c r="H5748" s="355"/>
      <c r="I5748" s="355"/>
      <c r="J5748" s="355"/>
      <c r="K5748" s="355"/>
      <c r="L5748" s="355"/>
      <c r="M5748" s="355"/>
    </row>
    <row r="5749" spans="5:13">
      <c r="E5749" s="355"/>
      <c r="F5749" s="355"/>
      <c r="G5749" s="355"/>
      <c r="H5749" s="355"/>
      <c r="I5749" s="355"/>
      <c r="J5749" s="355"/>
      <c r="K5749" s="355"/>
      <c r="L5749" s="355"/>
      <c r="M5749" s="355"/>
    </row>
    <row r="5750" spans="5:13">
      <c r="E5750" s="355"/>
      <c r="F5750" s="355"/>
      <c r="G5750" s="355"/>
      <c r="H5750" s="355"/>
      <c r="I5750" s="355"/>
      <c r="J5750" s="355"/>
      <c r="K5750" s="355"/>
      <c r="L5750" s="355"/>
      <c r="M5750" s="355"/>
    </row>
    <row r="5751" spans="5:13">
      <c r="E5751" s="355"/>
      <c r="F5751" s="355"/>
      <c r="G5751" s="355"/>
      <c r="H5751" s="355"/>
      <c r="I5751" s="355"/>
      <c r="J5751" s="355"/>
      <c r="K5751" s="355"/>
      <c r="L5751" s="355"/>
      <c r="M5751" s="355"/>
    </row>
    <row r="5752" spans="5:13">
      <c r="E5752" s="355"/>
      <c r="F5752" s="355"/>
      <c r="G5752" s="355"/>
      <c r="H5752" s="355"/>
      <c r="I5752" s="355"/>
      <c r="J5752" s="355"/>
      <c r="K5752" s="355"/>
      <c r="L5752" s="355"/>
      <c r="M5752" s="355"/>
    </row>
    <row r="5753" spans="5:13">
      <c r="E5753" s="355"/>
      <c r="F5753" s="355"/>
      <c r="G5753" s="355"/>
      <c r="H5753" s="355"/>
      <c r="I5753" s="355"/>
      <c r="J5753" s="355"/>
      <c r="K5753" s="355"/>
      <c r="L5753" s="355"/>
      <c r="M5753" s="355"/>
    </row>
    <row r="5754" spans="5:13">
      <c r="E5754" s="355"/>
      <c r="F5754" s="355"/>
      <c r="G5754" s="355"/>
      <c r="H5754" s="355"/>
      <c r="I5754" s="355"/>
      <c r="J5754" s="355"/>
      <c r="K5754" s="355"/>
      <c r="L5754" s="355"/>
      <c r="M5754" s="355"/>
    </row>
    <row r="5755" spans="5:13">
      <c r="E5755" s="355"/>
      <c r="F5755" s="355"/>
      <c r="G5755" s="355"/>
      <c r="H5755" s="355"/>
      <c r="I5755" s="355"/>
      <c r="J5755" s="355"/>
      <c r="K5755" s="355"/>
      <c r="L5755" s="355"/>
      <c r="M5755" s="355"/>
    </row>
    <row r="5756" spans="5:13">
      <c r="E5756" s="355"/>
      <c r="F5756" s="355"/>
      <c r="G5756" s="355"/>
      <c r="H5756" s="355"/>
      <c r="I5756" s="355"/>
      <c r="J5756" s="355"/>
      <c r="K5756" s="355"/>
      <c r="L5756" s="355"/>
      <c r="M5756" s="355"/>
    </row>
    <row r="5757" spans="5:13">
      <c r="E5757" s="355"/>
      <c r="F5757" s="355"/>
      <c r="G5757" s="355"/>
      <c r="H5757" s="355"/>
      <c r="I5757" s="355"/>
      <c r="J5757" s="355"/>
      <c r="K5757" s="355"/>
      <c r="L5757" s="355"/>
      <c r="M5757" s="355"/>
    </row>
    <row r="5758" spans="5:13">
      <c r="E5758" s="355"/>
      <c r="F5758" s="355"/>
      <c r="G5758" s="355"/>
      <c r="H5758" s="355"/>
      <c r="I5758" s="355"/>
      <c r="J5758" s="355"/>
      <c r="K5758" s="355"/>
      <c r="L5758" s="355"/>
      <c r="M5758" s="355"/>
    </row>
    <row r="5759" spans="5:13">
      <c r="E5759" s="355"/>
      <c r="F5759" s="355"/>
      <c r="G5759" s="355"/>
      <c r="H5759" s="355"/>
      <c r="I5759" s="355"/>
      <c r="J5759" s="355"/>
      <c r="K5759" s="355"/>
      <c r="L5759" s="355"/>
      <c r="M5759" s="355"/>
    </row>
    <row r="5760" spans="5:13">
      <c r="E5760" s="355"/>
      <c r="F5760" s="355"/>
      <c r="G5760" s="355"/>
      <c r="H5760" s="355"/>
      <c r="I5760" s="355"/>
      <c r="J5760" s="355"/>
      <c r="K5760" s="355"/>
      <c r="L5760" s="355"/>
      <c r="M5760" s="355"/>
    </row>
    <row r="5761" spans="5:13">
      <c r="E5761" s="355"/>
      <c r="F5761" s="355"/>
      <c r="G5761" s="355"/>
      <c r="H5761" s="355"/>
      <c r="I5761" s="355"/>
      <c r="J5761" s="355"/>
      <c r="K5761" s="355"/>
      <c r="L5761" s="355"/>
      <c r="M5761" s="355"/>
    </row>
    <row r="5762" spans="5:13">
      <c r="E5762" s="355"/>
      <c r="F5762" s="355"/>
      <c r="G5762" s="355"/>
      <c r="H5762" s="355"/>
      <c r="I5762" s="355"/>
      <c r="J5762" s="355"/>
      <c r="K5762" s="355"/>
      <c r="L5762" s="355"/>
      <c r="M5762" s="355"/>
    </row>
    <row r="5763" spans="5:13">
      <c r="E5763" s="355"/>
      <c r="F5763" s="355"/>
      <c r="G5763" s="355"/>
      <c r="H5763" s="355"/>
      <c r="I5763" s="355"/>
      <c r="J5763" s="355"/>
      <c r="K5763" s="355"/>
      <c r="L5763" s="355"/>
      <c r="M5763" s="355"/>
    </row>
    <row r="5764" spans="5:13">
      <c r="E5764" s="355"/>
      <c r="F5764" s="355"/>
      <c r="G5764" s="355"/>
      <c r="H5764" s="355"/>
      <c r="I5764" s="355"/>
      <c r="J5764" s="355"/>
      <c r="K5764" s="355"/>
      <c r="L5764" s="355"/>
      <c r="M5764" s="355"/>
    </row>
    <row r="5765" spans="5:13">
      <c r="E5765" s="355"/>
      <c r="F5765" s="355"/>
      <c r="G5765" s="355"/>
      <c r="H5765" s="355"/>
      <c r="I5765" s="355"/>
      <c r="J5765" s="355"/>
      <c r="K5765" s="355"/>
      <c r="L5765" s="355"/>
      <c r="M5765" s="355"/>
    </row>
    <row r="5766" spans="5:13">
      <c r="E5766" s="355"/>
      <c r="F5766" s="355"/>
      <c r="G5766" s="355"/>
      <c r="H5766" s="355"/>
      <c r="I5766" s="355"/>
      <c r="J5766" s="355"/>
      <c r="K5766" s="355"/>
      <c r="L5766" s="355"/>
      <c r="M5766" s="355"/>
    </row>
    <row r="5767" spans="5:13">
      <c r="E5767" s="355"/>
      <c r="F5767" s="355"/>
      <c r="G5767" s="355"/>
      <c r="H5767" s="355"/>
      <c r="I5767" s="355"/>
      <c r="J5767" s="355"/>
      <c r="K5767" s="355"/>
      <c r="L5767" s="355"/>
      <c r="M5767" s="355"/>
    </row>
    <row r="5768" spans="5:13">
      <c r="E5768" s="355"/>
      <c r="F5768" s="355"/>
      <c r="G5768" s="355"/>
      <c r="H5768" s="355"/>
      <c r="I5768" s="355"/>
      <c r="J5768" s="355"/>
      <c r="K5768" s="355"/>
      <c r="L5768" s="355"/>
      <c r="M5768" s="355"/>
    </row>
    <row r="5769" spans="5:13">
      <c r="E5769" s="355"/>
      <c r="F5769" s="355"/>
      <c r="G5769" s="355"/>
      <c r="H5769" s="355"/>
      <c r="I5769" s="355"/>
      <c r="J5769" s="355"/>
      <c r="K5769" s="355"/>
      <c r="L5769" s="355"/>
      <c r="M5769" s="355"/>
    </row>
    <row r="5770" spans="5:13">
      <c r="E5770" s="355"/>
      <c r="F5770" s="355"/>
      <c r="G5770" s="355"/>
      <c r="H5770" s="355"/>
      <c r="I5770" s="355"/>
      <c r="J5770" s="355"/>
      <c r="K5770" s="355"/>
      <c r="L5770" s="355"/>
      <c r="M5770" s="355"/>
    </row>
    <row r="5771" spans="5:13">
      <c r="E5771" s="355"/>
      <c r="F5771" s="355"/>
      <c r="G5771" s="355"/>
      <c r="H5771" s="355"/>
      <c r="I5771" s="355"/>
      <c r="J5771" s="355"/>
      <c r="K5771" s="355"/>
      <c r="L5771" s="355"/>
      <c r="M5771" s="355"/>
    </row>
    <row r="5772" spans="5:13">
      <c r="E5772" s="355"/>
      <c r="F5772" s="355"/>
      <c r="G5772" s="355"/>
      <c r="H5772" s="355"/>
      <c r="I5772" s="355"/>
      <c r="J5772" s="355"/>
      <c r="K5772" s="355"/>
      <c r="L5772" s="355"/>
      <c r="M5772" s="355"/>
    </row>
    <row r="5773" spans="5:13">
      <c r="E5773" s="355"/>
      <c r="F5773" s="355"/>
      <c r="G5773" s="355"/>
      <c r="H5773" s="355"/>
      <c r="I5773" s="355"/>
      <c r="J5773" s="355"/>
      <c r="K5773" s="355"/>
      <c r="L5773" s="355"/>
      <c r="M5773" s="355"/>
    </row>
    <row r="5774" spans="5:13">
      <c r="E5774" s="355"/>
      <c r="F5774" s="355"/>
      <c r="G5774" s="355"/>
      <c r="H5774" s="355"/>
      <c r="I5774" s="355"/>
      <c r="J5774" s="355"/>
      <c r="K5774" s="355"/>
      <c r="L5774" s="355"/>
      <c r="M5774" s="355"/>
    </row>
    <row r="5775" spans="5:13">
      <c r="E5775" s="355"/>
      <c r="F5775" s="355"/>
      <c r="G5775" s="355"/>
      <c r="H5775" s="355"/>
      <c r="I5775" s="355"/>
      <c r="J5775" s="355"/>
      <c r="K5775" s="355"/>
      <c r="L5775" s="355"/>
      <c r="M5775" s="355"/>
    </row>
    <row r="5776" spans="5:13">
      <c r="E5776" s="355"/>
      <c r="F5776" s="355"/>
      <c r="G5776" s="355"/>
      <c r="H5776" s="355"/>
      <c r="I5776" s="355"/>
      <c r="J5776" s="355"/>
      <c r="K5776" s="355"/>
      <c r="L5776" s="355"/>
      <c r="M5776" s="355"/>
    </row>
    <row r="5777" spans="5:13">
      <c r="E5777" s="355"/>
      <c r="F5777" s="355"/>
      <c r="G5777" s="355"/>
      <c r="H5777" s="355"/>
      <c r="I5777" s="355"/>
      <c r="J5777" s="355"/>
      <c r="K5777" s="355"/>
      <c r="L5777" s="355"/>
      <c r="M5777" s="355"/>
    </row>
    <row r="5778" spans="5:13">
      <c r="E5778" s="355"/>
      <c r="F5778" s="355"/>
      <c r="G5778" s="355"/>
      <c r="H5778" s="355"/>
      <c r="I5778" s="355"/>
      <c r="J5778" s="355"/>
      <c r="K5778" s="355"/>
      <c r="L5778" s="355"/>
      <c r="M5778" s="355"/>
    </row>
    <row r="5779" spans="5:13">
      <c r="E5779" s="355"/>
      <c r="F5779" s="355"/>
      <c r="G5779" s="355"/>
      <c r="H5779" s="355"/>
      <c r="I5779" s="355"/>
      <c r="J5779" s="355"/>
      <c r="K5779" s="355"/>
      <c r="L5779" s="355"/>
      <c r="M5779" s="355"/>
    </row>
    <row r="5780" spans="5:13">
      <c r="E5780" s="355"/>
      <c r="F5780" s="355"/>
      <c r="G5780" s="355"/>
      <c r="H5780" s="355"/>
      <c r="I5780" s="355"/>
      <c r="J5780" s="355"/>
      <c r="K5780" s="355"/>
      <c r="L5780" s="355"/>
      <c r="M5780" s="355"/>
    </row>
    <row r="5781" spans="5:13">
      <c r="E5781" s="355"/>
      <c r="F5781" s="355"/>
      <c r="G5781" s="355"/>
      <c r="H5781" s="355"/>
      <c r="I5781" s="355"/>
      <c r="J5781" s="355"/>
      <c r="K5781" s="355"/>
      <c r="L5781" s="355"/>
      <c r="M5781" s="355"/>
    </row>
    <row r="5782" spans="5:13">
      <c r="E5782" s="355"/>
      <c r="F5782" s="355"/>
      <c r="G5782" s="355"/>
      <c r="H5782" s="355"/>
      <c r="I5782" s="355"/>
      <c r="J5782" s="355"/>
      <c r="K5782" s="355"/>
      <c r="L5782" s="355"/>
      <c r="M5782" s="355"/>
    </row>
    <row r="5783" spans="5:13">
      <c r="E5783" s="355"/>
      <c r="F5783" s="355"/>
      <c r="G5783" s="355"/>
      <c r="H5783" s="355"/>
      <c r="I5783" s="355"/>
      <c r="J5783" s="355"/>
      <c r="K5783" s="355"/>
      <c r="L5783" s="355"/>
      <c r="M5783" s="355"/>
    </row>
    <row r="5784" spans="5:13">
      <c r="E5784" s="355"/>
      <c r="F5784" s="355"/>
      <c r="G5784" s="355"/>
      <c r="H5784" s="355"/>
      <c r="I5784" s="355"/>
      <c r="J5784" s="355"/>
      <c r="K5784" s="355"/>
      <c r="L5784" s="355"/>
      <c r="M5784" s="355"/>
    </row>
    <row r="5785" spans="5:13">
      <c r="E5785" s="355"/>
      <c r="F5785" s="355"/>
      <c r="G5785" s="355"/>
      <c r="H5785" s="355"/>
      <c r="I5785" s="355"/>
      <c r="J5785" s="355"/>
      <c r="K5785" s="355"/>
      <c r="L5785" s="355"/>
      <c r="M5785" s="355"/>
    </row>
    <row r="5786" spans="5:13">
      <c r="E5786" s="355"/>
      <c r="F5786" s="355"/>
      <c r="G5786" s="355"/>
      <c r="H5786" s="355"/>
      <c r="I5786" s="355"/>
      <c r="J5786" s="355"/>
      <c r="K5786" s="355"/>
      <c r="L5786" s="355"/>
      <c r="M5786" s="355"/>
    </row>
    <row r="5787" spans="5:13">
      <c r="E5787" s="355"/>
      <c r="F5787" s="355"/>
      <c r="G5787" s="355"/>
      <c r="H5787" s="355"/>
      <c r="I5787" s="355"/>
      <c r="J5787" s="355"/>
      <c r="K5787" s="355"/>
      <c r="L5787" s="355"/>
      <c r="M5787" s="355"/>
    </row>
    <row r="5788" spans="5:13">
      <c r="E5788" s="355"/>
      <c r="F5788" s="355"/>
      <c r="G5788" s="355"/>
      <c r="H5788" s="355"/>
      <c r="I5788" s="355"/>
      <c r="J5788" s="355"/>
      <c r="K5788" s="355"/>
      <c r="L5788" s="355"/>
      <c r="M5788" s="355"/>
    </row>
    <row r="5789" spans="5:13">
      <c r="E5789" s="355"/>
      <c r="F5789" s="355"/>
      <c r="G5789" s="355"/>
      <c r="H5789" s="355"/>
      <c r="I5789" s="355"/>
      <c r="J5789" s="355"/>
      <c r="K5789" s="355"/>
      <c r="L5789" s="355"/>
      <c r="M5789" s="355"/>
    </row>
    <row r="5790" spans="5:13">
      <c r="E5790" s="355"/>
      <c r="F5790" s="355"/>
      <c r="G5790" s="355"/>
      <c r="H5790" s="355"/>
      <c r="I5790" s="355"/>
      <c r="J5790" s="355"/>
      <c r="K5790" s="355"/>
      <c r="L5790" s="355"/>
      <c r="M5790" s="355"/>
    </row>
    <row r="5791" spans="5:13">
      <c r="E5791" s="355"/>
      <c r="F5791" s="355"/>
      <c r="G5791" s="355"/>
      <c r="H5791" s="355"/>
      <c r="I5791" s="355"/>
      <c r="J5791" s="355"/>
      <c r="K5791" s="355"/>
      <c r="L5791" s="355"/>
      <c r="M5791" s="355"/>
    </row>
    <row r="5792" spans="5:13">
      <c r="E5792" s="355"/>
      <c r="F5792" s="355"/>
      <c r="G5792" s="355"/>
      <c r="H5792" s="355"/>
      <c r="I5792" s="355"/>
      <c r="J5792" s="355"/>
      <c r="K5792" s="355"/>
      <c r="L5792" s="355"/>
      <c r="M5792" s="355"/>
    </row>
    <row r="5793" spans="5:13">
      <c r="E5793" s="355"/>
      <c r="F5793" s="355"/>
      <c r="G5793" s="355"/>
      <c r="H5793" s="355"/>
      <c r="I5793" s="355"/>
      <c r="J5793" s="355"/>
      <c r="K5793" s="355"/>
      <c r="L5793" s="355"/>
      <c r="M5793" s="355"/>
    </row>
    <row r="5794" spans="5:13">
      <c r="E5794" s="355"/>
      <c r="F5794" s="355"/>
      <c r="G5794" s="355"/>
      <c r="H5794" s="355"/>
      <c r="I5794" s="355"/>
      <c r="J5794" s="355"/>
      <c r="K5794" s="355"/>
      <c r="L5794" s="355"/>
      <c r="M5794" s="355"/>
    </row>
    <row r="5795" spans="5:13">
      <c r="E5795" s="355"/>
      <c r="F5795" s="355"/>
      <c r="G5795" s="355"/>
      <c r="H5795" s="355"/>
      <c r="I5795" s="355"/>
      <c r="J5795" s="355"/>
      <c r="K5795" s="355"/>
      <c r="L5795" s="355"/>
      <c r="M5795" s="355"/>
    </row>
    <row r="5796" spans="5:13">
      <c r="E5796" s="355"/>
      <c r="F5796" s="355"/>
      <c r="G5796" s="355"/>
      <c r="H5796" s="355"/>
      <c r="I5796" s="355"/>
      <c r="J5796" s="355"/>
      <c r="K5796" s="355"/>
      <c r="L5796" s="355"/>
      <c r="M5796" s="355"/>
    </row>
    <row r="5797" spans="5:13">
      <c r="E5797" s="355"/>
      <c r="F5797" s="355"/>
      <c r="G5797" s="355"/>
      <c r="H5797" s="355"/>
      <c r="I5797" s="355"/>
      <c r="J5797" s="355"/>
      <c r="K5797" s="355"/>
      <c r="L5797" s="355"/>
      <c r="M5797" s="355"/>
    </row>
    <row r="5798" spans="5:13">
      <c r="E5798" s="355"/>
      <c r="F5798" s="355"/>
      <c r="G5798" s="355"/>
      <c r="H5798" s="355"/>
      <c r="I5798" s="355"/>
      <c r="J5798" s="355"/>
      <c r="K5798" s="355"/>
      <c r="L5798" s="355"/>
      <c r="M5798" s="355"/>
    </row>
    <row r="5799" spans="5:13">
      <c r="E5799" s="355"/>
      <c r="F5799" s="355"/>
      <c r="G5799" s="355"/>
      <c r="H5799" s="355"/>
      <c r="I5799" s="355"/>
      <c r="J5799" s="355"/>
      <c r="K5799" s="355"/>
      <c r="L5799" s="355"/>
      <c r="M5799" s="355"/>
    </row>
    <row r="5800" spans="5:13">
      <c r="E5800" s="355"/>
      <c r="F5800" s="355"/>
      <c r="G5800" s="355"/>
      <c r="H5800" s="355"/>
      <c r="I5800" s="355"/>
      <c r="J5800" s="355"/>
      <c r="K5800" s="355"/>
      <c r="L5800" s="355"/>
      <c r="M5800" s="355"/>
    </row>
    <row r="5801" spans="5:13">
      <c r="E5801" s="355"/>
      <c r="F5801" s="355"/>
      <c r="G5801" s="355"/>
      <c r="H5801" s="355"/>
      <c r="I5801" s="355"/>
      <c r="J5801" s="355"/>
      <c r="K5801" s="355"/>
      <c r="L5801" s="355"/>
      <c r="M5801" s="355"/>
    </row>
    <row r="5802" spans="5:13">
      <c r="E5802" s="355"/>
      <c r="F5802" s="355"/>
      <c r="G5802" s="355"/>
      <c r="H5802" s="355"/>
      <c r="I5802" s="355"/>
      <c r="J5802" s="355"/>
      <c r="K5802" s="355"/>
      <c r="L5802" s="355"/>
      <c r="M5802" s="355"/>
    </row>
    <row r="5803" spans="5:13">
      <c r="E5803" s="355"/>
      <c r="F5803" s="355"/>
      <c r="G5803" s="355"/>
      <c r="H5803" s="355"/>
      <c r="I5803" s="355"/>
      <c r="J5803" s="355"/>
      <c r="K5803" s="355"/>
      <c r="L5803" s="355"/>
      <c r="M5803" s="355"/>
    </row>
    <row r="5804" spans="5:13">
      <c r="E5804" s="355"/>
      <c r="F5804" s="355"/>
      <c r="G5804" s="355"/>
      <c r="H5804" s="355"/>
      <c r="I5804" s="355"/>
      <c r="J5804" s="355"/>
      <c r="K5804" s="355"/>
      <c r="L5804" s="355"/>
      <c r="M5804" s="355"/>
    </row>
    <row r="5805" spans="5:13">
      <c r="E5805" s="355"/>
      <c r="F5805" s="355"/>
      <c r="G5805" s="355"/>
      <c r="H5805" s="355"/>
      <c r="I5805" s="355"/>
      <c r="J5805" s="355"/>
      <c r="K5805" s="355"/>
      <c r="L5805" s="355"/>
      <c r="M5805" s="355"/>
    </row>
    <row r="5806" spans="5:13">
      <c r="E5806" s="355"/>
      <c r="F5806" s="355"/>
      <c r="G5806" s="355"/>
      <c r="H5806" s="355"/>
      <c r="I5806" s="355"/>
      <c r="J5806" s="355"/>
      <c r="K5806" s="355"/>
      <c r="L5806" s="355"/>
      <c r="M5806" s="355"/>
    </row>
    <row r="5807" spans="5:13">
      <c r="E5807" s="355"/>
      <c r="F5807" s="355"/>
      <c r="G5807" s="355"/>
      <c r="H5807" s="355"/>
      <c r="I5807" s="355"/>
      <c r="J5807" s="355"/>
      <c r="K5807" s="355"/>
      <c r="L5807" s="355"/>
      <c r="M5807" s="355"/>
    </row>
    <row r="5808" spans="5:13">
      <c r="E5808" s="355"/>
      <c r="F5808" s="355"/>
      <c r="G5808" s="355"/>
      <c r="H5808" s="355"/>
      <c r="I5808" s="355"/>
      <c r="J5808" s="355"/>
      <c r="K5808" s="355"/>
      <c r="L5808" s="355"/>
      <c r="M5808" s="355"/>
    </row>
    <row r="5809" spans="5:13">
      <c r="E5809" s="355"/>
      <c r="F5809" s="355"/>
      <c r="G5809" s="355"/>
      <c r="H5809" s="355"/>
      <c r="I5809" s="355"/>
      <c r="J5809" s="355"/>
      <c r="K5809" s="355"/>
      <c r="L5809" s="355"/>
      <c r="M5809" s="355"/>
    </row>
    <row r="5810" spans="5:13">
      <c r="E5810" s="355"/>
      <c r="F5810" s="355"/>
      <c r="G5810" s="355"/>
      <c r="H5810" s="355"/>
      <c r="I5810" s="355"/>
      <c r="J5810" s="355"/>
      <c r="K5810" s="355"/>
      <c r="L5810" s="355"/>
      <c r="M5810" s="355"/>
    </row>
    <row r="5811" spans="5:13">
      <c r="E5811" s="355"/>
      <c r="F5811" s="355"/>
      <c r="G5811" s="355"/>
      <c r="H5811" s="355"/>
      <c r="I5811" s="355"/>
      <c r="J5811" s="355"/>
      <c r="K5811" s="355"/>
      <c r="L5811" s="355"/>
      <c r="M5811" s="355"/>
    </row>
    <row r="5812" spans="5:13">
      <c r="E5812" s="355"/>
      <c r="F5812" s="355"/>
      <c r="G5812" s="355"/>
      <c r="H5812" s="355"/>
      <c r="I5812" s="355"/>
      <c r="J5812" s="355"/>
      <c r="K5812" s="355"/>
      <c r="L5812" s="355"/>
      <c r="M5812" s="355"/>
    </row>
    <row r="5813" spans="5:13">
      <c r="E5813" s="355"/>
      <c r="F5813" s="355"/>
      <c r="G5813" s="355"/>
      <c r="H5813" s="355"/>
      <c r="I5813" s="355"/>
      <c r="J5813" s="355"/>
      <c r="K5813" s="355"/>
      <c r="L5813" s="355"/>
      <c r="M5813" s="355"/>
    </row>
    <row r="5814" spans="5:13">
      <c r="E5814" s="355"/>
      <c r="F5814" s="355"/>
      <c r="G5814" s="355"/>
      <c r="H5814" s="355"/>
      <c r="I5814" s="355"/>
      <c r="J5814" s="355"/>
      <c r="K5814" s="355"/>
      <c r="L5814" s="355"/>
      <c r="M5814" s="355"/>
    </row>
    <row r="5815" spans="5:13">
      <c r="E5815" s="355"/>
      <c r="F5815" s="355"/>
      <c r="G5815" s="355"/>
      <c r="H5815" s="355"/>
      <c r="I5815" s="355"/>
      <c r="J5815" s="355"/>
      <c r="K5815" s="355"/>
      <c r="L5815" s="355"/>
      <c r="M5815" s="355"/>
    </row>
    <row r="5816" spans="5:13">
      <c r="E5816" s="355"/>
      <c r="F5816" s="355"/>
      <c r="G5816" s="355"/>
      <c r="H5816" s="355"/>
      <c r="I5816" s="355"/>
      <c r="J5816" s="355"/>
      <c r="K5816" s="355"/>
      <c r="L5816" s="355"/>
      <c r="M5816" s="355"/>
    </row>
    <row r="5817" spans="5:13">
      <c r="E5817" s="355"/>
      <c r="F5817" s="355"/>
      <c r="G5817" s="355"/>
      <c r="H5817" s="355"/>
      <c r="I5817" s="355"/>
      <c r="J5817" s="355"/>
      <c r="K5817" s="355"/>
      <c r="L5817" s="355"/>
      <c r="M5817" s="355"/>
    </row>
    <row r="5818" spans="5:13">
      <c r="E5818" s="355"/>
      <c r="F5818" s="355"/>
      <c r="G5818" s="355"/>
      <c r="H5818" s="355"/>
      <c r="I5818" s="355"/>
      <c r="J5818" s="355"/>
      <c r="K5818" s="355"/>
      <c r="L5818" s="355"/>
      <c r="M5818" s="355"/>
    </row>
    <row r="5819" spans="5:13">
      <c r="E5819" s="355"/>
      <c r="F5819" s="355"/>
      <c r="G5819" s="355"/>
      <c r="H5819" s="355"/>
      <c r="I5819" s="355"/>
      <c r="J5819" s="355"/>
      <c r="K5819" s="355"/>
      <c r="L5819" s="355"/>
      <c r="M5819" s="355"/>
    </row>
    <row r="5820" spans="5:13">
      <c r="E5820" s="355"/>
      <c r="F5820" s="355"/>
      <c r="G5820" s="355"/>
      <c r="H5820" s="355"/>
      <c r="I5820" s="355"/>
      <c r="J5820" s="355"/>
      <c r="K5820" s="355"/>
      <c r="L5820" s="355"/>
      <c r="M5820" s="355"/>
    </row>
    <row r="5821" spans="5:13">
      <c r="E5821" s="355"/>
      <c r="F5821" s="355"/>
      <c r="G5821" s="355"/>
      <c r="H5821" s="355"/>
      <c r="I5821" s="355"/>
      <c r="J5821" s="355"/>
      <c r="K5821" s="355"/>
      <c r="L5821" s="355"/>
      <c r="M5821" s="355"/>
    </row>
    <row r="5822" spans="5:13">
      <c r="E5822" s="355"/>
      <c r="F5822" s="355"/>
      <c r="G5822" s="355"/>
      <c r="H5822" s="355"/>
      <c r="I5822" s="355"/>
      <c r="J5822" s="355"/>
      <c r="K5822" s="355"/>
      <c r="L5822" s="355"/>
      <c r="M5822" s="355"/>
    </row>
    <row r="5823" spans="5:13">
      <c r="E5823" s="355"/>
      <c r="F5823" s="355"/>
      <c r="G5823" s="355"/>
      <c r="H5823" s="355"/>
      <c r="I5823" s="355"/>
      <c r="J5823" s="355"/>
      <c r="K5823" s="355"/>
      <c r="L5823" s="355"/>
      <c r="M5823" s="355"/>
    </row>
    <row r="5824" spans="5:13">
      <c r="E5824" s="355"/>
      <c r="F5824" s="355"/>
      <c r="G5824" s="355"/>
      <c r="H5824" s="355"/>
      <c r="I5824" s="355"/>
      <c r="J5824" s="355"/>
      <c r="K5824" s="355"/>
      <c r="L5824" s="355"/>
      <c r="M5824" s="355"/>
    </row>
    <row r="5825" spans="5:13">
      <c r="E5825" s="355"/>
      <c r="F5825" s="355"/>
      <c r="G5825" s="355"/>
      <c r="H5825" s="355"/>
      <c r="I5825" s="355"/>
      <c r="J5825" s="355"/>
      <c r="K5825" s="355"/>
      <c r="L5825" s="355"/>
      <c r="M5825" s="355"/>
    </row>
    <row r="5826" spans="5:13">
      <c r="E5826" s="355"/>
      <c r="F5826" s="355"/>
      <c r="G5826" s="355"/>
      <c r="H5826" s="355"/>
      <c r="I5826" s="355"/>
      <c r="J5826" s="355"/>
      <c r="K5826" s="355"/>
      <c r="L5826" s="355"/>
      <c r="M5826" s="355"/>
    </row>
    <row r="5827" spans="5:13">
      <c r="E5827" s="355"/>
      <c r="F5827" s="355"/>
      <c r="G5827" s="355"/>
      <c r="H5827" s="355"/>
      <c r="I5827" s="355"/>
      <c r="J5827" s="355"/>
      <c r="K5827" s="355"/>
      <c r="L5827" s="355"/>
      <c r="M5827" s="355"/>
    </row>
    <row r="5828" spans="5:13">
      <c r="E5828" s="355"/>
      <c r="F5828" s="355"/>
      <c r="G5828" s="355"/>
      <c r="H5828" s="355"/>
      <c r="I5828" s="355"/>
      <c r="J5828" s="355"/>
      <c r="K5828" s="355"/>
      <c r="L5828" s="355"/>
      <c r="M5828" s="355"/>
    </row>
    <row r="5829" spans="5:13">
      <c r="E5829" s="355"/>
      <c r="F5829" s="355"/>
      <c r="G5829" s="355"/>
      <c r="H5829" s="355"/>
      <c r="I5829" s="355"/>
      <c r="J5829" s="355"/>
      <c r="K5829" s="355"/>
      <c r="L5829" s="355"/>
      <c r="M5829" s="355"/>
    </row>
    <row r="5830" spans="5:13">
      <c r="E5830" s="355"/>
      <c r="F5830" s="355"/>
      <c r="G5830" s="355"/>
      <c r="H5830" s="355"/>
      <c r="I5830" s="355"/>
      <c r="J5830" s="355"/>
      <c r="K5830" s="355"/>
      <c r="L5830" s="355"/>
      <c r="M5830" s="355"/>
    </row>
    <row r="5831" spans="5:13">
      <c r="E5831" s="355"/>
      <c r="F5831" s="355"/>
      <c r="G5831" s="355"/>
      <c r="H5831" s="355"/>
      <c r="I5831" s="355"/>
      <c r="J5831" s="355"/>
      <c r="K5831" s="355"/>
      <c r="L5831" s="355"/>
      <c r="M5831" s="355"/>
    </row>
    <row r="5832" spans="5:13">
      <c r="E5832" s="355"/>
      <c r="F5832" s="355"/>
      <c r="G5832" s="355"/>
      <c r="H5832" s="355"/>
      <c r="I5832" s="355"/>
      <c r="J5832" s="355"/>
      <c r="K5832" s="355"/>
      <c r="L5832" s="355"/>
      <c r="M5832" s="355"/>
    </row>
    <row r="5833" spans="5:13">
      <c r="E5833" s="355"/>
      <c r="F5833" s="355"/>
      <c r="G5833" s="355"/>
      <c r="H5833" s="355"/>
      <c r="I5833" s="355"/>
      <c r="J5833" s="355"/>
      <c r="K5833" s="355"/>
      <c r="L5833" s="355"/>
      <c r="M5833" s="355"/>
    </row>
    <row r="5834" spans="5:13">
      <c r="E5834" s="355"/>
      <c r="F5834" s="355"/>
      <c r="G5834" s="355"/>
      <c r="H5834" s="355"/>
      <c r="I5834" s="355"/>
      <c r="J5834" s="355"/>
      <c r="K5834" s="355"/>
      <c r="L5834" s="355"/>
      <c r="M5834" s="355"/>
    </row>
    <row r="5835" spans="5:13">
      <c r="E5835" s="355"/>
      <c r="F5835" s="355"/>
      <c r="G5835" s="355"/>
      <c r="H5835" s="355"/>
      <c r="I5835" s="355"/>
      <c r="J5835" s="355"/>
      <c r="K5835" s="355"/>
      <c r="L5835" s="355"/>
      <c r="M5835" s="355"/>
    </row>
    <row r="5836" spans="5:13">
      <c r="E5836" s="355"/>
      <c r="F5836" s="355"/>
      <c r="G5836" s="355"/>
      <c r="H5836" s="355"/>
      <c r="I5836" s="355"/>
      <c r="J5836" s="355"/>
      <c r="K5836" s="355"/>
      <c r="L5836" s="355"/>
      <c r="M5836" s="355"/>
    </row>
    <row r="5837" spans="5:13">
      <c r="E5837" s="355"/>
      <c r="F5837" s="355"/>
      <c r="G5837" s="355"/>
      <c r="H5837" s="355"/>
      <c r="I5837" s="355"/>
      <c r="J5837" s="355"/>
      <c r="K5837" s="355"/>
      <c r="L5837" s="355"/>
      <c r="M5837" s="355"/>
    </row>
    <row r="5838" spans="5:13">
      <c r="E5838" s="355"/>
      <c r="F5838" s="355"/>
      <c r="G5838" s="355"/>
      <c r="H5838" s="355"/>
      <c r="I5838" s="355"/>
      <c r="J5838" s="355"/>
      <c r="K5838" s="355"/>
      <c r="L5838" s="355"/>
      <c r="M5838" s="355"/>
    </row>
    <row r="5839" spans="5:13">
      <c r="E5839" s="355"/>
      <c r="F5839" s="355"/>
      <c r="G5839" s="355"/>
      <c r="H5839" s="355"/>
      <c r="I5839" s="355"/>
      <c r="J5839" s="355"/>
      <c r="K5839" s="355"/>
      <c r="L5839" s="355"/>
      <c r="M5839" s="355"/>
    </row>
    <row r="5840" spans="5:13">
      <c r="E5840" s="355"/>
      <c r="F5840" s="355"/>
      <c r="G5840" s="355"/>
      <c r="H5840" s="355"/>
      <c r="I5840" s="355"/>
      <c r="J5840" s="355"/>
      <c r="K5840" s="355"/>
      <c r="L5840" s="355"/>
      <c r="M5840" s="355"/>
    </row>
    <row r="5841" spans="5:13">
      <c r="E5841" s="355"/>
      <c r="F5841" s="355"/>
      <c r="G5841" s="355"/>
      <c r="H5841" s="355"/>
      <c r="I5841" s="355"/>
      <c r="J5841" s="355"/>
      <c r="K5841" s="355"/>
      <c r="L5841" s="355"/>
      <c r="M5841" s="355"/>
    </row>
    <row r="5842" spans="5:13">
      <c r="E5842" s="355"/>
      <c r="F5842" s="355"/>
      <c r="G5842" s="355"/>
      <c r="H5842" s="355"/>
      <c r="I5842" s="355"/>
      <c r="J5842" s="355"/>
      <c r="K5842" s="355"/>
      <c r="L5842" s="355"/>
      <c r="M5842" s="355"/>
    </row>
    <row r="5843" spans="5:13">
      <c r="E5843" s="355"/>
      <c r="F5843" s="355"/>
      <c r="G5843" s="355"/>
      <c r="H5843" s="355"/>
      <c r="I5843" s="355"/>
      <c r="J5843" s="355"/>
      <c r="K5843" s="355"/>
      <c r="L5843" s="355"/>
      <c r="M5843" s="355"/>
    </row>
    <row r="5844" spans="5:13">
      <c r="E5844" s="355"/>
      <c r="F5844" s="355"/>
      <c r="G5844" s="355"/>
      <c r="H5844" s="355"/>
      <c r="I5844" s="355"/>
      <c r="J5844" s="355"/>
      <c r="K5844" s="355"/>
      <c r="L5844" s="355"/>
      <c r="M5844" s="355"/>
    </row>
    <row r="5845" spans="5:13">
      <c r="E5845" s="355"/>
      <c r="F5845" s="355"/>
      <c r="G5845" s="355"/>
      <c r="H5845" s="355"/>
      <c r="I5845" s="355"/>
      <c r="J5845" s="355"/>
      <c r="K5845" s="355"/>
      <c r="L5845" s="355"/>
      <c r="M5845" s="355"/>
    </row>
    <row r="5846" spans="5:13">
      <c r="E5846" s="355"/>
      <c r="F5846" s="355"/>
      <c r="G5846" s="355"/>
      <c r="H5846" s="355"/>
      <c r="I5846" s="355"/>
      <c r="J5846" s="355"/>
      <c r="K5846" s="355"/>
      <c r="L5846" s="355"/>
      <c r="M5846" s="355"/>
    </row>
    <row r="5847" spans="5:13">
      <c r="E5847" s="355"/>
      <c r="F5847" s="355"/>
      <c r="G5847" s="355"/>
      <c r="H5847" s="355"/>
      <c r="I5847" s="355"/>
      <c r="J5847" s="355"/>
      <c r="K5847" s="355"/>
      <c r="L5847" s="355"/>
      <c r="M5847" s="355"/>
    </row>
    <row r="5848" spans="5:13">
      <c r="E5848" s="355"/>
      <c r="F5848" s="355"/>
      <c r="G5848" s="355"/>
      <c r="H5848" s="355"/>
      <c r="I5848" s="355"/>
      <c r="J5848" s="355"/>
      <c r="K5848" s="355"/>
      <c r="L5848" s="355"/>
      <c r="M5848" s="355"/>
    </row>
    <row r="5849" spans="5:13">
      <c r="E5849" s="355"/>
      <c r="F5849" s="355"/>
      <c r="G5849" s="355"/>
      <c r="H5849" s="355"/>
      <c r="I5849" s="355"/>
      <c r="J5849" s="355"/>
      <c r="K5849" s="355"/>
      <c r="L5849" s="355"/>
      <c r="M5849" s="355"/>
    </row>
    <row r="5850" spans="5:13">
      <c r="E5850" s="355"/>
      <c r="F5850" s="355"/>
      <c r="G5850" s="355"/>
      <c r="H5850" s="355"/>
      <c r="I5850" s="355"/>
      <c r="J5850" s="355"/>
      <c r="K5850" s="355"/>
      <c r="L5850" s="355"/>
      <c r="M5850" s="355"/>
    </row>
    <row r="5851" spans="5:13">
      <c r="E5851" s="355"/>
      <c r="F5851" s="355"/>
      <c r="G5851" s="355"/>
      <c r="H5851" s="355"/>
      <c r="I5851" s="355"/>
      <c r="J5851" s="355"/>
      <c r="K5851" s="355"/>
      <c r="L5851" s="355"/>
      <c r="M5851" s="355"/>
    </row>
    <row r="5852" spans="5:13">
      <c r="E5852" s="355"/>
      <c r="F5852" s="355"/>
      <c r="G5852" s="355"/>
      <c r="H5852" s="355"/>
      <c r="I5852" s="355"/>
      <c r="J5852" s="355"/>
      <c r="K5852" s="355"/>
      <c r="L5852" s="355"/>
      <c r="M5852" s="355"/>
    </row>
    <row r="5853" spans="5:13">
      <c r="E5853" s="355"/>
      <c r="F5853" s="355"/>
      <c r="G5853" s="355"/>
      <c r="H5853" s="355"/>
      <c r="I5853" s="355"/>
      <c r="J5853" s="355"/>
      <c r="K5853" s="355"/>
      <c r="L5853" s="355"/>
      <c r="M5853" s="355"/>
    </row>
    <row r="5854" spans="5:13">
      <c r="E5854" s="355"/>
      <c r="F5854" s="355"/>
      <c r="G5854" s="355"/>
      <c r="H5854" s="355"/>
      <c r="I5854" s="355"/>
      <c r="J5854" s="355"/>
      <c r="K5854" s="355"/>
      <c r="L5854" s="355"/>
      <c r="M5854" s="355"/>
    </row>
    <row r="5855" spans="5:13">
      <c r="E5855" s="355"/>
      <c r="F5855" s="355"/>
      <c r="G5855" s="355"/>
      <c r="H5855" s="355"/>
      <c r="I5855" s="355"/>
      <c r="J5855" s="355"/>
      <c r="K5855" s="355"/>
      <c r="L5855" s="355"/>
      <c r="M5855" s="355"/>
    </row>
    <row r="5856" spans="5:13">
      <c r="E5856" s="355"/>
      <c r="F5856" s="355"/>
      <c r="G5856" s="355"/>
      <c r="H5856" s="355"/>
      <c r="I5856" s="355"/>
      <c r="J5856" s="355"/>
      <c r="K5856" s="355"/>
      <c r="L5856" s="355"/>
      <c r="M5856" s="355"/>
    </row>
    <row r="5857" spans="5:13">
      <c r="E5857" s="355"/>
      <c r="F5857" s="355"/>
      <c r="G5857" s="355"/>
      <c r="H5857" s="355"/>
      <c r="I5857" s="355"/>
      <c r="J5857" s="355"/>
      <c r="K5857" s="355"/>
      <c r="L5857" s="355"/>
      <c r="M5857" s="355"/>
    </row>
    <row r="5858" spans="5:13">
      <c r="E5858" s="355"/>
      <c r="F5858" s="355"/>
      <c r="G5858" s="355"/>
      <c r="H5858" s="355"/>
      <c r="I5858" s="355"/>
      <c r="J5858" s="355"/>
      <c r="K5858" s="355"/>
      <c r="L5858" s="355"/>
      <c r="M5858" s="355"/>
    </row>
    <row r="5859" spans="5:13">
      <c r="E5859" s="355"/>
      <c r="F5859" s="355"/>
      <c r="G5859" s="355"/>
      <c r="H5859" s="355"/>
      <c r="I5859" s="355"/>
      <c r="J5859" s="355"/>
      <c r="K5859" s="355"/>
      <c r="L5859" s="355"/>
      <c r="M5859" s="355"/>
    </row>
    <row r="5860" spans="5:13">
      <c r="E5860" s="355"/>
      <c r="F5860" s="355"/>
      <c r="G5860" s="355"/>
      <c r="H5860" s="355"/>
      <c r="I5860" s="355"/>
      <c r="J5860" s="355"/>
      <c r="K5860" s="355"/>
      <c r="L5860" s="355"/>
      <c r="M5860" s="355"/>
    </row>
    <row r="5861" spans="5:13">
      <c r="E5861" s="355"/>
      <c r="F5861" s="355"/>
      <c r="G5861" s="355"/>
      <c r="H5861" s="355"/>
      <c r="I5861" s="355"/>
      <c r="J5861" s="355"/>
      <c r="K5861" s="355"/>
      <c r="L5861" s="355"/>
      <c r="M5861" s="355"/>
    </row>
    <row r="5862" spans="5:13">
      <c r="E5862" s="355"/>
      <c r="F5862" s="355"/>
      <c r="G5862" s="355"/>
      <c r="H5862" s="355"/>
      <c r="I5862" s="355"/>
      <c r="J5862" s="355"/>
      <c r="K5862" s="355"/>
      <c r="L5862" s="355"/>
      <c r="M5862" s="355"/>
    </row>
    <row r="5863" spans="5:13">
      <c r="E5863" s="355"/>
      <c r="F5863" s="355"/>
      <c r="G5863" s="355"/>
      <c r="H5863" s="355"/>
      <c r="I5863" s="355"/>
      <c r="J5863" s="355"/>
      <c r="K5863" s="355"/>
      <c r="L5863" s="355"/>
      <c r="M5863" s="355"/>
    </row>
    <row r="5864" spans="5:13">
      <c r="E5864" s="355"/>
      <c r="F5864" s="355"/>
      <c r="G5864" s="355"/>
      <c r="H5864" s="355"/>
      <c r="I5864" s="355"/>
      <c r="J5864" s="355"/>
      <c r="K5864" s="355"/>
      <c r="L5864" s="355"/>
      <c r="M5864" s="355"/>
    </row>
    <row r="5865" spans="5:13">
      <c r="E5865" s="355"/>
      <c r="F5865" s="355"/>
      <c r="G5865" s="355"/>
      <c r="H5865" s="355"/>
      <c r="I5865" s="355"/>
      <c r="J5865" s="355"/>
      <c r="K5865" s="355"/>
      <c r="L5865" s="355"/>
      <c r="M5865" s="355"/>
    </row>
    <row r="5866" spans="5:13">
      <c r="E5866" s="355"/>
      <c r="F5866" s="355"/>
      <c r="G5866" s="355"/>
      <c r="H5866" s="355"/>
      <c r="I5866" s="355"/>
      <c r="J5866" s="355"/>
      <c r="K5866" s="355"/>
      <c r="L5866" s="355"/>
      <c r="M5866" s="355"/>
    </row>
    <row r="5867" spans="5:13">
      <c r="E5867" s="355"/>
      <c r="F5867" s="355"/>
      <c r="G5867" s="355"/>
      <c r="H5867" s="355"/>
      <c r="I5867" s="355"/>
      <c r="J5867" s="355"/>
      <c r="K5867" s="355"/>
      <c r="L5867" s="355"/>
      <c r="M5867" s="355"/>
    </row>
    <row r="5868" spans="5:13">
      <c r="E5868" s="355"/>
      <c r="F5868" s="355"/>
      <c r="G5868" s="355"/>
      <c r="H5868" s="355"/>
      <c r="I5868" s="355"/>
      <c r="J5868" s="355"/>
      <c r="K5868" s="355"/>
      <c r="L5868" s="355"/>
      <c r="M5868" s="355"/>
    </row>
    <row r="5869" spans="5:13">
      <c r="E5869" s="355"/>
      <c r="F5869" s="355"/>
      <c r="G5869" s="355"/>
      <c r="H5869" s="355"/>
      <c r="I5869" s="355"/>
      <c r="J5869" s="355"/>
      <c r="K5869" s="355"/>
      <c r="L5869" s="355"/>
      <c r="M5869" s="355"/>
    </row>
    <row r="5870" spans="5:13">
      <c r="E5870" s="355"/>
      <c r="F5870" s="355"/>
      <c r="G5870" s="355"/>
      <c r="H5870" s="355"/>
      <c r="I5870" s="355"/>
      <c r="J5870" s="355"/>
      <c r="K5870" s="355"/>
      <c r="L5870" s="355"/>
      <c r="M5870" s="355"/>
    </row>
    <row r="5871" spans="5:13">
      <c r="E5871" s="355"/>
      <c r="F5871" s="355"/>
      <c r="G5871" s="355"/>
      <c r="H5871" s="355"/>
      <c r="I5871" s="355"/>
      <c r="J5871" s="355"/>
      <c r="K5871" s="355"/>
      <c r="L5871" s="355"/>
      <c r="M5871" s="355"/>
    </row>
    <row r="5872" spans="5:13">
      <c r="E5872" s="355"/>
      <c r="F5872" s="355"/>
      <c r="G5872" s="355"/>
      <c r="H5872" s="355"/>
      <c r="I5872" s="355"/>
      <c r="J5872" s="355"/>
      <c r="K5872" s="355"/>
      <c r="L5872" s="355"/>
      <c r="M5872" s="355"/>
    </row>
    <row r="5873" spans="5:13">
      <c r="E5873" s="355"/>
      <c r="F5873" s="355"/>
      <c r="G5873" s="355"/>
      <c r="H5873" s="355"/>
      <c r="I5873" s="355"/>
      <c r="J5873" s="355"/>
      <c r="K5873" s="355"/>
      <c r="L5873" s="355"/>
      <c r="M5873" s="355"/>
    </row>
    <row r="5874" spans="5:13">
      <c r="E5874" s="355"/>
      <c r="F5874" s="355"/>
      <c r="G5874" s="355"/>
      <c r="H5874" s="355"/>
      <c r="I5874" s="355"/>
      <c r="J5874" s="355"/>
      <c r="K5874" s="355"/>
      <c r="L5874" s="355"/>
      <c r="M5874" s="355"/>
    </row>
    <row r="5875" spans="5:13">
      <c r="E5875" s="355"/>
      <c r="F5875" s="355"/>
      <c r="G5875" s="355"/>
      <c r="H5875" s="355"/>
      <c r="I5875" s="355"/>
      <c r="J5875" s="355"/>
      <c r="K5875" s="355"/>
      <c r="L5875" s="355"/>
      <c r="M5875" s="355"/>
    </row>
    <row r="5876" spans="5:13">
      <c r="E5876" s="355"/>
      <c r="F5876" s="355"/>
      <c r="G5876" s="355"/>
      <c r="H5876" s="355"/>
      <c r="I5876" s="355"/>
      <c r="J5876" s="355"/>
      <c r="K5876" s="355"/>
      <c r="L5876" s="355"/>
      <c r="M5876" s="355"/>
    </row>
    <row r="5877" spans="5:13">
      <c r="E5877" s="355"/>
      <c r="F5877" s="355"/>
      <c r="G5877" s="355"/>
      <c r="H5877" s="355"/>
      <c r="I5877" s="355"/>
      <c r="J5877" s="355"/>
      <c r="K5877" s="355"/>
      <c r="L5877" s="355"/>
      <c r="M5877" s="355"/>
    </row>
    <row r="5878" spans="5:13">
      <c r="E5878" s="355"/>
      <c r="F5878" s="355"/>
      <c r="G5878" s="355"/>
      <c r="H5878" s="355"/>
      <c r="I5878" s="355"/>
      <c r="J5878" s="355"/>
      <c r="K5878" s="355"/>
      <c r="L5878" s="355"/>
      <c r="M5878" s="355"/>
    </row>
    <row r="5879" spans="5:13">
      <c r="E5879" s="355"/>
      <c r="F5879" s="355"/>
      <c r="G5879" s="355"/>
      <c r="H5879" s="355"/>
      <c r="I5879" s="355"/>
      <c r="J5879" s="355"/>
      <c r="K5879" s="355"/>
      <c r="L5879" s="355"/>
      <c r="M5879" s="355"/>
    </row>
    <row r="5880" spans="5:13">
      <c r="E5880" s="355"/>
      <c r="F5880" s="355"/>
      <c r="G5880" s="355"/>
      <c r="H5880" s="355"/>
      <c r="I5880" s="355"/>
      <c r="J5880" s="355"/>
      <c r="K5880" s="355"/>
      <c r="L5880" s="355"/>
      <c r="M5880" s="355"/>
    </row>
    <row r="5881" spans="5:13">
      <c r="E5881" s="355"/>
      <c r="F5881" s="355"/>
      <c r="G5881" s="355"/>
      <c r="H5881" s="355"/>
      <c r="I5881" s="355"/>
      <c r="J5881" s="355"/>
      <c r="K5881" s="355"/>
      <c r="L5881" s="355"/>
      <c r="M5881" s="355"/>
    </row>
    <row r="5882" spans="5:13">
      <c r="E5882" s="355"/>
      <c r="F5882" s="355"/>
      <c r="G5882" s="355"/>
      <c r="H5882" s="355"/>
      <c r="I5882" s="355"/>
      <c r="J5882" s="355"/>
      <c r="K5882" s="355"/>
      <c r="L5882" s="355"/>
      <c r="M5882" s="355"/>
    </row>
    <row r="5883" spans="5:13">
      <c r="E5883" s="355"/>
      <c r="F5883" s="355"/>
      <c r="G5883" s="355"/>
      <c r="H5883" s="355"/>
      <c r="I5883" s="355"/>
      <c r="J5883" s="355"/>
      <c r="K5883" s="355"/>
      <c r="L5883" s="355"/>
      <c r="M5883" s="355"/>
    </row>
    <row r="5884" spans="5:13">
      <c r="E5884" s="355"/>
      <c r="F5884" s="355"/>
      <c r="G5884" s="355"/>
      <c r="H5884" s="355"/>
      <c r="I5884" s="355"/>
      <c r="J5884" s="355"/>
      <c r="K5884" s="355"/>
      <c r="L5884" s="355"/>
      <c r="M5884" s="355"/>
    </row>
    <row r="5885" spans="5:13">
      <c r="E5885" s="355"/>
      <c r="F5885" s="355"/>
      <c r="G5885" s="355"/>
      <c r="H5885" s="355"/>
      <c r="I5885" s="355"/>
      <c r="J5885" s="355"/>
      <c r="K5885" s="355"/>
      <c r="L5885" s="355"/>
      <c r="M5885" s="355"/>
    </row>
    <row r="5886" spans="5:13">
      <c r="E5886" s="355"/>
      <c r="F5886" s="355"/>
      <c r="G5886" s="355"/>
      <c r="H5886" s="355"/>
      <c r="I5886" s="355"/>
      <c r="J5886" s="355"/>
      <c r="K5886" s="355"/>
      <c r="L5886" s="355"/>
      <c r="M5886" s="355"/>
    </row>
    <row r="5887" spans="5:13">
      <c r="E5887" s="355"/>
      <c r="F5887" s="355"/>
      <c r="G5887" s="355"/>
      <c r="H5887" s="355"/>
      <c r="I5887" s="355"/>
      <c r="J5887" s="355"/>
      <c r="K5887" s="355"/>
      <c r="L5887" s="355"/>
      <c r="M5887" s="355"/>
    </row>
    <row r="5888" spans="5:13">
      <c r="E5888" s="355"/>
      <c r="F5888" s="355"/>
      <c r="G5888" s="355"/>
      <c r="H5888" s="355"/>
      <c r="I5888" s="355"/>
      <c r="J5888" s="355"/>
      <c r="K5888" s="355"/>
      <c r="L5888" s="355"/>
      <c r="M5888" s="355"/>
    </row>
    <row r="5889" spans="5:13">
      <c r="E5889" s="355"/>
      <c r="F5889" s="355"/>
      <c r="G5889" s="355"/>
      <c r="H5889" s="355"/>
      <c r="I5889" s="355"/>
      <c r="J5889" s="355"/>
      <c r="K5889" s="355"/>
      <c r="L5889" s="355"/>
      <c r="M5889" s="355"/>
    </row>
    <row r="5890" spans="5:13">
      <c r="E5890" s="355"/>
      <c r="F5890" s="355"/>
      <c r="G5890" s="355"/>
      <c r="H5890" s="355"/>
      <c r="I5890" s="355"/>
      <c r="J5890" s="355"/>
      <c r="K5890" s="355"/>
      <c r="L5890" s="355"/>
      <c r="M5890" s="355"/>
    </row>
    <row r="5891" spans="5:13">
      <c r="E5891" s="355"/>
      <c r="F5891" s="355"/>
      <c r="G5891" s="355"/>
      <c r="H5891" s="355"/>
      <c r="I5891" s="355"/>
      <c r="J5891" s="355"/>
      <c r="K5891" s="355"/>
      <c r="L5891" s="355"/>
      <c r="M5891" s="355"/>
    </row>
    <row r="5892" spans="5:13">
      <c r="E5892" s="355"/>
      <c r="F5892" s="355"/>
      <c r="G5892" s="355"/>
      <c r="H5892" s="355"/>
      <c r="I5892" s="355"/>
      <c r="J5892" s="355"/>
      <c r="K5892" s="355"/>
      <c r="L5892" s="355"/>
      <c r="M5892" s="355"/>
    </row>
    <row r="5893" spans="5:13">
      <c r="E5893" s="355"/>
      <c r="F5893" s="355"/>
      <c r="G5893" s="355"/>
      <c r="H5893" s="355"/>
      <c r="I5893" s="355"/>
      <c r="J5893" s="355"/>
      <c r="K5893" s="355"/>
      <c r="L5893" s="355"/>
      <c r="M5893" s="355"/>
    </row>
    <row r="5894" spans="5:13">
      <c r="E5894" s="355"/>
      <c r="F5894" s="355"/>
      <c r="G5894" s="355"/>
      <c r="H5894" s="355"/>
      <c r="I5894" s="355"/>
      <c r="J5894" s="355"/>
      <c r="K5894" s="355"/>
      <c r="L5894" s="355"/>
      <c r="M5894" s="355"/>
    </row>
    <row r="5895" spans="5:13">
      <c r="E5895" s="355"/>
      <c r="F5895" s="355"/>
      <c r="G5895" s="355"/>
      <c r="H5895" s="355"/>
      <c r="I5895" s="355"/>
      <c r="J5895" s="355"/>
      <c r="K5895" s="355"/>
      <c r="L5895" s="355"/>
      <c r="M5895" s="355"/>
    </row>
    <row r="5896" spans="5:13">
      <c r="E5896" s="355"/>
      <c r="F5896" s="355"/>
      <c r="G5896" s="355"/>
      <c r="H5896" s="355"/>
      <c r="I5896" s="355"/>
      <c r="J5896" s="355"/>
      <c r="K5896" s="355"/>
      <c r="L5896" s="355"/>
      <c r="M5896" s="355"/>
    </row>
    <row r="5897" spans="5:13">
      <c r="E5897" s="355"/>
      <c r="F5897" s="355"/>
      <c r="G5897" s="355"/>
      <c r="H5897" s="355"/>
      <c r="I5897" s="355"/>
      <c r="J5897" s="355"/>
      <c r="K5897" s="355"/>
      <c r="L5897" s="355"/>
      <c r="M5897" s="355"/>
    </row>
    <row r="5898" spans="5:13">
      <c r="E5898" s="355"/>
      <c r="F5898" s="355"/>
      <c r="G5898" s="355"/>
      <c r="H5898" s="355"/>
      <c r="I5898" s="355"/>
      <c r="J5898" s="355"/>
      <c r="K5898" s="355"/>
      <c r="L5898" s="355"/>
      <c r="M5898" s="355"/>
    </row>
    <row r="5899" spans="5:13">
      <c r="E5899" s="355"/>
      <c r="F5899" s="355"/>
      <c r="G5899" s="355"/>
      <c r="H5899" s="355"/>
      <c r="I5899" s="355"/>
      <c r="J5899" s="355"/>
      <c r="K5899" s="355"/>
      <c r="L5899" s="355"/>
      <c r="M5899" s="355"/>
    </row>
    <row r="5900" spans="5:13">
      <c r="E5900" s="355"/>
      <c r="F5900" s="355"/>
      <c r="G5900" s="355"/>
      <c r="H5900" s="355"/>
      <c r="I5900" s="355"/>
      <c r="J5900" s="355"/>
      <c r="K5900" s="355"/>
      <c r="L5900" s="355"/>
      <c r="M5900" s="355"/>
    </row>
    <row r="5901" spans="5:13">
      <c r="E5901" s="355"/>
      <c r="F5901" s="355"/>
      <c r="G5901" s="355"/>
      <c r="H5901" s="355"/>
      <c r="I5901" s="355"/>
      <c r="J5901" s="355"/>
      <c r="K5901" s="355"/>
      <c r="L5901" s="355"/>
      <c r="M5901" s="355"/>
    </row>
    <row r="5902" spans="5:13">
      <c r="E5902" s="355"/>
      <c r="F5902" s="355"/>
      <c r="G5902" s="355"/>
      <c r="H5902" s="355"/>
      <c r="I5902" s="355"/>
      <c r="J5902" s="355"/>
      <c r="K5902" s="355"/>
      <c r="L5902" s="355"/>
      <c r="M5902" s="355"/>
    </row>
    <row r="5903" spans="5:13">
      <c r="E5903" s="355"/>
      <c r="F5903" s="355"/>
      <c r="G5903" s="355"/>
      <c r="H5903" s="355"/>
      <c r="I5903" s="355"/>
      <c r="J5903" s="355"/>
      <c r="K5903" s="355"/>
      <c r="L5903" s="355"/>
      <c r="M5903" s="355"/>
    </row>
    <row r="5904" spans="5:13">
      <c r="E5904" s="355"/>
      <c r="F5904" s="355"/>
      <c r="G5904" s="355"/>
      <c r="H5904" s="355"/>
      <c r="I5904" s="355"/>
      <c r="J5904" s="355"/>
      <c r="K5904" s="355"/>
      <c r="L5904" s="355"/>
      <c r="M5904" s="355"/>
    </row>
    <row r="5905" spans="5:13">
      <c r="E5905" s="355"/>
      <c r="F5905" s="355"/>
      <c r="G5905" s="355"/>
      <c r="H5905" s="355"/>
      <c r="I5905" s="355"/>
      <c r="J5905" s="355"/>
      <c r="K5905" s="355"/>
      <c r="L5905" s="355"/>
      <c r="M5905" s="355"/>
    </row>
    <row r="5906" spans="5:13">
      <c r="E5906" s="355"/>
      <c r="F5906" s="355"/>
      <c r="G5906" s="355"/>
      <c r="H5906" s="355"/>
      <c r="I5906" s="355"/>
      <c r="J5906" s="355"/>
      <c r="K5906" s="355"/>
      <c r="L5906" s="355"/>
      <c r="M5906" s="355"/>
    </row>
    <row r="5907" spans="5:13">
      <c r="E5907" s="355"/>
      <c r="F5907" s="355"/>
      <c r="G5907" s="355"/>
      <c r="H5907" s="355"/>
      <c r="I5907" s="355"/>
      <c r="J5907" s="355"/>
      <c r="K5907" s="355"/>
      <c r="L5907" s="355"/>
      <c r="M5907" s="355"/>
    </row>
    <row r="5908" spans="5:13">
      <c r="E5908" s="355"/>
      <c r="F5908" s="355"/>
      <c r="G5908" s="355"/>
      <c r="H5908" s="355"/>
      <c r="I5908" s="355"/>
      <c r="J5908" s="355"/>
      <c r="K5908" s="355"/>
      <c r="L5908" s="355"/>
      <c r="M5908" s="355"/>
    </row>
    <row r="5909" spans="5:13">
      <c r="E5909" s="355"/>
      <c r="F5909" s="355"/>
      <c r="G5909" s="355"/>
      <c r="H5909" s="355"/>
      <c r="I5909" s="355"/>
      <c r="J5909" s="355"/>
      <c r="K5909" s="355"/>
      <c r="L5909" s="355"/>
      <c r="M5909" s="355"/>
    </row>
    <row r="5910" spans="5:13">
      <c r="E5910" s="355"/>
      <c r="F5910" s="355"/>
      <c r="G5910" s="355"/>
      <c r="H5910" s="355"/>
      <c r="I5910" s="355"/>
      <c r="J5910" s="355"/>
      <c r="K5910" s="355"/>
      <c r="L5910" s="355"/>
      <c r="M5910" s="355"/>
    </row>
    <row r="5911" spans="5:13">
      <c r="E5911" s="355"/>
      <c r="F5911" s="355"/>
      <c r="G5911" s="355"/>
      <c r="H5911" s="355"/>
      <c r="I5911" s="355"/>
      <c r="J5911" s="355"/>
      <c r="K5911" s="355"/>
      <c r="L5911" s="355"/>
      <c r="M5911" s="355"/>
    </row>
    <row r="5912" spans="5:13">
      <c r="E5912" s="355"/>
      <c r="F5912" s="355"/>
      <c r="G5912" s="355"/>
      <c r="H5912" s="355"/>
      <c r="I5912" s="355"/>
      <c r="J5912" s="355"/>
      <c r="K5912" s="355"/>
      <c r="L5912" s="355"/>
      <c r="M5912" s="355"/>
    </row>
    <row r="5913" spans="5:13">
      <c r="E5913" s="355"/>
      <c r="F5913" s="355"/>
      <c r="G5913" s="355"/>
      <c r="H5913" s="355"/>
      <c r="I5913" s="355"/>
      <c r="J5913" s="355"/>
      <c r="K5913" s="355"/>
      <c r="L5913" s="355"/>
      <c r="M5913" s="355"/>
    </row>
    <row r="5914" spans="5:13">
      <c r="E5914" s="355"/>
      <c r="F5914" s="355"/>
      <c r="G5914" s="355"/>
      <c r="H5914" s="355"/>
      <c r="I5914" s="355"/>
      <c r="J5914" s="355"/>
      <c r="K5914" s="355"/>
      <c r="L5914" s="355"/>
      <c r="M5914" s="355"/>
    </row>
    <row r="5915" spans="5:13">
      <c r="E5915" s="355"/>
      <c r="F5915" s="355"/>
      <c r="G5915" s="355"/>
      <c r="H5915" s="355"/>
      <c r="I5915" s="355"/>
      <c r="J5915" s="355"/>
      <c r="K5915" s="355"/>
      <c r="L5915" s="355"/>
      <c r="M5915" s="355"/>
    </row>
    <row r="5916" spans="5:13">
      <c r="E5916" s="355"/>
      <c r="F5916" s="355"/>
      <c r="G5916" s="355"/>
      <c r="H5916" s="355"/>
      <c r="I5916" s="355"/>
      <c r="J5916" s="355"/>
      <c r="K5916" s="355"/>
      <c r="L5916" s="355"/>
      <c r="M5916" s="355"/>
    </row>
    <row r="5917" spans="5:13">
      <c r="E5917" s="355"/>
      <c r="F5917" s="355"/>
      <c r="G5917" s="355"/>
      <c r="H5917" s="355"/>
      <c r="I5917" s="355"/>
      <c r="J5917" s="355"/>
      <c r="K5917" s="355"/>
      <c r="L5917" s="355"/>
      <c r="M5917" s="355"/>
    </row>
    <row r="5918" spans="5:13">
      <c r="E5918" s="355"/>
      <c r="F5918" s="355"/>
      <c r="G5918" s="355"/>
      <c r="H5918" s="355"/>
      <c r="I5918" s="355"/>
      <c r="J5918" s="355"/>
      <c r="K5918" s="355"/>
      <c r="L5918" s="355"/>
      <c r="M5918" s="355"/>
    </row>
    <row r="5919" spans="5:13">
      <c r="E5919" s="355"/>
      <c r="F5919" s="355"/>
      <c r="G5919" s="355"/>
      <c r="H5919" s="355"/>
      <c r="I5919" s="355"/>
      <c r="J5919" s="355"/>
      <c r="K5919" s="355"/>
      <c r="L5919" s="355"/>
      <c r="M5919" s="355"/>
    </row>
    <row r="5920" spans="5:13">
      <c r="E5920" s="355"/>
      <c r="F5920" s="355"/>
      <c r="G5920" s="355"/>
      <c r="H5920" s="355"/>
      <c r="I5920" s="355"/>
      <c r="J5920" s="355"/>
      <c r="K5920" s="355"/>
      <c r="L5920" s="355"/>
      <c r="M5920" s="355"/>
    </row>
    <row r="5921" spans="5:13">
      <c r="E5921" s="355"/>
      <c r="F5921" s="355"/>
      <c r="G5921" s="355"/>
      <c r="H5921" s="355"/>
      <c r="I5921" s="355"/>
      <c r="J5921" s="355"/>
      <c r="K5921" s="355"/>
      <c r="L5921" s="355"/>
      <c r="M5921" s="355"/>
    </row>
    <row r="5922" spans="5:13">
      <c r="E5922" s="355"/>
      <c r="F5922" s="355"/>
      <c r="G5922" s="355"/>
      <c r="H5922" s="355"/>
      <c r="I5922" s="355"/>
      <c r="J5922" s="355"/>
      <c r="K5922" s="355"/>
      <c r="L5922" s="355"/>
      <c r="M5922" s="355"/>
    </row>
    <row r="5923" spans="5:13">
      <c r="E5923" s="355"/>
      <c r="F5923" s="355"/>
      <c r="G5923" s="355"/>
      <c r="H5923" s="355"/>
      <c r="I5923" s="355"/>
      <c r="J5923" s="355"/>
      <c r="K5923" s="355"/>
      <c r="L5923" s="355"/>
      <c r="M5923" s="355"/>
    </row>
    <row r="5924" spans="5:13">
      <c r="E5924" s="355"/>
      <c r="F5924" s="355"/>
      <c r="G5924" s="355"/>
      <c r="H5924" s="355"/>
      <c r="I5924" s="355"/>
      <c r="J5924" s="355"/>
      <c r="K5924" s="355"/>
      <c r="L5924" s="355"/>
      <c r="M5924" s="355"/>
    </row>
    <row r="5925" spans="5:13">
      <c r="E5925" s="355"/>
      <c r="F5925" s="355"/>
      <c r="G5925" s="355"/>
      <c r="H5925" s="355"/>
      <c r="I5925" s="355"/>
      <c r="J5925" s="355"/>
      <c r="K5925" s="355"/>
      <c r="L5925" s="355"/>
      <c r="M5925" s="355"/>
    </row>
    <row r="5926" spans="5:13">
      <c r="E5926" s="355"/>
      <c r="F5926" s="355"/>
      <c r="G5926" s="355"/>
      <c r="H5926" s="355"/>
      <c r="I5926" s="355"/>
      <c r="J5926" s="355"/>
      <c r="K5926" s="355"/>
      <c r="L5926" s="355"/>
      <c r="M5926" s="355"/>
    </row>
    <row r="5927" spans="5:13">
      <c r="E5927" s="355"/>
      <c r="F5927" s="355"/>
      <c r="G5927" s="355"/>
      <c r="H5927" s="355"/>
      <c r="I5927" s="355"/>
      <c r="J5927" s="355"/>
      <c r="K5927" s="355"/>
      <c r="L5927" s="355"/>
      <c r="M5927" s="355"/>
    </row>
    <row r="5928" spans="5:13">
      <c r="E5928" s="355"/>
      <c r="F5928" s="355"/>
      <c r="G5928" s="355"/>
      <c r="H5928" s="355"/>
      <c r="I5928" s="355"/>
      <c r="J5928" s="355"/>
      <c r="K5928" s="355"/>
      <c r="L5928" s="355"/>
      <c r="M5928" s="355"/>
    </row>
    <row r="5929" spans="5:13">
      <c r="E5929" s="355"/>
      <c r="F5929" s="355"/>
      <c r="G5929" s="355"/>
      <c r="H5929" s="355"/>
      <c r="I5929" s="355"/>
      <c r="J5929" s="355"/>
      <c r="K5929" s="355"/>
      <c r="L5929" s="355"/>
      <c r="M5929" s="355"/>
    </row>
    <row r="5930" spans="5:13">
      <c r="E5930" s="355"/>
      <c r="F5930" s="355"/>
      <c r="G5930" s="355"/>
      <c r="H5930" s="355"/>
      <c r="I5930" s="355"/>
      <c r="J5930" s="355"/>
      <c r="K5930" s="355"/>
      <c r="L5930" s="355"/>
      <c r="M5930" s="355"/>
    </row>
    <row r="5931" spans="5:13">
      <c r="E5931" s="355"/>
      <c r="F5931" s="355"/>
      <c r="G5931" s="355"/>
      <c r="H5931" s="355"/>
      <c r="I5931" s="355"/>
      <c r="J5931" s="355"/>
      <c r="K5931" s="355"/>
      <c r="L5931" s="355"/>
      <c r="M5931" s="355"/>
    </row>
    <row r="5932" spans="5:13">
      <c r="E5932" s="355"/>
      <c r="F5932" s="355"/>
      <c r="G5932" s="355"/>
      <c r="H5932" s="355"/>
      <c r="I5932" s="355"/>
      <c r="J5932" s="355"/>
      <c r="K5932" s="355"/>
      <c r="L5932" s="355"/>
      <c r="M5932" s="355"/>
    </row>
    <row r="5933" spans="5:13">
      <c r="E5933" s="355"/>
      <c r="F5933" s="355"/>
      <c r="G5933" s="355"/>
      <c r="H5933" s="355"/>
      <c r="I5933" s="355"/>
      <c r="J5933" s="355"/>
      <c r="K5933" s="355"/>
      <c r="L5933" s="355"/>
      <c r="M5933" s="355"/>
    </row>
    <row r="5934" spans="5:13">
      <c r="E5934" s="355"/>
      <c r="F5934" s="355"/>
      <c r="G5934" s="355"/>
      <c r="H5934" s="355"/>
      <c r="I5934" s="355"/>
      <c r="J5934" s="355"/>
      <c r="K5934" s="355"/>
      <c r="L5934" s="355"/>
      <c r="M5934" s="355"/>
    </row>
    <row r="5935" spans="5:13">
      <c r="E5935" s="355"/>
      <c r="F5935" s="355"/>
      <c r="G5935" s="355"/>
      <c r="H5935" s="355"/>
      <c r="I5935" s="355"/>
      <c r="J5935" s="355"/>
      <c r="K5935" s="355"/>
      <c r="L5935" s="355"/>
      <c r="M5935" s="355"/>
    </row>
    <row r="5936" spans="5:13">
      <c r="E5936" s="355"/>
      <c r="F5936" s="355"/>
      <c r="G5936" s="355"/>
      <c r="H5936" s="355"/>
      <c r="I5936" s="355"/>
      <c r="J5936" s="355"/>
      <c r="K5936" s="355"/>
      <c r="L5936" s="355"/>
      <c r="M5936" s="355"/>
    </row>
    <row r="5937" spans="5:13">
      <c r="E5937" s="355"/>
      <c r="F5937" s="355"/>
      <c r="G5937" s="355"/>
      <c r="H5937" s="355"/>
      <c r="I5937" s="355"/>
      <c r="J5937" s="355"/>
      <c r="K5937" s="355"/>
      <c r="L5937" s="355"/>
      <c r="M5937" s="355"/>
    </row>
    <row r="5938" spans="5:13">
      <c r="E5938" s="355"/>
      <c r="F5938" s="355"/>
      <c r="G5938" s="355"/>
      <c r="H5938" s="355"/>
      <c r="I5938" s="355"/>
      <c r="J5938" s="355"/>
      <c r="K5938" s="355"/>
      <c r="L5938" s="355"/>
      <c r="M5938" s="355"/>
    </row>
    <row r="5939" spans="5:13">
      <c r="E5939" s="355"/>
      <c r="F5939" s="355"/>
      <c r="G5939" s="355"/>
      <c r="H5939" s="355"/>
      <c r="I5939" s="355"/>
      <c r="J5939" s="355"/>
      <c r="K5939" s="355"/>
      <c r="L5939" s="355"/>
      <c r="M5939" s="355"/>
    </row>
    <row r="5940" spans="5:13">
      <c r="E5940" s="355"/>
      <c r="F5940" s="355"/>
      <c r="G5940" s="355"/>
      <c r="H5940" s="355"/>
      <c r="I5940" s="355"/>
      <c r="J5940" s="355"/>
      <c r="K5940" s="355"/>
      <c r="L5940" s="355"/>
      <c r="M5940" s="355"/>
    </row>
    <row r="5941" spans="5:13">
      <c r="E5941" s="355"/>
      <c r="F5941" s="355"/>
      <c r="G5941" s="355"/>
      <c r="H5941" s="355"/>
      <c r="I5941" s="355"/>
      <c r="J5941" s="355"/>
      <c r="K5941" s="355"/>
      <c r="L5941" s="355"/>
      <c r="M5941" s="355"/>
    </row>
    <row r="5942" spans="5:13">
      <c r="E5942" s="355"/>
      <c r="F5942" s="355"/>
      <c r="G5942" s="355"/>
      <c r="H5942" s="355"/>
      <c r="I5942" s="355"/>
      <c r="J5942" s="355"/>
      <c r="K5942" s="355"/>
      <c r="L5942" s="355"/>
      <c r="M5942" s="355"/>
    </row>
    <row r="5943" spans="5:13">
      <c r="E5943" s="355"/>
      <c r="F5943" s="355"/>
      <c r="G5943" s="355"/>
      <c r="H5943" s="355"/>
      <c r="I5943" s="355"/>
      <c r="J5943" s="355"/>
      <c r="K5943" s="355"/>
      <c r="L5943" s="355"/>
      <c r="M5943" s="355"/>
    </row>
    <row r="5944" spans="5:13">
      <c r="E5944" s="355"/>
      <c r="F5944" s="355"/>
      <c r="G5944" s="355"/>
      <c r="H5944" s="355"/>
      <c r="I5944" s="355"/>
      <c r="J5944" s="355"/>
      <c r="K5944" s="355"/>
      <c r="L5944" s="355"/>
      <c r="M5944" s="355"/>
    </row>
    <row r="5945" spans="5:13">
      <c r="E5945" s="355"/>
      <c r="F5945" s="355"/>
      <c r="G5945" s="355"/>
      <c r="H5945" s="355"/>
      <c r="I5945" s="355"/>
      <c r="J5945" s="355"/>
      <c r="K5945" s="355"/>
      <c r="L5945" s="355"/>
      <c r="M5945" s="355"/>
    </row>
    <row r="5946" spans="5:13">
      <c r="E5946" s="355"/>
      <c r="F5946" s="355"/>
      <c r="G5946" s="355"/>
      <c r="H5946" s="355"/>
      <c r="I5946" s="355"/>
      <c r="J5946" s="355"/>
      <c r="K5946" s="355"/>
      <c r="L5946" s="355"/>
      <c r="M5946" s="355"/>
    </row>
    <row r="5947" spans="5:13">
      <c r="E5947" s="355"/>
      <c r="F5947" s="355"/>
      <c r="G5947" s="355"/>
      <c r="H5947" s="355"/>
      <c r="I5947" s="355"/>
      <c r="J5947" s="355"/>
      <c r="K5947" s="355"/>
      <c r="L5947" s="355"/>
      <c r="M5947" s="355"/>
    </row>
    <row r="5948" spans="5:13">
      <c r="E5948" s="355"/>
      <c r="F5948" s="355"/>
      <c r="G5948" s="355"/>
      <c r="H5948" s="355"/>
      <c r="I5948" s="355"/>
      <c r="J5948" s="355"/>
      <c r="K5948" s="355"/>
      <c r="L5948" s="355"/>
      <c r="M5948" s="355"/>
    </row>
    <row r="5949" spans="5:13">
      <c r="E5949" s="355"/>
      <c r="F5949" s="355"/>
      <c r="G5949" s="355"/>
      <c r="H5949" s="355"/>
      <c r="I5949" s="355"/>
      <c r="J5949" s="355"/>
      <c r="K5949" s="355"/>
      <c r="L5949" s="355"/>
      <c r="M5949" s="355"/>
    </row>
    <row r="5950" spans="5:13">
      <c r="E5950" s="355"/>
      <c r="F5950" s="355"/>
      <c r="G5950" s="355"/>
      <c r="H5950" s="355"/>
      <c r="I5950" s="355"/>
      <c r="J5950" s="355"/>
      <c r="K5950" s="355"/>
      <c r="L5950" s="355"/>
      <c r="M5950" s="355"/>
    </row>
    <row r="5951" spans="5:13">
      <c r="E5951" s="355"/>
      <c r="F5951" s="355"/>
      <c r="G5951" s="355"/>
      <c r="H5951" s="355"/>
      <c r="I5951" s="355"/>
      <c r="J5951" s="355"/>
      <c r="K5951" s="355"/>
      <c r="L5951" s="355"/>
      <c r="M5951" s="355"/>
    </row>
    <row r="5952" spans="5:13">
      <c r="E5952" s="355"/>
      <c r="F5952" s="355"/>
      <c r="G5952" s="355"/>
      <c r="H5952" s="355"/>
      <c r="I5952" s="355"/>
      <c r="J5952" s="355"/>
      <c r="K5952" s="355"/>
      <c r="L5952" s="355"/>
      <c r="M5952" s="355"/>
    </row>
    <row r="5953" spans="5:13">
      <c r="E5953" s="355"/>
      <c r="F5953" s="355"/>
      <c r="G5953" s="355"/>
      <c r="H5953" s="355"/>
      <c r="I5953" s="355"/>
      <c r="J5953" s="355"/>
      <c r="K5953" s="355"/>
      <c r="L5953" s="355"/>
      <c r="M5953" s="355"/>
    </row>
    <row r="5954" spans="5:13">
      <c r="E5954" s="355"/>
      <c r="F5954" s="355"/>
      <c r="G5954" s="355"/>
      <c r="H5954" s="355"/>
      <c r="I5954" s="355"/>
      <c r="J5954" s="355"/>
      <c r="K5954" s="355"/>
      <c r="L5954" s="355"/>
      <c r="M5954" s="355"/>
    </row>
    <row r="5955" spans="5:13">
      <c r="E5955" s="355"/>
      <c r="F5955" s="355"/>
      <c r="G5955" s="355"/>
      <c r="H5955" s="355"/>
      <c r="I5955" s="355"/>
      <c r="J5955" s="355"/>
      <c r="K5955" s="355"/>
      <c r="L5955" s="355"/>
      <c r="M5955" s="355"/>
    </row>
    <row r="5956" spans="5:13">
      <c r="E5956" s="355"/>
      <c r="F5956" s="355"/>
      <c r="G5956" s="355"/>
      <c r="H5956" s="355"/>
      <c r="I5956" s="355"/>
      <c r="J5956" s="355"/>
      <c r="K5956" s="355"/>
      <c r="L5956" s="355"/>
      <c r="M5956" s="355"/>
    </row>
    <row r="5957" spans="5:13">
      <c r="E5957" s="355"/>
      <c r="F5957" s="355"/>
      <c r="G5957" s="355"/>
      <c r="H5957" s="355"/>
      <c r="I5957" s="355"/>
      <c r="J5957" s="355"/>
      <c r="K5957" s="355"/>
      <c r="L5957" s="355"/>
      <c r="M5957" s="355"/>
    </row>
    <row r="5958" spans="5:13">
      <c r="E5958" s="355"/>
      <c r="F5958" s="355"/>
      <c r="G5958" s="355"/>
      <c r="H5958" s="355"/>
      <c r="I5958" s="355"/>
      <c r="J5958" s="355"/>
      <c r="K5958" s="355"/>
      <c r="L5958" s="355"/>
      <c r="M5958" s="355"/>
    </row>
    <row r="5959" spans="5:13">
      <c r="E5959" s="355"/>
      <c r="F5959" s="355"/>
      <c r="G5959" s="355"/>
      <c r="H5959" s="355"/>
      <c r="I5959" s="355"/>
      <c r="J5959" s="355"/>
      <c r="K5959" s="355"/>
      <c r="L5959" s="355"/>
      <c r="M5959" s="355"/>
    </row>
    <row r="5960" spans="5:13">
      <c r="E5960" s="355"/>
      <c r="F5960" s="355"/>
      <c r="G5960" s="355"/>
      <c r="H5960" s="355"/>
      <c r="I5960" s="355"/>
      <c r="J5960" s="355"/>
      <c r="K5960" s="355"/>
      <c r="L5960" s="355"/>
      <c r="M5960" s="355"/>
    </row>
    <row r="5961" spans="5:13">
      <c r="E5961" s="355"/>
      <c r="F5961" s="355"/>
      <c r="G5961" s="355"/>
      <c r="H5961" s="355"/>
      <c r="I5961" s="355"/>
      <c r="J5961" s="355"/>
      <c r="K5961" s="355"/>
      <c r="L5961" s="355"/>
      <c r="M5961" s="355"/>
    </row>
    <row r="5962" spans="5:13">
      <c r="E5962" s="355"/>
      <c r="F5962" s="355"/>
      <c r="G5962" s="355"/>
      <c r="H5962" s="355"/>
      <c r="I5962" s="355"/>
      <c r="J5962" s="355"/>
      <c r="K5962" s="355"/>
      <c r="L5962" s="355"/>
      <c r="M5962" s="355"/>
    </row>
    <row r="5963" spans="5:13">
      <c r="E5963" s="355"/>
      <c r="F5963" s="355"/>
      <c r="G5963" s="355"/>
      <c r="H5963" s="355"/>
      <c r="I5963" s="355"/>
      <c r="J5963" s="355"/>
      <c r="K5963" s="355"/>
      <c r="L5963" s="355"/>
      <c r="M5963" s="355"/>
    </row>
    <row r="5964" spans="5:13">
      <c r="E5964" s="355"/>
      <c r="F5964" s="355"/>
      <c r="G5964" s="355"/>
      <c r="H5964" s="355"/>
      <c r="I5964" s="355"/>
      <c r="J5964" s="355"/>
      <c r="K5964" s="355"/>
      <c r="L5964" s="355"/>
      <c r="M5964" s="355"/>
    </row>
    <row r="5965" spans="5:13">
      <c r="E5965" s="355"/>
      <c r="F5965" s="355"/>
      <c r="G5965" s="355"/>
      <c r="H5965" s="355"/>
      <c r="I5965" s="355"/>
      <c r="J5965" s="355"/>
      <c r="K5965" s="355"/>
      <c r="L5965" s="355"/>
      <c r="M5965" s="355"/>
    </row>
    <row r="5966" spans="5:13">
      <c r="E5966" s="355"/>
      <c r="F5966" s="355"/>
      <c r="G5966" s="355"/>
      <c r="H5966" s="355"/>
      <c r="I5966" s="355"/>
      <c r="J5966" s="355"/>
      <c r="K5966" s="355"/>
      <c r="L5966" s="355"/>
      <c r="M5966" s="355"/>
    </row>
    <row r="5967" spans="5:13">
      <c r="E5967" s="355"/>
      <c r="F5967" s="355"/>
      <c r="G5967" s="355"/>
      <c r="H5967" s="355"/>
      <c r="I5967" s="355"/>
      <c r="J5967" s="355"/>
      <c r="K5967" s="355"/>
      <c r="L5967" s="355"/>
      <c r="M5967" s="355"/>
    </row>
    <row r="5968" spans="5:13">
      <c r="E5968" s="355"/>
      <c r="F5968" s="355"/>
      <c r="G5968" s="355"/>
      <c r="H5968" s="355"/>
      <c r="I5968" s="355"/>
      <c r="J5968" s="355"/>
      <c r="K5968" s="355"/>
      <c r="L5968" s="355"/>
      <c r="M5968" s="355"/>
    </row>
    <row r="5969" spans="5:13">
      <c r="E5969" s="355"/>
      <c r="F5969" s="355"/>
      <c r="G5969" s="355"/>
      <c r="H5969" s="355"/>
      <c r="I5969" s="355"/>
      <c r="J5969" s="355"/>
      <c r="K5969" s="355"/>
      <c r="L5969" s="355"/>
      <c r="M5969" s="355"/>
    </row>
    <row r="5970" spans="5:13">
      <c r="E5970" s="355"/>
      <c r="F5970" s="355"/>
      <c r="G5970" s="355"/>
      <c r="H5970" s="355"/>
      <c r="I5970" s="355"/>
      <c r="J5970" s="355"/>
      <c r="K5970" s="355"/>
      <c r="L5970" s="355"/>
      <c r="M5970" s="355"/>
    </row>
    <row r="5971" spans="5:13">
      <c r="E5971" s="355"/>
      <c r="F5971" s="355"/>
      <c r="G5971" s="355"/>
      <c r="H5971" s="355"/>
      <c r="I5971" s="355"/>
      <c r="J5971" s="355"/>
      <c r="K5971" s="355"/>
      <c r="L5971" s="355"/>
      <c r="M5971" s="355"/>
    </row>
    <row r="5972" spans="5:13">
      <c r="E5972" s="355"/>
      <c r="F5972" s="355"/>
      <c r="G5972" s="355"/>
      <c r="H5972" s="355"/>
      <c r="I5972" s="355"/>
      <c r="J5972" s="355"/>
      <c r="K5972" s="355"/>
      <c r="L5972" s="355"/>
      <c r="M5972" s="355"/>
    </row>
    <row r="5973" spans="5:13">
      <c r="E5973" s="355"/>
      <c r="F5973" s="355"/>
      <c r="G5973" s="355"/>
      <c r="H5973" s="355"/>
      <c r="I5973" s="355"/>
      <c r="J5973" s="355"/>
      <c r="K5973" s="355"/>
      <c r="L5973" s="355"/>
      <c r="M5973" s="355"/>
    </row>
    <row r="5974" spans="5:13">
      <c r="E5974" s="355"/>
      <c r="F5974" s="355"/>
      <c r="G5974" s="355"/>
      <c r="H5974" s="355"/>
      <c r="I5974" s="355"/>
      <c r="J5974" s="355"/>
      <c r="K5974" s="355"/>
      <c r="L5974" s="355"/>
      <c r="M5974" s="355"/>
    </row>
    <row r="5975" spans="5:13">
      <c r="E5975" s="355"/>
      <c r="F5975" s="355"/>
      <c r="G5975" s="355"/>
      <c r="H5975" s="355"/>
      <c r="I5975" s="355"/>
      <c r="J5975" s="355"/>
      <c r="K5975" s="355"/>
      <c r="L5975" s="355"/>
      <c r="M5975" s="355"/>
    </row>
    <row r="5976" spans="5:13">
      <c r="E5976" s="355"/>
      <c r="F5976" s="355"/>
      <c r="G5976" s="355"/>
      <c r="H5976" s="355"/>
      <c r="I5976" s="355"/>
      <c r="J5976" s="355"/>
      <c r="K5976" s="355"/>
      <c r="L5976" s="355"/>
      <c r="M5976" s="355"/>
    </row>
    <row r="5977" spans="5:13">
      <c r="E5977" s="355"/>
      <c r="F5977" s="355"/>
      <c r="G5977" s="355"/>
      <c r="H5977" s="355"/>
      <c r="I5977" s="355"/>
      <c r="J5977" s="355"/>
      <c r="K5977" s="355"/>
      <c r="L5977" s="355"/>
      <c r="M5977" s="355"/>
    </row>
    <row r="5978" spans="5:13">
      <c r="E5978" s="355"/>
      <c r="F5978" s="355"/>
      <c r="G5978" s="355"/>
      <c r="H5978" s="355"/>
      <c r="I5978" s="355"/>
      <c r="J5978" s="355"/>
      <c r="K5978" s="355"/>
      <c r="L5978" s="355"/>
      <c r="M5978" s="355"/>
    </row>
    <row r="5979" spans="5:13">
      <c r="E5979" s="355"/>
      <c r="F5979" s="355"/>
      <c r="G5979" s="355"/>
      <c r="H5979" s="355"/>
      <c r="I5979" s="355"/>
      <c r="J5979" s="355"/>
      <c r="K5979" s="355"/>
      <c r="L5979" s="355"/>
      <c r="M5979" s="355"/>
    </row>
    <row r="5980" spans="5:13">
      <c r="E5980" s="355"/>
      <c r="F5980" s="355"/>
      <c r="G5980" s="355"/>
      <c r="H5980" s="355"/>
      <c r="I5980" s="355"/>
      <c r="J5980" s="355"/>
      <c r="K5980" s="355"/>
      <c r="L5980" s="355"/>
      <c r="M5980" s="355"/>
    </row>
    <row r="5981" spans="5:13">
      <c r="E5981" s="355"/>
      <c r="F5981" s="355"/>
      <c r="G5981" s="355"/>
      <c r="H5981" s="355"/>
      <c r="I5981" s="355"/>
      <c r="J5981" s="355"/>
      <c r="K5981" s="355"/>
      <c r="L5981" s="355"/>
      <c r="M5981" s="355"/>
    </row>
    <row r="5982" spans="5:13">
      <c r="E5982" s="355"/>
      <c r="F5982" s="355"/>
      <c r="G5982" s="355"/>
      <c r="H5982" s="355"/>
      <c r="I5982" s="355"/>
      <c r="J5982" s="355"/>
      <c r="K5982" s="355"/>
      <c r="L5982" s="355"/>
      <c r="M5982" s="355"/>
    </row>
    <row r="5983" spans="5:13">
      <c r="E5983" s="355"/>
      <c r="F5983" s="355"/>
      <c r="G5983" s="355"/>
      <c r="H5983" s="355"/>
      <c r="I5983" s="355"/>
      <c r="J5983" s="355"/>
      <c r="K5983" s="355"/>
      <c r="L5983" s="355"/>
      <c r="M5983" s="355"/>
    </row>
    <row r="5984" spans="5:13">
      <c r="E5984" s="355"/>
      <c r="F5984" s="355"/>
      <c r="G5984" s="355"/>
      <c r="H5984" s="355"/>
      <c r="I5984" s="355"/>
      <c r="J5984" s="355"/>
      <c r="K5984" s="355"/>
      <c r="L5984" s="355"/>
      <c r="M5984" s="355"/>
    </row>
    <row r="5985" spans="5:13">
      <c r="E5985" s="355"/>
      <c r="F5985" s="355"/>
      <c r="G5985" s="355"/>
      <c r="H5985" s="355"/>
      <c r="I5985" s="355"/>
      <c r="J5985" s="355"/>
      <c r="K5985" s="355"/>
      <c r="L5985" s="355"/>
      <c r="M5985" s="355"/>
    </row>
    <row r="5986" spans="5:13">
      <c r="E5986" s="355"/>
      <c r="F5986" s="355"/>
      <c r="G5986" s="355"/>
      <c r="H5986" s="355"/>
      <c r="I5986" s="355"/>
      <c r="J5986" s="355"/>
      <c r="K5986" s="355"/>
      <c r="L5986" s="355"/>
      <c r="M5986" s="355"/>
    </row>
    <row r="5987" spans="5:13">
      <c r="E5987" s="355"/>
      <c r="F5987" s="355"/>
      <c r="G5987" s="355"/>
      <c r="H5987" s="355"/>
      <c r="I5987" s="355"/>
      <c r="J5987" s="355"/>
      <c r="K5987" s="355"/>
      <c r="L5987" s="355"/>
      <c r="M5987" s="355"/>
    </row>
    <row r="5988" spans="5:13">
      <c r="E5988" s="355"/>
      <c r="F5988" s="355"/>
      <c r="G5988" s="355"/>
      <c r="H5988" s="355"/>
      <c r="I5988" s="355"/>
      <c r="J5988" s="355"/>
      <c r="K5988" s="355"/>
      <c r="L5988" s="355"/>
      <c r="M5988" s="355"/>
    </row>
    <row r="5989" spans="5:13">
      <c r="E5989" s="355"/>
      <c r="F5989" s="355"/>
      <c r="G5989" s="355"/>
      <c r="H5989" s="355"/>
      <c r="I5989" s="355"/>
      <c r="J5989" s="355"/>
      <c r="K5989" s="355"/>
      <c r="L5989" s="355"/>
      <c r="M5989" s="355"/>
    </row>
    <row r="5990" spans="5:13">
      <c r="E5990" s="355"/>
      <c r="F5990" s="355"/>
      <c r="G5990" s="355"/>
      <c r="H5990" s="355"/>
      <c r="I5990" s="355"/>
      <c r="J5990" s="355"/>
      <c r="K5990" s="355"/>
      <c r="L5990" s="355"/>
      <c r="M5990" s="355"/>
    </row>
    <row r="5991" spans="5:13">
      <c r="E5991" s="355"/>
      <c r="F5991" s="355"/>
      <c r="G5991" s="355"/>
      <c r="H5991" s="355"/>
      <c r="I5991" s="355"/>
      <c r="J5991" s="355"/>
      <c r="K5991" s="355"/>
      <c r="L5991" s="355"/>
      <c r="M5991" s="355"/>
    </row>
    <row r="5992" spans="5:13">
      <c r="E5992" s="355"/>
      <c r="F5992" s="355"/>
      <c r="G5992" s="355"/>
      <c r="H5992" s="355"/>
      <c r="I5992" s="355"/>
      <c r="J5992" s="355"/>
      <c r="K5992" s="355"/>
      <c r="L5992" s="355"/>
      <c r="M5992" s="355"/>
    </row>
    <row r="5993" spans="5:13">
      <c r="E5993" s="355"/>
      <c r="F5993" s="355"/>
      <c r="G5993" s="355"/>
      <c r="H5993" s="355"/>
      <c r="I5993" s="355"/>
      <c r="J5993" s="355"/>
      <c r="K5993" s="355"/>
      <c r="L5993" s="355"/>
      <c r="M5993" s="355"/>
    </row>
    <row r="5994" spans="5:13">
      <c r="E5994" s="355"/>
      <c r="F5994" s="355"/>
      <c r="G5994" s="355"/>
      <c r="H5994" s="355"/>
      <c r="I5994" s="355"/>
      <c r="J5994" s="355"/>
      <c r="K5994" s="355"/>
      <c r="L5994" s="355"/>
      <c r="M5994" s="355"/>
    </row>
    <row r="5995" spans="5:13">
      <c r="E5995" s="355"/>
      <c r="F5995" s="355"/>
      <c r="G5995" s="355"/>
      <c r="H5995" s="355"/>
      <c r="I5995" s="355"/>
      <c r="J5995" s="355"/>
      <c r="K5995" s="355"/>
      <c r="L5995" s="355"/>
      <c r="M5995" s="355"/>
    </row>
    <row r="5996" spans="5:13">
      <c r="E5996" s="355"/>
      <c r="F5996" s="355"/>
      <c r="G5996" s="355"/>
      <c r="H5996" s="355"/>
      <c r="I5996" s="355"/>
      <c r="J5996" s="355"/>
      <c r="K5996" s="355"/>
      <c r="L5996" s="355"/>
      <c r="M5996" s="355"/>
    </row>
    <row r="5997" spans="5:13">
      <c r="E5997" s="355"/>
      <c r="F5997" s="355"/>
      <c r="G5997" s="355"/>
      <c r="H5997" s="355"/>
      <c r="I5997" s="355"/>
      <c r="J5997" s="355"/>
      <c r="K5997" s="355"/>
      <c r="L5997" s="355"/>
      <c r="M5997" s="355"/>
    </row>
    <row r="5998" spans="5:13">
      <c r="E5998" s="355"/>
      <c r="F5998" s="355"/>
      <c r="G5998" s="355"/>
      <c r="H5998" s="355"/>
      <c r="I5998" s="355"/>
      <c r="J5998" s="355"/>
      <c r="K5998" s="355"/>
      <c r="L5998" s="355"/>
      <c r="M5998" s="355"/>
    </row>
    <row r="5999" spans="5:13">
      <c r="E5999" s="355"/>
      <c r="F5999" s="355"/>
      <c r="G5999" s="355"/>
      <c r="H5999" s="355"/>
      <c r="I5999" s="355"/>
      <c r="J5999" s="355"/>
      <c r="K5999" s="355"/>
      <c r="L5999" s="355"/>
      <c r="M5999" s="355"/>
    </row>
    <row r="6000" spans="5:13">
      <c r="E6000" s="355"/>
      <c r="F6000" s="355"/>
      <c r="G6000" s="355"/>
      <c r="H6000" s="355"/>
      <c r="I6000" s="355"/>
      <c r="J6000" s="355"/>
      <c r="K6000" s="355"/>
      <c r="L6000" s="355"/>
      <c r="M6000" s="355"/>
    </row>
    <row r="6001" spans="5:13">
      <c r="E6001" s="355"/>
      <c r="F6001" s="355"/>
      <c r="G6001" s="355"/>
      <c r="H6001" s="355"/>
      <c r="I6001" s="355"/>
      <c r="J6001" s="355"/>
      <c r="K6001" s="355"/>
      <c r="L6001" s="355"/>
      <c r="M6001" s="355"/>
    </row>
    <row r="6002" spans="5:13">
      <c r="E6002" s="355"/>
      <c r="F6002" s="355"/>
      <c r="G6002" s="355"/>
      <c r="H6002" s="355"/>
      <c r="I6002" s="355"/>
      <c r="J6002" s="355"/>
      <c r="K6002" s="355"/>
      <c r="L6002" s="355"/>
      <c r="M6002" s="355"/>
    </row>
    <row r="6003" spans="5:13">
      <c r="E6003" s="355"/>
      <c r="F6003" s="355"/>
      <c r="G6003" s="355"/>
      <c r="H6003" s="355"/>
      <c r="I6003" s="355"/>
      <c r="J6003" s="355"/>
      <c r="K6003" s="355"/>
      <c r="L6003" s="355"/>
      <c r="M6003" s="355"/>
    </row>
    <row r="6004" spans="5:13">
      <c r="E6004" s="355"/>
      <c r="F6004" s="355"/>
      <c r="G6004" s="355"/>
      <c r="H6004" s="355"/>
      <c r="I6004" s="355"/>
      <c r="J6004" s="355"/>
      <c r="K6004" s="355"/>
      <c r="L6004" s="355"/>
      <c r="M6004" s="355"/>
    </row>
    <row r="6005" spans="5:13">
      <c r="E6005" s="355"/>
      <c r="F6005" s="355"/>
      <c r="G6005" s="355"/>
      <c r="H6005" s="355"/>
      <c r="I6005" s="355"/>
      <c r="J6005" s="355"/>
      <c r="K6005" s="355"/>
      <c r="L6005" s="355"/>
      <c r="M6005" s="355"/>
    </row>
    <row r="6006" spans="5:13">
      <c r="E6006" s="355"/>
      <c r="F6006" s="355"/>
      <c r="G6006" s="355"/>
      <c r="H6006" s="355"/>
      <c r="I6006" s="355"/>
      <c r="J6006" s="355"/>
      <c r="K6006" s="355"/>
      <c r="L6006" s="355"/>
      <c r="M6006" s="355"/>
    </row>
    <row r="6007" spans="5:13">
      <c r="E6007" s="355"/>
      <c r="F6007" s="355"/>
      <c r="G6007" s="355"/>
      <c r="H6007" s="355"/>
      <c r="I6007" s="355"/>
      <c r="J6007" s="355"/>
      <c r="K6007" s="355"/>
      <c r="L6007" s="355"/>
      <c r="M6007" s="355"/>
    </row>
    <row r="6008" spans="5:13">
      <c r="E6008" s="355"/>
      <c r="F6008" s="355"/>
      <c r="G6008" s="355"/>
      <c r="H6008" s="355"/>
      <c r="I6008" s="355"/>
      <c r="J6008" s="355"/>
      <c r="K6008" s="355"/>
      <c r="L6008" s="355"/>
      <c r="M6008" s="355"/>
    </row>
    <row r="6009" spans="5:13">
      <c r="E6009" s="355"/>
      <c r="F6009" s="355"/>
      <c r="G6009" s="355"/>
      <c r="H6009" s="355"/>
      <c r="I6009" s="355"/>
      <c r="J6009" s="355"/>
      <c r="K6009" s="355"/>
      <c r="L6009" s="355"/>
      <c r="M6009" s="355"/>
    </row>
    <row r="6010" spans="5:13">
      <c r="E6010" s="355"/>
      <c r="F6010" s="355"/>
      <c r="G6010" s="355"/>
      <c r="H6010" s="355"/>
      <c r="I6010" s="355"/>
      <c r="J6010" s="355"/>
      <c r="K6010" s="355"/>
      <c r="L6010" s="355"/>
      <c r="M6010" s="355"/>
    </row>
    <row r="6011" spans="5:13">
      <c r="E6011" s="355"/>
      <c r="F6011" s="355"/>
      <c r="G6011" s="355"/>
      <c r="H6011" s="355"/>
      <c r="I6011" s="355"/>
      <c r="J6011" s="355"/>
      <c r="K6011" s="355"/>
      <c r="L6011" s="355"/>
      <c r="M6011" s="355"/>
    </row>
    <row r="6012" spans="5:13">
      <c r="E6012" s="355"/>
      <c r="F6012" s="355"/>
      <c r="G6012" s="355"/>
      <c r="H6012" s="355"/>
      <c r="I6012" s="355"/>
      <c r="J6012" s="355"/>
      <c r="K6012" s="355"/>
      <c r="L6012" s="355"/>
      <c r="M6012" s="355"/>
    </row>
    <row r="6013" spans="5:13">
      <c r="E6013" s="355"/>
      <c r="F6013" s="355"/>
      <c r="G6013" s="355"/>
      <c r="H6013" s="355"/>
      <c r="I6013" s="355"/>
      <c r="J6013" s="355"/>
      <c r="K6013" s="355"/>
      <c r="L6013" s="355"/>
      <c r="M6013" s="355"/>
    </row>
    <row r="6014" spans="5:13">
      <c r="E6014" s="355"/>
      <c r="F6014" s="355"/>
      <c r="G6014" s="355"/>
      <c r="H6014" s="355"/>
      <c r="I6014" s="355"/>
      <c r="J6014" s="355"/>
      <c r="K6014" s="355"/>
      <c r="L6014" s="355"/>
      <c r="M6014" s="355"/>
    </row>
    <row r="6015" spans="5:13">
      <c r="E6015" s="355"/>
      <c r="F6015" s="355"/>
      <c r="G6015" s="355"/>
      <c r="H6015" s="355"/>
      <c r="I6015" s="355"/>
      <c r="J6015" s="355"/>
      <c r="K6015" s="355"/>
      <c r="L6015" s="355"/>
      <c r="M6015" s="355"/>
    </row>
    <row r="6016" spans="5:13">
      <c r="E6016" s="355"/>
      <c r="F6016" s="355"/>
      <c r="G6016" s="355"/>
      <c r="H6016" s="355"/>
      <c r="I6016" s="355"/>
      <c r="J6016" s="355"/>
      <c r="K6016" s="355"/>
      <c r="L6016" s="355"/>
      <c r="M6016" s="355"/>
    </row>
    <row r="6017" spans="5:13">
      <c r="E6017" s="355"/>
      <c r="F6017" s="355"/>
      <c r="G6017" s="355"/>
      <c r="H6017" s="355"/>
      <c r="I6017" s="355"/>
      <c r="J6017" s="355"/>
      <c r="K6017" s="355"/>
      <c r="L6017" s="355"/>
      <c r="M6017" s="355"/>
    </row>
    <row r="6018" spans="5:13">
      <c r="E6018" s="355"/>
      <c r="F6018" s="355"/>
      <c r="G6018" s="355"/>
      <c r="H6018" s="355"/>
      <c r="I6018" s="355"/>
      <c r="J6018" s="355"/>
      <c r="K6018" s="355"/>
      <c r="L6018" s="355"/>
      <c r="M6018" s="355"/>
    </row>
    <row r="6019" spans="5:13">
      <c r="E6019" s="355"/>
      <c r="F6019" s="355"/>
      <c r="G6019" s="355"/>
      <c r="H6019" s="355"/>
      <c r="I6019" s="355"/>
      <c r="J6019" s="355"/>
      <c r="K6019" s="355"/>
      <c r="L6019" s="355"/>
      <c r="M6019" s="355"/>
    </row>
    <row r="6020" spans="5:13">
      <c r="E6020" s="355"/>
      <c r="F6020" s="355"/>
      <c r="G6020" s="355"/>
      <c r="H6020" s="355"/>
      <c r="I6020" s="355"/>
      <c r="J6020" s="355"/>
      <c r="K6020" s="355"/>
      <c r="L6020" s="355"/>
      <c r="M6020" s="355"/>
    </row>
    <row r="6021" spans="5:13">
      <c r="E6021" s="355"/>
      <c r="F6021" s="355"/>
      <c r="G6021" s="355"/>
      <c r="H6021" s="355"/>
      <c r="I6021" s="355"/>
      <c r="J6021" s="355"/>
      <c r="K6021" s="355"/>
      <c r="L6021" s="355"/>
      <c r="M6021" s="355"/>
    </row>
    <row r="6022" spans="5:13">
      <c r="E6022" s="355"/>
      <c r="F6022" s="355"/>
      <c r="G6022" s="355"/>
      <c r="H6022" s="355"/>
      <c r="I6022" s="355"/>
      <c r="J6022" s="355"/>
      <c r="K6022" s="355"/>
      <c r="L6022" s="355"/>
      <c r="M6022" s="355"/>
    </row>
    <row r="6023" spans="5:13">
      <c r="E6023" s="355"/>
      <c r="F6023" s="355"/>
      <c r="G6023" s="355"/>
      <c r="H6023" s="355"/>
      <c r="I6023" s="355"/>
      <c r="J6023" s="355"/>
      <c r="K6023" s="355"/>
      <c r="L6023" s="355"/>
      <c r="M6023" s="355"/>
    </row>
    <row r="6024" spans="5:13">
      <c r="E6024" s="355"/>
      <c r="F6024" s="355"/>
      <c r="G6024" s="355"/>
      <c r="H6024" s="355"/>
      <c r="I6024" s="355"/>
      <c r="J6024" s="355"/>
      <c r="K6024" s="355"/>
      <c r="L6024" s="355"/>
      <c r="M6024" s="355"/>
    </row>
    <row r="6025" spans="5:13">
      <c r="E6025" s="355"/>
      <c r="F6025" s="355"/>
      <c r="G6025" s="355"/>
      <c r="H6025" s="355"/>
      <c r="I6025" s="355"/>
      <c r="J6025" s="355"/>
      <c r="K6025" s="355"/>
      <c r="L6025" s="355"/>
      <c r="M6025" s="355"/>
    </row>
    <row r="6026" spans="5:13">
      <c r="E6026" s="355"/>
      <c r="F6026" s="355"/>
      <c r="G6026" s="355"/>
      <c r="H6026" s="355"/>
      <c r="I6026" s="355"/>
      <c r="J6026" s="355"/>
      <c r="K6026" s="355"/>
      <c r="L6026" s="355"/>
      <c r="M6026" s="355"/>
    </row>
    <row r="6027" spans="5:13">
      <c r="E6027" s="355"/>
      <c r="F6027" s="355"/>
      <c r="G6027" s="355"/>
      <c r="H6027" s="355"/>
      <c r="I6027" s="355"/>
      <c r="J6027" s="355"/>
      <c r="K6027" s="355"/>
      <c r="L6027" s="355"/>
      <c r="M6027" s="355"/>
    </row>
    <row r="6028" spans="5:13">
      <c r="E6028" s="355"/>
      <c r="F6028" s="355"/>
      <c r="G6028" s="355"/>
      <c r="H6028" s="355"/>
      <c r="I6028" s="355"/>
      <c r="J6028" s="355"/>
      <c r="K6028" s="355"/>
      <c r="L6028" s="355"/>
      <c r="M6028" s="355"/>
    </row>
    <row r="6029" spans="5:13">
      <c r="E6029" s="355"/>
      <c r="F6029" s="355"/>
      <c r="G6029" s="355"/>
      <c r="H6029" s="355"/>
      <c r="I6029" s="355"/>
      <c r="J6029" s="355"/>
      <c r="K6029" s="355"/>
      <c r="L6029" s="355"/>
      <c r="M6029" s="355"/>
    </row>
    <row r="6030" spans="5:13">
      <c r="E6030" s="355"/>
      <c r="F6030" s="355"/>
      <c r="G6030" s="355"/>
      <c r="H6030" s="355"/>
      <c r="I6030" s="355"/>
      <c r="J6030" s="355"/>
      <c r="K6030" s="355"/>
      <c r="L6030" s="355"/>
      <c r="M6030" s="355"/>
    </row>
    <row r="6031" spans="5:13">
      <c r="E6031" s="355"/>
      <c r="F6031" s="355"/>
      <c r="G6031" s="355"/>
      <c r="H6031" s="355"/>
      <c r="I6031" s="355"/>
      <c r="J6031" s="355"/>
      <c r="K6031" s="355"/>
      <c r="L6031" s="355"/>
      <c r="M6031" s="355"/>
    </row>
    <row r="6032" spans="5:13">
      <c r="E6032" s="355"/>
      <c r="F6032" s="355"/>
      <c r="G6032" s="355"/>
      <c r="H6032" s="355"/>
      <c r="I6032" s="355"/>
      <c r="J6032" s="355"/>
      <c r="K6032" s="355"/>
      <c r="L6032" s="355"/>
      <c r="M6032" s="355"/>
    </row>
    <row r="6033" spans="5:13">
      <c r="E6033" s="355"/>
      <c r="F6033" s="355"/>
      <c r="G6033" s="355"/>
      <c r="H6033" s="355"/>
      <c r="I6033" s="355"/>
      <c r="J6033" s="355"/>
      <c r="K6033" s="355"/>
      <c r="L6033" s="355"/>
      <c r="M6033" s="355"/>
    </row>
    <row r="6034" spans="5:13">
      <c r="E6034" s="355"/>
      <c r="F6034" s="355"/>
      <c r="G6034" s="355"/>
      <c r="H6034" s="355"/>
      <c r="I6034" s="355"/>
      <c r="J6034" s="355"/>
      <c r="K6034" s="355"/>
      <c r="L6034" s="355"/>
      <c r="M6034" s="355"/>
    </row>
    <row r="6035" spans="5:13">
      <c r="E6035" s="355"/>
      <c r="F6035" s="355"/>
      <c r="G6035" s="355"/>
      <c r="H6035" s="355"/>
      <c r="I6035" s="355"/>
      <c r="J6035" s="355"/>
      <c r="K6035" s="355"/>
      <c r="L6035" s="355"/>
      <c r="M6035" s="355"/>
    </row>
    <row r="6036" spans="5:13">
      <c r="E6036" s="355"/>
      <c r="F6036" s="355"/>
      <c r="G6036" s="355"/>
      <c r="H6036" s="355"/>
      <c r="I6036" s="355"/>
      <c r="J6036" s="355"/>
      <c r="K6036" s="355"/>
      <c r="L6036" s="355"/>
      <c r="M6036" s="355"/>
    </row>
    <row r="6037" spans="5:13">
      <c r="E6037" s="355"/>
      <c r="F6037" s="355"/>
      <c r="G6037" s="355"/>
      <c r="H6037" s="355"/>
      <c r="I6037" s="355"/>
      <c r="J6037" s="355"/>
      <c r="K6037" s="355"/>
      <c r="L6037" s="355"/>
      <c r="M6037" s="355"/>
    </row>
    <row r="6038" spans="5:13">
      <c r="E6038" s="355"/>
      <c r="F6038" s="355"/>
      <c r="G6038" s="355"/>
      <c r="H6038" s="355"/>
      <c r="I6038" s="355"/>
      <c r="J6038" s="355"/>
      <c r="K6038" s="355"/>
      <c r="L6038" s="355"/>
      <c r="M6038" s="355"/>
    </row>
    <row r="6039" spans="5:13">
      <c r="E6039" s="355"/>
      <c r="F6039" s="355"/>
      <c r="G6039" s="355"/>
      <c r="H6039" s="355"/>
      <c r="I6039" s="355"/>
      <c r="J6039" s="355"/>
      <c r="K6039" s="355"/>
      <c r="L6039" s="355"/>
      <c r="M6039" s="355"/>
    </row>
    <row r="6040" spans="5:13">
      <c r="E6040" s="355"/>
      <c r="F6040" s="355"/>
      <c r="G6040" s="355"/>
      <c r="H6040" s="355"/>
      <c r="I6040" s="355"/>
      <c r="J6040" s="355"/>
      <c r="K6040" s="355"/>
      <c r="L6040" s="355"/>
      <c r="M6040" s="355"/>
    </row>
    <row r="6041" spans="5:13">
      <c r="E6041" s="355"/>
      <c r="F6041" s="355"/>
      <c r="G6041" s="355"/>
      <c r="H6041" s="355"/>
      <c r="I6041" s="355"/>
      <c r="J6041" s="355"/>
      <c r="K6041" s="355"/>
      <c r="L6041" s="355"/>
      <c r="M6041" s="355"/>
    </row>
    <row r="6042" spans="5:13">
      <c r="E6042" s="355"/>
      <c r="F6042" s="355"/>
      <c r="G6042" s="355"/>
      <c r="H6042" s="355"/>
      <c r="I6042" s="355"/>
      <c r="J6042" s="355"/>
      <c r="K6042" s="355"/>
      <c r="L6042" s="355"/>
      <c r="M6042" s="355"/>
    </row>
    <row r="6043" spans="5:13">
      <c r="E6043" s="355"/>
      <c r="F6043" s="355"/>
      <c r="G6043" s="355"/>
      <c r="H6043" s="355"/>
      <c r="I6043" s="355"/>
      <c r="J6043" s="355"/>
      <c r="K6043" s="355"/>
      <c r="L6043" s="355"/>
      <c r="M6043" s="355"/>
    </row>
    <row r="6044" spans="5:13">
      <c r="E6044" s="355"/>
      <c r="F6044" s="355"/>
      <c r="G6044" s="355"/>
      <c r="H6044" s="355"/>
      <c r="I6044" s="355"/>
      <c r="J6044" s="355"/>
      <c r="K6044" s="355"/>
      <c r="L6044" s="355"/>
      <c r="M6044" s="355"/>
    </row>
    <row r="6045" spans="5:13">
      <c r="E6045" s="355"/>
      <c r="F6045" s="355"/>
      <c r="G6045" s="355"/>
      <c r="H6045" s="355"/>
      <c r="I6045" s="355"/>
      <c r="J6045" s="355"/>
      <c r="K6045" s="355"/>
      <c r="L6045" s="355"/>
      <c r="M6045" s="355"/>
    </row>
    <row r="6046" spans="5:13">
      <c r="E6046" s="355"/>
      <c r="F6046" s="355"/>
      <c r="G6046" s="355"/>
      <c r="H6046" s="355"/>
      <c r="I6046" s="355"/>
      <c r="J6046" s="355"/>
      <c r="K6046" s="355"/>
      <c r="L6046" s="355"/>
      <c r="M6046" s="355"/>
    </row>
    <row r="6047" spans="5:13">
      <c r="E6047" s="355"/>
      <c r="F6047" s="355"/>
      <c r="G6047" s="355"/>
      <c r="H6047" s="355"/>
      <c r="I6047" s="355"/>
      <c r="J6047" s="355"/>
      <c r="K6047" s="355"/>
      <c r="L6047" s="355"/>
      <c r="M6047" s="355"/>
    </row>
    <row r="6048" spans="5:13">
      <c r="E6048" s="355"/>
      <c r="F6048" s="355"/>
      <c r="G6048" s="355"/>
      <c r="H6048" s="355"/>
      <c r="I6048" s="355"/>
      <c r="J6048" s="355"/>
      <c r="K6048" s="355"/>
      <c r="L6048" s="355"/>
      <c r="M6048" s="355"/>
    </row>
    <row r="6049" spans="5:13">
      <c r="E6049" s="355"/>
      <c r="F6049" s="355"/>
      <c r="G6049" s="355"/>
      <c r="H6049" s="355"/>
      <c r="I6049" s="355"/>
      <c r="J6049" s="355"/>
      <c r="K6049" s="355"/>
      <c r="L6049" s="355"/>
      <c r="M6049" s="355"/>
    </row>
    <row r="6050" spans="5:13">
      <c r="E6050" s="355"/>
      <c r="F6050" s="355"/>
      <c r="G6050" s="355"/>
      <c r="H6050" s="355"/>
      <c r="I6050" s="355"/>
      <c r="J6050" s="355"/>
      <c r="K6050" s="355"/>
      <c r="L6050" s="355"/>
      <c r="M6050" s="355"/>
    </row>
    <row r="6051" spans="5:13">
      <c r="E6051" s="355"/>
      <c r="F6051" s="355"/>
      <c r="G6051" s="355"/>
      <c r="H6051" s="355"/>
      <c r="I6051" s="355"/>
      <c r="J6051" s="355"/>
      <c r="K6051" s="355"/>
      <c r="L6051" s="355"/>
      <c r="M6051" s="355"/>
    </row>
    <row r="6052" spans="5:13">
      <c r="E6052" s="355"/>
      <c r="F6052" s="355"/>
      <c r="G6052" s="355"/>
      <c r="H6052" s="355"/>
      <c r="I6052" s="355"/>
      <c r="J6052" s="355"/>
      <c r="K6052" s="355"/>
      <c r="L6052" s="355"/>
      <c r="M6052" s="355"/>
    </row>
    <row r="6053" spans="5:13">
      <c r="E6053" s="355"/>
      <c r="F6053" s="355"/>
      <c r="G6053" s="355"/>
      <c r="H6053" s="355"/>
      <c r="I6053" s="355"/>
      <c r="J6053" s="355"/>
      <c r="K6053" s="355"/>
      <c r="L6053" s="355"/>
      <c r="M6053" s="355"/>
    </row>
    <row r="6054" spans="5:13">
      <c r="E6054" s="355"/>
      <c r="F6054" s="355"/>
      <c r="G6054" s="355"/>
      <c r="H6054" s="355"/>
      <c r="I6054" s="355"/>
      <c r="J6054" s="355"/>
      <c r="K6054" s="355"/>
      <c r="L6054" s="355"/>
      <c r="M6054" s="355"/>
    </row>
    <row r="6055" spans="5:13">
      <c r="E6055" s="355"/>
      <c r="F6055" s="355"/>
      <c r="G6055" s="355"/>
      <c r="H6055" s="355"/>
      <c r="I6055" s="355"/>
      <c r="J6055" s="355"/>
      <c r="K6055" s="355"/>
      <c r="L6055" s="355"/>
      <c r="M6055" s="355"/>
    </row>
    <row r="6056" spans="5:13">
      <c r="E6056" s="355"/>
      <c r="F6056" s="355"/>
      <c r="G6056" s="355"/>
      <c r="H6056" s="355"/>
      <c r="I6056" s="355"/>
      <c r="J6056" s="355"/>
      <c r="K6056" s="355"/>
      <c r="L6056" s="355"/>
      <c r="M6056" s="355"/>
    </row>
    <row r="6057" spans="5:13">
      <c r="E6057" s="355"/>
      <c r="F6057" s="355"/>
      <c r="G6057" s="355"/>
      <c r="H6057" s="355"/>
      <c r="I6057" s="355"/>
      <c r="J6057" s="355"/>
      <c r="K6057" s="355"/>
      <c r="L6057" s="355"/>
      <c r="M6057" s="355"/>
    </row>
    <row r="6058" spans="5:13">
      <c r="E6058" s="355"/>
      <c r="F6058" s="355"/>
      <c r="G6058" s="355"/>
      <c r="H6058" s="355"/>
      <c r="I6058" s="355"/>
      <c r="J6058" s="355"/>
      <c r="K6058" s="355"/>
      <c r="L6058" s="355"/>
      <c r="M6058" s="355"/>
    </row>
    <row r="6059" spans="5:13">
      <c r="E6059" s="355"/>
      <c r="F6059" s="355"/>
      <c r="G6059" s="355"/>
      <c r="H6059" s="355"/>
      <c r="I6059" s="355"/>
      <c r="J6059" s="355"/>
      <c r="K6059" s="355"/>
      <c r="L6059" s="355"/>
      <c r="M6059" s="355"/>
    </row>
    <row r="6060" spans="5:13">
      <c r="E6060" s="355"/>
      <c r="F6060" s="355"/>
      <c r="G6060" s="355"/>
      <c r="H6060" s="355"/>
      <c r="I6060" s="355"/>
      <c r="J6060" s="355"/>
      <c r="K6060" s="355"/>
      <c r="L6060" s="355"/>
      <c r="M6060" s="355"/>
    </row>
    <row r="6061" spans="5:13">
      <c r="E6061" s="355"/>
      <c r="F6061" s="355"/>
      <c r="G6061" s="355"/>
      <c r="H6061" s="355"/>
      <c r="I6061" s="355"/>
      <c r="J6061" s="355"/>
      <c r="K6061" s="355"/>
      <c r="L6061" s="355"/>
      <c r="M6061" s="355"/>
    </row>
    <row r="6062" spans="5:13">
      <c r="E6062" s="355"/>
      <c r="F6062" s="355"/>
      <c r="G6062" s="355"/>
      <c r="H6062" s="355"/>
      <c r="I6062" s="355"/>
      <c r="J6062" s="355"/>
      <c r="K6062" s="355"/>
      <c r="L6062" s="355"/>
      <c r="M6062" s="355"/>
    </row>
    <row r="6063" spans="5:13">
      <c r="E6063" s="355"/>
      <c r="F6063" s="355"/>
      <c r="G6063" s="355"/>
      <c r="H6063" s="355"/>
      <c r="I6063" s="355"/>
      <c r="J6063" s="355"/>
      <c r="K6063" s="355"/>
      <c r="L6063" s="355"/>
      <c r="M6063" s="355"/>
    </row>
    <row r="6064" spans="5:13">
      <c r="E6064" s="355"/>
      <c r="F6064" s="355"/>
      <c r="G6064" s="355"/>
      <c r="H6064" s="355"/>
      <c r="I6064" s="355"/>
      <c r="J6064" s="355"/>
      <c r="K6064" s="355"/>
      <c r="L6064" s="355"/>
      <c r="M6064" s="355"/>
    </row>
    <row r="6065" spans="5:13">
      <c r="E6065" s="355"/>
      <c r="F6065" s="355"/>
      <c r="G6065" s="355"/>
      <c r="H6065" s="355"/>
      <c r="I6065" s="355"/>
      <c r="J6065" s="355"/>
      <c r="K6065" s="355"/>
      <c r="L6065" s="355"/>
      <c r="M6065" s="355"/>
    </row>
    <row r="6066" spans="5:13">
      <c r="E6066" s="355"/>
      <c r="F6066" s="355"/>
      <c r="G6066" s="355"/>
      <c r="H6066" s="355"/>
      <c r="I6066" s="355"/>
      <c r="J6066" s="355"/>
      <c r="K6066" s="355"/>
      <c r="L6066" s="355"/>
      <c r="M6066" s="355"/>
    </row>
    <row r="6067" spans="5:13">
      <c r="E6067" s="355"/>
      <c r="F6067" s="355"/>
      <c r="G6067" s="355"/>
      <c r="H6067" s="355"/>
      <c r="I6067" s="355"/>
      <c r="J6067" s="355"/>
      <c r="K6067" s="355"/>
      <c r="L6067" s="355"/>
      <c r="M6067" s="355"/>
    </row>
    <row r="6068" spans="5:13">
      <c r="E6068" s="355"/>
      <c r="F6068" s="355"/>
      <c r="G6068" s="355"/>
      <c r="H6068" s="355"/>
      <c r="I6068" s="355"/>
      <c r="J6068" s="355"/>
      <c r="K6068" s="355"/>
      <c r="L6068" s="355"/>
      <c r="M6068" s="355"/>
    </row>
    <row r="6069" spans="5:13">
      <c r="E6069" s="355"/>
      <c r="F6069" s="355"/>
      <c r="G6069" s="355"/>
      <c r="H6069" s="355"/>
      <c r="I6069" s="355"/>
      <c r="J6069" s="355"/>
      <c r="K6069" s="355"/>
      <c r="L6069" s="355"/>
      <c r="M6069" s="355"/>
    </row>
    <row r="6070" spans="5:13">
      <c r="E6070" s="355"/>
      <c r="F6070" s="355"/>
      <c r="G6070" s="355"/>
      <c r="H6070" s="355"/>
      <c r="I6070" s="355"/>
      <c r="J6070" s="355"/>
      <c r="K6070" s="355"/>
      <c r="L6070" s="355"/>
      <c r="M6070" s="355"/>
    </row>
    <row r="6071" spans="5:13">
      <c r="E6071" s="355"/>
      <c r="F6071" s="355"/>
      <c r="G6071" s="355"/>
      <c r="H6071" s="355"/>
      <c r="I6071" s="355"/>
      <c r="J6071" s="355"/>
      <c r="K6071" s="355"/>
      <c r="L6071" s="355"/>
      <c r="M6071" s="355"/>
    </row>
    <row r="6072" spans="5:13">
      <c r="E6072" s="355"/>
      <c r="F6072" s="355"/>
      <c r="G6072" s="355"/>
      <c r="H6072" s="355"/>
      <c r="I6072" s="355"/>
      <c r="J6072" s="355"/>
      <c r="K6072" s="355"/>
      <c r="L6072" s="355"/>
      <c r="M6072" s="355"/>
    </row>
    <row r="6073" spans="5:13">
      <c r="E6073" s="355"/>
      <c r="F6073" s="355"/>
      <c r="G6073" s="355"/>
      <c r="H6073" s="355"/>
      <c r="I6073" s="355"/>
      <c r="J6073" s="355"/>
      <c r="K6073" s="355"/>
      <c r="L6073" s="355"/>
      <c r="M6073" s="355"/>
    </row>
    <row r="6074" spans="5:13">
      <c r="E6074" s="355"/>
      <c r="F6074" s="355"/>
      <c r="G6074" s="355"/>
      <c r="H6074" s="355"/>
      <c r="I6074" s="355"/>
      <c r="J6074" s="355"/>
      <c r="K6074" s="355"/>
      <c r="L6074" s="355"/>
      <c r="M6074" s="355"/>
    </row>
    <row r="6075" spans="5:13">
      <c r="E6075" s="355"/>
      <c r="F6075" s="355"/>
      <c r="G6075" s="355"/>
      <c r="H6075" s="355"/>
      <c r="I6075" s="355"/>
      <c r="J6075" s="355"/>
      <c r="K6075" s="355"/>
      <c r="L6075" s="355"/>
      <c r="M6075" s="355"/>
    </row>
    <row r="6076" spans="5:13">
      <c r="E6076" s="355"/>
      <c r="F6076" s="355"/>
      <c r="G6076" s="355"/>
      <c r="H6076" s="355"/>
      <c r="I6076" s="355"/>
      <c r="J6076" s="355"/>
      <c r="K6076" s="355"/>
      <c r="L6076" s="355"/>
      <c r="M6076" s="355"/>
    </row>
    <row r="6077" spans="5:13">
      <c r="E6077" s="355"/>
      <c r="F6077" s="355"/>
      <c r="G6077" s="355"/>
      <c r="H6077" s="355"/>
      <c r="I6077" s="355"/>
      <c r="J6077" s="355"/>
      <c r="K6077" s="355"/>
      <c r="L6077" s="355"/>
      <c r="M6077" s="355"/>
    </row>
    <row r="6078" spans="5:13">
      <c r="E6078" s="355"/>
      <c r="F6078" s="355"/>
      <c r="G6078" s="355"/>
      <c r="H6078" s="355"/>
      <c r="I6078" s="355"/>
      <c r="J6078" s="355"/>
      <c r="K6078" s="355"/>
      <c r="L6078" s="355"/>
      <c r="M6078" s="355"/>
    </row>
    <row r="6079" spans="5:13">
      <c r="E6079" s="355"/>
      <c r="F6079" s="355"/>
      <c r="G6079" s="355"/>
      <c r="H6079" s="355"/>
      <c r="I6079" s="355"/>
      <c r="J6079" s="355"/>
      <c r="K6079" s="355"/>
      <c r="L6079" s="355"/>
      <c r="M6079" s="355"/>
    </row>
    <row r="6080" spans="5:13">
      <c r="E6080" s="355"/>
      <c r="F6080" s="355"/>
      <c r="G6080" s="355"/>
      <c r="H6080" s="355"/>
      <c r="I6080" s="355"/>
      <c r="J6080" s="355"/>
      <c r="K6080" s="355"/>
      <c r="L6080" s="355"/>
      <c r="M6080" s="355"/>
    </row>
    <row r="6081" spans="5:13">
      <c r="E6081" s="355"/>
      <c r="F6081" s="355"/>
      <c r="G6081" s="355"/>
      <c r="H6081" s="355"/>
      <c r="I6081" s="355"/>
      <c r="J6081" s="355"/>
      <c r="K6081" s="355"/>
      <c r="L6081" s="355"/>
      <c r="M6081" s="355"/>
    </row>
    <row r="6082" spans="5:13">
      <c r="E6082" s="355"/>
      <c r="F6082" s="355"/>
      <c r="G6082" s="355"/>
      <c r="H6082" s="355"/>
      <c r="I6082" s="355"/>
      <c r="J6082" s="355"/>
      <c r="K6082" s="355"/>
      <c r="L6082" s="355"/>
      <c r="M6082" s="355"/>
    </row>
    <row r="6083" spans="5:13">
      <c r="E6083" s="355"/>
      <c r="F6083" s="355"/>
      <c r="G6083" s="355"/>
      <c r="H6083" s="355"/>
      <c r="I6083" s="355"/>
      <c r="J6083" s="355"/>
      <c r="K6083" s="355"/>
      <c r="L6083" s="355"/>
      <c r="M6083" s="355"/>
    </row>
    <row r="6084" spans="5:13">
      <c r="E6084" s="355"/>
      <c r="F6084" s="355"/>
      <c r="G6084" s="355"/>
      <c r="H6084" s="355"/>
      <c r="I6084" s="355"/>
      <c r="J6084" s="355"/>
      <c r="K6084" s="355"/>
      <c r="L6084" s="355"/>
      <c r="M6084" s="355"/>
    </row>
    <row r="6085" spans="5:13">
      <c r="E6085" s="355"/>
      <c r="F6085" s="355"/>
      <c r="G6085" s="355"/>
      <c r="H6085" s="355"/>
      <c r="I6085" s="355"/>
      <c r="J6085" s="355"/>
      <c r="K6085" s="355"/>
      <c r="L6085" s="355"/>
      <c r="M6085" s="355"/>
    </row>
    <row r="6086" spans="5:13">
      <c r="E6086" s="355"/>
      <c r="F6086" s="355"/>
      <c r="G6086" s="355"/>
      <c r="H6086" s="355"/>
      <c r="I6086" s="355"/>
      <c r="J6086" s="355"/>
      <c r="K6086" s="355"/>
      <c r="L6086" s="355"/>
      <c r="M6086" s="355"/>
    </row>
    <row r="6087" spans="5:13">
      <c r="E6087" s="355"/>
      <c r="F6087" s="355"/>
      <c r="G6087" s="355"/>
      <c r="H6087" s="355"/>
      <c r="I6087" s="355"/>
      <c r="J6087" s="355"/>
      <c r="K6087" s="355"/>
      <c r="L6087" s="355"/>
      <c r="M6087" s="355"/>
    </row>
    <row r="6088" spans="5:13">
      <c r="E6088" s="355"/>
      <c r="F6088" s="355"/>
      <c r="G6088" s="355"/>
      <c r="H6088" s="355"/>
      <c r="I6088" s="355"/>
      <c r="J6088" s="355"/>
      <c r="K6088" s="355"/>
      <c r="L6088" s="355"/>
      <c r="M6088" s="355"/>
    </row>
    <row r="6089" spans="5:13">
      <c r="E6089" s="355"/>
      <c r="F6089" s="355"/>
      <c r="G6089" s="355"/>
      <c r="H6089" s="355"/>
      <c r="I6089" s="355"/>
      <c r="J6089" s="355"/>
      <c r="K6089" s="355"/>
      <c r="L6089" s="355"/>
      <c r="M6089" s="355"/>
    </row>
    <row r="6090" spans="5:13">
      <c r="E6090" s="355"/>
      <c r="F6090" s="355"/>
      <c r="G6090" s="355"/>
      <c r="H6090" s="355"/>
      <c r="I6090" s="355"/>
      <c r="J6090" s="355"/>
      <c r="K6090" s="355"/>
      <c r="L6090" s="355"/>
      <c r="M6090" s="355"/>
    </row>
    <row r="6091" spans="5:13">
      <c r="E6091" s="355"/>
      <c r="F6091" s="355"/>
      <c r="G6091" s="355"/>
      <c r="H6091" s="355"/>
      <c r="I6091" s="355"/>
      <c r="J6091" s="355"/>
      <c r="K6091" s="355"/>
      <c r="L6091" s="355"/>
      <c r="M6091" s="355"/>
    </row>
    <row r="6092" spans="5:13">
      <c r="E6092" s="355"/>
      <c r="F6092" s="355"/>
      <c r="G6092" s="355"/>
      <c r="H6092" s="355"/>
      <c r="I6092" s="355"/>
      <c r="J6092" s="355"/>
      <c r="K6092" s="355"/>
      <c r="L6092" s="355"/>
      <c r="M6092" s="355"/>
    </row>
    <row r="6093" spans="5:13">
      <c r="E6093" s="355"/>
      <c r="F6093" s="355"/>
      <c r="G6093" s="355"/>
      <c r="H6093" s="355"/>
      <c r="I6093" s="355"/>
      <c r="J6093" s="355"/>
      <c r="K6093" s="355"/>
      <c r="L6093" s="355"/>
      <c r="M6093" s="355"/>
    </row>
    <row r="6094" spans="5:13">
      <c r="E6094" s="355"/>
      <c r="F6094" s="355"/>
      <c r="G6094" s="355"/>
      <c r="H6094" s="355"/>
      <c r="I6094" s="355"/>
      <c r="J6094" s="355"/>
      <c r="K6094" s="355"/>
      <c r="L6094" s="355"/>
      <c r="M6094" s="355"/>
    </row>
    <row r="6095" spans="5:13">
      <c r="E6095" s="355"/>
      <c r="F6095" s="355"/>
      <c r="G6095" s="355"/>
      <c r="H6095" s="355"/>
      <c r="I6095" s="355"/>
      <c r="J6095" s="355"/>
      <c r="K6095" s="355"/>
      <c r="L6095" s="355"/>
      <c r="M6095" s="355"/>
    </row>
    <row r="6096" spans="5:13">
      <c r="E6096" s="355"/>
      <c r="F6096" s="355"/>
      <c r="G6096" s="355"/>
      <c r="H6096" s="355"/>
      <c r="I6096" s="355"/>
      <c r="J6096" s="355"/>
      <c r="K6096" s="355"/>
      <c r="L6096" s="355"/>
      <c r="M6096" s="355"/>
    </row>
    <row r="6097" spans="5:13">
      <c r="E6097" s="355"/>
      <c r="F6097" s="355"/>
      <c r="G6097" s="355"/>
      <c r="H6097" s="355"/>
      <c r="I6097" s="355"/>
      <c r="J6097" s="355"/>
      <c r="K6097" s="355"/>
      <c r="L6097" s="355"/>
      <c r="M6097" s="355"/>
    </row>
    <row r="6098" spans="5:13">
      <c r="E6098" s="355"/>
      <c r="F6098" s="355"/>
      <c r="G6098" s="355"/>
      <c r="H6098" s="355"/>
      <c r="I6098" s="355"/>
      <c r="J6098" s="355"/>
      <c r="K6098" s="355"/>
      <c r="L6098" s="355"/>
      <c r="M6098" s="355"/>
    </row>
    <row r="6099" spans="5:13">
      <c r="E6099" s="355"/>
      <c r="F6099" s="355"/>
      <c r="G6099" s="355"/>
      <c r="H6099" s="355"/>
      <c r="I6099" s="355"/>
      <c r="J6099" s="355"/>
      <c r="K6099" s="355"/>
      <c r="L6099" s="355"/>
      <c r="M6099" s="355"/>
    </row>
    <row r="6100" spans="5:13">
      <c r="E6100" s="355"/>
      <c r="F6100" s="355"/>
      <c r="G6100" s="355"/>
      <c r="H6100" s="355"/>
      <c r="I6100" s="355"/>
      <c r="J6100" s="355"/>
      <c r="K6100" s="355"/>
      <c r="L6100" s="355"/>
      <c r="M6100" s="355"/>
    </row>
    <row r="6101" spans="5:13">
      <c r="E6101" s="355"/>
      <c r="F6101" s="355"/>
      <c r="G6101" s="355"/>
      <c r="H6101" s="355"/>
      <c r="I6101" s="355"/>
      <c r="J6101" s="355"/>
      <c r="K6101" s="355"/>
      <c r="L6101" s="355"/>
      <c r="M6101" s="355"/>
    </row>
    <row r="6102" spans="5:13">
      <c r="E6102" s="355"/>
      <c r="F6102" s="355"/>
      <c r="G6102" s="355"/>
      <c r="H6102" s="355"/>
      <c r="I6102" s="355"/>
      <c r="J6102" s="355"/>
      <c r="K6102" s="355"/>
      <c r="L6102" s="355"/>
      <c r="M6102" s="355"/>
    </row>
    <row r="6103" spans="5:13">
      <c r="E6103" s="355"/>
      <c r="F6103" s="355"/>
      <c r="G6103" s="355"/>
      <c r="H6103" s="355"/>
      <c r="I6103" s="355"/>
      <c r="J6103" s="355"/>
      <c r="K6103" s="355"/>
      <c r="L6103" s="355"/>
      <c r="M6103" s="355"/>
    </row>
    <row r="6104" spans="5:13">
      <c r="E6104" s="355"/>
      <c r="F6104" s="355"/>
      <c r="G6104" s="355"/>
      <c r="H6104" s="355"/>
      <c r="I6104" s="355"/>
      <c r="J6104" s="355"/>
      <c r="K6104" s="355"/>
      <c r="L6104" s="355"/>
      <c r="M6104" s="355"/>
    </row>
    <row r="6105" spans="5:13">
      <c r="E6105" s="355"/>
      <c r="F6105" s="355"/>
      <c r="G6105" s="355"/>
      <c r="H6105" s="355"/>
      <c r="I6105" s="355"/>
      <c r="J6105" s="355"/>
      <c r="K6105" s="355"/>
      <c r="L6105" s="355"/>
      <c r="M6105" s="355"/>
    </row>
    <row r="6106" spans="5:13">
      <c r="E6106" s="355"/>
      <c r="F6106" s="355"/>
      <c r="G6106" s="355"/>
      <c r="H6106" s="355"/>
      <c r="I6106" s="355"/>
      <c r="J6106" s="355"/>
      <c r="K6106" s="355"/>
      <c r="L6106" s="355"/>
      <c r="M6106" s="355"/>
    </row>
    <row r="6107" spans="5:13">
      <c r="E6107" s="355"/>
      <c r="F6107" s="355"/>
      <c r="G6107" s="355"/>
      <c r="H6107" s="355"/>
      <c r="I6107" s="355"/>
      <c r="J6107" s="355"/>
      <c r="K6107" s="355"/>
      <c r="L6107" s="355"/>
      <c r="M6107" s="355"/>
    </row>
    <row r="6108" spans="5:13">
      <c r="E6108" s="355"/>
      <c r="F6108" s="355"/>
      <c r="G6108" s="355"/>
      <c r="H6108" s="355"/>
      <c r="I6108" s="355"/>
      <c r="J6108" s="355"/>
      <c r="K6108" s="355"/>
      <c r="L6108" s="355"/>
      <c r="M6108" s="355"/>
    </row>
    <row r="6109" spans="5:13">
      <c r="E6109" s="355"/>
      <c r="F6109" s="355"/>
      <c r="G6109" s="355"/>
      <c r="H6109" s="355"/>
      <c r="I6109" s="355"/>
      <c r="J6109" s="355"/>
      <c r="K6109" s="355"/>
      <c r="L6109" s="355"/>
      <c r="M6109" s="355"/>
    </row>
    <row r="6110" spans="5:13">
      <c r="E6110" s="355"/>
      <c r="F6110" s="355"/>
      <c r="G6110" s="355"/>
      <c r="H6110" s="355"/>
      <c r="I6110" s="355"/>
      <c r="J6110" s="355"/>
      <c r="K6110" s="355"/>
      <c r="L6110" s="355"/>
      <c r="M6110" s="355"/>
    </row>
    <row r="6111" spans="5:13">
      <c r="E6111" s="355"/>
      <c r="F6111" s="355"/>
      <c r="G6111" s="355"/>
      <c r="H6111" s="355"/>
      <c r="I6111" s="355"/>
      <c r="J6111" s="355"/>
      <c r="K6111" s="355"/>
      <c r="L6111" s="355"/>
      <c r="M6111" s="355"/>
    </row>
    <row r="6112" spans="5:13">
      <c r="E6112" s="355"/>
      <c r="F6112" s="355"/>
      <c r="G6112" s="355"/>
      <c r="H6112" s="355"/>
      <c r="I6112" s="355"/>
      <c r="J6112" s="355"/>
      <c r="K6112" s="355"/>
      <c r="L6112" s="355"/>
      <c r="M6112" s="355"/>
    </row>
    <row r="6113" spans="5:13">
      <c r="E6113" s="355"/>
      <c r="F6113" s="355"/>
      <c r="G6113" s="355"/>
      <c r="H6113" s="355"/>
      <c r="I6113" s="355"/>
      <c r="J6113" s="355"/>
      <c r="K6113" s="355"/>
      <c r="L6113" s="355"/>
      <c r="M6113" s="355"/>
    </row>
    <row r="6114" spans="5:13">
      <c r="E6114" s="355"/>
      <c r="F6114" s="355"/>
      <c r="G6114" s="355"/>
      <c r="H6114" s="355"/>
      <c r="I6114" s="355"/>
      <c r="J6114" s="355"/>
      <c r="K6114" s="355"/>
      <c r="L6114" s="355"/>
      <c r="M6114" s="355"/>
    </row>
    <row r="6115" spans="5:13">
      <c r="E6115" s="355"/>
      <c r="F6115" s="355"/>
      <c r="G6115" s="355"/>
      <c r="H6115" s="355"/>
      <c r="I6115" s="355"/>
      <c r="J6115" s="355"/>
      <c r="K6115" s="355"/>
      <c r="L6115" s="355"/>
      <c r="M6115" s="355"/>
    </row>
    <row r="6116" spans="5:13">
      <c r="E6116" s="355"/>
      <c r="F6116" s="355"/>
      <c r="G6116" s="355"/>
      <c r="H6116" s="355"/>
      <c r="I6116" s="355"/>
      <c r="J6116" s="355"/>
      <c r="K6116" s="355"/>
      <c r="L6116" s="355"/>
      <c r="M6116" s="355"/>
    </row>
    <row r="6117" spans="5:13">
      <c r="E6117" s="355"/>
      <c r="F6117" s="355"/>
      <c r="G6117" s="355"/>
      <c r="H6117" s="355"/>
      <c r="I6117" s="355"/>
      <c r="J6117" s="355"/>
      <c r="K6117" s="355"/>
      <c r="L6117" s="355"/>
      <c r="M6117" s="355"/>
    </row>
    <row r="6118" spans="5:13">
      <c r="E6118" s="355"/>
      <c r="F6118" s="355"/>
      <c r="G6118" s="355"/>
      <c r="H6118" s="355"/>
      <c r="I6118" s="355"/>
      <c r="J6118" s="355"/>
      <c r="K6118" s="355"/>
      <c r="L6118" s="355"/>
      <c r="M6118" s="355"/>
    </row>
    <row r="6119" spans="5:13">
      <c r="E6119" s="355"/>
      <c r="F6119" s="355"/>
      <c r="G6119" s="355"/>
      <c r="H6119" s="355"/>
      <c r="I6119" s="355"/>
      <c r="J6119" s="355"/>
      <c r="K6119" s="355"/>
      <c r="L6119" s="355"/>
      <c r="M6119" s="355"/>
    </row>
    <row r="6120" spans="5:13">
      <c r="E6120" s="355"/>
      <c r="F6120" s="355"/>
      <c r="G6120" s="355"/>
      <c r="H6120" s="355"/>
      <c r="I6120" s="355"/>
      <c r="J6120" s="355"/>
      <c r="K6120" s="355"/>
      <c r="L6120" s="355"/>
      <c r="M6120" s="355"/>
    </row>
    <row r="6121" spans="5:13">
      <c r="E6121" s="355"/>
      <c r="F6121" s="355"/>
      <c r="G6121" s="355"/>
      <c r="H6121" s="355"/>
      <c r="I6121" s="355"/>
      <c r="J6121" s="355"/>
      <c r="K6121" s="355"/>
      <c r="L6121" s="355"/>
      <c r="M6121" s="355"/>
    </row>
    <row r="6122" spans="5:13">
      <c r="E6122" s="355"/>
      <c r="F6122" s="355"/>
      <c r="G6122" s="355"/>
      <c r="H6122" s="355"/>
      <c r="I6122" s="355"/>
      <c r="J6122" s="355"/>
      <c r="K6122" s="355"/>
      <c r="L6122" s="355"/>
      <c r="M6122" s="355"/>
    </row>
    <row r="6123" spans="5:13">
      <c r="E6123" s="355"/>
      <c r="F6123" s="355"/>
      <c r="G6123" s="355"/>
      <c r="H6123" s="355"/>
      <c r="I6123" s="355"/>
      <c r="J6123" s="355"/>
      <c r="K6123" s="355"/>
      <c r="L6123" s="355"/>
      <c r="M6123" s="355"/>
    </row>
    <row r="6124" spans="5:13">
      <c r="E6124" s="355"/>
      <c r="F6124" s="355"/>
      <c r="G6124" s="355"/>
      <c r="H6124" s="355"/>
      <c r="I6124" s="355"/>
      <c r="J6124" s="355"/>
      <c r="K6124" s="355"/>
      <c r="L6124" s="355"/>
      <c r="M6124" s="355"/>
    </row>
    <row r="6125" spans="5:13">
      <c r="E6125" s="355"/>
      <c r="F6125" s="355"/>
      <c r="G6125" s="355"/>
      <c r="H6125" s="355"/>
      <c r="I6125" s="355"/>
      <c r="J6125" s="355"/>
      <c r="K6125" s="355"/>
      <c r="L6125" s="355"/>
      <c r="M6125" s="355"/>
    </row>
    <row r="6126" spans="5:13">
      <c r="E6126" s="355"/>
      <c r="F6126" s="355"/>
      <c r="G6126" s="355"/>
      <c r="H6126" s="355"/>
      <c r="I6126" s="355"/>
      <c r="J6126" s="355"/>
      <c r="K6126" s="355"/>
      <c r="L6126" s="355"/>
      <c r="M6126" s="355"/>
    </row>
    <row r="6127" spans="5:13">
      <c r="E6127" s="355"/>
      <c r="F6127" s="355"/>
      <c r="G6127" s="355"/>
      <c r="H6127" s="355"/>
      <c r="I6127" s="355"/>
      <c r="J6127" s="355"/>
      <c r="K6127" s="355"/>
      <c r="L6127" s="355"/>
      <c r="M6127" s="355"/>
    </row>
    <row r="6128" spans="5:13">
      <c r="E6128" s="355"/>
      <c r="F6128" s="355"/>
      <c r="G6128" s="355"/>
      <c r="H6128" s="355"/>
      <c r="I6128" s="355"/>
      <c r="J6128" s="355"/>
      <c r="K6128" s="355"/>
      <c r="L6128" s="355"/>
      <c r="M6128" s="355"/>
    </row>
    <row r="6129" spans="5:13">
      <c r="E6129" s="355"/>
      <c r="F6129" s="355"/>
      <c r="G6129" s="355"/>
      <c r="H6129" s="355"/>
      <c r="I6129" s="355"/>
      <c r="J6129" s="355"/>
      <c r="K6129" s="355"/>
      <c r="L6129" s="355"/>
      <c r="M6129" s="355"/>
    </row>
    <row r="6130" spans="5:13">
      <c r="E6130" s="355"/>
      <c r="F6130" s="355"/>
      <c r="G6130" s="355"/>
      <c r="H6130" s="355"/>
      <c r="I6130" s="355"/>
      <c r="J6130" s="355"/>
      <c r="K6130" s="355"/>
      <c r="L6130" s="355"/>
      <c r="M6130" s="355"/>
    </row>
    <row r="6131" spans="5:13">
      <c r="E6131" s="355"/>
      <c r="F6131" s="355"/>
      <c r="G6131" s="355"/>
      <c r="H6131" s="355"/>
      <c r="I6131" s="355"/>
      <c r="J6131" s="355"/>
      <c r="K6131" s="355"/>
      <c r="L6131" s="355"/>
      <c r="M6131" s="355"/>
    </row>
    <row r="6132" spans="5:13">
      <c r="E6132" s="355"/>
      <c r="F6132" s="355"/>
      <c r="G6132" s="355"/>
      <c r="H6132" s="355"/>
      <c r="I6132" s="355"/>
      <c r="J6132" s="355"/>
      <c r="K6132" s="355"/>
      <c r="L6132" s="355"/>
      <c r="M6132" s="355"/>
    </row>
    <row r="6133" spans="5:13">
      <c r="E6133" s="355"/>
      <c r="F6133" s="355"/>
      <c r="G6133" s="355"/>
      <c r="H6133" s="355"/>
      <c r="I6133" s="355"/>
      <c r="J6133" s="355"/>
      <c r="K6133" s="355"/>
      <c r="L6133" s="355"/>
      <c r="M6133" s="355"/>
    </row>
    <row r="6134" spans="5:13">
      <c r="E6134" s="355"/>
      <c r="F6134" s="355"/>
      <c r="G6134" s="355"/>
      <c r="H6134" s="355"/>
      <c r="I6134" s="355"/>
      <c r="J6134" s="355"/>
      <c r="K6134" s="355"/>
      <c r="L6134" s="355"/>
      <c r="M6134" s="355"/>
    </row>
    <row r="6135" spans="5:13">
      <c r="E6135" s="355"/>
      <c r="F6135" s="355"/>
      <c r="G6135" s="355"/>
      <c r="H6135" s="355"/>
      <c r="I6135" s="355"/>
      <c r="J6135" s="355"/>
      <c r="K6135" s="355"/>
      <c r="L6135" s="355"/>
      <c r="M6135" s="355"/>
    </row>
    <row r="6136" spans="5:13">
      <c r="E6136" s="355"/>
      <c r="F6136" s="355"/>
      <c r="G6136" s="355"/>
      <c r="H6136" s="355"/>
      <c r="I6136" s="355"/>
      <c r="J6136" s="355"/>
      <c r="K6136" s="355"/>
      <c r="L6136" s="355"/>
      <c r="M6136" s="355"/>
    </row>
    <row r="6137" spans="5:13">
      <c r="E6137" s="355"/>
      <c r="F6137" s="355"/>
      <c r="G6137" s="355"/>
      <c r="H6137" s="355"/>
      <c r="I6137" s="355"/>
      <c r="J6137" s="355"/>
      <c r="K6137" s="355"/>
      <c r="L6137" s="355"/>
      <c r="M6137" s="355"/>
    </row>
    <row r="6138" spans="5:13">
      <c r="E6138" s="355"/>
      <c r="F6138" s="355"/>
      <c r="G6138" s="355"/>
      <c r="H6138" s="355"/>
      <c r="I6138" s="355"/>
      <c r="J6138" s="355"/>
      <c r="K6138" s="355"/>
      <c r="L6138" s="355"/>
      <c r="M6138" s="355"/>
    </row>
    <row r="6139" spans="5:13">
      <c r="E6139" s="355"/>
      <c r="F6139" s="355"/>
      <c r="G6139" s="355"/>
      <c r="H6139" s="355"/>
      <c r="I6139" s="355"/>
      <c r="J6139" s="355"/>
      <c r="K6139" s="355"/>
      <c r="L6139" s="355"/>
      <c r="M6139" s="355"/>
    </row>
    <row r="6140" spans="5:13">
      <c r="E6140" s="355"/>
      <c r="F6140" s="355"/>
      <c r="G6140" s="355"/>
      <c r="H6140" s="355"/>
      <c r="I6140" s="355"/>
      <c r="J6140" s="355"/>
      <c r="K6140" s="355"/>
      <c r="L6140" s="355"/>
      <c r="M6140" s="355"/>
    </row>
    <row r="6141" spans="5:13">
      <c r="E6141" s="355"/>
      <c r="F6141" s="355"/>
      <c r="G6141" s="355"/>
      <c r="H6141" s="355"/>
      <c r="I6141" s="355"/>
      <c r="J6141" s="355"/>
      <c r="K6141" s="355"/>
      <c r="L6141" s="355"/>
      <c r="M6141" s="355"/>
    </row>
    <row r="6142" spans="5:13">
      <c r="E6142" s="355"/>
      <c r="F6142" s="355"/>
      <c r="G6142" s="355"/>
      <c r="H6142" s="355"/>
      <c r="I6142" s="355"/>
      <c r="J6142" s="355"/>
      <c r="K6142" s="355"/>
      <c r="L6142" s="355"/>
      <c r="M6142" s="355"/>
    </row>
    <row r="6143" spans="5:13">
      <c r="E6143" s="355"/>
      <c r="F6143" s="355"/>
      <c r="G6143" s="355"/>
      <c r="H6143" s="355"/>
      <c r="I6143" s="355"/>
      <c r="J6143" s="355"/>
      <c r="K6143" s="355"/>
      <c r="L6143" s="355"/>
      <c r="M6143" s="355"/>
    </row>
    <row r="6144" spans="5:13">
      <c r="E6144" s="355"/>
      <c r="F6144" s="355"/>
      <c r="G6144" s="355"/>
      <c r="H6144" s="355"/>
      <c r="I6144" s="355"/>
      <c r="J6144" s="355"/>
      <c r="K6144" s="355"/>
      <c r="L6144" s="355"/>
      <c r="M6144" s="355"/>
    </row>
    <row r="6145" spans="5:13">
      <c r="E6145" s="355"/>
      <c r="F6145" s="355"/>
      <c r="G6145" s="355"/>
      <c r="H6145" s="355"/>
      <c r="I6145" s="355"/>
      <c r="J6145" s="355"/>
      <c r="K6145" s="355"/>
      <c r="L6145" s="355"/>
      <c r="M6145" s="355"/>
    </row>
    <row r="6146" spans="5:13">
      <c r="E6146" s="355"/>
      <c r="F6146" s="355"/>
      <c r="G6146" s="355"/>
      <c r="H6146" s="355"/>
      <c r="I6146" s="355"/>
      <c r="J6146" s="355"/>
      <c r="K6146" s="355"/>
      <c r="L6146" s="355"/>
      <c r="M6146" s="355"/>
    </row>
    <row r="6147" spans="5:13">
      <c r="E6147" s="355"/>
      <c r="F6147" s="355"/>
      <c r="G6147" s="355"/>
      <c r="H6147" s="355"/>
      <c r="I6147" s="355"/>
      <c r="J6147" s="355"/>
      <c r="K6147" s="355"/>
      <c r="L6147" s="355"/>
      <c r="M6147" s="355"/>
    </row>
    <row r="6148" spans="5:13">
      <c r="E6148" s="355"/>
      <c r="F6148" s="355"/>
      <c r="G6148" s="355"/>
      <c r="H6148" s="355"/>
      <c r="I6148" s="355"/>
      <c r="J6148" s="355"/>
      <c r="K6148" s="355"/>
      <c r="L6148" s="355"/>
      <c r="M6148" s="355"/>
    </row>
    <row r="6149" spans="5:13">
      <c r="E6149" s="355"/>
      <c r="F6149" s="355"/>
      <c r="G6149" s="355"/>
      <c r="H6149" s="355"/>
      <c r="I6149" s="355"/>
      <c r="J6149" s="355"/>
      <c r="K6149" s="355"/>
      <c r="L6149" s="355"/>
      <c r="M6149" s="355"/>
    </row>
    <row r="6150" spans="5:13">
      <c r="E6150" s="355"/>
      <c r="F6150" s="355"/>
      <c r="G6150" s="355"/>
      <c r="H6150" s="355"/>
      <c r="I6150" s="355"/>
      <c r="J6150" s="355"/>
      <c r="K6150" s="355"/>
      <c r="L6150" s="355"/>
      <c r="M6150" s="355"/>
    </row>
    <row r="6151" spans="5:13">
      <c r="E6151" s="355"/>
      <c r="F6151" s="355"/>
      <c r="G6151" s="355"/>
      <c r="H6151" s="355"/>
      <c r="I6151" s="355"/>
      <c r="J6151" s="355"/>
      <c r="K6151" s="355"/>
      <c r="L6151" s="355"/>
      <c r="M6151" s="355"/>
    </row>
    <row r="6152" spans="5:13">
      <c r="E6152" s="355"/>
      <c r="F6152" s="355"/>
      <c r="G6152" s="355"/>
      <c r="H6152" s="355"/>
      <c r="I6152" s="355"/>
      <c r="J6152" s="355"/>
      <c r="K6152" s="355"/>
      <c r="L6152" s="355"/>
      <c r="M6152" s="355"/>
    </row>
    <row r="6153" spans="5:13">
      <c r="E6153" s="355"/>
      <c r="F6153" s="355"/>
      <c r="G6153" s="355"/>
      <c r="H6153" s="355"/>
      <c r="I6153" s="355"/>
      <c r="J6153" s="355"/>
      <c r="K6153" s="355"/>
      <c r="L6153" s="355"/>
      <c r="M6153" s="355"/>
    </row>
    <row r="6154" spans="5:13">
      <c r="E6154" s="355"/>
      <c r="F6154" s="355"/>
      <c r="G6154" s="355"/>
      <c r="H6154" s="355"/>
      <c r="I6154" s="355"/>
      <c r="J6154" s="355"/>
      <c r="K6154" s="355"/>
      <c r="L6154" s="355"/>
      <c r="M6154" s="355"/>
    </row>
    <row r="6155" spans="5:13">
      <c r="E6155" s="355"/>
      <c r="F6155" s="355"/>
      <c r="G6155" s="355"/>
      <c r="H6155" s="355"/>
      <c r="I6155" s="355"/>
      <c r="J6155" s="355"/>
      <c r="K6155" s="355"/>
      <c r="L6155" s="355"/>
      <c r="M6155" s="355"/>
    </row>
    <row r="6156" spans="5:13">
      <c r="E6156" s="355"/>
      <c r="F6156" s="355"/>
      <c r="G6156" s="355"/>
      <c r="H6156" s="355"/>
      <c r="I6156" s="355"/>
      <c r="J6156" s="355"/>
      <c r="K6156" s="355"/>
      <c r="L6156" s="355"/>
      <c r="M6156" s="355"/>
    </row>
    <row r="6157" spans="5:13">
      <c r="E6157" s="355"/>
      <c r="F6157" s="355"/>
      <c r="G6157" s="355"/>
      <c r="H6157" s="355"/>
      <c r="I6157" s="355"/>
      <c r="J6157" s="355"/>
      <c r="K6157" s="355"/>
      <c r="L6157" s="355"/>
      <c r="M6157" s="355"/>
    </row>
    <row r="6158" spans="5:13">
      <c r="E6158" s="355"/>
      <c r="F6158" s="355"/>
      <c r="G6158" s="355"/>
      <c r="H6158" s="355"/>
      <c r="I6158" s="355"/>
      <c r="J6158" s="355"/>
      <c r="K6158" s="355"/>
      <c r="L6158" s="355"/>
      <c r="M6158" s="355"/>
    </row>
    <row r="6159" spans="5:13">
      <c r="E6159" s="355"/>
      <c r="F6159" s="355"/>
      <c r="G6159" s="355"/>
      <c r="H6159" s="355"/>
      <c r="I6159" s="355"/>
      <c r="J6159" s="355"/>
      <c r="K6159" s="355"/>
      <c r="L6159" s="355"/>
      <c r="M6159" s="355"/>
    </row>
    <row r="6160" spans="5:13">
      <c r="E6160" s="355"/>
      <c r="F6160" s="355"/>
      <c r="G6160" s="355"/>
      <c r="H6160" s="355"/>
      <c r="I6160" s="355"/>
      <c r="J6160" s="355"/>
      <c r="K6160" s="355"/>
      <c r="L6160" s="355"/>
      <c r="M6160" s="355"/>
    </row>
    <row r="6161" spans="5:13">
      <c r="E6161" s="355"/>
      <c r="F6161" s="355"/>
      <c r="G6161" s="355"/>
      <c r="H6161" s="355"/>
      <c r="I6161" s="355"/>
      <c r="J6161" s="355"/>
      <c r="K6161" s="355"/>
      <c r="L6161" s="355"/>
      <c r="M6161" s="355"/>
    </row>
    <row r="6162" spans="5:13">
      <c r="E6162" s="355"/>
      <c r="F6162" s="355"/>
      <c r="G6162" s="355"/>
      <c r="H6162" s="355"/>
      <c r="I6162" s="355"/>
      <c r="J6162" s="355"/>
      <c r="K6162" s="355"/>
      <c r="L6162" s="355"/>
      <c r="M6162" s="355"/>
    </row>
    <row r="6163" spans="5:13">
      <c r="E6163" s="355"/>
      <c r="F6163" s="355"/>
      <c r="G6163" s="355"/>
      <c r="H6163" s="355"/>
      <c r="I6163" s="355"/>
      <c r="J6163" s="355"/>
      <c r="K6163" s="355"/>
      <c r="L6163" s="355"/>
      <c r="M6163" s="355"/>
    </row>
    <row r="6164" spans="5:13">
      <c r="E6164" s="355"/>
      <c r="F6164" s="355"/>
      <c r="G6164" s="355"/>
      <c r="H6164" s="355"/>
      <c r="I6164" s="355"/>
      <c r="J6164" s="355"/>
      <c r="K6164" s="355"/>
      <c r="L6164" s="355"/>
      <c r="M6164" s="355"/>
    </row>
    <row r="6165" spans="5:13">
      <c r="E6165" s="355"/>
      <c r="F6165" s="355"/>
      <c r="G6165" s="355"/>
      <c r="H6165" s="355"/>
      <c r="I6165" s="355"/>
      <c r="J6165" s="355"/>
      <c r="K6165" s="355"/>
      <c r="L6165" s="355"/>
      <c r="M6165" s="355"/>
    </row>
    <row r="6166" spans="5:13">
      <c r="E6166" s="355"/>
      <c r="F6166" s="355"/>
      <c r="G6166" s="355"/>
      <c r="H6166" s="355"/>
      <c r="I6166" s="355"/>
      <c r="J6166" s="355"/>
      <c r="K6166" s="355"/>
      <c r="L6166" s="355"/>
      <c r="M6166" s="355"/>
    </row>
    <row r="6167" spans="5:13">
      <c r="E6167" s="355"/>
      <c r="F6167" s="355"/>
      <c r="G6167" s="355"/>
      <c r="H6167" s="355"/>
      <c r="I6167" s="355"/>
      <c r="J6167" s="355"/>
      <c r="K6167" s="355"/>
      <c r="L6167" s="355"/>
      <c r="M6167" s="355"/>
    </row>
    <row r="6168" spans="5:13">
      <c r="E6168" s="355"/>
      <c r="F6168" s="355"/>
      <c r="G6168" s="355"/>
      <c r="H6168" s="355"/>
      <c r="I6168" s="355"/>
      <c r="J6168" s="355"/>
      <c r="K6168" s="355"/>
      <c r="L6168" s="355"/>
      <c r="M6168" s="355"/>
    </row>
    <row r="6169" spans="5:13">
      <c r="E6169" s="355"/>
      <c r="F6169" s="355"/>
      <c r="G6169" s="355"/>
      <c r="H6169" s="355"/>
      <c r="I6169" s="355"/>
      <c r="J6169" s="355"/>
      <c r="K6169" s="355"/>
      <c r="L6169" s="355"/>
      <c r="M6169" s="355"/>
    </row>
    <row r="6170" spans="5:13">
      <c r="E6170" s="355"/>
      <c r="F6170" s="355"/>
      <c r="G6170" s="355"/>
      <c r="H6170" s="355"/>
      <c r="I6170" s="355"/>
      <c r="J6170" s="355"/>
      <c r="K6170" s="355"/>
      <c r="L6170" s="355"/>
      <c r="M6170" s="355"/>
    </row>
    <row r="6171" spans="5:13">
      <c r="E6171" s="355"/>
      <c r="F6171" s="355"/>
      <c r="G6171" s="355"/>
      <c r="H6171" s="355"/>
      <c r="I6171" s="355"/>
      <c r="J6171" s="355"/>
      <c r="K6171" s="355"/>
      <c r="L6171" s="355"/>
      <c r="M6171" s="355"/>
    </row>
    <row r="6172" spans="5:13">
      <c r="E6172" s="355"/>
      <c r="F6172" s="355"/>
      <c r="G6172" s="355"/>
      <c r="H6172" s="355"/>
      <c r="I6172" s="355"/>
      <c r="J6172" s="355"/>
      <c r="K6172" s="355"/>
      <c r="L6172" s="355"/>
      <c r="M6172" s="355"/>
    </row>
    <row r="6173" spans="5:13">
      <c r="E6173" s="355"/>
      <c r="F6173" s="355"/>
      <c r="G6173" s="355"/>
      <c r="H6173" s="355"/>
      <c r="I6173" s="355"/>
      <c r="J6173" s="355"/>
      <c r="K6173" s="355"/>
      <c r="L6173" s="355"/>
      <c r="M6173" s="355"/>
    </row>
    <row r="6174" spans="5:13">
      <c r="E6174" s="355"/>
      <c r="F6174" s="355"/>
      <c r="G6174" s="355"/>
      <c r="H6174" s="355"/>
      <c r="I6174" s="355"/>
      <c r="J6174" s="355"/>
      <c r="K6174" s="355"/>
      <c r="L6174" s="355"/>
      <c r="M6174" s="355"/>
    </row>
    <row r="6175" spans="5:13">
      <c r="E6175" s="355"/>
      <c r="F6175" s="355"/>
      <c r="G6175" s="355"/>
      <c r="H6175" s="355"/>
      <c r="I6175" s="355"/>
      <c r="J6175" s="355"/>
      <c r="K6175" s="355"/>
      <c r="L6175" s="355"/>
      <c r="M6175" s="355"/>
    </row>
    <row r="6176" spans="5:13">
      <c r="E6176" s="355"/>
      <c r="F6176" s="355"/>
      <c r="G6176" s="355"/>
      <c r="H6176" s="355"/>
      <c r="I6176" s="355"/>
      <c r="J6176" s="355"/>
      <c r="K6176" s="355"/>
      <c r="L6176" s="355"/>
      <c r="M6176" s="355"/>
    </row>
    <row r="6177" spans="5:13">
      <c r="E6177" s="355"/>
      <c r="F6177" s="355"/>
      <c r="G6177" s="355"/>
      <c r="H6177" s="355"/>
      <c r="I6177" s="355"/>
      <c r="J6177" s="355"/>
      <c r="K6177" s="355"/>
      <c r="L6177" s="355"/>
      <c r="M6177" s="355"/>
    </row>
    <row r="6178" spans="5:13">
      <c r="E6178" s="355"/>
      <c r="F6178" s="355"/>
      <c r="G6178" s="355"/>
      <c r="H6178" s="355"/>
      <c r="I6178" s="355"/>
      <c r="J6178" s="355"/>
      <c r="K6178" s="355"/>
      <c r="L6178" s="355"/>
      <c r="M6178" s="355"/>
    </row>
    <row r="6179" spans="5:13">
      <c r="E6179" s="355"/>
      <c r="F6179" s="355"/>
      <c r="G6179" s="355"/>
      <c r="H6179" s="355"/>
      <c r="I6179" s="355"/>
      <c r="J6179" s="355"/>
      <c r="K6179" s="355"/>
      <c r="L6179" s="355"/>
      <c r="M6179" s="355"/>
    </row>
    <row r="6180" spans="5:13">
      <c r="E6180" s="355"/>
      <c r="F6180" s="355"/>
      <c r="G6180" s="355"/>
      <c r="H6180" s="355"/>
      <c r="I6180" s="355"/>
      <c r="J6180" s="355"/>
      <c r="K6180" s="355"/>
      <c r="L6180" s="355"/>
      <c r="M6180" s="355"/>
    </row>
    <row r="6181" spans="5:13">
      <c r="E6181" s="355"/>
      <c r="F6181" s="355"/>
      <c r="G6181" s="355"/>
      <c r="H6181" s="355"/>
      <c r="I6181" s="355"/>
      <c r="J6181" s="355"/>
      <c r="K6181" s="355"/>
      <c r="L6181" s="355"/>
      <c r="M6181" s="355"/>
    </row>
    <row r="6182" spans="5:13">
      <c r="E6182" s="355"/>
      <c r="F6182" s="355"/>
      <c r="G6182" s="355"/>
      <c r="H6182" s="355"/>
      <c r="I6182" s="355"/>
      <c r="J6182" s="355"/>
      <c r="K6182" s="355"/>
      <c r="L6182" s="355"/>
      <c r="M6182" s="355"/>
    </row>
    <row r="6183" spans="5:13">
      <c r="E6183" s="355"/>
      <c r="F6183" s="355"/>
      <c r="G6183" s="355"/>
      <c r="H6183" s="355"/>
      <c r="I6183" s="355"/>
      <c r="J6183" s="355"/>
      <c r="K6183" s="355"/>
      <c r="L6183" s="355"/>
      <c r="M6183" s="355"/>
    </row>
    <row r="6184" spans="5:13">
      <c r="E6184" s="355"/>
      <c r="F6184" s="355"/>
      <c r="G6184" s="355"/>
      <c r="H6184" s="355"/>
      <c r="I6184" s="355"/>
      <c r="J6184" s="355"/>
      <c r="K6184" s="355"/>
      <c r="L6184" s="355"/>
      <c r="M6184" s="355"/>
    </row>
    <row r="6185" spans="5:13">
      <c r="E6185" s="355"/>
      <c r="F6185" s="355"/>
      <c r="G6185" s="355"/>
      <c r="H6185" s="355"/>
      <c r="I6185" s="355"/>
      <c r="J6185" s="355"/>
      <c r="K6185" s="355"/>
      <c r="L6185" s="355"/>
      <c r="M6185" s="355"/>
    </row>
    <row r="6186" spans="5:13">
      <c r="E6186" s="355"/>
      <c r="F6186" s="355"/>
      <c r="G6186" s="355"/>
      <c r="H6186" s="355"/>
      <c r="I6186" s="355"/>
      <c r="J6186" s="355"/>
      <c r="K6186" s="355"/>
      <c r="L6186" s="355"/>
      <c r="M6186" s="355"/>
    </row>
    <row r="6187" spans="5:13">
      <c r="E6187" s="355"/>
      <c r="F6187" s="355"/>
      <c r="G6187" s="355"/>
      <c r="H6187" s="355"/>
      <c r="I6187" s="355"/>
      <c r="J6187" s="355"/>
      <c r="K6187" s="355"/>
      <c r="L6187" s="355"/>
      <c r="M6187" s="355"/>
    </row>
    <row r="6188" spans="5:13">
      <c r="E6188" s="355"/>
      <c r="F6188" s="355"/>
      <c r="G6188" s="355"/>
      <c r="H6188" s="355"/>
      <c r="I6188" s="355"/>
      <c r="J6188" s="355"/>
      <c r="K6188" s="355"/>
      <c r="L6188" s="355"/>
      <c r="M6188" s="355"/>
    </row>
    <row r="6189" spans="5:13">
      <c r="E6189" s="355"/>
      <c r="F6189" s="355"/>
      <c r="G6189" s="355"/>
      <c r="H6189" s="355"/>
      <c r="I6189" s="355"/>
      <c r="J6189" s="355"/>
      <c r="K6189" s="355"/>
      <c r="L6189" s="355"/>
      <c r="M6189" s="355"/>
    </row>
    <row r="6190" spans="5:13">
      <c r="E6190" s="355"/>
      <c r="F6190" s="355"/>
      <c r="G6190" s="355"/>
      <c r="H6190" s="355"/>
      <c r="I6190" s="355"/>
      <c r="J6190" s="355"/>
      <c r="K6190" s="355"/>
      <c r="L6190" s="355"/>
      <c r="M6190" s="355"/>
    </row>
    <row r="6191" spans="5:13">
      <c r="E6191" s="355"/>
      <c r="F6191" s="355"/>
      <c r="G6191" s="355"/>
      <c r="H6191" s="355"/>
      <c r="I6191" s="355"/>
      <c r="J6191" s="355"/>
      <c r="K6191" s="355"/>
      <c r="L6191" s="355"/>
      <c r="M6191" s="355"/>
    </row>
    <row r="6192" spans="5:13">
      <c r="E6192" s="355"/>
      <c r="F6192" s="355"/>
      <c r="G6192" s="355"/>
      <c r="H6192" s="355"/>
      <c r="I6192" s="355"/>
      <c r="J6192" s="355"/>
      <c r="K6192" s="355"/>
      <c r="L6192" s="355"/>
      <c r="M6192" s="355"/>
    </row>
    <row r="6193" spans="5:13">
      <c r="E6193" s="355"/>
      <c r="F6193" s="355"/>
      <c r="G6193" s="355"/>
      <c r="H6193" s="355"/>
      <c r="I6193" s="355"/>
      <c r="J6193" s="355"/>
      <c r="K6193" s="355"/>
      <c r="L6193" s="355"/>
      <c r="M6193" s="355"/>
    </row>
    <row r="6194" spans="5:13">
      <c r="E6194" s="355"/>
      <c r="F6194" s="355"/>
      <c r="G6194" s="355"/>
      <c r="H6194" s="355"/>
      <c r="I6194" s="355"/>
      <c r="J6194" s="355"/>
      <c r="K6194" s="355"/>
      <c r="L6194" s="355"/>
      <c r="M6194" s="355"/>
    </row>
    <row r="6195" spans="5:13">
      <c r="E6195" s="355"/>
      <c r="F6195" s="355"/>
      <c r="G6195" s="355"/>
      <c r="H6195" s="355"/>
      <c r="I6195" s="355"/>
      <c r="J6195" s="355"/>
      <c r="K6195" s="355"/>
      <c r="L6195" s="355"/>
      <c r="M6195" s="355"/>
    </row>
    <row r="6196" spans="5:13">
      <c r="E6196" s="355"/>
      <c r="F6196" s="355"/>
      <c r="G6196" s="355"/>
      <c r="H6196" s="355"/>
      <c r="I6196" s="355"/>
      <c r="J6196" s="355"/>
      <c r="K6196" s="355"/>
      <c r="L6196" s="355"/>
      <c r="M6196" s="355"/>
    </row>
    <row r="6197" spans="5:13">
      <c r="E6197" s="355"/>
      <c r="F6197" s="355"/>
      <c r="G6197" s="355"/>
      <c r="H6197" s="355"/>
      <c r="I6197" s="355"/>
      <c r="J6197" s="355"/>
      <c r="K6197" s="355"/>
      <c r="L6197" s="355"/>
      <c r="M6197" s="355"/>
    </row>
    <row r="6198" spans="5:13">
      <c r="E6198" s="355"/>
      <c r="F6198" s="355"/>
      <c r="G6198" s="355"/>
      <c r="H6198" s="355"/>
      <c r="I6198" s="355"/>
      <c r="J6198" s="355"/>
      <c r="K6198" s="355"/>
      <c r="L6198" s="355"/>
      <c r="M6198" s="355"/>
    </row>
    <row r="6199" spans="5:13">
      <c r="E6199" s="355"/>
      <c r="F6199" s="355"/>
      <c r="G6199" s="355"/>
      <c r="H6199" s="355"/>
      <c r="I6199" s="355"/>
      <c r="J6199" s="355"/>
      <c r="K6199" s="355"/>
      <c r="L6199" s="355"/>
      <c r="M6199" s="355"/>
    </row>
    <row r="6200" spans="5:13">
      <c r="E6200" s="355"/>
      <c r="F6200" s="355"/>
      <c r="G6200" s="355"/>
      <c r="H6200" s="355"/>
      <c r="I6200" s="355"/>
      <c r="J6200" s="355"/>
      <c r="K6200" s="355"/>
      <c r="L6200" s="355"/>
      <c r="M6200" s="355"/>
    </row>
    <row r="6201" spans="5:13">
      <c r="E6201" s="355"/>
      <c r="F6201" s="355"/>
      <c r="G6201" s="355"/>
      <c r="H6201" s="355"/>
      <c r="I6201" s="355"/>
      <c r="J6201" s="355"/>
      <c r="K6201" s="355"/>
      <c r="L6201" s="355"/>
      <c r="M6201" s="355"/>
    </row>
    <row r="6202" spans="5:13">
      <c r="E6202" s="355"/>
      <c r="F6202" s="355"/>
      <c r="G6202" s="355"/>
      <c r="H6202" s="355"/>
      <c r="I6202" s="355"/>
      <c r="J6202" s="355"/>
      <c r="K6202" s="355"/>
      <c r="L6202" s="355"/>
      <c r="M6202" s="355"/>
    </row>
    <row r="6203" spans="5:13">
      <c r="E6203" s="355"/>
      <c r="F6203" s="355"/>
      <c r="G6203" s="355"/>
      <c r="H6203" s="355"/>
      <c r="I6203" s="355"/>
      <c r="J6203" s="355"/>
      <c r="K6203" s="355"/>
      <c r="L6203" s="355"/>
      <c r="M6203" s="355"/>
    </row>
    <row r="6204" spans="5:13">
      <c r="E6204" s="355"/>
      <c r="F6204" s="355"/>
      <c r="G6204" s="355"/>
      <c r="H6204" s="355"/>
      <c r="I6204" s="355"/>
      <c r="J6204" s="355"/>
      <c r="K6204" s="355"/>
      <c r="L6204" s="355"/>
      <c r="M6204" s="355"/>
    </row>
    <row r="6205" spans="5:13">
      <c r="E6205" s="355"/>
      <c r="F6205" s="355"/>
      <c r="G6205" s="355"/>
      <c r="H6205" s="355"/>
      <c r="I6205" s="355"/>
      <c r="J6205" s="355"/>
      <c r="K6205" s="355"/>
      <c r="L6205" s="355"/>
      <c r="M6205" s="355"/>
    </row>
    <row r="6206" spans="5:13">
      <c r="E6206" s="355"/>
      <c r="F6206" s="355"/>
      <c r="G6206" s="355"/>
      <c r="H6206" s="355"/>
      <c r="I6206" s="355"/>
      <c r="J6206" s="355"/>
      <c r="K6206" s="355"/>
      <c r="L6206" s="355"/>
      <c r="M6206" s="355"/>
    </row>
    <row r="6207" spans="5:13">
      <c r="E6207" s="355"/>
      <c r="F6207" s="355"/>
      <c r="G6207" s="355"/>
      <c r="H6207" s="355"/>
      <c r="I6207" s="355"/>
      <c r="J6207" s="355"/>
      <c r="K6207" s="355"/>
      <c r="L6207" s="355"/>
      <c r="M6207" s="355"/>
    </row>
    <row r="6208" spans="5:13">
      <c r="E6208" s="355"/>
      <c r="F6208" s="355"/>
      <c r="G6208" s="355"/>
      <c r="H6208" s="355"/>
      <c r="I6208" s="355"/>
      <c r="J6208" s="355"/>
      <c r="K6208" s="355"/>
      <c r="L6208" s="355"/>
      <c r="M6208" s="355"/>
    </row>
    <row r="6209" spans="5:13">
      <c r="E6209" s="355"/>
      <c r="F6209" s="355"/>
      <c r="G6209" s="355"/>
      <c r="H6209" s="355"/>
      <c r="I6209" s="355"/>
      <c r="J6209" s="355"/>
      <c r="K6209" s="355"/>
      <c r="L6209" s="355"/>
      <c r="M6209" s="355"/>
    </row>
    <row r="6210" spans="5:13">
      <c r="E6210" s="355"/>
      <c r="F6210" s="355"/>
      <c r="G6210" s="355"/>
      <c r="H6210" s="355"/>
      <c r="I6210" s="355"/>
      <c r="J6210" s="355"/>
      <c r="K6210" s="355"/>
      <c r="L6210" s="355"/>
      <c r="M6210" s="355"/>
    </row>
    <row r="6211" spans="5:13">
      <c r="E6211" s="355"/>
      <c r="F6211" s="355"/>
      <c r="G6211" s="355"/>
      <c r="H6211" s="355"/>
      <c r="I6211" s="355"/>
      <c r="J6211" s="355"/>
      <c r="K6211" s="355"/>
      <c r="L6211" s="355"/>
      <c r="M6211" s="355"/>
    </row>
    <row r="6212" spans="5:13">
      <c r="E6212" s="355"/>
      <c r="F6212" s="355"/>
      <c r="G6212" s="355"/>
      <c r="H6212" s="355"/>
      <c r="I6212" s="355"/>
      <c r="J6212" s="355"/>
      <c r="K6212" s="355"/>
      <c r="L6212" s="355"/>
      <c r="M6212" s="355"/>
    </row>
    <row r="6213" spans="5:13">
      <c r="E6213" s="355"/>
      <c r="F6213" s="355"/>
      <c r="G6213" s="355"/>
      <c r="H6213" s="355"/>
      <c r="I6213" s="355"/>
      <c r="J6213" s="355"/>
      <c r="K6213" s="355"/>
      <c r="L6213" s="355"/>
      <c r="M6213" s="355"/>
    </row>
    <row r="6214" spans="5:13">
      <c r="E6214" s="355"/>
      <c r="F6214" s="355"/>
      <c r="G6214" s="355"/>
      <c r="H6214" s="355"/>
      <c r="I6214" s="355"/>
      <c r="J6214" s="355"/>
      <c r="K6214" s="355"/>
      <c r="L6214" s="355"/>
      <c r="M6214" s="355"/>
    </row>
    <row r="6215" spans="5:13">
      <c r="E6215" s="355"/>
      <c r="F6215" s="355"/>
      <c r="G6215" s="355"/>
      <c r="H6215" s="355"/>
      <c r="I6215" s="355"/>
      <c r="J6215" s="355"/>
      <c r="K6215" s="355"/>
      <c r="L6215" s="355"/>
      <c r="M6215" s="355"/>
    </row>
    <row r="6216" spans="5:13">
      <c r="E6216" s="355"/>
      <c r="F6216" s="355"/>
      <c r="G6216" s="355"/>
      <c r="H6216" s="355"/>
      <c r="I6216" s="355"/>
      <c r="J6216" s="355"/>
      <c r="K6216" s="355"/>
      <c r="L6216" s="355"/>
      <c r="M6216" s="355"/>
    </row>
    <row r="6217" spans="5:13">
      <c r="E6217" s="355"/>
      <c r="F6217" s="355"/>
      <c r="G6217" s="355"/>
      <c r="H6217" s="355"/>
      <c r="I6217" s="355"/>
      <c r="J6217" s="355"/>
      <c r="K6217" s="355"/>
      <c r="L6217" s="355"/>
      <c r="M6217" s="355"/>
    </row>
    <row r="6218" spans="5:13">
      <c r="E6218" s="355"/>
      <c r="F6218" s="355"/>
      <c r="G6218" s="355"/>
      <c r="H6218" s="355"/>
      <c r="I6218" s="355"/>
      <c r="J6218" s="355"/>
      <c r="K6218" s="355"/>
      <c r="L6218" s="355"/>
      <c r="M6218" s="355"/>
    </row>
    <row r="6219" spans="5:13">
      <c r="E6219" s="355"/>
      <c r="F6219" s="355"/>
      <c r="G6219" s="355"/>
      <c r="H6219" s="355"/>
      <c r="I6219" s="355"/>
      <c r="J6219" s="355"/>
      <c r="K6219" s="355"/>
      <c r="L6219" s="355"/>
      <c r="M6219" s="355"/>
    </row>
    <row r="6220" spans="5:13">
      <c r="E6220" s="355"/>
      <c r="F6220" s="355"/>
      <c r="G6220" s="355"/>
      <c r="H6220" s="355"/>
      <c r="I6220" s="355"/>
      <c r="J6220" s="355"/>
      <c r="K6220" s="355"/>
      <c r="L6220" s="355"/>
      <c r="M6220" s="355"/>
    </row>
    <row r="6221" spans="5:13">
      <c r="E6221" s="355"/>
      <c r="F6221" s="355"/>
      <c r="G6221" s="355"/>
      <c r="H6221" s="355"/>
      <c r="I6221" s="355"/>
      <c r="J6221" s="355"/>
      <c r="K6221" s="355"/>
      <c r="L6221" s="355"/>
      <c r="M6221" s="355"/>
    </row>
    <row r="6222" spans="5:13">
      <c r="E6222" s="355"/>
      <c r="F6222" s="355"/>
      <c r="G6222" s="355"/>
      <c r="H6222" s="355"/>
      <c r="I6222" s="355"/>
      <c r="J6222" s="355"/>
      <c r="K6222" s="355"/>
      <c r="L6222" s="355"/>
      <c r="M6222" s="355"/>
    </row>
    <row r="6223" spans="5:13">
      <c r="E6223" s="355"/>
      <c r="F6223" s="355"/>
      <c r="G6223" s="355"/>
      <c r="H6223" s="355"/>
      <c r="I6223" s="355"/>
      <c r="J6223" s="355"/>
      <c r="K6223" s="355"/>
      <c r="L6223" s="355"/>
      <c r="M6223" s="355"/>
    </row>
    <row r="6224" spans="5:13">
      <c r="E6224" s="355"/>
      <c r="F6224" s="355"/>
      <c r="G6224" s="355"/>
      <c r="H6224" s="355"/>
      <c r="I6224" s="355"/>
      <c r="J6224" s="355"/>
      <c r="K6224" s="355"/>
      <c r="L6224" s="355"/>
      <c r="M6224" s="355"/>
    </row>
    <row r="6225" spans="5:13">
      <c r="E6225" s="355"/>
      <c r="F6225" s="355"/>
      <c r="G6225" s="355"/>
      <c r="H6225" s="355"/>
      <c r="I6225" s="355"/>
      <c r="J6225" s="355"/>
      <c r="K6225" s="355"/>
      <c r="L6225" s="355"/>
      <c r="M6225" s="355"/>
    </row>
    <row r="6226" spans="5:13">
      <c r="E6226" s="355"/>
      <c r="F6226" s="355"/>
      <c r="G6226" s="355"/>
      <c r="H6226" s="355"/>
      <c r="I6226" s="355"/>
      <c r="J6226" s="355"/>
      <c r="K6226" s="355"/>
      <c r="L6226" s="355"/>
      <c r="M6226" s="355"/>
    </row>
    <row r="6227" spans="5:13">
      <c r="E6227" s="355"/>
      <c r="F6227" s="355"/>
      <c r="G6227" s="355"/>
      <c r="H6227" s="355"/>
      <c r="I6227" s="355"/>
      <c r="J6227" s="355"/>
      <c r="K6227" s="355"/>
      <c r="L6227" s="355"/>
      <c r="M6227" s="355"/>
    </row>
    <row r="6228" spans="5:13">
      <c r="E6228" s="355"/>
      <c r="F6228" s="355"/>
      <c r="G6228" s="355"/>
      <c r="H6228" s="355"/>
      <c r="I6228" s="355"/>
      <c r="J6228" s="355"/>
      <c r="K6228" s="355"/>
      <c r="L6228" s="355"/>
      <c r="M6228" s="355"/>
    </row>
    <row r="6229" spans="5:13">
      <c r="E6229" s="355"/>
      <c r="F6229" s="355"/>
      <c r="G6229" s="355"/>
      <c r="H6229" s="355"/>
      <c r="I6229" s="355"/>
      <c r="J6229" s="355"/>
      <c r="K6229" s="355"/>
      <c r="L6229" s="355"/>
      <c r="M6229" s="355"/>
    </row>
    <row r="6230" spans="5:13">
      <c r="E6230" s="355"/>
      <c r="F6230" s="355"/>
      <c r="G6230" s="355"/>
      <c r="H6230" s="355"/>
      <c r="I6230" s="355"/>
      <c r="J6230" s="355"/>
      <c r="K6230" s="355"/>
      <c r="L6230" s="355"/>
      <c r="M6230" s="355"/>
    </row>
    <row r="6231" spans="5:13">
      <c r="E6231" s="355"/>
      <c r="F6231" s="355"/>
      <c r="G6231" s="355"/>
      <c r="H6231" s="355"/>
      <c r="I6231" s="355"/>
      <c r="J6231" s="355"/>
      <c r="K6231" s="355"/>
      <c r="L6231" s="355"/>
      <c r="M6231" s="355"/>
    </row>
    <row r="6232" spans="5:13">
      <c r="E6232" s="355"/>
      <c r="F6232" s="355"/>
      <c r="G6232" s="355"/>
      <c r="H6232" s="355"/>
      <c r="I6232" s="355"/>
      <c r="J6232" s="355"/>
      <c r="K6232" s="355"/>
      <c r="L6232" s="355"/>
      <c r="M6232" s="355"/>
    </row>
    <row r="6233" spans="5:13">
      <c r="E6233" s="355"/>
      <c r="F6233" s="355"/>
      <c r="G6233" s="355"/>
      <c r="H6233" s="355"/>
      <c r="I6233" s="355"/>
      <c r="J6233" s="355"/>
      <c r="K6233" s="355"/>
      <c r="L6233" s="355"/>
      <c r="M6233" s="355"/>
    </row>
    <row r="6234" spans="5:13">
      <c r="E6234" s="355"/>
      <c r="F6234" s="355"/>
      <c r="G6234" s="355"/>
      <c r="H6234" s="355"/>
      <c r="I6234" s="355"/>
      <c r="J6234" s="355"/>
      <c r="K6234" s="355"/>
      <c r="L6234" s="355"/>
      <c r="M6234" s="355"/>
    </row>
    <row r="6235" spans="5:13">
      <c r="E6235" s="355"/>
      <c r="F6235" s="355"/>
      <c r="G6235" s="355"/>
      <c r="H6235" s="355"/>
      <c r="I6235" s="355"/>
      <c r="J6235" s="355"/>
      <c r="K6235" s="355"/>
      <c r="L6235" s="355"/>
      <c r="M6235" s="355"/>
    </row>
    <row r="6236" spans="5:13">
      <c r="E6236" s="355"/>
      <c r="F6236" s="355"/>
      <c r="G6236" s="355"/>
      <c r="H6236" s="355"/>
      <c r="I6236" s="355"/>
      <c r="J6236" s="355"/>
      <c r="K6236" s="355"/>
      <c r="L6236" s="355"/>
      <c r="M6236" s="355"/>
    </row>
    <row r="6237" spans="5:13">
      <c r="E6237" s="355"/>
      <c r="F6237" s="355"/>
      <c r="G6237" s="355"/>
      <c r="H6237" s="355"/>
      <c r="I6237" s="355"/>
      <c r="J6237" s="355"/>
      <c r="K6237" s="355"/>
      <c r="L6237" s="355"/>
      <c r="M6237" s="355"/>
    </row>
    <row r="6238" spans="5:13">
      <c r="E6238" s="355"/>
      <c r="F6238" s="355"/>
      <c r="G6238" s="355"/>
      <c r="H6238" s="355"/>
      <c r="I6238" s="355"/>
      <c r="J6238" s="355"/>
      <c r="K6238" s="355"/>
      <c r="L6238" s="355"/>
      <c r="M6238" s="355"/>
    </row>
    <row r="6239" spans="5:13">
      <c r="E6239" s="355"/>
      <c r="F6239" s="355"/>
      <c r="G6239" s="355"/>
      <c r="H6239" s="355"/>
      <c r="I6239" s="355"/>
      <c r="J6239" s="355"/>
      <c r="K6239" s="355"/>
      <c r="L6239" s="355"/>
      <c r="M6239" s="355"/>
    </row>
    <row r="6240" spans="5:13">
      <c r="E6240" s="355"/>
      <c r="F6240" s="355"/>
      <c r="G6240" s="355"/>
      <c r="H6240" s="355"/>
      <c r="I6240" s="355"/>
      <c r="J6240" s="355"/>
      <c r="K6240" s="355"/>
      <c r="L6240" s="355"/>
      <c r="M6240" s="355"/>
    </row>
    <row r="6241" spans="5:13">
      <c r="E6241" s="355"/>
      <c r="F6241" s="355"/>
      <c r="G6241" s="355"/>
      <c r="H6241" s="355"/>
      <c r="I6241" s="355"/>
      <c r="J6241" s="355"/>
      <c r="K6241" s="355"/>
      <c r="L6241" s="355"/>
      <c r="M6241" s="355"/>
    </row>
    <row r="6242" spans="5:13">
      <c r="E6242" s="355"/>
      <c r="F6242" s="355"/>
      <c r="G6242" s="355"/>
      <c r="H6242" s="355"/>
      <c r="I6242" s="355"/>
      <c r="J6242" s="355"/>
      <c r="K6242" s="355"/>
      <c r="L6242" s="355"/>
      <c r="M6242" s="355"/>
    </row>
    <row r="6243" spans="5:13">
      <c r="E6243" s="355"/>
      <c r="F6243" s="355"/>
      <c r="G6243" s="355"/>
      <c r="H6243" s="355"/>
      <c r="I6243" s="355"/>
      <c r="J6243" s="355"/>
      <c r="K6243" s="355"/>
      <c r="L6243" s="355"/>
      <c r="M6243" s="355"/>
    </row>
    <row r="6244" spans="5:13">
      <c r="E6244" s="355"/>
      <c r="F6244" s="355"/>
      <c r="G6244" s="355"/>
      <c r="H6244" s="355"/>
      <c r="I6244" s="355"/>
      <c r="J6244" s="355"/>
      <c r="K6244" s="355"/>
      <c r="L6244" s="355"/>
      <c r="M6244" s="355"/>
    </row>
    <row r="6245" spans="5:13">
      <c r="E6245" s="355"/>
      <c r="F6245" s="355"/>
      <c r="G6245" s="355"/>
      <c r="H6245" s="355"/>
      <c r="I6245" s="355"/>
      <c r="J6245" s="355"/>
      <c r="K6245" s="355"/>
      <c r="L6245" s="355"/>
      <c r="M6245" s="355"/>
    </row>
    <row r="6246" spans="5:13">
      <c r="E6246" s="355"/>
      <c r="F6246" s="355"/>
      <c r="G6246" s="355"/>
      <c r="H6246" s="355"/>
      <c r="I6246" s="355"/>
      <c r="J6246" s="355"/>
      <c r="K6246" s="355"/>
      <c r="L6246" s="355"/>
      <c r="M6246" s="355"/>
    </row>
    <row r="6247" spans="5:13">
      <c r="E6247" s="355"/>
      <c r="F6247" s="355"/>
      <c r="G6247" s="355"/>
      <c r="H6247" s="355"/>
      <c r="I6247" s="355"/>
      <c r="J6247" s="355"/>
      <c r="K6247" s="355"/>
      <c r="L6247" s="355"/>
      <c r="M6247" s="355"/>
    </row>
    <row r="6248" spans="5:13">
      <c r="E6248" s="355"/>
      <c r="F6248" s="355"/>
      <c r="G6248" s="355"/>
      <c r="H6248" s="355"/>
      <c r="I6248" s="355"/>
      <c r="J6248" s="355"/>
      <c r="K6248" s="355"/>
      <c r="L6248" s="355"/>
      <c r="M6248" s="355"/>
    </row>
    <row r="6249" spans="5:13">
      <c r="E6249" s="355"/>
      <c r="F6249" s="355"/>
      <c r="G6249" s="355"/>
      <c r="H6249" s="355"/>
      <c r="I6249" s="355"/>
      <c r="J6249" s="355"/>
      <c r="K6249" s="355"/>
      <c r="L6249" s="355"/>
      <c r="M6249" s="355"/>
    </row>
    <row r="6250" spans="5:13">
      <c r="E6250" s="355"/>
      <c r="F6250" s="355"/>
      <c r="G6250" s="355"/>
      <c r="H6250" s="355"/>
      <c r="I6250" s="355"/>
      <c r="J6250" s="355"/>
      <c r="K6250" s="355"/>
      <c r="L6250" s="355"/>
      <c r="M6250" s="355"/>
    </row>
    <row r="6251" spans="5:13">
      <c r="E6251" s="355"/>
      <c r="F6251" s="355"/>
      <c r="G6251" s="355"/>
      <c r="H6251" s="355"/>
      <c r="I6251" s="355"/>
      <c r="J6251" s="355"/>
      <c r="K6251" s="355"/>
      <c r="L6251" s="355"/>
      <c r="M6251" s="355"/>
    </row>
    <row r="6252" spans="5:13">
      <c r="E6252" s="355"/>
      <c r="F6252" s="355"/>
      <c r="G6252" s="355"/>
      <c r="H6252" s="355"/>
      <c r="I6252" s="355"/>
      <c r="J6252" s="355"/>
      <c r="K6252" s="355"/>
      <c r="L6252" s="355"/>
      <c r="M6252" s="355"/>
    </row>
    <row r="6253" spans="5:13">
      <c r="E6253" s="355"/>
      <c r="F6253" s="355"/>
      <c r="G6253" s="355"/>
      <c r="H6253" s="355"/>
      <c r="I6253" s="355"/>
      <c r="J6253" s="355"/>
      <c r="K6253" s="355"/>
      <c r="L6253" s="355"/>
      <c r="M6253" s="355"/>
    </row>
    <row r="6254" spans="5:13">
      <c r="E6254" s="355"/>
      <c r="F6254" s="355"/>
      <c r="G6254" s="355"/>
      <c r="H6254" s="355"/>
      <c r="I6254" s="355"/>
      <c r="J6254" s="355"/>
      <c r="K6254" s="355"/>
      <c r="L6254" s="355"/>
      <c r="M6254" s="355"/>
    </row>
    <row r="6255" spans="5:13">
      <c r="E6255" s="355"/>
      <c r="F6255" s="355"/>
      <c r="G6255" s="355"/>
      <c r="H6255" s="355"/>
      <c r="I6255" s="355"/>
      <c r="J6255" s="355"/>
      <c r="K6255" s="355"/>
      <c r="L6255" s="355"/>
      <c r="M6255" s="355"/>
    </row>
    <row r="6256" spans="5:13">
      <c r="E6256" s="355"/>
      <c r="F6256" s="355"/>
      <c r="G6256" s="355"/>
      <c r="H6256" s="355"/>
      <c r="I6256" s="355"/>
      <c r="J6256" s="355"/>
      <c r="K6256" s="355"/>
      <c r="L6256" s="355"/>
      <c r="M6256" s="355"/>
    </row>
    <row r="6257" spans="5:13">
      <c r="E6257" s="355"/>
      <c r="F6257" s="355"/>
      <c r="G6257" s="355"/>
      <c r="H6257" s="355"/>
      <c r="I6257" s="355"/>
      <c r="J6257" s="355"/>
      <c r="K6257" s="355"/>
      <c r="L6257" s="355"/>
      <c r="M6257" s="355"/>
    </row>
    <row r="6258" spans="5:13">
      <c r="E6258" s="355"/>
      <c r="F6258" s="355"/>
      <c r="G6258" s="355"/>
      <c r="H6258" s="355"/>
      <c r="I6258" s="355"/>
      <c r="J6258" s="355"/>
      <c r="K6258" s="355"/>
      <c r="L6258" s="355"/>
      <c r="M6258" s="355"/>
    </row>
    <row r="6259" spans="5:13">
      <c r="E6259" s="355"/>
      <c r="F6259" s="355"/>
      <c r="G6259" s="355"/>
      <c r="H6259" s="355"/>
      <c r="I6259" s="355"/>
      <c r="J6259" s="355"/>
      <c r="K6259" s="355"/>
      <c r="L6259" s="355"/>
      <c r="M6259" s="355"/>
    </row>
    <row r="6260" spans="5:13">
      <c r="E6260" s="355"/>
      <c r="F6260" s="355"/>
      <c r="G6260" s="355"/>
      <c r="H6260" s="355"/>
      <c r="I6260" s="355"/>
      <c r="J6260" s="355"/>
      <c r="K6260" s="355"/>
      <c r="L6260" s="355"/>
      <c r="M6260" s="355"/>
    </row>
    <row r="6261" spans="5:13">
      <c r="E6261" s="355"/>
      <c r="F6261" s="355"/>
      <c r="G6261" s="355"/>
      <c r="H6261" s="355"/>
      <c r="I6261" s="355"/>
      <c r="J6261" s="355"/>
      <c r="K6261" s="355"/>
      <c r="L6261" s="355"/>
      <c r="M6261" s="355"/>
    </row>
    <row r="6262" spans="5:13">
      <c r="E6262" s="355"/>
      <c r="F6262" s="355"/>
      <c r="G6262" s="355"/>
      <c r="H6262" s="355"/>
      <c r="I6262" s="355"/>
      <c r="J6262" s="355"/>
      <c r="K6262" s="355"/>
      <c r="L6262" s="355"/>
      <c r="M6262" s="355"/>
    </row>
    <row r="6263" spans="5:13">
      <c r="E6263" s="355"/>
      <c r="F6263" s="355"/>
      <c r="G6263" s="355"/>
      <c r="H6263" s="355"/>
      <c r="I6263" s="355"/>
      <c r="J6263" s="355"/>
      <c r="K6263" s="355"/>
      <c r="L6263" s="355"/>
      <c r="M6263" s="355"/>
    </row>
    <row r="6264" spans="5:13">
      <c r="E6264" s="355"/>
      <c r="F6264" s="355"/>
      <c r="G6264" s="355"/>
      <c r="H6264" s="355"/>
      <c r="I6264" s="355"/>
      <c r="J6264" s="355"/>
      <c r="K6264" s="355"/>
      <c r="L6264" s="355"/>
      <c r="M6264" s="355"/>
    </row>
    <row r="6265" spans="5:13">
      <c r="E6265" s="355"/>
      <c r="F6265" s="355"/>
      <c r="G6265" s="355"/>
      <c r="H6265" s="355"/>
      <c r="I6265" s="355"/>
      <c r="J6265" s="355"/>
      <c r="K6265" s="355"/>
      <c r="L6265" s="355"/>
      <c r="M6265" s="355"/>
    </row>
    <row r="6266" spans="5:13">
      <c r="E6266" s="355"/>
      <c r="F6266" s="355"/>
      <c r="G6266" s="355"/>
      <c r="H6266" s="355"/>
      <c r="I6266" s="355"/>
      <c r="J6266" s="355"/>
      <c r="K6266" s="355"/>
      <c r="L6266" s="355"/>
      <c r="M6266" s="355"/>
    </row>
    <row r="6267" spans="5:13">
      <c r="E6267" s="355"/>
      <c r="F6267" s="355"/>
      <c r="G6267" s="355"/>
      <c r="H6267" s="355"/>
      <c r="I6267" s="355"/>
      <c r="J6267" s="355"/>
      <c r="K6267" s="355"/>
      <c r="L6267" s="355"/>
      <c r="M6267" s="355"/>
    </row>
    <row r="6268" spans="5:13">
      <c r="E6268" s="355"/>
      <c r="F6268" s="355"/>
      <c r="G6268" s="355"/>
      <c r="H6268" s="355"/>
      <c r="I6268" s="355"/>
      <c r="J6268" s="355"/>
      <c r="K6268" s="355"/>
      <c r="L6268" s="355"/>
      <c r="M6268" s="355"/>
    </row>
    <row r="6269" spans="5:13">
      <c r="E6269" s="355"/>
      <c r="F6269" s="355"/>
      <c r="G6269" s="355"/>
      <c r="H6269" s="355"/>
      <c r="I6269" s="355"/>
      <c r="J6269" s="355"/>
      <c r="K6269" s="355"/>
      <c r="L6269" s="355"/>
      <c r="M6269" s="355"/>
    </row>
    <row r="6270" spans="5:13">
      <c r="E6270" s="355"/>
      <c r="F6270" s="355"/>
      <c r="G6270" s="355"/>
      <c r="H6270" s="355"/>
      <c r="I6270" s="355"/>
      <c r="J6270" s="355"/>
      <c r="K6270" s="355"/>
      <c r="L6270" s="355"/>
      <c r="M6270" s="355"/>
    </row>
    <row r="6271" spans="5:13">
      <c r="E6271" s="355"/>
      <c r="F6271" s="355"/>
      <c r="G6271" s="355"/>
      <c r="H6271" s="355"/>
      <c r="I6271" s="355"/>
      <c r="J6271" s="355"/>
      <c r="K6271" s="355"/>
      <c r="L6271" s="355"/>
      <c r="M6271" s="355"/>
    </row>
    <row r="6272" spans="5:13">
      <c r="E6272" s="355"/>
      <c r="F6272" s="355"/>
      <c r="G6272" s="355"/>
      <c r="H6272" s="355"/>
      <c r="I6272" s="355"/>
      <c r="J6272" s="355"/>
      <c r="K6272" s="355"/>
      <c r="L6272" s="355"/>
      <c r="M6272" s="355"/>
    </row>
    <row r="6273" spans="5:13">
      <c r="E6273" s="355"/>
      <c r="F6273" s="355"/>
      <c r="G6273" s="355"/>
      <c r="H6273" s="355"/>
      <c r="I6273" s="355"/>
      <c r="J6273" s="355"/>
      <c r="K6273" s="355"/>
      <c r="L6273" s="355"/>
      <c r="M6273" s="355"/>
    </row>
    <row r="6274" spans="5:13">
      <c r="E6274" s="355"/>
      <c r="F6274" s="355"/>
      <c r="G6274" s="355"/>
      <c r="H6274" s="355"/>
      <c r="I6274" s="355"/>
      <c r="J6274" s="355"/>
      <c r="K6274" s="355"/>
      <c r="L6274" s="355"/>
      <c r="M6274" s="355"/>
    </row>
    <row r="6275" spans="5:13">
      <c r="E6275" s="355"/>
      <c r="F6275" s="355"/>
      <c r="G6275" s="355"/>
      <c r="H6275" s="355"/>
      <c r="I6275" s="355"/>
      <c r="J6275" s="355"/>
      <c r="K6275" s="355"/>
      <c r="L6275" s="355"/>
      <c r="M6275" s="355"/>
    </row>
    <row r="6276" spans="5:13">
      <c r="E6276" s="355"/>
      <c r="F6276" s="355"/>
      <c r="G6276" s="355"/>
      <c r="H6276" s="355"/>
      <c r="I6276" s="355"/>
      <c r="J6276" s="355"/>
      <c r="K6276" s="355"/>
      <c r="L6276" s="355"/>
      <c r="M6276" s="355"/>
    </row>
    <row r="6277" spans="5:13">
      <c r="E6277" s="355"/>
      <c r="F6277" s="355"/>
      <c r="G6277" s="355"/>
      <c r="H6277" s="355"/>
      <c r="I6277" s="355"/>
      <c r="J6277" s="355"/>
      <c r="K6277" s="355"/>
      <c r="L6277" s="355"/>
      <c r="M6277" s="355"/>
    </row>
    <row r="6278" spans="5:13">
      <c r="E6278" s="355"/>
      <c r="F6278" s="355"/>
      <c r="G6278" s="355"/>
      <c r="H6278" s="355"/>
      <c r="I6278" s="355"/>
      <c r="J6278" s="355"/>
      <c r="K6278" s="355"/>
      <c r="L6278" s="355"/>
      <c r="M6278" s="355"/>
    </row>
    <row r="6279" spans="5:13">
      <c r="E6279" s="355"/>
      <c r="F6279" s="355"/>
      <c r="G6279" s="355"/>
      <c r="H6279" s="355"/>
      <c r="I6279" s="355"/>
      <c r="J6279" s="355"/>
      <c r="K6279" s="355"/>
      <c r="L6279" s="355"/>
      <c r="M6279" s="355"/>
    </row>
    <row r="6280" spans="5:13">
      <c r="E6280" s="355"/>
      <c r="F6280" s="355"/>
      <c r="G6280" s="355"/>
      <c r="H6280" s="355"/>
      <c r="I6280" s="355"/>
      <c r="J6280" s="355"/>
      <c r="K6280" s="355"/>
      <c r="L6280" s="355"/>
      <c r="M6280" s="355"/>
    </row>
    <row r="6281" spans="5:13">
      <c r="E6281" s="355"/>
      <c r="F6281" s="355"/>
      <c r="G6281" s="355"/>
      <c r="H6281" s="355"/>
      <c r="I6281" s="355"/>
      <c r="J6281" s="355"/>
      <c r="K6281" s="355"/>
      <c r="L6281" s="355"/>
      <c r="M6281" s="355"/>
    </row>
    <row r="6282" spans="5:13">
      <c r="E6282" s="355"/>
      <c r="F6282" s="355"/>
      <c r="G6282" s="355"/>
      <c r="H6282" s="355"/>
      <c r="I6282" s="355"/>
      <c r="J6282" s="355"/>
      <c r="K6282" s="355"/>
      <c r="L6282" s="355"/>
      <c r="M6282" s="355"/>
    </row>
    <row r="6283" spans="5:13">
      <c r="E6283" s="355"/>
      <c r="F6283" s="355"/>
      <c r="G6283" s="355"/>
      <c r="H6283" s="355"/>
      <c r="I6283" s="355"/>
      <c r="J6283" s="355"/>
      <c r="K6283" s="355"/>
      <c r="L6283" s="355"/>
      <c r="M6283" s="355"/>
    </row>
    <row r="6284" spans="5:13">
      <c r="E6284" s="355"/>
      <c r="F6284" s="355"/>
      <c r="G6284" s="355"/>
      <c r="H6284" s="355"/>
      <c r="I6284" s="355"/>
      <c r="J6284" s="355"/>
      <c r="K6284" s="355"/>
      <c r="L6284" s="355"/>
      <c r="M6284" s="355"/>
    </row>
    <row r="6285" spans="5:13">
      <c r="E6285" s="355"/>
      <c r="F6285" s="355"/>
      <c r="G6285" s="355"/>
      <c r="H6285" s="355"/>
      <c r="I6285" s="355"/>
      <c r="J6285" s="355"/>
      <c r="K6285" s="355"/>
      <c r="L6285" s="355"/>
      <c r="M6285" s="355"/>
    </row>
    <row r="6286" spans="5:13">
      <c r="E6286" s="355"/>
      <c r="F6286" s="355"/>
      <c r="G6286" s="355"/>
      <c r="H6286" s="355"/>
      <c r="I6286" s="355"/>
      <c r="J6286" s="355"/>
      <c r="K6286" s="355"/>
      <c r="L6286" s="355"/>
      <c r="M6286" s="355"/>
    </row>
    <row r="6287" spans="5:13">
      <c r="E6287" s="355"/>
      <c r="F6287" s="355"/>
      <c r="G6287" s="355"/>
      <c r="H6287" s="355"/>
      <c r="I6287" s="355"/>
      <c r="J6287" s="355"/>
      <c r="K6287" s="355"/>
      <c r="L6287" s="355"/>
      <c r="M6287" s="355"/>
    </row>
    <row r="6288" spans="5:13">
      <c r="E6288" s="355"/>
      <c r="F6288" s="355"/>
      <c r="G6288" s="355"/>
      <c r="H6288" s="355"/>
      <c r="I6288" s="355"/>
      <c r="J6288" s="355"/>
      <c r="K6288" s="355"/>
      <c r="L6288" s="355"/>
      <c r="M6288" s="355"/>
    </row>
    <row r="6289" spans="5:13">
      <c r="E6289" s="355"/>
      <c r="F6289" s="355"/>
      <c r="G6289" s="355"/>
      <c r="H6289" s="355"/>
      <c r="I6289" s="355"/>
      <c r="J6289" s="355"/>
      <c r="K6289" s="355"/>
      <c r="L6289" s="355"/>
      <c r="M6289" s="355"/>
    </row>
    <row r="6290" spans="5:13">
      <c r="E6290" s="355"/>
      <c r="F6290" s="355"/>
      <c r="G6290" s="355"/>
      <c r="H6290" s="355"/>
      <c r="I6290" s="355"/>
      <c r="J6290" s="355"/>
      <c r="K6290" s="355"/>
      <c r="L6290" s="355"/>
      <c r="M6290" s="355"/>
    </row>
    <row r="6291" spans="5:13">
      <c r="E6291" s="355"/>
      <c r="F6291" s="355"/>
      <c r="G6291" s="355"/>
      <c r="H6291" s="355"/>
      <c r="I6291" s="355"/>
      <c r="J6291" s="355"/>
      <c r="K6291" s="355"/>
      <c r="L6291" s="355"/>
      <c r="M6291" s="355"/>
    </row>
    <row r="6292" spans="5:13">
      <c r="E6292" s="355"/>
      <c r="F6292" s="355"/>
      <c r="G6292" s="355"/>
      <c r="H6292" s="355"/>
      <c r="I6292" s="355"/>
      <c r="J6292" s="355"/>
      <c r="K6292" s="355"/>
      <c r="L6292" s="355"/>
      <c r="M6292" s="355"/>
    </row>
    <row r="6293" spans="5:13">
      <c r="E6293" s="355"/>
      <c r="F6293" s="355"/>
      <c r="G6293" s="355"/>
      <c r="H6293" s="355"/>
      <c r="I6293" s="355"/>
      <c r="J6293" s="355"/>
      <c r="K6293" s="355"/>
      <c r="L6293" s="355"/>
      <c r="M6293" s="355"/>
    </row>
    <row r="6294" spans="5:13">
      <c r="E6294" s="355"/>
      <c r="F6294" s="355"/>
      <c r="G6294" s="355"/>
      <c r="H6294" s="355"/>
      <c r="I6294" s="355"/>
      <c r="J6294" s="355"/>
      <c r="K6294" s="355"/>
      <c r="L6294" s="355"/>
      <c r="M6294" s="355"/>
    </row>
    <row r="6295" spans="5:13">
      <c r="E6295" s="355"/>
      <c r="F6295" s="355"/>
      <c r="G6295" s="355"/>
      <c r="H6295" s="355"/>
      <c r="I6295" s="355"/>
      <c r="J6295" s="355"/>
      <c r="K6295" s="355"/>
      <c r="L6295" s="355"/>
      <c r="M6295" s="355"/>
    </row>
    <row r="6296" spans="5:13">
      <c r="E6296" s="355"/>
      <c r="F6296" s="355"/>
      <c r="G6296" s="355"/>
      <c r="H6296" s="355"/>
      <c r="I6296" s="355"/>
      <c r="J6296" s="355"/>
      <c r="K6296" s="355"/>
      <c r="L6296" s="355"/>
      <c r="M6296" s="355"/>
    </row>
    <row r="6297" spans="5:13">
      <c r="E6297" s="355"/>
      <c r="F6297" s="355"/>
      <c r="G6297" s="355"/>
      <c r="H6297" s="355"/>
      <c r="I6297" s="355"/>
      <c r="J6297" s="355"/>
      <c r="K6297" s="355"/>
      <c r="L6297" s="355"/>
      <c r="M6297" s="355"/>
    </row>
    <row r="6298" spans="5:13">
      <c r="E6298" s="355"/>
      <c r="F6298" s="355"/>
      <c r="G6298" s="355"/>
      <c r="H6298" s="355"/>
      <c r="I6298" s="355"/>
      <c r="J6298" s="355"/>
      <c r="K6298" s="355"/>
      <c r="L6298" s="355"/>
      <c r="M6298" s="355"/>
    </row>
    <row r="6299" spans="5:13">
      <c r="E6299" s="355"/>
      <c r="F6299" s="355"/>
      <c r="G6299" s="355"/>
      <c r="H6299" s="355"/>
      <c r="I6299" s="355"/>
      <c r="J6299" s="355"/>
      <c r="K6299" s="355"/>
      <c r="L6299" s="355"/>
      <c r="M6299" s="355"/>
    </row>
    <row r="6300" spans="5:13">
      <c r="E6300" s="355"/>
      <c r="F6300" s="355"/>
      <c r="G6300" s="355"/>
      <c r="H6300" s="355"/>
      <c r="I6300" s="355"/>
      <c r="J6300" s="355"/>
      <c r="K6300" s="355"/>
      <c r="L6300" s="355"/>
      <c r="M6300" s="355"/>
    </row>
    <row r="6301" spans="5:13">
      <c r="E6301" s="355"/>
      <c r="F6301" s="355"/>
      <c r="G6301" s="355"/>
      <c r="H6301" s="355"/>
      <c r="I6301" s="355"/>
      <c r="J6301" s="355"/>
      <c r="K6301" s="355"/>
      <c r="L6301" s="355"/>
      <c r="M6301" s="355"/>
    </row>
    <row r="6302" spans="5:13">
      <c r="E6302" s="355"/>
      <c r="F6302" s="355"/>
      <c r="G6302" s="355"/>
      <c r="H6302" s="355"/>
      <c r="I6302" s="355"/>
      <c r="J6302" s="355"/>
      <c r="K6302" s="355"/>
      <c r="L6302" s="355"/>
      <c r="M6302" s="355"/>
    </row>
    <row r="6303" spans="5:13">
      <c r="E6303" s="355"/>
      <c r="F6303" s="355"/>
      <c r="G6303" s="355"/>
      <c r="H6303" s="355"/>
      <c r="I6303" s="355"/>
      <c r="J6303" s="355"/>
      <c r="K6303" s="355"/>
      <c r="L6303" s="355"/>
      <c r="M6303" s="355"/>
    </row>
    <row r="6304" spans="5:13">
      <c r="E6304" s="355"/>
      <c r="F6304" s="355"/>
      <c r="G6304" s="355"/>
      <c r="H6304" s="355"/>
      <c r="I6304" s="355"/>
      <c r="J6304" s="355"/>
      <c r="K6304" s="355"/>
      <c r="L6304" s="355"/>
      <c r="M6304" s="355"/>
    </row>
    <row r="6305" spans="5:13">
      <c r="E6305" s="355"/>
      <c r="F6305" s="355"/>
      <c r="G6305" s="355"/>
      <c r="H6305" s="355"/>
      <c r="I6305" s="355"/>
      <c r="J6305" s="355"/>
      <c r="K6305" s="355"/>
      <c r="L6305" s="355"/>
      <c r="M6305" s="355"/>
    </row>
    <row r="6306" spans="5:13">
      <c r="E6306" s="355"/>
      <c r="F6306" s="355"/>
      <c r="G6306" s="355"/>
      <c r="H6306" s="355"/>
      <c r="I6306" s="355"/>
      <c r="J6306" s="355"/>
      <c r="K6306" s="355"/>
      <c r="L6306" s="355"/>
      <c r="M6306" s="355"/>
    </row>
    <row r="6307" spans="5:13">
      <c r="E6307" s="355"/>
      <c r="F6307" s="355"/>
      <c r="G6307" s="355"/>
      <c r="H6307" s="355"/>
      <c r="I6307" s="355"/>
      <c r="J6307" s="355"/>
      <c r="K6307" s="355"/>
      <c r="L6307" s="355"/>
      <c r="M6307" s="355"/>
    </row>
    <row r="6308" spans="5:13">
      <c r="E6308" s="355"/>
      <c r="F6308" s="355"/>
      <c r="G6308" s="355"/>
      <c r="H6308" s="355"/>
      <c r="I6308" s="355"/>
      <c r="J6308" s="355"/>
      <c r="K6308" s="355"/>
      <c r="L6308" s="355"/>
      <c r="M6308" s="355"/>
    </row>
    <row r="6309" spans="5:13">
      <c r="E6309" s="355"/>
      <c r="F6309" s="355"/>
      <c r="G6309" s="355"/>
      <c r="H6309" s="355"/>
      <c r="I6309" s="355"/>
      <c r="J6309" s="355"/>
      <c r="K6309" s="355"/>
      <c r="L6309" s="355"/>
      <c r="M6309" s="355"/>
    </row>
    <row r="6310" spans="5:13">
      <c r="E6310" s="355"/>
      <c r="F6310" s="355"/>
      <c r="G6310" s="355"/>
      <c r="H6310" s="355"/>
      <c r="I6310" s="355"/>
      <c r="J6310" s="355"/>
      <c r="K6310" s="355"/>
      <c r="L6310" s="355"/>
      <c r="M6310" s="355"/>
    </row>
    <row r="6311" spans="5:13">
      <c r="E6311" s="355"/>
      <c r="F6311" s="355"/>
      <c r="G6311" s="355"/>
      <c r="H6311" s="355"/>
      <c r="I6311" s="355"/>
      <c r="J6311" s="355"/>
      <c r="K6311" s="355"/>
      <c r="L6311" s="355"/>
      <c r="M6311" s="355"/>
    </row>
    <row r="6312" spans="5:13">
      <c r="E6312" s="355"/>
      <c r="F6312" s="355"/>
      <c r="G6312" s="355"/>
      <c r="H6312" s="355"/>
      <c r="I6312" s="355"/>
      <c r="J6312" s="355"/>
      <c r="K6312" s="355"/>
      <c r="L6312" s="355"/>
      <c r="M6312" s="355"/>
    </row>
    <row r="6313" spans="5:13">
      <c r="E6313" s="355"/>
      <c r="F6313" s="355"/>
      <c r="G6313" s="355"/>
      <c r="H6313" s="355"/>
      <c r="I6313" s="355"/>
      <c r="J6313" s="355"/>
      <c r="K6313" s="355"/>
      <c r="L6313" s="355"/>
      <c r="M6313" s="355"/>
    </row>
    <row r="6314" spans="5:13">
      <c r="E6314" s="355"/>
      <c r="F6314" s="355"/>
      <c r="G6314" s="355"/>
      <c r="H6314" s="355"/>
      <c r="I6314" s="355"/>
      <c r="J6314" s="355"/>
      <c r="K6314" s="355"/>
      <c r="L6314" s="355"/>
      <c r="M6314" s="355"/>
    </row>
    <row r="6315" spans="5:13">
      <c r="E6315" s="355"/>
      <c r="F6315" s="355"/>
      <c r="G6315" s="355"/>
      <c r="H6315" s="355"/>
      <c r="I6315" s="355"/>
      <c r="J6315" s="355"/>
      <c r="K6315" s="355"/>
      <c r="L6315" s="355"/>
      <c r="M6315" s="355"/>
    </row>
    <row r="6316" spans="5:13">
      <c r="E6316" s="355"/>
      <c r="F6316" s="355"/>
      <c r="G6316" s="355"/>
      <c r="H6316" s="355"/>
      <c r="I6316" s="355"/>
      <c r="J6316" s="355"/>
      <c r="K6316" s="355"/>
      <c r="L6316" s="355"/>
      <c r="M6316" s="355"/>
    </row>
    <row r="6317" spans="5:13">
      <c r="E6317" s="355"/>
      <c r="F6317" s="355"/>
      <c r="G6317" s="355"/>
      <c r="H6317" s="355"/>
      <c r="I6317" s="355"/>
      <c r="J6317" s="355"/>
      <c r="K6317" s="355"/>
      <c r="L6317" s="355"/>
      <c r="M6317" s="355"/>
    </row>
    <row r="6318" spans="5:13">
      <c r="E6318" s="355"/>
      <c r="F6318" s="355"/>
      <c r="G6318" s="355"/>
      <c r="H6318" s="355"/>
      <c r="I6318" s="355"/>
      <c r="J6318" s="355"/>
      <c r="K6318" s="355"/>
      <c r="L6318" s="355"/>
      <c r="M6318" s="355"/>
    </row>
    <row r="6319" spans="5:13">
      <c r="E6319" s="355"/>
      <c r="F6319" s="355"/>
      <c r="G6319" s="355"/>
      <c r="H6319" s="355"/>
      <c r="I6319" s="355"/>
      <c r="J6319" s="355"/>
      <c r="K6319" s="355"/>
      <c r="L6319" s="355"/>
      <c r="M6319" s="355"/>
    </row>
    <row r="6320" spans="5:13">
      <c r="E6320" s="355"/>
      <c r="F6320" s="355"/>
      <c r="G6320" s="355"/>
      <c r="H6320" s="355"/>
      <c r="I6320" s="355"/>
      <c r="J6320" s="355"/>
      <c r="K6320" s="355"/>
      <c r="L6320" s="355"/>
      <c r="M6320" s="355"/>
    </row>
    <row r="6321" spans="5:13">
      <c r="E6321" s="355"/>
      <c r="F6321" s="355"/>
      <c r="G6321" s="355"/>
      <c r="H6321" s="355"/>
      <c r="I6321" s="355"/>
      <c r="J6321" s="355"/>
      <c r="K6321" s="355"/>
      <c r="L6321" s="355"/>
      <c r="M6321" s="355"/>
    </row>
    <row r="6322" spans="5:13">
      <c r="E6322" s="355"/>
      <c r="F6322" s="355"/>
      <c r="G6322" s="355"/>
      <c r="H6322" s="355"/>
      <c r="I6322" s="355"/>
      <c r="J6322" s="355"/>
      <c r="K6322" s="355"/>
      <c r="L6322" s="355"/>
      <c r="M6322" s="355"/>
    </row>
    <row r="6323" spans="5:13">
      <c r="E6323" s="355"/>
      <c r="F6323" s="355"/>
      <c r="G6323" s="355"/>
      <c r="H6323" s="355"/>
      <c r="I6323" s="355"/>
      <c r="J6323" s="355"/>
      <c r="K6323" s="355"/>
      <c r="L6323" s="355"/>
      <c r="M6323" s="355"/>
    </row>
    <row r="6324" spans="5:13">
      <c r="E6324" s="355"/>
      <c r="F6324" s="355"/>
      <c r="G6324" s="355"/>
      <c r="H6324" s="355"/>
      <c r="I6324" s="355"/>
      <c r="J6324" s="355"/>
      <c r="K6324" s="355"/>
      <c r="L6324" s="355"/>
      <c r="M6324" s="355"/>
    </row>
    <row r="6325" spans="5:13">
      <c r="E6325" s="355"/>
      <c r="F6325" s="355"/>
      <c r="G6325" s="355"/>
      <c r="H6325" s="355"/>
      <c r="I6325" s="355"/>
      <c r="J6325" s="355"/>
      <c r="K6325" s="355"/>
      <c r="L6325" s="355"/>
      <c r="M6325" s="355"/>
    </row>
    <row r="6326" spans="5:13">
      <c r="E6326" s="355"/>
      <c r="F6326" s="355"/>
      <c r="G6326" s="355"/>
      <c r="H6326" s="355"/>
      <c r="I6326" s="355"/>
      <c r="J6326" s="355"/>
      <c r="K6326" s="355"/>
      <c r="L6326" s="355"/>
      <c r="M6326" s="355"/>
    </row>
    <row r="6327" spans="5:13">
      <c r="E6327" s="355"/>
      <c r="F6327" s="355"/>
      <c r="G6327" s="355"/>
      <c r="H6327" s="355"/>
      <c r="I6327" s="355"/>
      <c r="J6327" s="355"/>
      <c r="K6327" s="355"/>
      <c r="L6327" s="355"/>
      <c r="M6327" s="355"/>
    </row>
    <row r="6328" spans="5:13">
      <c r="E6328" s="355"/>
      <c r="F6328" s="355"/>
      <c r="G6328" s="355"/>
      <c r="H6328" s="355"/>
      <c r="I6328" s="355"/>
      <c r="J6328" s="355"/>
      <c r="K6328" s="355"/>
      <c r="L6328" s="355"/>
      <c r="M6328" s="355"/>
    </row>
    <row r="6329" spans="5:13">
      <c r="E6329" s="355"/>
      <c r="F6329" s="355"/>
      <c r="G6329" s="355"/>
      <c r="H6329" s="355"/>
      <c r="I6329" s="355"/>
      <c r="J6329" s="355"/>
      <c r="K6329" s="355"/>
      <c r="L6329" s="355"/>
      <c r="M6329" s="355"/>
    </row>
    <row r="6330" spans="5:13">
      <c r="E6330" s="355"/>
      <c r="F6330" s="355"/>
      <c r="G6330" s="355"/>
      <c r="H6330" s="355"/>
      <c r="I6330" s="355"/>
      <c r="J6330" s="355"/>
      <c r="K6330" s="355"/>
      <c r="L6330" s="355"/>
      <c r="M6330" s="355"/>
    </row>
    <row r="6331" spans="5:13">
      <c r="E6331" s="355"/>
      <c r="F6331" s="355"/>
      <c r="G6331" s="355"/>
      <c r="H6331" s="355"/>
      <c r="I6331" s="355"/>
      <c r="J6331" s="355"/>
      <c r="K6331" s="355"/>
      <c r="L6331" s="355"/>
      <c r="M6331" s="355"/>
    </row>
    <row r="6332" spans="5:13">
      <c r="E6332" s="355"/>
      <c r="F6332" s="355"/>
      <c r="G6332" s="355"/>
      <c r="H6332" s="355"/>
      <c r="I6332" s="355"/>
      <c r="J6332" s="355"/>
      <c r="K6332" s="355"/>
      <c r="L6332" s="355"/>
      <c r="M6332" s="355"/>
    </row>
    <row r="6333" spans="5:13">
      <c r="E6333" s="355"/>
      <c r="F6333" s="355"/>
      <c r="G6333" s="355"/>
      <c r="H6333" s="355"/>
      <c r="I6333" s="355"/>
      <c r="J6333" s="355"/>
      <c r="K6333" s="355"/>
      <c r="L6333" s="355"/>
      <c r="M6333" s="355"/>
    </row>
    <row r="6334" spans="5:13">
      <c r="E6334" s="355"/>
      <c r="F6334" s="355"/>
      <c r="G6334" s="355"/>
      <c r="H6334" s="355"/>
      <c r="I6334" s="355"/>
      <c r="J6334" s="355"/>
      <c r="K6334" s="355"/>
      <c r="L6334" s="355"/>
      <c r="M6334" s="355"/>
    </row>
    <row r="6335" spans="5:13">
      <c r="E6335" s="355"/>
      <c r="F6335" s="355"/>
      <c r="G6335" s="355"/>
      <c r="H6335" s="355"/>
      <c r="I6335" s="355"/>
      <c r="J6335" s="355"/>
      <c r="K6335" s="355"/>
      <c r="L6335" s="355"/>
      <c r="M6335" s="355"/>
    </row>
    <row r="6336" spans="5:13">
      <c r="E6336" s="355"/>
      <c r="F6336" s="355"/>
      <c r="G6336" s="355"/>
      <c r="H6336" s="355"/>
      <c r="I6336" s="355"/>
      <c r="J6336" s="355"/>
      <c r="K6336" s="355"/>
      <c r="L6336" s="355"/>
      <c r="M6336" s="355"/>
    </row>
    <row r="6337" spans="5:13">
      <c r="E6337" s="355"/>
      <c r="F6337" s="355"/>
      <c r="G6337" s="355"/>
      <c r="H6337" s="355"/>
      <c r="I6337" s="355"/>
      <c r="J6337" s="355"/>
      <c r="K6337" s="355"/>
      <c r="L6337" s="355"/>
      <c r="M6337" s="355"/>
    </row>
    <row r="6338" spans="5:13">
      <c r="E6338" s="355"/>
      <c r="F6338" s="355"/>
      <c r="G6338" s="355"/>
      <c r="H6338" s="355"/>
      <c r="I6338" s="355"/>
      <c r="J6338" s="355"/>
      <c r="K6338" s="355"/>
      <c r="L6338" s="355"/>
      <c r="M6338" s="355"/>
    </row>
    <row r="6339" spans="5:13">
      <c r="E6339" s="355"/>
      <c r="F6339" s="355"/>
      <c r="G6339" s="355"/>
      <c r="H6339" s="355"/>
      <c r="I6339" s="355"/>
      <c r="J6339" s="355"/>
      <c r="K6339" s="355"/>
      <c r="L6339" s="355"/>
      <c r="M6339" s="355"/>
    </row>
    <row r="6340" spans="5:13">
      <c r="E6340" s="355"/>
      <c r="F6340" s="355"/>
      <c r="G6340" s="355"/>
      <c r="H6340" s="355"/>
      <c r="I6340" s="355"/>
      <c r="J6340" s="355"/>
      <c r="K6340" s="355"/>
      <c r="L6340" s="355"/>
      <c r="M6340" s="355"/>
    </row>
    <row r="6341" spans="5:13">
      <c r="E6341" s="355"/>
      <c r="F6341" s="355"/>
      <c r="G6341" s="355"/>
      <c r="H6341" s="355"/>
      <c r="I6341" s="355"/>
      <c r="J6341" s="355"/>
      <c r="K6341" s="355"/>
      <c r="L6341" s="355"/>
      <c r="M6341" s="355"/>
    </row>
    <row r="6342" spans="5:13">
      <c r="E6342" s="355"/>
      <c r="F6342" s="355"/>
      <c r="G6342" s="355"/>
      <c r="H6342" s="355"/>
      <c r="I6342" s="355"/>
      <c r="J6342" s="355"/>
      <c r="K6342" s="355"/>
      <c r="L6342" s="355"/>
      <c r="M6342" s="355"/>
    </row>
    <row r="6343" spans="5:13">
      <c r="E6343" s="355"/>
      <c r="F6343" s="355"/>
      <c r="G6343" s="355"/>
      <c r="H6343" s="355"/>
      <c r="I6343" s="355"/>
      <c r="J6343" s="355"/>
      <c r="K6343" s="355"/>
      <c r="L6343" s="355"/>
      <c r="M6343" s="355"/>
    </row>
    <row r="6344" spans="5:13">
      <c r="E6344" s="355"/>
      <c r="F6344" s="355"/>
      <c r="G6344" s="355"/>
      <c r="H6344" s="355"/>
      <c r="I6344" s="355"/>
      <c r="J6344" s="355"/>
      <c r="K6344" s="355"/>
      <c r="L6344" s="355"/>
      <c r="M6344" s="355"/>
    </row>
    <row r="6345" spans="5:13">
      <c r="E6345" s="355"/>
      <c r="F6345" s="355"/>
      <c r="G6345" s="355"/>
      <c r="H6345" s="355"/>
      <c r="I6345" s="355"/>
      <c r="J6345" s="355"/>
      <c r="K6345" s="355"/>
      <c r="L6345" s="355"/>
      <c r="M6345" s="355"/>
    </row>
    <row r="6346" spans="5:13">
      <c r="E6346" s="355"/>
      <c r="F6346" s="355"/>
      <c r="G6346" s="355"/>
      <c r="H6346" s="355"/>
      <c r="I6346" s="355"/>
      <c r="J6346" s="355"/>
      <c r="K6346" s="355"/>
      <c r="L6346" s="355"/>
      <c r="M6346" s="355"/>
    </row>
    <row r="6347" spans="5:13">
      <c r="E6347" s="355"/>
      <c r="F6347" s="355"/>
      <c r="G6347" s="355"/>
      <c r="H6347" s="355"/>
      <c r="I6347" s="355"/>
      <c r="J6347" s="355"/>
      <c r="K6347" s="355"/>
      <c r="L6347" s="355"/>
      <c r="M6347" s="355"/>
    </row>
    <row r="6348" spans="5:13">
      <c r="E6348" s="355"/>
      <c r="F6348" s="355"/>
      <c r="G6348" s="355"/>
      <c r="H6348" s="355"/>
      <c r="I6348" s="355"/>
      <c r="J6348" s="355"/>
      <c r="K6348" s="355"/>
      <c r="L6348" s="355"/>
      <c r="M6348" s="355"/>
    </row>
    <row r="6349" spans="5:13">
      <c r="E6349" s="355"/>
      <c r="F6349" s="355"/>
      <c r="G6349" s="355"/>
      <c r="H6349" s="355"/>
      <c r="I6349" s="355"/>
      <c r="J6349" s="355"/>
      <c r="K6349" s="355"/>
      <c r="L6349" s="355"/>
      <c r="M6349" s="355"/>
    </row>
    <row r="6350" spans="5:13">
      <c r="E6350" s="355"/>
      <c r="F6350" s="355"/>
      <c r="G6350" s="355"/>
      <c r="H6350" s="355"/>
      <c r="I6350" s="355"/>
      <c r="J6350" s="355"/>
      <c r="K6350" s="355"/>
      <c r="L6350" s="355"/>
      <c r="M6350" s="355"/>
    </row>
    <row r="6351" spans="5:13">
      <c r="E6351" s="355"/>
      <c r="F6351" s="355"/>
      <c r="G6351" s="355"/>
      <c r="H6351" s="355"/>
      <c r="I6351" s="355"/>
      <c r="J6351" s="355"/>
      <c r="K6351" s="355"/>
      <c r="L6351" s="355"/>
      <c r="M6351" s="355"/>
    </row>
    <row r="6352" spans="5:13">
      <c r="E6352" s="355"/>
      <c r="F6352" s="355"/>
      <c r="G6352" s="355"/>
      <c r="H6352" s="355"/>
      <c r="I6352" s="355"/>
      <c r="J6352" s="355"/>
      <c r="K6352" s="355"/>
      <c r="L6352" s="355"/>
      <c r="M6352" s="355"/>
    </row>
    <row r="6353" spans="5:13">
      <c r="E6353" s="355"/>
      <c r="F6353" s="355"/>
      <c r="G6353" s="355"/>
      <c r="H6353" s="355"/>
      <c r="I6353" s="355"/>
      <c r="J6353" s="355"/>
      <c r="K6353" s="355"/>
      <c r="L6353" s="355"/>
      <c r="M6353" s="355"/>
    </row>
    <row r="6354" spans="5:13">
      <c r="E6354" s="355"/>
      <c r="F6354" s="355"/>
      <c r="G6354" s="355"/>
      <c r="H6354" s="355"/>
      <c r="I6354" s="355"/>
      <c r="J6354" s="355"/>
      <c r="K6354" s="355"/>
      <c r="L6354" s="355"/>
      <c r="M6354" s="355"/>
    </row>
    <row r="6355" spans="5:13">
      <c r="E6355" s="355"/>
      <c r="F6355" s="355"/>
      <c r="G6355" s="355"/>
      <c r="H6355" s="355"/>
      <c r="I6355" s="355"/>
      <c r="J6355" s="355"/>
      <c r="K6355" s="355"/>
      <c r="L6355" s="355"/>
      <c r="M6355" s="355"/>
    </row>
    <row r="6356" spans="5:13">
      <c r="E6356" s="355"/>
      <c r="F6356" s="355"/>
      <c r="G6356" s="355"/>
      <c r="H6356" s="355"/>
      <c r="I6356" s="355"/>
      <c r="J6356" s="355"/>
      <c r="K6356" s="355"/>
      <c r="L6356" s="355"/>
      <c r="M6356" s="355"/>
    </row>
    <row r="6357" spans="5:13">
      <c r="E6357" s="355"/>
      <c r="F6357" s="355"/>
      <c r="G6357" s="355"/>
      <c r="H6357" s="355"/>
      <c r="I6357" s="355"/>
      <c r="J6357" s="355"/>
      <c r="K6357" s="355"/>
      <c r="L6357" s="355"/>
      <c r="M6357" s="355"/>
    </row>
    <row r="6358" spans="5:13">
      <c r="E6358" s="355"/>
      <c r="F6358" s="355"/>
      <c r="G6358" s="355"/>
      <c r="H6358" s="355"/>
      <c r="I6358" s="355"/>
      <c r="J6358" s="355"/>
      <c r="K6358" s="355"/>
      <c r="L6358" s="355"/>
      <c r="M6358" s="355"/>
    </row>
    <row r="6359" spans="5:13">
      <c r="E6359" s="355"/>
      <c r="F6359" s="355"/>
      <c r="G6359" s="355"/>
      <c r="H6359" s="355"/>
      <c r="I6359" s="355"/>
      <c r="J6359" s="355"/>
      <c r="K6359" s="355"/>
      <c r="L6359" s="355"/>
      <c r="M6359" s="355"/>
    </row>
    <row r="6360" spans="5:13">
      <c r="E6360" s="355"/>
      <c r="F6360" s="355"/>
      <c r="G6360" s="355"/>
      <c r="H6360" s="355"/>
      <c r="I6360" s="355"/>
      <c r="J6360" s="355"/>
      <c r="K6360" s="355"/>
      <c r="L6360" s="355"/>
      <c r="M6360" s="355"/>
    </row>
    <row r="6361" spans="5:13">
      <c r="E6361" s="355"/>
      <c r="F6361" s="355"/>
      <c r="G6361" s="355"/>
      <c r="H6361" s="355"/>
      <c r="I6361" s="355"/>
      <c r="J6361" s="355"/>
      <c r="K6361" s="355"/>
      <c r="L6361" s="355"/>
      <c r="M6361" s="355"/>
    </row>
    <row r="6362" spans="5:13">
      <c r="E6362" s="355"/>
      <c r="F6362" s="355"/>
      <c r="G6362" s="355"/>
      <c r="H6362" s="355"/>
      <c r="I6362" s="355"/>
      <c r="J6362" s="355"/>
      <c r="K6362" s="355"/>
      <c r="L6362" s="355"/>
      <c r="M6362" s="355"/>
    </row>
    <row r="6363" spans="5:13">
      <c r="E6363" s="355"/>
      <c r="F6363" s="355"/>
      <c r="G6363" s="355"/>
      <c r="H6363" s="355"/>
      <c r="I6363" s="355"/>
      <c r="J6363" s="355"/>
      <c r="K6363" s="355"/>
      <c r="L6363" s="355"/>
      <c r="M6363" s="355"/>
    </row>
    <row r="6364" spans="5:13">
      <c r="E6364" s="355"/>
      <c r="F6364" s="355"/>
      <c r="G6364" s="355"/>
      <c r="H6364" s="355"/>
      <c r="I6364" s="355"/>
      <c r="J6364" s="355"/>
      <c r="K6364" s="355"/>
      <c r="L6364" s="355"/>
      <c r="M6364" s="355"/>
    </row>
    <row r="6365" spans="5:13">
      <c r="E6365" s="355"/>
      <c r="F6365" s="355"/>
      <c r="G6365" s="355"/>
      <c r="H6365" s="355"/>
      <c r="I6365" s="355"/>
      <c r="J6365" s="355"/>
      <c r="K6365" s="355"/>
      <c r="L6365" s="355"/>
      <c r="M6365" s="355"/>
    </row>
    <row r="6366" spans="5:13">
      <c r="E6366" s="355"/>
      <c r="F6366" s="355"/>
      <c r="G6366" s="355"/>
      <c r="H6366" s="355"/>
      <c r="I6366" s="355"/>
      <c r="J6366" s="355"/>
      <c r="K6366" s="355"/>
      <c r="L6366" s="355"/>
      <c r="M6366" s="355"/>
    </row>
    <row r="6367" spans="5:13">
      <c r="E6367" s="355"/>
      <c r="F6367" s="355"/>
      <c r="G6367" s="355"/>
      <c r="H6367" s="355"/>
      <c r="I6367" s="355"/>
      <c r="J6367" s="355"/>
      <c r="K6367" s="355"/>
      <c r="L6367" s="355"/>
      <c r="M6367" s="355"/>
    </row>
    <row r="6368" spans="5:13">
      <c r="E6368" s="355"/>
      <c r="F6368" s="355"/>
      <c r="G6368" s="355"/>
      <c r="H6368" s="355"/>
      <c r="I6368" s="355"/>
      <c r="J6368" s="355"/>
      <c r="K6368" s="355"/>
      <c r="L6368" s="355"/>
      <c r="M6368" s="355"/>
    </row>
    <row r="6369" spans="5:13">
      <c r="E6369" s="355"/>
      <c r="F6369" s="355"/>
      <c r="G6369" s="355"/>
      <c r="H6369" s="355"/>
      <c r="I6369" s="355"/>
      <c r="J6369" s="355"/>
      <c r="K6369" s="355"/>
      <c r="L6369" s="355"/>
      <c r="M6369" s="355"/>
    </row>
    <row r="6370" spans="5:13">
      <c r="E6370" s="355"/>
      <c r="F6370" s="355"/>
      <c r="G6370" s="355"/>
      <c r="H6370" s="355"/>
      <c r="I6370" s="355"/>
      <c r="J6370" s="355"/>
      <c r="K6370" s="355"/>
      <c r="L6370" s="355"/>
      <c r="M6370" s="355"/>
    </row>
    <row r="6371" spans="5:13">
      <c r="E6371" s="355"/>
      <c r="F6371" s="355"/>
      <c r="G6371" s="355"/>
      <c r="H6371" s="355"/>
      <c r="I6371" s="355"/>
      <c r="J6371" s="355"/>
      <c r="K6371" s="355"/>
      <c r="L6371" s="355"/>
      <c r="M6371" s="355"/>
    </row>
    <row r="6372" spans="5:13">
      <c r="E6372" s="355"/>
      <c r="F6372" s="355"/>
      <c r="G6372" s="355"/>
      <c r="H6372" s="355"/>
      <c r="I6372" s="355"/>
      <c r="J6372" s="355"/>
      <c r="K6372" s="355"/>
      <c r="L6372" s="355"/>
      <c r="M6372" s="355"/>
    </row>
    <row r="6373" spans="5:13">
      <c r="E6373" s="355"/>
      <c r="F6373" s="355"/>
      <c r="G6373" s="355"/>
      <c r="H6373" s="355"/>
      <c r="I6373" s="355"/>
      <c r="J6373" s="355"/>
      <c r="K6373" s="355"/>
      <c r="L6373" s="355"/>
      <c r="M6373" s="355"/>
    </row>
    <row r="6374" spans="5:13">
      <c r="E6374" s="355"/>
      <c r="F6374" s="355"/>
      <c r="G6374" s="355"/>
      <c r="H6374" s="355"/>
      <c r="I6374" s="355"/>
      <c r="J6374" s="355"/>
      <c r="K6374" s="355"/>
      <c r="L6374" s="355"/>
      <c r="M6374" s="355"/>
    </row>
    <row r="6375" spans="5:13">
      <c r="E6375" s="355"/>
      <c r="F6375" s="355"/>
      <c r="G6375" s="355"/>
      <c r="H6375" s="355"/>
      <c r="I6375" s="355"/>
      <c r="J6375" s="355"/>
      <c r="K6375" s="355"/>
      <c r="L6375" s="355"/>
      <c r="M6375" s="355"/>
    </row>
    <row r="6376" spans="5:13">
      <c r="E6376" s="355"/>
      <c r="F6376" s="355"/>
      <c r="G6376" s="355"/>
      <c r="H6376" s="355"/>
      <c r="I6376" s="355"/>
      <c r="J6376" s="355"/>
      <c r="K6376" s="355"/>
      <c r="L6376" s="355"/>
      <c r="M6376" s="355"/>
    </row>
    <row r="6377" spans="5:13">
      <c r="E6377" s="355"/>
      <c r="F6377" s="355"/>
      <c r="G6377" s="355"/>
      <c r="H6377" s="355"/>
      <c r="I6377" s="355"/>
      <c r="J6377" s="355"/>
      <c r="K6377" s="355"/>
      <c r="L6377" s="355"/>
      <c r="M6377" s="355"/>
    </row>
    <row r="6378" spans="5:13">
      <c r="E6378" s="355"/>
      <c r="F6378" s="355"/>
      <c r="G6378" s="355"/>
      <c r="H6378" s="355"/>
      <c r="I6378" s="355"/>
      <c r="J6378" s="355"/>
      <c r="K6378" s="355"/>
      <c r="L6378" s="355"/>
      <c r="M6378" s="355"/>
    </row>
    <row r="6379" spans="5:13">
      <c r="E6379" s="355"/>
      <c r="F6379" s="355"/>
      <c r="G6379" s="355"/>
      <c r="H6379" s="355"/>
      <c r="I6379" s="355"/>
      <c r="J6379" s="355"/>
      <c r="K6379" s="355"/>
      <c r="L6379" s="355"/>
      <c r="M6379" s="355"/>
    </row>
    <row r="6380" spans="5:13">
      <c r="E6380" s="355"/>
      <c r="F6380" s="355"/>
      <c r="G6380" s="355"/>
      <c r="H6380" s="355"/>
      <c r="I6380" s="355"/>
      <c r="J6380" s="355"/>
      <c r="K6380" s="355"/>
      <c r="L6380" s="355"/>
      <c r="M6380" s="355"/>
    </row>
    <row r="6381" spans="5:13">
      <c r="E6381" s="355"/>
      <c r="F6381" s="355"/>
      <c r="G6381" s="355"/>
      <c r="H6381" s="355"/>
      <c r="I6381" s="355"/>
      <c r="J6381" s="355"/>
      <c r="K6381" s="355"/>
      <c r="L6381" s="355"/>
      <c r="M6381" s="355"/>
    </row>
    <row r="6382" spans="5:13">
      <c r="E6382" s="355"/>
      <c r="F6382" s="355"/>
      <c r="G6382" s="355"/>
      <c r="H6382" s="355"/>
      <c r="I6382" s="355"/>
      <c r="J6382" s="355"/>
      <c r="K6382" s="355"/>
      <c r="L6382" s="355"/>
      <c r="M6382" s="355"/>
    </row>
    <row r="6383" spans="5:13">
      <c r="E6383" s="355"/>
      <c r="F6383" s="355"/>
      <c r="G6383" s="355"/>
      <c r="H6383" s="355"/>
      <c r="I6383" s="355"/>
      <c r="J6383" s="355"/>
      <c r="K6383" s="355"/>
      <c r="L6383" s="355"/>
      <c r="M6383" s="355"/>
    </row>
    <row r="6384" spans="5:13">
      <c r="E6384" s="355"/>
      <c r="F6384" s="355"/>
      <c r="G6384" s="355"/>
      <c r="H6384" s="355"/>
      <c r="I6384" s="355"/>
      <c r="J6384" s="355"/>
      <c r="K6384" s="355"/>
      <c r="L6384" s="355"/>
      <c r="M6384" s="355"/>
    </row>
    <row r="6385" spans="5:13">
      <c r="E6385" s="355"/>
      <c r="F6385" s="355"/>
      <c r="G6385" s="355"/>
      <c r="H6385" s="355"/>
      <c r="I6385" s="355"/>
      <c r="J6385" s="355"/>
      <c r="K6385" s="355"/>
      <c r="L6385" s="355"/>
      <c r="M6385" s="355"/>
    </row>
    <row r="6386" spans="5:13">
      <c r="E6386" s="355"/>
      <c r="F6386" s="355"/>
      <c r="G6386" s="355"/>
      <c r="H6386" s="355"/>
      <c r="I6386" s="355"/>
      <c r="J6386" s="355"/>
      <c r="K6386" s="355"/>
      <c r="L6386" s="355"/>
      <c r="M6386" s="355"/>
    </row>
    <row r="6387" spans="5:13">
      <c r="E6387" s="355"/>
      <c r="F6387" s="355"/>
      <c r="G6387" s="355"/>
      <c r="H6387" s="355"/>
      <c r="I6387" s="355"/>
      <c r="J6387" s="355"/>
      <c r="K6387" s="355"/>
      <c r="L6387" s="355"/>
      <c r="M6387" s="355"/>
    </row>
    <row r="6388" spans="5:13">
      <c r="E6388" s="355"/>
      <c r="F6388" s="355"/>
      <c r="G6388" s="355"/>
      <c r="H6388" s="355"/>
      <c r="I6388" s="355"/>
      <c r="J6388" s="355"/>
      <c r="K6388" s="355"/>
      <c r="L6388" s="355"/>
      <c r="M6388" s="355"/>
    </row>
    <row r="6389" spans="5:13">
      <c r="E6389" s="355"/>
      <c r="F6389" s="355"/>
      <c r="G6389" s="355"/>
      <c r="H6389" s="355"/>
      <c r="I6389" s="355"/>
      <c r="J6389" s="355"/>
      <c r="K6389" s="355"/>
      <c r="L6389" s="355"/>
      <c r="M6389" s="355"/>
    </row>
    <row r="6390" spans="5:13">
      <c r="E6390" s="355"/>
      <c r="F6390" s="355"/>
      <c r="G6390" s="355"/>
      <c r="H6390" s="355"/>
      <c r="I6390" s="355"/>
      <c r="J6390" s="355"/>
      <c r="K6390" s="355"/>
      <c r="L6390" s="355"/>
      <c r="M6390" s="355"/>
    </row>
    <row r="6391" spans="5:13">
      <c r="E6391" s="355"/>
      <c r="F6391" s="355"/>
      <c r="G6391" s="355"/>
      <c r="H6391" s="355"/>
      <c r="I6391" s="355"/>
      <c r="J6391" s="355"/>
      <c r="K6391" s="355"/>
      <c r="L6391" s="355"/>
      <c r="M6391" s="355"/>
    </row>
    <row r="6392" spans="5:13">
      <c r="E6392" s="355"/>
      <c r="F6392" s="355"/>
      <c r="G6392" s="355"/>
      <c r="H6392" s="355"/>
      <c r="I6392" s="355"/>
      <c r="J6392" s="355"/>
      <c r="K6392" s="355"/>
      <c r="L6392" s="355"/>
      <c r="M6392" s="355"/>
    </row>
    <row r="6393" spans="5:13">
      <c r="E6393" s="355"/>
      <c r="F6393" s="355"/>
      <c r="G6393" s="355"/>
      <c r="H6393" s="355"/>
      <c r="I6393" s="355"/>
      <c r="J6393" s="355"/>
      <c r="K6393" s="355"/>
      <c r="L6393" s="355"/>
      <c r="M6393" s="355"/>
    </row>
    <row r="6394" spans="5:13">
      <c r="E6394" s="355"/>
      <c r="F6394" s="355"/>
      <c r="G6394" s="355"/>
      <c r="H6394" s="355"/>
      <c r="I6394" s="355"/>
      <c r="J6394" s="355"/>
      <c r="K6394" s="355"/>
      <c r="L6394" s="355"/>
      <c r="M6394" s="355"/>
    </row>
    <row r="6395" spans="5:13">
      <c r="E6395" s="355"/>
      <c r="F6395" s="355"/>
      <c r="G6395" s="355"/>
      <c r="H6395" s="355"/>
      <c r="I6395" s="355"/>
      <c r="J6395" s="355"/>
      <c r="K6395" s="355"/>
      <c r="L6395" s="355"/>
      <c r="M6395" s="355"/>
    </row>
    <row r="6396" spans="5:13">
      <c r="E6396" s="355"/>
      <c r="F6396" s="355"/>
      <c r="G6396" s="355"/>
      <c r="H6396" s="355"/>
      <c r="I6396" s="355"/>
      <c r="J6396" s="355"/>
      <c r="K6396" s="355"/>
      <c r="L6396" s="355"/>
      <c r="M6396" s="355"/>
    </row>
    <row r="6397" spans="5:13">
      <c r="E6397" s="355"/>
      <c r="F6397" s="355"/>
      <c r="G6397" s="355"/>
      <c r="H6397" s="355"/>
      <c r="I6397" s="355"/>
      <c r="J6397" s="355"/>
      <c r="K6397" s="355"/>
      <c r="L6397" s="355"/>
      <c r="M6397" s="355"/>
    </row>
    <row r="6398" spans="5:13">
      <c r="E6398" s="355"/>
      <c r="F6398" s="355"/>
      <c r="G6398" s="355"/>
      <c r="H6398" s="355"/>
      <c r="I6398" s="355"/>
      <c r="J6398" s="355"/>
      <c r="K6398" s="355"/>
      <c r="L6398" s="355"/>
      <c r="M6398" s="355"/>
    </row>
    <row r="6399" spans="5:13">
      <c r="E6399" s="355"/>
      <c r="F6399" s="355"/>
      <c r="G6399" s="355"/>
      <c r="H6399" s="355"/>
      <c r="I6399" s="355"/>
      <c r="J6399" s="355"/>
      <c r="K6399" s="355"/>
      <c r="L6399" s="355"/>
      <c r="M6399" s="355"/>
    </row>
    <row r="6400" spans="5:13">
      <c r="E6400" s="355"/>
      <c r="F6400" s="355"/>
      <c r="G6400" s="355"/>
      <c r="H6400" s="355"/>
      <c r="I6400" s="355"/>
      <c r="J6400" s="355"/>
      <c r="K6400" s="355"/>
      <c r="L6400" s="355"/>
      <c r="M6400" s="355"/>
    </row>
    <row r="6401" spans="5:13">
      <c r="E6401" s="355"/>
      <c r="F6401" s="355"/>
      <c r="G6401" s="355"/>
      <c r="H6401" s="355"/>
      <c r="I6401" s="355"/>
      <c r="J6401" s="355"/>
      <c r="K6401" s="355"/>
      <c r="L6401" s="355"/>
      <c r="M6401" s="355"/>
    </row>
    <row r="6402" spans="5:13">
      <c r="E6402" s="355"/>
      <c r="F6402" s="355"/>
      <c r="G6402" s="355"/>
      <c r="H6402" s="355"/>
      <c r="I6402" s="355"/>
      <c r="J6402" s="355"/>
      <c r="K6402" s="355"/>
      <c r="L6402" s="355"/>
      <c r="M6402" s="355"/>
    </row>
    <row r="6403" spans="5:13">
      <c r="E6403" s="355"/>
      <c r="F6403" s="355"/>
      <c r="G6403" s="355"/>
      <c r="H6403" s="355"/>
      <c r="I6403" s="355"/>
      <c r="J6403" s="355"/>
      <c r="K6403" s="355"/>
      <c r="L6403" s="355"/>
      <c r="M6403" s="355"/>
    </row>
    <row r="6404" spans="5:13">
      <c r="E6404" s="355"/>
      <c r="F6404" s="355"/>
      <c r="G6404" s="355"/>
      <c r="H6404" s="355"/>
      <c r="I6404" s="355"/>
      <c r="J6404" s="355"/>
      <c r="K6404" s="355"/>
      <c r="L6404" s="355"/>
      <c r="M6404" s="355"/>
    </row>
    <row r="6405" spans="5:13">
      <c r="E6405" s="355"/>
      <c r="F6405" s="355"/>
      <c r="G6405" s="355"/>
      <c r="H6405" s="355"/>
      <c r="I6405" s="355"/>
      <c r="J6405" s="355"/>
      <c r="K6405" s="355"/>
      <c r="L6405" s="355"/>
      <c r="M6405" s="355"/>
    </row>
    <row r="6406" spans="5:13">
      <c r="E6406" s="355"/>
      <c r="F6406" s="355"/>
      <c r="G6406" s="355"/>
      <c r="H6406" s="355"/>
      <c r="I6406" s="355"/>
      <c r="J6406" s="355"/>
      <c r="K6406" s="355"/>
      <c r="L6406" s="355"/>
      <c r="M6406" s="355"/>
    </row>
    <row r="6407" spans="5:13">
      <c r="E6407" s="355"/>
      <c r="F6407" s="355"/>
      <c r="G6407" s="355"/>
      <c r="H6407" s="355"/>
      <c r="I6407" s="355"/>
      <c r="J6407" s="355"/>
      <c r="K6407" s="355"/>
      <c r="L6407" s="355"/>
      <c r="M6407" s="355"/>
    </row>
    <row r="6408" spans="5:13">
      <c r="E6408" s="355"/>
      <c r="F6408" s="355"/>
      <c r="G6408" s="355"/>
      <c r="H6408" s="355"/>
      <c r="I6408" s="355"/>
      <c r="J6408" s="355"/>
      <c r="K6408" s="355"/>
      <c r="L6408" s="355"/>
      <c r="M6408" s="355"/>
    </row>
    <row r="6409" spans="5:13">
      <c r="E6409" s="355"/>
      <c r="F6409" s="355"/>
      <c r="G6409" s="355"/>
      <c r="H6409" s="355"/>
      <c r="I6409" s="355"/>
      <c r="J6409" s="355"/>
      <c r="K6409" s="355"/>
      <c r="L6409" s="355"/>
      <c r="M6409" s="355"/>
    </row>
    <row r="6410" spans="5:13">
      <c r="E6410" s="355"/>
      <c r="F6410" s="355"/>
      <c r="G6410" s="355"/>
      <c r="H6410" s="355"/>
      <c r="I6410" s="355"/>
      <c r="J6410" s="355"/>
      <c r="K6410" s="355"/>
      <c r="L6410" s="355"/>
      <c r="M6410" s="355"/>
    </row>
    <row r="6411" spans="5:13">
      <c r="E6411" s="355"/>
      <c r="F6411" s="355"/>
      <c r="G6411" s="355"/>
      <c r="H6411" s="355"/>
      <c r="I6411" s="355"/>
      <c r="J6411" s="355"/>
      <c r="K6411" s="355"/>
      <c r="L6411" s="355"/>
      <c r="M6411" s="355"/>
    </row>
    <row r="6412" spans="5:13">
      <c r="E6412" s="355"/>
      <c r="F6412" s="355"/>
      <c r="G6412" s="355"/>
      <c r="H6412" s="355"/>
      <c r="I6412" s="355"/>
      <c r="J6412" s="355"/>
      <c r="K6412" s="355"/>
      <c r="L6412" s="355"/>
      <c r="M6412" s="355"/>
    </row>
    <row r="6413" spans="5:13">
      <c r="E6413" s="355"/>
      <c r="F6413" s="355"/>
      <c r="G6413" s="355"/>
      <c r="H6413" s="355"/>
      <c r="I6413" s="355"/>
      <c r="J6413" s="355"/>
      <c r="K6413" s="355"/>
      <c r="L6413" s="355"/>
      <c r="M6413" s="355"/>
    </row>
    <row r="6414" spans="5:13">
      <c r="E6414" s="355"/>
      <c r="F6414" s="355"/>
      <c r="G6414" s="355"/>
      <c r="H6414" s="355"/>
      <c r="I6414" s="355"/>
      <c r="J6414" s="355"/>
      <c r="K6414" s="355"/>
      <c r="L6414" s="355"/>
      <c r="M6414" s="355"/>
    </row>
    <row r="6415" spans="5:13">
      <c r="E6415" s="355"/>
      <c r="F6415" s="355"/>
      <c r="G6415" s="355"/>
      <c r="H6415" s="355"/>
      <c r="I6415" s="355"/>
      <c r="J6415" s="355"/>
      <c r="K6415" s="355"/>
      <c r="L6415" s="355"/>
      <c r="M6415" s="355"/>
    </row>
    <row r="6416" spans="5:13">
      <c r="E6416" s="355"/>
      <c r="F6416" s="355"/>
      <c r="G6416" s="355"/>
      <c r="H6416" s="355"/>
      <c r="I6416" s="355"/>
      <c r="J6416" s="355"/>
      <c r="K6416" s="355"/>
      <c r="L6416" s="355"/>
      <c r="M6416" s="355"/>
    </row>
    <row r="6417" spans="5:13">
      <c r="E6417" s="355"/>
      <c r="F6417" s="355"/>
      <c r="G6417" s="355"/>
      <c r="H6417" s="355"/>
      <c r="I6417" s="355"/>
      <c r="J6417" s="355"/>
      <c r="K6417" s="355"/>
      <c r="L6417" s="355"/>
      <c r="M6417" s="355"/>
    </row>
    <row r="6418" spans="5:13">
      <c r="E6418" s="355"/>
      <c r="F6418" s="355"/>
      <c r="G6418" s="355"/>
      <c r="H6418" s="355"/>
      <c r="I6418" s="355"/>
      <c r="J6418" s="355"/>
      <c r="K6418" s="355"/>
      <c r="L6418" s="355"/>
      <c r="M6418" s="355"/>
    </row>
    <row r="6419" spans="5:13">
      <c r="E6419" s="355"/>
      <c r="F6419" s="355"/>
      <c r="G6419" s="355"/>
      <c r="H6419" s="355"/>
      <c r="I6419" s="355"/>
      <c r="J6419" s="355"/>
      <c r="K6419" s="355"/>
      <c r="L6419" s="355"/>
      <c r="M6419" s="355"/>
    </row>
    <row r="6420" spans="5:13">
      <c r="E6420" s="355"/>
      <c r="F6420" s="355"/>
      <c r="G6420" s="355"/>
      <c r="H6420" s="355"/>
      <c r="I6420" s="355"/>
      <c r="J6420" s="355"/>
      <c r="K6420" s="355"/>
      <c r="L6420" s="355"/>
      <c r="M6420" s="355"/>
    </row>
    <row r="6421" spans="5:13">
      <c r="E6421" s="355"/>
      <c r="F6421" s="355"/>
      <c r="G6421" s="355"/>
      <c r="H6421" s="355"/>
      <c r="I6421" s="355"/>
      <c r="J6421" s="355"/>
      <c r="K6421" s="355"/>
      <c r="L6421" s="355"/>
      <c r="M6421" s="355"/>
    </row>
    <row r="6422" spans="5:13">
      <c r="E6422" s="355"/>
      <c r="F6422" s="355"/>
      <c r="G6422" s="355"/>
      <c r="H6422" s="355"/>
      <c r="I6422" s="355"/>
      <c r="J6422" s="355"/>
      <c r="K6422" s="355"/>
      <c r="L6422" s="355"/>
      <c r="M6422" s="355"/>
    </row>
    <row r="6423" spans="5:13">
      <c r="E6423" s="355"/>
      <c r="F6423" s="355"/>
      <c r="G6423" s="355"/>
      <c r="H6423" s="355"/>
      <c r="I6423" s="355"/>
      <c r="J6423" s="355"/>
      <c r="K6423" s="355"/>
      <c r="L6423" s="355"/>
      <c r="M6423" s="355"/>
    </row>
    <row r="6424" spans="5:13">
      <c r="E6424" s="355"/>
      <c r="F6424" s="355"/>
      <c r="G6424" s="355"/>
      <c r="H6424" s="355"/>
      <c r="I6424" s="355"/>
      <c r="J6424" s="355"/>
      <c r="K6424" s="355"/>
      <c r="L6424" s="355"/>
      <c r="M6424" s="355"/>
    </row>
    <row r="6425" spans="5:13">
      <c r="E6425" s="355"/>
      <c r="F6425" s="355"/>
      <c r="G6425" s="355"/>
      <c r="H6425" s="355"/>
      <c r="I6425" s="355"/>
      <c r="J6425" s="355"/>
      <c r="K6425" s="355"/>
      <c r="L6425" s="355"/>
      <c r="M6425" s="355"/>
    </row>
    <row r="6426" spans="5:13">
      <c r="E6426" s="355"/>
      <c r="F6426" s="355"/>
      <c r="G6426" s="355"/>
      <c r="H6426" s="355"/>
      <c r="I6426" s="355"/>
      <c r="J6426" s="355"/>
      <c r="K6426" s="355"/>
      <c r="L6426" s="355"/>
      <c r="M6426" s="355"/>
    </row>
    <row r="6427" spans="5:13">
      <c r="E6427" s="355"/>
      <c r="F6427" s="355"/>
      <c r="G6427" s="355"/>
      <c r="H6427" s="355"/>
      <c r="I6427" s="355"/>
      <c r="J6427" s="355"/>
      <c r="K6427" s="355"/>
      <c r="L6427" s="355"/>
      <c r="M6427" s="355"/>
    </row>
    <row r="6428" spans="5:13">
      <c r="E6428" s="355"/>
      <c r="F6428" s="355"/>
      <c r="G6428" s="355"/>
      <c r="H6428" s="355"/>
      <c r="I6428" s="355"/>
      <c r="J6428" s="355"/>
      <c r="K6428" s="355"/>
      <c r="L6428" s="355"/>
      <c r="M6428" s="355"/>
    </row>
    <row r="6429" spans="5:13">
      <c r="E6429" s="355"/>
      <c r="F6429" s="355"/>
      <c r="G6429" s="355"/>
      <c r="H6429" s="355"/>
      <c r="I6429" s="355"/>
      <c r="J6429" s="355"/>
      <c r="K6429" s="355"/>
      <c r="L6429" s="355"/>
      <c r="M6429" s="355"/>
    </row>
    <row r="6430" spans="5:13">
      <c r="E6430" s="355"/>
      <c r="F6430" s="355"/>
      <c r="G6430" s="355"/>
      <c r="H6430" s="355"/>
      <c r="I6430" s="355"/>
      <c r="J6430" s="355"/>
      <c r="K6430" s="355"/>
      <c r="L6430" s="355"/>
      <c r="M6430" s="355"/>
    </row>
    <row r="6431" spans="5:13">
      <c r="E6431" s="355"/>
      <c r="F6431" s="355"/>
      <c r="G6431" s="355"/>
      <c r="H6431" s="355"/>
      <c r="I6431" s="355"/>
      <c r="J6431" s="355"/>
      <c r="K6431" s="355"/>
      <c r="L6431" s="355"/>
      <c r="M6431" s="355"/>
    </row>
    <row r="6432" spans="5:13">
      <c r="E6432" s="355"/>
      <c r="F6432" s="355"/>
      <c r="G6432" s="355"/>
      <c r="H6432" s="355"/>
      <c r="I6432" s="355"/>
      <c r="J6432" s="355"/>
      <c r="K6432" s="355"/>
      <c r="L6432" s="355"/>
      <c r="M6432" s="355"/>
    </row>
    <row r="6433" spans="5:13">
      <c r="E6433" s="355"/>
      <c r="F6433" s="355"/>
      <c r="G6433" s="355"/>
      <c r="H6433" s="355"/>
      <c r="I6433" s="355"/>
      <c r="J6433" s="355"/>
      <c r="K6433" s="355"/>
      <c r="L6433" s="355"/>
      <c r="M6433" s="355"/>
    </row>
    <row r="6434" spans="5:13">
      <c r="E6434" s="355"/>
      <c r="F6434" s="355"/>
      <c r="G6434" s="355"/>
      <c r="H6434" s="355"/>
      <c r="I6434" s="355"/>
      <c r="J6434" s="355"/>
      <c r="K6434" s="355"/>
      <c r="L6434" s="355"/>
      <c r="M6434" s="355"/>
    </row>
    <row r="6435" spans="5:13">
      <c r="E6435" s="355"/>
      <c r="F6435" s="355"/>
      <c r="G6435" s="355"/>
      <c r="H6435" s="355"/>
      <c r="I6435" s="355"/>
      <c r="J6435" s="355"/>
      <c r="K6435" s="355"/>
      <c r="L6435" s="355"/>
      <c r="M6435" s="355"/>
    </row>
    <row r="6436" spans="5:13">
      <c r="E6436" s="355"/>
      <c r="F6436" s="355"/>
      <c r="G6436" s="355"/>
      <c r="H6436" s="355"/>
      <c r="I6436" s="355"/>
      <c r="J6436" s="355"/>
      <c r="K6436" s="355"/>
      <c r="L6436" s="355"/>
      <c r="M6436" s="355"/>
    </row>
    <row r="6437" spans="5:13">
      <c r="E6437" s="355"/>
      <c r="F6437" s="355"/>
      <c r="G6437" s="355"/>
      <c r="H6437" s="355"/>
      <c r="I6437" s="355"/>
      <c r="J6437" s="355"/>
      <c r="K6437" s="355"/>
      <c r="L6437" s="355"/>
      <c r="M6437" s="355"/>
    </row>
    <row r="6438" spans="5:13">
      <c r="E6438" s="355"/>
      <c r="F6438" s="355"/>
      <c r="G6438" s="355"/>
      <c r="H6438" s="355"/>
      <c r="I6438" s="355"/>
      <c r="J6438" s="355"/>
      <c r="K6438" s="355"/>
      <c r="L6438" s="355"/>
      <c r="M6438" s="355"/>
    </row>
    <row r="6439" spans="5:13">
      <c r="E6439" s="355"/>
      <c r="F6439" s="355"/>
      <c r="G6439" s="355"/>
      <c r="H6439" s="355"/>
      <c r="I6439" s="355"/>
      <c r="J6439" s="355"/>
      <c r="K6439" s="355"/>
      <c r="L6439" s="355"/>
      <c r="M6439" s="355"/>
    </row>
    <row r="6440" spans="5:13">
      <c r="E6440" s="355"/>
      <c r="F6440" s="355"/>
      <c r="G6440" s="355"/>
      <c r="H6440" s="355"/>
      <c r="I6440" s="355"/>
      <c r="J6440" s="355"/>
      <c r="K6440" s="355"/>
      <c r="L6440" s="355"/>
      <c r="M6440" s="355"/>
    </row>
    <row r="6441" spans="5:13">
      <c r="E6441" s="355"/>
      <c r="F6441" s="355"/>
      <c r="G6441" s="355"/>
      <c r="H6441" s="355"/>
      <c r="I6441" s="355"/>
      <c r="J6441" s="355"/>
      <c r="K6441" s="355"/>
      <c r="L6441" s="355"/>
      <c r="M6441" s="355"/>
    </row>
    <row r="6442" spans="5:13">
      <c r="E6442" s="355"/>
      <c r="F6442" s="355"/>
      <c r="G6442" s="355"/>
      <c r="H6442" s="355"/>
      <c r="I6442" s="355"/>
      <c r="J6442" s="355"/>
      <c r="K6442" s="355"/>
      <c r="L6442" s="355"/>
      <c r="M6442" s="355"/>
    </row>
    <row r="6443" spans="5:13">
      <c r="E6443" s="355"/>
      <c r="F6443" s="355"/>
      <c r="G6443" s="355"/>
      <c r="H6443" s="355"/>
      <c r="I6443" s="355"/>
      <c r="J6443" s="355"/>
      <c r="K6443" s="355"/>
      <c r="L6443" s="355"/>
      <c r="M6443" s="355"/>
    </row>
    <row r="6444" spans="5:13">
      <c r="E6444" s="355"/>
      <c r="F6444" s="355"/>
      <c r="G6444" s="355"/>
      <c r="H6444" s="355"/>
      <c r="I6444" s="355"/>
      <c r="J6444" s="355"/>
      <c r="K6444" s="355"/>
      <c r="L6444" s="355"/>
      <c r="M6444" s="355"/>
    </row>
    <row r="6445" spans="5:13">
      <c r="E6445" s="355"/>
      <c r="F6445" s="355"/>
      <c r="G6445" s="355"/>
      <c r="H6445" s="355"/>
      <c r="I6445" s="355"/>
      <c r="J6445" s="355"/>
      <c r="K6445" s="355"/>
      <c r="L6445" s="355"/>
      <c r="M6445" s="355"/>
    </row>
    <row r="6446" spans="5:13">
      <c r="E6446" s="355"/>
      <c r="F6446" s="355"/>
      <c r="G6446" s="355"/>
      <c r="H6446" s="355"/>
      <c r="I6446" s="355"/>
      <c r="J6446" s="355"/>
      <c r="K6446" s="355"/>
      <c r="L6446" s="355"/>
      <c r="M6446" s="355"/>
    </row>
    <row r="6447" spans="5:13">
      <c r="E6447" s="355"/>
      <c r="F6447" s="355"/>
      <c r="G6447" s="355"/>
      <c r="H6447" s="355"/>
      <c r="I6447" s="355"/>
      <c r="J6447" s="355"/>
      <c r="K6447" s="355"/>
      <c r="L6447" s="355"/>
      <c r="M6447" s="355"/>
    </row>
    <row r="6448" spans="5:13">
      <c r="E6448" s="355"/>
      <c r="F6448" s="355"/>
      <c r="G6448" s="355"/>
      <c r="H6448" s="355"/>
      <c r="I6448" s="355"/>
      <c r="J6448" s="355"/>
      <c r="K6448" s="355"/>
      <c r="L6448" s="355"/>
      <c r="M6448" s="355"/>
    </row>
    <row r="6449" spans="5:13">
      <c r="E6449" s="355"/>
      <c r="F6449" s="355"/>
      <c r="G6449" s="355"/>
      <c r="H6449" s="355"/>
      <c r="I6449" s="355"/>
      <c r="J6449" s="355"/>
      <c r="K6449" s="355"/>
      <c r="L6449" s="355"/>
      <c r="M6449" s="355"/>
    </row>
    <row r="6450" spans="5:13">
      <c r="E6450" s="355"/>
      <c r="F6450" s="355"/>
      <c r="G6450" s="355"/>
      <c r="H6450" s="355"/>
      <c r="I6450" s="355"/>
      <c r="J6450" s="355"/>
      <c r="K6450" s="355"/>
      <c r="L6450" s="355"/>
      <c r="M6450" s="355"/>
    </row>
    <row r="6451" spans="5:13">
      <c r="E6451" s="355"/>
      <c r="F6451" s="355"/>
      <c r="G6451" s="355"/>
      <c r="H6451" s="355"/>
      <c r="I6451" s="355"/>
      <c r="J6451" s="355"/>
      <c r="K6451" s="355"/>
      <c r="L6451" s="355"/>
      <c r="M6451" s="355"/>
    </row>
    <row r="6452" spans="5:13">
      <c r="E6452" s="355"/>
      <c r="F6452" s="355"/>
      <c r="G6452" s="355"/>
      <c r="H6452" s="355"/>
      <c r="I6452" s="355"/>
      <c r="J6452" s="355"/>
      <c r="K6452" s="355"/>
      <c r="L6452" s="355"/>
      <c r="M6452" s="355"/>
    </row>
    <row r="6453" spans="5:13">
      <c r="E6453" s="355"/>
      <c r="F6453" s="355"/>
      <c r="G6453" s="355"/>
      <c r="H6453" s="355"/>
      <c r="I6453" s="355"/>
      <c r="J6453" s="355"/>
      <c r="K6453" s="355"/>
      <c r="L6453" s="355"/>
      <c r="M6453" s="355"/>
    </row>
    <row r="6454" spans="5:13">
      <c r="E6454" s="355"/>
      <c r="F6454" s="355"/>
      <c r="G6454" s="355"/>
      <c r="H6454" s="355"/>
      <c r="I6454" s="355"/>
      <c r="J6454" s="355"/>
      <c r="K6454" s="355"/>
      <c r="L6454" s="355"/>
      <c r="M6454" s="355"/>
    </row>
    <row r="6455" spans="5:13">
      <c r="E6455" s="355"/>
      <c r="F6455" s="355"/>
      <c r="G6455" s="355"/>
      <c r="H6455" s="355"/>
      <c r="I6455" s="355"/>
      <c r="J6455" s="355"/>
      <c r="K6455" s="355"/>
      <c r="L6455" s="355"/>
      <c r="M6455" s="355"/>
    </row>
    <row r="6456" spans="5:13">
      <c r="E6456" s="355"/>
      <c r="F6456" s="355"/>
      <c r="G6456" s="355"/>
      <c r="H6456" s="355"/>
      <c r="I6456" s="355"/>
      <c r="J6456" s="355"/>
      <c r="K6456" s="355"/>
      <c r="L6456" s="355"/>
      <c r="M6456" s="355"/>
    </row>
    <row r="6457" spans="5:13">
      <c r="E6457" s="355"/>
      <c r="F6457" s="355"/>
      <c r="G6457" s="355"/>
      <c r="H6457" s="355"/>
      <c r="I6457" s="355"/>
      <c r="J6457" s="355"/>
      <c r="K6457" s="355"/>
      <c r="L6457" s="355"/>
      <c r="M6457" s="355"/>
    </row>
    <row r="6458" spans="5:13">
      <c r="E6458" s="355"/>
      <c r="F6458" s="355"/>
      <c r="G6458" s="355"/>
      <c r="H6458" s="355"/>
      <c r="I6458" s="355"/>
      <c r="J6458" s="355"/>
      <c r="K6458" s="355"/>
      <c r="L6458" s="355"/>
      <c r="M6458" s="355"/>
    </row>
    <row r="6459" spans="5:13">
      <c r="E6459" s="355"/>
      <c r="F6459" s="355"/>
      <c r="G6459" s="355"/>
      <c r="H6459" s="355"/>
      <c r="I6459" s="355"/>
      <c r="J6459" s="355"/>
      <c r="K6459" s="355"/>
      <c r="L6459" s="355"/>
      <c r="M6459" s="355"/>
    </row>
    <row r="6460" spans="5:13">
      <c r="E6460" s="355"/>
      <c r="F6460" s="355"/>
      <c r="G6460" s="355"/>
      <c r="H6460" s="355"/>
      <c r="I6460" s="355"/>
      <c r="J6460" s="355"/>
      <c r="K6460" s="355"/>
      <c r="L6460" s="355"/>
      <c r="M6460" s="355"/>
    </row>
    <row r="6461" spans="5:13">
      <c r="E6461" s="355"/>
      <c r="F6461" s="355"/>
      <c r="G6461" s="355"/>
      <c r="H6461" s="355"/>
      <c r="I6461" s="355"/>
      <c r="J6461" s="355"/>
      <c r="K6461" s="355"/>
      <c r="L6461" s="355"/>
      <c r="M6461" s="355"/>
    </row>
    <row r="6462" spans="5:13">
      <c r="E6462" s="355"/>
      <c r="F6462" s="355"/>
      <c r="G6462" s="355"/>
      <c r="H6462" s="355"/>
      <c r="I6462" s="355"/>
      <c r="J6462" s="355"/>
      <c r="K6462" s="355"/>
      <c r="L6462" s="355"/>
      <c r="M6462" s="355"/>
    </row>
    <row r="6463" spans="5:13">
      <c r="E6463" s="355"/>
      <c r="F6463" s="355"/>
      <c r="G6463" s="355"/>
      <c r="H6463" s="355"/>
      <c r="I6463" s="355"/>
      <c r="J6463" s="355"/>
      <c r="K6463" s="355"/>
      <c r="L6463" s="355"/>
      <c r="M6463" s="355"/>
    </row>
    <row r="6464" spans="5:13">
      <c r="E6464" s="355"/>
      <c r="F6464" s="355"/>
      <c r="G6464" s="355"/>
      <c r="H6464" s="355"/>
      <c r="I6464" s="355"/>
      <c r="J6464" s="355"/>
      <c r="K6464" s="355"/>
      <c r="L6464" s="355"/>
      <c r="M6464" s="355"/>
    </row>
    <row r="6465" spans="5:13">
      <c r="E6465" s="355"/>
      <c r="F6465" s="355"/>
      <c r="G6465" s="355"/>
      <c r="H6465" s="355"/>
      <c r="I6465" s="355"/>
      <c r="J6465" s="355"/>
      <c r="K6465" s="355"/>
      <c r="L6465" s="355"/>
      <c r="M6465" s="355"/>
    </row>
    <row r="6466" spans="5:13">
      <c r="E6466" s="355"/>
      <c r="F6466" s="355"/>
      <c r="G6466" s="355"/>
      <c r="H6466" s="355"/>
      <c r="I6466" s="355"/>
      <c r="J6466" s="355"/>
      <c r="K6466" s="355"/>
      <c r="L6466" s="355"/>
      <c r="M6466" s="355"/>
    </row>
    <row r="6467" spans="5:13">
      <c r="E6467" s="355"/>
      <c r="F6467" s="355"/>
      <c r="G6467" s="355"/>
      <c r="H6467" s="355"/>
      <c r="I6467" s="355"/>
      <c r="J6467" s="355"/>
      <c r="K6467" s="355"/>
      <c r="L6467" s="355"/>
      <c r="M6467" s="355"/>
    </row>
    <row r="6468" spans="5:13">
      <c r="E6468" s="355"/>
      <c r="F6468" s="355"/>
      <c r="G6468" s="355"/>
      <c r="H6468" s="355"/>
      <c r="I6468" s="355"/>
      <c r="J6468" s="355"/>
      <c r="K6468" s="355"/>
      <c r="L6468" s="355"/>
      <c r="M6468" s="355"/>
    </row>
    <row r="6469" spans="5:13">
      <c r="E6469" s="355"/>
      <c r="F6469" s="355"/>
      <c r="G6469" s="355"/>
      <c r="H6469" s="355"/>
      <c r="I6469" s="355"/>
      <c r="J6469" s="355"/>
      <c r="K6469" s="355"/>
      <c r="L6469" s="355"/>
      <c r="M6469" s="355"/>
    </row>
    <row r="6470" spans="5:13">
      <c r="E6470" s="355"/>
      <c r="F6470" s="355"/>
      <c r="G6470" s="355"/>
      <c r="H6470" s="355"/>
      <c r="I6470" s="355"/>
      <c r="J6470" s="355"/>
      <c r="K6470" s="355"/>
      <c r="L6470" s="355"/>
      <c r="M6470" s="355"/>
    </row>
    <row r="6471" spans="5:13">
      <c r="E6471" s="355"/>
      <c r="F6471" s="355"/>
      <c r="G6471" s="355"/>
      <c r="H6471" s="355"/>
      <c r="I6471" s="355"/>
      <c r="J6471" s="355"/>
      <c r="K6471" s="355"/>
      <c r="L6471" s="355"/>
      <c r="M6471" s="355"/>
    </row>
    <row r="6472" spans="5:13">
      <c r="E6472" s="355"/>
      <c r="F6472" s="355"/>
      <c r="G6472" s="355"/>
      <c r="H6472" s="355"/>
      <c r="I6472" s="355"/>
      <c r="J6472" s="355"/>
      <c r="K6472" s="355"/>
      <c r="L6472" s="355"/>
      <c r="M6472" s="355"/>
    </row>
    <row r="6473" spans="5:13">
      <c r="E6473" s="355"/>
      <c r="F6473" s="355"/>
      <c r="G6473" s="355"/>
      <c r="H6473" s="355"/>
      <c r="I6473" s="355"/>
      <c r="J6473" s="355"/>
      <c r="K6473" s="355"/>
      <c r="L6473" s="355"/>
      <c r="M6473" s="355"/>
    </row>
    <row r="6474" spans="5:13">
      <c r="E6474" s="355"/>
      <c r="F6474" s="355"/>
      <c r="G6474" s="355"/>
      <c r="H6474" s="355"/>
      <c r="I6474" s="355"/>
      <c r="J6474" s="355"/>
      <c r="K6474" s="355"/>
      <c r="L6474" s="355"/>
      <c r="M6474" s="355"/>
    </row>
    <row r="6475" spans="5:13">
      <c r="E6475" s="355"/>
      <c r="F6475" s="355"/>
      <c r="G6475" s="355"/>
      <c r="H6475" s="355"/>
      <c r="I6475" s="355"/>
      <c r="J6475" s="355"/>
      <c r="K6475" s="355"/>
      <c r="L6475" s="355"/>
      <c r="M6475" s="355"/>
    </row>
    <row r="6476" spans="5:13">
      <c r="E6476" s="355"/>
      <c r="F6476" s="355"/>
      <c r="G6476" s="355"/>
      <c r="H6476" s="355"/>
      <c r="I6476" s="355"/>
      <c r="J6476" s="355"/>
      <c r="K6476" s="355"/>
      <c r="L6476" s="355"/>
      <c r="M6476" s="355"/>
    </row>
    <row r="6477" spans="5:13">
      <c r="E6477" s="355"/>
      <c r="F6477" s="355"/>
      <c r="G6477" s="355"/>
      <c r="H6477" s="355"/>
      <c r="I6477" s="355"/>
      <c r="J6477" s="355"/>
      <c r="K6477" s="355"/>
      <c r="L6477" s="355"/>
      <c r="M6477" s="355"/>
    </row>
    <row r="6478" spans="5:13">
      <c r="E6478" s="355"/>
      <c r="F6478" s="355"/>
      <c r="G6478" s="355"/>
      <c r="H6478" s="355"/>
      <c r="I6478" s="355"/>
      <c r="J6478" s="355"/>
      <c r="K6478" s="355"/>
      <c r="L6478" s="355"/>
      <c r="M6478" s="355"/>
    </row>
    <row r="6479" spans="5:13">
      <c r="E6479" s="355"/>
      <c r="F6479" s="355"/>
      <c r="G6479" s="355"/>
      <c r="H6479" s="355"/>
      <c r="I6479" s="355"/>
      <c r="J6479" s="355"/>
      <c r="K6479" s="355"/>
      <c r="L6479" s="355"/>
      <c r="M6479" s="355"/>
    </row>
    <row r="6480" spans="5:13">
      <c r="E6480" s="355"/>
      <c r="F6480" s="355"/>
      <c r="G6480" s="355"/>
      <c r="H6480" s="355"/>
      <c r="I6480" s="355"/>
      <c r="J6480" s="355"/>
      <c r="K6480" s="355"/>
      <c r="L6480" s="355"/>
      <c r="M6480" s="355"/>
    </row>
    <row r="6481" spans="5:13">
      <c r="E6481" s="355"/>
      <c r="F6481" s="355"/>
      <c r="G6481" s="355"/>
      <c r="H6481" s="355"/>
      <c r="I6481" s="355"/>
      <c r="J6481" s="355"/>
      <c r="K6481" s="355"/>
      <c r="L6481" s="355"/>
      <c r="M6481" s="355"/>
    </row>
    <row r="6482" spans="5:13">
      <c r="E6482" s="355"/>
      <c r="F6482" s="355"/>
      <c r="G6482" s="355"/>
      <c r="H6482" s="355"/>
      <c r="I6482" s="355"/>
      <c r="J6482" s="355"/>
      <c r="K6482" s="355"/>
      <c r="L6482" s="355"/>
      <c r="M6482" s="355"/>
    </row>
    <row r="6483" spans="5:13">
      <c r="E6483" s="355"/>
      <c r="F6483" s="355"/>
      <c r="G6483" s="355"/>
      <c r="H6483" s="355"/>
      <c r="I6483" s="355"/>
      <c r="J6483" s="355"/>
      <c r="K6483" s="355"/>
      <c r="L6483" s="355"/>
      <c r="M6483" s="355"/>
    </row>
    <row r="6484" spans="5:13">
      <c r="E6484" s="355"/>
      <c r="F6484" s="355"/>
      <c r="G6484" s="355"/>
      <c r="H6484" s="355"/>
      <c r="I6484" s="355"/>
      <c r="J6484" s="355"/>
      <c r="K6484" s="355"/>
      <c r="L6484" s="355"/>
      <c r="M6484" s="355"/>
    </row>
    <row r="6485" spans="5:13">
      <c r="E6485" s="355"/>
      <c r="F6485" s="355"/>
      <c r="G6485" s="355"/>
      <c r="H6485" s="355"/>
      <c r="I6485" s="355"/>
      <c r="J6485" s="355"/>
      <c r="K6485" s="355"/>
      <c r="L6485" s="355"/>
      <c r="M6485" s="355"/>
    </row>
    <row r="6486" spans="5:13">
      <c r="E6486" s="355"/>
      <c r="F6486" s="355"/>
      <c r="G6486" s="355"/>
      <c r="H6486" s="355"/>
      <c r="I6486" s="355"/>
      <c r="J6486" s="355"/>
      <c r="K6486" s="355"/>
      <c r="L6486" s="355"/>
      <c r="M6486" s="355"/>
    </row>
    <row r="6487" spans="5:13">
      <c r="E6487" s="355"/>
      <c r="F6487" s="355"/>
      <c r="G6487" s="355"/>
      <c r="H6487" s="355"/>
      <c r="I6487" s="355"/>
      <c r="J6487" s="355"/>
      <c r="K6487" s="355"/>
      <c r="L6487" s="355"/>
      <c r="M6487" s="355"/>
    </row>
    <row r="6488" spans="5:13">
      <c r="E6488" s="355"/>
      <c r="F6488" s="355"/>
      <c r="G6488" s="355"/>
      <c r="H6488" s="355"/>
      <c r="I6488" s="355"/>
      <c r="J6488" s="355"/>
      <c r="K6488" s="355"/>
      <c r="L6488" s="355"/>
      <c r="M6488" s="355"/>
    </row>
    <row r="6489" spans="5:13">
      <c r="E6489" s="355"/>
      <c r="F6489" s="355"/>
      <c r="G6489" s="355"/>
      <c r="H6489" s="355"/>
      <c r="I6489" s="355"/>
      <c r="J6489" s="355"/>
      <c r="K6489" s="355"/>
      <c r="L6489" s="355"/>
      <c r="M6489" s="355"/>
    </row>
    <row r="6490" spans="5:13">
      <c r="E6490" s="355"/>
      <c r="F6490" s="355"/>
      <c r="G6490" s="355"/>
      <c r="H6490" s="355"/>
      <c r="I6490" s="355"/>
      <c r="J6490" s="355"/>
      <c r="K6490" s="355"/>
      <c r="L6490" s="355"/>
      <c r="M6490" s="355"/>
    </row>
    <row r="6491" spans="5:13">
      <c r="E6491" s="355"/>
      <c r="F6491" s="355"/>
      <c r="G6491" s="355"/>
      <c r="H6491" s="355"/>
      <c r="I6491" s="355"/>
      <c r="J6491" s="355"/>
      <c r="K6491" s="355"/>
      <c r="L6491" s="355"/>
      <c r="M6491" s="355"/>
    </row>
    <row r="6492" spans="5:13">
      <c r="E6492" s="355"/>
      <c r="F6492" s="355"/>
      <c r="G6492" s="355"/>
      <c r="H6492" s="355"/>
      <c r="I6492" s="355"/>
      <c r="J6492" s="355"/>
      <c r="K6492" s="355"/>
      <c r="L6492" s="355"/>
      <c r="M6492" s="355"/>
    </row>
    <row r="6493" spans="5:13">
      <c r="E6493" s="355"/>
      <c r="F6493" s="355"/>
      <c r="G6493" s="355"/>
      <c r="H6493" s="355"/>
      <c r="I6493" s="355"/>
      <c r="J6493" s="355"/>
      <c r="K6493" s="355"/>
      <c r="L6493" s="355"/>
      <c r="M6493" s="355"/>
    </row>
    <row r="6494" spans="5:13">
      <c r="E6494" s="355"/>
      <c r="F6494" s="355"/>
      <c r="G6494" s="355"/>
      <c r="H6494" s="355"/>
      <c r="I6494" s="355"/>
      <c r="J6494" s="355"/>
      <c r="K6494" s="355"/>
      <c r="L6494" s="355"/>
      <c r="M6494" s="355"/>
    </row>
    <row r="6495" spans="5:13">
      <c r="E6495" s="355"/>
      <c r="F6495" s="355"/>
      <c r="G6495" s="355"/>
      <c r="H6495" s="355"/>
      <c r="I6495" s="355"/>
      <c r="J6495" s="355"/>
      <c r="K6495" s="355"/>
      <c r="L6495" s="355"/>
      <c r="M6495" s="355"/>
    </row>
    <row r="6496" spans="5:13">
      <c r="E6496" s="355"/>
      <c r="F6496" s="355"/>
      <c r="G6496" s="355"/>
      <c r="H6496" s="355"/>
      <c r="I6496" s="355"/>
      <c r="J6496" s="355"/>
      <c r="K6496" s="355"/>
      <c r="L6496" s="355"/>
      <c r="M6496" s="355"/>
    </row>
    <row r="6497" spans="5:13">
      <c r="E6497" s="355"/>
      <c r="F6497" s="355"/>
      <c r="G6497" s="355"/>
      <c r="H6497" s="355"/>
      <c r="I6497" s="355"/>
      <c r="J6497" s="355"/>
      <c r="K6497" s="355"/>
      <c r="L6497" s="355"/>
      <c r="M6497" s="355"/>
    </row>
    <row r="6498" spans="5:13">
      <c r="E6498" s="355"/>
      <c r="F6498" s="355"/>
      <c r="G6498" s="355"/>
      <c r="H6498" s="355"/>
      <c r="I6498" s="355"/>
      <c r="J6498" s="355"/>
      <c r="K6498" s="355"/>
      <c r="L6498" s="355"/>
      <c r="M6498" s="355"/>
    </row>
    <row r="6499" spans="5:13">
      <c r="E6499" s="355"/>
      <c r="F6499" s="355"/>
      <c r="G6499" s="355"/>
      <c r="H6499" s="355"/>
      <c r="I6499" s="355"/>
      <c r="J6499" s="355"/>
      <c r="K6499" s="355"/>
      <c r="L6499" s="355"/>
      <c r="M6499" s="355"/>
    </row>
    <row r="6500" spans="5:13">
      <c r="E6500" s="355"/>
      <c r="F6500" s="355"/>
      <c r="G6500" s="355"/>
      <c r="H6500" s="355"/>
      <c r="I6500" s="355"/>
      <c r="J6500" s="355"/>
      <c r="K6500" s="355"/>
      <c r="L6500" s="355"/>
      <c r="M6500" s="355"/>
    </row>
    <row r="6501" spans="5:13">
      <c r="E6501" s="355"/>
      <c r="F6501" s="355"/>
      <c r="G6501" s="355"/>
      <c r="H6501" s="355"/>
      <c r="I6501" s="355"/>
      <c r="J6501" s="355"/>
      <c r="K6501" s="355"/>
      <c r="L6501" s="355"/>
      <c r="M6501" s="355"/>
    </row>
    <row r="6502" spans="5:13">
      <c r="E6502" s="355"/>
      <c r="F6502" s="355"/>
      <c r="G6502" s="355"/>
      <c r="H6502" s="355"/>
      <c r="I6502" s="355"/>
      <c r="J6502" s="355"/>
      <c r="K6502" s="355"/>
      <c r="L6502" s="355"/>
      <c r="M6502" s="355"/>
    </row>
    <row r="6503" spans="5:13">
      <c r="E6503" s="355"/>
      <c r="F6503" s="355"/>
      <c r="G6503" s="355"/>
      <c r="H6503" s="355"/>
      <c r="I6503" s="355"/>
      <c r="J6503" s="355"/>
      <c r="K6503" s="355"/>
      <c r="L6503" s="355"/>
      <c r="M6503" s="355"/>
    </row>
    <row r="6504" spans="5:13">
      <c r="E6504" s="355"/>
      <c r="F6504" s="355"/>
      <c r="G6504" s="355"/>
      <c r="H6504" s="355"/>
      <c r="I6504" s="355"/>
      <c r="J6504" s="355"/>
      <c r="K6504" s="355"/>
      <c r="L6504" s="355"/>
      <c r="M6504" s="355"/>
    </row>
    <row r="6505" spans="5:13">
      <c r="E6505" s="355"/>
      <c r="F6505" s="355"/>
      <c r="G6505" s="355"/>
      <c r="H6505" s="355"/>
      <c r="I6505" s="355"/>
      <c r="J6505" s="355"/>
      <c r="K6505" s="355"/>
      <c r="L6505" s="355"/>
      <c r="M6505" s="355"/>
    </row>
    <row r="6506" spans="5:13">
      <c r="E6506" s="355"/>
      <c r="F6506" s="355"/>
      <c r="G6506" s="355"/>
      <c r="H6506" s="355"/>
      <c r="I6506" s="355"/>
      <c r="J6506" s="355"/>
      <c r="K6506" s="355"/>
      <c r="L6506" s="355"/>
      <c r="M6506" s="355"/>
    </row>
    <row r="6507" spans="5:13">
      <c r="E6507" s="355"/>
      <c r="F6507" s="355"/>
      <c r="G6507" s="355"/>
      <c r="H6507" s="355"/>
      <c r="I6507" s="355"/>
      <c r="J6507" s="355"/>
      <c r="K6507" s="355"/>
      <c r="L6507" s="355"/>
      <c r="M6507" s="355"/>
    </row>
    <row r="6508" spans="5:13">
      <c r="E6508" s="355"/>
      <c r="F6508" s="355"/>
      <c r="G6508" s="355"/>
      <c r="H6508" s="355"/>
      <c r="I6508" s="355"/>
      <c r="J6508" s="355"/>
      <c r="K6508" s="355"/>
      <c r="L6508" s="355"/>
      <c r="M6508" s="355"/>
    </row>
    <row r="6509" spans="5:13">
      <c r="E6509" s="355"/>
      <c r="F6509" s="355"/>
      <c r="G6509" s="355"/>
      <c r="H6509" s="355"/>
      <c r="I6509" s="355"/>
      <c r="J6509" s="355"/>
      <c r="K6509" s="355"/>
      <c r="L6509" s="355"/>
      <c r="M6509" s="355"/>
    </row>
    <row r="6510" spans="5:13">
      <c r="E6510" s="355"/>
      <c r="F6510" s="355"/>
      <c r="G6510" s="355"/>
      <c r="H6510" s="355"/>
      <c r="I6510" s="355"/>
      <c r="J6510" s="355"/>
      <c r="K6510" s="355"/>
      <c r="L6510" s="355"/>
      <c r="M6510" s="355"/>
    </row>
    <row r="6511" spans="5:13">
      <c r="E6511" s="355"/>
      <c r="F6511" s="355"/>
      <c r="G6511" s="355"/>
      <c r="H6511" s="355"/>
      <c r="I6511" s="355"/>
      <c r="J6511" s="355"/>
      <c r="K6511" s="355"/>
      <c r="L6511" s="355"/>
      <c r="M6511" s="355"/>
    </row>
    <row r="6512" spans="5:13">
      <c r="E6512" s="355"/>
      <c r="F6512" s="355"/>
      <c r="G6512" s="355"/>
      <c r="H6512" s="355"/>
      <c r="I6512" s="355"/>
      <c r="J6512" s="355"/>
      <c r="K6512" s="355"/>
      <c r="L6512" s="355"/>
      <c r="M6512" s="355"/>
    </row>
    <row r="6513" spans="5:13">
      <c r="E6513" s="355"/>
      <c r="F6513" s="355"/>
      <c r="G6513" s="355"/>
      <c r="H6513" s="355"/>
      <c r="I6513" s="355"/>
      <c r="J6513" s="355"/>
      <c r="K6513" s="355"/>
      <c r="L6513" s="355"/>
      <c r="M6513" s="355"/>
    </row>
    <row r="6514" spans="5:13">
      <c r="E6514" s="355"/>
      <c r="F6514" s="355"/>
      <c r="G6514" s="355"/>
      <c r="H6514" s="355"/>
      <c r="I6514" s="355"/>
      <c r="J6514" s="355"/>
      <c r="K6514" s="355"/>
      <c r="L6514" s="355"/>
      <c r="M6514" s="355"/>
    </row>
    <row r="6515" spans="5:13">
      <c r="E6515" s="355"/>
      <c r="F6515" s="355"/>
      <c r="G6515" s="355"/>
      <c r="H6515" s="355"/>
      <c r="I6515" s="355"/>
      <c r="J6515" s="355"/>
      <c r="K6515" s="355"/>
      <c r="L6515" s="355"/>
      <c r="M6515" s="355"/>
    </row>
    <row r="6516" spans="5:13">
      <c r="E6516" s="355"/>
      <c r="F6516" s="355"/>
      <c r="G6516" s="355"/>
      <c r="H6516" s="355"/>
      <c r="I6516" s="355"/>
      <c r="J6516" s="355"/>
      <c r="K6516" s="355"/>
      <c r="L6516" s="355"/>
      <c r="M6516" s="355"/>
    </row>
    <row r="6517" spans="5:13">
      <c r="E6517" s="355"/>
      <c r="F6517" s="355"/>
      <c r="G6517" s="355"/>
      <c r="H6517" s="355"/>
      <c r="I6517" s="355"/>
      <c r="J6517" s="355"/>
      <c r="K6517" s="355"/>
      <c r="L6517" s="355"/>
      <c r="M6517" s="355"/>
    </row>
    <row r="6518" spans="5:13">
      <c r="E6518" s="355"/>
      <c r="F6518" s="355"/>
      <c r="G6518" s="355"/>
      <c r="H6518" s="355"/>
      <c r="I6518" s="355"/>
      <c r="J6518" s="355"/>
      <c r="K6518" s="355"/>
      <c r="L6518" s="355"/>
      <c r="M6518" s="355"/>
    </row>
    <row r="6519" spans="5:13">
      <c r="E6519" s="355"/>
      <c r="F6519" s="355"/>
      <c r="G6519" s="355"/>
      <c r="H6519" s="355"/>
      <c r="I6519" s="355"/>
      <c r="J6519" s="355"/>
      <c r="K6519" s="355"/>
      <c r="L6519" s="355"/>
      <c r="M6519" s="355"/>
    </row>
    <row r="6520" spans="5:13">
      <c r="E6520" s="355"/>
      <c r="F6520" s="355"/>
      <c r="G6520" s="355"/>
      <c r="H6520" s="355"/>
      <c r="I6520" s="355"/>
      <c r="J6520" s="355"/>
      <c r="K6520" s="355"/>
      <c r="L6520" s="355"/>
      <c r="M6520" s="355"/>
    </row>
    <row r="6521" spans="5:13">
      <c r="E6521" s="355"/>
      <c r="F6521" s="355"/>
      <c r="G6521" s="355"/>
      <c r="H6521" s="355"/>
      <c r="I6521" s="355"/>
      <c r="J6521" s="355"/>
      <c r="K6521" s="355"/>
      <c r="L6521" s="355"/>
      <c r="M6521" s="355"/>
    </row>
    <row r="6522" spans="5:13">
      <c r="E6522" s="355"/>
      <c r="F6522" s="355"/>
      <c r="G6522" s="355"/>
      <c r="H6522" s="355"/>
      <c r="I6522" s="355"/>
      <c r="J6522" s="355"/>
      <c r="K6522" s="355"/>
      <c r="L6522" s="355"/>
      <c r="M6522" s="355"/>
    </row>
    <row r="6523" spans="5:13">
      <c r="E6523" s="355"/>
      <c r="F6523" s="355"/>
      <c r="G6523" s="355"/>
      <c r="H6523" s="355"/>
      <c r="I6523" s="355"/>
      <c r="J6523" s="355"/>
      <c r="K6523" s="355"/>
      <c r="L6523" s="355"/>
      <c r="M6523" s="355"/>
    </row>
    <row r="6524" spans="5:13">
      <c r="E6524" s="355"/>
      <c r="F6524" s="355"/>
      <c r="G6524" s="355"/>
      <c r="H6524" s="355"/>
      <c r="I6524" s="355"/>
      <c r="J6524" s="355"/>
      <c r="K6524" s="355"/>
      <c r="L6524" s="355"/>
      <c r="M6524" s="355"/>
    </row>
    <row r="6525" spans="5:13">
      <c r="E6525" s="355"/>
      <c r="F6525" s="355"/>
      <c r="G6525" s="355"/>
      <c r="H6525" s="355"/>
      <c r="I6525" s="355"/>
      <c r="J6525" s="355"/>
      <c r="K6525" s="355"/>
      <c r="L6525" s="355"/>
      <c r="M6525" s="355"/>
    </row>
    <row r="6526" spans="5:13">
      <c r="E6526" s="355"/>
      <c r="F6526" s="355"/>
      <c r="G6526" s="355"/>
      <c r="H6526" s="355"/>
      <c r="I6526" s="355"/>
      <c r="J6526" s="355"/>
      <c r="K6526" s="355"/>
      <c r="L6526" s="355"/>
      <c r="M6526" s="355"/>
    </row>
    <row r="6527" spans="5:13">
      <c r="E6527" s="355"/>
      <c r="F6527" s="355"/>
      <c r="G6527" s="355"/>
      <c r="H6527" s="355"/>
      <c r="I6527" s="355"/>
      <c r="J6527" s="355"/>
      <c r="K6527" s="355"/>
      <c r="L6527" s="355"/>
      <c r="M6527" s="355"/>
    </row>
    <row r="6528" spans="5:13">
      <c r="E6528" s="355"/>
      <c r="F6528" s="355"/>
      <c r="G6528" s="355"/>
      <c r="H6528" s="355"/>
      <c r="I6528" s="355"/>
      <c r="J6528" s="355"/>
      <c r="K6528" s="355"/>
      <c r="L6528" s="355"/>
      <c r="M6528" s="355"/>
    </row>
    <row r="6529" spans="5:13">
      <c r="E6529" s="355"/>
      <c r="F6529" s="355"/>
      <c r="G6529" s="355"/>
      <c r="H6529" s="355"/>
      <c r="I6529" s="355"/>
      <c r="J6529" s="355"/>
      <c r="K6529" s="355"/>
      <c r="L6529" s="355"/>
      <c r="M6529" s="355"/>
    </row>
    <row r="6530" spans="5:13">
      <c r="E6530" s="355"/>
      <c r="F6530" s="355"/>
      <c r="G6530" s="355"/>
      <c r="H6530" s="355"/>
      <c r="I6530" s="355"/>
      <c r="J6530" s="355"/>
      <c r="K6530" s="355"/>
      <c r="L6530" s="355"/>
      <c r="M6530" s="355"/>
    </row>
    <row r="6531" spans="5:13">
      <c r="E6531" s="355"/>
      <c r="F6531" s="355"/>
      <c r="G6531" s="355"/>
      <c r="H6531" s="355"/>
      <c r="I6531" s="355"/>
      <c r="J6531" s="355"/>
      <c r="K6531" s="355"/>
      <c r="L6531" s="355"/>
      <c r="M6531" s="355"/>
    </row>
    <row r="6532" spans="5:13">
      <c r="E6532" s="355"/>
      <c r="F6532" s="355"/>
      <c r="G6532" s="355"/>
      <c r="H6532" s="355"/>
      <c r="I6532" s="355"/>
      <c r="J6532" s="355"/>
      <c r="K6532" s="355"/>
      <c r="L6532" s="355"/>
      <c r="M6532" s="355"/>
    </row>
    <row r="6533" spans="5:13">
      <c r="E6533" s="355"/>
      <c r="F6533" s="355"/>
      <c r="G6533" s="355"/>
      <c r="H6533" s="355"/>
      <c r="I6533" s="355"/>
      <c r="J6533" s="355"/>
      <c r="K6533" s="355"/>
      <c r="L6533" s="355"/>
      <c r="M6533" s="355"/>
    </row>
    <row r="6534" spans="5:13">
      <c r="E6534" s="355"/>
      <c r="F6534" s="355"/>
      <c r="G6534" s="355"/>
      <c r="H6534" s="355"/>
      <c r="I6534" s="355"/>
      <c r="J6534" s="355"/>
      <c r="K6534" s="355"/>
      <c r="L6534" s="355"/>
      <c r="M6534" s="355"/>
    </row>
    <row r="6535" spans="5:13">
      <c r="E6535" s="355"/>
      <c r="F6535" s="355"/>
      <c r="G6535" s="355"/>
      <c r="H6535" s="355"/>
      <c r="I6535" s="355"/>
      <c r="J6535" s="355"/>
      <c r="K6535" s="355"/>
      <c r="L6535" s="355"/>
      <c r="M6535" s="355"/>
    </row>
    <row r="6536" spans="5:13">
      <c r="E6536" s="355"/>
      <c r="F6536" s="355"/>
      <c r="G6536" s="355"/>
      <c r="H6536" s="355"/>
      <c r="I6536" s="355"/>
      <c r="J6536" s="355"/>
      <c r="K6536" s="355"/>
      <c r="L6536" s="355"/>
      <c r="M6536" s="355"/>
    </row>
    <row r="6537" spans="5:13">
      <c r="E6537" s="355"/>
      <c r="F6537" s="355"/>
      <c r="G6537" s="355"/>
      <c r="H6537" s="355"/>
      <c r="I6537" s="355"/>
      <c r="J6537" s="355"/>
      <c r="K6537" s="355"/>
      <c r="L6537" s="355"/>
      <c r="M6537" s="355"/>
    </row>
    <row r="6538" spans="5:13">
      <c r="E6538" s="355"/>
      <c r="F6538" s="355"/>
      <c r="G6538" s="355"/>
      <c r="H6538" s="355"/>
      <c r="I6538" s="355"/>
      <c r="J6538" s="355"/>
      <c r="K6538" s="355"/>
      <c r="L6538" s="355"/>
      <c r="M6538" s="355"/>
    </row>
    <row r="6539" spans="5:13">
      <c r="E6539" s="355"/>
      <c r="F6539" s="355"/>
      <c r="G6539" s="355"/>
      <c r="H6539" s="355"/>
      <c r="I6539" s="355"/>
      <c r="J6539" s="355"/>
      <c r="K6539" s="355"/>
      <c r="L6539" s="355"/>
      <c r="M6539" s="355"/>
    </row>
    <row r="6540" spans="5:13">
      <c r="E6540" s="355"/>
      <c r="F6540" s="355"/>
      <c r="G6540" s="355"/>
      <c r="H6540" s="355"/>
      <c r="I6540" s="355"/>
      <c r="J6540" s="355"/>
      <c r="K6540" s="355"/>
      <c r="L6540" s="355"/>
      <c r="M6540" s="355"/>
    </row>
    <row r="6541" spans="5:13">
      <c r="E6541" s="355"/>
      <c r="F6541" s="355"/>
      <c r="G6541" s="355"/>
      <c r="H6541" s="355"/>
      <c r="I6541" s="355"/>
      <c r="J6541" s="355"/>
      <c r="K6541" s="355"/>
      <c r="L6541" s="355"/>
      <c r="M6541" s="355"/>
    </row>
    <row r="6542" spans="5:13">
      <c r="E6542" s="355"/>
      <c r="F6542" s="355"/>
      <c r="G6542" s="355"/>
      <c r="H6542" s="355"/>
      <c r="I6542" s="355"/>
      <c r="J6542" s="355"/>
      <c r="K6542" s="355"/>
      <c r="L6542" s="355"/>
      <c r="M6542" s="355"/>
    </row>
    <row r="6543" spans="5:13">
      <c r="E6543" s="355"/>
      <c r="F6543" s="355"/>
      <c r="G6543" s="355"/>
      <c r="H6543" s="355"/>
      <c r="I6543" s="355"/>
      <c r="J6543" s="355"/>
      <c r="K6543" s="355"/>
      <c r="L6543" s="355"/>
      <c r="M6543" s="355"/>
    </row>
    <row r="6544" spans="5:13">
      <c r="E6544" s="355"/>
      <c r="F6544" s="355"/>
      <c r="G6544" s="355"/>
      <c r="H6544" s="355"/>
      <c r="I6544" s="355"/>
      <c r="J6544" s="355"/>
      <c r="K6544" s="355"/>
      <c r="L6544" s="355"/>
      <c r="M6544" s="355"/>
    </row>
    <row r="6545" spans="5:13">
      <c r="E6545" s="355"/>
      <c r="F6545" s="355"/>
      <c r="G6545" s="355"/>
      <c r="H6545" s="355"/>
      <c r="I6545" s="355"/>
      <c r="J6545" s="355"/>
      <c r="K6545" s="355"/>
      <c r="L6545" s="355"/>
      <c r="M6545" s="355"/>
    </row>
    <row r="6546" spans="5:13">
      <c r="E6546" s="355"/>
      <c r="F6546" s="355"/>
      <c r="G6546" s="355"/>
      <c r="H6546" s="355"/>
      <c r="I6546" s="355"/>
      <c r="J6546" s="355"/>
      <c r="K6546" s="355"/>
      <c r="L6546" s="355"/>
      <c r="M6546" s="355"/>
    </row>
    <row r="6547" spans="5:13">
      <c r="E6547" s="355"/>
      <c r="F6547" s="355"/>
      <c r="G6547" s="355"/>
      <c r="H6547" s="355"/>
      <c r="I6547" s="355"/>
      <c r="J6547" s="355"/>
      <c r="K6547" s="355"/>
      <c r="L6547" s="355"/>
      <c r="M6547" s="355"/>
    </row>
    <row r="6548" spans="5:13">
      <c r="E6548" s="355"/>
      <c r="F6548" s="355"/>
      <c r="G6548" s="355"/>
      <c r="H6548" s="355"/>
      <c r="I6548" s="355"/>
      <c r="J6548" s="355"/>
      <c r="K6548" s="355"/>
      <c r="L6548" s="355"/>
      <c r="M6548" s="355"/>
    </row>
    <row r="6549" spans="5:13">
      <c r="E6549" s="355"/>
      <c r="F6549" s="355"/>
      <c r="G6549" s="355"/>
      <c r="H6549" s="355"/>
      <c r="I6549" s="355"/>
      <c r="J6549" s="355"/>
      <c r="K6549" s="355"/>
      <c r="L6549" s="355"/>
      <c r="M6549" s="355"/>
    </row>
    <row r="6550" spans="5:13">
      <c r="E6550" s="355"/>
      <c r="F6550" s="355"/>
      <c r="G6550" s="355"/>
      <c r="H6550" s="355"/>
      <c r="I6550" s="355"/>
      <c r="J6550" s="355"/>
      <c r="K6550" s="355"/>
      <c r="L6550" s="355"/>
      <c r="M6550" s="355"/>
    </row>
    <row r="6551" spans="5:13">
      <c r="E6551" s="355"/>
      <c r="F6551" s="355"/>
      <c r="G6551" s="355"/>
      <c r="H6551" s="355"/>
      <c r="I6551" s="355"/>
      <c r="J6551" s="355"/>
      <c r="K6551" s="355"/>
      <c r="L6551" s="355"/>
      <c r="M6551" s="355"/>
    </row>
    <row r="6552" spans="5:13">
      <c r="E6552" s="355"/>
      <c r="F6552" s="355"/>
      <c r="G6552" s="355"/>
      <c r="H6552" s="355"/>
      <c r="I6552" s="355"/>
      <c r="J6552" s="355"/>
      <c r="K6552" s="355"/>
      <c r="L6552" s="355"/>
      <c r="M6552" s="355"/>
    </row>
    <row r="6553" spans="5:13">
      <c r="E6553" s="355"/>
      <c r="F6553" s="355"/>
      <c r="G6553" s="355"/>
      <c r="H6553" s="355"/>
      <c r="I6553" s="355"/>
      <c r="J6553" s="355"/>
      <c r="K6553" s="355"/>
      <c r="L6553" s="355"/>
      <c r="M6553" s="355"/>
    </row>
    <row r="6554" spans="5:13">
      <c r="E6554" s="355"/>
      <c r="F6554" s="355"/>
      <c r="G6554" s="355"/>
      <c r="H6554" s="355"/>
      <c r="I6554" s="355"/>
      <c r="J6554" s="355"/>
      <c r="K6554" s="355"/>
      <c r="L6554" s="355"/>
      <c r="M6554" s="355"/>
    </row>
    <row r="6555" spans="5:13">
      <c r="E6555" s="355"/>
      <c r="F6555" s="355"/>
      <c r="G6555" s="355"/>
      <c r="H6555" s="355"/>
      <c r="I6555" s="355"/>
      <c r="J6555" s="355"/>
      <c r="K6555" s="355"/>
      <c r="L6555" s="355"/>
      <c r="M6555" s="355"/>
    </row>
    <row r="6556" spans="5:13">
      <c r="E6556" s="355"/>
      <c r="F6556" s="355"/>
      <c r="G6556" s="355"/>
      <c r="H6556" s="355"/>
      <c r="I6556" s="355"/>
      <c r="J6556" s="355"/>
      <c r="K6556" s="355"/>
      <c r="L6556" s="355"/>
      <c r="M6556" s="355"/>
    </row>
    <row r="6557" spans="5:13">
      <c r="E6557" s="355"/>
      <c r="F6557" s="355"/>
      <c r="G6557" s="355"/>
      <c r="H6557" s="355"/>
      <c r="I6557" s="355"/>
      <c r="J6557" s="355"/>
      <c r="K6557" s="355"/>
      <c r="L6557" s="355"/>
      <c r="M6557" s="355"/>
    </row>
    <row r="6558" spans="5:13">
      <c r="E6558" s="355"/>
      <c r="F6558" s="355"/>
      <c r="G6558" s="355"/>
      <c r="H6558" s="355"/>
      <c r="I6558" s="355"/>
      <c r="J6558" s="355"/>
      <c r="K6558" s="355"/>
      <c r="L6558" s="355"/>
      <c r="M6558" s="355"/>
    </row>
    <row r="6559" spans="5:13">
      <c r="E6559" s="355"/>
      <c r="F6559" s="355"/>
      <c r="G6559" s="355"/>
      <c r="H6559" s="355"/>
      <c r="I6559" s="355"/>
      <c r="J6559" s="355"/>
      <c r="K6559" s="355"/>
      <c r="L6559" s="355"/>
      <c r="M6559" s="355"/>
    </row>
    <row r="6560" spans="5:13">
      <c r="E6560" s="355"/>
      <c r="F6560" s="355"/>
      <c r="G6560" s="355"/>
      <c r="H6560" s="355"/>
      <c r="I6560" s="355"/>
      <c r="J6560" s="355"/>
      <c r="K6560" s="355"/>
      <c r="L6560" s="355"/>
      <c r="M6560" s="355"/>
    </row>
    <row r="6561" spans="5:13">
      <c r="E6561" s="355"/>
      <c r="F6561" s="355"/>
      <c r="G6561" s="355"/>
      <c r="H6561" s="355"/>
      <c r="I6561" s="355"/>
      <c r="J6561" s="355"/>
      <c r="K6561" s="355"/>
      <c r="L6561" s="355"/>
      <c r="M6561" s="355"/>
    </row>
    <row r="6562" spans="5:13">
      <c r="E6562" s="355"/>
      <c r="F6562" s="355"/>
      <c r="G6562" s="355"/>
      <c r="H6562" s="355"/>
      <c r="I6562" s="355"/>
      <c r="J6562" s="355"/>
      <c r="K6562" s="355"/>
      <c r="L6562" s="355"/>
      <c r="M6562" s="355"/>
    </row>
    <row r="6563" spans="5:13">
      <c r="E6563" s="355"/>
      <c r="F6563" s="355"/>
      <c r="G6563" s="355"/>
      <c r="H6563" s="355"/>
      <c r="I6563" s="355"/>
      <c r="J6563" s="355"/>
      <c r="K6563" s="355"/>
      <c r="L6563" s="355"/>
      <c r="M6563" s="355"/>
    </row>
    <row r="6564" spans="5:13">
      <c r="E6564" s="355"/>
      <c r="F6564" s="355"/>
      <c r="G6564" s="355"/>
      <c r="H6564" s="355"/>
      <c r="I6564" s="355"/>
      <c r="J6564" s="355"/>
      <c r="K6564" s="355"/>
      <c r="L6564" s="355"/>
      <c r="M6564" s="355"/>
    </row>
    <row r="6565" spans="5:13">
      <c r="E6565" s="355"/>
      <c r="F6565" s="355"/>
      <c r="G6565" s="355"/>
      <c r="H6565" s="355"/>
      <c r="I6565" s="355"/>
      <c r="J6565" s="355"/>
      <c r="K6565" s="355"/>
      <c r="L6565" s="355"/>
      <c r="M6565" s="355"/>
    </row>
    <row r="6566" spans="5:13">
      <c r="E6566" s="355"/>
      <c r="F6566" s="355"/>
      <c r="G6566" s="355"/>
      <c r="H6566" s="355"/>
      <c r="I6566" s="355"/>
      <c r="J6566" s="355"/>
      <c r="K6566" s="355"/>
      <c r="L6566" s="355"/>
      <c r="M6566" s="355"/>
    </row>
    <row r="6567" spans="5:13">
      <c r="E6567" s="355"/>
      <c r="F6567" s="355"/>
      <c r="G6567" s="355"/>
      <c r="H6567" s="355"/>
      <c r="I6567" s="355"/>
      <c r="J6567" s="355"/>
      <c r="K6567" s="355"/>
      <c r="L6567" s="355"/>
      <c r="M6567" s="355"/>
    </row>
    <row r="6568" spans="5:13">
      <c r="E6568" s="355"/>
      <c r="F6568" s="355"/>
      <c r="G6568" s="355"/>
      <c r="H6568" s="355"/>
      <c r="I6568" s="355"/>
      <c r="J6568" s="355"/>
      <c r="K6568" s="355"/>
      <c r="L6568" s="355"/>
      <c r="M6568" s="355"/>
    </row>
    <row r="6569" spans="5:13">
      <c r="E6569" s="355"/>
      <c r="F6569" s="355"/>
      <c r="G6569" s="355"/>
      <c r="H6569" s="355"/>
      <c r="I6569" s="355"/>
      <c r="J6569" s="355"/>
      <c r="K6569" s="355"/>
      <c r="L6569" s="355"/>
      <c r="M6569" s="355"/>
    </row>
    <row r="6570" spans="5:13">
      <c r="E6570" s="355"/>
      <c r="F6570" s="355"/>
      <c r="G6570" s="355"/>
      <c r="H6570" s="355"/>
      <c r="I6570" s="355"/>
      <c r="J6570" s="355"/>
      <c r="K6570" s="355"/>
      <c r="L6570" s="355"/>
      <c r="M6570" s="355"/>
    </row>
    <row r="6571" spans="5:13">
      <c r="E6571" s="355"/>
      <c r="F6571" s="355"/>
      <c r="G6571" s="355"/>
      <c r="H6571" s="355"/>
      <c r="I6571" s="355"/>
      <c r="J6571" s="355"/>
      <c r="K6571" s="355"/>
      <c r="L6571" s="355"/>
      <c r="M6571" s="355"/>
    </row>
    <row r="6572" spans="5:13">
      <c r="E6572" s="355"/>
      <c r="F6572" s="355"/>
      <c r="G6572" s="355"/>
      <c r="H6572" s="355"/>
      <c r="I6572" s="355"/>
      <c r="J6572" s="355"/>
      <c r="K6572" s="355"/>
      <c r="L6572" s="355"/>
      <c r="M6572" s="355"/>
    </row>
    <row r="6573" spans="5:13">
      <c r="E6573" s="355"/>
      <c r="F6573" s="355"/>
      <c r="G6573" s="355"/>
      <c r="H6573" s="355"/>
      <c r="I6573" s="355"/>
      <c r="J6573" s="355"/>
      <c r="K6573" s="355"/>
      <c r="L6573" s="355"/>
      <c r="M6573" s="355"/>
    </row>
    <row r="6574" spans="5:13">
      <c r="E6574" s="355"/>
      <c r="F6574" s="355"/>
      <c r="G6574" s="355"/>
      <c r="H6574" s="355"/>
      <c r="I6574" s="355"/>
      <c r="J6574" s="355"/>
      <c r="K6574" s="355"/>
      <c r="L6574" s="355"/>
      <c r="M6574" s="355"/>
    </row>
    <row r="6575" spans="5:13">
      <c r="E6575" s="355"/>
      <c r="F6575" s="355"/>
      <c r="G6575" s="355"/>
      <c r="H6575" s="355"/>
      <c r="I6575" s="355"/>
      <c r="J6575" s="355"/>
      <c r="K6575" s="355"/>
      <c r="L6575" s="355"/>
      <c r="M6575" s="355"/>
    </row>
    <row r="6576" spans="5:13">
      <c r="E6576" s="355"/>
      <c r="F6576" s="355"/>
      <c r="G6576" s="355"/>
      <c r="H6576" s="355"/>
      <c r="I6576" s="355"/>
      <c r="J6576" s="355"/>
      <c r="K6576" s="355"/>
      <c r="L6576" s="355"/>
      <c r="M6576" s="355"/>
    </row>
    <row r="6577" spans="5:13">
      <c r="E6577" s="355"/>
      <c r="F6577" s="355"/>
      <c r="G6577" s="355"/>
      <c r="H6577" s="355"/>
      <c r="I6577" s="355"/>
      <c r="J6577" s="355"/>
      <c r="K6577" s="355"/>
      <c r="L6577" s="355"/>
      <c r="M6577" s="355"/>
    </row>
    <row r="6578" spans="5:13">
      <c r="E6578" s="355"/>
      <c r="F6578" s="355"/>
      <c r="G6578" s="355"/>
      <c r="H6578" s="355"/>
      <c r="I6578" s="355"/>
      <c r="J6578" s="355"/>
      <c r="K6578" s="355"/>
      <c r="L6578" s="355"/>
      <c r="M6578" s="355"/>
    </row>
    <row r="6579" spans="5:13">
      <c r="E6579" s="355"/>
      <c r="F6579" s="355"/>
      <c r="G6579" s="355"/>
      <c r="H6579" s="355"/>
      <c r="I6579" s="355"/>
      <c r="J6579" s="355"/>
      <c r="K6579" s="355"/>
      <c r="L6579" s="355"/>
      <c r="M6579" s="355"/>
    </row>
    <row r="6580" spans="5:13">
      <c r="E6580" s="355"/>
      <c r="F6580" s="355"/>
      <c r="G6580" s="355"/>
      <c r="H6580" s="355"/>
      <c r="I6580" s="355"/>
      <c r="J6580" s="355"/>
      <c r="K6580" s="355"/>
      <c r="L6580" s="355"/>
      <c r="M6580" s="355"/>
    </row>
    <row r="6581" spans="5:13">
      <c r="E6581" s="355"/>
      <c r="F6581" s="355"/>
      <c r="G6581" s="355"/>
      <c r="H6581" s="355"/>
      <c r="I6581" s="355"/>
      <c r="J6581" s="355"/>
      <c r="K6581" s="355"/>
      <c r="L6581" s="355"/>
      <c r="M6581" s="355"/>
    </row>
    <row r="6582" spans="5:13">
      <c r="E6582" s="355"/>
      <c r="F6582" s="355"/>
      <c r="G6582" s="355"/>
      <c r="H6582" s="355"/>
      <c r="I6582" s="355"/>
      <c r="J6582" s="355"/>
      <c r="K6582" s="355"/>
      <c r="L6582" s="355"/>
      <c r="M6582" s="355"/>
    </row>
    <row r="6583" spans="5:13">
      <c r="E6583" s="355"/>
      <c r="F6583" s="355"/>
      <c r="G6583" s="355"/>
      <c r="H6583" s="355"/>
      <c r="I6583" s="355"/>
      <c r="J6583" s="355"/>
      <c r="K6583" s="355"/>
      <c r="L6583" s="355"/>
      <c r="M6583" s="355"/>
    </row>
    <row r="6584" spans="5:13">
      <c r="E6584" s="355"/>
      <c r="F6584" s="355"/>
      <c r="G6584" s="355"/>
      <c r="H6584" s="355"/>
      <c r="I6584" s="355"/>
      <c r="J6584" s="355"/>
      <c r="K6584" s="355"/>
      <c r="L6584" s="355"/>
      <c r="M6584" s="355"/>
    </row>
    <row r="6585" spans="5:13">
      <c r="E6585" s="355"/>
      <c r="F6585" s="355"/>
      <c r="G6585" s="355"/>
      <c r="H6585" s="355"/>
      <c r="I6585" s="355"/>
      <c r="J6585" s="355"/>
      <c r="K6585" s="355"/>
      <c r="L6585" s="355"/>
      <c r="M6585" s="355"/>
    </row>
    <row r="6586" spans="5:13">
      <c r="E6586" s="355"/>
      <c r="F6586" s="355"/>
      <c r="G6586" s="355"/>
      <c r="H6586" s="355"/>
      <c r="I6586" s="355"/>
      <c r="J6586" s="355"/>
      <c r="K6586" s="355"/>
      <c r="L6586" s="355"/>
      <c r="M6586" s="355"/>
    </row>
    <row r="6587" spans="5:13">
      <c r="E6587" s="355"/>
      <c r="F6587" s="355"/>
      <c r="G6587" s="355"/>
      <c r="H6587" s="355"/>
      <c r="I6587" s="355"/>
      <c r="J6587" s="355"/>
      <c r="K6587" s="355"/>
      <c r="L6587" s="355"/>
      <c r="M6587" s="355"/>
    </row>
    <row r="6588" spans="5:13">
      <c r="E6588" s="355"/>
      <c r="F6588" s="355"/>
      <c r="G6588" s="355"/>
      <c r="H6588" s="355"/>
      <c r="I6588" s="355"/>
      <c r="J6588" s="355"/>
      <c r="K6588" s="355"/>
      <c r="L6588" s="355"/>
      <c r="M6588" s="355"/>
    </row>
    <row r="6589" spans="5:13">
      <c r="E6589" s="355"/>
      <c r="F6589" s="355"/>
      <c r="G6589" s="355"/>
      <c r="H6589" s="355"/>
      <c r="I6589" s="355"/>
      <c r="J6589" s="355"/>
      <c r="K6589" s="355"/>
      <c r="L6589" s="355"/>
      <c r="M6589" s="355"/>
    </row>
    <row r="6590" spans="5:13">
      <c r="E6590" s="355"/>
      <c r="F6590" s="355"/>
      <c r="G6590" s="355"/>
      <c r="H6590" s="355"/>
      <c r="I6590" s="355"/>
      <c r="J6590" s="355"/>
      <c r="K6590" s="355"/>
      <c r="L6590" s="355"/>
      <c r="M6590" s="355"/>
    </row>
    <row r="6591" spans="5:13">
      <c r="E6591" s="355"/>
      <c r="F6591" s="355"/>
      <c r="G6591" s="355"/>
      <c r="H6591" s="355"/>
      <c r="I6591" s="355"/>
      <c r="J6591" s="355"/>
      <c r="K6591" s="355"/>
      <c r="L6591" s="355"/>
      <c r="M6591" s="355"/>
    </row>
    <row r="6592" spans="5:13">
      <c r="E6592" s="355"/>
      <c r="F6592" s="355"/>
      <c r="G6592" s="355"/>
      <c r="H6592" s="355"/>
      <c r="I6592" s="355"/>
      <c r="J6592" s="355"/>
      <c r="K6592" s="355"/>
      <c r="L6592" s="355"/>
      <c r="M6592" s="355"/>
    </row>
    <row r="6593" spans="5:13">
      <c r="E6593" s="355"/>
      <c r="F6593" s="355"/>
      <c r="G6593" s="355"/>
      <c r="H6593" s="355"/>
      <c r="I6593" s="355"/>
      <c r="J6593" s="355"/>
      <c r="K6593" s="355"/>
      <c r="L6593" s="355"/>
      <c r="M6593" s="355"/>
    </row>
    <row r="6594" spans="5:13">
      <c r="E6594" s="355"/>
      <c r="F6594" s="355"/>
      <c r="G6594" s="355"/>
      <c r="H6594" s="355"/>
      <c r="I6594" s="355"/>
      <c r="J6594" s="355"/>
      <c r="K6594" s="355"/>
      <c r="L6594" s="355"/>
      <c r="M6594" s="355"/>
    </row>
    <row r="6595" spans="5:13">
      <c r="E6595" s="355"/>
      <c r="F6595" s="355"/>
      <c r="G6595" s="355"/>
      <c r="H6595" s="355"/>
      <c r="I6595" s="355"/>
      <c r="J6595" s="355"/>
      <c r="K6595" s="355"/>
      <c r="L6595" s="355"/>
      <c r="M6595" s="355"/>
    </row>
    <row r="6596" spans="5:13">
      <c r="E6596" s="355"/>
      <c r="F6596" s="355"/>
      <c r="G6596" s="355"/>
      <c r="H6596" s="355"/>
      <c r="I6596" s="355"/>
      <c r="J6596" s="355"/>
      <c r="K6596" s="355"/>
      <c r="L6596" s="355"/>
      <c r="M6596" s="355"/>
    </row>
    <row r="6597" spans="5:13">
      <c r="E6597" s="355"/>
      <c r="F6597" s="355"/>
      <c r="G6597" s="355"/>
      <c r="H6597" s="355"/>
      <c r="I6597" s="355"/>
      <c r="J6597" s="355"/>
      <c r="K6597" s="355"/>
      <c r="L6597" s="355"/>
      <c r="M6597" s="355"/>
    </row>
    <row r="6598" spans="5:13">
      <c r="E6598" s="355"/>
      <c r="F6598" s="355"/>
      <c r="G6598" s="355"/>
      <c r="H6598" s="355"/>
      <c r="I6598" s="355"/>
      <c r="J6598" s="355"/>
      <c r="K6598" s="355"/>
      <c r="L6598" s="355"/>
      <c r="M6598" s="355"/>
    </row>
    <row r="6599" spans="5:13">
      <c r="E6599" s="355"/>
      <c r="F6599" s="355"/>
      <c r="G6599" s="355"/>
      <c r="H6599" s="355"/>
      <c r="I6599" s="355"/>
      <c r="J6599" s="355"/>
      <c r="K6599" s="355"/>
      <c r="L6599" s="355"/>
      <c r="M6599" s="355"/>
    </row>
    <row r="6600" spans="5:13">
      <c r="E6600" s="355"/>
      <c r="F6600" s="355"/>
      <c r="G6600" s="355"/>
      <c r="H6600" s="355"/>
      <c r="I6600" s="355"/>
      <c r="J6600" s="355"/>
      <c r="K6600" s="355"/>
      <c r="L6600" s="355"/>
      <c r="M6600" s="355"/>
    </row>
    <row r="6601" spans="5:13">
      <c r="E6601" s="355"/>
      <c r="F6601" s="355"/>
      <c r="G6601" s="355"/>
      <c r="H6601" s="355"/>
      <c r="I6601" s="355"/>
      <c r="J6601" s="355"/>
      <c r="K6601" s="355"/>
      <c r="L6601" s="355"/>
      <c r="M6601" s="355"/>
    </row>
    <row r="6602" spans="5:13">
      <c r="E6602" s="355"/>
      <c r="F6602" s="355"/>
      <c r="G6602" s="355"/>
      <c r="H6602" s="355"/>
      <c r="I6602" s="355"/>
      <c r="J6602" s="355"/>
      <c r="K6602" s="355"/>
      <c r="L6602" s="355"/>
      <c r="M6602" s="355"/>
    </row>
    <row r="6603" spans="5:13">
      <c r="E6603" s="355"/>
      <c r="F6603" s="355"/>
      <c r="G6603" s="355"/>
      <c r="H6603" s="355"/>
      <c r="I6603" s="355"/>
      <c r="J6603" s="355"/>
      <c r="K6603" s="355"/>
      <c r="L6603" s="355"/>
      <c r="M6603" s="355"/>
    </row>
    <row r="6604" spans="5:13">
      <c r="E6604" s="355"/>
      <c r="F6604" s="355"/>
      <c r="G6604" s="355"/>
      <c r="H6604" s="355"/>
      <c r="I6604" s="355"/>
      <c r="J6604" s="355"/>
      <c r="K6604" s="355"/>
      <c r="L6604" s="355"/>
      <c r="M6604" s="355"/>
    </row>
    <row r="6605" spans="5:13">
      <c r="E6605" s="355"/>
      <c r="F6605" s="355"/>
      <c r="G6605" s="355"/>
      <c r="H6605" s="355"/>
      <c r="I6605" s="355"/>
      <c r="J6605" s="355"/>
      <c r="K6605" s="355"/>
      <c r="L6605" s="355"/>
      <c r="M6605" s="355"/>
    </row>
    <row r="6606" spans="5:13">
      <c r="E6606" s="355"/>
      <c r="F6606" s="355"/>
      <c r="G6606" s="355"/>
      <c r="H6606" s="355"/>
      <c r="I6606" s="355"/>
      <c r="J6606" s="355"/>
      <c r="K6606" s="355"/>
      <c r="L6606" s="355"/>
      <c r="M6606" s="355"/>
    </row>
    <row r="6607" spans="5:13">
      <c r="E6607" s="355"/>
      <c r="F6607" s="355"/>
      <c r="G6607" s="355"/>
      <c r="H6607" s="355"/>
      <c r="I6607" s="355"/>
      <c r="J6607" s="355"/>
      <c r="K6607" s="355"/>
      <c r="L6607" s="355"/>
      <c r="M6607" s="355"/>
    </row>
    <row r="6608" spans="5:13">
      <c r="E6608" s="355"/>
      <c r="F6608" s="355"/>
      <c r="G6608" s="355"/>
      <c r="H6608" s="355"/>
      <c r="I6608" s="355"/>
      <c r="J6608" s="355"/>
      <c r="K6608" s="355"/>
      <c r="L6608" s="355"/>
      <c r="M6608" s="355"/>
    </row>
    <row r="6609" spans="5:13">
      <c r="E6609" s="355"/>
      <c r="F6609" s="355"/>
      <c r="G6609" s="355"/>
      <c r="H6609" s="355"/>
      <c r="I6609" s="355"/>
      <c r="J6609" s="355"/>
      <c r="K6609" s="355"/>
      <c r="L6609" s="355"/>
      <c r="M6609" s="355"/>
    </row>
    <row r="6610" spans="5:13">
      <c r="E6610" s="355"/>
      <c r="F6610" s="355"/>
      <c r="G6610" s="355"/>
      <c r="H6610" s="355"/>
      <c r="I6610" s="355"/>
      <c r="J6610" s="355"/>
      <c r="K6610" s="355"/>
      <c r="L6610" s="355"/>
      <c r="M6610" s="355"/>
    </row>
    <row r="6611" spans="5:13">
      <c r="E6611" s="355"/>
      <c r="F6611" s="355"/>
      <c r="G6611" s="355"/>
      <c r="H6611" s="355"/>
      <c r="I6611" s="355"/>
      <c r="J6611" s="355"/>
      <c r="K6611" s="355"/>
      <c r="L6611" s="355"/>
      <c r="M6611" s="355"/>
    </row>
    <row r="6612" spans="5:13">
      <c r="E6612" s="355"/>
      <c r="F6612" s="355"/>
      <c r="G6612" s="355"/>
      <c r="H6612" s="355"/>
      <c r="I6612" s="355"/>
      <c r="J6612" s="355"/>
      <c r="K6612" s="355"/>
      <c r="L6612" s="355"/>
      <c r="M6612" s="355"/>
    </row>
    <row r="6613" spans="5:13">
      <c r="E6613" s="355"/>
      <c r="F6613" s="355"/>
      <c r="G6613" s="355"/>
      <c r="H6613" s="355"/>
      <c r="I6613" s="355"/>
      <c r="J6613" s="355"/>
      <c r="K6613" s="355"/>
      <c r="L6613" s="355"/>
      <c r="M6613" s="355"/>
    </row>
    <row r="6614" spans="5:13">
      <c r="E6614" s="355"/>
      <c r="F6614" s="355"/>
      <c r="G6614" s="355"/>
      <c r="H6614" s="355"/>
      <c r="I6614" s="355"/>
      <c r="J6614" s="355"/>
      <c r="K6614" s="355"/>
      <c r="L6614" s="355"/>
      <c r="M6614" s="355"/>
    </row>
    <row r="6615" spans="5:13">
      <c r="E6615" s="355"/>
      <c r="F6615" s="355"/>
      <c r="G6615" s="355"/>
      <c r="H6615" s="355"/>
      <c r="I6615" s="355"/>
      <c r="J6615" s="355"/>
      <c r="K6615" s="355"/>
      <c r="L6615" s="355"/>
      <c r="M6615" s="355"/>
    </row>
    <row r="6616" spans="5:13">
      <c r="E6616" s="355"/>
      <c r="F6616" s="355"/>
      <c r="G6616" s="355"/>
      <c r="H6616" s="355"/>
      <c r="I6616" s="355"/>
      <c r="J6616" s="355"/>
      <c r="K6616" s="355"/>
      <c r="L6616" s="355"/>
      <c r="M6616" s="355"/>
    </row>
    <row r="6617" spans="5:13">
      <c r="E6617" s="355"/>
      <c r="F6617" s="355"/>
      <c r="G6617" s="355"/>
      <c r="H6617" s="355"/>
      <c r="I6617" s="355"/>
      <c r="J6617" s="355"/>
      <c r="K6617" s="355"/>
      <c r="L6617" s="355"/>
      <c r="M6617" s="355"/>
    </row>
    <row r="6618" spans="5:13">
      <c r="E6618" s="355"/>
      <c r="F6618" s="355"/>
      <c r="G6618" s="355"/>
      <c r="H6618" s="355"/>
      <c r="I6618" s="355"/>
      <c r="J6618" s="355"/>
      <c r="K6618" s="355"/>
      <c r="L6618" s="355"/>
      <c r="M6618" s="355"/>
    </row>
    <row r="6619" spans="5:13">
      <c r="E6619" s="355"/>
      <c r="F6619" s="355"/>
      <c r="G6619" s="355"/>
      <c r="H6619" s="355"/>
      <c r="I6619" s="355"/>
      <c r="J6619" s="355"/>
      <c r="K6619" s="355"/>
      <c r="L6619" s="355"/>
      <c r="M6619" s="355"/>
    </row>
    <row r="6620" spans="5:13">
      <c r="E6620" s="355"/>
      <c r="F6620" s="355"/>
      <c r="G6620" s="355"/>
      <c r="H6620" s="355"/>
      <c r="I6620" s="355"/>
      <c r="J6620" s="355"/>
      <c r="K6620" s="355"/>
      <c r="L6620" s="355"/>
      <c r="M6620" s="355"/>
    </row>
    <row r="6621" spans="5:13">
      <c r="E6621" s="355"/>
      <c r="F6621" s="355"/>
      <c r="G6621" s="355"/>
      <c r="H6621" s="355"/>
      <c r="I6621" s="355"/>
      <c r="J6621" s="355"/>
      <c r="K6621" s="355"/>
      <c r="L6621" s="355"/>
      <c r="M6621" s="355"/>
    </row>
    <row r="6622" spans="5:13">
      <c r="E6622" s="355"/>
      <c r="F6622" s="355"/>
      <c r="G6622" s="355"/>
      <c r="H6622" s="355"/>
      <c r="I6622" s="355"/>
      <c r="J6622" s="355"/>
      <c r="K6622" s="355"/>
      <c r="L6622" s="355"/>
      <c r="M6622" s="355"/>
    </row>
    <row r="6623" spans="5:13">
      <c r="E6623" s="355"/>
      <c r="F6623" s="355"/>
      <c r="G6623" s="355"/>
      <c r="H6623" s="355"/>
      <c r="I6623" s="355"/>
      <c r="J6623" s="355"/>
      <c r="K6623" s="355"/>
      <c r="L6623" s="355"/>
      <c r="M6623" s="355"/>
    </row>
    <row r="6624" spans="5:13">
      <c r="E6624" s="355"/>
      <c r="F6624" s="355"/>
      <c r="G6624" s="355"/>
      <c r="H6624" s="355"/>
      <c r="I6624" s="355"/>
      <c r="J6624" s="355"/>
      <c r="K6624" s="355"/>
      <c r="L6624" s="355"/>
      <c r="M6624" s="355"/>
    </row>
    <row r="6625" spans="5:13">
      <c r="E6625" s="355"/>
      <c r="F6625" s="355"/>
      <c r="G6625" s="355"/>
      <c r="H6625" s="355"/>
      <c r="I6625" s="355"/>
      <c r="J6625" s="355"/>
      <c r="K6625" s="355"/>
      <c r="L6625" s="355"/>
      <c r="M6625" s="355"/>
    </row>
    <row r="6626" spans="5:13">
      <c r="E6626" s="355"/>
      <c r="F6626" s="355"/>
      <c r="G6626" s="355"/>
      <c r="H6626" s="355"/>
      <c r="I6626" s="355"/>
      <c r="J6626" s="355"/>
      <c r="K6626" s="355"/>
      <c r="L6626" s="355"/>
      <c r="M6626" s="355"/>
    </row>
    <row r="6627" spans="5:13">
      <c r="E6627" s="355"/>
      <c r="F6627" s="355"/>
      <c r="G6627" s="355"/>
      <c r="H6627" s="355"/>
      <c r="I6627" s="355"/>
      <c r="J6627" s="355"/>
      <c r="K6627" s="355"/>
      <c r="L6627" s="355"/>
      <c r="M6627" s="355"/>
    </row>
    <row r="6628" spans="5:13">
      <c r="E6628" s="355"/>
      <c r="F6628" s="355"/>
      <c r="G6628" s="355"/>
      <c r="H6628" s="355"/>
      <c r="I6628" s="355"/>
      <c r="J6628" s="355"/>
      <c r="K6628" s="355"/>
      <c r="L6628" s="355"/>
      <c r="M6628" s="355"/>
    </row>
    <row r="6629" spans="5:13">
      <c r="E6629" s="355"/>
      <c r="F6629" s="355"/>
      <c r="G6629" s="355"/>
      <c r="H6629" s="355"/>
      <c r="I6629" s="355"/>
      <c r="J6629" s="355"/>
      <c r="K6629" s="355"/>
      <c r="L6629" s="355"/>
      <c r="M6629" s="355"/>
    </row>
    <row r="6630" spans="5:13">
      <c r="E6630" s="355"/>
      <c r="F6630" s="355"/>
      <c r="G6630" s="355"/>
      <c r="H6630" s="355"/>
      <c r="I6630" s="355"/>
      <c r="J6630" s="355"/>
      <c r="K6630" s="355"/>
      <c r="L6630" s="355"/>
      <c r="M6630" s="355"/>
    </row>
    <row r="6631" spans="5:13">
      <c r="E6631" s="355"/>
      <c r="F6631" s="355"/>
      <c r="G6631" s="355"/>
      <c r="H6631" s="355"/>
      <c r="I6631" s="355"/>
      <c r="J6631" s="355"/>
      <c r="K6631" s="355"/>
      <c r="L6631" s="355"/>
      <c r="M6631" s="355"/>
    </row>
    <row r="6632" spans="5:13">
      <c r="E6632" s="355"/>
      <c r="F6632" s="355"/>
      <c r="G6632" s="355"/>
      <c r="H6632" s="355"/>
      <c r="I6632" s="355"/>
      <c r="J6632" s="355"/>
      <c r="K6632" s="355"/>
      <c r="L6632" s="355"/>
      <c r="M6632" s="355"/>
    </row>
    <row r="6633" spans="5:13">
      <c r="E6633" s="355"/>
      <c r="F6633" s="355"/>
      <c r="G6633" s="355"/>
      <c r="H6633" s="355"/>
      <c r="I6633" s="355"/>
      <c r="J6633" s="355"/>
      <c r="K6633" s="355"/>
      <c r="L6633" s="355"/>
      <c r="M6633" s="355"/>
    </row>
    <row r="6634" spans="5:13">
      <c r="E6634" s="355"/>
      <c r="F6634" s="355"/>
      <c r="G6634" s="355"/>
      <c r="H6634" s="355"/>
      <c r="I6634" s="355"/>
      <c r="J6634" s="355"/>
      <c r="K6634" s="355"/>
      <c r="L6634" s="355"/>
      <c r="M6634" s="355"/>
    </row>
    <row r="6635" spans="5:13">
      <c r="E6635" s="355"/>
      <c r="F6635" s="355"/>
      <c r="G6635" s="355"/>
      <c r="H6635" s="355"/>
      <c r="I6635" s="355"/>
      <c r="J6635" s="355"/>
      <c r="K6635" s="355"/>
      <c r="L6635" s="355"/>
      <c r="M6635" s="355"/>
    </row>
    <row r="6636" spans="5:13">
      <c r="E6636" s="355"/>
      <c r="F6636" s="355"/>
      <c r="G6636" s="355"/>
      <c r="H6636" s="355"/>
      <c r="I6636" s="355"/>
      <c r="J6636" s="355"/>
      <c r="K6636" s="355"/>
      <c r="L6636" s="355"/>
      <c r="M6636" s="355"/>
    </row>
    <row r="6637" spans="5:13">
      <c r="E6637" s="355"/>
      <c r="F6637" s="355"/>
      <c r="G6637" s="355"/>
      <c r="H6637" s="355"/>
      <c r="I6637" s="355"/>
      <c r="J6637" s="355"/>
      <c r="K6637" s="355"/>
      <c r="L6637" s="355"/>
      <c r="M6637" s="355"/>
    </row>
    <row r="6638" spans="5:13">
      <c r="E6638" s="355"/>
      <c r="F6638" s="355"/>
      <c r="G6638" s="355"/>
      <c r="H6638" s="355"/>
      <c r="I6638" s="355"/>
      <c r="J6638" s="355"/>
      <c r="K6638" s="355"/>
      <c r="L6638" s="355"/>
      <c r="M6638" s="355"/>
    </row>
    <row r="6639" spans="5:13">
      <c r="E6639" s="355"/>
      <c r="F6639" s="355"/>
      <c r="G6639" s="355"/>
      <c r="H6639" s="355"/>
      <c r="I6639" s="355"/>
      <c r="J6639" s="355"/>
      <c r="K6639" s="355"/>
      <c r="L6639" s="355"/>
      <c r="M6639" s="355"/>
    </row>
    <row r="6640" spans="5:13">
      <c r="E6640" s="355"/>
      <c r="F6640" s="355"/>
      <c r="G6640" s="355"/>
      <c r="H6640" s="355"/>
      <c r="I6640" s="355"/>
      <c r="J6640" s="355"/>
      <c r="K6640" s="355"/>
      <c r="L6640" s="355"/>
      <c r="M6640" s="355"/>
    </row>
    <row r="6641" spans="5:13">
      <c r="E6641" s="355"/>
      <c r="F6641" s="355"/>
      <c r="G6641" s="355"/>
      <c r="H6641" s="355"/>
      <c r="I6641" s="355"/>
      <c r="J6641" s="355"/>
      <c r="K6641" s="355"/>
      <c r="L6641" s="355"/>
      <c r="M6641" s="355"/>
    </row>
    <row r="6642" spans="5:13">
      <c r="E6642" s="355"/>
      <c r="F6642" s="355"/>
      <c r="G6642" s="355"/>
      <c r="H6642" s="355"/>
      <c r="I6642" s="355"/>
      <c r="J6642" s="355"/>
      <c r="K6642" s="355"/>
      <c r="L6642" s="355"/>
      <c r="M6642" s="355"/>
    </row>
    <row r="6643" spans="5:13">
      <c r="E6643" s="355"/>
      <c r="F6643" s="355"/>
      <c r="G6643" s="355"/>
      <c r="H6643" s="355"/>
      <c r="I6643" s="355"/>
      <c r="J6643" s="355"/>
      <c r="K6643" s="355"/>
      <c r="L6643" s="355"/>
      <c r="M6643" s="355"/>
    </row>
    <row r="6644" spans="5:13">
      <c r="E6644" s="355"/>
      <c r="F6644" s="355"/>
      <c r="G6644" s="355"/>
      <c r="H6644" s="355"/>
      <c r="I6644" s="355"/>
      <c r="J6644" s="355"/>
      <c r="K6644" s="355"/>
      <c r="L6644" s="355"/>
      <c r="M6644" s="355"/>
    </row>
    <row r="6645" spans="5:13">
      <c r="E6645" s="355"/>
      <c r="F6645" s="355"/>
      <c r="G6645" s="355"/>
      <c r="H6645" s="355"/>
      <c r="I6645" s="355"/>
      <c r="J6645" s="355"/>
      <c r="K6645" s="355"/>
      <c r="L6645" s="355"/>
      <c r="M6645" s="355"/>
    </row>
    <row r="6646" spans="5:13">
      <c r="E6646" s="355"/>
      <c r="F6646" s="355"/>
      <c r="G6646" s="355"/>
      <c r="H6646" s="355"/>
      <c r="I6646" s="355"/>
      <c r="J6646" s="355"/>
      <c r="K6646" s="355"/>
      <c r="L6646" s="355"/>
      <c r="M6646" s="355"/>
    </row>
    <row r="6647" spans="5:13">
      <c r="E6647" s="355"/>
      <c r="F6647" s="355"/>
      <c r="G6647" s="355"/>
      <c r="H6647" s="355"/>
      <c r="I6647" s="355"/>
      <c r="J6647" s="355"/>
      <c r="K6647" s="355"/>
      <c r="L6647" s="355"/>
      <c r="M6647" s="355"/>
    </row>
    <row r="6648" spans="5:13">
      <c r="E6648" s="355"/>
      <c r="F6648" s="355"/>
      <c r="G6648" s="355"/>
      <c r="H6648" s="355"/>
      <c r="I6648" s="355"/>
      <c r="J6648" s="355"/>
      <c r="K6648" s="355"/>
      <c r="L6648" s="355"/>
      <c r="M6648" s="355"/>
    </row>
    <row r="6649" spans="5:13">
      <c r="E6649" s="355"/>
      <c r="F6649" s="355"/>
      <c r="G6649" s="355"/>
      <c r="H6649" s="355"/>
      <c r="I6649" s="355"/>
      <c r="J6649" s="355"/>
      <c r="K6649" s="355"/>
      <c r="L6649" s="355"/>
      <c r="M6649" s="355"/>
    </row>
    <row r="6650" spans="5:13">
      <c r="E6650" s="355"/>
      <c r="F6650" s="355"/>
      <c r="G6650" s="355"/>
      <c r="H6650" s="355"/>
      <c r="I6650" s="355"/>
      <c r="J6650" s="355"/>
      <c r="K6650" s="355"/>
      <c r="L6650" s="355"/>
      <c r="M6650" s="355"/>
    </row>
    <row r="6651" spans="5:13">
      <c r="E6651" s="355"/>
      <c r="F6651" s="355"/>
      <c r="G6651" s="355"/>
      <c r="H6651" s="355"/>
      <c r="I6651" s="355"/>
      <c r="J6651" s="355"/>
      <c r="K6651" s="355"/>
      <c r="L6651" s="355"/>
      <c r="M6651" s="355"/>
    </row>
    <row r="6652" spans="5:13">
      <c r="E6652" s="355"/>
      <c r="F6652" s="355"/>
      <c r="G6652" s="355"/>
      <c r="H6652" s="355"/>
      <c r="I6652" s="355"/>
      <c r="J6652" s="355"/>
      <c r="K6652" s="355"/>
      <c r="L6652" s="355"/>
      <c r="M6652" s="355"/>
    </row>
    <row r="6653" spans="5:13">
      <c r="E6653" s="355"/>
      <c r="F6653" s="355"/>
      <c r="G6653" s="355"/>
      <c r="H6653" s="355"/>
      <c r="I6653" s="355"/>
      <c r="J6653" s="355"/>
      <c r="K6653" s="355"/>
      <c r="L6653" s="355"/>
      <c r="M6653" s="355"/>
    </row>
    <row r="6654" spans="5:13">
      <c r="E6654" s="355"/>
      <c r="F6654" s="355"/>
      <c r="G6654" s="355"/>
      <c r="H6654" s="355"/>
      <c r="I6654" s="355"/>
      <c r="J6654" s="355"/>
      <c r="K6654" s="355"/>
      <c r="L6654" s="355"/>
      <c r="M6654" s="355"/>
    </row>
    <row r="6655" spans="5:13">
      <c r="E6655" s="355"/>
      <c r="F6655" s="355"/>
      <c r="G6655" s="355"/>
      <c r="H6655" s="355"/>
      <c r="I6655" s="355"/>
      <c r="J6655" s="355"/>
      <c r="K6655" s="355"/>
      <c r="L6655" s="355"/>
      <c r="M6655" s="355"/>
    </row>
    <row r="6656" spans="5:13">
      <c r="E6656" s="355"/>
      <c r="F6656" s="355"/>
      <c r="G6656" s="355"/>
      <c r="H6656" s="355"/>
      <c r="I6656" s="355"/>
      <c r="J6656" s="355"/>
      <c r="K6656" s="355"/>
      <c r="L6656" s="355"/>
      <c r="M6656" s="355"/>
    </row>
    <row r="6657" spans="5:13">
      <c r="E6657" s="355"/>
      <c r="F6657" s="355"/>
      <c r="G6657" s="355"/>
      <c r="H6657" s="355"/>
      <c r="I6657" s="355"/>
      <c r="J6657" s="355"/>
      <c r="K6657" s="355"/>
      <c r="L6657" s="355"/>
      <c r="M6657" s="355"/>
    </row>
    <row r="6658" spans="5:13">
      <c r="E6658" s="355"/>
      <c r="F6658" s="355"/>
      <c r="G6658" s="355"/>
      <c r="H6658" s="355"/>
      <c r="I6658" s="355"/>
      <c r="J6658" s="355"/>
      <c r="K6658" s="355"/>
      <c r="L6658" s="355"/>
      <c r="M6658" s="355"/>
    </row>
    <row r="6659" spans="5:13">
      <c r="E6659" s="355"/>
      <c r="F6659" s="355"/>
      <c r="G6659" s="355"/>
      <c r="H6659" s="355"/>
      <c r="I6659" s="355"/>
      <c r="J6659" s="355"/>
      <c r="K6659" s="355"/>
      <c r="L6659" s="355"/>
      <c r="M6659" s="355"/>
    </row>
    <row r="6660" spans="5:13">
      <c r="E6660" s="355"/>
      <c r="F6660" s="355"/>
      <c r="G6660" s="355"/>
      <c r="H6660" s="355"/>
      <c r="I6660" s="355"/>
      <c r="J6660" s="355"/>
      <c r="K6660" s="355"/>
      <c r="L6660" s="355"/>
      <c r="M6660" s="355"/>
    </row>
    <row r="6661" spans="5:13">
      <c r="E6661" s="355"/>
      <c r="F6661" s="355"/>
      <c r="G6661" s="355"/>
      <c r="H6661" s="355"/>
      <c r="I6661" s="355"/>
      <c r="J6661" s="355"/>
      <c r="K6661" s="355"/>
      <c r="L6661" s="355"/>
      <c r="M6661" s="355"/>
    </row>
    <row r="6662" spans="5:13">
      <c r="E6662" s="355"/>
      <c r="F6662" s="355"/>
      <c r="G6662" s="355"/>
      <c r="H6662" s="355"/>
      <c r="I6662" s="355"/>
      <c r="J6662" s="355"/>
      <c r="K6662" s="355"/>
      <c r="L6662" s="355"/>
      <c r="M6662" s="355"/>
    </row>
    <row r="6663" spans="5:13">
      <c r="E6663" s="355"/>
      <c r="F6663" s="355"/>
      <c r="G6663" s="355"/>
      <c r="H6663" s="355"/>
      <c r="I6663" s="355"/>
      <c r="J6663" s="355"/>
      <c r="K6663" s="355"/>
      <c r="L6663" s="355"/>
      <c r="M6663" s="355"/>
    </row>
    <row r="6664" spans="5:13">
      <c r="E6664" s="355"/>
      <c r="F6664" s="355"/>
      <c r="G6664" s="355"/>
      <c r="H6664" s="355"/>
      <c r="I6664" s="355"/>
      <c r="J6664" s="355"/>
      <c r="K6664" s="355"/>
      <c r="L6664" s="355"/>
      <c r="M6664" s="355"/>
    </row>
    <row r="6665" spans="5:13">
      <c r="E6665" s="355"/>
      <c r="F6665" s="355"/>
      <c r="G6665" s="355"/>
      <c r="H6665" s="355"/>
      <c r="I6665" s="355"/>
      <c r="J6665" s="355"/>
      <c r="K6665" s="355"/>
      <c r="L6665" s="355"/>
      <c r="M6665" s="355"/>
    </row>
    <row r="6666" spans="5:13">
      <c r="E6666" s="355"/>
      <c r="F6666" s="355"/>
      <c r="G6666" s="355"/>
      <c r="H6666" s="355"/>
      <c r="I6666" s="355"/>
      <c r="J6666" s="355"/>
      <c r="K6666" s="355"/>
      <c r="L6666" s="355"/>
      <c r="M6666" s="355"/>
    </row>
    <row r="6667" spans="5:13">
      <c r="E6667" s="355"/>
      <c r="F6667" s="355"/>
      <c r="G6667" s="355"/>
      <c r="H6667" s="355"/>
      <c r="I6667" s="355"/>
      <c r="J6667" s="355"/>
      <c r="K6667" s="355"/>
      <c r="L6667" s="355"/>
      <c r="M6667" s="355"/>
    </row>
    <row r="6668" spans="5:13">
      <c r="E6668" s="355"/>
      <c r="F6668" s="355"/>
      <c r="G6668" s="355"/>
      <c r="H6668" s="355"/>
      <c r="I6668" s="355"/>
      <c r="J6668" s="355"/>
      <c r="K6668" s="355"/>
      <c r="L6668" s="355"/>
      <c r="M6668" s="355"/>
    </row>
    <row r="6669" spans="5:13">
      <c r="E6669" s="355"/>
      <c r="F6669" s="355"/>
      <c r="G6669" s="355"/>
      <c r="H6669" s="355"/>
      <c r="I6669" s="355"/>
      <c r="J6669" s="355"/>
      <c r="K6669" s="355"/>
      <c r="L6669" s="355"/>
      <c r="M6669" s="355"/>
    </row>
    <row r="6670" spans="5:13">
      <c r="E6670" s="355"/>
      <c r="F6670" s="355"/>
      <c r="G6670" s="355"/>
      <c r="H6670" s="355"/>
      <c r="I6670" s="355"/>
      <c r="J6670" s="355"/>
      <c r="K6670" s="355"/>
      <c r="L6670" s="355"/>
      <c r="M6670" s="355"/>
    </row>
    <row r="6671" spans="5:13">
      <c r="E6671" s="355"/>
      <c r="F6671" s="355"/>
      <c r="G6671" s="355"/>
      <c r="H6671" s="355"/>
      <c r="I6671" s="355"/>
      <c r="J6671" s="355"/>
      <c r="K6671" s="355"/>
      <c r="L6671" s="355"/>
      <c r="M6671" s="355"/>
    </row>
    <row r="6672" spans="5:13">
      <c r="E6672" s="355"/>
      <c r="F6672" s="355"/>
      <c r="G6672" s="355"/>
      <c r="H6672" s="355"/>
      <c r="I6672" s="355"/>
      <c r="J6672" s="355"/>
      <c r="K6672" s="355"/>
      <c r="L6672" s="355"/>
      <c r="M6672" s="355"/>
    </row>
    <row r="6673" spans="5:13">
      <c r="E6673" s="355"/>
      <c r="F6673" s="355"/>
      <c r="G6673" s="355"/>
      <c r="H6673" s="355"/>
      <c r="I6673" s="355"/>
      <c r="J6673" s="355"/>
      <c r="K6673" s="355"/>
      <c r="L6673" s="355"/>
      <c r="M6673" s="355"/>
    </row>
    <row r="6674" spans="5:13">
      <c r="E6674" s="355"/>
      <c r="F6674" s="355"/>
      <c r="G6674" s="355"/>
      <c r="H6674" s="355"/>
      <c r="I6674" s="355"/>
      <c r="J6674" s="355"/>
      <c r="K6674" s="355"/>
      <c r="L6674" s="355"/>
      <c r="M6674" s="355"/>
    </row>
    <row r="6675" spans="5:13">
      <c r="E6675" s="355"/>
      <c r="F6675" s="355"/>
      <c r="G6675" s="355"/>
      <c r="H6675" s="355"/>
      <c r="I6675" s="355"/>
      <c r="J6675" s="355"/>
      <c r="K6675" s="355"/>
      <c r="L6675" s="355"/>
      <c r="M6675" s="355"/>
    </row>
    <row r="6676" spans="5:13">
      <c r="E6676" s="355"/>
      <c r="F6676" s="355"/>
      <c r="G6676" s="355"/>
      <c r="H6676" s="355"/>
      <c r="I6676" s="355"/>
      <c r="J6676" s="355"/>
      <c r="K6676" s="355"/>
      <c r="L6676" s="355"/>
      <c r="M6676" s="355"/>
    </row>
    <row r="6677" spans="5:13">
      <c r="E6677" s="355"/>
      <c r="F6677" s="355"/>
      <c r="G6677" s="355"/>
      <c r="H6677" s="355"/>
      <c r="I6677" s="355"/>
      <c r="J6677" s="355"/>
      <c r="K6677" s="355"/>
      <c r="L6677" s="355"/>
      <c r="M6677" s="355"/>
    </row>
    <row r="6678" spans="5:13">
      <c r="E6678" s="355"/>
      <c r="F6678" s="355"/>
      <c r="G6678" s="355"/>
      <c r="H6678" s="355"/>
      <c r="I6678" s="355"/>
      <c r="J6678" s="355"/>
      <c r="K6678" s="355"/>
      <c r="L6678" s="355"/>
      <c r="M6678" s="355"/>
    </row>
    <row r="6679" spans="5:13">
      <c r="E6679" s="355"/>
      <c r="F6679" s="355"/>
      <c r="G6679" s="355"/>
      <c r="H6679" s="355"/>
      <c r="I6679" s="355"/>
      <c r="J6679" s="355"/>
      <c r="K6679" s="355"/>
      <c r="L6679" s="355"/>
      <c r="M6679" s="355"/>
    </row>
    <row r="6680" spans="5:13">
      <c r="E6680" s="355"/>
      <c r="F6680" s="355"/>
      <c r="G6680" s="355"/>
      <c r="H6680" s="355"/>
      <c r="I6680" s="355"/>
      <c r="J6680" s="355"/>
      <c r="K6680" s="355"/>
      <c r="L6680" s="355"/>
      <c r="M6680" s="355"/>
    </row>
    <row r="6681" spans="5:13">
      <c r="E6681" s="355"/>
      <c r="F6681" s="355"/>
      <c r="G6681" s="355"/>
      <c r="H6681" s="355"/>
      <c r="I6681" s="355"/>
      <c r="J6681" s="355"/>
      <c r="K6681" s="355"/>
      <c r="L6681" s="355"/>
      <c r="M6681" s="355"/>
    </row>
    <row r="6682" spans="5:13">
      <c r="E6682" s="355"/>
      <c r="F6682" s="355"/>
      <c r="G6682" s="355"/>
      <c r="H6682" s="355"/>
      <c r="I6682" s="355"/>
      <c r="J6682" s="355"/>
      <c r="K6682" s="355"/>
      <c r="L6682" s="355"/>
      <c r="M6682" s="355"/>
    </row>
    <row r="6683" spans="5:13">
      <c r="E6683" s="355"/>
      <c r="F6683" s="355"/>
      <c r="G6683" s="355"/>
      <c r="H6683" s="355"/>
      <c r="I6683" s="355"/>
      <c r="J6683" s="355"/>
      <c r="K6683" s="355"/>
      <c r="L6683" s="355"/>
      <c r="M6683" s="355"/>
    </row>
    <row r="6684" spans="5:13">
      <c r="E6684" s="355"/>
      <c r="F6684" s="355"/>
      <c r="G6684" s="355"/>
      <c r="H6684" s="355"/>
      <c r="I6684" s="355"/>
      <c r="J6684" s="355"/>
      <c r="K6684" s="355"/>
      <c r="L6684" s="355"/>
      <c r="M6684" s="355"/>
    </row>
    <row r="6685" spans="5:13">
      <c r="E6685" s="355"/>
      <c r="F6685" s="355"/>
      <c r="G6685" s="355"/>
      <c r="H6685" s="355"/>
      <c r="I6685" s="355"/>
      <c r="J6685" s="355"/>
      <c r="K6685" s="355"/>
      <c r="L6685" s="355"/>
      <c r="M6685" s="355"/>
    </row>
    <row r="6686" spans="5:13">
      <c r="E6686" s="355"/>
      <c r="F6686" s="355"/>
      <c r="G6686" s="355"/>
      <c r="H6686" s="355"/>
      <c r="I6686" s="355"/>
      <c r="J6686" s="355"/>
      <c r="K6686" s="355"/>
      <c r="L6686" s="355"/>
      <c r="M6686" s="355"/>
    </row>
    <row r="6687" spans="5:13">
      <c r="E6687" s="355"/>
      <c r="F6687" s="355"/>
      <c r="G6687" s="355"/>
      <c r="H6687" s="355"/>
      <c r="I6687" s="355"/>
      <c r="J6687" s="355"/>
      <c r="K6687" s="355"/>
      <c r="L6687" s="355"/>
      <c r="M6687" s="355"/>
    </row>
    <row r="6688" spans="5:13">
      <c r="E6688" s="355"/>
      <c r="F6688" s="355"/>
      <c r="G6688" s="355"/>
      <c r="H6688" s="355"/>
      <c r="I6688" s="355"/>
      <c r="J6688" s="355"/>
      <c r="K6688" s="355"/>
      <c r="L6688" s="355"/>
      <c r="M6688" s="355"/>
    </row>
    <row r="6689" spans="5:13">
      <c r="E6689" s="355"/>
      <c r="F6689" s="355"/>
      <c r="G6689" s="355"/>
      <c r="H6689" s="355"/>
      <c r="I6689" s="355"/>
      <c r="J6689" s="355"/>
      <c r="K6689" s="355"/>
      <c r="L6689" s="355"/>
      <c r="M6689" s="355"/>
    </row>
    <row r="6690" spans="5:13">
      <c r="E6690" s="355"/>
      <c r="F6690" s="355"/>
      <c r="G6690" s="355"/>
      <c r="H6690" s="355"/>
      <c r="I6690" s="355"/>
      <c r="J6690" s="355"/>
      <c r="K6690" s="355"/>
      <c r="L6690" s="355"/>
      <c r="M6690" s="355"/>
    </row>
    <row r="6691" spans="5:13">
      <c r="E6691" s="355"/>
      <c r="F6691" s="355"/>
      <c r="G6691" s="355"/>
      <c r="H6691" s="355"/>
      <c r="I6691" s="355"/>
      <c r="J6691" s="355"/>
      <c r="K6691" s="355"/>
      <c r="L6691" s="355"/>
      <c r="M6691" s="355"/>
    </row>
    <row r="6692" spans="5:13">
      <c r="E6692" s="355"/>
      <c r="F6692" s="355"/>
      <c r="G6692" s="355"/>
      <c r="H6692" s="355"/>
      <c r="I6692" s="355"/>
      <c r="J6692" s="355"/>
      <c r="K6692" s="355"/>
      <c r="L6692" s="355"/>
      <c r="M6692" s="355"/>
    </row>
    <row r="6693" spans="5:13">
      <c r="E6693" s="355"/>
      <c r="F6693" s="355"/>
      <c r="G6693" s="355"/>
      <c r="H6693" s="355"/>
      <c r="I6693" s="355"/>
      <c r="J6693" s="355"/>
      <c r="K6693" s="355"/>
      <c r="L6693" s="355"/>
      <c r="M6693" s="355"/>
    </row>
    <row r="6694" spans="5:13">
      <c r="E6694" s="355"/>
      <c r="F6694" s="355"/>
      <c r="G6694" s="355"/>
      <c r="H6694" s="355"/>
      <c r="I6694" s="355"/>
      <c r="J6694" s="355"/>
      <c r="K6694" s="355"/>
      <c r="L6694" s="355"/>
      <c r="M6694" s="355"/>
    </row>
    <row r="6695" spans="5:13">
      <c r="E6695" s="355"/>
      <c r="F6695" s="355"/>
      <c r="G6695" s="355"/>
      <c r="H6695" s="355"/>
      <c r="I6695" s="355"/>
      <c r="J6695" s="355"/>
      <c r="K6695" s="355"/>
      <c r="L6695" s="355"/>
      <c r="M6695" s="355"/>
    </row>
    <row r="6696" spans="5:13">
      <c r="E6696" s="355"/>
      <c r="F6696" s="355"/>
      <c r="G6696" s="355"/>
      <c r="H6696" s="355"/>
      <c r="I6696" s="355"/>
      <c r="J6696" s="355"/>
      <c r="K6696" s="355"/>
      <c r="L6696" s="355"/>
      <c r="M6696" s="355"/>
    </row>
    <row r="6697" spans="5:13">
      <c r="E6697" s="355"/>
      <c r="F6697" s="355"/>
      <c r="G6697" s="355"/>
      <c r="H6697" s="355"/>
      <c r="I6697" s="355"/>
      <c r="J6697" s="355"/>
      <c r="K6697" s="355"/>
      <c r="L6697" s="355"/>
      <c r="M6697" s="355"/>
    </row>
    <row r="6698" spans="5:13">
      <c r="E6698" s="355"/>
      <c r="F6698" s="355"/>
      <c r="G6698" s="355"/>
      <c r="H6698" s="355"/>
      <c r="I6698" s="355"/>
      <c r="J6698" s="355"/>
      <c r="K6698" s="355"/>
      <c r="L6698" s="355"/>
      <c r="M6698" s="355"/>
    </row>
    <row r="6699" spans="5:13">
      <c r="E6699" s="355"/>
      <c r="F6699" s="355"/>
      <c r="G6699" s="355"/>
      <c r="H6699" s="355"/>
      <c r="I6699" s="355"/>
      <c r="J6699" s="355"/>
      <c r="K6699" s="355"/>
      <c r="L6699" s="355"/>
      <c r="M6699" s="355"/>
    </row>
    <row r="6700" spans="5:13">
      <c r="E6700" s="355"/>
      <c r="F6700" s="355"/>
      <c r="G6700" s="355"/>
      <c r="H6700" s="355"/>
      <c r="I6700" s="355"/>
      <c r="J6700" s="355"/>
      <c r="K6700" s="355"/>
      <c r="L6700" s="355"/>
      <c r="M6700" s="355"/>
    </row>
    <row r="6701" spans="5:13">
      <c r="E6701" s="355"/>
      <c r="F6701" s="355"/>
      <c r="G6701" s="355"/>
      <c r="H6701" s="355"/>
      <c r="I6701" s="355"/>
      <c r="J6701" s="355"/>
      <c r="K6701" s="355"/>
      <c r="L6701" s="355"/>
      <c r="M6701" s="355"/>
    </row>
    <row r="6702" spans="5:13">
      <c r="E6702" s="355"/>
      <c r="F6702" s="355"/>
      <c r="G6702" s="355"/>
      <c r="H6702" s="355"/>
      <c r="I6702" s="355"/>
      <c r="J6702" s="355"/>
      <c r="K6702" s="355"/>
      <c r="L6702" s="355"/>
      <c r="M6702" s="355"/>
    </row>
    <row r="6703" spans="5:13">
      <c r="E6703" s="355"/>
      <c r="F6703" s="355"/>
      <c r="G6703" s="355"/>
      <c r="H6703" s="355"/>
      <c r="I6703" s="355"/>
      <c r="J6703" s="355"/>
      <c r="K6703" s="355"/>
      <c r="L6703" s="355"/>
      <c r="M6703" s="355"/>
    </row>
    <row r="6704" spans="5:13">
      <c r="E6704" s="355"/>
      <c r="F6704" s="355"/>
      <c r="G6704" s="355"/>
      <c r="H6704" s="355"/>
      <c r="I6704" s="355"/>
      <c r="J6704" s="355"/>
      <c r="K6704" s="355"/>
      <c r="L6704" s="355"/>
      <c r="M6704" s="355"/>
    </row>
    <row r="6705" spans="5:13">
      <c r="E6705" s="355"/>
      <c r="F6705" s="355"/>
      <c r="G6705" s="355"/>
      <c r="H6705" s="355"/>
      <c r="I6705" s="355"/>
      <c r="J6705" s="355"/>
      <c r="K6705" s="355"/>
      <c r="L6705" s="355"/>
      <c r="M6705" s="355"/>
    </row>
    <row r="6706" spans="5:13">
      <c r="E6706" s="355"/>
      <c r="F6706" s="355"/>
      <c r="G6706" s="355"/>
      <c r="H6706" s="355"/>
      <c r="I6706" s="355"/>
      <c r="J6706" s="355"/>
      <c r="K6706" s="355"/>
      <c r="L6706" s="355"/>
      <c r="M6706" s="355"/>
    </row>
    <row r="6707" spans="5:13">
      <c r="E6707" s="355"/>
      <c r="F6707" s="355"/>
      <c r="G6707" s="355"/>
      <c r="H6707" s="355"/>
      <c r="I6707" s="355"/>
      <c r="J6707" s="355"/>
      <c r="K6707" s="355"/>
      <c r="L6707" s="355"/>
      <c r="M6707" s="355"/>
    </row>
    <row r="6708" spans="5:13">
      <c r="E6708" s="355"/>
      <c r="F6708" s="355"/>
      <c r="G6708" s="355"/>
      <c r="H6708" s="355"/>
      <c r="I6708" s="355"/>
      <c r="J6708" s="355"/>
      <c r="K6708" s="355"/>
      <c r="L6708" s="355"/>
      <c r="M6708" s="355"/>
    </row>
    <row r="6709" spans="5:13">
      <c r="E6709" s="355"/>
      <c r="F6709" s="355"/>
      <c r="G6709" s="355"/>
      <c r="H6709" s="355"/>
      <c r="I6709" s="355"/>
      <c r="J6709" s="355"/>
      <c r="K6709" s="355"/>
      <c r="L6709" s="355"/>
      <c r="M6709" s="355"/>
    </row>
    <row r="6710" spans="5:13">
      <c r="E6710" s="355"/>
      <c r="F6710" s="355"/>
      <c r="G6710" s="355"/>
      <c r="H6710" s="355"/>
      <c r="I6710" s="355"/>
      <c r="J6710" s="355"/>
      <c r="K6710" s="355"/>
      <c r="L6710" s="355"/>
      <c r="M6710" s="355"/>
    </row>
    <row r="6711" spans="5:13">
      <c r="E6711" s="355"/>
      <c r="F6711" s="355"/>
      <c r="G6711" s="355"/>
      <c r="H6711" s="355"/>
      <c r="I6711" s="355"/>
      <c r="J6711" s="355"/>
      <c r="K6711" s="355"/>
      <c r="L6711" s="355"/>
      <c r="M6711" s="355"/>
    </row>
    <row r="6712" spans="5:13">
      <c r="E6712" s="355"/>
      <c r="F6712" s="355"/>
      <c r="G6712" s="355"/>
      <c r="H6712" s="355"/>
      <c r="I6712" s="355"/>
      <c r="J6712" s="355"/>
      <c r="K6712" s="355"/>
      <c r="L6712" s="355"/>
      <c r="M6712" s="355"/>
    </row>
    <row r="6713" spans="5:13">
      <c r="E6713" s="355"/>
      <c r="F6713" s="355"/>
      <c r="G6713" s="355"/>
      <c r="H6713" s="355"/>
      <c r="I6713" s="355"/>
      <c r="J6713" s="355"/>
      <c r="K6713" s="355"/>
      <c r="L6713" s="355"/>
      <c r="M6713" s="355"/>
    </row>
    <row r="6714" spans="5:13">
      <c r="E6714" s="355"/>
      <c r="F6714" s="355"/>
      <c r="G6714" s="355"/>
      <c r="H6714" s="355"/>
      <c r="I6714" s="355"/>
      <c r="J6714" s="355"/>
      <c r="K6714" s="355"/>
      <c r="L6714" s="355"/>
      <c r="M6714" s="355"/>
    </row>
    <row r="6715" spans="5:13">
      <c r="E6715" s="355"/>
      <c r="F6715" s="355"/>
      <c r="G6715" s="355"/>
      <c r="H6715" s="355"/>
      <c r="I6715" s="355"/>
      <c r="J6715" s="355"/>
      <c r="K6715" s="355"/>
      <c r="L6715" s="355"/>
      <c r="M6715" s="355"/>
    </row>
    <row r="6716" spans="5:13">
      <c r="E6716" s="355"/>
      <c r="F6716" s="355"/>
      <c r="G6716" s="355"/>
      <c r="H6716" s="355"/>
      <c r="I6716" s="355"/>
      <c r="J6716" s="355"/>
      <c r="K6716" s="355"/>
      <c r="L6716" s="355"/>
      <c r="M6716" s="355"/>
    </row>
    <row r="6717" spans="5:13">
      <c r="E6717" s="355"/>
      <c r="F6717" s="355"/>
      <c r="G6717" s="355"/>
      <c r="H6717" s="355"/>
      <c r="I6717" s="355"/>
      <c r="J6717" s="355"/>
      <c r="K6717" s="355"/>
      <c r="L6717" s="355"/>
      <c r="M6717" s="355"/>
    </row>
    <row r="6718" spans="5:13">
      <c r="E6718" s="355"/>
      <c r="F6718" s="355"/>
      <c r="G6718" s="355"/>
      <c r="H6718" s="355"/>
      <c r="I6718" s="355"/>
      <c r="J6718" s="355"/>
      <c r="K6718" s="355"/>
      <c r="L6718" s="355"/>
      <c r="M6718" s="355"/>
    </row>
    <row r="6719" spans="5:13">
      <c r="E6719" s="355"/>
      <c r="F6719" s="355"/>
      <c r="G6719" s="355"/>
      <c r="H6719" s="355"/>
      <c r="I6719" s="355"/>
      <c r="J6719" s="355"/>
      <c r="K6719" s="355"/>
      <c r="L6719" s="355"/>
      <c r="M6719" s="355"/>
    </row>
    <row r="6720" spans="5:13">
      <c r="E6720" s="355"/>
      <c r="F6720" s="355"/>
      <c r="G6720" s="355"/>
      <c r="H6720" s="355"/>
      <c r="I6720" s="355"/>
      <c r="J6720" s="355"/>
      <c r="K6720" s="355"/>
      <c r="L6720" s="355"/>
      <c r="M6720" s="355"/>
    </row>
    <row r="6721" spans="5:13">
      <c r="E6721" s="355"/>
      <c r="F6721" s="355"/>
      <c r="G6721" s="355"/>
      <c r="H6721" s="355"/>
      <c r="I6721" s="355"/>
      <c r="J6721" s="355"/>
      <c r="K6721" s="355"/>
      <c r="L6721" s="355"/>
      <c r="M6721" s="355"/>
    </row>
    <row r="6722" spans="5:13">
      <c r="E6722" s="355"/>
      <c r="F6722" s="355"/>
      <c r="G6722" s="355"/>
      <c r="H6722" s="355"/>
      <c r="I6722" s="355"/>
      <c r="J6722" s="355"/>
      <c r="K6722" s="355"/>
      <c r="L6722" s="355"/>
      <c r="M6722" s="355"/>
    </row>
    <row r="6723" spans="5:13">
      <c r="E6723" s="355"/>
      <c r="F6723" s="355"/>
      <c r="G6723" s="355"/>
      <c r="H6723" s="355"/>
      <c r="I6723" s="355"/>
      <c r="J6723" s="355"/>
      <c r="K6723" s="355"/>
      <c r="L6723" s="355"/>
      <c r="M6723" s="355"/>
    </row>
    <row r="6724" spans="5:13">
      <c r="E6724" s="355"/>
      <c r="F6724" s="355"/>
      <c r="G6724" s="355"/>
      <c r="H6724" s="355"/>
      <c r="I6724" s="355"/>
      <c r="J6724" s="355"/>
      <c r="K6724" s="355"/>
      <c r="L6724" s="355"/>
      <c r="M6724" s="355"/>
    </row>
    <row r="6725" spans="5:13">
      <c r="E6725" s="355"/>
      <c r="F6725" s="355"/>
      <c r="G6725" s="355"/>
      <c r="H6725" s="355"/>
      <c r="I6725" s="355"/>
      <c r="J6725" s="355"/>
      <c r="K6725" s="355"/>
      <c r="L6725" s="355"/>
      <c r="M6725" s="355"/>
    </row>
    <row r="6726" spans="5:13">
      <c r="E6726" s="355"/>
      <c r="F6726" s="355"/>
      <c r="G6726" s="355"/>
      <c r="H6726" s="355"/>
      <c r="I6726" s="355"/>
      <c r="J6726" s="355"/>
      <c r="K6726" s="355"/>
      <c r="L6726" s="355"/>
      <c r="M6726" s="355"/>
    </row>
    <row r="6727" spans="5:13">
      <c r="E6727" s="355"/>
      <c r="F6727" s="355"/>
      <c r="G6727" s="355"/>
      <c r="H6727" s="355"/>
      <c r="I6727" s="355"/>
      <c r="J6727" s="355"/>
      <c r="K6727" s="355"/>
      <c r="L6727" s="355"/>
      <c r="M6727" s="355"/>
    </row>
    <row r="6728" spans="5:13">
      <c r="E6728" s="355"/>
      <c r="F6728" s="355"/>
      <c r="G6728" s="355"/>
      <c r="H6728" s="355"/>
      <c r="I6728" s="355"/>
      <c r="J6728" s="355"/>
      <c r="K6728" s="355"/>
      <c r="L6728" s="355"/>
      <c r="M6728" s="355"/>
    </row>
    <row r="6729" spans="5:13">
      <c r="E6729" s="355"/>
      <c r="F6729" s="355"/>
      <c r="G6729" s="355"/>
      <c r="H6729" s="355"/>
      <c r="I6729" s="355"/>
      <c r="J6729" s="355"/>
      <c r="K6729" s="355"/>
      <c r="L6729" s="355"/>
      <c r="M6729" s="355"/>
    </row>
    <row r="6730" spans="5:13">
      <c r="E6730" s="355"/>
      <c r="F6730" s="355"/>
      <c r="G6730" s="355"/>
      <c r="H6730" s="355"/>
      <c r="I6730" s="355"/>
      <c r="J6730" s="355"/>
      <c r="K6730" s="355"/>
      <c r="L6730" s="355"/>
      <c r="M6730" s="355"/>
    </row>
    <row r="6731" spans="5:13">
      <c r="E6731" s="355"/>
      <c r="F6731" s="355"/>
      <c r="G6731" s="355"/>
      <c r="H6731" s="355"/>
      <c r="I6731" s="355"/>
      <c r="J6731" s="355"/>
      <c r="K6731" s="355"/>
      <c r="L6731" s="355"/>
      <c r="M6731" s="355"/>
    </row>
    <row r="6732" spans="5:13">
      <c r="E6732" s="355"/>
      <c r="F6732" s="355"/>
      <c r="G6732" s="355"/>
      <c r="H6732" s="355"/>
      <c r="I6732" s="355"/>
      <c r="J6732" s="355"/>
      <c r="K6732" s="355"/>
      <c r="L6732" s="355"/>
      <c r="M6732" s="355"/>
    </row>
    <row r="6733" spans="5:13">
      <c r="E6733" s="355"/>
      <c r="F6733" s="355"/>
      <c r="G6733" s="355"/>
      <c r="H6733" s="355"/>
      <c r="I6733" s="355"/>
      <c r="J6733" s="355"/>
      <c r="K6733" s="355"/>
      <c r="L6733" s="355"/>
      <c r="M6733" s="355"/>
    </row>
    <row r="6734" spans="5:13">
      <c r="E6734" s="355"/>
      <c r="F6734" s="355"/>
      <c r="G6734" s="355"/>
      <c r="H6734" s="355"/>
      <c r="I6734" s="355"/>
      <c r="J6734" s="355"/>
      <c r="K6734" s="355"/>
      <c r="L6734" s="355"/>
      <c r="M6734" s="355"/>
    </row>
    <row r="6735" spans="5:13">
      <c r="E6735" s="355"/>
      <c r="F6735" s="355"/>
      <c r="G6735" s="355"/>
      <c r="H6735" s="355"/>
      <c r="I6735" s="355"/>
      <c r="J6735" s="355"/>
      <c r="K6735" s="355"/>
      <c r="L6735" s="355"/>
      <c r="M6735" s="355"/>
    </row>
    <row r="6736" spans="5:13">
      <c r="E6736" s="355"/>
      <c r="F6736" s="355"/>
      <c r="G6736" s="355"/>
      <c r="H6736" s="355"/>
      <c r="I6736" s="355"/>
      <c r="J6736" s="355"/>
      <c r="K6736" s="355"/>
      <c r="L6736" s="355"/>
      <c r="M6736" s="355"/>
    </row>
    <row r="6737" spans="5:13">
      <c r="E6737" s="355"/>
      <c r="F6737" s="355"/>
      <c r="G6737" s="355"/>
      <c r="H6737" s="355"/>
      <c r="I6737" s="355"/>
      <c r="J6737" s="355"/>
      <c r="K6737" s="355"/>
      <c r="L6737" s="355"/>
      <c r="M6737" s="355"/>
    </row>
    <row r="6738" spans="5:13">
      <c r="E6738" s="355"/>
      <c r="F6738" s="355"/>
      <c r="G6738" s="355"/>
      <c r="H6738" s="355"/>
      <c r="I6738" s="355"/>
      <c r="J6738" s="355"/>
      <c r="K6738" s="355"/>
      <c r="L6738" s="355"/>
      <c r="M6738" s="355"/>
    </row>
    <row r="6739" spans="5:13">
      <c r="E6739" s="355"/>
      <c r="F6739" s="355"/>
      <c r="G6739" s="355"/>
      <c r="H6739" s="355"/>
      <c r="I6739" s="355"/>
      <c r="J6739" s="355"/>
      <c r="K6739" s="355"/>
      <c r="L6739" s="355"/>
      <c r="M6739" s="355"/>
    </row>
    <row r="6740" spans="5:13">
      <c r="E6740" s="355"/>
      <c r="F6740" s="355"/>
      <c r="G6740" s="355"/>
      <c r="H6740" s="355"/>
      <c r="I6740" s="355"/>
      <c r="J6740" s="355"/>
      <c r="K6740" s="355"/>
      <c r="L6740" s="355"/>
      <c r="M6740" s="355"/>
    </row>
    <row r="6741" spans="5:13">
      <c r="E6741" s="355"/>
      <c r="F6741" s="355"/>
      <c r="G6741" s="355"/>
      <c r="H6741" s="355"/>
      <c r="I6741" s="355"/>
      <c r="J6741" s="355"/>
      <c r="K6741" s="355"/>
      <c r="L6741" s="355"/>
      <c r="M6741" s="355"/>
    </row>
    <row r="6742" spans="5:13">
      <c r="E6742" s="355"/>
      <c r="F6742" s="355"/>
      <c r="G6742" s="355"/>
      <c r="H6742" s="355"/>
      <c r="I6742" s="355"/>
      <c r="J6742" s="355"/>
      <c r="K6742" s="355"/>
      <c r="L6742" s="355"/>
      <c r="M6742" s="355"/>
    </row>
    <row r="6743" spans="5:13">
      <c r="E6743" s="355"/>
      <c r="F6743" s="355"/>
      <c r="G6743" s="355"/>
      <c r="H6743" s="355"/>
      <c r="I6743" s="355"/>
      <c r="J6743" s="355"/>
      <c r="K6743" s="355"/>
      <c r="L6743" s="355"/>
      <c r="M6743" s="355"/>
    </row>
    <row r="6744" spans="5:13">
      <c r="E6744" s="355"/>
      <c r="F6744" s="355"/>
      <c r="G6744" s="355"/>
      <c r="H6744" s="355"/>
      <c r="I6744" s="355"/>
      <c r="J6744" s="355"/>
      <c r="K6744" s="355"/>
      <c r="L6744" s="355"/>
      <c r="M6744" s="355"/>
    </row>
    <row r="6745" spans="5:13">
      <c r="E6745" s="355"/>
      <c r="F6745" s="355"/>
      <c r="G6745" s="355"/>
      <c r="H6745" s="355"/>
      <c r="I6745" s="355"/>
      <c r="J6745" s="355"/>
      <c r="K6745" s="355"/>
      <c r="L6745" s="355"/>
      <c r="M6745" s="355"/>
    </row>
    <row r="6746" spans="5:13">
      <c r="E6746" s="355"/>
      <c r="F6746" s="355"/>
      <c r="G6746" s="355"/>
      <c r="H6746" s="355"/>
      <c r="I6746" s="355"/>
      <c r="J6746" s="355"/>
      <c r="K6746" s="355"/>
      <c r="L6746" s="355"/>
      <c r="M6746" s="355"/>
    </row>
    <row r="6747" spans="5:13">
      <c r="E6747" s="355"/>
      <c r="F6747" s="355"/>
      <c r="G6747" s="355"/>
      <c r="H6747" s="355"/>
      <c r="I6747" s="355"/>
      <c r="J6747" s="355"/>
      <c r="K6747" s="355"/>
      <c r="L6747" s="355"/>
      <c r="M6747" s="355"/>
    </row>
    <row r="6748" spans="5:13">
      <c r="E6748" s="355"/>
      <c r="F6748" s="355"/>
      <c r="G6748" s="355"/>
      <c r="H6748" s="355"/>
      <c r="I6748" s="355"/>
      <c r="J6748" s="355"/>
      <c r="K6748" s="355"/>
      <c r="L6748" s="355"/>
      <c r="M6748" s="355"/>
    </row>
    <row r="6749" spans="5:13">
      <c r="E6749" s="355"/>
      <c r="F6749" s="355"/>
      <c r="G6749" s="355"/>
      <c r="H6749" s="355"/>
      <c r="I6749" s="355"/>
      <c r="J6749" s="355"/>
      <c r="K6749" s="355"/>
      <c r="L6749" s="355"/>
      <c r="M6749" s="355"/>
    </row>
    <row r="6750" spans="5:13">
      <c r="E6750" s="355"/>
      <c r="F6750" s="355"/>
      <c r="G6750" s="355"/>
      <c r="H6750" s="355"/>
      <c r="I6750" s="355"/>
      <c r="J6750" s="355"/>
      <c r="K6750" s="355"/>
      <c r="L6750" s="355"/>
      <c r="M6750" s="355"/>
    </row>
    <row r="6751" spans="5:13">
      <c r="E6751" s="355"/>
      <c r="F6751" s="355"/>
      <c r="G6751" s="355"/>
      <c r="H6751" s="355"/>
      <c r="I6751" s="355"/>
      <c r="J6751" s="355"/>
      <c r="K6751" s="355"/>
      <c r="L6751" s="355"/>
      <c r="M6751" s="355"/>
    </row>
    <row r="6752" spans="5:13">
      <c r="E6752" s="355"/>
      <c r="F6752" s="355"/>
      <c r="G6752" s="355"/>
      <c r="H6752" s="355"/>
      <c r="I6752" s="355"/>
      <c r="J6752" s="355"/>
      <c r="K6752" s="355"/>
      <c r="L6752" s="355"/>
      <c r="M6752" s="355"/>
    </row>
    <row r="6753" spans="5:13">
      <c r="E6753" s="355"/>
      <c r="F6753" s="355"/>
      <c r="G6753" s="355"/>
      <c r="H6753" s="355"/>
      <c r="I6753" s="355"/>
      <c r="J6753" s="355"/>
      <c r="K6753" s="355"/>
      <c r="L6753" s="355"/>
      <c r="M6753" s="355"/>
    </row>
    <row r="6754" spans="5:13">
      <c r="E6754" s="355"/>
      <c r="F6754" s="355"/>
      <c r="G6754" s="355"/>
      <c r="H6754" s="355"/>
      <c r="I6754" s="355"/>
      <c r="J6754" s="355"/>
      <c r="K6754" s="355"/>
      <c r="L6754" s="355"/>
      <c r="M6754" s="355"/>
    </row>
    <row r="6755" spans="5:13">
      <c r="E6755" s="355"/>
      <c r="F6755" s="355"/>
      <c r="G6755" s="355"/>
      <c r="H6755" s="355"/>
      <c r="I6755" s="355"/>
      <c r="J6755" s="355"/>
      <c r="K6755" s="355"/>
      <c r="L6755" s="355"/>
      <c r="M6755" s="355"/>
    </row>
    <row r="6756" spans="5:13">
      <c r="E6756" s="355"/>
      <c r="F6756" s="355"/>
      <c r="G6756" s="355"/>
      <c r="H6756" s="355"/>
      <c r="I6756" s="355"/>
      <c r="J6756" s="355"/>
      <c r="K6756" s="355"/>
      <c r="L6756" s="355"/>
      <c r="M6756" s="355"/>
    </row>
    <row r="6757" spans="5:13">
      <c r="E6757" s="355"/>
      <c r="F6757" s="355"/>
      <c r="G6757" s="355"/>
      <c r="H6757" s="355"/>
      <c r="I6757" s="355"/>
      <c r="J6757" s="355"/>
      <c r="K6757" s="355"/>
      <c r="L6757" s="355"/>
      <c r="M6757" s="355"/>
    </row>
    <row r="6758" spans="5:13">
      <c r="E6758" s="355"/>
      <c r="F6758" s="355"/>
      <c r="G6758" s="355"/>
      <c r="H6758" s="355"/>
      <c r="I6758" s="355"/>
      <c r="J6758" s="355"/>
      <c r="K6758" s="355"/>
      <c r="L6758" s="355"/>
      <c r="M6758" s="355"/>
    </row>
    <row r="6759" spans="5:13">
      <c r="E6759" s="355"/>
      <c r="F6759" s="355"/>
      <c r="G6759" s="355"/>
      <c r="H6759" s="355"/>
      <c r="I6759" s="355"/>
      <c r="J6759" s="355"/>
      <c r="K6759" s="355"/>
      <c r="L6759" s="355"/>
      <c r="M6759" s="355"/>
    </row>
    <row r="6760" spans="5:13">
      <c r="E6760" s="355"/>
      <c r="F6760" s="355"/>
      <c r="G6760" s="355"/>
      <c r="H6760" s="355"/>
      <c r="I6760" s="355"/>
      <c r="J6760" s="355"/>
      <c r="K6760" s="355"/>
      <c r="L6760" s="355"/>
      <c r="M6760" s="355"/>
    </row>
    <row r="6761" spans="5:13">
      <c r="E6761" s="355"/>
      <c r="F6761" s="355"/>
      <c r="G6761" s="355"/>
      <c r="H6761" s="355"/>
      <c r="I6761" s="355"/>
      <c r="J6761" s="355"/>
      <c r="K6761" s="355"/>
      <c r="L6761" s="355"/>
      <c r="M6761" s="355"/>
    </row>
    <row r="6762" spans="5:13">
      <c r="E6762" s="355"/>
      <c r="F6762" s="355"/>
      <c r="G6762" s="355"/>
      <c r="H6762" s="355"/>
      <c r="I6762" s="355"/>
      <c r="J6762" s="355"/>
      <c r="K6762" s="355"/>
      <c r="L6762" s="355"/>
      <c r="M6762" s="355"/>
    </row>
    <row r="6763" spans="5:13">
      <c r="E6763" s="355"/>
      <c r="F6763" s="355"/>
      <c r="G6763" s="355"/>
      <c r="H6763" s="355"/>
      <c r="I6763" s="355"/>
      <c r="J6763" s="355"/>
      <c r="K6763" s="355"/>
      <c r="L6763" s="355"/>
      <c r="M6763" s="355"/>
    </row>
    <row r="6764" spans="5:13">
      <c r="E6764" s="355"/>
      <c r="F6764" s="355"/>
      <c r="G6764" s="355"/>
      <c r="H6764" s="355"/>
      <c r="I6764" s="355"/>
      <c r="J6764" s="355"/>
      <c r="K6764" s="355"/>
      <c r="L6764" s="355"/>
      <c r="M6764" s="355"/>
    </row>
    <row r="6765" spans="5:13">
      <c r="E6765" s="355"/>
      <c r="F6765" s="355"/>
      <c r="G6765" s="355"/>
      <c r="H6765" s="355"/>
      <c r="I6765" s="355"/>
      <c r="J6765" s="355"/>
      <c r="K6765" s="355"/>
      <c r="L6765" s="355"/>
      <c r="M6765" s="355"/>
    </row>
    <row r="6766" spans="5:13">
      <c r="E6766" s="355"/>
      <c r="F6766" s="355"/>
      <c r="G6766" s="355"/>
      <c r="H6766" s="355"/>
      <c r="I6766" s="355"/>
      <c r="J6766" s="355"/>
      <c r="K6766" s="355"/>
      <c r="L6766" s="355"/>
      <c r="M6766" s="355"/>
    </row>
    <row r="6767" spans="5:13">
      <c r="E6767" s="355"/>
      <c r="F6767" s="355"/>
      <c r="G6767" s="355"/>
      <c r="H6767" s="355"/>
      <c r="I6767" s="355"/>
      <c r="J6767" s="355"/>
      <c r="K6767" s="355"/>
      <c r="L6767" s="355"/>
      <c r="M6767" s="355"/>
    </row>
    <row r="6768" spans="5:13">
      <c r="E6768" s="355"/>
      <c r="F6768" s="355"/>
      <c r="G6768" s="355"/>
      <c r="H6768" s="355"/>
      <c r="I6768" s="355"/>
      <c r="J6768" s="355"/>
      <c r="K6768" s="355"/>
      <c r="L6768" s="355"/>
      <c r="M6768" s="355"/>
    </row>
    <row r="6769" spans="5:13">
      <c r="E6769" s="355"/>
      <c r="F6769" s="355"/>
      <c r="G6769" s="355"/>
      <c r="H6769" s="355"/>
      <c r="I6769" s="355"/>
      <c r="J6769" s="355"/>
      <c r="K6769" s="355"/>
      <c r="L6769" s="355"/>
      <c r="M6769" s="355"/>
    </row>
    <row r="6770" spans="5:13">
      <c r="E6770" s="355"/>
      <c r="F6770" s="355"/>
      <c r="G6770" s="355"/>
      <c r="H6770" s="355"/>
      <c r="I6770" s="355"/>
      <c r="J6770" s="355"/>
      <c r="K6770" s="355"/>
      <c r="L6770" s="355"/>
      <c r="M6770" s="355"/>
    </row>
    <row r="6771" spans="5:13">
      <c r="E6771" s="355"/>
      <c r="F6771" s="355"/>
      <c r="G6771" s="355"/>
      <c r="H6771" s="355"/>
      <c r="I6771" s="355"/>
      <c r="J6771" s="355"/>
      <c r="K6771" s="355"/>
      <c r="L6771" s="355"/>
      <c r="M6771" s="355"/>
    </row>
    <row r="6772" spans="5:13">
      <c r="E6772" s="355"/>
      <c r="F6772" s="355"/>
      <c r="G6772" s="355"/>
      <c r="H6772" s="355"/>
      <c r="I6772" s="355"/>
      <c r="J6772" s="355"/>
      <c r="K6772" s="355"/>
      <c r="L6772" s="355"/>
      <c r="M6772" s="355"/>
    </row>
    <row r="6773" spans="5:13">
      <c r="E6773" s="355"/>
      <c r="F6773" s="355"/>
      <c r="G6773" s="355"/>
      <c r="H6773" s="355"/>
      <c r="I6773" s="355"/>
      <c r="J6773" s="355"/>
      <c r="K6773" s="355"/>
      <c r="L6773" s="355"/>
      <c r="M6773" s="355"/>
    </row>
    <row r="6774" spans="5:13">
      <c r="E6774" s="355"/>
      <c r="F6774" s="355"/>
      <c r="G6774" s="355"/>
      <c r="H6774" s="355"/>
      <c r="I6774" s="355"/>
      <c r="J6774" s="355"/>
      <c r="K6774" s="355"/>
      <c r="L6774" s="355"/>
      <c r="M6774" s="355"/>
    </row>
    <row r="6775" spans="5:13">
      <c r="E6775" s="355"/>
      <c r="F6775" s="355"/>
      <c r="G6775" s="355"/>
      <c r="H6775" s="355"/>
      <c r="I6775" s="355"/>
      <c r="J6775" s="355"/>
      <c r="K6775" s="355"/>
      <c r="L6775" s="355"/>
      <c r="M6775" s="355"/>
    </row>
    <row r="6776" spans="5:13">
      <c r="E6776" s="355"/>
      <c r="F6776" s="355"/>
      <c r="G6776" s="355"/>
      <c r="H6776" s="355"/>
      <c r="I6776" s="355"/>
      <c r="J6776" s="355"/>
      <c r="K6776" s="355"/>
      <c r="L6776" s="355"/>
      <c r="M6776" s="355"/>
    </row>
    <row r="6777" spans="5:13">
      <c r="E6777" s="355"/>
      <c r="F6777" s="355"/>
      <c r="G6777" s="355"/>
      <c r="H6777" s="355"/>
      <c r="I6777" s="355"/>
      <c r="J6777" s="355"/>
      <c r="K6777" s="355"/>
      <c r="L6777" s="355"/>
      <c r="M6777" s="355"/>
    </row>
    <row r="6778" spans="5:13">
      <c r="E6778" s="355"/>
      <c r="F6778" s="355"/>
      <c r="G6778" s="355"/>
      <c r="H6778" s="355"/>
      <c r="I6778" s="355"/>
      <c r="J6778" s="355"/>
      <c r="K6778" s="355"/>
      <c r="L6778" s="355"/>
      <c r="M6778" s="355"/>
    </row>
    <row r="6779" spans="5:13">
      <c r="E6779" s="355"/>
      <c r="F6779" s="355"/>
      <c r="G6779" s="355"/>
      <c r="H6779" s="355"/>
      <c r="I6779" s="355"/>
      <c r="J6779" s="355"/>
      <c r="K6779" s="355"/>
      <c r="L6779" s="355"/>
      <c r="M6779" s="355"/>
    </row>
    <row r="6780" spans="5:13">
      <c r="E6780" s="355"/>
      <c r="F6780" s="355"/>
      <c r="G6780" s="355"/>
      <c r="H6780" s="355"/>
      <c r="I6780" s="355"/>
      <c r="J6780" s="355"/>
      <c r="K6780" s="355"/>
      <c r="L6780" s="355"/>
      <c r="M6780" s="355"/>
    </row>
    <row r="6781" spans="5:13">
      <c r="E6781" s="355"/>
      <c r="F6781" s="355"/>
      <c r="G6781" s="355"/>
      <c r="H6781" s="355"/>
      <c r="I6781" s="355"/>
      <c r="J6781" s="355"/>
      <c r="K6781" s="355"/>
      <c r="L6781" s="355"/>
      <c r="M6781" s="355"/>
    </row>
    <row r="6782" spans="5:13">
      <c r="E6782" s="355"/>
      <c r="F6782" s="355"/>
      <c r="G6782" s="355"/>
      <c r="H6782" s="355"/>
      <c r="I6782" s="355"/>
      <c r="J6782" s="355"/>
      <c r="K6782" s="355"/>
      <c r="L6782" s="355"/>
      <c r="M6782" s="355"/>
    </row>
    <row r="6783" spans="5:13">
      <c r="E6783" s="355"/>
      <c r="F6783" s="355"/>
      <c r="G6783" s="355"/>
      <c r="H6783" s="355"/>
      <c r="I6783" s="355"/>
      <c r="J6783" s="355"/>
      <c r="K6783" s="355"/>
      <c r="L6783" s="355"/>
      <c r="M6783" s="355"/>
    </row>
    <row r="6784" spans="5:13">
      <c r="E6784" s="355"/>
      <c r="F6784" s="355"/>
      <c r="G6784" s="355"/>
      <c r="H6784" s="355"/>
      <c r="I6784" s="355"/>
      <c r="J6784" s="355"/>
      <c r="K6784" s="355"/>
      <c r="L6784" s="355"/>
      <c r="M6784" s="355"/>
    </row>
    <row r="6785" spans="5:13">
      <c r="E6785" s="355"/>
      <c r="F6785" s="355"/>
      <c r="G6785" s="355"/>
      <c r="H6785" s="355"/>
      <c r="I6785" s="355"/>
      <c r="J6785" s="355"/>
      <c r="K6785" s="355"/>
      <c r="L6785" s="355"/>
      <c r="M6785" s="355"/>
    </row>
    <row r="6786" spans="5:13">
      <c r="E6786" s="355"/>
      <c r="F6786" s="355"/>
      <c r="G6786" s="355"/>
      <c r="H6786" s="355"/>
      <c r="I6786" s="355"/>
      <c r="J6786" s="355"/>
      <c r="K6786" s="355"/>
      <c r="L6786" s="355"/>
      <c r="M6786" s="355"/>
    </row>
    <row r="6787" spans="5:13">
      <c r="E6787" s="355"/>
      <c r="F6787" s="355"/>
      <c r="G6787" s="355"/>
      <c r="H6787" s="355"/>
      <c r="I6787" s="355"/>
      <c r="J6787" s="355"/>
      <c r="K6787" s="355"/>
      <c r="L6787" s="355"/>
      <c r="M6787" s="355"/>
    </row>
    <row r="6788" spans="5:13">
      <c r="E6788" s="355"/>
      <c r="F6788" s="355"/>
      <c r="G6788" s="355"/>
      <c r="H6788" s="355"/>
      <c r="I6788" s="355"/>
      <c r="J6788" s="355"/>
      <c r="K6788" s="355"/>
      <c r="L6788" s="355"/>
      <c r="M6788" s="355"/>
    </row>
    <row r="6789" spans="5:13">
      <c r="E6789" s="355"/>
      <c r="F6789" s="355"/>
      <c r="G6789" s="355"/>
      <c r="H6789" s="355"/>
      <c r="I6789" s="355"/>
      <c r="J6789" s="355"/>
      <c r="K6789" s="355"/>
      <c r="L6789" s="355"/>
      <c r="M6789" s="355"/>
    </row>
    <row r="6790" spans="5:13">
      <c r="E6790" s="355"/>
      <c r="F6790" s="355"/>
      <c r="G6790" s="355"/>
      <c r="H6790" s="355"/>
      <c r="I6790" s="355"/>
      <c r="J6790" s="355"/>
      <c r="K6790" s="355"/>
      <c r="L6790" s="355"/>
      <c r="M6790" s="355"/>
    </row>
    <row r="6791" spans="5:13">
      <c r="E6791" s="355"/>
      <c r="F6791" s="355"/>
      <c r="G6791" s="355"/>
      <c r="H6791" s="355"/>
      <c r="I6791" s="355"/>
      <c r="J6791" s="355"/>
      <c r="K6791" s="355"/>
      <c r="L6791" s="355"/>
      <c r="M6791" s="355"/>
    </row>
    <row r="6792" spans="5:13">
      <c r="E6792" s="355"/>
      <c r="F6792" s="355"/>
      <c r="G6792" s="355"/>
      <c r="H6792" s="355"/>
      <c r="I6792" s="355"/>
      <c r="J6792" s="355"/>
      <c r="K6792" s="355"/>
      <c r="L6792" s="355"/>
      <c r="M6792" s="355"/>
    </row>
    <row r="6793" spans="5:13">
      <c r="E6793" s="355"/>
      <c r="F6793" s="355"/>
      <c r="G6793" s="355"/>
      <c r="H6793" s="355"/>
      <c r="I6793" s="355"/>
      <c r="J6793" s="355"/>
      <c r="K6793" s="355"/>
      <c r="L6793" s="355"/>
      <c r="M6793" s="355"/>
    </row>
    <row r="6794" spans="5:13">
      <c r="E6794" s="355"/>
      <c r="F6794" s="355"/>
      <c r="G6794" s="355"/>
      <c r="H6794" s="355"/>
      <c r="I6794" s="355"/>
      <c r="J6794" s="355"/>
      <c r="K6794" s="355"/>
      <c r="L6794" s="355"/>
      <c r="M6794" s="355"/>
    </row>
    <row r="6795" spans="5:13">
      <c r="E6795" s="355"/>
      <c r="F6795" s="355"/>
      <c r="G6795" s="355"/>
      <c r="H6795" s="355"/>
      <c r="I6795" s="355"/>
      <c r="J6795" s="355"/>
      <c r="K6795" s="355"/>
      <c r="L6795" s="355"/>
      <c r="M6795" s="355"/>
    </row>
    <row r="6796" spans="5:13">
      <c r="E6796" s="355"/>
      <c r="F6796" s="355"/>
      <c r="G6796" s="355"/>
      <c r="H6796" s="355"/>
      <c r="I6796" s="355"/>
      <c r="J6796" s="355"/>
      <c r="K6796" s="355"/>
      <c r="L6796" s="355"/>
      <c r="M6796" s="355"/>
    </row>
    <row r="6797" spans="5:13">
      <c r="E6797" s="355"/>
      <c r="F6797" s="355"/>
      <c r="G6797" s="355"/>
      <c r="H6797" s="355"/>
      <c r="I6797" s="355"/>
      <c r="J6797" s="355"/>
      <c r="K6797" s="355"/>
      <c r="L6797" s="355"/>
      <c r="M6797" s="355"/>
    </row>
    <row r="6798" spans="5:13">
      <c r="E6798" s="355"/>
      <c r="F6798" s="355"/>
      <c r="G6798" s="355"/>
      <c r="H6798" s="355"/>
      <c r="I6798" s="355"/>
      <c r="J6798" s="355"/>
      <c r="K6798" s="355"/>
      <c r="L6798" s="355"/>
      <c r="M6798" s="355"/>
    </row>
    <row r="6799" spans="5:13">
      <c r="E6799" s="355"/>
      <c r="F6799" s="355"/>
      <c r="G6799" s="355"/>
      <c r="H6799" s="355"/>
      <c r="I6799" s="355"/>
      <c r="J6799" s="355"/>
      <c r="K6799" s="355"/>
      <c r="L6799" s="355"/>
      <c r="M6799" s="355"/>
    </row>
    <row r="6800" spans="5:13">
      <c r="E6800" s="355"/>
      <c r="F6800" s="355"/>
      <c r="G6800" s="355"/>
      <c r="H6800" s="355"/>
      <c r="I6800" s="355"/>
      <c r="J6800" s="355"/>
      <c r="K6800" s="355"/>
      <c r="L6800" s="355"/>
      <c r="M6800" s="355"/>
    </row>
    <row r="6801" spans="5:13">
      <c r="E6801" s="355"/>
      <c r="F6801" s="355"/>
      <c r="G6801" s="355"/>
      <c r="H6801" s="355"/>
      <c r="I6801" s="355"/>
      <c r="J6801" s="355"/>
      <c r="K6801" s="355"/>
      <c r="L6801" s="355"/>
      <c r="M6801" s="355"/>
    </row>
    <row r="6802" spans="5:13">
      <c r="E6802" s="355"/>
      <c r="F6802" s="355"/>
      <c r="G6802" s="355"/>
      <c r="H6802" s="355"/>
      <c r="I6802" s="355"/>
      <c r="J6802" s="355"/>
      <c r="K6802" s="355"/>
      <c r="L6802" s="355"/>
      <c r="M6802" s="355"/>
    </row>
    <row r="6803" spans="5:13">
      <c r="E6803" s="355"/>
      <c r="F6803" s="355"/>
      <c r="G6803" s="355"/>
      <c r="H6803" s="355"/>
      <c r="I6803" s="355"/>
      <c r="J6803" s="355"/>
      <c r="K6803" s="355"/>
      <c r="L6803" s="355"/>
      <c r="M6803" s="355"/>
    </row>
    <row r="6804" spans="5:13">
      <c r="E6804" s="355"/>
      <c r="F6804" s="355"/>
      <c r="G6804" s="355"/>
      <c r="H6804" s="355"/>
      <c r="I6804" s="355"/>
      <c r="J6804" s="355"/>
      <c r="K6804" s="355"/>
      <c r="L6804" s="355"/>
      <c r="M6804" s="355"/>
    </row>
    <row r="6805" spans="5:13">
      <c r="E6805" s="355"/>
      <c r="F6805" s="355"/>
      <c r="G6805" s="355"/>
      <c r="H6805" s="355"/>
      <c r="I6805" s="355"/>
      <c r="J6805" s="355"/>
      <c r="K6805" s="355"/>
      <c r="L6805" s="355"/>
      <c r="M6805" s="355"/>
    </row>
    <row r="6806" spans="5:13">
      <c r="E6806" s="355"/>
      <c r="F6806" s="355"/>
      <c r="G6806" s="355"/>
      <c r="H6806" s="355"/>
      <c r="I6806" s="355"/>
      <c r="J6806" s="355"/>
      <c r="K6806" s="355"/>
      <c r="L6806" s="355"/>
      <c r="M6806" s="355"/>
    </row>
    <row r="6807" spans="5:13">
      <c r="E6807" s="355"/>
      <c r="F6807" s="355"/>
      <c r="G6807" s="355"/>
      <c r="H6807" s="355"/>
      <c r="I6807" s="355"/>
      <c r="J6807" s="355"/>
      <c r="K6807" s="355"/>
      <c r="L6807" s="355"/>
      <c r="M6807" s="355"/>
    </row>
    <row r="6808" spans="5:13">
      <c r="E6808" s="355"/>
      <c r="F6808" s="355"/>
      <c r="G6808" s="355"/>
      <c r="H6808" s="355"/>
      <c r="I6808" s="355"/>
      <c r="J6808" s="355"/>
      <c r="K6808" s="355"/>
      <c r="L6808" s="355"/>
      <c r="M6808" s="355"/>
    </row>
    <row r="6809" spans="5:13">
      <c r="E6809" s="355"/>
      <c r="F6809" s="355"/>
      <c r="G6809" s="355"/>
      <c r="H6809" s="355"/>
      <c r="I6809" s="355"/>
      <c r="J6809" s="355"/>
      <c r="K6809" s="355"/>
      <c r="L6809" s="355"/>
      <c r="M6809" s="355"/>
    </row>
    <row r="6810" spans="5:13">
      <c r="E6810" s="355"/>
      <c r="F6810" s="355"/>
      <c r="G6810" s="355"/>
      <c r="H6810" s="355"/>
      <c r="I6810" s="355"/>
      <c r="J6810" s="355"/>
      <c r="K6810" s="355"/>
      <c r="L6810" s="355"/>
      <c r="M6810" s="355"/>
    </row>
    <row r="6811" spans="5:13">
      <c r="E6811" s="355"/>
      <c r="F6811" s="355"/>
      <c r="G6811" s="355"/>
      <c r="H6811" s="355"/>
      <c r="I6811" s="355"/>
      <c r="J6811" s="355"/>
      <c r="K6811" s="355"/>
      <c r="L6811" s="355"/>
      <c r="M6811" s="355"/>
    </row>
    <row r="6812" spans="5:13">
      <c r="E6812" s="355"/>
      <c r="F6812" s="355"/>
      <c r="G6812" s="355"/>
      <c r="H6812" s="355"/>
      <c r="I6812" s="355"/>
      <c r="J6812" s="355"/>
      <c r="K6812" s="355"/>
      <c r="L6812" s="355"/>
      <c r="M6812" s="355"/>
    </row>
    <row r="6813" spans="5:13">
      <c r="E6813" s="355"/>
      <c r="F6813" s="355"/>
      <c r="G6813" s="355"/>
      <c r="H6813" s="355"/>
      <c r="I6813" s="355"/>
      <c r="J6813" s="355"/>
      <c r="K6813" s="355"/>
      <c r="L6813" s="355"/>
      <c r="M6813" s="355"/>
    </row>
    <row r="6814" spans="5:13">
      <c r="E6814" s="355"/>
      <c r="F6814" s="355"/>
      <c r="G6814" s="355"/>
      <c r="H6814" s="355"/>
      <c r="I6814" s="355"/>
      <c r="J6814" s="355"/>
      <c r="K6814" s="355"/>
      <c r="L6814" s="355"/>
      <c r="M6814" s="355"/>
    </row>
    <row r="6815" spans="5:13">
      <c r="E6815" s="355"/>
      <c r="F6815" s="355"/>
      <c r="G6815" s="355"/>
      <c r="H6815" s="355"/>
      <c r="I6815" s="355"/>
      <c r="J6815" s="355"/>
      <c r="K6815" s="355"/>
      <c r="L6815" s="355"/>
      <c r="M6815" s="355"/>
    </row>
    <row r="6816" spans="5:13">
      <c r="E6816" s="355"/>
      <c r="F6816" s="355"/>
      <c r="G6816" s="355"/>
      <c r="H6816" s="355"/>
      <c r="I6816" s="355"/>
      <c r="J6816" s="355"/>
      <c r="K6816" s="355"/>
      <c r="L6816" s="355"/>
      <c r="M6816" s="355"/>
    </row>
    <row r="6817" spans="5:13">
      <c r="E6817" s="355"/>
      <c r="F6817" s="355"/>
      <c r="G6817" s="355"/>
      <c r="H6817" s="355"/>
      <c r="I6817" s="355"/>
      <c r="J6817" s="355"/>
      <c r="K6817" s="355"/>
      <c r="L6817" s="355"/>
      <c r="M6817" s="355"/>
    </row>
    <row r="6818" spans="5:13">
      <c r="E6818" s="355"/>
      <c r="F6818" s="355"/>
      <c r="G6818" s="355"/>
      <c r="H6818" s="355"/>
      <c r="I6818" s="355"/>
      <c r="J6818" s="355"/>
      <c r="K6818" s="355"/>
      <c r="L6818" s="355"/>
      <c r="M6818" s="355"/>
    </row>
    <row r="6819" spans="5:13">
      <c r="E6819" s="355"/>
      <c r="F6819" s="355"/>
      <c r="G6819" s="355"/>
      <c r="H6819" s="355"/>
      <c r="I6819" s="355"/>
      <c r="J6819" s="355"/>
      <c r="K6819" s="355"/>
      <c r="L6819" s="355"/>
      <c r="M6819" s="355"/>
    </row>
    <row r="6820" spans="5:13">
      <c r="E6820" s="355"/>
      <c r="F6820" s="355"/>
      <c r="G6820" s="355"/>
      <c r="H6820" s="355"/>
      <c r="I6820" s="355"/>
      <c r="J6820" s="355"/>
      <c r="K6820" s="355"/>
      <c r="L6820" s="355"/>
      <c r="M6820" s="355"/>
    </row>
    <row r="6821" spans="5:13">
      <c r="E6821" s="355"/>
      <c r="F6821" s="355"/>
      <c r="G6821" s="355"/>
      <c r="H6821" s="355"/>
      <c r="I6821" s="355"/>
      <c r="J6821" s="355"/>
      <c r="K6821" s="355"/>
      <c r="L6821" s="355"/>
      <c r="M6821" s="355"/>
    </row>
    <row r="6822" spans="5:13">
      <c r="E6822" s="355"/>
      <c r="F6822" s="355"/>
      <c r="G6822" s="355"/>
      <c r="H6822" s="355"/>
      <c r="I6822" s="355"/>
      <c r="J6822" s="355"/>
      <c r="K6822" s="355"/>
      <c r="L6822" s="355"/>
      <c r="M6822" s="355"/>
    </row>
    <row r="6823" spans="5:13">
      <c r="E6823" s="355"/>
      <c r="F6823" s="355"/>
      <c r="G6823" s="355"/>
      <c r="H6823" s="355"/>
      <c r="I6823" s="355"/>
      <c r="J6823" s="355"/>
      <c r="K6823" s="355"/>
      <c r="L6823" s="355"/>
      <c r="M6823" s="355"/>
    </row>
    <row r="6824" spans="5:13">
      <c r="E6824" s="355"/>
      <c r="F6824" s="355"/>
      <c r="G6824" s="355"/>
      <c r="H6824" s="355"/>
      <c r="I6824" s="355"/>
      <c r="J6824" s="355"/>
      <c r="K6824" s="355"/>
      <c r="L6824" s="355"/>
      <c r="M6824" s="355"/>
    </row>
    <row r="6825" spans="5:13">
      <c r="E6825" s="355"/>
      <c r="F6825" s="355"/>
      <c r="G6825" s="355"/>
      <c r="H6825" s="355"/>
      <c r="I6825" s="355"/>
      <c r="J6825" s="355"/>
      <c r="K6825" s="355"/>
      <c r="L6825" s="355"/>
      <c r="M6825" s="355"/>
    </row>
    <row r="6826" spans="5:13">
      <c r="E6826" s="355"/>
      <c r="F6826" s="355"/>
      <c r="G6826" s="355"/>
      <c r="H6826" s="355"/>
      <c r="I6826" s="355"/>
      <c r="J6826" s="355"/>
      <c r="K6826" s="355"/>
      <c r="L6826" s="355"/>
      <c r="M6826" s="355"/>
    </row>
    <row r="6827" spans="5:13">
      <c r="E6827" s="355"/>
      <c r="F6827" s="355"/>
      <c r="G6827" s="355"/>
      <c r="H6827" s="355"/>
      <c r="I6827" s="355"/>
      <c r="J6827" s="355"/>
      <c r="K6827" s="355"/>
      <c r="L6827" s="355"/>
      <c r="M6827" s="355"/>
    </row>
    <row r="6828" spans="5:13">
      <c r="E6828" s="355"/>
      <c r="F6828" s="355"/>
      <c r="G6828" s="355"/>
      <c r="H6828" s="355"/>
      <c r="I6828" s="355"/>
      <c r="J6828" s="355"/>
      <c r="K6828" s="355"/>
      <c r="L6828" s="355"/>
      <c r="M6828" s="355"/>
    </row>
    <row r="6829" spans="5:13">
      <c r="E6829" s="355"/>
      <c r="F6829" s="355"/>
      <c r="G6829" s="355"/>
      <c r="H6829" s="355"/>
      <c r="I6829" s="355"/>
      <c r="J6829" s="355"/>
      <c r="K6829" s="355"/>
      <c r="L6829" s="355"/>
      <c r="M6829" s="355"/>
    </row>
    <row r="6830" spans="5:13">
      <c r="E6830" s="355"/>
      <c r="F6830" s="355"/>
      <c r="G6830" s="355"/>
      <c r="H6830" s="355"/>
      <c r="I6830" s="355"/>
      <c r="J6830" s="355"/>
      <c r="K6830" s="355"/>
      <c r="L6830" s="355"/>
      <c r="M6830" s="355"/>
    </row>
    <row r="6831" spans="5:13">
      <c r="E6831" s="355"/>
      <c r="F6831" s="355"/>
      <c r="G6831" s="355"/>
      <c r="H6831" s="355"/>
      <c r="I6831" s="355"/>
      <c r="J6831" s="355"/>
      <c r="K6831" s="355"/>
      <c r="L6831" s="355"/>
      <c r="M6831" s="355"/>
    </row>
    <row r="6832" spans="5:13">
      <c r="E6832" s="355"/>
      <c r="F6832" s="355"/>
      <c r="G6832" s="355"/>
      <c r="H6832" s="355"/>
      <c r="I6832" s="355"/>
      <c r="J6832" s="355"/>
      <c r="K6832" s="355"/>
      <c r="L6832" s="355"/>
      <c r="M6832" s="355"/>
    </row>
    <row r="6833" spans="5:13">
      <c r="E6833" s="355"/>
      <c r="F6833" s="355"/>
      <c r="G6833" s="355"/>
      <c r="H6833" s="355"/>
      <c r="I6833" s="355"/>
      <c r="J6833" s="355"/>
      <c r="K6833" s="355"/>
      <c r="L6833" s="355"/>
      <c r="M6833" s="355"/>
    </row>
    <row r="6834" spans="5:13">
      <c r="E6834" s="355"/>
      <c r="F6834" s="355"/>
      <c r="G6834" s="355"/>
      <c r="H6834" s="355"/>
      <c r="I6834" s="355"/>
      <c r="J6834" s="355"/>
      <c r="K6834" s="355"/>
      <c r="L6834" s="355"/>
      <c r="M6834" s="355"/>
    </row>
    <row r="6835" spans="5:13">
      <c r="E6835" s="355"/>
      <c r="F6835" s="355"/>
      <c r="G6835" s="355"/>
      <c r="H6835" s="355"/>
      <c r="I6835" s="355"/>
      <c r="J6835" s="355"/>
      <c r="K6835" s="355"/>
      <c r="L6835" s="355"/>
      <c r="M6835" s="355"/>
    </row>
    <row r="6836" spans="5:13">
      <c r="E6836" s="355"/>
      <c r="F6836" s="355"/>
      <c r="G6836" s="355"/>
      <c r="H6836" s="355"/>
      <c r="I6836" s="355"/>
      <c r="J6836" s="355"/>
      <c r="K6836" s="355"/>
      <c r="L6836" s="355"/>
      <c r="M6836" s="355"/>
    </row>
    <row r="6837" spans="5:13">
      <c r="E6837" s="355"/>
      <c r="F6837" s="355"/>
      <c r="G6837" s="355"/>
      <c r="H6837" s="355"/>
      <c r="I6837" s="355"/>
      <c r="J6837" s="355"/>
      <c r="K6837" s="355"/>
      <c r="L6837" s="355"/>
      <c r="M6837" s="355"/>
    </row>
    <row r="6838" spans="5:13">
      <c r="E6838" s="355"/>
      <c r="F6838" s="355"/>
      <c r="G6838" s="355"/>
      <c r="H6838" s="355"/>
      <c r="I6838" s="355"/>
      <c r="J6838" s="355"/>
      <c r="K6838" s="355"/>
      <c r="L6838" s="355"/>
      <c r="M6838" s="355"/>
    </row>
    <row r="6839" spans="5:13">
      <c r="E6839" s="355"/>
      <c r="F6839" s="355"/>
      <c r="G6839" s="355"/>
      <c r="H6839" s="355"/>
      <c r="I6839" s="355"/>
      <c r="J6839" s="355"/>
      <c r="K6839" s="355"/>
      <c r="L6839" s="355"/>
      <c r="M6839" s="355"/>
    </row>
    <row r="6840" spans="5:13">
      <c r="E6840" s="355"/>
      <c r="F6840" s="355"/>
      <c r="G6840" s="355"/>
      <c r="H6840" s="355"/>
      <c r="I6840" s="355"/>
      <c r="J6840" s="355"/>
      <c r="K6840" s="355"/>
      <c r="L6840" s="355"/>
      <c r="M6840" s="355"/>
    </row>
    <row r="6841" spans="5:13">
      <c r="E6841" s="355"/>
      <c r="F6841" s="355"/>
      <c r="G6841" s="355"/>
      <c r="H6841" s="355"/>
      <c r="I6841" s="355"/>
      <c r="J6841" s="355"/>
      <c r="K6841" s="355"/>
      <c r="L6841" s="355"/>
      <c r="M6841" s="355"/>
    </row>
    <row r="6842" spans="5:13">
      <c r="E6842" s="355"/>
      <c r="F6842" s="355"/>
      <c r="G6842" s="355"/>
      <c r="H6842" s="355"/>
      <c r="I6842" s="355"/>
      <c r="J6842" s="355"/>
      <c r="K6842" s="355"/>
      <c r="L6842" s="355"/>
      <c r="M6842" s="355"/>
    </row>
    <row r="6843" spans="5:13">
      <c r="E6843" s="355"/>
      <c r="F6843" s="355"/>
      <c r="G6843" s="355"/>
      <c r="H6843" s="355"/>
      <c r="I6843" s="355"/>
      <c r="J6843" s="355"/>
      <c r="K6843" s="355"/>
      <c r="L6843" s="355"/>
      <c r="M6843" s="355"/>
    </row>
    <row r="6844" spans="5:13">
      <c r="E6844" s="355"/>
      <c r="F6844" s="355"/>
      <c r="G6844" s="355"/>
      <c r="H6844" s="355"/>
      <c r="I6844" s="355"/>
      <c r="J6844" s="355"/>
      <c r="K6844" s="355"/>
      <c r="L6844" s="355"/>
      <c r="M6844" s="355"/>
    </row>
    <row r="6845" spans="5:13">
      <c r="E6845" s="355"/>
      <c r="F6845" s="355"/>
      <c r="G6845" s="355"/>
      <c r="H6845" s="355"/>
      <c r="I6845" s="355"/>
      <c r="J6845" s="355"/>
      <c r="K6845" s="355"/>
      <c r="L6845" s="355"/>
      <c r="M6845" s="355"/>
    </row>
    <row r="6846" spans="5:13">
      <c r="E6846" s="355"/>
      <c r="F6846" s="355"/>
      <c r="G6846" s="355"/>
      <c r="H6846" s="355"/>
      <c r="I6846" s="355"/>
      <c r="J6846" s="355"/>
      <c r="K6846" s="355"/>
      <c r="L6846" s="355"/>
      <c r="M6846" s="355"/>
    </row>
    <row r="6847" spans="5:13">
      <c r="E6847" s="355"/>
      <c r="F6847" s="355"/>
      <c r="G6847" s="355"/>
      <c r="H6847" s="355"/>
      <c r="I6847" s="355"/>
      <c r="J6847" s="355"/>
      <c r="K6847" s="355"/>
      <c r="L6847" s="355"/>
      <c r="M6847" s="355"/>
    </row>
    <row r="6848" spans="5:13">
      <c r="E6848" s="355"/>
      <c r="F6848" s="355"/>
      <c r="G6848" s="355"/>
      <c r="H6848" s="355"/>
      <c r="I6848" s="355"/>
      <c r="J6848" s="355"/>
      <c r="K6848" s="355"/>
      <c r="L6848" s="355"/>
      <c r="M6848" s="355"/>
    </row>
    <row r="6849" spans="5:13">
      <c r="E6849" s="355"/>
      <c r="F6849" s="355"/>
      <c r="G6849" s="355"/>
      <c r="H6849" s="355"/>
      <c r="I6849" s="355"/>
      <c r="J6849" s="355"/>
      <c r="K6849" s="355"/>
      <c r="L6849" s="355"/>
      <c r="M6849" s="355"/>
    </row>
    <row r="6850" spans="5:13">
      <c r="E6850" s="355"/>
      <c r="F6850" s="355"/>
      <c r="G6850" s="355"/>
      <c r="H6850" s="355"/>
      <c r="I6850" s="355"/>
      <c r="J6850" s="355"/>
      <c r="K6850" s="355"/>
      <c r="L6850" s="355"/>
      <c r="M6850" s="355"/>
    </row>
    <row r="6851" spans="5:13">
      <c r="E6851" s="355"/>
      <c r="F6851" s="355"/>
      <c r="G6851" s="355"/>
      <c r="H6851" s="355"/>
      <c r="I6851" s="355"/>
      <c r="J6851" s="355"/>
      <c r="K6851" s="355"/>
      <c r="L6851" s="355"/>
      <c r="M6851" s="355"/>
    </row>
    <row r="6852" spans="5:13">
      <c r="E6852" s="355"/>
      <c r="F6852" s="355"/>
      <c r="G6852" s="355"/>
      <c r="H6852" s="355"/>
      <c r="I6852" s="355"/>
      <c r="J6852" s="355"/>
      <c r="K6852" s="355"/>
      <c r="L6852" s="355"/>
      <c r="M6852" s="355"/>
    </row>
    <row r="6853" spans="5:13">
      <c r="E6853" s="355"/>
      <c r="F6853" s="355"/>
      <c r="G6853" s="355"/>
      <c r="H6853" s="355"/>
      <c r="I6853" s="355"/>
      <c r="J6853" s="355"/>
      <c r="K6853" s="355"/>
      <c r="L6853" s="355"/>
      <c r="M6853" s="355"/>
    </row>
    <row r="6854" spans="5:13">
      <c r="E6854" s="355"/>
      <c r="F6854" s="355"/>
      <c r="G6854" s="355"/>
      <c r="H6854" s="355"/>
      <c r="I6854" s="355"/>
      <c r="J6854" s="355"/>
      <c r="K6854" s="355"/>
      <c r="L6854" s="355"/>
      <c r="M6854" s="355"/>
    </row>
    <row r="6855" spans="5:13">
      <c r="E6855" s="355"/>
      <c r="F6855" s="355"/>
      <c r="G6855" s="355"/>
      <c r="H6855" s="355"/>
      <c r="I6855" s="355"/>
      <c r="J6855" s="355"/>
      <c r="K6855" s="355"/>
      <c r="L6855" s="355"/>
      <c r="M6855" s="355"/>
    </row>
    <row r="6856" spans="5:13">
      <c r="E6856" s="355"/>
      <c r="F6856" s="355"/>
      <c r="G6856" s="355"/>
      <c r="H6856" s="355"/>
      <c r="I6856" s="355"/>
      <c r="J6856" s="355"/>
      <c r="K6856" s="355"/>
      <c r="L6856" s="355"/>
      <c r="M6856" s="355"/>
    </row>
    <row r="6857" spans="5:13">
      <c r="E6857" s="355"/>
      <c r="F6857" s="355"/>
      <c r="G6857" s="355"/>
      <c r="H6857" s="355"/>
      <c r="I6857" s="355"/>
      <c r="J6857" s="355"/>
      <c r="K6857" s="355"/>
      <c r="L6857" s="355"/>
      <c r="M6857" s="355"/>
    </row>
    <row r="6858" spans="5:13">
      <c r="E6858" s="355"/>
      <c r="F6858" s="355"/>
      <c r="G6858" s="355"/>
      <c r="H6858" s="355"/>
      <c r="I6858" s="355"/>
      <c r="J6858" s="355"/>
      <c r="K6858" s="355"/>
      <c r="L6858" s="355"/>
      <c r="M6858" s="355"/>
    </row>
    <row r="6859" spans="5:13">
      <c r="E6859" s="355"/>
      <c r="F6859" s="355"/>
      <c r="G6859" s="355"/>
      <c r="H6859" s="355"/>
      <c r="I6859" s="355"/>
      <c r="J6859" s="355"/>
      <c r="K6859" s="355"/>
      <c r="L6859" s="355"/>
      <c r="M6859" s="355"/>
    </row>
    <row r="6860" spans="5:13">
      <c r="E6860" s="355"/>
      <c r="F6860" s="355"/>
      <c r="G6860" s="355"/>
      <c r="H6860" s="355"/>
      <c r="I6860" s="355"/>
      <c r="J6860" s="355"/>
      <c r="K6860" s="355"/>
      <c r="L6860" s="355"/>
      <c r="M6860" s="355"/>
    </row>
    <row r="6861" spans="5:13">
      <c r="E6861" s="355"/>
      <c r="F6861" s="355"/>
      <c r="G6861" s="355"/>
      <c r="H6861" s="355"/>
      <c r="I6861" s="355"/>
      <c r="J6861" s="355"/>
      <c r="K6861" s="355"/>
      <c r="L6861" s="355"/>
      <c r="M6861" s="355"/>
    </row>
    <row r="6862" spans="5:13">
      <c r="E6862" s="355"/>
      <c r="F6862" s="355"/>
      <c r="G6862" s="355"/>
      <c r="H6862" s="355"/>
      <c r="I6862" s="355"/>
      <c r="J6862" s="355"/>
      <c r="K6862" s="355"/>
      <c r="L6862" s="355"/>
      <c r="M6862" s="355"/>
    </row>
    <row r="6863" spans="5:13">
      <c r="E6863" s="355"/>
      <c r="F6863" s="355"/>
      <c r="G6863" s="355"/>
      <c r="H6863" s="355"/>
      <c r="I6863" s="355"/>
      <c r="J6863" s="355"/>
      <c r="K6863" s="355"/>
      <c r="L6863" s="355"/>
      <c r="M6863" s="355"/>
    </row>
    <row r="6864" spans="5:13">
      <c r="E6864" s="355"/>
      <c r="F6864" s="355"/>
      <c r="G6864" s="355"/>
      <c r="H6864" s="355"/>
      <c r="I6864" s="355"/>
      <c r="J6864" s="355"/>
      <c r="K6864" s="355"/>
      <c r="L6864" s="355"/>
      <c r="M6864" s="355"/>
    </row>
    <row r="6865" spans="5:13">
      <c r="E6865" s="355"/>
      <c r="F6865" s="355"/>
      <c r="G6865" s="355"/>
      <c r="H6865" s="355"/>
      <c r="I6865" s="355"/>
      <c r="J6865" s="355"/>
      <c r="K6865" s="355"/>
      <c r="L6865" s="355"/>
      <c r="M6865" s="355"/>
    </row>
    <row r="6866" spans="5:13">
      <c r="E6866" s="355"/>
      <c r="F6866" s="355"/>
      <c r="G6866" s="355"/>
      <c r="H6866" s="355"/>
      <c r="I6866" s="355"/>
      <c r="J6866" s="355"/>
      <c r="K6866" s="355"/>
      <c r="L6866" s="355"/>
      <c r="M6866" s="355"/>
    </row>
    <row r="6867" spans="5:13">
      <c r="E6867" s="355"/>
      <c r="F6867" s="355"/>
      <c r="G6867" s="355"/>
      <c r="H6867" s="355"/>
      <c r="I6867" s="355"/>
      <c r="J6867" s="355"/>
      <c r="K6867" s="355"/>
      <c r="L6867" s="355"/>
      <c r="M6867" s="355"/>
    </row>
    <row r="6868" spans="5:13">
      <c r="E6868" s="355"/>
      <c r="F6868" s="355"/>
      <c r="G6868" s="355"/>
      <c r="H6868" s="355"/>
      <c r="I6868" s="355"/>
      <c r="J6868" s="355"/>
      <c r="K6868" s="355"/>
      <c r="L6868" s="355"/>
      <c r="M6868" s="355"/>
    </row>
    <row r="6869" spans="5:13">
      <c r="E6869" s="355"/>
      <c r="F6869" s="355"/>
      <c r="G6869" s="355"/>
      <c r="H6869" s="355"/>
      <c r="I6869" s="355"/>
      <c r="J6869" s="355"/>
      <c r="K6869" s="355"/>
      <c r="L6869" s="355"/>
      <c r="M6869" s="355"/>
    </row>
    <row r="6870" spans="5:13">
      <c r="E6870" s="355"/>
      <c r="F6870" s="355"/>
      <c r="G6870" s="355"/>
      <c r="H6870" s="355"/>
      <c r="I6870" s="355"/>
      <c r="J6870" s="355"/>
      <c r="K6870" s="355"/>
      <c r="L6870" s="355"/>
      <c r="M6870" s="355"/>
    </row>
    <row r="6871" spans="5:13">
      <c r="E6871" s="355"/>
      <c r="F6871" s="355"/>
      <c r="G6871" s="355"/>
      <c r="H6871" s="355"/>
      <c r="I6871" s="355"/>
      <c r="J6871" s="355"/>
      <c r="K6871" s="355"/>
      <c r="L6871" s="355"/>
      <c r="M6871" s="355"/>
    </row>
    <row r="6872" spans="5:13">
      <c r="E6872" s="355"/>
      <c r="F6872" s="355"/>
      <c r="G6872" s="355"/>
      <c r="H6872" s="355"/>
      <c r="I6872" s="355"/>
      <c r="J6872" s="355"/>
      <c r="K6872" s="355"/>
      <c r="L6872" s="355"/>
      <c r="M6872" s="355"/>
    </row>
    <row r="6873" spans="5:13">
      <c r="E6873" s="355"/>
      <c r="F6873" s="355"/>
      <c r="G6873" s="355"/>
      <c r="H6873" s="355"/>
      <c r="I6873" s="355"/>
      <c r="J6873" s="355"/>
      <c r="K6873" s="355"/>
      <c r="L6873" s="355"/>
      <c r="M6873" s="355"/>
    </row>
    <row r="6874" spans="5:13">
      <c r="E6874" s="355"/>
      <c r="F6874" s="355"/>
      <c r="G6874" s="355"/>
      <c r="H6874" s="355"/>
      <c r="I6874" s="355"/>
      <c r="J6874" s="355"/>
      <c r="K6874" s="355"/>
      <c r="L6874" s="355"/>
      <c r="M6874" s="355"/>
    </row>
    <row r="6875" spans="5:13">
      <c r="E6875" s="355"/>
      <c r="F6875" s="355"/>
      <c r="G6875" s="355"/>
      <c r="H6875" s="355"/>
      <c r="I6875" s="355"/>
      <c r="J6875" s="355"/>
      <c r="K6875" s="355"/>
      <c r="L6875" s="355"/>
      <c r="M6875" s="355"/>
    </row>
    <row r="6876" spans="5:13">
      <c r="E6876" s="355"/>
      <c r="F6876" s="355"/>
      <c r="G6876" s="355"/>
      <c r="H6876" s="355"/>
      <c r="I6876" s="355"/>
      <c r="J6876" s="355"/>
      <c r="K6876" s="355"/>
      <c r="L6876" s="355"/>
      <c r="M6876" s="355"/>
    </row>
    <row r="6877" spans="5:13">
      <c r="E6877" s="355"/>
      <c r="F6877" s="355"/>
      <c r="G6877" s="355"/>
      <c r="H6877" s="355"/>
      <c r="I6877" s="355"/>
      <c r="J6877" s="355"/>
      <c r="K6877" s="355"/>
      <c r="L6877" s="355"/>
      <c r="M6877" s="355"/>
    </row>
    <row r="6878" spans="5:13">
      <c r="E6878" s="355"/>
      <c r="F6878" s="355"/>
      <c r="G6878" s="355"/>
      <c r="H6878" s="355"/>
      <c r="I6878" s="355"/>
      <c r="J6878" s="355"/>
      <c r="K6878" s="355"/>
      <c r="L6878" s="355"/>
      <c r="M6878" s="355"/>
    </row>
    <row r="6879" spans="5:13">
      <c r="E6879" s="355"/>
      <c r="F6879" s="355"/>
      <c r="G6879" s="355"/>
      <c r="H6879" s="355"/>
      <c r="I6879" s="355"/>
      <c r="J6879" s="355"/>
      <c r="K6879" s="355"/>
      <c r="L6879" s="355"/>
      <c r="M6879" s="355"/>
    </row>
    <row r="6880" spans="5:13">
      <c r="E6880" s="355"/>
      <c r="F6880" s="355"/>
      <c r="G6880" s="355"/>
      <c r="H6880" s="355"/>
      <c r="I6880" s="355"/>
      <c r="J6880" s="355"/>
      <c r="K6880" s="355"/>
      <c r="L6880" s="355"/>
      <c r="M6880" s="355"/>
    </row>
    <row r="6881" spans="5:13">
      <c r="E6881" s="355"/>
      <c r="F6881" s="355"/>
      <c r="G6881" s="355"/>
      <c r="H6881" s="355"/>
      <c r="I6881" s="355"/>
      <c r="J6881" s="355"/>
      <c r="K6881" s="355"/>
      <c r="L6881" s="355"/>
      <c r="M6881" s="355"/>
    </row>
    <row r="6882" spans="5:13">
      <c r="E6882" s="355"/>
      <c r="F6882" s="355"/>
      <c r="G6882" s="355"/>
      <c r="H6882" s="355"/>
      <c r="I6882" s="355"/>
      <c r="J6882" s="355"/>
      <c r="K6882" s="355"/>
      <c r="L6882" s="355"/>
      <c r="M6882" s="355"/>
    </row>
    <row r="6883" spans="5:13">
      <c r="E6883" s="355"/>
      <c r="F6883" s="355"/>
      <c r="G6883" s="355"/>
      <c r="H6883" s="355"/>
      <c r="I6883" s="355"/>
      <c r="J6883" s="355"/>
      <c r="K6883" s="355"/>
      <c r="L6883" s="355"/>
      <c r="M6883" s="355"/>
    </row>
    <row r="6884" spans="5:13">
      <c r="E6884" s="355"/>
      <c r="F6884" s="355"/>
      <c r="G6884" s="355"/>
      <c r="H6884" s="355"/>
      <c r="I6884" s="355"/>
      <c r="J6884" s="355"/>
      <c r="K6884" s="355"/>
      <c r="L6884" s="355"/>
      <c r="M6884" s="355"/>
    </row>
    <row r="6885" spans="5:13">
      <c r="E6885" s="355"/>
      <c r="F6885" s="355"/>
      <c r="G6885" s="355"/>
      <c r="H6885" s="355"/>
      <c r="I6885" s="355"/>
      <c r="J6885" s="355"/>
      <c r="K6885" s="355"/>
      <c r="L6885" s="355"/>
      <c r="M6885" s="355"/>
    </row>
    <row r="6886" spans="5:13">
      <c r="E6886" s="355"/>
      <c r="F6886" s="355"/>
      <c r="G6886" s="355"/>
      <c r="H6886" s="355"/>
      <c r="I6886" s="355"/>
      <c r="J6886" s="355"/>
      <c r="K6886" s="355"/>
      <c r="L6886" s="355"/>
      <c r="M6886" s="355"/>
    </row>
    <row r="6887" spans="5:13">
      <c r="E6887" s="355"/>
      <c r="F6887" s="355"/>
      <c r="G6887" s="355"/>
      <c r="H6887" s="355"/>
      <c r="I6887" s="355"/>
      <c r="J6887" s="355"/>
      <c r="K6887" s="355"/>
      <c r="L6887" s="355"/>
      <c r="M6887" s="355"/>
    </row>
    <row r="6888" spans="5:13">
      <c r="E6888" s="355"/>
      <c r="F6888" s="355"/>
      <c r="G6888" s="355"/>
      <c r="H6888" s="355"/>
      <c r="I6888" s="355"/>
      <c r="J6888" s="355"/>
      <c r="K6888" s="355"/>
      <c r="L6888" s="355"/>
      <c r="M6888" s="355"/>
    </row>
    <row r="6889" spans="5:13">
      <c r="E6889" s="355"/>
      <c r="F6889" s="355"/>
      <c r="G6889" s="355"/>
      <c r="H6889" s="355"/>
      <c r="I6889" s="355"/>
      <c r="J6889" s="355"/>
      <c r="K6889" s="355"/>
      <c r="L6889" s="355"/>
      <c r="M6889" s="355"/>
    </row>
    <row r="6890" spans="5:13">
      <c r="E6890" s="355"/>
      <c r="F6890" s="355"/>
      <c r="G6890" s="355"/>
      <c r="H6890" s="355"/>
      <c r="I6890" s="355"/>
      <c r="J6890" s="355"/>
      <c r="K6890" s="355"/>
      <c r="L6890" s="355"/>
      <c r="M6890" s="355"/>
    </row>
    <row r="6891" spans="5:13">
      <c r="E6891" s="355"/>
      <c r="F6891" s="355"/>
      <c r="G6891" s="355"/>
      <c r="H6891" s="355"/>
      <c r="I6891" s="355"/>
      <c r="J6891" s="355"/>
      <c r="K6891" s="355"/>
      <c r="L6891" s="355"/>
      <c r="M6891" s="355"/>
    </row>
    <row r="6892" spans="5:13">
      <c r="E6892" s="355"/>
      <c r="F6892" s="355"/>
      <c r="G6892" s="355"/>
      <c r="H6892" s="355"/>
      <c r="I6892" s="355"/>
      <c r="J6892" s="355"/>
      <c r="K6892" s="355"/>
      <c r="L6892" s="355"/>
      <c r="M6892" s="355"/>
    </row>
    <row r="6893" spans="5:13">
      <c r="E6893" s="355"/>
      <c r="F6893" s="355"/>
      <c r="G6893" s="355"/>
      <c r="H6893" s="355"/>
      <c r="I6893" s="355"/>
      <c r="J6893" s="355"/>
      <c r="K6893" s="355"/>
      <c r="L6893" s="355"/>
      <c r="M6893" s="355"/>
    </row>
    <row r="6894" spans="5:13">
      <c r="E6894" s="355"/>
      <c r="F6894" s="355"/>
      <c r="G6894" s="355"/>
      <c r="H6894" s="355"/>
      <c r="I6894" s="355"/>
      <c r="J6894" s="355"/>
      <c r="K6894" s="355"/>
      <c r="L6894" s="355"/>
      <c r="M6894" s="355"/>
    </row>
    <row r="6895" spans="5:13">
      <c r="E6895" s="355"/>
      <c r="F6895" s="355"/>
      <c r="G6895" s="355"/>
      <c r="H6895" s="355"/>
      <c r="I6895" s="355"/>
      <c r="J6895" s="355"/>
      <c r="K6895" s="355"/>
      <c r="L6895" s="355"/>
      <c r="M6895" s="355"/>
    </row>
    <row r="6896" spans="5:13">
      <c r="E6896" s="355"/>
      <c r="F6896" s="355"/>
      <c r="G6896" s="355"/>
      <c r="H6896" s="355"/>
      <c r="I6896" s="355"/>
      <c r="J6896" s="355"/>
      <c r="K6896" s="355"/>
      <c r="L6896" s="355"/>
      <c r="M6896" s="355"/>
    </row>
    <row r="6897" spans="5:13">
      <c r="E6897" s="355"/>
      <c r="F6897" s="355"/>
      <c r="G6897" s="355"/>
      <c r="H6897" s="355"/>
      <c r="I6897" s="355"/>
      <c r="J6897" s="355"/>
      <c r="K6897" s="355"/>
      <c r="L6897" s="355"/>
      <c r="M6897" s="355"/>
    </row>
    <row r="6898" spans="5:13">
      <c r="E6898" s="355"/>
      <c r="F6898" s="355"/>
      <c r="G6898" s="355"/>
      <c r="H6898" s="355"/>
      <c r="I6898" s="355"/>
      <c r="J6898" s="355"/>
      <c r="K6898" s="355"/>
      <c r="L6898" s="355"/>
      <c r="M6898" s="355"/>
    </row>
    <row r="6899" spans="5:13">
      <c r="E6899" s="355"/>
      <c r="F6899" s="355"/>
      <c r="G6899" s="355"/>
      <c r="H6899" s="355"/>
      <c r="I6899" s="355"/>
      <c r="J6899" s="355"/>
      <c r="K6899" s="355"/>
      <c r="L6899" s="355"/>
      <c r="M6899" s="355"/>
    </row>
    <row r="6900" spans="5:13">
      <c r="E6900" s="355"/>
      <c r="F6900" s="355"/>
      <c r="G6900" s="355"/>
      <c r="H6900" s="355"/>
      <c r="I6900" s="355"/>
      <c r="J6900" s="355"/>
      <c r="K6900" s="355"/>
      <c r="L6900" s="355"/>
      <c r="M6900" s="355"/>
    </row>
    <row r="6901" spans="5:13">
      <c r="E6901" s="355"/>
      <c r="F6901" s="355"/>
      <c r="G6901" s="355"/>
      <c r="H6901" s="355"/>
      <c r="I6901" s="355"/>
      <c r="J6901" s="355"/>
      <c r="K6901" s="355"/>
      <c r="L6901" s="355"/>
      <c r="M6901" s="355"/>
    </row>
    <row r="6902" spans="5:13">
      <c r="E6902" s="355"/>
      <c r="F6902" s="355"/>
      <c r="G6902" s="355"/>
      <c r="H6902" s="355"/>
      <c r="I6902" s="355"/>
      <c r="J6902" s="355"/>
      <c r="K6902" s="355"/>
      <c r="L6902" s="355"/>
      <c r="M6902" s="355"/>
    </row>
    <row r="6903" spans="5:13">
      <c r="E6903" s="355"/>
      <c r="F6903" s="355"/>
      <c r="G6903" s="355"/>
      <c r="H6903" s="355"/>
      <c r="I6903" s="355"/>
      <c r="J6903" s="355"/>
      <c r="K6903" s="355"/>
      <c r="L6903" s="355"/>
      <c r="M6903" s="355"/>
    </row>
    <row r="6904" spans="5:13">
      <c r="E6904" s="355"/>
      <c r="F6904" s="355"/>
      <c r="G6904" s="355"/>
      <c r="H6904" s="355"/>
      <c r="I6904" s="355"/>
      <c r="J6904" s="355"/>
      <c r="K6904" s="355"/>
      <c r="L6904" s="355"/>
      <c r="M6904" s="355"/>
    </row>
    <row r="6905" spans="5:13">
      <c r="E6905" s="355"/>
      <c r="F6905" s="355"/>
      <c r="G6905" s="355"/>
      <c r="H6905" s="355"/>
      <c r="I6905" s="355"/>
      <c r="J6905" s="355"/>
      <c r="K6905" s="355"/>
      <c r="L6905" s="355"/>
      <c r="M6905" s="355"/>
    </row>
    <row r="6906" spans="5:13">
      <c r="E6906" s="355"/>
      <c r="F6906" s="355"/>
      <c r="G6906" s="355"/>
      <c r="H6906" s="355"/>
      <c r="I6906" s="355"/>
      <c r="J6906" s="355"/>
      <c r="K6906" s="355"/>
      <c r="L6906" s="355"/>
      <c r="M6906" s="355"/>
    </row>
    <row r="6907" spans="5:13">
      <c r="E6907" s="355"/>
      <c r="F6907" s="355"/>
      <c r="G6907" s="355"/>
      <c r="H6907" s="355"/>
      <c r="I6907" s="355"/>
      <c r="J6907" s="355"/>
      <c r="K6907" s="355"/>
      <c r="L6907" s="355"/>
      <c r="M6907" s="355"/>
    </row>
    <row r="6908" spans="5:13">
      <c r="E6908" s="355"/>
      <c r="F6908" s="355"/>
      <c r="G6908" s="355"/>
      <c r="H6908" s="355"/>
      <c r="I6908" s="355"/>
      <c r="J6908" s="355"/>
      <c r="K6908" s="355"/>
      <c r="L6908" s="355"/>
      <c r="M6908" s="355"/>
    </row>
    <row r="6909" spans="5:13">
      <c r="E6909" s="355"/>
      <c r="F6909" s="355"/>
      <c r="G6909" s="355"/>
      <c r="H6909" s="355"/>
      <c r="I6909" s="355"/>
      <c r="J6909" s="355"/>
      <c r="K6909" s="355"/>
      <c r="L6909" s="355"/>
      <c r="M6909" s="355"/>
    </row>
    <row r="6910" spans="5:13">
      <c r="E6910" s="355"/>
      <c r="F6910" s="355"/>
      <c r="G6910" s="355"/>
      <c r="H6910" s="355"/>
      <c r="I6910" s="355"/>
      <c r="J6910" s="355"/>
      <c r="K6910" s="355"/>
      <c r="L6910" s="355"/>
      <c r="M6910" s="355"/>
    </row>
    <row r="6911" spans="5:13">
      <c r="E6911" s="355"/>
      <c r="F6911" s="355"/>
      <c r="G6911" s="355"/>
      <c r="H6911" s="355"/>
      <c r="I6911" s="355"/>
      <c r="J6911" s="355"/>
      <c r="K6911" s="355"/>
      <c r="L6911" s="355"/>
      <c r="M6911" s="355"/>
    </row>
    <row r="6912" spans="5:13">
      <c r="E6912" s="355"/>
      <c r="F6912" s="355"/>
      <c r="G6912" s="355"/>
      <c r="H6912" s="355"/>
      <c r="I6912" s="355"/>
      <c r="J6912" s="355"/>
      <c r="K6912" s="355"/>
      <c r="L6912" s="355"/>
      <c r="M6912" s="355"/>
    </row>
    <row r="6913" spans="5:13">
      <c r="E6913" s="355"/>
      <c r="F6913" s="355"/>
      <c r="G6913" s="355"/>
      <c r="H6913" s="355"/>
      <c r="I6913" s="355"/>
      <c r="J6913" s="355"/>
      <c r="K6913" s="355"/>
      <c r="L6913" s="355"/>
      <c r="M6913" s="355"/>
    </row>
    <row r="6914" spans="5:13">
      <c r="E6914" s="355"/>
      <c r="F6914" s="355"/>
      <c r="G6914" s="355"/>
      <c r="H6914" s="355"/>
      <c r="I6914" s="355"/>
      <c r="J6914" s="355"/>
      <c r="K6914" s="355"/>
      <c r="L6914" s="355"/>
      <c r="M6914" s="355"/>
    </row>
    <row r="6915" spans="5:13">
      <c r="E6915" s="355"/>
      <c r="F6915" s="355"/>
      <c r="G6915" s="355"/>
      <c r="H6915" s="355"/>
      <c r="I6915" s="355"/>
      <c r="J6915" s="355"/>
      <c r="K6915" s="355"/>
      <c r="L6915" s="355"/>
      <c r="M6915" s="355"/>
    </row>
    <row r="6916" spans="5:13">
      <c r="E6916" s="355"/>
      <c r="F6916" s="355"/>
      <c r="G6916" s="355"/>
      <c r="H6916" s="355"/>
      <c r="I6916" s="355"/>
      <c r="J6916" s="355"/>
      <c r="K6916" s="355"/>
      <c r="L6916" s="355"/>
      <c r="M6916" s="355"/>
    </row>
    <row r="6917" spans="5:13">
      <c r="E6917" s="355"/>
      <c r="F6917" s="355"/>
      <c r="G6917" s="355"/>
      <c r="H6917" s="355"/>
      <c r="I6917" s="355"/>
      <c r="J6917" s="355"/>
      <c r="K6917" s="355"/>
      <c r="L6917" s="355"/>
      <c r="M6917" s="355"/>
    </row>
    <row r="6918" spans="5:13">
      <c r="E6918" s="355"/>
      <c r="F6918" s="355"/>
      <c r="G6918" s="355"/>
      <c r="H6918" s="355"/>
      <c r="I6918" s="355"/>
      <c r="J6918" s="355"/>
      <c r="K6918" s="355"/>
      <c r="L6918" s="355"/>
      <c r="M6918" s="355"/>
    </row>
    <row r="6919" spans="5:13">
      <c r="E6919" s="355"/>
      <c r="F6919" s="355"/>
      <c r="G6919" s="355"/>
      <c r="H6919" s="355"/>
      <c r="I6919" s="355"/>
      <c r="J6919" s="355"/>
      <c r="K6919" s="355"/>
      <c r="L6919" s="355"/>
      <c r="M6919" s="355"/>
    </row>
    <row r="6920" spans="5:13">
      <c r="E6920" s="355"/>
      <c r="F6920" s="355"/>
      <c r="G6920" s="355"/>
      <c r="H6920" s="355"/>
      <c r="I6920" s="355"/>
      <c r="J6920" s="355"/>
      <c r="K6920" s="355"/>
      <c r="L6920" s="355"/>
      <c r="M6920" s="355"/>
    </row>
    <row r="6921" spans="5:13">
      <c r="E6921" s="355"/>
      <c r="F6921" s="355"/>
      <c r="G6921" s="355"/>
      <c r="H6921" s="355"/>
      <c r="I6921" s="355"/>
      <c r="J6921" s="355"/>
      <c r="K6921" s="355"/>
      <c r="L6921" s="355"/>
      <c r="M6921" s="355"/>
    </row>
    <row r="6922" spans="5:13">
      <c r="E6922" s="355"/>
      <c r="F6922" s="355"/>
      <c r="G6922" s="355"/>
      <c r="H6922" s="355"/>
      <c r="I6922" s="355"/>
      <c r="J6922" s="355"/>
      <c r="K6922" s="355"/>
      <c r="L6922" s="355"/>
      <c r="M6922" s="355"/>
    </row>
    <row r="6923" spans="5:13">
      <c r="E6923" s="355"/>
      <c r="F6923" s="355"/>
      <c r="G6923" s="355"/>
      <c r="H6923" s="355"/>
      <c r="I6923" s="355"/>
      <c r="J6923" s="355"/>
      <c r="K6923" s="355"/>
      <c r="L6923" s="355"/>
      <c r="M6923" s="355"/>
    </row>
    <row r="6924" spans="5:13">
      <c r="E6924" s="355"/>
      <c r="F6924" s="355"/>
      <c r="G6924" s="355"/>
      <c r="H6924" s="355"/>
      <c r="I6924" s="355"/>
      <c r="J6924" s="355"/>
      <c r="K6924" s="355"/>
      <c r="L6924" s="355"/>
      <c r="M6924" s="355"/>
    </row>
    <row r="6925" spans="5:13">
      <c r="E6925" s="355"/>
      <c r="F6925" s="355"/>
      <c r="G6925" s="355"/>
      <c r="H6925" s="355"/>
      <c r="I6925" s="355"/>
      <c r="J6925" s="355"/>
      <c r="K6925" s="355"/>
      <c r="L6925" s="355"/>
      <c r="M6925" s="355"/>
    </row>
    <row r="6926" spans="5:13">
      <c r="E6926" s="355"/>
      <c r="F6926" s="355"/>
      <c r="G6926" s="355"/>
      <c r="H6926" s="355"/>
      <c r="I6926" s="355"/>
      <c r="J6926" s="355"/>
      <c r="K6926" s="355"/>
      <c r="L6926" s="355"/>
      <c r="M6926" s="355"/>
    </row>
    <row r="6927" spans="5:13">
      <c r="E6927" s="355"/>
      <c r="F6927" s="355"/>
      <c r="G6927" s="355"/>
      <c r="H6927" s="355"/>
      <c r="I6927" s="355"/>
      <c r="J6927" s="355"/>
      <c r="K6927" s="355"/>
      <c r="L6927" s="355"/>
      <c r="M6927" s="355"/>
    </row>
    <row r="6928" spans="5:13">
      <c r="E6928" s="355"/>
      <c r="F6928" s="355"/>
      <c r="G6928" s="355"/>
      <c r="H6928" s="355"/>
      <c r="I6928" s="355"/>
      <c r="J6928" s="355"/>
      <c r="K6928" s="355"/>
      <c r="L6928" s="355"/>
      <c r="M6928" s="355"/>
    </row>
    <row r="6929" spans="5:13">
      <c r="E6929" s="355"/>
      <c r="F6929" s="355"/>
      <c r="G6929" s="355"/>
      <c r="H6929" s="355"/>
      <c r="I6929" s="355"/>
      <c r="J6929" s="355"/>
      <c r="K6929" s="355"/>
      <c r="L6929" s="355"/>
      <c r="M6929" s="355"/>
    </row>
    <row r="6930" spans="5:13">
      <c r="E6930" s="355"/>
      <c r="F6930" s="355"/>
      <c r="G6930" s="355"/>
      <c r="H6930" s="355"/>
      <c r="I6930" s="355"/>
      <c r="J6930" s="355"/>
      <c r="K6930" s="355"/>
      <c r="L6930" s="355"/>
      <c r="M6930" s="355"/>
    </row>
    <row r="6931" spans="5:13">
      <c r="E6931" s="355"/>
      <c r="F6931" s="355"/>
      <c r="G6931" s="355"/>
      <c r="H6931" s="355"/>
      <c r="I6931" s="355"/>
      <c r="J6931" s="355"/>
      <c r="K6931" s="355"/>
      <c r="L6931" s="355"/>
      <c r="M6931" s="355"/>
    </row>
    <row r="6932" spans="5:13">
      <c r="E6932" s="355"/>
      <c r="F6932" s="355"/>
      <c r="G6932" s="355"/>
      <c r="H6932" s="355"/>
      <c r="I6932" s="355"/>
      <c r="J6932" s="355"/>
      <c r="K6932" s="355"/>
      <c r="L6932" s="355"/>
      <c r="M6932" s="355"/>
    </row>
    <row r="6933" spans="5:13">
      <c r="E6933" s="355"/>
      <c r="F6933" s="355"/>
      <c r="G6933" s="355"/>
      <c r="H6933" s="355"/>
      <c r="I6933" s="355"/>
      <c r="J6933" s="355"/>
      <c r="K6933" s="355"/>
      <c r="L6933" s="355"/>
      <c r="M6933" s="355"/>
    </row>
    <row r="6934" spans="5:13">
      <c r="E6934" s="355"/>
      <c r="F6934" s="355"/>
      <c r="G6934" s="355"/>
      <c r="H6934" s="355"/>
      <c r="I6934" s="355"/>
      <c r="J6934" s="355"/>
      <c r="K6934" s="355"/>
      <c r="L6934" s="355"/>
      <c r="M6934" s="355"/>
    </row>
    <row r="6935" spans="5:13">
      <c r="E6935" s="355"/>
      <c r="F6935" s="355"/>
      <c r="G6935" s="355"/>
      <c r="H6935" s="355"/>
      <c r="I6935" s="355"/>
      <c r="J6935" s="355"/>
      <c r="K6935" s="355"/>
      <c r="L6935" s="355"/>
      <c r="M6935" s="355"/>
    </row>
    <row r="6936" spans="5:13">
      <c r="E6936" s="355"/>
      <c r="F6936" s="355"/>
      <c r="G6936" s="355"/>
      <c r="H6936" s="355"/>
      <c r="I6936" s="355"/>
      <c r="J6936" s="355"/>
      <c r="K6936" s="355"/>
      <c r="L6936" s="355"/>
      <c r="M6936" s="355"/>
    </row>
    <row r="6937" spans="5:13">
      <c r="E6937" s="355"/>
      <c r="F6937" s="355"/>
      <c r="G6937" s="355"/>
      <c r="H6937" s="355"/>
      <c r="I6937" s="355"/>
      <c r="J6937" s="355"/>
      <c r="K6937" s="355"/>
      <c r="L6937" s="355"/>
      <c r="M6937" s="355"/>
    </row>
    <row r="6938" spans="5:13">
      <c r="E6938" s="355"/>
      <c r="F6938" s="355"/>
      <c r="G6938" s="355"/>
      <c r="H6938" s="355"/>
      <c r="I6938" s="355"/>
      <c r="J6938" s="355"/>
      <c r="K6938" s="355"/>
      <c r="L6938" s="355"/>
      <c r="M6938" s="355"/>
    </row>
    <row r="6939" spans="5:13">
      <c r="E6939" s="355"/>
      <c r="F6939" s="355"/>
      <c r="G6939" s="355"/>
      <c r="H6939" s="355"/>
      <c r="I6939" s="355"/>
      <c r="J6939" s="355"/>
      <c r="K6939" s="355"/>
      <c r="L6939" s="355"/>
      <c r="M6939" s="355"/>
    </row>
    <row r="6940" spans="5:13">
      <c r="E6940" s="355"/>
      <c r="F6940" s="355"/>
      <c r="G6940" s="355"/>
      <c r="H6940" s="355"/>
      <c r="I6940" s="355"/>
      <c r="J6940" s="355"/>
      <c r="K6940" s="355"/>
      <c r="L6940" s="355"/>
      <c r="M6940" s="355"/>
    </row>
    <row r="6941" spans="5:13">
      <c r="E6941" s="355"/>
      <c r="F6941" s="355"/>
      <c r="G6941" s="355"/>
      <c r="H6941" s="355"/>
      <c r="I6941" s="355"/>
      <c r="J6941" s="355"/>
      <c r="K6941" s="355"/>
      <c r="L6941" s="355"/>
      <c r="M6941" s="355"/>
    </row>
    <row r="6942" spans="5:13">
      <c r="E6942" s="355"/>
      <c r="F6942" s="355"/>
      <c r="G6942" s="355"/>
      <c r="H6942" s="355"/>
      <c r="I6942" s="355"/>
      <c r="J6942" s="355"/>
      <c r="K6942" s="355"/>
      <c r="L6942" s="355"/>
      <c r="M6942" s="355"/>
    </row>
    <row r="6943" spans="5:13">
      <c r="E6943" s="355"/>
      <c r="F6943" s="355"/>
      <c r="G6943" s="355"/>
      <c r="H6943" s="355"/>
      <c r="I6943" s="355"/>
      <c r="J6943" s="355"/>
      <c r="K6943" s="355"/>
      <c r="L6943" s="355"/>
      <c r="M6943" s="355"/>
    </row>
    <row r="6944" spans="5:13">
      <c r="E6944" s="355"/>
      <c r="F6944" s="355"/>
      <c r="G6944" s="355"/>
      <c r="H6944" s="355"/>
      <c r="I6944" s="355"/>
      <c r="J6944" s="355"/>
      <c r="K6944" s="355"/>
      <c r="L6944" s="355"/>
      <c r="M6944" s="355"/>
    </row>
    <row r="6945" spans="5:13">
      <c r="E6945" s="355"/>
      <c r="F6945" s="355"/>
      <c r="G6945" s="355"/>
      <c r="H6945" s="355"/>
      <c r="I6945" s="355"/>
      <c r="J6945" s="355"/>
      <c r="K6945" s="355"/>
      <c r="L6945" s="355"/>
      <c r="M6945" s="355"/>
    </row>
    <row r="6946" spans="5:13">
      <c r="E6946" s="355"/>
      <c r="F6946" s="355"/>
      <c r="G6946" s="355"/>
      <c r="H6946" s="355"/>
      <c r="I6946" s="355"/>
      <c r="J6946" s="355"/>
      <c r="K6946" s="355"/>
      <c r="L6946" s="355"/>
      <c r="M6946" s="355"/>
    </row>
    <row r="6947" spans="5:13">
      <c r="E6947" s="355"/>
      <c r="F6947" s="355"/>
      <c r="G6947" s="355"/>
      <c r="H6947" s="355"/>
      <c r="I6947" s="355"/>
      <c r="J6947" s="355"/>
      <c r="K6947" s="355"/>
      <c r="L6947" s="355"/>
      <c r="M6947" s="355"/>
    </row>
    <row r="6948" spans="5:13">
      <c r="E6948" s="355"/>
      <c r="F6948" s="355"/>
      <c r="G6948" s="355"/>
      <c r="H6948" s="355"/>
      <c r="I6948" s="355"/>
      <c r="J6948" s="355"/>
      <c r="K6948" s="355"/>
      <c r="L6948" s="355"/>
      <c r="M6948" s="355"/>
    </row>
    <row r="6949" spans="5:13">
      <c r="E6949" s="355"/>
      <c r="F6949" s="355"/>
      <c r="G6949" s="355"/>
      <c r="H6949" s="355"/>
      <c r="I6949" s="355"/>
      <c r="J6949" s="355"/>
      <c r="K6949" s="355"/>
      <c r="L6949" s="355"/>
      <c r="M6949" s="355"/>
    </row>
    <row r="6950" spans="5:13">
      <c r="E6950" s="355"/>
      <c r="F6950" s="355"/>
      <c r="G6950" s="355"/>
      <c r="H6950" s="355"/>
      <c r="I6950" s="355"/>
      <c r="J6950" s="355"/>
      <c r="K6950" s="355"/>
      <c r="L6950" s="355"/>
      <c r="M6950" s="355"/>
    </row>
    <row r="6951" spans="5:13">
      <c r="E6951" s="355"/>
      <c r="F6951" s="355"/>
      <c r="G6951" s="355"/>
      <c r="H6951" s="355"/>
      <c r="I6951" s="355"/>
      <c r="J6951" s="355"/>
      <c r="K6951" s="355"/>
      <c r="L6951" s="355"/>
      <c r="M6951" s="355"/>
    </row>
    <row r="6952" spans="5:13">
      <c r="E6952" s="355"/>
      <c r="F6952" s="355"/>
      <c r="G6952" s="355"/>
      <c r="H6952" s="355"/>
      <c r="I6952" s="355"/>
      <c r="J6952" s="355"/>
      <c r="K6952" s="355"/>
      <c r="L6952" s="355"/>
      <c r="M6952" s="355"/>
    </row>
    <row r="6953" spans="5:13">
      <c r="E6953" s="355"/>
      <c r="F6953" s="355"/>
      <c r="G6953" s="355"/>
      <c r="H6953" s="355"/>
      <c r="I6953" s="355"/>
      <c r="J6953" s="355"/>
      <c r="K6953" s="355"/>
      <c r="L6953" s="355"/>
      <c r="M6953" s="355"/>
    </row>
    <row r="6954" spans="5:13">
      <c r="E6954" s="355"/>
      <c r="F6954" s="355"/>
      <c r="G6954" s="355"/>
      <c r="H6954" s="355"/>
      <c r="I6954" s="355"/>
      <c r="J6954" s="355"/>
      <c r="K6954" s="355"/>
      <c r="L6954" s="355"/>
      <c r="M6954" s="355"/>
    </row>
    <row r="6955" spans="5:13">
      <c r="E6955" s="355"/>
      <c r="F6955" s="355"/>
      <c r="G6955" s="355"/>
      <c r="H6955" s="355"/>
      <c r="I6955" s="355"/>
      <c r="J6955" s="355"/>
      <c r="K6955" s="355"/>
      <c r="L6955" s="355"/>
      <c r="M6955" s="355"/>
    </row>
    <row r="6956" spans="5:13">
      <c r="E6956" s="355"/>
      <c r="F6956" s="355"/>
      <c r="G6956" s="355"/>
      <c r="H6956" s="355"/>
      <c r="I6956" s="355"/>
      <c r="J6956" s="355"/>
      <c r="K6956" s="355"/>
      <c r="L6956" s="355"/>
      <c r="M6956" s="355"/>
    </row>
    <row r="6957" spans="5:13">
      <c r="E6957" s="355"/>
      <c r="F6957" s="355"/>
      <c r="G6957" s="355"/>
      <c r="H6957" s="355"/>
      <c r="I6957" s="355"/>
      <c r="J6957" s="355"/>
      <c r="K6957" s="355"/>
      <c r="L6957" s="355"/>
      <c r="M6957" s="355"/>
    </row>
    <row r="6958" spans="5:13">
      <c r="E6958" s="355"/>
      <c r="F6958" s="355"/>
      <c r="G6958" s="355"/>
      <c r="H6958" s="355"/>
      <c r="I6958" s="355"/>
      <c r="J6958" s="355"/>
      <c r="K6958" s="355"/>
      <c r="L6958" s="355"/>
      <c r="M6958" s="355"/>
    </row>
    <row r="6959" spans="5:13">
      <c r="E6959" s="355"/>
      <c r="F6959" s="355"/>
      <c r="G6959" s="355"/>
      <c r="H6959" s="355"/>
      <c r="I6959" s="355"/>
      <c r="J6959" s="355"/>
      <c r="K6959" s="355"/>
      <c r="L6959" s="355"/>
      <c r="M6959" s="355"/>
    </row>
    <row r="6960" spans="5:13">
      <c r="E6960" s="355"/>
      <c r="F6960" s="355"/>
      <c r="G6960" s="355"/>
      <c r="H6960" s="355"/>
      <c r="I6960" s="355"/>
      <c r="J6960" s="355"/>
      <c r="K6960" s="355"/>
      <c r="L6960" s="355"/>
      <c r="M6960" s="355"/>
    </row>
    <row r="6961" spans="5:13">
      <c r="E6961" s="355"/>
      <c r="F6961" s="355"/>
      <c r="G6961" s="355"/>
      <c r="H6961" s="355"/>
      <c r="I6961" s="355"/>
      <c r="J6961" s="355"/>
      <c r="K6961" s="355"/>
      <c r="L6961" s="355"/>
      <c r="M6961" s="355"/>
    </row>
    <row r="6962" spans="5:13">
      <c r="E6962" s="355"/>
      <c r="F6962" s="355"/>
      <c r="G6962" s="355"/>
      <c r="H6962" s="355"/>
      <c r="I6962" s="355"/>
      <c r="J6962" s="355"/>
      <c r="K6962" s="355"/>
      <c r="L6962" s="355"/>
      <c r="M6962" s="355"/>
    </row>
    <row r="6963" spans="5:13">
      <c r="E6963" s="355"/>
      <c r="F6963" s="355"/>
      <c r="G6963" s="355"/>
      <c r="H6963" s="355"/>
      <c r="I6963" s="355"/>
      <c r="J6963" s="355"/>
      <c r="K6963" s="355"/>
      <c r="L6963" s="355"/>
      <c r="M6963" s="355"/>
    </row>
    <row r="6964" spans="5:13">
      <c r="E6964" s="355"/>
      <c r="F6964" s="355"/>
      <c r="G6964" s="355"/>
      <c r="H6964" s="355"/>
      <c r="I6964" s="355"/>
      <c r="J6964" s="355"/>
      <c r="K6964" s="355"/>
      <c r="L6964" s="355"/>
      <c r="M6964" s="355"/>
    </row>
    <row r="6965" spans="5:13">
      <c r="E6965" s="355"/>
      <c r="F6965" s="355"/>
      <c r="G6965" s="355"/>
      <c r="H6965" s="355"/>
      <c r="I6965" s="355"/>
      <c r="J6965" s="355"/>
      <c r="K6965" s="355"/>
      <c r="L6965" s="355"/>
      <c r="M6965" s="355"/>
    </row>
    <row r="6966" spans="5:13">
      <c r="E6966" s="355"/>
      <c r="F6966" s="355"/>
      <c r="G6966" s="355"/>
      <c r="H6966" s="355"/>
      <c r="I6966" s="355"/>
      <c r="J6966" s="355"/>
      <c r="K6966" s="355"/>
      <c r="L6966" s="355"/>
      <c r="M6966" s="355"/>
    </row>
    <row r="6967" spans="5:13">
      <c r="E6967" s="355"/>
      <c r="F6967" s="355"/>
      <c r="G6967" s="355"/>
      <c r="H6967" s="355"/>
      <c r="I6967" s="355"/>
      <c r="J6967" s="355"/>
      <c r="K6967" s="355"/>
      <c r="L6967" s="355"/>
      <c r="M6967" s="355"/>
    </row>
    <row r="6968" spans="5:13">
      <c r="E6968" s="355"/>
      <c r="F6968" s="355"/>
      <c r="G6968" s="355"/>
      <c r="H6968" s="355"/>
      <c r="I6968" s="355"/>
      <c r="J6968" s="355"/>
      <c r="K6968" s="355"/>
      <c r="L6968" s="355"/>
      <c r="M6968" s="355"/>
    </row>
    <row r="6969" spans="5:13">
      <c r="E6969" s="355"/>
      <c r="F6969" s="355"/>
      <c r="G6969" s="355"/>
      <c r="H6969" s="355"/>
      <c r="I6969" s="355"/>
      <c r="J6969" s="355"/>
      <c r="K6969" s="355"/>
      <c r="L6969" s="355"/>
      <c r="M6969" s="355"/>
    </row>
    <row r="6970" spans="5:13">
      <c r="E6970" s="355"/>
      <c r="F6970" s="355"/>
      <c r="G6970" s="355"/>
      <c r="H6970" s="355"/>
      <c r="I6970" s="355"/>
      <c r="J6970" s="355"/>
      <c r="K6970" s="355"/>
      <c r="L6970" s="355"/>
      <c r="M6970" s="355"/>
    </row>
    <row r="6971" spans="5:13">
      <c r="E6971" s="355"/>
      <c r="F6971" s="355"/>
      <c r="G6971" s="355"/>
      <c r="H6971" s="355"/>
      <c r="I6971" s="355"/>
      <c r="J6971" s="355"/>
      <c r="K6971" s="355"/>
      <c r="L6971" s="355"/>
      <c r="M6971" s="355"/>
    </row>
    <row r="6972" spans="5:13">
      <c r="E6972" s="355"/>
      <c r="F6972" s="355"/>
      <c r="G6972" s="355"/>
      <c r="H6972" s="355"/>
      <c r="I6972" s="355"/>
      <c r="J6972" s="355"/>
      <c r="K6972" s="355"/>
      <c r="L6972" s="355"/>
      <c r="M6972" s="355"/>
    </row>
    <row r="6973" spans="5:13">
      <c r="E6973" s="355"/>
      <c r="F6973" s="355"/>
      <c r="G6973" s="355"/>
      <c r="H6973" s="355"/>
      <c r="I6973" s="355"/>
      <c r="J6973" s="355"/>
      <c r="K6973" s="355"/>
      <c r="L6973" s="355"/>
      <c r="M6973" s="355"/>
    </row>
    <row r="6974" spans="5:13">
      <c r="E6974" s="355"/>
      <c r="F6974" s="355"/>
      <c r="G6974" s="355"/>
      <c r="H6974" s="355"/>
      <c r="I6974" s="355"/>
      <c r="J6974" s="355"/>
      <c r="K6974" s="355"/>
      <c r="L6974" s="355"/>
      <c r="M6974" s="355"/>
    </row>
    <row r="6975" spans="5:13">
      <c r="E6975" s="355"/>
      <c r="F6975" s="355"/>
      <c r="G6975" s="355"/>
      <c r="H6975" s="355"/>
      <c r="I6975" s="355"/>
      <c r="J6975" s="355"/>
      <c r="K6975" s="355"/>
      <c r="L6975" s="355"/>
      <c r="M6975" s="355"/>
    </row>
    <row r="6976" spans="5:13">
      <c r="E6976" s="355"/>
      <c r="F6976" s="355"/>
      <c r="G6976" s="355"/>
      <c r="H6976" s="355"/>
      <c r="I6976" s="355"/>
      <c r="J6976" s="355"/>
      <c r="K6976" s="355"/>
      <c r="L6976" s="355"/>
      <c r="M6976" s="355"/>
    </row>
    <row r="6977" spans="5:13">
      <c r="E6977" s="355"/>
      <c r="F6977" s="355"/>
      <c r="G6977" s="355"/>
      <c r="H6977" s="355"/>
      <c r="I6977" s="355"/>
      <c r="J6977" s="355"/>
      <c r="K6977" s="355"/>
      <c r="L6977" s="355"/>
      <c r="M6977" s="355"/>
    </row>
    <row r="6978" spans="5:13">
      <c r="E6978" s="355"/>
      <c r="F6978" s="355"/>
      <c r="G6978" s="355"/>
      <c r="H6978" s="355"/>
      <c r="I6978" s="355"/>
      <c r="J6978" s="355"/>
      <c r="K6978" s="355"/>
      <c r="L6978" s="355"/>
      <c r="M6978" s="355"/>
    </row>
    <row r="6979" spans="5:13">
      <c r="E6979" s="355"/>
      <c r="F6979" s="355"/>
      <c r="G6979" s="355"/>
      <c r="H6979" s="355"/>
      <c r="I6979" s="355"/>
      <c r="J6979" s="355"/>
      <c r="K6979" s="355"/>
      <c r="L6979" s="355"/>
      <c r="M6979" s="355"/>
    </row>
    <row r="6980" spans="5:13">
      <c r="E6980" s="355"/>
      <c r="F6980" s="355"/>
      <c r="G6980" s="355"/>
      <c r="H6980" s="355"/>
      <c r="I6980" s="355"/>
      <c r="J6980" s="355"/>
      <c r="K6980" s="355"/>
      <c r="L6980" s="355"/>
      <c r="M6980" s="355"/>
    </row>
    <row r="6981" spans="5:13">
      <c r="E6981" s="355"/>
      <c r="F6981" s="355"/>
      <c r="G6981" s="355"/>
      <c r="H6981" s="355"/>
      <c r="I6981" s="355"/>
      <c r="J6981" s="355"/>
      <c r="K6981" s="355"/>
      <c r="L6981" s="355"/>
      <c r="M6981" s="355"/>
    </row>
    <row r="6982" spans="5:13">
      <c r="E6982" s="355"/>
      <c r="F6982" s="355"/>
      <c r="G6982" s="355"/>
      <c r="H6982" s="355"/>
      <c r="I6982" s="355"/>
      <c r="J6982" s="355"/>
      <c r="K6982" s="355"/>
      <c r="L6982" s="355"/>
      <c r="M6982" s="355"/>
    </row>
    <row r="6983" spans="5:13">
      <c r="E6983" s="355"/>
      <c r="F6983" s="355"/>
      <c r="G6983" s="355"/>
      <c r="H6983" s="355"/>
      <c r="I6983" s="355"/>
      <c r="J6983" s="355"/>
      <c r="K6983" s="355"/>
      <c r="L6983" s="355"/>
      <c r="M6983" s="355"/>
    </row>
    <row r="6984" spans="5:13">
      <c r="E6984" s="355"/>
      <c r="F6984" s="355"/>
      <c r="G6984" s="355"/>
      <c r="H6984" s="355"/>
      <c r="I6984" s="355"/>
      <c r="J6984" s="355"/>
      <c r="K6984" s="355"/>
      <c r="L6984" s="355"/>
      <c r="M6984" s="355"/>
    </row>
    <row r="6985" spans="5:13">
      <c r="E6985" s="355"/>
      <c r="F6985" s="355"/>
      <c r="G6985" s="355"/>
      <c r="H6985" s="355"/>
      <c r="I6985" s="355"/>
      <c r="J6985" s="355"/>
      <c r="K6985" s="355"/>
      <c r="L6985" s="355"/>
      <c r="M6985" s="355"/>
    </row>
    <row r="6986" spans="5:13">
      <c r="E6986" s="355"/>
      <c r="F6986" s="355"/>
      <c r="G6986" s="355"/>
      <c r="H6986" s="355"/>
      <c r="I6986" s="355"/>
      <c r="J6986" s="355"/>
      <c r="K6986" s="355"/>
      <c r="L6986" s="355"/>
      <c r="M6986" s="355"/>
    </row>
    <row r="6987" spans="5:13">
      <c r="E6987" s="355"/>
      <c r="F6987" s="355"/>
      <c r="G6987" s="355"/>
      <c r="H6987" s="355"/>
      <c r="I6987" s="355"/>
      <c r="J6987" s="355"/>
      <c r="K6987" s="355"/>
      <c r="L6987" s="355"/>
      <c r="M6987" s="355"/>
    </row>
    <row r="6988" spans="5:13">
      <c r="E6988" s="355"/>
      <c r="F6988" s="355"/>
      <c r="G6988" s="355"/>
      <c r="H6988" s="355"/>
      <c r="I6988" s="355"/>
      <c r="J6988" s="355"/>
      <c r="K6988" s="355"/>
      <c r="L6988" s="355"/>
      <c r="M6988" s="355"/>
    </row>
    <row r="6989" spans="5:13">
      <c r="E6989" s="355"/>
      <c r="F6989" s="355"/>
      <c r="G6989" s="355"/>
      <c r="H6989" s="355"/>
      <c r="I6989" s="355"/>
      <c r="J6989" s="355"/>
      <c r="K6989" s="355"/>
      <c r="L6989" s="355"/>
      <c r="M6989" s="355"/>
    </row>
    <row r="6990" spans="5:13">
      <c r="E6990" s="355"/>
      <c r="F6990" s="355"/>
      <c r="G6990" s="355"/>
      <c r="H6990" s="355"/>
      <c r="I6990" s="355"/>
      <c r="J6990" s="355"/>
      <c r="K6990" s="355"/>
      <c r="L6990" s="355"/>
      <c r="M6990" s="355"/>
    </row>
    <row r="6991" spans="5:13">
      <c r="E6991" s="355"/>
      <c r="F6991" s="355"/>
      <c r="G6991" s="355"/>
      <c r="H6991" s="355"/>
      <c r="I6991" s="355"/>
      <c r="J6991" s="355"/>
      <c r="K6991" s="355"/>
      <c r="L6991" s="355"/>
      <c r="M6991" s="355"/>
    </row>
    <row r="6992" spans="5:13">
      <c r="E6992" s="355"/>
      <c r="F6992" s="355"/>
      <c r="G6992" s="355"/>
      <c r="H6992" s="355"/>
      <c r="I6992" s="355"/>
      <c r="J6992" s="355"/>
      <c r="K6992" s="355"/>
      <c r="L6992" s="355"/>
      <c r="M6992" s="355"/>
    </row>
    <row r="6993" spans="5:13">
      <c r="E6993" s="355"/>
      <c r="F6993" s="355"/>
      <c r="G6993" s="355"/>
      <c r="H6993" s="355"/>
      <c r="I6993" s="355"/>
      <c r="J6993" s="355"/>
      <c r="K6993" s="355"/>
      <c r="L6993" s="355"/>
      <c r="M6993" s="355"/>
    </row>
    <row r="6994" spans="5:13">
      <c r="E6994" s="355"/>
      <c r="F6994" s="355"/>
      <c r="G6994" s="355"/>
      <c r="H6994" s="355"/>
      <c r="I6994" s="355"/>
      <c r="J6994" s="355"/>
      <c r="K6994" s="355"/>
      <c r="L6994" s="355"/>
      <c r="M6994" s="355"/>
    </row>
    <row r="6995" spans="5:13">
      <c r="E6995" s="355"/>
      <c r="F6995" s="355"/>
      <c r="G6995" s="355"/>
      <c r="H6995" s="355"/>
      <c r="I6995" s="355"/>
      <c r="J6995" s="355"/>
      <c r="K6995" s="355"/>
      <c r="L6995" s="355"/>
      <c r="M6995" s="355"/>
    </row>
    <row r="6996" spans="5:13">
      <c r="E6996" s="355"/>
      <c r="F6996" s="355"/>
      <c r="G6996" s="355"/>
      <c r="H6996" s="355"/>
      <c r="I6996" s="355"/>
      <c r="J6996" s="355"/>
      <c r="K6996" s="355"/>
      <c r="L6996" s="355"/>
      <c r="M6996" s="355"/>
    </row>
    <row r="6997" spans="5:13">
      <c r="E6997" s="355"/>
      <c r="F6997" s="355"/>
      <c r="G6997" s="355"/>
      <c r="H6997" s="355"/>
      <c r="I6997" s="355"/>
      <c r="J6997" s="355"/>
      <c r="K6997" s="355"/>
      <c r="L6997" s="355"/>
      <c r="M6997" s="355"/>
    </row>
    <row r="6998" spans="5:13">
      <c r="E6998" s="355"/>
      <c r="F6998" s="355"/>
      <c r="G6998" s="355"/>
      <c r="H6998" s="355"/>
      <c r="I6998" s="355"/>
      <c r="J6998" s="355"/>
      <c r="K6998" s="355"/>
      <c r="L6998" s="355"/>
      <c r="M6998" s="355"/>
    </row>
    <row r="6999" spans="5:13">
      <c r="E6999" s="355"/>
      <c r="F6999" s="355"/>
      <c r="G6999" s="355"/>
      <c r="H6999" s="355"/>
      <c r="I6999" s="355"/>
      <c r="J6999" s="355"/>
      <c r="K6999" s="355"/>
      <c r="L6999" s="355"/>
      <c r="M6999" s="355"/>
    </row>
    <row r="7000" spans="5:13">
      <c r="E7000" s="355"/>
      <c r="F7000" s="355"/>
      <c r="G7000" s="355"/>
      <c r="H7000" s="355"/>
      <c r="I7000" s="355"/>
      <c r="J7000" s="355"/>
      <c r="K7000" s="355"/>
      <c r="L7000" s="355"/>
      <c r="M7000" s="355"/>
    </row>
    <row r="7001" spans="5:13">
      <c r="E7001" s="355"/>
      <c r="F7001" s="355"/>
      <c r="G7001" s="355"/>
      <c r="H7001" s="355"/>
      <c r="I7001" s="355"/>
      <c r="J7001" s="355"/>
      <c r="K7001" s="355"/>
      <c r="L7001" s="355"/>
      <c r="M7001" s="355"/>
    </row>
    <row r="7002" spans="5:13">
      <c r="E7002" s="355"/>
      <c r="F7002" s="355"/>
      <c r="G7002" s="355"/>
      <c r="H7002" s="355"/>
      <c r="I7002" s="355"/>
      <c r="J7002" s="355"/>
      <c r="K7002" s="355"/>
      <c r="L7002" s="355"/>
      <c r="M7002" s="355"/>
    </row>
    <row r="7003" spans="5:13">
      <c r="E7003" s="355"/>
      <c r="F7003" s="355"/>
      <c r="G7003" s="355"/>
      <c r="H7003" s="355"/>
      <c r="I7003" s="355"/>
      <c r="J7003" s="355"/>
      <c r="K7003" s="355"/>
      <c r="L7003" s="355"/>
      <c r="M7003" s="355"/>
    </row>
    <row r="7004" spans="5:13">
      <c r="E7004" s="355"/>
      <c r="F7004" s="355"/>
      <c r="G7004" s="355"/>
      <c r="H7004" s="355"/>
      <c r="I7004" s="355"/>
      <c r="J7004" s="355"/>
      <c r="K7004" s="355"/>
      <c r="L7004" s="355"/>
      <c r="M7004" s="355"/>
    </row>
    <row r="7005" spans="5:13">
      <c r="E7005" s="355"/>
      <c r="F7005" s="355"/>
      <c r="G7005" s="355"/>
      <c r="H7005" s="355"/>
      <c r="I7005" s="355"/>
      <c r="J7005" s="355"/>
      <c r="K7005" s="355"/>
      <c r="L7005" s="355"/>
      <c r="M7005" s="355"/>
    </row>
    <row r="7006" spans="5:13">
      <c r="E7006" s="355"/>
      <c r="F7006" s="355"/>
      <c r="G7006" s="355"/>
      <c r="H7006" s="355"/>
      <c r="I7006" s="355"/>
      <c r="J7006" s="355"/>
      <c r="K7006" s="355"/>
      <c r="L7006" s="355"/>
      <c r="M7006" s="355"/>
    </row>
    <row r="7007" spans="5:13">
      <c r="E7007" s="355"/>
      <c r="F7007" s="355"/>
      <c r="G7007" s="355"/>
      <c r="H7007" s="355"/>
      <c r="I7007" s="355"/>
      <c r="J7007" s="355"/>
      <c r="K7007" s="355"/>
      <c r="L7007" s="355"/>
      <c r="M7007" s="355"/>
    </row>
    <row r="7008" spans="5:13">
      <c r="E7008" s="355"/>
      <c r="F7008" s="355"/>
      <c r="G7008" s="355"/>
      <c r="H7008" s="355"/>
      <c r="I7008" s="355"/>
      <c r="J7008" s="355"/>
      <c r="K7008" s="355"/>
      <c r="L7008" s="355"/>
      <c r="M7008" s="355"/>
    </row>
    <row r="7009" spans="5:13">
      <c r="E7009" s="355"/>
      <c r="F7009" s="355"/>
      <c r="G7009" s="355"/>
      <c r="H7009" s="355"/>
      <c r="I7009" s="355"/>
      <c r="J7009" s="355"/>
      <c r="K7009" s="355"/>
      <c r="L7009" s="355"/>
      <c r="M7009" s="355"/>
    </row>
    <row r="7010" spans="5:13">
      <c r="E7010" s="355"/>
      <c r="F7010" s="355"/>
      <c r="G7010" s="355"/>
      <c r="H7010" s="355"/>
      <c r="I7010" s="355"/>
      <c r="J7010" s="355"/>
      <c r="K7010" s="355"/>
      <c r="L7010" s="355"/>
      <c r="M7010" s="355"/>
    </row>
    <row r="7011" spans="5:13">
      <c r="E7011" s="355"/>
      <c r="F7011" s="355"/>
      <c r="G7011" s="355"/>
      <c r="H7011" s="355"/>
      <c r="I7011" s="355"/>
      <c r="J7011" s="355"/>
      <c r="K7011" s="355"/>
      <c r="L7011" s="355"/>
      <c r="M7011" s="355"/>
    </row>
    <row r="7012" spans="5:13">
      <c r="E7012" s="355"/>
      <c r="F7012" s="355"/>
      <c r="G7012" s="355"/>
      <c r="H7012" s="355"/>
      <c r="I7012" s="355"/>
      <c r="J7012" s="355"/>
      <c r="K7012" s="355"/>
      <c r="L7012" s="355"/>
      <c r="M7012" s="355"/>
    </row>
    <row r="7013" spans="5:13">
      <c r="E7013" s="355"/>
      <c r="F7013" s="355"/>
      <c r="G7013" s="355"/>
      <c r="H7013" s="355"/>
      <c r="I7013" s="355"/>
      <c r="J7013" s="355"/>
      <c r="K7013" s="355"/>
      <c r="L7013" s="355"/>
      <c r="M7013" s="355"/>
    </row>
    <row r="7014" spans="5:13">
      <c r="E7014" s="355"/>
      <c r="F7014" s="355"/>
      <c r="G7014" s="355"/>
      <c r="H7014" s="355"/>
      <c r="I7014" s="355"/>
      <c r="J7014" s="355"/>
      <c r="K7014" s="355"/>
      <c r="L7014" s="355"/>
      <c r="M7014" s="355"/>
    </row>
    <row r="7015" spans="5:13">
      <c r="E7015" s="355"/>
      <c r="F7015" s="355"/>
      <c r="G7015" s="355"/>
      <c r="H7015" s="355"/>
      <c r="I7015" s="355"/>
      <c r="J7015" s="355"/>
      <c r="K7015" s="355"/>
      <c r="L7015" s="355"/>
      <c r="M7015" s="355"/>
    </row>
    <row r="7016" spans="5:13">
      <c r="E7016" s="355"/>
      <c r="F7016" s="355"/>
      <c r="G7016" s="355"/>
      <c r="H7016" s="355"/>
      <c r="I7016" s="355"/>
      <c r="J7016" s="355"/>
      <c r="K7016" s="355"/>
      <c r="L7016" s="355"/>
      <c r="M7016" s="355"/>
    </row>
    <row r="7017" spans="5:13">
      <c r="E7017" s="355"/>
      <c r="F7017" s="355"/>
      <c r="G7017" s="355"/>
      <c r="H7017" s="355"/>
      <c r="I7017" s="355"/>
      <c r="J7017" s="355"/>
      <c r="K7017" s="355"/>
      <c r="L7017" s="355"/>
      <c r="M7017" s="355"/>
    </row>
    <row r="7018" spans="5:13">
      <c r="E7018" s="355"/>
      <c r="F7018" s="355"/>
      <c r="G7018" s="355"/>
      <c r="H7018" s="355"/>
      <c r="I7018" s="355"/>
      <c r="J7018" s="355"/>
      <c r="K7018" s="355"/>
      <c r="L7018" s="355"/>
      <c r="M7018" s="355"/>
    </row>
    <row r="7019" spans="5:13">
      <c r="E7019" s="355"/>
      <c r="F7019" s="355"/>
      <c r="G7019" s="355"/>
      <c r="H7019" s="355"/>
      <c r="I7019" s="355"/>
      <c r="J7019" s="355"/>
      <c r="K7019" s="355"/>
      <c r="L7019" s="355"/>
      <c r="M7019" s="355"/>
    </row>
    <row r="7020" spans="5:13">
      <c r="E7020" s="355"/>
      <c r="F7020" s="355"/>
      <c r="G7020" s="355"/>
      <c r="H7020" s="355"/>
      <c r="I7020" s="355"/>
      <c r="J7020" s="355"/>
      <c r="K7020" s="355"/>
      <c r="L7020" s="355"/>
      <c r="M7020" s="355"/>
    </row>
    <row r="7021" spans="5:13">
      <c r="E7021" s="355"/>
      <c r="F7021" s="355"/>
      <c r="G7021" s="355"/>
      <c r="H7021" s="355"/>
      <c r="I7021" s="355"/>
      <c r="J7021" s="355"/>
      <c r="K7021" s="355"/>
      <c r="L7021" s="355"/>
      <c r="M7021" s="355"/>
    </row>
    <row r="7022" spans="5:13">
      <c r="E7022" s="355"/>
      <c r="F7022" s="355"/>
      <c r="G7022" s="355"/>
      <c r="H7022" s="355"/>
      <c r="I7022" s="355"/>
      <c r="J7022" s="355"/>
      <c r="K7022" s="355"/>
      <c r="L7022" s="355"/>
      <c r="M7022" s="355"/>
    </row>
    <row r="7023" spans="5:13">
      <c r="E7023" s="355"/>
      <c r="F7023" s="355"/>
      <c r="G7023" s="355"/>
      <c r="H7023" s="355"/>
      <c r="I7023" s="355"/>
      <c r="J7023" s="355"/>
      <c r="K7023" s="355"/>
      <c r="L7023" s="355"/>
      <c r="M7023" s="355"/>
    </row>
    <row r="7024" spans="5:13">
      <c r="E7024" s="355"/>
      <c r="F7024" s="355"/>
      <c r="G7024" s="355"/>
      <c r="H7024" s="355"/>
      <c r="I7024" s="355"/>
      <c r="J7024" s="355"/>
      <c r="K7024" s="355"/>
      <c r="L7024" s="355"/>
      <c r="M7024" s="355"/>
    </row>
    <row r="7025" spans="5:13">
      <c r="E7025" s="355"/>
      <c r="F7025" s="355"/>
      <c r="G7025" s="355"/>
      <c r="H7025" s="355"/>
      <c r="I7025" s="355"/>
      <c r="J7025" s="355"/>
      <c r="K7025" s="355"/>
      <c r="L7025" s="355"/>
      <c r="M7025" s="355"/>
    </row>
    <row r="7026" spans="5:13">
      <c r="E7026" s="355"/>
      <c r="F7026" s="355"/>
      <c r="G7026" s="355"/>
      <c r="H7026" s="355"/>
      <c r="I7026" s="355"/>
      <c r="J7026" s="355"/>
      <c r="K7026" s="355"/>
      <c r="L7026" s="355"/>
      <c r="M7026" s="355"/>
    </row>
    <row r="7027" spans="5:13">
      <c r="E7027" s="355"/>
      <c r="F7027" s="355"/>
      <c r="G7027" s="355"/>
      <c r="H7027" s="355"/>
      <c r="I7027" s="355"/>
      <c r="J7027" s="355"/>
      <c r="K7027" s="355"/>
      <c r="L7027" s="355"/>
      <c r="M7027" s="355"/>
    </row>
    <row r="7028" spans="5:13">
      <c r="E7028" s="355"/>
      <c r="F7028" s="355"/>
      <c r="G7028" s="355"/>
      <c r="H7028" s="355"/>
      <c r="I7028" s="355"/>
      <c r="J7028" s="355"/>
      <c r="K7028" s="355"/>
      <c r="L7028" s="355"/>
      <c r="M7028" s="355"/>
    </row>
    <row r="7029" spans="5:13">
      <c r="E7029" s="355"/>
      <c r="F7029" s="355"/>
      <c r="G7029" s="355"/>
      <c r="H7029" s="355"/>
      <c r="I7029" s="355"/>
      <c r="J7029" s="355"/>
      <c r="K7029" s="355"/>
      <c r="L7029" s="355"/>
      <c r="M7029" s="355"/>
    </row>
    <row r="7030" spans="5:13">
      <c r="E7030" s="355"/>
      <c r="F7030" s="355"/>
      <c r="G7030" s="355"/>
      <c r="H7030" s="355"/>
      <c r="I7030" s="355"/>
      <c r="J7030" s="355"/>
      <c r="K7030" s="355"/>
      <c r="L7030" s="355"/>
      <c r="M7030" s="355"/>
    </row>
    <row r="7031" spans="5:13">
      <c r="E7031" s="355"/>
      <c r="F7031" s="355"/>
      <c r="G7031" s="355"/>
      <c r="H7031" s="355"/>
      <c r="I7031" s="355"/>
      <c r="J7031" s="355"/>
      <c r="K7031" s="355"/>
      <c r="L7031" s="355"/>
      <c r="M7031" s="355"/>
    </row>
    <row r="7032" spans="5:13">
      <c r="E7032" s="355"/>
      <c r="F7032" s="355"/>
      <c r="G7032" s="355"/>
      <c r="H7032" s="355"/>
      <c r="I7032" s="355"/>
      <c r="J7032" s="355"/>
      <c r="K7032" s="355"/>
      <c r="L7032" s="355"/>
      <c r="M7032" s="355"/>
    </row>
    <row r="7033" spans="5:13">
      <c r="E7033" s="355"/>
      <c r="F7033" s="355"/>
      <c r="G7033" s="355"/>
      <c r="H7033" s="355"/>
      <c r="I7033" s="355"/>
      <c r="J7033" s="355"/>
      <c r="K7033" s="355"/>
      <c r="L7033" s="355"/>
      <c r="M7033" s="355"/>
    </row>
    <row r="7034" spans="5:13">
      <c r="E7034" s="355"/>
      <c r="F7034" s="355"/>
      <c r="G7034" s="355"/>
      <c r="H7034" s="355"/>
      <c r="I7034" s="355"/>
      <c r="J7034" s="355"/>
      <c r="K7034" s="355"/>
      <c r="L7034" s="355"/>
      <c r="M7034" s="355"/>
    </row>
    <row r="7035" spans="5:13">
      <c r="E7035" s="355"/>
      <c r="F7035" s="355"/>
      <c r="G7035" s="355"/>
      <c r="H7035" s="355"/>
      <c r="I7035" s="355"/>
      <c r="J7035" s="355"/>
      <c r="K7035" s="355"/>
      <c r="L7035" s="355"/>
      <c r="M7035" s="355"/>
    </row>
    <row r="7036" spans="5:13">
      <c r="E7036" s="355"/>
      <c r="F7036" s="355"/>
      <c r="G7036" s="355"/>
      <c r="H7036" s="355"/>
      <c r="I7036" s="355"/>
      <c r="J7036" s="355"/>
      <c r="K7036" s="355"/>
      <c r="L7036" s="355"/>
      <c r="M7036" s="355"/>
    </row>
    <row r="7037" spans="5:13">
      <c r="E7037" s="355"/>
      <c r="F7037" s="355"/>
      <c r="G7037" s="355"/>
      <c r="H7037" s="355"/>
      <c r="I7037" s="355"/>
      <c r="J7037" s="355"/>
      <c r="K7037" s="355"/>
      <c r="L7037" s="355"/>
      <c r="M7037" s="355"/>
    </row>
    <row r="7038" spans="5:13">
      <c r="E7038" s="355"/>
      <c r="F7038" s="355"/>
      <c r="G7038" s="355"/>
      <c r="H7038" s="355"/>
      <c r="I7038" s="355"/>
      <c r="J7038" s="355"/>
      <c r="K7038" s="355"/>
      <c r="L7038" s="355"/>
      <c r="M7038" s="355"/>
    </row>
    <row r="7039" spans="5:13">
      <c r="E7039" s="355"/>
      <c r="F7039" s="355"/>
      <c r="G7039" s="355"/>
      <c r="H7039" s="355"/>
      <c r="I7039" s="355"/>
      <c r="J7039" s="355"/>
      <c r="K7039" s="355"/>
      <c r="L7039" s="355"/>
      <c r="M7039" s="355"/>
    </row>
    <row r="7040" spans="5:13">
      <c r="E7040" s="355"/>
      <c r="F7040" s="355"/>
      <c r="G7040" s="355"/>
      <c r="H7040" s="355"/>
      <c r="I7040" s="355"/>
      <c r="J7040" s="355"/>
      <c r="K7040" s="355"/>
      <c r="L7040" s="355"/>
      <c r="M7040" s="355"/>
    </row>
    <row r="7041" spans="5:13">
      <c r="E7041" s="355"/>
      <c r="F7041" s="355"/>
      <c r="G7041" s="355"/>
      <c r="H7041" s="355"/>
      <c r="I7041" s="355"/>
      <c r="J7041" s="355"/>
      <c r="K7041" s="355"/>
      <c r="L7041" s="355"/>
      <c r="M7041" s="355"/>
    </row>
    <row r="7042" spans="5:13">
      <c r="E7042" s="355"/>
      <c r="F7042" s="355"/>
      <c r="G7042" s="355"/>
      <c r="H7042" s="355"/>
      <c r="I7042" s="355"/>
      <c r="J7042" s="355"/>
      <c r="K7042" s="355"/>
      <c r="L7042" s="355"/>
      <c r="M7042" s="355"/>
    </row>
    <row r="7043" spans="5:13">
      <c r="E7043" s="355"/>
      <c r="F7043" s="355"/>
      <c r="G7043" s="355"/>
      <c r="H7043" s="355"/>
      <c r="I7043" s="355"/>
      <c r="J7043" s="355"/>
      <c r="K7043" s="355"/>
      <c r="L7043" s="355"/>
      <c r="M7043" s="355"/>
    </row>
    <row r="7044" spans="5:13">
      <c r="E7044" s="355"/>
      <c r="F7044" s="355"/>
      <c r="G7044" s="355"/>
      <c r="H7044" s="355"/>
      <c r="I7044" s="355"/>
      <c r="J7044" s="355"/>
      <c r="K7044" s="355"/>
      <c r="L7044" s="355"/>
      <c r="M7044" s="355"/>
    </row>
    <row r="7045" spans="5:13">
      <c r="E7045" s="355"/>
      <c r="F7045" s="355"/>
      <c r="G7045" s="355"/>
      <c r="H7045" s="355"/>
      <c r="I7045" s="355"/>
      <c r="J7045" s="355"/>
      <c r="K7045" s="355"/>
      <c r="L7045" s="355"/>
      <c r="M7045" s="355"/>
    </row>
    <row r="7046" spans="5:13">
      <c r="E7046" s="355"/>
      <c r="F7046" s="355"/>
      <c r="G7046" s="355"/>
      <c r="H7046" s="355"/>
      <c r="I7046" s="355"/>
      <c r="J7046" s="355"/>
      <c r="K7046" s="355"/>
      <c r="L7046" s="355"/>
      <c r="M7046" s="355"/>
    </row>
    <row r="7047" spans="5:13">
      <c r="E7047" s="355"/>
      <c r="F7047" s="355"/>
      <c r="G7047" s="355"/>
      <c r="H7047" s="355"/>
      <c r="I7047" s="355"/>
      <c r="J7047" s="355"/>
      <c r="K7047" s="355"/>
      <c r="L7047" s="355"/>
      <c r="M7047" s="355"/>
    </row>
    <row r="7048" spans="5:13">
      <c r="E7048" s="355"/>
      <c r="F7048" s="355"/>
      <c r="G7048" s="355"/>
      <c r="H7048" s="355"/>
      <c r="I7048" s="355"/>
      <c r="J7048" s="355"/>
      <c r="K7048" s="355"/>
      <c r="L7048" s="355"/>
      <c r="M7048" s="355"/>
    </row>
    <row r="7049" spans="5:13">
      <c r="E7049" s="355"/>
      <c r="F7049" s="355"/>
      <c r="G7049" s="355"/>
      <c r="H7049" s="355"/>
      <c r="I7049" s="355"/>
      <c r="J7049" s="355"/>
      <c r="K7049" s="355"/>
      <c r="L7049" s="355"/>
      <c r="M7049" s="355"/>
    </row>
    <row r="7050" spans="5:13">
      <c r="E7050" s="355"/>
      <c r="F7050" s="355"/>
      <c r="G7050" s="355"/>
      <c r="H7050" s="355"/>
      <c r="I7050" s="355"/>
      <c r="J7050" s="355"/>
      <c r="K7050" s="355"/>
      <c r="L7050" s="355"/>
      <c r="M7050" s="355"/>
    </row>
    <row r="7051" spans="5:13">
      <c r="E7051" s="355"/>
      <c r="F7051" s="355"/>
      <c r="G7051" s="355"/>
      <c r="H7051" s="355"/>
      <c r="I7051" s="355"/>
      <c r="J7051" s="355"/>
      <c r="K7051" s="355"/>
      <c r="L7051" s="355"/>
      <c r="M7051" s="355"/>
    </row>
    <row r="7052" spans="5:13">
      <c r="E7052" s="355"/>
      <c r="F7052" s="355"/>
      <c r="G7052" s="355"/>
      <c r="H7052" s="355"/>
      <c r="I7052" s="355"/>
      <c r="J7052" s="355"/>
      <c r="K7052" s="355"/>
      <c r="L7052" s="355"/>
      <c r="M7052" s="355"/>
    </row>
    <row r="7053" spans="5:13">
      <c r="E7053" s="355"/>
      <c r="F7053" s="355"/>
      <c r="G7053" s="355"/>
      <c r="H7053" s="355"/>
      <c r="I7053" s="355"/>
      <c r="J7053" s="355"/>
      <c r="K7053" s="355"/>
      <c r="L7053" s="355"/>
      <c r="M7053" s="355"/>
    </row>
    <row r="7054" spans="5:13">
      <c r="E7054" s="355"/>
      <c r="F7054" s="355"/>
      <c r="G7054" s="355"/>
      <c r="H7054" s="355"/>
      <c r="I7054" s="355"/>
      <c r="J7054" s="355"/>
      <c r="K7054" s="355"/>
      <c r="L7054" s="355"/>
      <c r="M7054" s="355"/>
    </row>
    <row r="7055" spans="5:13">
      <c r="E7055" s="355"/>
      <c r="F7055" s="355"/>
      <c r="G7055" s="355"/>
      <c r="H7055" s="355"/>
      <c r="I7055" s="355"/>
      <c r="J7055" s="355"/>
      <c r="K7055" s="355"/>
      <c r="L7055" s="355"/>
      <c r="M7055" s="355"/>
    </row>
    <row r="7056" spans="5:13">
      <c r="E7056" s="355"/>
      <c r="F7056" s="355"/>
      <c r="G7056" s="355"/>
      <c r="H7056" s="355"/>
      <c r="I7056" s="355"/>
      <c r="J7056" s="355"/>
      <c r="K7056" s="355"/>
      <c r="L7056" s="355"/>
      <c r="M7056" s="355"/>
    </row>
    <row r="7057" spans="5:13">
      <c r="E7057" s="355"/>
      <c r="F7057" s="355"/>
      <c r="G7057" s="355"/>
      <c r="H7057" s="355"/>
      <c r="I7057" s="355"/>
      <c r="J7057" s="355"/>
      <c r="K7057" s="355"/>
      <c r="L7057" s="355"/>
      <c r="M7057" s="355"/>
    </row>
    <row r="7058" spans="5:13">
      <c r="E7058" s="355"/>
      <c r="F7058" s="355"/>
      <c r="G7058" s="355"/>
      <c r="H7058" s="355"/>
      <c r="I7058" s="355"/>
      <c r="J7058" s="355"/>
      <c r="K7058" s="355"/>
      <c r="L7058" s="355"/>
      <c r="M7058" s="355"/>
    </row>
    <row r="7059" spans="5:13">
      <c r="E7059" s="355"/>
      <c r="F7059" s="355"/>
      <c r="G7059" s="355"/>
      <c r="H7059" s="355"/>
      <c r="I7059" s="355"/>
      <c r="J7059" s="355"/>
      <c r="K7059" s="355"/>
      <c r="L7059" s="355"/>
      <c r="M7059" s="355"/>
    </row>
    <row r="7060" spans="5:13">
      <c r="E7060" s="355"/>
      <c r="F7060" s="355"/>
      <c r="G7060" s="355"/>
      <c r="H7060" s="355"/>
      <c r="I7060" s="355"/>
      <c r="J7060" s="355"/>
      <c r="K7060" s="355"/>
      <c r="L7060" s="355"/>
      <c r="M7060" s="355"/>
    </row>
    <row r="7061" spans="5:13">
      <c r="E7061" s="355"/>
      <c r="F7061" s="355"/>
      <c r="G7061" s="355"/>
      <c r="H7061" s="355"/>
      <c r="I7061" s="355"/>
      <c r="J7061" s="355"/>
      <c r="K7061" s="355"/>
      <c r="L7061" s="355"/>
      <c r="M7061" s="355"/>
    </row>
    <row r="7062" spans="5:13">
      <c r="E7062" s="355"/>
      <c r="F7062" s="355"/>
      <c r="G7062" s="355"/>
      <c r="H7062" s="355"/>
      <c r="I7062" s="355"/>
      <c r="J7062" s="355"/>
      <c r="K7062" s="355"/>
      <c r="L7062" s="355"/>
      <c r="M7062" s="355"/>
    </row>
    <row r="7063" spans="5:13">
      <c r="E7063" s="355"/>
      <c r="F7063" s="355"/>
      <c r="G7063" s="355"/>
      <c r="H7063" s="355"/>
      <c r="I7063" s="355"/>
      <c r="J7063" s="355"/>
      <c r="K7063" s="355"/>
      <c r="L7063" s="355"/>
      <c r="M7063" s="355"/>
    </row>
    <row r="7064" spans="5:13">
      <c r="E7064" s="355"/>
      <c r="F7064" s="355"/>
      <c r="G7064" s="355"/>
      <c r="H7064" s="355"/>
      <c r="I7064" s="355"/>
      <c r="J7064" s="355"/>
      <c r="K7064" s="355"/>
      <c r="L7064" s="355"/>
      <c r="M7064" s="355"/>
    </row>
    <row r="7065" spans="5:13">
      <c r="E7065" s="355"/>
      <c r="F7065" s="355"/>
      <c r="G7065" s="355"/>
      <c r="H7065" s="355"/>
      <c r="I7065" s="355"/>
      <c r="J7065" s="355"/>
      <c r="K7065" s="355"/>
      <c r="L7065" s="355"/>
      <c r="M7065" s="355"/>
    </row>
    <row r="7066" spans="5:13">
      <c r="E7066" s="355"/>
      <c r="F7066" s="355"/>
      <c r="G7066" s="355"/>
      <c r="H7066" s="355"/>
      <c r="I7066" s="355"/>
      <c r="J7066" s="355"/>
      <c r="K7066" s="355"/>
      <c r="L7066" s="355"/>
      <c r="M7066" s="355"/>
    </row>
    <row r="7067" spans="5:13">
      <c r="E7067" s="355"/>
      <c r="F7067" s="355"/>
      <c r="G7067" s="355"/>
      <c r="H7067" s="355"/>
      <c r="I7067" s="355"/>
      <c r="J7067" s="355"/>
      <c r="K7067" s="355"/>
      <c r="L7067" s="355"/>
      <c r="M7067" s="355"/>
    </row>
    <row r="7068" spans="5:13">
      <c r="E7068" s="355"/>
      <c r="F7068" s="355"/>
      <c r="G7068" s="355"/>
      <c r="H7068" s="355"/>
      <c r="I7068" s="355"/>
      <c r="J7068" s="355"/>
      <c r="K7068" s="355"/>
      <c r="L7068" s="355"/>
      <c r="M7068" s="355"/>
    </row>
    <row r="7069" spans="5:13">
      <c r="E7069" s="355"/>
      <c r="F7069" s="355"/>
      <c r="G7069" s="355"/>
      <c r="H7069" s="355"/>
      <c r="I7069" s="355"/>
      <c r="J7069" s="355"/>
      <c r="K7069" s="355"/>
      <c r="L7069" s="355"/>
      <c r="M7069" s="355"/>
    </row>
    <row r="7070" spans="5:13">
      <c r="E7070" s="355"/>
      <c r="F7070" s="355"/>
      <c r="G7070" s="355"/>
      <c r="H7070" s="355"/>
      <c r="I7070" s="355"/>
      <c r="J7070" s="355"/>
      <c r="K7070" s="355"/>
      <c r="L7070" s="355"/>
      <c r="M7070" s="355"/>
    </row>
    <row r="7071" spans="5:13">
      <c r="E7071" s="355"/>
      <c r="F7071" s="355"/>
      <c r="G7071" s="355"/>
      <c r="H7071" s="355"/>
      <c r="I7071" s="355"/>
      <c r="J7071" s="355"/>
      <c r="K7071" s="355"/>
      <c r="L7071" s="355"/>
      <c r="M7071" s="355"/>
    </row>
    <row r="7072" spans="5:13">
      <c r="E7072" s="355"/>
      <c r="F7072" s="355"/>
      <c r="G7072" s="355"/>
      <c r="H7072" s="355"/>
      <c r="I7072" s="355"/>
      <c r="J7072" s="355"/>
      <c r="K7072" s="355"/>
      <c r="L7072" s="355"/>
      <c r="M7072" s="355"/>
    </row>
    <row r="7073" spans="5:13">
      <c r="E7073" s="355"/>
      <c r="F7073" s="355"/>
      <c r="G7073" s="355"/>
      <c r="H7073" s="355"/>
      <c r="I7073" s="355"/>
      <c r="J7073" s="355"/>
      <c r="K7073" s="355"/>
      <c r="L7073" s="355"/>
      <c r="M7073" s="355"/>
    </row>
    <row r="7074" spans="5:13">
      <c r="E7074" s="355"/>
      <c r="F7074" s="355"/>
      <c r="G7074" s="355"/>
      <c r="H7074" s="355"/>
      <c r="I7074" s="355"/>
      <c r="J7074" s="355"/>
      <c r="K7074" s="355"/>
      <c r="L7074" s="355"/>
      <c r="M7074" s="355"/>
    </row>
    <row r="7075" spans="5:13">
      <c r="E7075" s="355"/>
      <c r="F7075" s="355"/>
      <c r="G7075" s="355"/>
      <c r="H7075" s="355"/>
      <c r="I7075" s="355"/>
      <c r="J7075" s="355"/>
      <c r="K7075" s="355"/>
      <c r="L7075" s="355"/>
      <c r="M7075" s="355"/>
    </row>
    <row r="7076" spans="5:13">
      <c r="E7076" s="355"/>
      <c r="F7076" s="355"/>
      <c r="G7076" s="355"/>
      <c r="H7076" s="355"/>
      <c r="I7076" s="355"/>
      <c r="J7076" s="355"/>
      <c r="K7076" s="355"/>
      <c r="L7076" s="355"/>
      <c r="M7076" s="355"/>
    </row>
    <row r="7077" spans="5:13">
      <c r="E7077" s="355"/>
      <c r="F7077" s="355"/>
      <c r="G7077" s="355"/>
      <c r="H7077" s="355"/>
      <c r="I7077" s="355"/>
      <c r="J7077" s="355"/>
      <c r="K7077" s="355"/>
      <c r="L7077" s="355"/>
      <c r="M7077" s="355"/>
    </row>
    <row r="7078" spans="5:13">
      <c r="E7078" s="355"/>
      <c r="F7078" s="355"/>
      <c r="G7078" s="355"/>
      <c r="H7078" s="355"/>
      <c r="I7078" s="355"/>
      <c r="J7078" s="355"/>
      <c r="K7078" s="355"/>
      <c r="L7078" s="355"/>
      <c r="M7078" s="355"/>
    </row>
    <row r="7079" spans="5:13">
      <c r="E7079" s="355"/>
      <c r="F7079" s="355"/>
      <c r="G7079" s="355"/>
      <c r="H7079" s="355"/>
      <c r="I7079" s="355"/>
      <c r="J7079" s="355"/>
      <c r="K7079" s="355"/>
      <c r="L7079" s="355"/>
      <c r="M7079" s="355"/>
    </row>
    <row r="7080" spans="5:13">
      <c r="E7080" s="355"/>
      <c r="F7080" s="355"/>
      <c r="G7080" s="355"/>
      <c r="H7080" s="355"/>
      <c r="I7080" s="355"/>
      <c r="J7080" s="355"/>
      <c r="K7080" s="355"/>
      <c r="L7080" s="355"/>
      <c r="M7080" s="355"/>
    </row>
    <row r="7081" spans="5:13">
      <c r="E7081" s="355"/>
      <c r="F7081" s="355"/>
      <c r="G7081" s="355"/>
      <c r="H7081" s="355"/>
      <c r="I7081" s="355"/>
      <c r="J7081" s="355"/>
      <c r="K7081" s="355"/>
      <c r="L7081" s="355"/>
      <c r="M7081" s="355"/>
    </row>
    <row r="7082" spans="5:13">
      <c r="E7082" s="355"/>
      <c r="F7082" s="355"/>
      <c r="G7082" s="355"/>
      <c r="H7082" s="355"/>
      <c r="I7082" s="355"/>
      <c r="J7082" s="355"/>
      <c r="K7082" s="355"/>
      <c r="L7082" s="355"/>
      <c r="M7082" s="355"/>
    </row>
    <row r="7083" spans="5:13">
      <c r="E7083" s="355"/>
      <c r="F7083" s="355"/>
      <c r="G7083" s="355"/>
      <c r="H7083" s="355"/>
      <c r="I7083" s="355"/>
      <c r="J7083" s="355"/>
      <c r="K7083" s="355"/>
      <c r="L7083" s="355"/>
      <c r="M7083" s="355"/>
    </row>
    <row r="7084" spans="5:13">
      <c r="E7084" s="355"/>
      <c r="F7084" s="355"/>
      <c r="G7084" s="355"/>
      <c r="H7084" s="355"/>
      <c r="I7084" s="355"/>
      <c r="J7084" s="355"/>
      <c r="K7084" s="355"/>
      <c r="L7084" s="355"/>
      <c r="M7084" s="355"/>
    </row>
    <row r="7085" spans="5:13">
      <c r="E7085" s="355"/>
      <c r="F7085" s="355"/>
      <c r="G7085" s="355"/>
      <c r="H7085" s="355"/>
      <c r="I7085" s="355"/>
      <c r="J7085" s="355"/>
      <c r="K7085" s="355"/>
      <c r="L7085" s="355"/>
      <c r="M7085" s="355"/>
    </row>
    <row r="7086" spans="5:13">
      <c r="E7086" s="355"/>
      <c r="F7086" s="355"/>
      <c r="G7086" s="355"/>
      <c r="H7086" s="355"/>
      <c r="I7086" s="355"/>
      <c r="J7086" s="355"/>
      <c r="K7086" s="355"/>
      <c r="L7086" s="355"/>
      <c r="M7086" s="355"/>
    </row>
    <row r="7087" spans="5:13">
      <c r="E7087" s="355"/>
      <c r="F7087" s="355"/>
      <c r="G7087" s="355"/>
      <c r="H7087" s="355"/>
      <c r="I7087" s="355"/>
      <c r="J7087" s="355"/>
      <c r="K7087" s="355"/>
      <c r="L7087" s="355"/>
      <c r="M7087" s="355"/>
    </row>
    <row r="7088" spans="5:13">
      <c r="E7088" s="355"/>
      <c r="F7088" s="355"/>
      <c r="G7088" s="355"/>
      <c r="H7088" s="355"/>
      <c r="I7088" s="355"/>
      <c r="J7088" s="355"/>
      <c r="K7088" s="355"/>
      <c r="L7088" s="355"/>
      <c r="M7088" s="355"/>
    </row>
    <row r="7089" spans="5:13">
      <c r="E7089" s="355"/>
      <c r="F7089" s="355"/>
      <c r="G7089" s="355"/>
      <c r="H7089" s="355"/>
      <c r="I7089" s="355"/>
      <c r="J7089" s="355"/>
      <c r="K7089" s="355"/>
      <c r="L7089" s="355"/>
      <c r="M7089" s="355"/>
    </row>
    <row r="7090" spans="5:13">
      <c r="E7090" s="355"/>
      <c r="F7090" s="355"/>
      <c r="G7090" s="355"/>
      <c r="H7090" s="355"/>
      <c r="I7090" s="355"/>
      <c r="J7090" s="355"/>
      <c r="K7090" s="355"/>
      <c r="L7090" s="355"/>
      <c r="M7090" s="355"/>
    </row>
    <row r="7091" spans="5:13">
      <c r="E7091" s="355"/>
      <c r="F7091" s="355"/>
      <c r="G7091" s="355"/>
      <c r="H7091" s="355"/>
      <c r="I7091" s="355"/>
      <c r="J7091" s="355"/>
      <c r="K7091" s="355"/>
      <c r="L7091" s="355"/>
      <c r="M7091" s="355"/>
    </row>
    <row r="7092" spans="5:13">
      <c r="E7092" s="355"/>
      <c r="F7092" s="355"/>
      <c r="G7092" s="355"/>
      <c r="H7092" s="355"/>
      <c r="I7092" s="355"/>
      <c r="J7092" s="355"/>
      <c r="K7092" s="355"/>
      <c r="L7092" s="355"/>
      <c r="M7092" s="355"/>
    </row>
    <row r="7093" spans="5:13">
      <c r="E7093" s="355"/>
      <c r="F7093" s="355"/>
      <c r="G7093" s="355"/>
      <c r="H7093" s="355"/>
      <c r="I7093" s="355"/>
      <c r="J7093" s="355"/>
      <c r="K7093" s="355"/>
      <c r="L7093" s="355"/>
      <c r="M7093" s="355"/>
    </row>
    <row r="7094" spans="5:13">
      <c r="E7094" s="355"/>
      <c r="F7094" s="355"/>
      <c r="G7094" s="355"/>
      <c r="H7094" s="355"/>
      <c r="I7094" s="355"/>
      <c r="J7094" s="355"/>
      <c r="K7094" s="355"/>
      <c r="L7094" s="355"/>
      <c r="M7094" s="355"/>
    </row>
    <row r="7095" spans="5:13">
      <c r="E7095" s="355"/>
      <c r="F7095" s="355"/>
      <c r="G7095" s="355"/>
      <c r="H7095" s="355"/>
      <c r="I7095" s="355"/>
      <c r="J7095" s="355"/>
      <c r="K7095" s="355"/>
      <c r="L7095" s="355"/>
      <c r="M7095" s="355"/>
    </row>
    <row r="7096" spans="5:13">
      <c r="E7096" s="355"/>
      <c r="F7096" s="355"/>
      <c r="G7096" s="355"/>
      <c r="H7096" s="355"/>
      <c r="I7096" s="355"/>
      <c r="J7096" s="355"/>
      <c r="K7096" s="355"/>
      <c r="L7096" s="355"/>
      <c r="M7096" s="355"/>
    </row>
    <row r="7097" spans="5:13">
      <c r="E7097" s="355"/>
      <c r="F7097" s="355"/>
      <c r="G7097" s="355"/>
      <c r="H7097" s="355"/>
      <c r="I7097" s="355"/>
      <c r="J7097" s="355"/>
      <c r="K7097" s="355"/>
      <c r="L7097" s="355"/>
      <c r="M7097" s="355"/>
    </row>
    <row r="7098" spans="5:13">
      <c r="E7098" s="355"/>
      <c r="F7098" s="355"/>
      <c r="G7098" s="355"/>
      <c r="H7098" s="355"/>
      <c r="I7098" s="355"/>
      <c r="J7098" s="355"/>
      <c r="K7098" s="355"/>
      <c r="L7098" s="355"/>
      <c r="M7098" s="355"/>
    </row>
    <row r="7099" spans="5:13">
      <c r="E7099" s="355"/>
      <c r="F7099" s="355"/>
      <c r="G7099" s="355"/>
      <c r="H7099" s="355"/>
      <c r="I7099" s="355"/>
      <c r="J7099" s="355"/>
      <c r="K7099" s="355"/>
      <c r="L7099" s="355"/>
      <c r="M7099" s="355"/>
    </row>
    <row r="7100" spans="5:13">
      <c r="E7100" s="355"/>
      <c r="F7100" s="355"/>
      <c r="G7100" s="355"/>
      <c r="H7100" s="355"/>
      <c r="I7100" s="355"/>
      <c r="J7100" s="355"/>
      <c r="K7100" s="355"/>
      <c r="L7100" s="355"/>
      <c r="M7100" s="355"/>
    </row>
    <row r="7101" spans="5:13">
      <c r="E7101" s="355"/>
      <c r="F7101" s="355"/>
      <c r="G7101" s="355"/>
      <c r="H7101" s="355"/>
      <c r="I7101" s="355"/>
      <c r="J7101" s="355"/>
      <c r="K7101" s="355"/>
      <c r="L7101" s="355"/>
      <c r="M7101" s="355"/>
    </row>
    <row r="7102" spans="5:13">
      <c r="E7102" s="355"/>
      <c r="F7102" s="355"/>
      <c r="G7102" s="355"/>
      <c r="H7102" s="355"/>
      <c r="I7102" s="355"/>
      <c r="J7102" s="355"/>
      <c r="K7102" s="355"/>
      <c r="L7102" s="355"/>
      <c r="M7102" s="355"/>
    </row>
    <row r="7103" spans="5:13">
      <c r="E7103" s="355"/>
      <c r="F7103" s="355"/>
      <c r="G7103" s="355"/>
      <c r="H7103" s="355"/>
      <c r="I7103" s="355"/>
      <c r="J7103" s="355"/>
      <c r="K7103" s="355"/>
      <c r="L7103" s="355"/>
      <c r="M7103" s="355"/>
    </row>
    <row r="7104" spans="5:13">
      <c r="E7104" s="355"/>
      <c r="F7104" s="355"/>
      <c r="G7104" s="355"/>
      <c r="H7104" s="355"/>
      <c r="I7104" s="355"/>
      <c r="J7104" s="355"/>
      <c r="K7104" s="355"/>
      <c r="L7104" s="355"/>
      <c r="M7104" s="355"/>
    </row>
    <row r="7105" spans="5:13">
      <c r="E7105" s="355"/>
      <c r="F7105" s="355"/>
      <c r="G7105" s="355"/>
      <c r="H7105" s="355"/>
      <c r="I7105" s="355"/>
      <c r="J7105" s="355"/>
      <c r="K7105" s="355"/>
      <c r="L7105" s="355"/>
      <c r="M7105" s="355"/>
    </row>
    <row r="7106" spans="5:13">
      <c r="E7106" s="355"/>
      <c r="F7106" s="355"/>
      <c r="G7106" s="355"/>
      <c r="H7106" s="355"/>
      <c r="I7106" s="355"/>
      <c r="J7106" s="355"/>
      <c r="K7106" s="355"/>
      <c r="L7106" s="355"/>
      <c r="M7106" s="355"/>
    </row>
    <row r="7107" spans="5:13">
      <c r="E7107" s="355"/>
      <c r="F7107" s="355"/>
      <c r="G7107" s="355"/>
      <c r="H7107" s="355"/>
      <c r="I7107" s="355"/>
      <c r="J7107" s="355"/>
      <c r="K7107" s="355"/>
      <c r="L7107" s="355"/>
      <c r="M7107" s="355"/>
    </row>
    <row r="7108" spans="5:13">
      <c r="E7108" s="355"/>
      <c r="F7108" s="355"/>
      <c r="G7108" s="355"/>
      <c r="H7108" s="355"/>
      <c r="I7108" s="355"/>
      <c r="J7108" s="355"/>
      <c r="K7108" s="355"/>
      <c r="L7108" s="355"/>
      <c r="M7108" s="355"/>
    </row>
    <row r="7109" spans="5:13">
      <c r="E7109" s="355"/>
      <c r="F7109" s="355"/>
      <c r="G7109" s="355"/>
      <c r="H7109" s="355"/>
      <c r="I7109" s="355"/>
      <c r="J7109" s="355"/>
      <c r="K7109" s="355"/>
      <c r="L7109" s="355"/>
      <c r="M7109" s="355"/>
    </row>
    <row r="7110" spans="5:13">
      <c r="E7110" s="355"/>
      <c r="F7110" s="355"/>
      <c r="G7110" s="355"/>
      <c r="H7110" s="355"/>
      <c r="I7110" s="355"/>
      <c r="J7110" s="355"/>
      <c r="K7110" s="355"/>
      <c r="L7110" s="355"/>
      <c r="M7110" s="355"/>
    </row>
    <row r="7111" spans="5:13">
      <c r="E7111" s="355"/>
      <c r="F7111" s="355"/>
      <c r="G7111" s="355"/>
      <c r="H7111" s="355"/>
      <c r="I7111" s="355"/>
      <c r="J7111" s="355"/>
      <c r="K7111" s="355"/>
      <c r="L7111" s="355"/>
      <c r="M7111" s="355"/>
    </row>
    <row r="7112" spans="5:13">
      <c r="E7112" s="355"/>
      <c r="F7112" s="355"/>
      <c r="G7112" s="355"/>
      <c r="H7112" s="355"/>
      <c r="I7112" s="355"/>
      <c r="J7112" s="355"/>
      <c r="K7112" s="355"/>
      <c r="L7112" s="355"/>
      <c r="M7112" s="355"/>
    </row>
    <row r="7113" spans="5:13">
      <c r="E7113" s="355"/>
      <c r="F7113" s="355"/>
      <c r="G7113" s="355"/>
      <c r="H7113" s="355"/>
      <c r="I7113" s="355"/>
      <c r="J7113" s="355"/>
      <c r="K7113" s="355"/>
      <c r="L7113" s="355"/>
      <c r="M7113" s="355"/>
    </row>
    <row r="7114" spans="5:13">
      <c r="E7114" s="355"/>
      <c r="F7114" s="355"/>
      <c r="G7114" s="355"/>
      <c r="H7114" s="355"/>
      <c r="I7114" s="355"/>
      <c r="J7114" s="355"/>
      <c r="K7114" s="355"/>
      <c r="L7114" s="355"/>
      <c r="M7114" s="355"/>
    </row>
    <row r="7115" spans="5:13">
      <c r="E7115" s="355"/>
      <c r="F7115" s="355"/>
      <c r="G7115" s="355"/>
      <c r="H7115" s="355"/>
      <c r="I7115" s="355"/>
      <c r="J7115" s="355"/>
      <c r="K7115" s="355"/>
      <c r="L7115" s="355"/>
      <c r="M7115" s="355"/>
    </row>
    <row r="7116" spans="5:13">
      <c r="E7116" s="355"/>
      <c r="F7116" s="355"/>
      <c r="G7116" s="355"/>
      <c r="H7116" s="355"/>
      <c r="I7116" s="355"/>
      <c r="J7116" s="355"/>
      <c r="K7116" s="355"/>
      <c r="L7116" s="355"/>
      <c r="M7116" s="355"/>
    </row>
    <row r="7117" spans="5:13">
      <c r="E7117" s="355"/>
      <c r="F7117" s="355"/>
      <c r="G7117" s="355"/>
      <c r="H7117" s="355"/>
      <c r="I7117" s="355"/>
      <c r="J7117" s="355"/>
      <c r="K7117" s="355"/>
      <c r="L7117" s="355"/>
      <c r="M7117" s="355"/>
    </row>
    <row r="7118" spans="5:13">
      <c r="E7118" s="355"/>
      <c r="F7118" s="355"/>
      <c r="G7118" s="355"/>
      <c r="H7118" s="355"/>
      <c r="I7118" s="355"/>
      <c r="J7118" s="355"/>
      <c r="K7118" s="355"/>
      <c r="L7118" s="355"/>
      <c r="M7118" s="355"/>
    </row>
    <row r="7119" spans="5:13">
      <c r="E7119" s="355"/>
      <c r="F7119" s="355"/>
      <c r="G7119" s="355"/>
      <c r="H7119" s="355"/>
      <c r="I7119" s="355"/>
      <c r="J7119" s="355"/>
      <c r="K7119" s="355"/>
      <c r="L7119" s="355"/>
      <c r="M7119" s="355"/>
    </row>
    <row r="7120" spans="5:13">
      <c r="E7120" s="355"/>
      <c r="F7120" s="355"/>
      <c r="G7120" s="355"/>
      <c r="H7120" s="355"/>
      <c r="I7120" s="355"/>
      <c r="J7120" s="355"/>
      <c r="K7120" s="355"/>
      <c r="L7120" s="355"/>
      <c r="M7120" s="355"/>
    </row>
    <row r="7121" spans="5:13">
      <c r="E7121" s="355"/>
      <c r="F7121" s="355"/>
      <c r="G7121" s="355"/>
      <c r="H7121" s="355"/>
      <c r="I7121" s="355"/>
      <c r="J7121" s="355"/>
      <c r="K7121" s="355"/>
      <c r="L7121" s="355"/>
      <c r="M7121" s="355"/>
    </row>
    <row r="7122" spans="5:13">
      <c r="E7122" s="355"/>
      <c r="F7122" s="355"/>
      <c r="G7122" s="355"/>
      <c r="H7122" s="355"/>
      <c r="I7122" s="355"/>
      <c r="J7122" s="355"/>
      <c r="K7122" s="355"/>
      <c r="L7122" s="355"/>
      <c r="M7122" s="355"/>
    </row>
    <row r="7123" spans="5:13">
      <c r="E7123" s="355"/>
      <c r="F7123" s="355"/>
      <c r="G7123" s="355"/>
      <c r="H7123" s="355"/>
      <c r="I7123" s="355"/>
      <c r="J7123" s="355"/>
      <c r="K7123" s="355"/>
      <c r="L7123" s="355"/>
      <c r="M7123" s="355"/>
    </row>
    <row r="7124" spans="5:13">
      <c r="E7124" s="355"/>
      <c r="F7124" s="355"/>
      <c r="G7124" s="355"/>
      <c r="H7124" s="355"/>
      <c r="I7124" s="355"/>
      <c r="J7124" s="355"/>
      <c r="K7124" s="355"/>
      <c r="L7124" s="355"/>
      <c r="M7124" s="355"/>
    </row>
    <row r="7125" spans="5:13">
      <c r="E7125" s="355"/>
      <c r="F7125" s="355"/>
      <c r="G7125" s="355"/>
      <c r="H7125" s="355"/>
      <c r="I7125" s="355"/>
      <c r="J7125" s="355"/>
      <c r="K7125" s="355"/>
      <c r="L7125" s="355"/>
      <c r="M7125" s="355"/>
    </row>
    <row r="7126" spans="5:13">
      <c r="E7126" s="355"/>
      <c r="F7126" s="355"/>
      <c r="G7126" s="355"/>
      <c r="H7126" s="355"/>
      <c r="I7126" s="355"/>
      <c r="J7126" s="355"/>
      <c r="K7126" s="355"/>
      <c r="L7126" s="355"/>
      <c r="M7126" s="355"/>
    </row>
    <row r="7127" spans="5:13">
      <c r="E7127" s="355"/>
      <c r="F7127" s="355"/>
      <c r="G7127" s="355"/>
      <c r="H7127" s="355"/>
      <c r="I7127" s="355"/>
      <c r="J7127" s="355"/>
      <c r="K7127" s="355"/>
      <c r="L7127" s="355"/>
      <c r="M7127" s="355"/>
    </row>
    <row r="7128" spans="5:13">
      <c r="E7128" s="355"/>
      <c r="F7128" s="355"/>
      <c r="G7128" s="355"/>
      <c r="H7128" s="355"/>
      <c r="I7128" s="355"/>
      <c r="J7128" s="355"/>
      <c r="K7128" s="355"/>
      <c r="L7128" s="355"/>
      <c r="M7128" s="355"/>
    </row>
    <row r="7129" spans="5:13">
      <c r="E7129" s="355"/>
      <c r="F7129" s="355"/>
      <c r="G7129" s="355"/>
      <c r="H7129" s="355"/>
      <c r="I7129" s="355"/>
      <c r="J7129" s="355"/>
      <c r="K7129" s="355"/>
      <c r="L7129" s="355"/>
      <c r="M7129" s="355"/>
    </row>
    <row r="7130" spans="5:13">
      <c r="E7130" s="355"/>
      <c r="F7130" s="355"/>
      <c r="G7130" s="355"/>
      <c r="H7130" s="355"/>
      <c r="I7130" s="355"/>
      <c r="J7130" s="355"/>
      <c r="K7130" s="355"/>
      <c r="L7130" s="355"/>
      <c r="M7130" s="355"/>
    </row>
    <row r="7131" spans="5:13">
      <c r="E7131" s="355"/>
      <c r="F7131" s="355"/>
      <c r="G7131" s="355"/>
      <c r="H7131" s="355"/>
      <c r="I7131" s="355"/>
      <c r="J7131" s="355"/>
      <c r="K7131" s="355"/>
      <c r="L7131" s="355"/>
      <c r="M7131" s="355"/>
    </row>
    <row r="7132" spans="5:13">
      <c r="E7132" s="355"/>
      <c r="F7132" s="355"/>
      <c r="G7132" s="355"/>
      <c r="H7132" s="355"/>
      <c r="I7132" s="355"/>
      <c r="J7132" s="355"/>
      <c r="K7132" s="355"/>
      <c r="L7132" s="355"/>
      <c r="M7132" s="355"/>
    </row>
    <row r="7133" spans="5:13">
      <c r="E7133" s="355"/>
      <c r="F7133" s="355"/>
      <c r="G7133" s="355"/>
      <c r="H7133" s="355"/>
      <c r="I7133" s="355"/>
      <c r="J7133" s="355"/>
      <c r="K7133" s="355"/>
      <c r="L7133" s="355"/>
      <c r="M7133" s="355"/>
    </row>
    <row r="7134" spans="5:13">
      <c r="E7134" s="355"/>
      <c r="F7134" s="355"/>
      <c r="G7134" s="355"/>
      <c r="H7134" s="355"/>
      <c r="I7134" s="355"/>
      <c r="J7134" s="355"/>
      <c r="K7134" s="355"/>
      <c r="L7134" s="355"/>
      <c r="M7134" s="355"/>
    </row>
    <row r="7135" spans="5:13">
      <c r="E7135" s="355"/>
      <c r="F7135" s="355"/>
      <c r="G7135" s="355"/>
      <c r="H7135" s="355"/>
      <c r="I7135" s="355"/>
      <c r="J7135" s="355"/>
      <c r="K7135" s="355"/>
      <c r="L7135" s="355"/>
      <c r="M7135" s="355"/>
    </row>
    <row r="7136" spans="5:13">
      <c r="E7136" s="355"/>
      <c r="F7136" s="355"/>
      <c r="G7136" s="355"/>
      <c r="H7136" s="355"/>
      <c r="I7136" s="355"/>
      <c r="J7136" s="355"/>
      <c r="K7136" s="355"/>
      <c r="L7136" s="355"/>
      <c r="M7136" s="355"/>
    </row>
    <row r="7137" spans="5:13">
      <c r="E7137" s="355"/>
      <c r="F7137" s="355"/>
      <c r="G7137" s="355"/>
      <c r="H7137" s="355"/>
      <c r="I7137" s="355"/>
      <c r="J7137" s="355"/>
      <c r="K7137" s="355"/>
      <c r="L7137" s="355"/>
      <c r="M7137" s="355"/>
    </row>
    <row r="7138" spans="5:13">
      <c r="E7138" s="355"/>
      <c r="F7138" s="355"/>
      <c r="G7138" s="355"/>
      <c r="H7138" s="355"/>
      <c r="I7138" s="355"/>
      <c r="J7138" s="355"/>
      <c r="K7138" s="355"/>
      <c r="L7138" s="355"/>
      <c r="M7138" s="355"/>
    </row>
    <row r="7139" spans="5:13">
      <c r="E7139" s="355"/>
      <c r="F7139" s="355"/>
      <c r="G7139" s="355"/>
      <c r="H7139" s="355"/>
      <c r="I7139" s="355"/>
      <c r="J7139" s="355"/>
      <c r="K7139" s="355"/>
      <c r="L7139" s="355"/>
      <c r="M7139" s="355"/>
    </row>
    <row r="7140" spans="5:13">
      <c r="E7140" s="355"/>
      <c r="F7140" s="355"/>
      <c r="G7140" s="355"/>
      <c r="H7140" s="355"/>
      <c r="I7140" s="355"/>
      <c r="J7140" s="355"/>
      <c r="K7140" s="355"/>
      <c r="L7140" s="355"/>
      <c r="M7140" s="355"/>
    </row>
    <row r="7141" spans="5:13">
      <c r="E7141" s="355"/>
      <c r="F7141" s="355"/>
      <c r="G7141" s="355"/>
      <c r="H7141" s="355"/>
      <c r="I7141" s="355"/>
      <c r="J7141" s="355"/>
      <c r="K7141" s="355"/>
      <c r="L7141" s="355"/>
      <c r="M7141" s="355"/>
    </row>
    <row r="7142" spans="5:13">
      <c r="E7142" s="355"/>
      <c r="F7142" s="355"/>
      <c r="G7142" s="355"/>
      <c r="H7142" s="355"/>
      <c r="I7142" s="355"/>
      <c r="J7142" s="355"/>
      <c r="K7142" s="355"/>
      <c r="L7142" s="355"/>
      <c r="M7142" s="355"/>
    </row>
    <row r="7143" spans="5:13">
      <c r="E7143" s="355"/>
      <c r="F7143" s="355"/>
      <c r="G7143" s="355"/>
      <c r="H7143" s="355"/>
      <c r="I7143" s="355"/>
      <c r="J7143" s="355"/>
      <c r="K7143" s="355"/>
      <c r="L7143" s="355"/>
      <c r="M7143" s="355"/>
    </row>
    <row r="7144" spans="5:13">
      <c r="E7144" s="355"/>
      <c r="F7144" s="355"/>
      <c r="G7144" s="355"/>
      <c r="H7144" s="355"/>
      <c r="I7144" s="355"/>
      <c r="J7144" s="355"/>
      <c r="K7144" s="355"/>
      <c r="L7144" s="355"/>
      <c r="M7144" s="355"/>
    </row>
    <row r="7145" spans="5:13">
      <c r="E7145" s="355"/>
      <c r="F7145" s="355"/>
      <c r="G7145" s="355"/>
      <c r="H7145" s="355"/>
      <c r="I7145" s="355"/>
      <c r="J7145" s="355"/>
      <c r="K7145" s="355"/>
      <c r="L7145" s="355"/>
      <c r="M7145" s="355"/>
    </row>
    <row r="7146" spans="5:13">
      <c r="E7146" s="355"/>
      <c r="F7146" s="355"/>
      <c r="G7146" s="355"/>
      <c r="H7146" s="355"/>
      <c r="I7146" s="355"/>
      <c r="J7146" s="355"/>
      <c r="K7146" s="355"/>
      <c r="L7146" s="355"/>
      <c r="M7146" s="355"/>
    </row>
    <row r="7147" spans="5:13">
      <c r="E7147" s="355"/>
      <c r="F7147" s="355"/>
      <c r="G7147" s="355"/>
      <c r="H7147" s="355"/>
      <c r="I7147" s="355"/>
      <c r="J7147" s="355"/>
      <c r="K7147" s="355"/>
      <c r="L7147" s="355"/>
      <c r="M7147" s="355"/>
    </row>
    <row r="7148" spans="5:13">
      <c r="E7148" s="355"/>
      <c r="F7148" s="355"/>
      <c r="G7148" s="355"/>
      <c r="H7148" s="355"/>
      <c r="I7148" s="355"/>
      <c r="J7148" s="355"/>
      <c r="K7148" s="355"/>
      <c r="L7148" s="355"/>
      <c r="M7148" s="355"/>
    </row>
    <row r="7149" spans="5:13">
      <c r="E7149" s="355"/>
      <c r="F7149" s="355"/>
      <c r="G7149" s="355"/>
      <c r="H7149" s="355"/>
      <c r="I7149" s="355"/>
      <c r="J7149" s="355"/>
      <c r="K7149" s="355"/>
      <c r="L7149" s="355"/>
      <c r="M7149" s="355"/>
    </row>
    <row r="7150" spans="5:13">
      <c r="E7150" s="355"/>
      <c r="F7150" s="355"/>
      <c r="G7150" s="355"/>
      <c r="H7150" s="355"/>
      <c r="I7150" s="355"/>
      <c r="J7150" s="355"/>
      <c r="K7150" s="355"/>
      <c r="L7150" s="355"/>
      <c r="M7150" s="355"/>
    </row>
    <row r="7151" spans="5:13">
      <c r="E7151" s="355"/>
      <c r="F7151" s="355"/>
      <c r="G7151" s="355"/>
      <c r="H7151" s="355"/>
      <c r="I7151" s="355"/>
      <c r="J7151" s="355"/>
      <c r="K7151" s="355"/>
      <c r="L7151" s="355"/>
      <c r="M7151" s="355"/>
    </row>
    <row r="7152" spans="5:13">
      <c r="E7152" s="355"/>
      <c r="F7152" s="355"/>
      <c r="G7152" s="355"/>
      <c r="H7152" s="355"/>
      <c r="I7152" s="355"/>
      <c r="J7152" s="355"/>
      <c r="K7152" s="355"/>
      <c r="L7152" s="355"/>
      <c r="M7152" s="355"/>
    </row>
    <row r="7153" spans="5:13">
      <c r="E7153" s="355"/>
      <c r="F7153" s="355"/>
      <c r="G7153" s="355"/>
      <c r="H7153" s="355"/>
      <c r="I7153" s="355"/>
      <c r="J7153" s="355"/>
      <c r="K7153" s="355"/>
      <c r="L7153" s="355"/>
      <c r="M7153" s="355"/>
    </row>
    <row r="7154" spans="5:13">
      <c r="E7154" s="355"/>
      <c r="F7154" s="355"/>
      <c r="G7154" s="355"/>
      <c r="H7154" s="355"/>
      <c r="I7154" s="355"/>
      <c r="J7154" s="355"/>
      <c r="K7154" s="355"/>
      <c r="L7154" s="355"/>
      <c r="M7154" s="355"/>
    </row>
    <row r="7155" spans="5:13">
      <c r="E7155" s="355"/>
      <c r="F7155" s="355"/>
      <c r="G7155" s="355"/>
      <c r="H7155" s="355"/>
      <c r="I7155" s="355"/>
      <c r="J7155" s="355"/>
      <c r="K7155" s="355"/>
      <c r="L7155" s="355"/>
      <c r="M7155" s="355"/>
    </row>
    <row r="7156" spans="5:13">
      <c r="E7156" s="355"/>
      <c r="F7156" s="355"/>
      <c r="G7156" s="355"/>
      <c r="H7156" s="355"/>
      <c r="I7156" s="355"/>
      <c r="J7156" s="355"/>
      <c r="K7156" s="355"/>
      <c r="L7156" s="355"/>
      <c r="M7156" s="355"/>
    </row>
    <row r="7157" spans="5:13">
      <c r="E7157" s="355"/>
      <c r="F7157" s="355"/>
      <c r="G7157" s="355"/>
      <c r="H7157" s="355"/>
      <c r="I7157" s="355"/>
      <c r="J7157" s="355"/>
      <c r="K7157" s="355"/>
      <c r="L7157" s="355"/>
      <c r="M7157" s="355"/>
    </row>
    <row r="7158" spans="5:13">
      <c r="E7158" s="355"/>
      <c r="F7158" s="355"/>
      <c r="G7158" s="355"/>
      <c r="H7158" s="355"/>
      <c r="I7158" s="355"/>
      <c r="J7158" s="355"/>
      <c r="K7158" s="355"/>
      <c r="L7158" s="355"/>
      <c r="M7158" s="355"/>
    </row>
    <row r="7159" spans="5:13">
      <c r="E7159" s="355"/>
      <c r="F7159" s="355"/>
      <c r="G7159" s="355"/>
      <c r="H7159" s="355"/>
      <c r="I7159" s="355"/>
      <c r="J7159" s="355"/>
      <c r="K7159" s="355"/>
      <c r="L7159" s="355"/>
      <c r="M7159" s="355"/>
    </row>
    <row r="7160" spans="5:13">
      <c r="E7160" s="355"/>
      <c r="F7160" s="355"/>
      <c r="G7160" s="355"/>
      <c r="H7160" s="355"/>
      <c r="I7160" s="355"/>
      <c r="J7160" s="355"/>
      <c r="K7160" s="355"/>
      <c r="L7160" s="355"/>
      <c r="M7160" s="355"/>
    </row>
    <row r="7161" spans="5:13">
      <c r="E7161" s="355"/>
      <c r="F7161" s="355"/>
      <c r="G7161" s="355"/>
      <c r="H7161" s="355"/>
      <c r="I7161" s="355"/>
      <c r="J7161" s="355"/>
      <c r="K7161" s="355"/>
      <c r="L7161" s="355"/>
      <c r="M7161" s="355"/>
    </row>
    <row r="7162" spans="5:13">
      <c r="E7162" s="355"/>
      <c r="F7162" s="355"/>
      <c r="G7162" s="355"/>
      <c r="H7162" s="355"/>
      <c r="I7162" s="355"/>
      <c r="J7162" s="355"/>
      <c r="K7162" s="355"/>
      <c r="L7162" s="355"/>
      <c r="M7162" s="355"/>
    </row>
    <row r="7163" spans="5:13">
      <c r="E7163" s="355"/>
      <c r="F7163" s="355"/>
      <c r="G7163" s="355"/>
      <c r="H7163" s="355"/>
      <c r="I7163" s="355"/>
      <c r="J7163" s="355"/>
      <c r="K7163" s="355"/>
      <c r="L7163" s="355"/>
      <c r="M7163" s="355"/>
    </row>
    <row r="7164" spans="5:13">
      <c r="E7164" s="355"/>
      <c r="F7164" s="355"/>
      <c r="G7164" s="355"/>
      <c r="H7164" s="355"/>
      <c r="I7164" s="355"/>
      <c r="J7164" s="355"/>
      <c r="K7164" s="355"/>
      <c r="L7164" s="355"/>
      <c r="M7164" s="355"/>
    </row>
    <row r="7165" spans="5:13">
      <c r="E7165" s="355"/>
      <c r="F7165" s="355"/>
      <c r="G7165" s="355"/>
      <c r="H7165" s="355"/>
      <c r="I7165" s="355"/>
      <c r="J7165" s="355"/>
      <c r="K7165" s="355"/>
      <c r="L7165" s="355"/>
      <c r="M7165" s="355"/>
    </row>
    <row r="7166" spans="5:13">
      <c r="E7166" s="355"/>
      <c r="F7166" s="355"/>
      <c r="G7166" s="355"/>
      <c r="H7166" s="355"/>
      <c r="I7166" s="355"/>
      <c r="J7166" s="355"/>
      <c r="K7166" s="355"/>
      <c r="L7166" s="355"/>
      <c r="M7166" s="355"/>
    </row>
    <row r="7167" spans="5:13">
      <c r="E7167" s="355"/>
      <c r="F7167" s="355"/>
      <c r="G7167" s="355"/>
      <c r="H7167" s="355"/>
      <c r="I7167" s="355"/>
      <c r="J7167" s="355"/>
      <c r="K7167" s="355"/>
      <c r="L7167" s="355"/>
      <c r="M7167" s="355"/>
    </row>
    <row r="7168" spans="5:13">
      <c r="E7168" s="355"/>
      <c r="F7168" s="355"/>
      <c r="G7168" s="355"/>
      <c r="H7168" s="355"/>
      <c r="I7168" s="355"/>
      <c r="J7168" s="355"/>
      <c r="K7168" s="355"/>
      <c r="L7168" s="355"/>
      <c r="M7168" s="355"/>
    </row>
    <row r="7169" spans="5:13">
      <c r="E7169" s="355"/>
      <c r="F7169" s="355"/>
      <c r="G7169" s="355"/>
      <c r="H7169" s="355"/>
      <c r="I7169" s="355"/>
      <c r="J7169" s="355"/>
      <c r="K7169" s="355"/>
      <c r="L7169" s="355"/>
      <c r="M7169" s="355"/>
    </row>
    <row r="7170" spans="5:13">
      <c r="E7170" s="355"/>
      <c r="F7170" s="355"/>
      <c r="G7170" s="355"/>
      <c r="H7170" s="355"/>
      <c r="I7170" s="355"/>
      <c r="J7170" s="355"/>
      <c r="K7170" s="355"/>
      <c r="L7170" s="355"/>
      <c r="M7170" s="355"/>
    </row>
    <row r="7171" spans="5:13">
      <c r="E7171" s="355"/>
      <c r="F7171" s="355"/>
      <c r="G7171" s="355"/>
      <c r="H7171" s="355"/>
      <c r="I7171" s="355"/>
      <c r="J7171" s="355"/>
      <c r="K7171" s="355"/>
      <c r="L7171" s="355"/>
      <c r="M7171" s="355"/>
    </row>
    <row r="7172" spans="5:13">
      <c r="E7172" s="355"/>
      <c r="F7172" s="355"/>
      <c r="G7172" s="355"/>
      <c r="H7172" s="355"/>
      <c r="I7172" s="355"/>
      <c r="J7172" s="355"/>
      <c r="K7172" s="355"/>
      <c r="L7172" s="355"/>
      <c r="M7172" s="355"/>
    </row>
    <row r="7173" spans="5:13">
      <c r="E7173" s="355"/>
      <c r="F7173" s="355"/>
      <c r="G7173" s="355"/>
      <c r="H7173" s="355"/>
      <c r="I7173" s="355"/>
      <c r="J7173" s="355"/>
      <c r="K7173" s="355"/>
      <c r="L7173" s="355"/>
      <c r="M7173" s="355"/>
    </row>
    <row r="7174" spans="5:13">
      <c r="E7174" s="355"/>
      <c r="F7174" s="355"/>
      <c r="G7174" s="355"/>
      <c r="H7174" s="355"/>
      <c r="I7174" s="355"/>
      <c r="J7174" s="355"/>
      <c r="K7174" s="355"/>
      <c r="L7174" s="355"/>
      <c r="M7174" s="355"/>
    </row>
    <row r="7175" spans="5:13">
      <c r="E7175" s="355"/>
      <c r="F7175" s="355"/>
      <c r="G7175" s="355"/>
      <c r="H7175" s="355"/>
      <c r="I7175" s="355"/>
      <c r="J7175" s="355"/>
      <c r="K7175" s="355"/>
      <c r="L7175" s="355"/>
      <c r="M7175" s="355"/>
    </row>
    <row r="7176" spans="5:13">
      <c r="E7176" s="355"/>
      <c r="F7176" s="355"/>
      <c r="G7176" s="355"/>
      <c r="H7176" s="355"/>
      <c r="I7176" s="355"/>
      <c r="J7176" s="355"/>
      <c r="K7176" s="355"/>
      <c r="L7176" s="355"/>
      <c r="M7176" s="355"/>
    </row>
    <row r="7177" spans="5:13">
      <c r="E7177" s="355"/>
      <c r="F7177" s="355"/>
      <c r="G7177" s="355"/>
      <c r="H7177" s="355"/>
      <c r="I7177" s="355"/>
      <c r="J7177" s="355"/>
      <c r="K7177" s="355"/>
      <c r="L7177" s="355"/>
      <c r="M7177" s="355"/>
    </row>
    <row r="7178" spans="5:13">
      <c r="E7178" s="355"/>
      <c r="F7178" s="355"/>
      <c r="G7178" s="355"/>
      <c r="H7178" s="355"/>
      <c r="I7178" s="355"/>
      <c r="J7178" s="355"/>
      <c r="K7178" s="355"/>
      <c r="L7178" s="355"/>
      <c r="M7178" s="355"/>
    </row>
    <row r="7179" spans="5:13">
      <c r="E7179" s="355"/>
      <c r="F7179" s="355"/>
      <c r="G7179" s="355"/>
      <c r="H7179" s="355"/>
      <c r="I7179" s="355"/>
      <c r="J7179" s="355"/>
      <c r="K7179" s="355"/>
      <c r="L7179" s="355"/>
      <c r="M7179" s="355"/>
    </row>
    <row r="7180" spans="5:13">
      <c r="E7180" s="355"/>
      <c r="F7180" s="355"/>
      <c r="G7180" s="355"/>
      <c r="H7180" s="355"/>
      <c r="I7180" s="355"/>
      <c r="J7180" s="355"/>
      <c r="K7180" s="355"/>
      <c r="L7180" s="355"/>
      <c r="M7180" s="355"/>
    </row>
    <row r="7181" spans="5:13">
      <c r="E7181" s="355"/>
      <c r="F7181" s="355"/>
      <c r="G7181" s="355"/>
      <c r="H7181" s="355"/>
      <c r="I7181" s="355"/>
      <c r="J7181" s="355"/>
      <c r="K7181" s="355"/>
      <c r="L7181" s="355"/>
      <c r="M7181" s="355"/>
    </row>
    <row r="7182" spans="5:13">
      <c r="E7182" s="355"/>
      <c r="F7182" s="355"/>
      <c r="G7182" s="355"/>
      <c r="H7182" s="355"/>
      <c r="I7182" s="355"/>
      <c r="J7182" s="355"/>
      <c r="K7182" s="355"/>
      <c r="L7182" s="355"/>
      <c r="M7182" s="355"/>
    </row>
    <row r="7183" spans="5:13">
      <c r="E7183" s="355"/>
      <c r="F7183" s="355"/>
      <c r="G7183" s="355"/>
      <c r="H7183" s="355"/>
      <c r="I7183" s="355"/>
      <c r="J7183" s="355"/>
      <c r="K7183" s="355"/>
      <c r="L7183" s="355"/>
      <c r="M7183" s="355"/>
    </row>
    <row r="7184" spans="5:13">
      <c r="E7184" s="355"/>
      <c r="F7184" s="355"/>
      <c r="G7184" s="355"/>
      <c r="H7184" s="355"/>
      <c r="I7184" s="355"/>
      <c r="J7184" s="355"/>
      <c r="K7184" s="355"/>
      <c r="L7184" s="355"/>
      <c r="M7184" s="355"/>
    </row>
    <row r="7185" spans="5:13">
      <c r="E7185" s="355"/>
      <c r="F7185" s="355"/>
      <c r="G7185" s="355"/>
      <c r="H7185" s="355"/>
      <c r="I7185" s="355"/>
      <c r="J7185" s="355"/>
      <c r="K7185" s="355"/>
      <c r="L7185" s="355"/>
      <c r="M7185" s="355"/>
    </row>
    <row r="7186" spans="5:13">
      <c r="E7186" s="355"/>
      <c r="F7186" s="355"/>
      <c r="G7186" s="355"/>
      <c r="H7186" s="355"/>
      <c r="I7186" s="355"/>
      <c r="J7186" s="355"/>
      <c r="K7186" s="355"/>
      <c r="L7186" s="355"/>
      <c r="M7186" s="355"/>
    </row>
    <row r="7187" spans="5:13">
      <c r="E7187" s="355"/>
      <c r="F7187" s="355"/>
      <c r="G7187" s="355"/>
      <c r="H7187" s="355"/>
      <c r="I7187" s="355"/>
      <c r="J7187" s="355"/>
      <c r="K7187" s="355"/>
      <c r="L7187" s="355"/>
      <c r="M7187" s="355"/>
    </row>
    <row r="7188" spans="5:13">
      <c r="E7188" s="355"/>
      <c r="F7188" s="355"/>
      <c r="G7188" s="355"/>
      <c r="H7188" s="355"/>
      <c r="I7188" s="355"/>
      <c r="J7188" s="355"/>
      <c r="K7188" s="355"/>
      <c r="L7188" s="355"/>
      <c r="M7188" s="355"/>
    </row>
    <row r="7189" spans="5:13">
      <c r="E7189" s="355"/>
      <c r="F7189" s="355"/>
      <c r="G7189" s="355"/>
      <c r="H7189" s="355"/>
      <c r="I7189" s="355"/>
      <c r="J7189" s="355"/>
      <c r="K7189" s="355"/>
      <c r="L7189" s="355"/>
      <c r="M7189" s="355"/>
    </row>
    <row r="7190" spans="5:13">
      <c r="E7190" s="355"/>
      <c r="F7190" s="355"/>
      <c r="G7190" s="355"/>
      <c r="H7190" s="355"/>
      <c r="I7190" s="355"/>
      <c r="J7190" s="355"/>
      <c r="K7190" s="355"/>
      <c r="L7190" s="355"/>
      <c r="M7190" s="355"/>
    </row>
    <row r="7191" spans="5:13">
      <c r="E7191" s="355"/>
      <c r="F7191" s="355"/>
      <c r="G7191" s="355"/>
      <c r="H7191" s="355"/>
      <c r="I7191" s="355"/>
      <c r="J7191" s="355"/>
      <c r="K7191" s="355"/>
      <c r="L7191" s="355"/>
      <c r="M7191" s="355"/>
    </row>
    <row r="7192" spans="5:13">
      <c r="E7192" s="355"/>
      <c r="F7192" s="355"/>
      <c r="G7192" s="355"/>
      <c r="H7192" s="355"/>
      <c r="I7192" s="355"/>
      <c r="J7192" s="355"/>
      <c r="K7192" s="355"/>
      <c r="L7192" s="355"/>
      <c r="M7192" s="355"/>
    </row>
    <row r="7193" spans="5:13">
      <c r="E7193" s="355"/>
      <c r="F7193" s="355"/>
      <c r="G7193" s="355"/>
      <c r="H7193" s="355"/>
      <c r="I7193" s="355"/>
      <c r="J7193" s="355"/>
      <c r="K7193" s="355"/>
      <c r="L7193" s="355"/>
      <c r="M7193" s="355"/>
    </row>
    <row r="7194" spans="5:13">
      <c r="E7194" s="355"/>
      <c r="F7194" s="355"/>
      <c r="G7194" s="355"/>
      <c r="H7194" s="355"/>
      <c r="I7194" s="355"/>
      <c r="J7194" s="355"/>
      <c r="K7194" s="355"/>
      <c r="L7194" s="355"/>
      <c r="M7194" s="355"/>
    </row>
    <row r="7195" spans="5:13">
      <c r="E7195" s="355"/>
      <c r="F7195" s="355"/>
      <c r="G7195" s="355"/>
      <c r="H7195" s="355"/>
      <c r="I7195" s="355"/>
      <c r="J7195" s="355"/>
      <c r="K7195" s="355"/>
      <c r="L7195" s="355"/>
      <c r="M7195" s="355"/>
    </row>
    <row r="7196" spans="5:13">
      <c r="E7196" s="355"/>
      <c r="F7196" s="355"/>
      <c r="G7196" s="355"/>
      <c r="H7196" s="355"/>
      <c r="I7196" s="355"/>
      <c r="J7196" s="355"/>
      <c r="K7196" s="355"/>
      <c r="L7196" s="355"/>
      <c r="M7196" s="355"/>
    </row>
    <row r="7197" spans="5:13">
      <c r="E7197" s="355"/>
      <c r="F7197" s="355"/>
      <c r="G7197" s="355"/>
      <c r="H7197" s="355"/>
      <c r="I7197" s="355"/>
      <c r="J7197" s="355"/>
      <c r="K7197" s="355"/>
      <c r="L7197" s="355"/>
      <c r="M7197" s="355"/>
    </row>
    <row r="7198" spans="5:13">
      <c r="E7198" s="355"/>
      <c r="F7198" s="355"/>
      <c r="G7198" s="355"/>
      <c r="H7198" s="355"/>
      <c r="I7198" s="355"/>
      <c r="J7198" s="355"/>
      <c r="K7198" s="355"/>
      <c r="L7198" s="355"/>
      <c r="M7198" s="355"/>
    </row>
    <row r="7199" spans="5:13">
      <c r="E7199" s="355"/>
      <c r="F7199" s="355"/>
      <c r="G7199" s="355"/>
      <c r="H7199" s="355"/>
      <c r="I7199" s="355"/>
      <c r="J7199" s="355"/>
      <c r="K7199" s="355"/>
      <c r="L7199" s="355"/>
      <c r="M7199" s="355"/>
    </row>
    <row r="7200" spans="5:13">
      <c r="E7200" s="355"/>
      <c r="F7200" s="355"/>
      <c r="G7200" s="355"/>
      <c r="H7200" s="355"/>
      <c r="I7200" s="355"/>
      <c r="J7200" s="355"/>
      <c r="K7200" s="355"/>
      <c r="L7200" s="355"/>
      <c r="M7200" s="355"/>
    </row>
    <row r="7201" spans="5:13">
      <c r="E7201" s="355"/>
      <c r="F7201" s="355"/>
      <c r="G7201" s="355"/>
      <c r="H7201" s="355"/>
      <c r="I7201" s="355"/>
      <c r="J7201" s="355"/>
      <c r="K7201" s="355"/>
      <c r="L7201" s="355"/>
      <c r="M7201" s="355"/>
    </row>
    <row r="7202" spans="5:13">
      <c r="E7202" s="355"/>
      <c r="F7202" s="355"/>
      <c r="G7202" s="355"/>
      <c r="H7202" s="355"/>
      <c r="I7202" s="355"/>
      <c r="J7202" s="355"/>
      <c r="K7202" s="355"/>
      <c r="L7202" s="355"/>
      <c r="M7202" s="355"/>
    </row>
    <row r="7203" spans="5:13">
      <c r="E7203" s="355"/>
      <c r="F7203" s="355"/>
      <c r="G7203" s="355"/>
      <c r="H7203" s="355"/>
      <c r="I7203" s="355"/>
      <c r="J7203" s="355"/>
      <c r="K7203" s="355"/>
      <c r="L7203" s="355"/>
      <c r="M7203" s="355"/>
    </row>
    <row r="7204" spans="5:13">
      <c r="E7204" s="355"/>
      <c r="F7204" s="355"/>
      <c r="G7204" s="355"/>
      <c r="H7204" s="355"/>
      <c r="I7204" s="355"/>
      <c r="J7204" s="355"/>
      <c r="K7204" s="355"/>
      <c r="L7204" s="355"/>
      <c r="M7204" s="355"/>
    </row>
    <row r="7205" spans="5:13">
      <c r="E7205" s="355"/>
      <c r="F7205" s="355"/>
      <c r="G7205" s="355"/>
      <c r="H7205" s="355"/>
      <c r="I7205" s="355"/>
      <c r="J7205" s="355"/>
      <c r="K7205" s="355"/>
      <c r="L7205" s="355"/>
      <c r="M7205" s="355"/>
    </row>
    <row r="7206" spans="5:13">
      <c r="E7206" s="355"/>
      <c r="F7206" s="355"/>
      <c r="G7206" s="355"/>
      <c r="H7206" s="355"/>
      <c r="I7206" s="355"/>
      <c r="J7206" s="355"/>
      <c r="K7206" s="355"/>
      <c r="L7206" s="355"/>
      <c r="M7206" s="355"/>
    </row>
    <row r="7207" spans="5:13">
      <c r="E7207" s="355"/>
      <c r="F7207" s="355"/>
      <c r="G7207" s="355"/>
      <c r="H7207" s="355"/>
      <c r="I7207" s="355"/>
      <c r="J7207" s="355"/>
      <c r="K7207" s="355"/>
      <c r="L7207" s="355"/>
      <c r="M7207" s="355"/>
    </row>
    <row r="7208" spans="5:13">
      <c r="E7208" s="355"/>
      <c r="F7208" s="355"/>
      <c r="G7208" s="355"/>
      <c r="H7208" s="355"/>
      <c r="I7208" s="355"/>
      <c r="J7208" s="355"/>
      <c r="K7208" s="355"/>
      <c r="L7208" s="355"/>
      <c r="M7208" s="355"/>
    </row>
    <row r="7209" spans="5:13">
      <c r="E7209" s="355"/>
      <c r="F7209" s="355"/>
      <c r="G7209" s="355"/>
      <c r="H7209" s="355"/>
      <c r="I7209" s="355"/>
      <c r="J7209" s="355"/>
      <c r="K7209" s="355"/>
      <c r="L7209" s="355"/>
      <c r="M7209" s="355"/>
    </row>
    <row r="7210" spans="5:13">
      <c r="E7210" s="355"/>
      <c r="F7210" s="355"/>
      <c r="G7210" s="355"/>
      <c r="H7210" s="355"/>
      <c r="I7210" s="355"/>
      <c r="J7210" s="355"/>
      <c r="K7210" s="355"/>
      <c r="L7210" s="355"/>
      <c r="M7210" s="355"/>
    </row>
    <row r="7211" spans="5:13">
      <c r="E7211" s="355"/>
      <c r="F7211" s="355"/>
      <c r="G7211" s="355"/>
      <c r="H7211" s="355"/>
      <c r="I7211" s="355"/>
      <c r="J7211" s="355"/>
      <c r="K7211" s="355"/>
      <c r="L7211" s="355"/>
      <c r="M7211" s="355"/>
    </row>
    <row r="7212" spans="5:13">
      <c r="E7212" s="355"/>
      <c r="F7212" s="355"/>
      <c r="G7212" s="355"/>
      <c r="H7212" s="355"/>
      <c r="I7212" s="355"/>
      <c r="J7212" s="355"/>
      <c r="K7212" s="355"/>
      <c r="L7212" s="355"/>
      <c r="M7212" s="355"/>
    </row>
    <row r="7213" spans="5:13">
      <c r="E7213" s="355"/>
      <c r="F7213" s="355"/>
      <c r="G7213" s="355"/>
      <c r="H7213" s="355"/>
      <c r="I7213" s="355"/>
      <c r="J7213" s="355"/>
      <c r="K7213" s="355"/>
      <c r="L7213" s="355"/>
      <c r="M7213" s="355"/>
    </row>
    <row r="7214" spans="5:13">
      <c r="E7214" s="355"/>
      <c r="F7214" s="355"/>
      <c r="G7214" s="355"/>
      <c r="H7214" s="355"/>
      <c r="I7214" s="355"/>
      <c r="J7214" s="355"/>
      <c r="K7214" s="355"/>
      <c r="L7214" s="355"/>
      <c r="M7214" s="355"/>
    </row>
    <row r="7215" spans="5:13">
      <c r="E7215" s="355"/>
      <c r="F7215" s="355"/>
      <c r="G7215" s="355"/>
      <c r="H7215" s="355"/>
      <c r="I7215" s="355"/>
      <c r="J7215" s="355"/>
      <c r="K7215" s="355"/>
      <c r="L7215" s="355"/>
      <c r="M7215" s="355"/>
    </row>
    <row r="7216" spans="5:13">
      <c r="E7216" s="355"/>
      <c r="F7216" s="355"/>
      <c r="G7216" s="355"/>
      <c r="H7216" s="355"/>
      <c r="I7216" s="355"/>
      <c r="J7216" s="355"/>
      <c r="K7216" s="355"/>
      <c r="L7216" s="355"/>
      <c r="M7216" s="355"/>
    </row>
    <row r="7217" spans="5:13">
      <c r="E7217" s="355"/>
      <c r="F7217" s="355"/>
      <c r="G7217" s="355"/>
      <c r="H7217" s="355"/>
      <c r="I7217" s="355"/>
      <c r="J7217" s="355"/>
      <c r="K7217" s="355"/>
      <c r="L7217" s="355"/>
      <c r="M7217" s="355"/>
    </row>
    <row r="7218" spans="5:13">
      <c r="E7218" s="355"/>
      <c r="F7218" s="355"/>
      <c r="G7218" s="355"/>
      <c r="H7218" s="355"/>
      <c r="I7218" s="355"/>
      <c r="J7218" s="355"/>
      <c r="K7218" s="355"/>
      <c r="L7218" s="355"/>
      <c r="M7218" s="355"/>
    </row>
    <row r="7219" spans="5:13">
      <c r="E7219" s="355"/>
      <c r="F7219" s="355"/>
      <c r="G7219" s="355"/>
      <c r="H7219" s="355"/>
      <c r="I7219" s="355"/>
      <c r="J7219" s="355"/>
      <c r="K7219" s="355"/>
      <c r="L7219" s="355"/>
      <c r="M7219" s="355"/>
    </row>
    <row r="7220" spans="5:13">
      <c r="E7220" s="355"/>
      <c r="F7220" s="355"/>
      <c r="G7220" s="355"/>
      <c r="H7220" s="355"/>
      <c r="I7220" s="355"/>
      <c r="J7220" s="355"/>
      <c r="K7220" s="355"/>
      <c r="L7220" s="355"/>
      <c r="M7220" s="355"/>
    </row>
    <row r="7221" spans="5:13">
      <c r="E7221" s="355"/>
      <c r="F7221" s="355"/>
      <c r="G7221" s="355"/>
      <c r="H7221" s="355"/>
      <c r="I7221" s="355"/>
      <c r="J7221" s="355"/>
      <c r="K7221" s="355"/>
      <c r="L7221" s="355"/>
      <c r="M7221" s="355"/>
    </row>
    <row r="7222" spans="5:13">
      <c r="E7222" s="355"/>
      <c r="F7222" s="355"/>
      <c r="G7222" s="355"/>
      <c r="H7222" s="355"/>
      <c r="I7222" s="355"/>
      <c r="J7222" s="355"/>
      <c r="K7222" s="355"/>
      <c r="L7222" s="355"/>
      <c r="M7222" s="355"/>
    </row>
    <row r="7223" spans="5:13">
      <c r="E7223" s="355"/>
      <c r="F7223" s="355"/>
      <c r="G7223" s="355"/>
      <c r="H7223" s="355"/>
      <c r="I7223" s="355"/>
      <c r="J7223" s="355"/>
      <c r="K7223" s="355"/>
      <c r="L7223" s="355"/>
      <c r="M7223" s="355"/>
    </row>
    <row r="7224" spans="5:13">
      <c r="E7224" s="355"/>
      <c r="F7224" s="355"/>
      <c r="G7224" s="355"/>
      <c r="H7224" s="355"/>
      <c r="I7224" s="355"/>
      <c r="J7224" s="355"/>
      <c r="K7224" s="355"/>
      <c r="L7224" s="355"/>
      <c r="M7224" s="355"/>
    </row>
    <row r="7225" spans="5:13">
      <c r="E7225" s="355"/>
      <c r="F7225" s="355"/>
      <c r="G7225" s="355"/>
      <c r="H7225" s="355"/>
      <c r="I7225" s="355"/>
      <c r="J7225" s="355"/>
      <c r="K7225" s="355"/>
      <c r="L7225" s="355"/>
      <c r="M7225" s="355"/>
    </row>
    <row r="7226" spans="5:13">
      <c r="E7226" s="355"/>
      <c r="F7226" s="355"/>
      <c r="G7226" s="355"/>
      <c r="H7226" s="355"/>
      <c r="I7226" s="355"/>
      <c r="J7226" s="355"/>
      <c r="K7226" s="355"/>
      <c r="L7226" s="355"/>
      <c r="M7226" s="355"/>
    </row>
    <row r="7227" spans="5:13">
      <c r="E7227" s="355"/>
      <c r="F7227" s="355"/>
      <c r="G7227" s="355"/>
      <c r="H7227" s="355"/>
      <c r="I7227" s="355"/>
      <c r="J7227" s="355"/>
      <c r="K7227" s="355"/>
      <c r="L7227" s="355"/>
      <c r="M7227" s="355"/>
    </row>
    <row r="7228" spans="5:13">
      <c r="E7228" s="355"/>
      <c r="F7228" s="355"/>
      <c r="G7228" s="355"/>
      <c r="H7228" s="355"/>
      <c r="I7228" s="355"/>
      <c r="J7228" s="355"/>
      <c r="K7228" s="355"/>
      <c r="L7228" s="355"/>
      <c r="M7228" s="355"/>
    </row>
    <row r="7229" spans="5:13">
      <c r="E7229" s="355"/>
      <c r="F7229" s="355"/>
      <c r="G7229" s="355"/>
      <c r="H7229" s="355"/>
      <c r="I7229" s="355"/>
      <c r="J7229" s="355"/>
      <c r="K7229" s="355"/>
      <c r="L7229" s="355"/>
      <c r="M7229" s="355"/>
    </row>
    <row r="7230" spans="5:13">
      <c r="E7230" s="355"/>
      <c r="F7230" s="355"/>
      <c r="G7230" s="355"/>
      <c r="H7230" s="355"/>
      <c r="I7230" s="355"/>
      <c r="J7230" s="355"/>
      <c r="K7230" s="355"/>
      <c r="L7230" s="355"/>
      <c r="M7230" s="355"/>
    </row>
    <row r="7231" spans="5:13">
      <c r="E7231" s="355"/>
      <c r="F7231" s="355"/>
      <c r="G7231" s="355"/>
      <c r="H7231" s="355"/>
      <c r="I7231" s="355"/>
      <c r="J7231" s="355"/>
      <c r="K7231" s="355"/>
      <c r="L7231" s="355"/>
      <c r="M7231" s="355"/>
    </row>
    <row r="7232" spans="5:13">
      <c r="E7232" s="355"/>
      <c r="F7232" s="355"/>
      <c r="G7232" s="355"/>
      <c r="H7232" s="355"/>
      <c r="I7232" s="355"/>
      <c r="J7232" s="355"/>
      <c r="K7232" s="355"/>
      <c r="L7232" s="355"/>
      <c r="M7232" s="355"/>
    </row>
    <row r="7233" spans="5:13">
      <c r="E7233" s="355"/>
      <c r="F7233" s="355"/>
      <c r="G7233" s="355"/>
      <c r="H7233" s="355"/>
      <c r="I7233" s="355"/>
      <c r="J7233" s="355"/>
      <c r="K7233" s="355"/>
      <c r="L7233" s="355"/>
      <c r="M7233" s="355"/>
    </row>
    <row r="7234" spans="5:13">
      <c r="E7234" s="355"/>
      <c r="F7234" s="355"/>
      <c r="G7234" s="355"/>
      <c r="H7234" s="355"/>
      <c r="I7234" s="355"/>
      <c r="J7234" s="355"/>
      <c r="K7234" s="355"/>
      <c r="L7234" s="355"/>
      <c r="M7234" s="355"/>
    </row>
    <row r="7235" spans="5:13">
      <c r="E7235" s="355"/>
      <c r="F7235" s="355"/>
      <c r="G7235" s="355"/>
      <c r="H7235" s="355"/>
      <c r="I7235" s="355"/>
      <c r="J7235" s="355"/>
      <c r="K7235" s="355"/>
      <c r="L7235" s="355"/>
      <c r="M7235" s="355"/>
    </row>
    <row r="7236" spans="5:13">
      <c r="E7236" s="355"/>
      <c r="F7236" s="355"/>
      <c r="G7236" s="355"/>
      <c r="H7236" s="355"/>
      <c r="I7236" s="355"/>
      <c r="J7236" s="355"/>
      <c r="K7236" s="355"/>
      <c r="L7236" s="355"/>
      <c r="M7236" s="355"/>
    </row>
    <row r="7237" spans="5:13">
      <c r="E7237" s="355"/>
      <c r="F7237" s="355"/>
      <c r="G7237" s="355"/>
      <c r="H7237" s="355"/>
      <c r="I7237" s="355"/>
      <c r="J7237" s="355"/>
      <c r="K7237" s="355"/>
      <c r="L7237" s="355"/>
      <c r="M7237" s="355"/>
    </row>
    <row r="7238" spans="5:13">
      <c r="E7238" s="355"/>
      <c r="F7238" s="355"/>
      <c r="G7238" s="355"/>
      <c r="H7238" s="355"/>
      <c r="I7238" s="355"/>
      <c r="J7238" s="355"/>
      <c r="K7238" s="355"/>
      <c r="L7238" s="355"/>
      <c r="M7238" s="355"/>
    </row>
    <row r="7239" spans="5:13">
      <c r="E7239" s="355"/>
      <c r="F7239" s="355"/>
      <c r="G7239" s="355"/>
      <c r="H7239" s="355"/>
      <c r="I7239" s="355"/>
      <c r="J7239" s="355"/>
      <c r="K7239" s="355"/>
      <c r="L7239" s="355"/>
      <c r="M7239" s="355"/>
    </row>
    <row r="7240" spans="5:13">
      <c r="E7240" s="355"/>
      <c r="F7240" s="355"/>
      <c r="G7240" s="355"/>
      <c r="H7240" s="355"/>
      <c r="I7240" s="355"/>
      <c r="J7240" s="355"/>
      <c r="K7240" s="355"/>
      <c r="L7240" s="355"/>
      <c r="M7240" s="355"/>
    </row>
    <row r="7241" spans="5:13">
      <c r="E7241" s="355"/>
      <c r="F7241" s="355"/>
      <c r="G7241" s="355"/>
      <c r="H7241" s="355"/>
      <c r="I7241" s="355"/>
      <c r="J7241" s="355"/>
      <c r="K7241" s="355"/>
      <c r="L7241" s="355"/>
      <c r="M7241" s="355"/>
    </row>
    <row r="7242" spans="5:13">
      <c r="E7242" s="355"/>
      <c r="F7242" s="355"/>
      <c r="G7242" s="355"/>
      <c r="H7242" s="355"/>
      <c r="I7242" s="355"/>
      <c r="J7242" s="355"/>
      <c r="K7242" s="355"/>
      <c r="L7242" s="355"/>
      <c r="M7242" s="355"/>
    </row>
    <row r="7243" spans="5:13">
      <c r="E7243" s="355"/>
      <c r="F7243" s="355"/>
      <c r="G7243" s="355"/>
      <c r="H7243" s="355"/>
      <c r="I7243" s="355"/>
      <c r="J7243" s="355"/>
      <c r="K7243" s="355"/>
      <c r="L7243" s="355"/>
      <c r="M7243" s="355"/>
    </row>
    <row r="7244" spans="5:13">
      <c r="E7244" s="355"/>
      <c r="F7244" s="355"/>
      <c r="G7244" s="355"/>
      <c r="H7244" s="355"/>
      <c r="I7244" s="355"/>
      <c r="J7244" s="355"/>
      <c r="K7244" s="355"/>
      <c r="L7244" s="355"/>
      <c r="M7244" s="355"/>
    </row>
    <row r="7245" spans="5:13">
      <c r="E7245" s="355"/>
      <c r="F7245" s="355"/>
      <c r="G7245" s="355"/>
      <c r="H7245" s="355"/>
      <c r="I7245" s="355"/>
      <c r="J7245" s="355"/>
      <c r="K7245" s="355"/>
      <c r="L7245" s="355"/>
      <c r="M7245" s="355"/>
    </row>
    <row r="7246" spans="5:13">
      <c r="E7246" s="355"/>
      <c r="F7246" s="355"/>
      <c r="G7246" s="355"/>
      <c r="H7246" s="355"/>
      <c r="I7246" s="355"/>
      <c r="J7246" s="355"/>
      <c r="K7246" s="355"/>
      <c r="L7246" s="355"/>
      <c r="M7246" s="355"/>
    </row>
    <row r="7247" spans="5:13">
      <c r="E7247" s="355"/>
      <c r="F7247" s="355"/>
      <c r="G7247" s="355"/>
      <c r="H7247" s="355"/>
      <c r="I7247" s="355"/>
      <c r="J7247" s="355"/>
      <c r="K7247" s="355"/>
      <c r="L7247" s="355"/>
      <c r="M7247" s="355"/>
    </row>
    <row r="7248" spans="5:13">
      <c r="E7248" s="355"/>
      <c r="F7248" s="355"/>
      <c r="G7248" s="355"/>
      <c r="H7248" s="355"/>
      <c r="I7248" s="355"/>
      <c r="J7248" s="355"/>
      <c r="K7248" s="355"/>
      <c r="L7248" s="355"/>
      <c r="M7248" s="355"/>
    </row>
    <row r="7249" spans="5:13">
      <c r="E7249" s="355"/>
      <c r="F7249" s="355"/>
      <c r="G7249" s="355"/>
      <c r="H7249" s="355"/>
      <c r="I7249" s="355"/>
      <c r="J7249" s="355"/>
      <c r="K7249" s="355"/>
      <c r="L7249" s="355"/>
      <c r="M7249" s="355"/>
    </row>
    <row r="7250" spans="5:13">
      <c r="E7250" s="355"/>
      <c r="F7250" s="355"/>
      <c r="G7250" s="355"/>
      <c r="H7250" s="355"/>
      <c r="I7250" s="355"/>
      <c r="J7250" s="355"/>
      <c r="K7250" s="355"/>
      <c r="L7250" s="355"/>
      <c r="M7250" s="355"/>
    </row>
    <row r="7251" spans="5:13">
      <c r="E7251" s="355"/>
      <c r="F7251" s="355"/>
      <c r="G7251" s="355"/>
      <c r="H7251" s="355"/>
      <c r="I7251" s="355"/>
      <c r="J7251" s="355"/>
      <c r="K7251" s="355"/>
      <c r="L7251" s="355"/>
      <c r="M7251" s="355"/>
    </row>
    <row r="7252" spans="5:13">
      <c r="E7252" s="355"/>
      <c r="F7252" s="355"/>
      <c r="G7252" s="355"/>
      <c r="H7252" s="355"/>
      <c r="I7252" s="355"/>
      <c r="J7252" s="355"/>
      <c r="K7252" s="355"/>
      <c r="L7252" s="355"/>
      <c r="M7252" s="355"/>
    </row>
    <row r="7253" spans="5:13">
      <c r="E7253" s="355"/>
      <c r="F7253" s="355"/>
      <c r="G7253" s="355"/>
      <c r="H7253" s="355"/>
      <c r="I7253" s="355"/>
      <c r="J7253" s="355"/>
      <c r="K7253" s="355"/>
      <c r="L7253" s="355"/>
      <c r="M7253" s="355"/>
    </row>
    <row r="7254" spans="5:13">
      <c r="E7254" s="355"/>
      <c r="F7254" s="355"/>
      <c r="G7254" s="355"/>
      <c r="H7254" s="355"/>
      <c r="I7254" s="355"/>
      <c r="J7254" s="355"/>
      <c r="K7254" s="355"/>
      <c r="L7254" s="355"/>
      <c r="M7254" s="355"/>
    </row>
    <row r="7255" spans="5:13">
      <c r="E7255" s="355"/>
      <c r="F7255" s="355"/>
      <c r="G7255" s="355"/>
      <c r="H7255" s="355"/>
      <c r="I7255" s="355"/>
      <c r="J7255" s="355"/>
      <c r="K7255" s="355"/>
      <c r="L7255" s="355"/>
      <c r="M7255" s="355"/>
    </row>
    <row r="7256" spans="5:13">
      <c r="E7256" s="355"/>
      <c r="F7256" s="355"/>
      <c r="G7256" s="355"/>
      <c r="H7256" s="355"/>
      <c r="I7256" s="355"/>
      <c r="J7256" s="355"/>
      <c r="K7256" s="355"/>
      <c r="L7256" s="355"/>
      <c r="M7256" s="355"/>
    </row>
    <row r="7257" spans="5:13">
      <c r="E7257" s="355"/>
      <c r="F7257" s="355"/>
      <c r="G7257" s="355"/>
      <c r="H7257" s="355"/>
      <c r="I7257" s="355"/>
      <c r="J7257" s="355"/>
      <c r="K7257" s="355"/>
      <c r="L7257" s="355"/>
      <c r="M7257" s="355"/>
    </row>
    <row r="7258" spans="5:13">
      <c r="E7258" s="355"/>
      <c r="F7258" s="355"/>
      <c r="G7258" s="355"/>
      <c r="H7258" s="355"/>
      <c r="I7258" s="355"/>
      <c r="J7258" s="355"/>
      <c r="K7258" s="355"/>
      <c r="L7258" s="355"/>
      <c r="M7258" s="355"/>
    </row>
    <row r="7259" spans="5:13">
      <c r="E7259" s="355"/>
      <c r="F7259" s="355"/>
      <c r="G7259" s="355"/>
      <c r="H7259" s="355"/>
      <c r="I7259" s="355"/>
      <c r="J7259" s="355"/>
      <c r="K7259" s="355"/>
      <c r="L7259" s="355"/>
      <c r="M7259" s="355"/>
    </row>
    <row r="7260" spans="5:13">
      <c r="E7260" s="355"/>
      <c r="F7260" s="355"/>
      <c r="G7260" s="355"/>
      <c r="H7260" s="355"/>
      <c r="I7260" s="355"/>
      <c r="J7260" s="355"/>
      <c r="K7260" s="355"/>
      <c r="L7260" s="355"/>
      <c r="M7260" s="355"/>
    </row>
    <row r="7261" spans="5:13">
      <c r="E7261" s="355"/>
      <c r="F7261" s="355"/>
      <c r="G7261" s="355"/>
      <c r="H7261" s="355"/>
      <c r="I7261" s="355"/>
      <c r="J7261" s="355"/>
      <c r="K7261" s="355"/>
      <c r="L7261" s="355"/>
      <c r="M7261" s="355"/>
    </row>
    <row r="7262" spans="5:13">
      <c r="E7262" s="355"/>
      <c r="F7262" s="355"/>
      <c r="G7262" s="355"/>
      <c r="H7262" s="355"/>
      <c r="I7262" s="355"/>
      <c r="J7262" s="355"/>
      <c r="K7262" s="355"/>
      <c r="L7262" s="355"/>
      <c r="M7262" s="355"/>
    </row>
    <row r="7263" spans="5:13">
      <c r="E7263" s="355"/>
      <c r="F7263" s="355"/>
      <c r="G7263" s="355"/>
      <c r="H7263" s="355"/>
      <c r="I7263" s="355"/>
      <c r="J7263" s="355"/>
      <c r="K7263" s="355"/>
      <c r="L7263" s="355"/>
      <c r="M7263" s="355"/>
    </row>
    <row r="7264" spans="5:13">
      <c r="E7264" s="355"/>
      <c r="F7264" s="355"/>
      <c r="G7264" s="355"/>
      <c r="H7264" s="355"/>
      <c r="I7264" s="355"/>
      <c r="J7264" s="355"/>
      <c r="K7264" s="355"/>
      <c r="L7264" s="355"/>
      <c r="M7264" s="355"/>
    </row>
    <row r="7265" spans="5:13">
      <c r="E7265" s="355"/>
      <c r="F7265" s="355"/>
      <c r="G7265" s="355"/>
      <c r="H7265" s="355"/>
      <c r="I7265" s="355"/>
      <c r="J7265" s="355"/>
      <c r="K7265" s="355"/>
      <c r="L7265" s="355"/>
      <c r="M7265" s="355"/>
    </row>
    <row r="7266" spans="5:13">
      <c r="E7266" s="355"/>
      <c r="F7266" s="355"/>
      <c r="G7266" s="355"/>
      <c r="H7266" s="355"/>
      <c r="I7266" s="355"/>
      <c r="J7266" s="355"/>
      <c r="K7266" s="355"/>
      <c r="L7266" s="355"/>
      <c r="M7266" s="355"/>
    </row>
    <row r="7267" spans="5:13">
      <c r="E7267" s="355"/>
      <c r="F7267" s="355"/>
      <c r="G7267" s="355"/>
      <c r="H7267" s="355"/>
      <c r="I7267" s="355"/>
      <c r="J7267" s="355"/>
      <c r="K7267" s="355"/>
      <c r="L7267" s="355"/>
      <c r="M7267" s="355"/>
    </row>
    <row r="7268" spans="5:13">
      <c r="E7268" s="355"/>
      <c r="F7268" s="355"/>
      <c r="G7268" s="355"/>
      <c r="H7268" s="355"/>
      <c r="I7268" s="355"/>
      <c r="J7268" s="355"/>
      <c r="K7268" s="355"/>
      <c r="L7268" s="355"/>
      <c r="M7268" s="355"/>
    </row>
    <row r="7269" spans="5:13">
      <c r="E7269" s="355"/>
      <c r="F7269" s="355"/>
      <c r="G7269" s="355"/>
      <c r="H7269" s="355"/>
      <c r="I7269" s="355"/>
      <c r="J7269" s="355"/>
      <c r="K7269" s="355"/>
      <c r="L7269" s="355"/>
      <c r="M7269" s="355"/>
    </row>
    <row r="7270" spans="5:13">
      <c r="E7270" s="355"/>
      <c r="F7270" s="355"/>
      <c r="G7270" s="355"/>
      <c r="H7270" s="355"/>
      <c r="I7270" s="355"/>
      <c r="J7270" s="355"/>
      <c r="K7270" s="355"/>
      <c r="L7270" s="355"/>
      <c r="M7270" s="355"/>
    </row>
    <row r="7271" spans="5:13">
      <c r="E7271" s="355"/>
      <c r="F7271" s="355"/>
      <c r="G7271" s="355"/>
      <c r="H7271" s="355"/>
      <c r="I7271" s="355"/>
      <c r="J7271" s="355"/>
      <c r="K7271" s="355"/>
      <c r="L7271" s="355"/>
      <c r="M7271" s="355"/>
    </row>
    <row r="7272" spans="5:13">
      <c r="E7272" s="355"/>
      <c r="F7272" s="355"/>
      <c r="G7272" s="355"/>
      <c r="H7272" s="355"/>
      <c r="I7272" s="355"/>
      <c r="J7272" s="355"/>
      <c r="K7272" s="355"/>
      <c r="L7272" s="355"/>
      <c r="M7272" s="355"/>
    </row>
    <row r="7273" spans="5:13">
      <c r="E7273" s="355"/>
      <c r="F7273" s="355"/>
      <c r="G7273" s="355"/>
      <c r="H7273" s="355"/>
      <c r="I7273" s="355"/>
      <c r="J7273" s="355"/>
      <c r="K7273" s="355"/>
      <c r="L7273" s="355"/>
      <c r="M7273" s="355"/>
    </row>
    <row r="7274" spans="5:13">
      <c r="E7274" s="355"/>
      <c r="F7274" s="355"/>
      <c r="G7274" s="355"/>
      <c r="H7274" s="355"/>
      <c r="I7274" s="355"/>
      <c r="J7274" s="355"/>
      <c r="K7274" s="355"/>
      <c r="L7274" s="355"/>
      <c r="M7274" s="355"/>
    </row>
    <row r="7275" spans="5:13">
      <c r="E7275" s="355"/>
      <c r="F7275" s="355"/>
      <c r="G7275" s="355"/>
      <c r="H7275" s="355"/>
      <c r="I7275" s="355"/>
      <c r="J7275" s="355"/>
      <c r="K7275" s="355"/>
      <c r="L7275" s="355"/>
      <c r="M7275" s="355"/>
    </row>
    <row r="7276" spans="5:13">
      <c r="E7276" s="355"/>
      <c r="F7276" s="355"/>
      <c r="G7276" s="355"/>
      <c r="H7276" s="355"/>
      <c r="I7276" s="355"/>
      <c r="J7276" s="355"/>
      <c r="K7276" s="355"/>
      <c r="L7276" s="355"/>
      <c r="M7276" s="355"/>
    </row>
    <row r="7277" spans="5:13">
      <c r="E7277" s="355"/>
      <c r="F7277" s="355"/>
      <c r="G7277" s="355"/>
      <c r="H7277" s="355"/>
      <c r="I7277" s="355"/>
      <c r="J7277" s="355"/>
      <c r="K7277" s="355"/>
      <c r="L7277" s="355"/>
      <c r="M7277" s="355"/>
    </row>
    <row r="7278" spans="5:13">
      <c r="E7278" s="355"/>
      <c r="F7278" s="355"/>
      <c r="G7278" s="355"/>
      <c r="H7278" s="355"/>
      <c r="I7278" s="355"/>
      <c r="J7278" s="355"/>
      <c r="K7278" s="355"/>
      <c r="L7278" s="355"/>
      <c r="M7278" s="355"/>
    </row>
    <row r="7279" spans="5:13">
      <c r="E7279" s="355"/>
      <c r="F7279" s="355"/>
      <c r="G7279" s="355"/>
      <c r="H7279" s="355"/>
      <c r="I7279" s="355"/>
      <c r="J7279" s="355"/>
      <c r="K7279" s="355"/>
      <c r="L7279" s="355"/>
      <c r="M7279" s="355"/>
    </row>
    <row r="7280" spans="5:13">
      <c r="E7280" s="355"/>
      <c r="F7280" s="355"/>
      <c r="G7280" s="355"/>
      <c r="H7280" s="355"/>
      <c r="I7280" s="355"/>
      <c r="J7280" s="355"/>
      <c r="K7280" s="355"/>
      <c r="L7280" s="355"/>
      <c r="M7280" s="355"/>
    </row>
    <row r="7281" spans="5:13">
      <c r="E7281" s="355"/>
      <c r="F7281" s="355"/>
      <c r="G7281" s="355"/>
      <c r="H7281" s="355"/>
      <c r="I7281" s="355"/>
      <c r="J7281" s="355"/>
      <c r="K7281" s="355"/>
      <c r="L7281" s="355"/>
      <c r="M7281" s="355"/>
    </row>
    <row r="7282" spans="5:13">
      <c r="E7282" s="355"/>
      <c r="F7282" s="355"/>
      <c r="G7282" s="355"/>
      <c r="H7282" s="355"/>
      <c r="I7282" s="355"/>
      <c r="J7282" s="355"/>
      <c r="K7282" s="355"/>
      <c r="L7282" s="355"/>
      <c r="M7282" s="355"/>
    </row>
    <row r="7283" spans="5:13">
      <c r="E7283" s="355"/>
      <c r="F7283" s="355"/>
      <c r="G7283" s="355"/>
      <c r="H7283" s="355"/>
      <c r="I7283" s="355"/>
      <c r="J7283" s="355"/>
      <c r="K7283" s="355"/>
      <c r="L7283" s="355"/>
      <c r="M7283" s="355"/>
    </row>
    <row r="7284" spans="5:13">
      <c r="E7284" s="355"/>
      <c r="F7284" s="355"/>
      <c r="G7284" s="355"/>
      <c r="H7284" s="355"/>
      <c r="I7284" s="355"/>
      <c r="J7284" s="355"/>
      <c r="K7284" s="355"/>
      <c r="L7284" s="355"/>
      <c r="M7284" s="355"/>
    </row>
    <row r="7285" spans="5:13">
      <c r="E7285" s="355"/>
      <c r="F7285" s="355"/>
      <c r="G7285" s="355"/>
      <c r="H7285" s="355"/>
      <c r="I7285" s="355"/>
      <c r="J7285" s="355"/>
      <c r="K7285" s="355"/>
      <c r="L7285" s="355"/>
      <c r="M7285" s="355"/>
    </row>
    <row r="7286" spans="5:13">
      <c r="E7286" s="355"/>
      <c r="F7286" s="355"/>
      <c r="G7286" s="355"/>
      <c r="H7286" s="355"/>
      <c r="I7286" s="355"/>
      <c r="J7286" s="355"/>
      <c r="K7286" s="355"/>
      <c r="L7286" s="355"/>
      <c r="M7286" s="355"/>
    </row>
    <row r="7287" spans="5:13">
      <c r="E7287" s="355"/>
      <c r="F7287" s="355"/>
      <c r="G7287" s="355"/>
      <c r="H7287" s="355"/>
      <c r="I7287" s="355"/>
      <c r="J7287" s="355"/>
      <c r="K7287" s="355"/>
      <c r="L7287" s="355"/>
      <c r="M7287" s="355"/>
    </row>
    <row r="7288" spans="5:13">
      <c r="E7288" s="355"/>
      <c r="F7288" s="355"/>
      <c r="G7288" s="355"/>
      <c r="H7288" s="355"/>
      <c r="I7288" s="355"/>
      <c r="J7288" s="355"/>
      <c r="K7288" s="355"/>
      <c r="L7288" s="355"/>
      <c r="M7288" s="355"/>
    </row>
    <row r="7289" spans="5:13">
      <c r="E7289" s="355"/>
      <c r="F7289" s="355"/>
      <c r="G7289" s="355"/>
      <c r="H7289" s="355"/>
      <c r="I7289" s="355"/>
      <c r="J7289" s="355"/>
      <c r="K7289" s="355"/>
      <c r="L7289" s="355"/>
      <c r="M7289" s="355"/>
    </row>
    <row r="7290" spans="5:13">
      <c r="E7290" s="355"/>
      <c r="F7290" s="355"/>
      <c r="G7290" s="355"/>
      <c r="H7290" s="355"/>
      <c r="I7290" s="355"/>
      <c r="J7290" s="355"/>
      <c r="K7290" s="355"/>
      <c r="L7290" s="355"/>
      <c r="M7290" s="355"/>
    </row>
    <row r="7291" spans="5:13">
      <c r="E7291" s="355"/>
      <c r="F7291" s="355"/>
      <c r="G7291" s="355"/>
      <c r="H7291" s="355"/>
      <c r="I7291" s="355"/>
      <c r="J7291" s="355"/>
      <c r="K7291" s="355"/>
      <c r="L7291" s="355"/>
      <c r="M7291" s="355"/>
    </row>
    <row r="7292" spans="5:13">
      <c r="E7292" s="355"/>
      <c r="F7292" s="355"/>
      <c r="G7292" s="355"/>
      <c r="H7292" s="355"/>
      <c r="I7292" s="355"/>
      <c r="J7292" s="355"/>
      <c r="K7292" s="355"/>
      <c r="L7292" s="355"/>
      <c r="M7292" s="355"/>
    </row>
    <row r="7293" spans="5:13">
      <c r="E7293" s="355"/>
      <c r="F7293" s="355"/>
      <c r="G7293" s="355"/>
      <c r="H7293" s="355"/>
      <c r="I7293" s="355"/>
      <c r="J7293" s="355"/>
      <c r="K7293" s="355"/>
      <c r="L7293" s="355"/>
      <c r="M7293" s="355"/>
    </row>
    <row r="7294" spans="5:13">
      <c r="E7294" s="355"/>
      <c r="F7294" s="355"/>
      <c r="G7294" s="355"/>
      <c r="H7294" s="355"/>
      <c r="I7294" s="355"/>
      <c r="J7294" s="355"/>
      <c r="K7294" s="355"/>
      <c r="L7294" s="355"/>
      <c r="M7294" s="355"/>
    </row>
    <row r="7295" spans="5:13">
      <c r="E7295" s="355"/>
      <c r="F7295" s="355"/>
      <c r="G7295" s="355"/>
      <c r="H7295" s="355"/>
      <c r="I7295" s="355"/>
      <c r="J7295" s="355"/>
      <c r="K7295" s="355"/>
      <c r="L7295" s="355"/>
      <c r="M7295" s="355"/>
    </row>
    <row r="7296" spans="5:13">
      <c r="E7296" s="355"/>
      <c r="F7296" s="355"/>
      <c r="G7296" s="355"/>
      <c r="H7296" s="355"/>
      <c r="I7296" s="355"/>
      <c r="J7296" s="355"/>
      <c r="K7296" s="355"/>
      <c r="L7296" s="355"/>
      <c r="M7296" s="355"/>
    </row>
    <row r="7297" spans="5:13">
      <c r="E7297" s="355"/>
      <c r="F7297" s="355"/>
      <c r="G7297" s="355"/>
      <c r="H7297" s="355"/>
      <c r="I7297" s="355"/>
      <c r="J7297" s="355"/>
      <c r="K7297" s="355"/>
      <c r="L7297" s="355"/>
      <c r="M7297" s="355"/>
    </row>
    <row r="7298" spans="5:13">
      <c r="E7298" s="355"/>
      <c r="F7298" s="355"/>
      <c r="G7298" s="355"/>
      <c r="H7298" s="355"/>
      <c r="I7298" s="355"/>
      <c r="J7298" s="355"/>
      <c r="K7298" s="355"/>
      <c r="L7298" s="355"/>
      <c r="M7298" s="355"/>
    </row>
    <row r="7299" spans="5:13">
      <c r="E7299" s="355"/>
      <c r="F7299" s="355"/>
      <c r="G7299" s="355"/>
      <c r="H7299" s="355"/>
      <c r="I7299" s="355"/>
      <c r="J7299" s="355"/>
      <c r="K7299" s="355"/>
      <c r="L7299" s="355"/>
      <c r="M7299" s="355"/>
    </row>
    <row r="7300" spans="5:13">
      <c r="E7300" s="355"/>
      <c r="F7300" s="355"/>
      <c r="G7300" s="355"/>
      <c r="H7300" s="355"/>
      <c r="I7300" s="355"/>
      <c r="J7300" s="355"/>
      <c r="K7300" s="355"/>
      <c r="L7300" s="355"/>
      <c r="M7300" s="355"/>
    </row>
    <row r="7301" spans="5:13">
      <c r="E7301" s="355"/>
      <c r="F7301" s="355"/>
      <c r="G7301" s="355"/>
      <c r="H7301" s="355"/>
      <c r="I7301" s="355"/>
      <c r="J7301" s="355"/>
      <c r="K7301" s="355"/>
      <c r="L7301" s="355"/>
      <c r="M7301" s="355"/>
    </row>
    <row r="7302" spans="5:13">
      <c r="E7302" s="355"/>
      <c r="F7302" s="355"/>
      <c r="G7302" s="355"/>
      <c r="H7302" s="355"/>
      <c r="I7302" s="355"/>
      <c r="J7302" s="355"/>
      <c r="K7302" s="355"/>
      <c r="L7302" s="355"/>
      <c r="M7302" s="355"/>
    </row>
    <row r="7303" spans="5:13">
      <c r="E7303" s="355"/>
      <c r="F7303" s="355"/>
      <c r="G7303" s="355"/>
      <c r="H7303" s="355"/>
      <c r="I7303" s="355"/>
      <c r="J7303" s="355"/>
      <c r="K7303" s="355"/>
      <c r="L7303" s="355"/>
      <c r="M7303" s="355"/>
    </row>
    <row r="7304" spans="5:13">
      <c r="E7304" s="355"/>
      <c r="F7304" s="355"/>
      <c r="G7304" s="355"/>
      <c r="H7304" s="355"/>
      <c r="I7304" s="355"/>
      <c r="J7304" s="355"/>
      <c r="K7304" s="355"/>
      <c r="L7304" s="355"/>
      <c r="M7304" s="355"/>
    </row>
    <row r="7305" spans="5:13">
      <c r="E7305" s="355"/>
      <c r="F7305" s="355"/>
      <c r="G7305" s="355"/>
      <c r="H7305" s="355"/>
      <c r="I7305" s="355"/>
      <c r="J7305" s="355"/>
      <c r="K7305" s="355"/>
      <c r="L7305" s="355"/>
      <c r="M7305" s="355"/>
    </row>
    <row r="7306" spans="5:13">
      <c r="E7306" s="355"/>
      <c r="F7306" s="355"/>
      <c r="G7306" s="355"/>
      <c r="H7306" s="355"/>
      <c r="I7306" s="355"/>
      <c r="J7306" s="355"/>
      <c r="K7306" s="355"/>
      <c r="L7306" s="355"/>
      <c r="M7306" s="355"/>
    </row>
    <row r="7307" spans="5:13">
      <c r="E7307" s="355"/>
      <c r="F7307" s="355"/>
      <c r="G7307" s="355"/>
      <c r="H7307" s="355"/>
      <c r="I7307" s="355"/>
      <c r="J7307" s="355"/>
      <c r="K7307" s="355"/>
      <c r="L7307" s="355"/>
      <c r="M7307" s="355"/>
    </row>
    <row r="7308" spans="5:13">
      <c r="E7308" s="355"/>
      <c r="F7308" s="355"/>
      <c r="G7308" s="355"/>
      <c r="H7308" s="355"/>
      <c r="I7308" s="355"/>
      <c r="J7308" s="355"/>
      <c r="K7308" s="355"/>
      <c r="L7308" s="355"/>
      <c r="M7308" s="355"/>
    </row>
    <row r="7309" spans="5:13">
      <c r="E7309" s="355"/>
      <c r="F7309" s="355"/>
      <c r="G7309" s="355"/>
      <c r="H7309" s="355"/>
      <c r="I7309" s="355"/>
      <c r="J7309" s="355"/>
      <c r="K7309" s="355"/>
      <c r="L7309" s="355"/>
      <c r="M7309" s="355"/>
    </row>
    <row r="7310" spans="5:13">
      <c r="E7310" s="355"/>
      <c r="F7310" s="355"/>
      <c r="G7310" s="355"/>
      <c r="H7310" s="355"/>
      <c r="I7310" s="355"/>
      <c r="J7310" s="355"/>
      <c r="K7310" s="355"/>
      <c r="L7310" s="355"/>
      <c r="M7310" s="355"/>
    </row>
    <row r="7311" spans="5:13">
      <c r="E7311" s="355"/>
      <c r="F7311" s="355"/>
      <c r="G7311" s="355"/>
      <c r="H7311" s="355"/>
      <c r="I7311" s="355"/>
      <c r="J7311" s="355"/>
      <c r="K7311" s="355"/>
      <c r="L7311" s="355"/>
      <c r="M7311" s="355"/>
    </row>
    <row r="7312" spans="5:13">
      <c r="E7312" s="355"/>
      <c r="F7312" s="355"/>
      <c r="G7312" s="355"/>
      <c r="H7312" s="355"/>
      <c r="I7312" s="355"/>
      <c r="J7312" s="355"/>
      <c r="K7312" s="355"/>
      <c r="L7312" s="355"/>
      <c r="M7312" s="355"/>
    </row>
    <row r="7313" spans="5:13">
      <c r="E7313" s="355"/>
      <c r="F7313" s="355"/>
      <c r="G7313" s="355"/>
      <c r="H7313" s="355"/>
      <c r="I7313" s="355"/>
      <c r="J7313" s="355"/>
      <c r="K7313" s="355"/>
      <c r="L7313" s="355"/>
      <c r="M7313" s="355"/>
    </row>
    <row r="7314" spans="5:13">
      <c r="E7314" s="355"/>
      <c r="F7314" s="355"/>
      <c r="G7314" s="355"/>
      <c r="H7314" s="355"/>
      <c r="I7314" s="355"/>
      <c r="J7314" s="355"/>
      <c r="K7314" s="355"/>
      <c r="L7314" s="355"/>
      <c r="M7314" s="355"/>
    </row>
    <row r="7315" spans="5:13">
      <c r="E7315" s="355"/>
      <c r="F7315" s="355"/>
      <c r="G7315" s="355"/>
      <c r="H7315" s="355"/>
      <c r="I7315" s="355"/>
      <c r="J7315" s="355"/>
      <c r="K7315" s="355"/>
      <c r="L7315" s="355"/>
      <c r="M7315" s="355"/>
    </row>
    <row r="7316" spans="5:13">
      <c r="E7316" s="355"/>
      <c r="F7316" s="355"/>
      <c r="G7316" s="355"/>
      <c r="H7316" s="355"/>
      <c r="I7316" s="355"/>
      <c r="J7316" s="355"/>
      <c r="K7316" s="355"/>
      <c r="L7316" s="355"/>
      <c r="M7316" s="355"/>
    </row>
    <row r="7317" spans="5:13">
      <c r="E7317" s="355"/>
      <c r="F7317" s="355"/>
      <c r="G7317" s="355"/>
      <c r="H7317" s="355"/>
      <c r="I7317" s="355"/>
      <c r="J7317" s="355"/>
      <c r="K7317" s="355"/>
      <c r="L7317" s="355"/>
      <c r="M7317" s="355"/>
    </row>
    <row r="7318" spans="5:13">
      <c r="E7318" s="355"/>
      <c r="F7318" s="355"/>
      <c r="G7318" s="355"/>
      <c r="H7318" s="355"/>
      <c r="I7318" s="355"/>
      <c r="J7318" s="355"/>
      <c r="K7318" s="355"/>
      <c r="L7318" s="355"/>
      <c r="M7318" s="355"/>
    </row>
    <row r="7319" spans="5:13">
      <c r="E7319" s="355"/>
      <c r="F7319" s="355"/>
      <c r="G7319" s="355"/>
      <c r="H7319" s="355"/>
      <c r="I7319" s="355"/>
      <c r="J7319" s="355"/>
      <c r="K7319" s="355"/>
      <c r="L7319" s="355"/>
      <c r="M7319" s="355"/>
    </row>
    <row r="7320" spans="5:13">
      <c r="E7320" s="355"/>
      <c r="F7320" s="355"/>
      <c r="G7320" s="355"/>
      <c r="H7320" s="355"/>
      <c r="I7320" s="355"/>
      <c r="J7320" s="355"/>
      <c r="K7320" s="355"/>
      <c r="L7320" s="355"/>
      <c r="M7320" s="355"/>
    </row>
    <row r="7321" spans="5:13">
      <c r="E7321" s="355"/>
      <c r="F7321" s="355"/>
      <c r="G7321" s="355"/>
      <c r="H7321" s="355"/>
      <c r="I7321" s="355"/>
      <c r="J7321" s="355"/>
      <c r="K7321" s="355"/>
      <c r="L7321" s="355"/>
      <c r="M7321" s="355"/>
    </row>
    <row r="7322" spans="5:13">
      <c r="E7322" s="355"/>
      <c r="F7322" s="355"/>
      <c r="G7322" s="355"/>
      <c r="H7322" s="355"/>
      <c r="I7322" s="355"/>
      <c r="J7322" s="355"/>
      <c r="K7322" s="355"/>
      <c r="L7322" s="355"/>
      <c r="M7322" s="355"/>
    </row>
    <row r="7323" spans="5:13">
      <c r="E7323" s="355"/>
      <c r="F7323" s="355"/>
      <c r="G7323" s="355"/>
      <c r="H7323" s="355"/>
      <c r="I7323" s="355"/>
      <c r="J7323" s="355"/>
      <c r="K7323" s="355"/>
      <c r="L7323" s="355"/>
      <c r="M7323" s="355"/>
    </row>
    <row r="7324" spans="5:13">
      <c r="E7324" s="355"/>
      <c r="F7324" s="355"/>
      <c r="G7324" s="355"/>
      <c r="H7324" s="355"/>
      <c r="I7324" s="355"/>
      <c r="J7324" s="355"/>
      <c r="K7324" s="355"/>
      <c r="L7324" s="355"/>
      <c r="M7324" s="355"/>
    </row>
    <row r="7325" spans="5:13">
      <c r="E7325" s="355"/>
      <c r="F7325" s="355"/>
      <c r="G7325" s="355"/>
      <c r="H7325" s="355"/>
      <c r="I7325" s="355"/>
      <c r="J7325" s="355"/>
      <c r="K7325" s="355"/>
      <c r="L7325" s="355"/>
      <c r="M7325" s="355"/>
    </row>
    <row r="7326" spans="5:13">
      <c r="E7326" s="355"/>
      <c r="F7326" s="355"/>
      <c r="G7326" s="355"/>
      <c r="H7326" s="355"/>
      <c r="I7326" s="355"/>
      <c r="J7326" s="355"/>
      <c r="K7326" s="355"/>
      <c r="L7326" s="355"/>
      <c r="M7326" s="355"/>
    </row>
    <row r="7327" spans="5:13">
      <c r="E7327" s="355"/>
      <c r="F7327" s="355"/>
      <c r="G7327" s="355"/>
      <c r="H7327" s="355"/>
      <c r="I7327" s="355"/>
      <c r="J7327" s="355"/>
      <c r="K7327" s="355"/>
      <c r="L7327" s="355"/>
      <c r="M7327" s="355"/>
    </row>
    <row r="7328" spans="5:13">
      <c r="E7328" s="355"/>
      <c r="F7328" s="355"/>
      <c r="G7328" s="355"/>
      <c r="H7328" s="355"/>
      <c r="I7328" s="355"/>
      <c r="J7328" s="355"/>
      <c r="K7328" s="355"/>
      <c r="L7328" s="355"/>
      <c r="M7328" s="355"/>
    </row>
    <row r="7329" spans="5:13">
      <c r="E7329" s="355"/>
      <c r="F7329" s="355"/>
      <c r="G7329" s="355"/>
      <c r="H7329" s="355"/>
      <c r="I7329" s="355"/>
      <c r="J7329" s="355"/>
      <c r="K7329" s="355"/>
      <c r="L7329" s="355"/>
      <c r="M7329" s="355"/>
    </row>
    <row r="7330" spans="5:13">
      <c r="E7330" s="355"/>
      <c r="F7330" s="355"/>
      <c r="G7330" s="355"/>
      <c r="H7330" s="355"/>
      <c r="I7330" s="355"/>
      <c r="J7330" s="355"/>
      <c r="K7330" s="355"/>
      <c r="L7330" s="355"/>
      <c r="M7330" s="355"/>
    </row>
    <row r="7331" spans="5:13">
      <c r="E7331" s="355"/>
      <c r="F7331" s="355"/>
      <c r="G7331" s="355"/>
      <c r="H7331" s="355"/>
      <c r="I7331" s="355"/>
      <c r="J7331" s="355"/>
      <c r="K7331" s="355"/>
      <c r="L7331" s="355"/>
      <c r="M7331" s="355"/>
    </row>
    <row r="7332" spans="5:13">
      <c r="E7332" s="355"/>
      <c r="F7332" s="355"/>
      <c r="G7332" s="355"/>
      <c r="H7332" s="355"/>
      <c r="I7332" s="355"/>
      <c r="J7332" s="355"/>
      <c r="K7332" s="355"/>
      <c r="L7332" s="355"/>
      <c r="M7332" s="355"/>
    </row>
    <row r="7333" spans="5:13">
      <c r="E7333" s="355"/>
      <c r="F7333" s="355"/>
      <c r="G7333" s="355"/>
      <c r="H7333" s="355"/>
      <c r="I7333" s="355"/>
      <c r="J7333" s="355"/>
      <c r="K7333" s="355"/>
      <c r="L7333" s="355"/>
      <c r="M7333" s="355"/>
    </row>
    <row r="7334" spans="5:13">
      <c r="E7334" s="355"/>
      <c r="F7334" s="355"/>
      <c r="G7334" s="355"/>
      <c r="H7334" s="355"/>
      <c r="I7334" s="355"/>
      <c r="J7334" s="355"/>
      <c r="K7334" s="355"/>
      <c r="L7334" s="355"/>
      <c r="M7334" s="355"/>
    </row>
    <row r="7335" spans="5:13">
      <c r="E7335" s="355"/>
      <c r="F7335" s="355"/>
      <c r="G7335" s="355"/>
      <c r="H7335" s="355"/>
      <c r="I7335" s="355"/>
      <c r="J7335" s="355"/>
      <c r="K7335" s="355"/>
      <c r="L7335" s="355"/>
      <c r="M7335" s="355"/>
    </row>
    <row r="7336" spans="5:13">
      <c r="E7336" s="355"/>
      <c r="F7336" s="355"/>
      <c r="G7336" s="355"/>
      <c r="H7336" s="355"/>
      <c r="I7336" s="355"/>
      <c r="J7336" s="355"/>
      <c r="K7336" s="355"/>
      <c r="L7336" s="355"/>
      <c r="M7336" s="355"/>
    </row>
    <row r="7337" spans="5:13">
      <c r="E7337" s="355"/>
      <c r="F7337" s="355"/>
      <c r="G7337" s="355"/>
      <c r="H7337" s="355"/>
      <c r="I7337" s="355"/>
      <c r="J7337" s="355"/>
      <c r="K7337" s="355"/>
      <c r="L7337" s="355"/>
      <c r="M7337" s="355"/>
    </row>
    <row r="7338" spans="5:13">
      <c r="E7338" s="355"/>
      <c r="F7338" s="355"/>
      <c r="G7338" s="355"/>
      <c r="H7338" s="355"/>
      <c r="I7338" s="355"/>
      <c r="J7338" s="355"/>
      <c r="K7338" s="355"/>
      <c r="L7338" s="355"/>
      <c r="M7338" s="355"/>
    </row>
    <row r="7339" spans="5:13">
      <c r="E7339" s="355"/>
      <c r="F7339" s="355"/>
      <c r="G7339" s="355"/>
      <c r="H7339" s="355"/>
      <c r="I7339" s="355"/>
      <c r="J7339" s="355"/>
      <c r="K7339" s="355"/>
      <c r="L7339" s="355"/>
      <c r="M7339" s="355"/>
    </row>
    <row r="7340" spans="5:13">
      <c r="E7340" s="355"/>
      <c r="F7340" s="355"/>
      <c r="G7340" s="355"/>
      <c r="H7340" s="355"/>
      <c r="I7340" s="355"/>
      <c r="J7340" s="355"/>
      <c r="K7340" s="355"/>
      <c r="L7340" s="355"/>
      <c r="M7340" s="355"/>
    </row>
    <row r="7341" spans="5:13">
      <c r="E7341" s="355"/>
      <c r="F7341" s="355"/>
      <c r="G7341" s="355"/>
      <c r="H7341" s="355"/>
      <c r="I7341" s="355"/>
      <c r="J7341" s="355"/>
      <c r="K7341" s="355"/>
      <c r="L7341" s="355"/>
      <c r="M7341" s="355"/>
    </row>
    <row r="7342" spans="5:13">
      <c r="E7342" s="355"/>
      <c r="F7342" s="355"/>
      <c r="G7342" s="355"/>
      <c r="H7342" s="355"/>
      <c r="I7342" s="355"/>
      <c r="J7342" s="355"/>
      <c r="K7342" s="355"/>
      <c r="L7342" s="355"/>
      <c r="M7342" s="355"/>
    </row>
    <row r="7343" spans="5:13">
      <c r="E7343" s="355"/>
      <c r="F7343" s="355"/>
      <c r="G7343" s="355"/>
      <c r="H7343" s="355"/>
      <c r="I7343" s="355"/>
      <c r="J7343" s="355"/>
      <c r="K7343" s="355"/>
      <c r="L7343" s="355"/>
      <c r="M7343" s="355"/>
    </row>
    <row r="7344" spans="5:13">
      <c r="E7344" s="355"/>
      <c r="F7344" s="355"/>
      <c r="G7344" s="355"/>
      <c r="H7344" s="355"/>
      <c r="I7344" s="355"/>
      <c r="J7344" s="355"/>
      <c r="K7344" s="355"/>
      <c r="L7344" s="355"/>
      <c r="M7344" s="355"/>
    </row>
    <row r="7345" spans="5:13">
      <c r="E7345" s="355"/>
      <c r="F7345" s="355"/>
      <c r="G7345" s="355"/>
      <c r="H7345" s="355"/>
      <c r="I7345" s="355"/>
      <c r="J7345" s="355"/>
      <c r="K7345" s="355"/>
      <c r="L7345" s="355"/>
      <c r="M7345" s="355"/>
    </row>
    <row r="7346" spans="5:13">
      <c r="E7346" s="355"/>
      <c r="F7346" s="355"/>
      <c r="G7346" s="355"/>
      <c r="H7346" s="355"/>
      <c r="I7346" s="355"/>
      <c r="J7346" s="355"/>
      <c r="K7346" s="355"/>
      <c r="L7346" s="355"/>
      <c r="M7346" s="355"/>
    </row>
    <row r="7347" spans="5:13">
      <c r="E7347" s="355"/>
      <c r="F7347" s="355"/>
      <c r="G7347" s="355"/>
      <c r="H7347" s="355"/>
      <c r="I7347" s="355"/>
      <c r="J7347" s="355"/>
      <c r="K7347" s="355"/>
      <c r="L7347" s="355"/>
      <c r="M7347" s="355"/>
    </row>
    <row r="7348" spans="5:13">
      <c r="E7348" s="355"/>
      <c r="F7348" s="355"/>
      <c r="G7348" s="355"/>
      <c r="H7348" s="355"/>
      <c r="I7348" s="355"/>
      <c r="J7348" s="355"/>
      <c r="K7348" s="355"/>
      <c r="L7348" s="355"/>
      <c r="M7348" s="355"/>
    </row>
    <row r="7349" spans="5:13">
      <c r="E7349" s="355"/>
      <c r="F7349" s="355"/>
      <c r="G7349" s="355"/>
      <c r="H7349" s="355"/>
      <c r="I7349" s="355"/>
      <c r="J7349" s="355"/>
      <c r="K7349" s="355"/>
      <c r="L7349" s="355"/>
      <c r="M7349" s="355"/>
    </row>
    <row r="7350" spans="5:13">
      <c r="E7350" s="355"/>
      <c r="F7350" s="355"/>
      <c r="G7350" s="355"/>
      <c r="H7350" s="355"/>
      <c r="I7350" s="355"/>
      <c r="J7350" s="355"/>
      <c r="K7350" s="355"/>
      <c r="L7350" s="355"/>
      <c r="M7350" s="355"/>
    </row>
    <row r="7351" spans="5:13">
      <c r="E7351" s="355"/>
      <c r="F7351" s="355"/>
      <c r="G7351" s="355"/>
      <c r="H7351" s="355"/>
      <c r="I7351" s="355"/>
      <c r="J7351" s="355"/>
      <c r="K7351" s="355"/>
      <c r="L7351" s="355"/>
      <c r="M7351" s="355"/>
    </row>
    <row r="7352" spans="5:13">
      <c r="E7352" s="355"/>
      <c r="F7352" s="355"/>
      <c r="G7352" s="355"/>
      <c r="H7352" s="355"/>
      <c r="I7352" s="355"/>
      <c r="J7352" s="355"/>
      <c r="K7352" s="355"/>
      <c r="L7352" s="355"/>
      <c r="M7352" s="355"/>
    </row>
    <row r="7353" spans="5:13">
      <c r="E7353" s="355"/>
      <c r="F7353" s="355"/>
      <c r="G7353" s="355"/>
      <c r="H7353" s="355"/>
      <c r="I7353" s="355"/>
      <c r="J7353" s="355"/>
      <c r="K7353" s="355"/>
      <c r="L7353" s="355"/>
      <c r="M7353" s="355"/>
    </row>
    <row r="7354" spans="5:13">
      <c r="E7354" s="355"/>
      <c r="F7354" s="355"/>
      <c r="G7354" s="355"/>
      <c r="H7354" s="355"/>
      <c r="I7354" s="355"/>
      <c r="J7354" s="355"/>
      <c r="K7354" s="355"/>
      <c r="L7354" s="355"/>
      <c r="M7354" s="355"/>
    </row>
    <row r="7355" spans="5:13">
      <c r="E7355" s="355"/>
      <c r="F7355" s="355"/>
      <c r="G7355" s="355"/>
      <c r="H7355" s="355"/>
      <c r="I7355" s="355"/>
      <c r="J7355" s="355"/>
      <c r="K7355" s="355"/>
      <c r="L7355" s="355"/>
      <c r="M7355" s="355"/>
    </row>
    <row r="7356" spans="5:13">
      <c r="E7356" s="355"/>
      <c r="F7356" s="355"/>
      <c r="G7356" s="355"/>
      <c r="H7356" s="355"/>
      <c r="I7356" s="355"/>
      <c r="J7356" s="355"/>
      <c r="K7356" s="355"/>
      <c r="L7356" s="355"/>
      <c r="M7356" s="355"/>
    </row>
    <row r="7357" spans="5:13">
      <c r="E7357" s="355"/>
      <c r="F7357" s="355"/>
      <c r="G7357" s="355"/>
      <c r="H7357" s="355"/>
      <c r="I7357" s="355"/>
      <c r="J7357" s="355"/>
      <c r="K7357" s="355"/>
      <c r="L7357" s="355"/>
      <c r="M7357" s="355"/>
    </row>
    <row r="7358" spans="5:13">
      <c r="E7358" s="355"/>
      <c r="F7358" s="355"/>
      <c r="G7358" s="355"/>
      <c r="H7358" s="355"/>
      <c r="I7358" s="355"/>
      <c r="J7358" s="355"/>
      <c r="K7358" s="355"/>
      <c r="L7358" s="355"/>
      <c r="M7358" s="355"/>
    </row>
    <row r="7359" spans="5:13">
      <c r="E7359" s="355"/>
      <c r="F7359" s="355"/>
      <c r="G7359" s="355"/>
      <c r="H7359" s="355"/>
      <c r="I7359" s="355"/>
      <c r="J7359" s="355"/>
      <c r="K7359" s="355"/>
      <c r="L7359" s="355"/>
      <c r="M7359" s="355"/>
    </row>
    <row r="7360" spans="5:13">
      <c r="E7360" s="355"/>
      <c r="F7360" s="355"/>
      <c r="G7360" s="355"/>
      <c r="H7360" s="355"/>
      <c r="I7360" s="355"/>
      <c r="J7360" s="355"/>
      <c r="K7360" s="355"/>
      <c r="L7360" s="355"/>
      <c r="M7360" s="355"/>
    </row>
    <row r="7361" spans="5:13">
      <c r="E7361" s="355"/>
      <c r="F7361" s="355"/>
      <c r="G7361" s="355"/>
      <c r="H7361" s="355"/>
      <c r="I7361" s="355"/>
      <c r="J7361" s="355"/>
      <c r="K7361" s="355"/>
      <c r="L7361" s="355"/>
      <c r="M7361" s="355"/>
    </row>
    <row r="7362" spans="5:13">
      <c r="E7362" s="355"/>
      <c r="F7362" s="355"/>
      <c r="G7362" s="355"/>
      <c r="H7362" s="355"/>
      <c r="I7362" s="355"/>
      <c r="J7362" s="355"/>
      <c r="K7362" s="355"/>
      <c r="L7362" s="355"/>
      <c r="M7362" s="355"/>
    </row>
    <row r="7363" spans="5:13">
      <c r="E7363" s="355"/>
      <c r="F7363" s="355"/>
      <c r="G7363" s="355"/>
      <c r="H7363" s="355"/>
      <c r="I7363" s="355"/>
      <c r="J7363" s="355"/>
      <c r="K7363" s="355"/>
      <c r="L7363" s="355"/>
      <c r="M7363" s="355"/>
    </row>
    <row r="7364" spans="5:13">
      <c r="E7364" s="355"/>
      <c r="F7364" s="355"/>
      <c r="G7364" s="355"/>
      <c r="H7364" s="355"/>
      <c r="I7364" s="355"/>
      <c r="J7364" s="355"/>
      <c r="K7364" s="355"/>
      <c r="L7364" s="355"/>
      <c r="M7364" s="355"/>
    </row>
    <row r="7365" spans="5:13">
      <c r="E7365" s="355"/>
      <c r="F7365" s="355"/>
      <c r="G7365" s="355"/>
      <c r="H7365" s="355"/>
      <c r="I7365" s="355"/>
      <c r="J7365" s="355"/>
      <c r="K7365" s="355"/>
      <c r="L7365" s="355"/>
      <c r="M7365" s="355"/>
    </row>
    <row r="7366" spans="5:13">
      <c r="E7366" s="355"/>
      <c r="F7366" s="355"/>
      <c r="G7366" s="355"/>
      <c r="H7366" s="355"/>
      <c r="I7366" s="355"/>
      <c r="J7366" s="355"/>
      <c r="K7366" s="355"/>
      <c r="L7366" s="355"/>
      <c r="M7366" s="355"/>
    </row>
    <row r="7367" spans="5:13">
      <c r="E7367" s="355"/>
      <c r="F7367" s="355"/>
      <c r="G7367" s="355"/>
      <c r="H7367" s="355"/>
      <c r="I7367" s="355"/>
      <c r="J7367" s="355"/>
      <c r="K7367" s="355"/>
      <c r="L7367" s="355"/>
      <c r="M7367" s="355"/>
    </row>
    <row r="7368" spans="5:13">
      <c r="E7368" s="355"/>
      <c r="F7368" s="355"/>
      <c r="G7368" s="355"/>
      <c r="H7368" s="355"/>
      <c r="I7368" s="355"/>
      <c r="J7368" s="355"/>
      <c r="K7368" s="355"/>
      <c r="L7368" s="355"/>
      <c r="M7368" s="355"/>
    </row>
    <row r="7369" spans="5:13">
      <c r="E7369" s="355"/>
      <c r="F7369" s="355"/>
      <c r="G7369" s="355"/>
      <c r="H7369" s="355"/>
      <c r="I7369" s="355"/>
      <c r="J7369" s="355"/>
      <c r="K7369" s="355"/>
      <c r="L7369" s="355"/>
      <c r="M7369" s="355"/>
    </row>
    <row r="7370" spans="5:13">
      <c r="E7370" s="355"/>
      <c r="F7370" s="355"/>
      <c r="G7370" s="355"/>
      <c r="H7370" s="355"/>
      <c r="I7370" s="355"/>
      <c r="J7370" s="355"/>
      <c r="K7370" s="355"/>
      <c r="L7370" s="355"/>
      <c r="M7370" s="355"/>
    </row>
    <row r="7371" spans="5:13">
      <c r="E7371" s="355"/>
      <c r="F7371" s="355"/>
      <c r="G7371" s="355"/>
      <c r="H7371" s="355"/>
      <c r="I7371" s="355"/>
      <c r="J7371" s="355"/>
      <c r="K7371" s="355"/>
      <c r="L7371" s="355"/>
      <c r="M7371" s="355"/>
    </row>
    <row r="7372" spans="5:13">
      <c r="E7372" s="355"/>
      <c r="F7372" s="355"/>
      <c r="G7372" s="355"/>
      <c r="H7372" s="355"/>
      <c r="I7372" s="355"/>
      <c r="J7372" s="355"/>
      <c r="K7372" s="355"/>
      <c r="L7372" s="355"/>
      <c r="M7372" s="355"/>
    </row>
    <row r="7373" spans="5:13">
      <c r="E7373" s="355"/>
      <c r="F7373" s="355"/>
      <c r="G7373" s="355"/>
      <c r="H7373" s="355"/>
      <c r="I7373" s="355"/>
      <c r="J7373" s="355"/>
      <c r="K7373" s="355"/>
      <c r="L7373" s="355"/>
      <c r="M7373" s="355"/>
    </row>
    <row r="7374" spans="5:13">
      <c r="E7374" s="355"/>
      <c r="F7374" s="355"/>
      <c r="G7374" s="355"/>
      <c r="H7374" s="355"/>
      <c r="I7374" s="355"/>
      <c r="J7374" s="355"/>
      <c r="K7374" s="355"/>
      <c r="L7374" s="355"/>
      <c r="M7374" s="355"/>
    </row>
    <row r="7375" spans="5:13">
      <c r="E7375" s="355"/>
      <c r="F7375" s="355"/>
      <c r="G7375" s="355"/>
      <c r="H7375" s="355"/>
      <c r="I7375" s="355"/>
      <c r="J7375" s="355"/>
      <c r="K7375" s="355"/>
      <c r="L7375" s="355"/>
      <c r="M7375" s="355"/>
    </row>
    <row r="7376" spans="5:13">
      <c r="E7376" s="355"/>
      <c r="F7376" s="355"/>
      <c r="G7376" s="355"/>
      <c r="H7376" s="355"/>
      <c r="I7376" s="355"/>
      <c r="J7376" s="355"/>
      <c r="K7376" s="355"/>
      <c r="L7376" s="355"/>
      <c r="M7376" s="355"/>
    </row>
    <row r="7377" spans="5:13">
      <c r="E7377" s="355"/>
      <c r="F7377" s="355"/>
      <c r="G7377" s="355"/>
      <c r="H7377" s="355"/>
      <c r="I7377" s="355"/>
      <c r="J7377" s="355"/>
      <c r="K7377" s="355"/>
      <c r="L7377" s="355"/>
      <c r="M7377" s="355"/>
    </row>
    <row r="7378" spans="5:13">
      <c r="E7378" s="355"/>
      <c r="F7378" s="355"/>
      <c r="G7378" s="355"/>
      <c r="H7378" s="355"/>
      <c r="I7378" s="355"/>
      <c r="J7378" s="355"/>
      <c r="K7378" s="355"/>
      <c r="L7378" s="355"/>
      <c r="M7378" s="355"/>
    </row>
    <row r="7379" spans="5:13">
      <c r="E7379" s="355"/>
      <c r="F7379" s="355"/>
      <c r="G7379" s="355"/>
      <c r="H7379" s="355"/>
      <c r="I7379" s="355"/>
      <c r="J7379" s="355"/>
      <c r="K7379" s="355"/>
      <c r="L7379" s="355"/>
      <c r="M7379" s="355"/>
    </row>
    <row r="7380" spans="5:13">
      <c r="E7380" s="355"/>
      <c r="F7380" s="355"/>
      <c r="G7380" s="355"/>
      <c r="H7380" s="355"/>
      <c r="I7380" s="355"/>
      <c r="J7380" s="355"/>
      <c r="K7380" s="355"/>
      <c r="L7380" s="355"/>
      <c r="M7380" s="355"/>
    </row>
    <row r="7381" spans="5:13">
      <c r="E7381" s="355"/>
      <c r="F7381" s="355"/>
      <c r="G7381" s="355"/>
      <c r="H7381" s="355"/>
      <c r="I7381" s="355"/>
      <c r="J7381" s="355"/>
      <c r="K7381" s="355"/>
      <c r="L7381" s="355"/>
      <c r="M7381" s="355"/>
    </row>
    <row r="7382" spans="5:13">
      <c r="E7382" s="355"/>
      <c r="F7382" s="355"/>
      <c r="G7382" s="355"/>
      <c r="H7382" s="355"/>
      <c r="I7382" s="355"/>
      <c r="J7382" s="355"/>
      <c r="K7382" s="355"/>
      <c r="L7382" s="355"/>
      <c r="M7382" s="355"/>
    </row>
    <row r="7383" spans="5:13">
      <c r="E7383" s="355"/>
      <c r="F7383" s="355"/>
      <c r="G7383" s="355"/>
      <c r="H7383" s="355"/>
      <c r="I7383" s="355"/>
      <c r="J7383" s="355"/>
      <c r="K7383" s="355"/>
      <c r="L7383" s="355"/>
      <c r="M7383" s="355"/>
    </row>
    <row r="7384" spans="5:13">
      <c r="E7384" s="355"/>
      <c r="F7384" s="355"/>
      <c r="G7384" s="355"/>
      <c r="H7384" s="355"/>
      <c r="I7384" s="355"/>
      <c r="J7384" s="355"/>
      <c r="K7384" s="355"/>
      <c r="L7384" s="355"/>
      <c r="M7384" s="355"/>
    </row>
    <row r="7385" spans="5:13">
      <c r="E7385" s="355"/>
      <c r="F7385" s="355"/>
      <c r="G7385" s="355"/>
      <c r="H7385" s="355"/>
      <c r="I7385" s="355"/>
      <c r="J7385" s="355"/>
      <c r="K7385" s="355"/>
      <c r="L7385" s="355"/>
      <c r="M7385" s="355"/>
    </row>
    <row r="7386" spans="5:13">
      <c r="E7386" s="355"/>
      <c r="F7386" s="355"/>
      <c r="G7386" s="355"/>
      <c r="H7386" s="355"/>
      <c r="I7386" s="355"/>
      <c r="J7386" s="355"/>
      <c r="K7386" s="355"/>
      <c r="L7386" s="355"/>
      <c r="M7386" s="355"/>
    </row>
    <row r="7387" spans="5:13">
      <c r="E7387" s="355"/>
      <c r="F7387" s="355"/>
      <c r="G7387" s="355"/>
      <c r="H7387" s="355"/>
      <c r="I7387" s="355"/>
      <c r="J7387" s="355"/>
      <c r="K7387" s="355"/>
      <c r="L7387" s="355"/>
      <c r="M7387" s="355"/>
    </row>
    <row r="7388" spans="5:13">
      <c r="E7388" s="355"/>
      <c r="F7388" s="355"/>
      <c r="G7388" s="355"/>
      <c r="H7388" s="355"/>
      <c r="I7388" s="355"/>
      <c r="J7388" s="355"/>
      <c r="K7388" s="355"/>
      <c r="L7388" s="355"/>
      <c r="M7388" s="355"/>
    </row>
    <row r="7389" spans="5:13">
      <c r="E7389" s="355"/>
      <c r="F7389" s="355"/>
      <c r="G7389" s="355"/>
      <c r="H7389" s="355"/>
      <c r="I7389" s="355"/>
      <c r="J7389" s="355"/>
      <c r="K7389" s="355"/>
      <c r="L7389" s="355"/>
      <c r="M7389" s="355"/>
    </row>
    <row r="7390" spans="5:13">
      <c r="E7390" s="355"/>
      <c r="F7390" s="355"/>
      <c r="G7390" s="355"/>
      <c r="H7390" s="355"/>
      <c r="I7390" s="355"/>
      <c r="J7390" s="355"/>
      <c r="K7390" s="355"/>
      <c r="L7390" s="355"/>
      <c r="M7390" s="355"/>
    </row>
    <row r="7391" spans="5:13">
      <c r="E7391" s="355"/>
      <c r="F7391" s="355"/>
      <c r="G7391" s="355"/>
      <c r="H7391" s="355"/>
      <c r="I7391" s="355"/>
      <c r="J7391" s="355"/>
      <c r="K7391" s="355"/>
      <c r="L7391" s="355"/>
      <c r="M7391" s="355"/>
    </row>
    <row r="7392" spans="5:13">
      <c r="E7392" s="355"/>
      <c r="F7392" s="355"/>
      <c r="G7392" s="355"/>
      <c r="H7392" s="355"/>
      <c r="I7392" s="355"/>
      <c r="J7392" s="355"/>
      <c r="K7392" s="355"/>
      <c r="L7392" s="355"/>
      <c r="M7392" s="355"/>
    </row>
    <row r="7393" spans="5:13">
      <c r="E7393" s="355"/>
      <c r="F7393" s="355"/>
      <c r="G7393" s="355"/>
      <c r="H7393" s="355"/>
      <c r="I7393" s="355"/>
      <c r="J7393" s="355"/>
      <c r="K7393" s="355"/>
      <c r="L7393" s="355"/>
      <c r="M7393" s="355"/>
    </row>
    <row r="7394" spans="5:13">
      <c r="E7394" s="355"/>
      <c r="F7394" s="355"/>
      <c r="G7394" s="355"/>
      <c r="H7394" s="355"/>
      <c r="I7394" s="355"/>
      <c r="J7394" s="355"/>
      <c r="K7394" s="355"/>
      <c r="L7394" s="355"/>
      <c r="M7394" s="355"/>
    </row>
    <row r="7395" spans="5:13">
      <c r="E7395" s="355"/>
      <c r="F7395" s="355"/>
      <c r="G7395" s="355"/>
      <c r="H7395" s="355"/>
      <c r="I7395" s="355"/>
      <c r="J7395" s="355"/>
      <c r="K7395" s="355"/>
      <c r="L7395" s="355"/>
      <c r="M7395" s="355"/>
    </row>
    <row r="7396" spans="5:13">
      <c r="E7396" s="355"/>
      <c r="F7396" s="355"/>
      <c r="G7396" s="355"/>
      <c r="H7396" s="355"/>
      <c r="I7396" s="355"/>
      <c r="J7396" s="355"/>
      <c r="K7396" s="355"/>
      <c r="L7396" s="355"/>
      <c r="M7396" s="355"/>
    </row>
    <row r="7397" spans="5:13">
      <c r="E7397" s="355"/>
      <c r="F7397" s="355"/>
      <c r="G7397" s="355"/>
      <c r="H7397" s="355"/>
      <c r="I7397" s="355"/>
      <c r="J7397" s="355"/>
      <c r="K7397" s="355"/>
      <c r="L7397" s="355"/>
      <c r="M7397" s="355"/>
    </row>
    <row r="7398" spans="5:13">
      <c r="E7398" s="355"/>
      <c r="F7398" s="355"/>
      <c r="G7398" s="355"/>
      <c r="H7398" s="355"/>
      <c r="I7398" s="355"/>
      <c r="J7398" s="355"/>
      <c r="K7398" s="355"/>
      <c r="L7398" s="355"/>
      <c r="M7398" s="355"/>
    </row>
    <row r="7399" spans="5:13">
      <c r="E7399" s="355"/>
      <c r="F7399" s="355"/>
      <c r="G7399" s="355"/>
      <c r="H7399" s="355"/>
      <c r="I7399" s="355"/>
      <c r="J7399" s="355"/>
      <c r="K7399" s="355"/>
      <c r="L7399" s="355"/>
      <c r="M7399" s="355"/>
    </row>
    <row r="7400" spans="5:13">
      <c r="E7400" s="355"/>
      <c r="F7400" s="355"/>
      <c r="G7400" s="355"/>
      <c r="H7400" s="355"/>
      <c r="I7400" s="355"/>
      <c r="J7400" s="355"/>
      <c r="K7400" s="355"/>
      <c r="L7400" s="355"/>
      <c r="M7400" s="355"/>
    </row>
    <row r="7401" spans="5:13">
      <c r="E7401" s="355"/>
      <c r="F7401" s="355"/>
      <c r="G7401" s="355"/>
      <c r="H7401" s="355"/>
      <c r="I7401" s="355"/>
      <c r="J7401" s="355"/>
      <c r="K7401" s="355"/>
      <c r="L7401" s="355"/>
      <c r="M7401" s="355"/>
    </row>
    <row r="7402" spans="5:13">
      <c r="E7402" s="355"/>
      <c r="F7402" s="355"/>
      <c r="G7402" s="355"/>
      <c r="H7402" s="355"/>
      <c r="I7402" s="355"/>
      <c r="J7402" s="355"/>
      <c r="K7402" s="355"/>
      <c r="L7402" s="355"/>
      <c r="M7402" s="355"/>
    </row>
    <row r="7403" spans="5:13">
      <c r="E7403" s="355"/>
      <c r="F7403" s="355"/>
      <c r="G7403" s="355"/>
      <c r="H7403" s="355"/>
      <c r="I7403" s="355"/>
      <c r="J7403" s="355"/>
      <c r="K7403" s="355"/>
      <c r="L7403" s="355"/>
      <c r="M7403" s="355"/>
    </row>
    <row r="7404" spans="5:13">
      <c r="E7404" s="355"/>
      <c r="F7404" s="355"/>
      <c r="G7404" s="355"/>
      <c r="H7404" s="355"/>
      <c r="I7404" s="355"/>
      <c r="J7404" s="355"/>
      <c r="K7404" s="355"/>
      <c r="L7404" s="355"/>
      <c r="M7404" s="355"/>
    </row>
    <row r="7405" spans="5:13">
      <c r="E7405" s="355"/>
      <c r="F7405" s="355"/>
      <c r="G7405" s="355"/>
      <c r="H7405" s="355"/>
      <c r="I7405" s="355"/>
      <c r="J7405" s="355"/>
      <c r="K7405" s="355"/>
      <c r="L7405" s="355"/>
      <c r="M7405" s="355"/>
    </row>
    <row r="7406" spans="5:13">
      <c r="E7406" s="355"/>
      <c r="F7406" s="355"/>
      <c r="G7406" s="355"/>
      <c r="H7406" s="355"/>
      <c r="I7406" s="355"/>
      <c r="J7406" s="355"/>
      <c r="K7406" s="355"/>
      <c r="L7406" s="355"/>
      <c r="M7406" s="355"/>
    </row>
    <row r="7407" spans="5:13">
      <c r="E7407" s="355"/>
      <c r="F7407" s="355"/>
      <c r="G7407" s="355"/>
      <c r="H7407" s="355"/>
      <c r="I7407" s="355"/>
      <c r="J7407" s="355"/>
      <c r="K7407" s="355"/>
      <c r="L7407" s="355"/>
      <c r="M7407" s="355"/>
    </row>
    <row r="7408" spans="5:13">
      <c r="E7408" s="355"/>
      <c r="F7408" s="355"/>
      <c r="G7408" s="355"/>
      <c r="H7408" s="355"/>
      <c r="I7408" s="355"/>
      <c r="J7408" s="355"/>
      <c r="K7408" s="355"/>
      <c r="L7408" s="355"/>
      <c r="M7408" s="355"/>
    </row>
    <row r="7409" spans="5:13">
      <c r="E7409" s="355"/>
      <c r="F7409" s="355"/>
      <c r="G7409" s="355"/>
      <c r="H7409" s="355"/>
      <c r="I7409" s="355"/>
      <c r="J7409" s="355"/>
      <c r="K7409" s="355"/>
      <c r="L7409" s="355"/>
      <c r="M7409" s="355"/>
    </row>
    <row r="7410" spans="5:13">
      <c r="E7410" s="355"/>
      <c r="F7410" s="355"/>
      <c r="G7410" s="355"/>
      <c r="H7410" s="355"/>
      <c r="I7410" s="355"/>
      <c r="J7410" s="355"/>
      <c r="K7410" s="355"/>
      <c r="L7410" s="355"/>
      <c r="M7410" s="355"/>
    </row>
    <row r="7411" spans="5:13">
      <c r="E7411" s="355"/>
      <c r="F7411" s="355"/>
      <c r="G7411" s="355"/>
      <c r="H7411" s="355"/>
      <c r="I7411" s="355"/>
      <c r="J7411" s="355"/>
      <c r="K7411" s="355"/>
      <c r="L7411" s="355"/>
      <c r="M7411" s="355"/>
    </row>
    <row r="7412" spans="5:13">
      <c r="E7412" s="355"/>
      <c r="F7412" s="355"/>
      <c r="G7412" s="355"/>
      <c r="H7412" s="355"/>
      <c r="I7412" s="355"/>
      <c r="J7412" s="355"/>
      <c r="K7412" s="355"/>
      <c r="L7412" s="355"/>
      <c r="M7412" s="355"/>
    </row>
    <row r="7413" spans="5:13">
      <c r="E7413" s="355"/>
      <c r="F7413" s="355"/>
      <c r="G7413" s="355"/>
      <c r="H7413" s="355"/>
      <c r="I7413" s="355"/>
      <c r="J7413" s="355"/>
      <c r="K7413" s="355"/>
      <c r="L7413" s="355"/>
      <c r="M7413" s="355"/>
    </row>
    <row r="7414" spans="5:13">
      <c r="E7414" s="355"/>
      <c r="F7414" s="355"/>
      <c r="G7414" s="355"/>
      <c r="H7414" s="355"/>
      <c r="I7414" s="355"/>
      <c r="J7414" s="355"/>
      <c r="K7414" s="355"/>
      <c r="L7414" s="355"/>
      <c r="M7414" s="355"/>
    </row>
    <row r="7415" spans="5:13">
      <c r="E7415" s="355"/>
      <c r="F7415" s="355"/>
      <c r="G7415" s="355"/>
      <c r="H7415" s="355"/>
      <c r="I7415" s="355"/>
      <c r="J7415" s="355"/>
      <c r="K7415" s="355"/>
      <c r="L7415" s="355"/>
      <c r="M7415" s="355"/>
    </row>
    <row r="7416" spans="5:13">
      <c r="E7416" s="355"/>
      <c r="F7416" s="355"/>
      <c r="G7416" s="355"/>
      <c r="H7416" s="355"/>
      <c r="I7416" s="355"/>
      <c r="J7416" s="355"/>
      <c r="K7416" s="355"/>
      <c r="L7416" s="355"/>
      <c r="M7416" s="355"/>
    </row>
    <row r="7417" spans="5:13">
      <c r="E7417" s="355"/>
      <c r="F7417" s="355"/>
      <c r="G7417" s="355"/>
      <c r="H7417" s="355"/>
      <c r="I7417" s="355"/>
      <c r="J7417" s="355"/>
      <c r="K7417" s="355"/>
      <c r="L7417" s="355"/>
      <c r="M7417" s="355"/>
    </row>
    <row r="7418" spans="5:13">
      <c r="E7418" s="355"/>
      <c r="F7418" s="355"/>
      <c r="G7418" s="355"/>
      <c r="H7418" s="355"/>
      <c r="I7418" s="355"/>
      <c r="J7418" s="355"/>
      <c r="K7418" s="355"/>
      <c r="L7418" s="355"/>
      <c r="M7418" s="355"/>
    </row>
    <row r="7419" spans="5:13">
      <c r="E7419" s="355"/>
      <c r="F7419" s="355"/>
      <c r="G7419" s="355"/>
      <c r="H7419" s="355"/>
      <c r="I7419" s="355"/>
      <c r="J7419" s="355"/>
      <c r="K7419" s="355"/>
      <c r="L7419" s="355"/>
      <c r="M7419" s="355"/>
    </row>
    <row r="7420" spans="5:13">
      <c r="E7420" s="355"/>
      <c r="F7420" s="355"/>
      <c r="G7420" s="355"/>
      <c r="H7420" s="355"/>
      <c r="I7420" s="355"/>
      <c r="J7420" s="355"/>
      <c r="K7420" s="355"/>
      <c r="L7420" s="355"/>
      <c r="M7420" s="355"/>
    </row>
    <row r="7421" spans="5:13">
      <c r="E7421" s="355"/>
      <c r="F7421" s="355"/>
      <c r="G7421" s="355"/>
      <c r="H7421" s="355"/>
      <c r="I7421" s="355"/>
      <c r="J7421" s="355"/>
      <c r="K7421" s="355"/>
      <c r="L7421" s="355"/>
      <c r="M7421" s="355"/>
    </row>
    <row r="7422" spans="5:13">
      <c r="E7422" s="355"/>
      <c r="F7422" s="355"/>
      <c r="G7422" s="355"/>
      <c r="H7422" s="355"/>
      <c r="I7422" s="355"/>
      <c r="J7422" s="355"/>
      <c r="K7422" s="355"/>
      <c r="L7422" s="355"/>
      <c r="M7422" s="355"/>
    </row>
    <row r="7423" spans="5:13">
      <c r="E7423" s="355"/>
      <c r="F7423" s="355"/>
      <c r="G7423" s="355"/>
      <c r="H7423" s="355"/>
      <c r="I7423" s="355"/>
      <c r="J7423" s="355"/>
      <c r="K7423" s="355"/>
      <c r="L7423" s="355"/>
      <c r="M7423" s="355"/>
    </row>
    <row r="7424" spans="5:13">
      <c r="E7424" s="355"/>
      <c r="F7424" s="355"/>
      <c r="G7424" s="355"/>
      <c r="H7424" s="355"/>
      <c r="I7424" s="355"/>
      <c r="J7424" s="355"/>
      <c r="K7424" s="355"/>
      <c r="L7424" s="355"/>
      <c r="M7424" s="355"/>
    </row>
    <row r="7425" spans="5:13">
      <c r="E7425" s="355"/>
      <c r="F7425" s="355"/>
      <c r="G7425" s="355"/>
      <c r="H7425" s="355"/>
      <c r="I7425" s="355"/>
      <c r="J7425" s="355"/>
      <c r="K7425" s="355"/>
      <c r="L7425" s="355"/>
      <c r="M7425" s="355"/>
    </row>
    <row r="7426" spans="5:13">
      <c r="E7426" s="355"/>
      <c r="F7426" s="355"/>
      <c r="G7426" s="355"/>
      <c r="H7426" s="355"/>
      <c r="I7426" s="355"/>
      <c r="J7426" s="355"/>
      <c r="K7426" s="355"/>
      <c r="L7426" s="355"/>
      <c r="M7426" s="355"/>
    </row>
    <row r="7427" spans="5:13">
      <c r="E7427" s="355"/>
      <c r="F7427" s="355"/>
      <c r="G7427" s="355"/>
      <c r="H7427" s="355"/>
      <c r="I7427" s="355"/>
      <c r="J7427" s="355"/>
      <c r="K7427" s="355"/>
      <c r="L7427" s="355"/>
      <c r="M7427" s="355"/>
    </row>
    <row r="7428" spans="5:13">
      <c r="E7428" s="355"/>
      <c r="F7428" s="355"/>
      <c r="G7428" s="355"/>
      <c r="H7428" s="355"/>
      <c r="I7428" s="355"/>
      <c r="J7428" s="355"/>
      <c r="K7428" s="355"/>
      <c r="L7428" s="355"/>
      <c r="M7428" s="355"/>
    </row>
    <row r="7429" spans="5:13">
      <c r="E7429" s="355"/>
      <c r="F7429" s="355"/>
      <c r="G7429" s="355"/>
      <c r="H7429" s="355"/>
      <c r="I7429" s="355"/>
      <c r="J7429" s="355"/>
      <c r="K7429" s="355"/>
      <c r="L7429" s="355"/>
      <c r="M7429" s="355"/>
    </row>
    <row r="7430" spans="5:13">
      <c r="E7430" s="355"/>
      <c r="F7430" s="355"/>
      <c r="G7430" s="355"/>
      <c r="H7430" s="355"/>
      <c r="I7430" s="355"/>
      <c r="J7430" s="355"/>
      <c r="K7430" s="355"/>
      <c r="L7430" s="355"/>
      <c r="M7430" s="355"/>
    </row>
    <row r="7431" spans="5:13">
      <c r="E7431" s="355"/>
      <c r="F7431" s="355"/>
      <c r="G7431" s="355"/>
      <c r="H7431" s="355"/>
      <c r="I7431" s="355"/>
      <c r="J7431" s="355"/>
      <c r="K7431" s="355"/>
      <c r="L7431" s="355"/>
      <c r="M7431" s="355"/>
    </row>
    <row r="7432" spans="5:13">
      <c r="E7432" s="355"/>
      <c r="F7432" s="355"/>
      <c r="G7432" s="355"/>
      <c r="H7432" s="355"/>
      <c r="I7432" s="355"/>
      <c r="J7432" s="355"/>
      <c r="K7432" s="355"/>
      <c r="L7432" s="355"/>
      <c r="M7432" s="355"/>
    </row>
    <row r="7433" spans="5:13">
      <c r="E7433" s="355"/>
      <c r="F7433" s="355"/>
      <c r="G7433" s="355"/>
      <c r="H7433" s="355"/>
      <c r="I7433" s="355"/>
      <c r="J7433" s="355"/>
      <c r="K7433" s="355"/>
      <c r="L7433" s="355"/>
      <c r="M7433" s="355"/>
    </row>
    <row r="7434" spans="5:13">
      <c r="E7434" s="355"/>
      <c r="F7434" s="355"/>
      <c r="G7434" s="355"/>
      <c r="H7434" s="355"/>
      <c r="I7434" s="355"/>
      <c r="J7434" s="355"/>
      <c r="K7434" s="355"/>
      <c r="L7434" s="355"/>
      <c r="M7434" s="355"/>
    </row>
    <row r="7435" spans="5:13">
      <c r="E7435" s="355"/>
      <c r="F7435" s="355"/>
      <c r="G7435" s="355"/>
      <c r="H7435" s="355"/>
      <c r="I7435" s="355"/>
      <c r="J7435" s="355"/>
      <c r="K7435" s="355"/>
      <c r="L7435" s="355"/>
      <c r="M7435" s="355"/>
    </row>
    <row r="7436" spans="5:13">
      <c r="E7436" s="355"/>
      <c r="F7436" s="355"/>
      <c r="G7436" s="355"/>
      <c r="H7436" s="355"/>
      <c r="I7436" s="355"/>
      <c r="J7436" s="355"/>
      <c r="K7436" s="355"/>
      <c r="L7436" s="355"/>
      <c r="M7436" s="355"/>
    </row>
    <row r="7437" spans="5:13">
      <c r="E7437" s="355"/>
      <c r="F7437" s="355"/>
      <c r="G7437" s="355"/>
      <c r="H7437" s="355"/>
      <c r="I7437" s="355"/>
      <c r="J7437" s="355"/>
      <c r="K7437" s="355"/>
      <c r="L7437" s="355"/>
      <c r="M7437" s="355"/>
    </row>
    <row r="7438" spans="5:13">
      <c r="E7438" s="355"/>
      <c r="F7438" s="355"/>
      <c r="G7438" s="355"/>
      <c r="H7438" s="355"/>
      <c r="I7438" s="355"/>
      <c r="J7438" s="355"/>
      <c r="K7438" s="355"/>
      <c r="L7438" s="355"/>
      <c r="M7438" s="355"/>
    </row>
    <row r="7439" spans="5:13">
      <c r="E7439" s="355"/>
      <c r="F7439" s="355"/>
      <c r="G7439" s="355"/>
      <c r="H7439" s="355"/>
      <c r="I7439" s="355"/>
      <c r="J7439" s="355"/>
      <c r="K7439" s="355"/>
      <c r="L7439" s="355"/>
      <c r="M7439" s="355"/>
    </row>
    <row r="7440" spans="5:13">
      <c r="E7440" s="355"/>
      <c r="F7440" s="355"/>
      <c r="G7440" s="355"/>
      <c r="H7440" s="355"/>
      <c r="I7440" s="355"/>
      <c r="J7440" s="355"/>
      <c r="K7440" s="355"/>
      <c r="L7440" s="355"/>
      <c r="M7440" s="355"/>
    </row>
    <row r="7441" spans="5:13">
      <c r="E7441" s="355"/>
      <c r="F7441" s="355"/>
      <c r="G7441" s="355"/>
      <c r="H7441" s="355"/>
      <c r="I7441" s="355"/>
      <c r="J7441" s="355"/>
      <c r="K7441" s="355"/>
      <c r="L7441" s="355"/>
      <c r="M7441" s="355"/>
    </row>
    <row r="7442" spans="5:13">
      <c r="E7442" s="355"/>
      <c r="F7442" s="355"/>
      <c r="G7442" s="355"/>
      <c r="H7442" s="355"/>
      <c r="I7442" s="355"/>
      <c r="J7442" s="355"/>
      <c r="K7442" s="355"/>
      <c r="L7442" s="355"/>
      <c r="M7442" s="355"/>
    </row>
    <row r="7443" spans="5:13">
      <c r="E7443" s="355"/>
      <c r="F7443" s="355"/>
      <c r="G7443" s="355"/>
      <c r="H7443" s="355"/>
      <c r="I7443" s="355"/>
      <c r="J7443" s="355"/>
      <c r="K7443" s="355"/>
      <c r="L7443" s="355"/>
      <c r="M7443" s="355"/>
    </row>
    <row r="7444" spans="5:13">
      <c r="E7444" s="355"/>
      <c r="F7444" s="355"/>
      <c r="G7444" s="355"/>
      <c r="H7444" s="355"/>
      <c r="I7444" s="355"/>
      <c r="J7444" s="355"/>
      <c r="K7444" s="355"/>
      <c r="L7444" s="355"/>
      <c r="M7444" s="355"/>
    </row>
    <row r="7445" spans="5:13">
      <c r="E7445" s="355"/>
      <c r="F7445" s="355"/>
      <c r="G7445" s="355"/>
      <c r="H7445" s="355"/>
      <c r="I7445" s="355"/>
      <c r="J7445" s="355"/>
      <c r="K7445" s="355"/>
      <c r="L7445" s="355"/>
      <c r="M7445" s="355"/>
    </row>
    <row r="7446" spans="5:13">
      <c r="E7446" s="355"/>
      <c r="F7446" s="355"/>
      <c r="G7446" s="355"/>
      <c r="H7446" s="355"/>
      <c r="I7446" s="355"/>
      <c r="J7446" s="355"/>
      <c r="K7446" s="355"/>
      <c r="L7446" s="355"/>
      <c r="M7446" s="355"/>
    </row>
    <row r="7447" spans="5:13">
      <c r="E7447" s="355"/>
      <c r="F7447" s="355"/>
      <c r="G7447" s="355"/>
      <c r="H7447" s="355"/>
      <c r="I7447" s="355"/>
      <c r="J7447" s="355"/>
      <c r="K7447" s="355"/>
      <c r="L7447" s="355"/>
      <c r="M7447" s="355"/>
    </row>
    <row r="7448" spans="5:13">
      <c r="E7448" s="355"/>
      <c r="F7448" s="355"/>
      <c r="G7448" s="355"/>
      <c r="H7448" s="355"/>
      <c r="I7448" s="355"/>
      <c r="J7448" s="355"/>
      <c r="K7448" s="355"/>
      <c r="L7448" s="355"/>
      <c r="M7448" s="355"/>
    </row>
    <row r="7449" spans="5:13">
      <c r="E7449" s="355"/>
      <c r="F7449" s="355"/>
      <c r="G7449" s="355"/>
      <c r="H7449" s="355"/>
      <c r="I7449" s="355"/>
      <c r="J7449" s="355"/>
      <c r="K7449" s="355"/>
      <c r="L7449" s="355"/>
      <c r="M7449" s="355"/>
    </row>
    <row r="7450" spans="5:13">
      <c r="E7450" s="355"/>
      <c r="F7450" s="355"/>
      <c r="G7450" s="355"/>
      <c r="H7450" s="355"/>
      <c r="I7450" s="355"/>
      <c r="J7450" s="355"/>
      <c r="K7450" s="355"/>
      <c r="L7450" s="355"/>
      <c r="M7450" s="355"/>
    </row>
    <row r="7451" spans="5:13">
      <c r="E7451" s="355"/>
      <c r="F7451" s="355"/>
      <c r="G7451" s="355"/>
      <c r="H7451" s="355"/>
      <c r="I7451" s="355"/>
      <c r="J7451" s="355"/>
      <c r="K7451" s="355"/>
      <c r="L7451" s="355"/>
      <c r="M7451" s="355"/>
    </row>
    <row r="7452" spans="5:13">
      <c r="E7452" s="355"/>
      <c r="F7452" s="355"/>
      <c r="G7452" s="355"/>
      <c r="H7452" s="355"/>
      <c r="I7452" s="355"/>
      <c r="J7452" s="355"/>
      <c r="K7452" s="355"/>
      <c r="L7452" s="355"/>
      <c r="M7452" s="355"/>
    </row>
    <row r="7453" spans="5:13">
      <c r="E7453" s="355"/>
      <c r="F7453" s="355"/>
      <c r="G7453" s="355"/>
      <c r="H7453" s="355"/>
      <c r="I7453" s="355"/>
      <c r="J7453" s="355"/>
      <c r="K7453" s="355"/>
      <c r="L7453" s="355"/>
      <c r="M7453" s="355"/>
    </row>
    <row r="7454" spans="5:13">
      <c r="E7454" s="355"/>
      <c r="F7454" s="355"/>
      <c r="G7454" s="355"/>
      <c r="H7454" s="355"/>
      <c r="I7454" s="355"/>
      <c r="J7454" s="355"/>
      <c r="K7454" s="355"/>
      <c r="L7454" s="355"/>
      <c r="M7454" s="355"/>
    </row>
    <row r="7455" spans="5:13">
      <c r="E7455" s="355"/>
      <c r="F7455" s="355"/>
      <c r="G7455" s="355"/>
      <c r="H7455" s="355"/>
      <c r="I7455" s="355"/>
      <c r="J7455" s="355"/>
      <c r="K7455" s="355"/>
      <c r="L7455" s="355"/>
      <c r="M7455" s="355"/>
    </row>
    <row r="7456" spans="5:13">
      <c r="E7456" s="355"/>
      <c r="F7456" s="355"/>
      <c r="G7456" s="355"/>
      <c r="H7456" s="355"/>
      <c r="I7456" s="355"/>
      <c r="J7456" s="355"/>
      <c r="K7456" s="355"/>
      <c r="L7456" s="355"/>
      <c r="M7456" s="355"/>
    </row>
    <row r="7457" spans="5:13">
      <c r="E7457" s="355"/>
      <c r="F7457" s="355"/>
      <c r="G7457" s="355"/>
      <c r="H7457" s="355"/>
      <c r="I7457" s="355"/>
      <c r="J7457" s="355"/>
      <c r="K7457" s="355"/>
      <c r="L7457" s="355"/>
      <c r="M7457" s="355"/>
    </row>
    <row r="7458" spans="5:13">
      <c r="E7458" s="355"/>
      <c r="F7458" s="355"/>
      <c r="G7458" s="355"/>
      <c r="H7458" s="355"/>
      <c r="I7458" s="355"/>
      <c r="J7458" s="355"/>
      <c r="K7458" s="355"/>
      <c r="L7458" s="355"/>
      <c r="M7458" s="355"/>
    </row>
    <row r="7459" spans="5:13">
      <c r="E7459" s="355"/>
      <c r="F7459" s="355"/>
      <c r="G7459" s="355"/>
      <c r="H7459" s="355"/>
      <c r="I7459" s="355"/>
      <c r="J7459" s="355"/>
      <c r="K7459" s="355"/>
      <c r="L7459" s="355"/>
      <c r="M7459" s="355"/>
    </row>
    <row r="7460" spans="5:13">
      <c r="E7460" s="355"/>
      <c r="F7460" s="355"/>
      <c r="G7460" s="355"/>
      <c r="H7460" s="355"/>
      <c r="I7460" s="355"/>
      <c r="J7460" s="355"/>
      <c r="K7460" s="355"/>
      <c r="L7460" s="355"/>
      <c r="M7460" s="355"/>
    </row>
    <row r="7461" spans="5:13">
      <c r="E7461" s="355"/>
      <c r="F7461" s="355"/>
      <c r="G7461" s="355"/>
      <c r="H7461" s="355"/>
      <c r="I7461" s="355"/>
      <c r="J7461" s="355"/>
      <c r="K7461" s="355"/>
      <c r="L7461" s="355"/>
      <c r="M7461" s="355"/>
    </row>
    <row r="7462" spans="5:13">
      <c r="E7462" s="355"/>
      <c r="F7462" s="355"/>
      <c r="G7462" s="355"/>
      <c r="H7462" s="355"/>
      <c r="I7462" s="355"/>
      <c r="J7462" s="355"/>
      <c r="K7462" s="355"/>
      <c r="L7462" s="355"/>
      <c r="M7462" s="355"/>
    </row>
    <row r="7463" spans="5:13">
      <c r="E7463" s="355"/>
      <c r="F7463" s="355"/>
      <c r="G7463" s="355"/>
      <c r="H7463" s="355"/>
      <c r="I7463" s="355"/>
      <c r="J7463" s="355"/>
      <c r="K7463" s="355"/>
      <c r="L7463" s="355"/>
      <c r="M7463" s="355"/>
    </row>
    <row r="7464" spans="5:13">
      <c r="E7464" s="355"/>
      <c r="F7464" s="355"/>
      <c r="G7464" s="355"/>
      <c r="H7464" s="355"/>
      <c r="I7464" s="355"/>
      <c r="J7464" s="355"/>
      <c r="K7464" s="355"/>
      <c r="L7464" s="355"/>
      <c r="M7464" s="355"/>
    </row>
    <row r="7465" spans="5:13">
      <c r="E7465" s="355"/>
      <c r="F7465" s="355"/>
      <c r="G7465" s="355"/>
      <c r="H7465" s="355"/>
      <c r="I7465" s="355"/>
      <c r="J7465" s="355"/>
      <c r="K7465" s="355"/>
      <c r="L7465" s="355"/>
      <c r="M7465" s="355"/>
    </row>
    <row r="7466" spans="5:13">
      <c r="E7466" s="355"/>
      <c r="F7466" s="355"/>
      <c r="G7466" s="355"/>
      <c r="H7466" s="355"/>
      <c r="I7466" s="355"/>
      <c r="J7466" s="355"/>
      <c r="K7466" s="355"/>
      <c r="L7466" s="355"/>
      <c r="M7466" s="355"/>
    </row>
    <row r="7467" spans="5:13">
      <c r="E7467" s="355"/>
      <c r="F7467" s="355"/>
      <c r="G7467" s="355"/>
      <c r="H7467" s="355"/>
      <c r="I7467" s="355"/>
      <c r="J7467" s="355"/>
      <c r="K7467" s="355"/>
      <c r="L7467" s="355"/>
      <c r="M7467" s="355"/>
    </row>
    <row r="7468" spans="5:13">
      <c r="E7468" s="355"/>
      <c r="F7468" s="355"/>
      <c r="G7468" s="355"/>
      <c r="H7468" s="355"/>
      <c r="I7468" s="355"/>
      <c r="J7468" s="355"/>
      <c r="K7468" s="355"/>
      <c r="L7468" s="355"/>
      <c r="M7468" s="355"/>
    </row>
    <row r="7469" spans="5:13">
      <c r="E7469" s="355"/>
      <c r="F7469" s="355"/>
      <c r="G7469" s="355"/>
      <c r="H7469" s="355"/>
      <c r="I7469" s="355"/>
      <c r="J7469" s="355"/>
      <c r="K7469" s="355"/>
      <c r="L7469" s="355"/>
      <c r="M7469" s="355"/>
    </row>
    <row r="7470" spans="5:13">
      <c r="E7470" s="355"/>
      <c r="F7470" s="355"/>
      <c r="G7470" s="355"/>
      <c r="H7470" s="355"/>
      <c r="I7470" s="355"/>
      <c r="J7470" s="355"/>
      <c r="K7470" s="355"/>
      <c r="L7470" s="355"/>
      <c r="M7470" s="355"/>
    </row>
    <row r="7471" spans="5:13">
      <c r="E7471" s="355"/>
      <c r="F7471" s="355"/>
      <c r="G7471" s="355"/>
      <c r="H7471" s="355"/>
      <c r="I7471" s="355"/>
      <c r="J7471" s="355"/>
      <c r="K7471" s="355"/>
      <c r="L7471" s="355"/>
      <c r="M7471" s="355"/>
    </row>
    <row r="7472" spans="5:13">
      <c r="E7472" s="355"/>
      <c r="F7472" s="355"/>
      <c r="G7472" s="355"/>
      <c r="H7472" s="355"/>
      <c r="I7472" s="355"/>
      <c r="J7472" s="355"/>
      <c r="K7472" s="355"/>
      <c r="L7472" s="355"/>
      <c r="M7472" s="355"/>
    </row>
    <row r="7473" spans="5:13">
      <c r="E7473" s="355"/>
      <c r="F7473" s="355"/>
      <c r="G7473" s="355"/>
      <c r="H7473" s="355"/>
      <c r="I7473" s="355"/>
      <c r="J7473" s="355"/>
      <c r="K7473" s="355"/>
      <c r="L7473" s="355"/>
      <c r="M7473" s="355"/>
    </row>
    <row r="7474" spans="5:13">
      <c r="E7474" s="355"/>
      <c r="F7474" s="355"/>
      <c r="G7474" s="355"/>
      <c r="H7474" s="355"/>
      <c r="I7474" s="355"/>
      <c r="J7474" s="355"/>
      <c r="K7474" s="355"/>
      <c r="L7474" s="355"/>
      <c r="M7474" s="355"/>
    </row>
    <row r="7475" spans="5:13">
      <c r="E7475" s="355"/>
      <c r="F7475" s="355"/>
      <c r="G7475" s="355"/>
      <c r="H7475" s="355"/>
      <c r="I7475" s="355"/>
      <c r="J7475" s="355"/>
      <c r="K7475" s="355"/>
      <c r="L7475" s="355"/>
      <c r="M7475" s="355"/>
    </row>
    <row r="7476" spans="5:13">
      <c r="E7476" s="355"/>
      <c r="F7476" s="355"/>
      <c r="G7476" s="355"/>
      <c r="H7476" s="355"/>
      <c r="I7476" s="355"/>
      <c r="J7476" s="355"/>
      <c r="K7476" s="355"/>
      <c r="L7476" s="355"/>
      <c r="M7476" s="355"/>
    </row>
    <row r="7477" spans="5:13">
      <c r="E7477" s="355"/>
      <c r="F7477" s="355"/>
      <c r="G7477" s="355"/>
      <c r="H7477" s="355"/>
      <c r="I7477" s="355"/>
      <c r="J7477" s="355"/>
      <c r="K7477" s="355"/>
      <c r="L7477" s="355"/>
      <c r="M7477" s="355"/>
    </row>
    <row r="7478" spans="5:13">
      <c r="E7478" s="355"/>
      <c r="F7478" s="355"/>
      <c r="G7478" s="355"/>
      <c r="H7478" s="355"/>
      <c r="I7478" s="355"/>
      <c r="J7478" s="355"/>
      <c r="K7478" s="355"/>
      <c r="L7478" s="355"/>
      <c r="M7478" s="355"/>
    </row>
    <row r="7479" spans="5:13">
      <c r="E7479" s="355"/>
      <c r="F7479" s="355"/>
      <c r="G7479" s="355"/>
      <c r="H7479" s="355"/>
      <c r="I7479" s="355"/>
      <c r="J7479" s="355"/>
      <c r="K7479" s="355"/>
      <c r="L7479" s="355"/>
      <c r="M7479" s="355"/>
    </row>
    <row r="7480" spans="5:13">
      <c r="E7480" s="355"/>
      <c r="F7480" s="355"/>
      <c r="G7480" s="355"/>
      <c r="H7480" s="355"/>
      <c r="I7480" s="355"/>
      <c r="J7480" s="355"/>
      <c r="K7480" s="355"/>
      <c r="L7480" s="355"/>
      <c r="M7480" s="355"/>
    </row>
    <row r="7481" spans="5:13">
      <c r="E7481" s="355"/>
      <c r="F7481" s="355"/>
      <c r="G7481" s="355"/>
      <c r="H7481" s="355"/>
      <c r="I7481" s="355"/>
      <c r="J7481" s="355"/>
      <c r="K7481" s="355"/>
      <c r="L7481" s="355"/>
      <c r="M7481" s="355"/>
    </row>
    <row r="7482" spans="5:13">
      <c r="E7482" s="355"/>
      <c r="F7482" s="355"/>
      <c r="G7482" s="355"/>
      <c r="H7482" s="355"/>
      <c r="I7482" s="355"/>
      <c r="J7482" s="355"/>
      <c r="K7482" s="355"/>
      <c r="L7482" s="355"/>
      <c r="M7482" s="355"/>
    </row>
    <row r="7483" spans="5:13">
      <c r="E7483" s="355"/>
      <c r="F7483" s="355"/>
      <c r="G7483" s="355"/>
      <c r="H7483" s="355"/>
      <c r="I7483" s="355"/>
      <c r="J7483" s="355"/>
      <c r="K7483" s="355"/>
      <c r="L7483" s="355"/>
      <c r="M7483" s="355"/>
    </row>
    <row r="7484" spans="5:13">
      <c r="E7484" s="355"/>
      <c r="F7484" s="355"/>
      <c r="G7484" s="355"/>
      <c r="H7484" s="355"/>
      <c r="I7484" s="355"/>
      <c r="J7484" s="355"/>
      <c r="K7484" s="355"/>
      <c r="L7484" s="355"/>
      <c r="M7484" s="355"/>
    </row>
    <row r="7485" spans="5:13">
      <c r="E7485" s="355"/>
      <c r="F7485" s="355"/>
      <c r="G7485" s="355"/>
      <c r="H7485" s="355"/>
      <c r="I7485" s="355"/>
      <c r="J7485" s="355"/>
      <c r="K7485" s="355"/>
      <c r="L7485" s="355"/>
      <c r="M7485" s="355"/>
    </row>
    <row r="7486" spans="5:13">
      <c r="E7486" s="355"/>
      <c r="F7486" s="355"/>
      <c r="G7486" s="355"/>
      <c r="H7486" s="355"/>
      <c r="I7486" s="355"/>
      <c r="J7486" s="355"/>
      <c r="K7486" s="355"/>
      <c r="L7486" s="355"/>
      <c r="M7486" s="355"/>
    </row>
    <row r="7487" spans="5:13">
      <c r="E7487" s="355"/>
      <c r="F7487" s="355"/>
      <c r="G7487" s="355"/>
      <c r="H7487" s="355"/>
      <c r="I7487" s="355"/>
      <c r="J7487" s="355"/>
      <c r="K7487" s="355"/>
      <c r="L7487" s="355"/>
      <c r="M7487" s="355"/>
    </row>
    <row r="7488" spans="5:13">
      <c r="E7488" s="355"/>
      <c r="F7488" s="355"/>
      <c r="G7488" s="355"/>
      <c r="H7488" s="355"/>
      <c r="I7488" s="355"/>
      <c r="J7488" s="355"/>
      <c r="K7488" s="355"/>
      <c r="L7488" s="355"/>
      <c r="M7488" s="355"/>
    </row>
    <row r="7489" spans="5:13">
      <c r="E7489" s="355"/>
      <c r="F7489" s="355"/>
      <c r="G7489" s="355"/>
      <c r="H7489" s="355"/>
      <c r="I7489" s="355"/>
      <c r="J7489" s="355"/>
      <c r="K7489" s="355"/>
      <c r="L7489" s="355"/>
      <c r="M7489" s="355"/>
    </row>
    <row r="7490" spans="5:13">
      <c r="E7490" s="355"/>
      <c r="F7490" s="355"/>
      <c r="G7490" s="355"/>
      <c r="H7490" s="355"/>
      <c r="I7490" s="355"/>
      <c r="J7490" s="355"/>
      <c r="K7490" s="355"/>
      <c r="L7490" s="355"/>
      <c r="M7490" s="355"/>
    </row>
    <row r="7491" spans="5:13">
      <c r="E7491" s="355"/>
      <c r="F7491" s="355"/>
      <c r="G7491" s="355"/>
      <c r="H7491" s="355"/>
      <c r="I7491" s="355"/>
      <c r="J7491" s="355"/>
      <c r="K7491" s="355"/>
      <c r="L7491" s="355"/>
      <c r="M7491" s="355"/>
    </row>
    <row r="7492" spans="5:13">
      <c r="E7492" s="355"/>
      <c r="F7492" s="355"/>
      <c r="G7492" s="355"/>
      <c r="H7492" s="355"/>
      <c r="I7492" s="355"/>
      <c r="J7492" s="355"/>
      <c r="K7492" s="355"/>
      <c r="L7492" s="355"/>
      <c r="M7492" s="355"/>
    </row>
    <row r="7493" spans="5:13">
      <c r="E7493" s="355"/>
      <c r="F7493" s="355"/>
      <c r="G7493" s="355"/>
      <c r="H7493" s="355"/>
      <c r="I7493" s="355"/>
      <c r="J7493" s="355"/>
      <c r="K7493" s="355"/>
      <c r="L7493" s="355"/>
      <c r="M7493" s="355"/>
    </row>
    <row r="7494" spans="5:13">
      <c r="E7494" s="355"/>
      <c r="F7494" s="355"/>
      <c r="G7494" s="355"/>
      <c r="H7494" s="355"/>
      <c r="I7494" s="355"/>
      <c r="J7494" s="355"/>
      <c r="K7494" s="355"/>
      <c r="L7494" s="355"/>
      <c r="M7494" s="355"/>
    </row>
    <row r="7495" spans="5:13">
      <c r="E7495" s="355"/>
      <c r="F7495" s="355"/>
      <c r="G7495" s="355"/>
      <c r="H7495" s="355"/>
      <c r="I7495" s="355"/>
      <c r="J7495" s="355"/>
      <c r="K7495" s="355"/>
      <c r="L7495" s="355"/>
      <c r="M7495" s="355"/>
    </row>
    <row r="7496" spans="5:13">
      <c r="E7496" s="355"/>
      <c r="F7496" s="355"/>
      <c r="G7496" s="355"/>
      <c r="H7496" s="355"/>
      <c r="I7496" s="355"/>
      <c r="J7496" s="355"/>
      <c r="K7496" s="355"/>
      <c r="L7496" s="355"/>
      <c r="M7496" s="355"/>
    </row>
    <row r="7497" spans="5:13">
      <c r="E7497" s="355"/>
      <c r="F7497" s="355"/>
      <c r="G7497" s="355"/>
      <c r="H7497" s="355"/>
      <c r="I7497" s="355"/>
      <c r="J7497" s="355"/>
      <c r="K7497" s="355"/>
      <c r="L7497" s="355"/>
      <c r="M7497" s="355"/>
    </row>
    <row r="7498" spans="5:13">
      <c r="E7498" s="355"/>
      <c r="F7498" s="355"/>
      <c r="G7498" s="355"/>
      <c r="H7498" s="355"/>
      <c r="I7498" s="355"/>
      <c r="J7498" s="355"/>
      <c r="K7498" s="355"/>
      <c r="L7498" s="355"/>
      <c r="M7498" s="355"/>
    </row>
    <row r="7499" spans="5:13">
      <c r="E7499" s="355"/>
      <c r="F7499" s="355"/>
      <c r="G7499" s="355"/>
      <c r="H7499" s="355"/>
      <c r="I7499" s="355"/>
      <c r="J7499" s="355"/>
      <c r="K7499" s="355"/>
      <c r="L7499" s="355"/>
      <c r="M7499" s="355"/>
    </row>
    <row r="7500" spans="5:13">
      <c r="E7500" s="355"/>
      <c r="F7500" s="355"/>
      <c r="G7500" s="355"/>
      <c r="H7500" s="355"/>
      <c r="I7500" s="355"/>
      <c r="J7500" s="355"/>
      <c r="K7500" s="355"/>
      <c r="L7500" s="355"/>
      <c r="M7500" s="355"/>
    </row>
    <row r="7501" spans="5:13">
      <c r="E7501" s="355"/>
      <c r="F7501" s="355"/>
      <c r="G7501" s="355"/>
      <c r="H7501" s="355"/>
      <c r="I7501" s="355"/>
      <c r="J7501" s="355"/>
      <c r="K7501" s="355"/>
      <c r="L7501" s="355"/>
      <c r="M7501" s="355"/>
    </row>
    <row r="7502" spans="5:13">
      <c r="E7502" s="355"/>
      <c r="F7502" s="355"/>
      <c r="G7502" s="355"/>
      <c r="H7502" s="355"/>
      <c r="I7502" s="355"/>
      <c r="J7502" s="355"/>
      <c r="K7502" s="355"/>
      <c r="L7502" s="355"/>
      <c r="M7502" s="355"/>
    </row>
    <row r="7503" spans="5:13">
      <c r="E7503" s="355"/>
      <c r="F7503" s="355"/>
      <c r="G7503" s="355"/>
      <c r="H7503" s="355"/>
      <c r="I7503" s="355"/>
      <c r="J7503" s="355"/>
      <c r="K7503" s="355"/>
      <c r="L7503" s="355"/>
      <c r="M7503" s="355"/>
    </row>
    <row r="7504" spans="5:13">
      <c r="E7504" s="355"/>
      <c r="F7504" s="355"/>
      <c r="G7504" s="355"/>
      <c r="H7504" s="355"/>
      <c r="I7504" s="355"/>
      <c r="J7504" s="355"/>
      <c r="K7504" s="355"/>
      <c r="L7504" s="355"/>
      <c r="M7504" s="355"/>
    </row>
    <row r="7505" spans="5:13">
      <c r="E7505" s="355"/>
      <c r="F7505" s="355"/>
      <c r="G7505" s="355"/>
      <c r="H7505" s="355"/>
      <c r="I7505" s="355"/>
      <c r="J7505" s="355"/>
      <c r="K7505" s="355"/>
      <c r="L7505" s="355"/>
      <c r="M7505" s="355"/>
    </row>
    <row r="7506" spans="5:13">
      <c r="E7506" s="355"/>
      <c r="F7506" s="355"/>
      <c r="G7506" s="355"/>
      <c r="H7506" s="355"/>
      <c r="I7506" s="355"/>
      <c r="J7506" s="355"/>
      <c r="K7506" s="355"/>
      <c r="L7506" s="355"/>
      <c r="M7506" s="355"/>
    </row>
    <row r="7507" spans="5:13">
      <c r="E7507" s="355"/>
      <c r="F7507" s="355"/>
      <c r="G7507" s="355"/>
      <c r="H7507" s="355"/>
      <c r="I7507" s="355"/>
      <c r="J7507" s="355"/>
      <c r="K7507" s="355"/>
      <c r="L7507" s="355"/>
      <c r="M7507" s="355"/>
    </row>
    <row r="7508" spans="5:13">
      <c r="E7508" s="355"/>
      <c r="F7508" s="355"/>
      <c r="G7508" s="355"/>
      <c r="H7508" s="355"/>
      <c r="I7508" s="355"/>
      <c r="J7508" s="355"/>
      <c r="K7508" s="355"/>
      <c r="L7508" s="355"/>
      <c r="M7508" s="355"/>
    </row>
    <row r="7509" spans="5:13">
      <c r="E7509" s="355"/>
      <c r="F7509" s="355"/>
      <c r="G7509" s="355"/>
      <c r="H7509" s="355"/>
      <c r="I7509" s="355"/>
      <c r="J7509" s="355"/>
      <c r="K7509" s="355"/>
      <c r="L7509" s="355"/>
      <c r="M7509" s="355"/>
    </row>
    <row r="7510" spans="5:13">
      <c r="E7510" s="355"/>
      <c r="F7510" s="355"/>
      <c r="G7510" s="355"/>
      <c r="H7510" s="355"/>
      <c r="I7510" s="355"/>
      <c r="J7510" s="355"/>
      <c r="K7510" s="355"/>
      <c r="L7510" s="355"/>
      <c r="M7510" s="355"/>
    </row>
    <row r="7511" spans="5:13">
      <c r="E7511" s="355"/>
      <c r="F7511" s="355"/>
      <c r="G7511" s="355"/>
      <c r="H7511" s="355"/>
      <c r="I7511" s="355"/>
      <c r="J7511" s="355"/>
      <c r="K7511" s="355"/>
      <c r="L7511" s="355"/>
      <c r="M7511" s="355"/>
    </row>
    <row r="7512" spans="5:13">
      <c r="E7512" s="355"/>
      <c r="F7512" s="355"/>
      <c r="G7512" s="355"/>
      <c r="H7512" s="355"/>
      <c r="I7512" s="355"/>
      <c r="J7512" s="355"/>
      <c r="K7512" s="355"/>
      <c r="L7512" s="355"/>
      <c r="M7512" s="355"/>
    </row>
    <row r="7513" spans="5:13">
      <c r="E7513" s="355"/>
      <c r="F7513" s="355"/>
      <c r="G7513" s="355"/>
      <c r="H7513" s="355"/>
      <c r="I7513" s="355"/>
      <c r="J7513" s="355"/>
      <c r="K7513" s="355"/>
      <c r="L7513" s="355"/>
      <c r="M7513" s="355"/>
    </row>
    <row r="7514" spans="5:13">
      <c r="E7514" s="355"/>
      <c r="F7514" s="355"/>
      <c r="G7514" s="355"/>
      <c r="H7514" s="355"/>
      <c r="I7514" s="355"/>
      <c r="J7514" s="355"/>
      <c r="K7514" s="355"/>
      <c r="L7514" s="355"/>
      <c r="M7514" s="355"/>
    </row>
    <row r="7515" spans="5:13">
      <c r="E7515" s="355"/>
      <c r="F7515" s="355"/>
      <c r="G7515" s="355"/>
      <c r="H7515" s="355"/>
      <c r="I7515" s="355"/>
      <c r="J7515" s="355"/>
      <c r="K7515" s="355"/>
      <c r="L7515" s="355"/>
      <c r="M7515" s="355"/>
    </row>
    <row r="7516" spans="5:13">
      <c r="E7516" s="355"/>
      <c r="F7516" s="355"/>
      <c r="G7516" s="355"/>
      <c r="H7516" s="355"/>
      <c r="I7516" s="355"/>
      <c r="J7516" s="355"/>
      <c r="K7516" s="355"/>
      <c r="L7516" s="355"/>
      <c r="M7516" s="355"/>
    </row>
    <row r="7517" spans="5:13">
      <c r="E7517" s="355"/>
      <c r="F7517" s="355"/>
      <c r="G7517" s="355"/>
      <c r="H7517" s="355"/>
      <c r="I7517" s="355"/>
      <c r="J7517" s="355"/>
      <c r="K7517" s="355"/>
      <c r="L7517" s="355"/>
      <c r="M7517" s="355"/>
    </row>
    <row r="7518" spans="5:13">
      <c r="E7518" s="355"/>
      <c r="F7518" s="355"/>
      <c r="G7518" s="355"/>
      <c r="H7518" s="355"/>
      <c r="I7518" s="355"/>
      <c r="J7518" s="355"/>
      <c r="K7518" s="355"/>
      <c r="L7518" s="355"/>
      <c r="M7518" s="355"/>
    </row>
    <row r="7519" spans="5:13">
      <c r="E7519" s="355"/>
      <c r="F7519" s="355"/>
      <c r="G7519" s="355"/>
      <c r="H7519" s="355"/>
      <c r="I7519" s="355"/>
      <c r="J7519" s="355"/>
      <c r="K7519" s="355"/>
      <c r="L7519" s="355"/>
      <c r="M7519" s="355"/>
    </row>
    <row r="7520" spans="5:13">
      <c r="E7520" s="355"/>
      <c r="F7520" s="355"/>
      <c r="G7520" s="355"/>
      <c r="H7520" s="355"/>
      <c r="I7520" s="355"/>
      <c r="J7520" s="355"/>
      <c r="K7520" s="355"/>
      <c r="L7520" s="355"/>
      <c r="M7520" s="355"/>
    </row>
    <row r="7521" spans="5:13">
      <c r="E7521" s="355"/>
      <c r="F7521" s="355"/>
      <c r="G7521" s="355"/>
      <c r="H7521" s="355"/>
      <c r="I7521" s="355"/>
      <c r="J7521" s="355"/>
      <c r="K7521" s="355"/>
      <c r="L7521" s="355"/>
      <c r="M7521" s="355"/>
    </row>
    <row r="7522" spans="5:13">
      <c r="E7522" s="355"/>
      <c r="F7522" s="355"/>
      <c r="G7522" s="355"/>
      <c r="H7522" s="355"/>
      <c r="I7522" s="355"/>
      <c r="J7522" s="355"/>
      <c r="K7522" s="355"/>
      <c r="L7522" s="355"/>
      <c r="M7522" s="355"/>
    </row>
    <row r="7523" spans="5:13">
      <c r="E7523" s="355"/>
      <c r="F7523" s="355"/>
      <c r="G7523" s="355"/>
      <c r="H7523" s="355"/>
      <c r="I7523" s="355"/>
      <c r="J7523" s="355"/>
      <c r="K7523" s="355"/>
      <c r="L7523" s="355"/>
      <c r="M7523" s="355"/>
    </row>
    <row r="7524" spans="5:13">
      <c r="E7524" s="355"/>
      <c r="F7524" s="355"/>
      <c r="G7524" s="355"/>
      <c r="H7524" s="355"/>
      <c r="I7524" s="355"/>
      <c r="J7524" s="355"/>
      <c r="K7524" s="355"/>
      <c r="L7524" s="355"/>
      <c r="M7524" s="355"/>
    </row>
    <row r="7525" spans="5:13">
      <c r="E7525" s="355"/>
      <c r="F7525" s="355"/>
      <c r="G7525" s="355"/>
      <c r="H7525" s="355"/>
      <c r="I7525" s="355"/>
      <c r="J7525" s="355"/>
      <c r="K7525" s="355"/>
      <c r="L7525" s="355"/>
      <c r="M7525" s="355"/>
    </row>
    <row r="7526" spans="5:13">
      <c r="E7526" s="355"/>
      <c r="F7526" s="355"/>
      <c r="G7526" s="355"/>
      <c r="H7526" s="355"/>
      <c r="I7526" s="355"/>
      <c r="J7526" s="355"/>
      <c r="K7526" s="355"/>
      <c r="L7526" s="355"/>
      <c r="M7526" s="355"/>
    </row>
    <row r="7527" spans="5:13">
      <c r="E7527" s="355"/>
      <c r="F7527" s="355"/>
      <c r="G7527" s="355"/>
      <c r="H7527" s="355"/>
      <c r="I7527" s="355"/>
      <c r="J7527" s="355"/>
      <c r="K7527" s="355"/>
      <c r="L7527" s="355"/>
      <c r="M7527" s="355"/>
    </row>
    <row r="7528" spans="5:13">
      <c r="E7528" s="355"/>
      <c r="F7528" s="355"/>
      <c r="G7528" s="355"/>
      <c r="H7528" s="355"/>
      <c r="I7528" s="355"/>
      <c r="J7528" s="355"/>
      <c r="K7528" s="355"/>
      <c r="L7528" s="355"/>
      <c r="M7528" s="355"/>
    </row>
    <row r="7529" spans="5:13">
      <c r="E7529" s="355"/>
      <c r="F7529" s="355"/>
      <c r="G7529" s="355"/>
      <c r="H7529" s="355"/>
      <c r="I7529" s="355"/>
      <c r="J7529" s="355"/>
      <c r="K7529" s="355"/>
      <c r="L7529" s="355"/>
      <c r="M7529" s="355"/>
    </row>
    <row r="7530" spans="5:13">
      <c r="E7530" s="355"/>
      <c r="F7530" s="355"/>
      <c r="G7530" s="355"/>
      <c r="H7530" s="355"/>
      <c r="I7530" s="355"/>
      <c r="J7530" s="355"/>
      <c r="K7530" s="355"/>
      <c r="L7530" s="355"/>
      <c r="M7530" s="355"/>
    </row>
    <row r="7531" spans="5:13">
      <c r="E7531" s="355"/>
      <c r="F7531" s="355"/>
      <c r="G7531" s="355"/>
      <c r="H7531" s="355"/>
      <c r="I7531" s="355"/>
      <c r="J7531" s="355"/>
      <c r="K7531" s="355"/>
      <c r="L7531" s="355"/>
      <c r="M7531" s="355"/>
    </row>
    <row r="7532" spans="5:13">
      <c r="E7532" s="355"/>
      <c r="F7532" s="355"/>
      <c r="G7532" s="355"/>
      <c r="H7532" s="355"/>
      <c r="I7532" s="355"/>
      <c r="J7532" s="355"/>
      <c r="K7532" s="355"/>
      <c r="L7532" s="355"/>
      <c r="M7532" s="355"/>
    </row>
    <row r="7533" spans="5:13">
      <c r="E7533" s="355"/>
      <c r="F7533" s="355"/>
      <c r="G7533" s="355"/>
      <c r="H7533" s="355"/>
      <c r="I7533" s="355"/>
      <c r="J7533" s="355"/>
      <c r="K7533" s="355"/>
      <c r="L7533" s="355"/>
      <c r="M7533" s="355"/>
    </row>
    <row r="7534" spans="5:13">
      <c r="E7534" s="355"/>
      <c r="F7534" s="355"/>
      <c r="G7534" s="355"/>
      <c r="H7534" s="355"/>
      <c r="I7534" s="355"/>
      <c r="J7534" s="355"/>
      <c r="K7534" s="355"/>
      <c r="L7534" s="355"/>
      <c r="M7534" s="355"/>
    </row>
    <row r="7535" spans="5:13">
      <c r="E7535" s="355"/>
      <c r="F7535" s="355"/>
      <c r="G7535" s="355"/>
      <c r="H7535" s="355"/>
      <c r="I7535" s="355"/>
      <c r="J7535" s="355"/>
      <c r="K7535" s="355"/>
      <c r="L7535" s="355"/>
      <c r="M7535" s="355"/>
    </row>
    <row r="7536" spans="5:13">
      <c r="E7536" s="355"/>
      <c r="F7536" s="355"/>
      <c r="G7536" s="355"/>
      <c r="H7536" s="355"/>
      <c r="I7536" s="355"/>
      <c r="J7536" s="355"/>
      <c r="K7536" s="355"/>
      <c r="L7536" s="355"/>
      <c r="M7536" s="355"/>
    </row>
    <row r="7537" spans="5:13">
      <c r="E7537" s="355"/>
      <c r="F7537" s="355"/>
      <c r="G7537" s="355"/>
      <c r="H7537" s="355"/>
      <c r="I7537" s="355"/>
      <c r="J7537" s="355"/>
      <c r="K7537" s="355"/>
      <c r="L7537" s="355"/>
      <c r="M7537" s="355"/>
    </row>
    <row r="7538" spans="5:13">
      <c r="E7538" s="355"/>
      <c r="F7538" s="355"/>
      <c r="G7538" s="355"/>
      <c r="H7538" s="355"/>
      <c r="I7538" s="355"/>
      <c r="J7538" s="355"/>
      <c r="K7538" s="355"/>
      <c r="L7538" s="355"/>
      <c r="M7538" s="355"/>
    </row>
    <row r="7539" spans="5:13">
      <c r="E7539" s="355"/>
      <c r="F7539" s="355"/>
      <c r="G7539" s="355"/>
      <c r="H7539" s="355"/>
      <c r="I7539" s="355"/>
      <c r="J7539" s="355"/>
      <c r="K7539" s="355"/>
      <c r="L7539" s="355"/>
      <c r="M7539" s="355"/>
    </row>
    <row r="7540" spans="5:13">
      <c r="E7540" s="355"/>
      <c r="F7540" s="355"/>
      <c r="G7540" s="355"/>
      <c r="H7540" s="355"/>
      <c r="I7540" s="355"/>
      <c r="J7540" s="355"/>
      <c r="K7540" s="355"/>
      <c r="L7540" s="355"/>
      <c r="M7540" s="355"/>
    </row>
    <row r="7541" spans="5:13">
      <c r="E7541" s="355"/>
      <c r="F7541" s="355"/>
      <c r="G7541" s="355"/>
      <c r="H7541" s="355"/>
      <c r="I7541" s="355"/>
      <c r="J7541" s="355"/>
      <c r="K7541" s="355"/>
      <c r="L7541" s="355"/>
      <c r="M7541" s="355"/>
    </row>
    <row r="7542" spans="5:13">
      <c r="E7542" s="355"/>
      <c r="F7542" s="355"/>
      <c r="G7542" s="355"/>
      <c r="H7542" s="355"/>
      <c r="I7542" s="355"/>
      <c r="J7542" s="355"/>
      <c r="K7542" s="355"/>
      <c r="L7542" s="355"/>
      <c r="M7542" s="355"/>
    </row>
    <row r="7543" spans="5:13">
      <c r="E7543" s="355"/>
      <c r="F7543" s="355"/>
      <c r="G7543" s="355"/>
      <c r="H7543" s="355"/>
      <c r="I7543" s="355"/>
      <c r="J7543" s="355"/>
      <c r="K7543" s="355"/>
      <c r="L7543" s="355"/>
      <c r="M7543" s="355"/>
    </row>
    <row r="7544" spans="5:13">
      <c r="E7544" s="355"/>
      <c r="F7544" s="355"/>
      <c r="G7544" s="355"/>
      <c r="H7544" s="355"/>
      <c r="I7544" s="355"/>
      <c r="J7544" s="355"/>
      <c r="K7544" s="355"/>
      <c r="L7544" s="355"/>
      <c r="M7544" s="355"/>
    </row>
    <row r="7545" spans="5:13">
      <c r="E7545" s="355"/>
      <c r="F7545" s="355"/>
      <c r="G7545" s="355"/>
      <c r="H7545" s="355"/>
      <c r="I7545" s="355"/>
      <c r="J7545" s="355"/>
      <c r="K7545" s="355"/>
      <c r="L7545" s="355"/>
      <c r="M7545" s="355"/>
    </row>
    <row r="7546" spans="5:13">
      <c r="E7546" s="355"/>
      <c r="F7546" s="355"/>
      <c r="G7546" s="355"/>
      <c r="H7546" s="355"/>
      <c r="I7546" s="355"/>
      <c r="J7546" s="355"/>
      <c r="K7546" s="355"/>
      <c r="L7546" s="355"/>
      <c r="M7546" s="355"/>
    </row>
    <row r="7547" spans="5:13">
      <c r="E7547" s="355"/>
      <c r="F7547" s="355"/>
      <c r="G7547" s="355"/>
      <c r="H7547" s="355"/>
      <c r="I7547" s="355"/>
      <c r="J7547" s="355"/>
      <c r="K7547" s="355"/>
      <c r="L7547" s="355"/>
      <c r="M7547" s="355"/>
    </row>
    <row r="7548" spans="5:13">
      <c r="E7548" s="355"/>
      <c r="F7548" s="355"/>
      <c r="G7548" s="355"/>
      <c r="H7548" s="355"/>
      <c r="I7548" s="355"/>
      <c r="J7548" s="355"/>
      <c r="K7548" s="355"/>
      <c r="L7548" s="355"/>
      <c r="M7548" s="355"/>
    </row>
    <row r="7549" spans="5:13">
      <c r="E7549" s="355"/>
      <c r="F7549" s="355"/>
      <c r="G7549" s="355"/>
      <c r="H7549" s="355"/>
      <c r="I7549" s="355"/>
      <c r="J7549" s="355"/>
      <c r="K7549" s="355"/>
      <c r="L7549" s="355"/>
      <c r="M7549" s="355"/>
    </row>
    <row r="7550" spans="5:13">
      <c r="E7550" s="355"/>
      <c r="F7550" s="355"/>
      <c r="G7550" s="355"/>
      <c r="H7550" s="355"/>
      <c r="I7550" s="355"/>
      <c r="J7550" s="355"/>
      <c r="K7550" s="355"/>
      <c r="L7550" s="355"/>
      <c r="M7550" s="355"/>
    </row>
    <row r="7551" spans="5:13">
      <c r="E7551" s="355"/>
      <c r="F7551" s="355"/>
      <c r="G7551" s="355"/>
      <c r="H7551" s="355"/>
      <c r="I7551" s="355"/>
      <c r="J7551" s="355"/>
      <c r="K7551" s="355"/>
      <c r="L7551" s="355"/>
      <c r="M7551" s="355"/>
    </row>
    <row r="7552" spans="5:13">
      <c r="E7552" s="355"/>
      <c r="F7552" s="355"/>
      <c r="G7552" s="355"/>
      <c r="H7552" s="355"/>
      <c r="I7552" s="355"/>
      <c r="J7552" s="355"/>
      <c r="K7552" s="355"/>
      <c r="L7552" s="355"/>
      <c r="M7552" s="355"/>
    </row>
    <row r="7553" spans="5:13">
      <c r="E7553" s="355"/>
      <c r="F7553" s="355"/>
      <c r="G7553" s="355"/>
      <c r="H7553" s="355"/>
      <c r="I7553" s="355"/>
      <c r="J7553" s="355"/>
      <c r="K7553" s="355"/>
      <c r="L7553" s="355"/>
      <c r="M7553" s="355"/>
    </row>
    <row r="7554" spans="5:13">
      <c r="E7554" s="355"/>
      <c r="F7554" s="355"/>
      <c r="G7554" s="355"/>
      <c r="H7554" s="355"/>
      <c r="I7554" s="355"/>
      <c r="J7554" s="355"/>
      <c r="K7554" s="355"/>
      <c r="L7554" s="355"/>
      <c r="M7554" s="355"/>
    </row>
    <row r="7555" spans="5:13">
      <c r="E7555" s="355"/>
      <c r="F7555" s="355"/>
      <c r="G7555" s="355"/>
      <c r="H7555" s="355"/>
      <c r="I7555" s="355"/>
      <c r="J7555" s="355"/>
      <c r="K7555" s="355"/>
      <c r="L7555" s="355"/>
      <c r="M7555" s="355"/>
    </row>
    <row r="7556" spans="5:13">
      <c r="E7556" s="355"/>
      <c r="F7556" s="355"/>
      <c r="G7556" s="355"/>
      <c r="H7556" s="355"/>
      <c r="I7556" s="355"/>
      <c r="J7556" s="355"/>
      <c r="K7556" s="355"/>
      <c r="L7556" s="355"/>
      <c r="M7556" s="355"/>
    </row>
    <row r="7557" spans="5:13">
      <c r="E7557" s="355"/>
      <c r="F7557" s="355"/>
      <c r="G7557" s="355"/>
      <c r="H7557" s="355"/>
      <c r="I7557" s="355"/>
      <c r="J7557" s="355"/>
      <c r="K7557" s="355"/>
      <c r="L7557" s="355"/>
      <c r="M7557" s="355"/>
    </row>
    <row r="7558" spans="5:13">
      <c r="E7558" s="355"/>
      <c r="F7558" s="355"/>
      <c r="G7558" s="355"/>
      <c r="H7558" s="355"/>
      <c r="I7558" s="355"/>
      <c r="J7558" s="355"/>
      <c r="K7558" s="355"/>
      <c r="L7558" s="355"/>
      <c r="M7558" s="355"/>
    </row>
    <row r="7559" spans="5:13">
      <c r="E7559" s="355"/>
      <c r="F7559" s="355"/>
      <c r="G7559" s="355"/>
      <c r="H7559" s="355"/>
      <c r="I7559" s="355"/>
      <c r="J7559" s="355"/>
      <c r="K7559" s="355"/>
      <c r="L7559" s="355"/>
      <c r="M7559" s="355"/>
    </row>
    <row r="7560" spans="5:13">
      <c r="E7560" s="355"/>
      <c r="F7560" s="355"/>
      <c r="G7560" s="355"/>
      <c r="H7560" s="355"/>
      <c r="I7560" s="355"/>
      <c r="J7560" s="355"/>
      <c r="K7560" s="355"/>
      <c r="L7560" s="355"/>
      <c r="M7560" s="355"/>
    </row>
    <row r="7561" spans="5:13">
      <c r="E7561" s="355"/>
      <c r="F7561" s="355"/>
      <c r="G7561" s="355"/>
      <c r="H7561" s="355"/>
      <c r="I7561" s="355"/>
      <c r="J7561" s="355"/>
      <c r="K7561" s="355"/>
      <c r="L7561" s="355"/>
      <c r="M7561" s="355"/>
    </row>
    <row r="7562" spans="5:13">
      <c r="E7562" s="355"/>
      <c r="F7562" s="355"/>
      <c r="G7562" s="355"/>
      <c r="H7562" s="355"/>
      <c r="I7562" s="355"/>
      <c r="J7562" s="355"/>
      <c r="K7562" s="355"/>
      <c r="L7562" s="355"/>
      <c r="M7562" s="355"/>
    </row>
    <row r="7563" spans="5:13">
      <c r="E7563" s="355"/>
      <c r="F7563" s="355"/>
      <c r="G7563" s="355"/>
      <c r="H7563" s="355"/>
      <c r="I7563" s="355"/>
      <c r="J7563" s="355"/>
      <c r="K7563" s="355"/>
      <c r="L7563" s="355"/>
      <c r="M7563" s="355"/>
    </row>
    <row r="7564" spans="5:13">
      <c r="E7564" s="355"/>
      <c r="F7564" s="355"/>
      <c r="G7564" s="355"/>
      <c r="H7564" s="355"/>
      <c r="I7564" s="355"/>
      <c r="J7564" s="355"/>
      <c r="K7564" s="355"/>
      <c r="L7564" s="355"/>
      <c r="M7564" s="355"/>
    </row>
    <row r="7565" spans="5:13">
      <c r="E7565" s="355"/>
      <c r="F7565" s="355"/>
      <c r="G7565" s="355"/>
      <c r="H7565" s="355"/>
      <c r="I7565" s="355"/>
      <c r="J7565" s="355"/>
      <c r="K7565" s="355"/>
      <c r="L7565" s="355"/>
      <c r="M7565" s="355"/>
    </row>
    <row r="7566" spans="5:13">
      <c r="E7566" s="355"/>
      <c r="F7566" s="355"/>
      <c r="G7566" s="355"/>
      <c r="H7566" s="355"/>
      <c r="I7566" s="355"/>
      <c r="J7566" s="355"/>
      <c r="K7566" s="355"/>
      <c r="L7566" s="355"/>
      <c r="M7566" s="355"/>
    </row>
    <row r="7567" spans="5:13">
      <c r="E7567" s="355"/>
      <c r="F7567" s="355"/>
      <c r="G7567" s="355"/>
      <c r="H7567" s="355"/>
      <c r="I7567" s="355"/>
      <c r="J7567" s="355"/>
      <c r="K7567" s="355"/>
      <c r="L7567" s="355"/>
      <c r="M7567" s="355"/>
    </row>
    <row r="7568" spans="5:13">
      <c r="E7568" s="355"/>
      <c r="F7568" s="355"/>
      <c r="G7568" s="355"/>
      <c r="H7568" s="355"/>
      <c r="I7568" s="355"/>
      <c r="J7568" s="355"/>
      <c r="K7568" s="355"/>
      <c r="L7568" s="355"/>
      <c r="M7568" s="355"/>
    </row>
    <row r="7569" spans="5:13">
      <c r="E7569" s="355"/>
      <c r="F7569" s="355"/>
      <c r="G7569" s="355"/>
      <c r="H7569" s="355"/>
      <c r="I7569" s="355"/>
      <c r="J7569" s="355"/>
      <c r="K7569" s="355"/>
      <c r="L7569" s="355"/>
      <c r="M7569" s="355"/>
    </row>
    <row r="7570" spans="5:13">
      <c r="E7570" s="355"/>
      <c r="F7570" s="355"/>
      <c r="G7570" s="355"/>
      <c r="H7570" s="355"/>
      <c r="I7570" s="355"/>
      <c r="J7570" s="355"/>
      <c r="K7570" s="355"/>
      <c r="L7570" s="355"/>
      <c r="M7570" s="355"/>
    </row>
    <row r="7571" spans="5:13">
      <c r="E7571" s="355"/>
      <c r="F7571" s="355"/>
      <c r="G7571" s="355"/>
      <c r="H7571" s="355"/>
      <c r="I7571" s="355"/>
      <c r="J7571" s="355"/>
      <c r="K7571" s="355"/>
      <c r="L7571" s="355"/>
      <c r="M7571" s="355"/>
    </row>
    <row r="7572" spans="5:13">
      <c r="E7572" s="355"/>
      <c r="F7572" s="355"/>
      <c r="G7572" s="355"/>
      <c r="H7572" s="355"/>
      <c r="I7572" s="355"/>
      <c r="J7572" s="355"/>
      <c r="K7572" s="355"/>
      <c r="L7572" s="355"/>
      <c r="M7572" s="355"/>
    </row>
    <row r="7573" spans="5:13">
      <c r="E7573" s="355"/>
      <c r="F7573" s="355"/>
      <c r="G7573" s="355"/>
      <c r="H7573" s="355"/>
      <c r="I7573" s="355"/>
      <c r="J7573" s="355"/>
      <c r="K7573" s="355"/>
      <c r="L7573" s="355"/>
      <c r="M7573" s="355"/>
    </row>
    <row r="7574" spans="5:13">
      <c r="E7574" s="355"/>
      <c r="F7574" s="355"/>
      <c r="G7574" s="355"/>
      <c r="H7574" s="355"/>
      <c r="I7574" s="355"/>
      <c r="J7574" s="355"/>
      <c r="K7574" s="355"/>
      <c r="L7574" s="355"/>
      <c r="M7574" s="355"/>
    </row>
    <row r="7575" spans="5:13">
      <c r="E7575" s="355"/>
      <c r="F7575" s="355"/>
      <c r="G7575" s="355"/>
      <c r="H7575" s="355"/>
      <c r="I7575" s="355"/>
      <c r="J7575" s="355"/>
      <c r="K7575" s="355"/>
      <c r="L7575" s="355"/>
      <c r="M7575" s="355"/>
    </row>
    <row r="7576" spans="5:13">
      <c r="E7576" s="355"/>
      <c r="F7576" s="355"/>
      <c r="G7576" s="355"/>
      <c r="H7576" s="355"/>
      <c r="I7576" s="355"/>
      <c r="J7576" s="355"/>
      <c r="K7576" s="355"/>
      <c r="L7576" s="355"/>
      <c r="M7576" s="355"/>
    </row>
    <row r="7577" spans="5:13">
      <c r="E7577" s="355"/>
      <c r="F7577" s="355"/>
      <c r="G7577" s="355"/>
      <c r="H7577" s="355"/>
      <c r="I7577" s="355"/>
      <c r="J7577" s="355"/>
      <c r="K7577" s="355"/>
      <c r="L7577" s="355"/>
      <c r="M7577" s="355"/>
    </row>
    <row r="7578" spans="5:13">
      <c r="E7578" s="355"/>
      <c r="F7578" s="355"/>
      <c r="G7578" s="355"/>
      <c r="H7578" s="355"/>
      <c r="I7578" s="355"/>
      <c r="J7578" s="355"/>
      <c r="K7578" s="355"/>
      <c r="L7578" s="355"/>
      <c r="M7578" s="355"/>
    </row>
    <row r="7579" spans="5:13">
      <c r="E7579" s="355"/>
      <c r="F7579" s="355"/>
      <c r="G7579" s="355"/>
      <c r="H7579" s="355"/>
      <c r="I7579" s="355"/>
      <c r="J7579" s="355"/>
      <c r="K7579" s="355"/>
      <c r="L7579" s="355"/>
      <c r="M7579" s="355"/>
    </row>
    <row r="7580" spans="5:13">
      <c r="E7580" s="355"/>
      <c r="F7580" s="355"/>
      <c r="G7580" s="355"/>
      <c r="H7580" s="355"/>
      <c r="I7580" s="355"/>
      <c r="J7580" s="355"/>
      <c r="K7580" s="355"/>
      <c r="L7580" s="355"/>
      <c r="M7580" s="355"/>
    </row>
    <row r="7581" spans="5:13">
      <c r="E7581" s="355"/>
      <c r="F7581" s="355"/>
      <c r="G7581" s="355"/>
      <c r="H7581" s="355"/>
      <c r="I7581" s="355"/>
      <c r="J7581" s="355"/>
      <c r="K7581" s="355"/>
      <c r="L7581" s="355"/>
      <c r="M7581" s="355"/>
    </row>
    <row r="7582" spans="5:13">
      <c r="E7582" s="355"/>
      <c r="F7582" s="355"/>
      <c r="G7582" s="355"/>
      <c r="H7582" s="355"/>
      <c r="I7582" s="355"/>
      <c r="J7582" s="355"/>
      <c r="K7582" s="355"/>
      <c r="L7582" s="355"/>
      <c r="M7582" s="355"/>
    </row>
    <row r="7583" spans="5:13">
      <c r="E7583" s="355"/>
      <c r="F7583" s="355"/>
      <c r="G7583" s="355"/>
      <c r="H7583" s="355"/>
      <c r="I7583" s="355"/>
      <c r="J7583" s="355"/>
      <c r="K7583" s="355"/>
      <c r="L7583" s="355"/>
      <c r="M7583" s="355"/>
    </row>
    <row r="7584" spans="5:13">
      <c r="E7584" s="355"/>
      <c r="F7584" s="355"/>
      <c r="G7584" s="355"/>
      <c r="H7584" s="355"/>
      <c r="I7584" s="355"/>
      <c r="J7584" s="355"/>
      <c r="K7584" s="355"/>
      <c r="L7584" s="355"/>
      <c r="M7584" s="355"/>
    </row>
    <row r="7585" spans="5:13">
      <c r="E7585" s="355"/>
      <c r="F7585" s="355"/>
      <c r="G7585" s="355"/>
      <c r="H7585" s="355"/>
      <c r="I7585" s="355"/>
      <c r="J7585" s="355"/>
      <c r="K7585" s="355"/>
      <c r="L7585" s="355"/>
      <c r="M7585" s="355"/>
    </row>
    <row r="7586" spans="5:13">
      <c r="E7586" s="355"/>
      <c r="F7586" s="355"/>
      <c r="G7586" s="355"/>
      <c r="H7586" s="355"/>
      <c r="I7586" s="355"/>
      <c r="J7586" s="355"/>
      <c r="K7586" s="355"/>
      <c r="L7586" s="355"/>
      <c r="M7586" s="355"/>
    </row>
    <row r="7587" spans="5:13">
      <c r="E7587" s="355"/>
      <c r="F7587" s="355"/>
      <c r="G7587" s="355"/>
      <c r="H7587" s="355"/>
      <c r="I7587" s="355"/>
      <c r="J7587" s="355"/>
      <c r="K7587" s="355"/>
      <c r="L7587" s="355"/>
      <c r="M7587" s="355"/>
    </row>
    <row r="7588" spans="5:13">
      <c r="E7588" s="355"/>
      <c r="F7588" s="355"/>
      <c r="G7588" s="355"/>
      <c r="H7588" s="355"/>
      <c r="I7588" s="355"/>
      <c r="J7588" s="355"/>
      <c r="K7588" s="355"/>
      <c r="L7588" s="355"/>
      <c r="M7588" s="355"/>
    </row>
    <row r="7589" spans="5:13">
      <c r="E7589" s="355"/>
      <c r="F7589" s="355"/>
      <c r="G7589" s="355"/>
      <c r="H7589" s="355"/>
      <c r="I7589" s="355"/>
      <c r="J7589" s="355"/>
      <c r="K7589" s="355"/>
      <c r="L7589" s="355"/>
      <c r="M7589" s="355"/>
    </row>
    <row r="7590" spans="5:13">
      <c r="E7590" s="355"/>
      <c r="F7590" s="355"/>
      <c r="G7590" s="355"/>
      <c r="H7590" s="355"/>
      <c r="I7590" s="355"/>
      <c r="J7590" s="355"/>
      <c r="K7590" s="355"/>
      <c r="L7590" s="355"/>
      <c r="M7590" s="355"/>
    </row>
    <row r="7591" spans="5:13">
      <c r="E7591" s="355"/>
      <c r="F7591" s="355"/>
      <c r="G7591" s="355"/>
      <c r="H7591" s="355"/>
      <c r="I7591" s="355"/>
      <c r="J7591" s="355"/>
      <c r="K7591" s="355"/>
      <c r="L7591" s="355"/>
      <c r="M7591" s="355"/>
    </row>
    <row r="7592" spans="5:13">
      <c r="E7592" s="355"/>
      <c r="F7592" s="355"/>
      <c r="G7592" s="355"/>
      <c r="H7592" s="355"/>
      <c r="I7592" s="355"/>
      <c r="J7592" s="355"/>
      <c r="K7592" s="355"/>
      <c r="L7592" s="355"/>
      <c r="M7592" s="355"/>
    </row>
    <row r="7593" spans="5:13">
      <c r="E7593" s="355"/>
      <c r="F7593" s="355"/>
      <c r="G7593" s="355"/>
      <c r="H7593" s="355"/>
      <c r="I7593" s="355"/>
      <c r="J7593" s="355"/>
      <c r="K7593" s="355"/>
      <c r="L7593" s="355"/>
      <c r="M7593" s="355"/>
    </row>
    <row r="7594" spans="5:13">
      <c r="E7594" s="355"/>
      <c r="F7594" s="355"/>
      <c r="G7594" s="355"/>
      <c r="H7594" s="355"/>
      <c r="I7594" s="355"/>
      <c r="J7594" s="355"/>
      <c r="K7594" s="355"/>
      <c r="L7594" s="355"/>
      <c r="M7594" s="355"/>
    </row>
    <row r="7595" spans="5:13">
      <c r="E7595" s="355"/>
      <c r="F7595" s="355"/>
      <c r="G7595" s="355"/>
      <c r="H7595" s="355"/>
      <c r="I7595" s="355"/>
      <c r="J7595" s="355"/>
      <c r="K7595" s="355"/>
      <c r="L7595" s="355"/>
      <c r="M7595" s="355"/>
    </row>
    <row r="7596" spans="5:13">
      <c r="E7596" s="355"/>
      <c r="F7596" s="355"/>
      <c r="G7596" s="355"/>
      <c r="H7596" s="355"/>
      <c r="I7596" s="355"/>
      <c r="J7596" s="355"/>
      <c r="K7596" s="355"/>
      <c r="L7596" s="355"/>
      <c r="M7596" s="355"/>
    </row>
    <row r="7597" spans="5:13">
      <c r="E7597" s="355"/>
      <c r="F7597" s="355"/>
      <c r="G7597" s="355"/>
      <c r="H7597" s="355"/>
      <c r="I7597" s="355"/>
      <c r="J7597" s="355"/>
      <c r="K7597" s="355"/>
      <c r="L7597" s="355"/>
      <c r="M7597" s="355"/>
    </row>
    <row r="7598" spans="5:13">
      <c r="E7598" s="355"/>
      <c r="F7598" s="355"/>
      <c r="G7598" s="355"/>
      <c r="H7598" s="355"/>
      <c r="I7598" s="355"/>
      <c r="J7598" s="355"/>
      <c r="K7598" s="355"/>
      <c r="L7598" s="355"/>
      <c r="M7598" s="355"/>
    </row>
    <row r="7599" spans="5:13">
      <c r="E7599" s="355"/>
      <c r="F7599" s="355"/>
      <c r="G7599" s="355"/>
      <c r="H7599" s="355"/>
      <c r="I7599" s="355"/>
      <c r="J7599" s="355"/>
      <c r="K7599" s="355"/>
      <c r="L7599" s="355"/>
      <c r="M7599" s="355"/>
    </row>
    <row r="7600" spans="5:13">
      <c r="E7600" s="355"/>
      <c r="F7600" s="355"/>
      <c r="G7600" s="355"/>
      <c r="H7600" s="355"/>
      <c r="I7600" s="355"/>
      <c r="J7600" s="355"/>
      <c r="K7600" s="355"/>
      <c r="L7600" s="355"/>
      <c r="M7600" s="355"/>
    </row>
    <row r="7601" spans="5:13">
      <c r="E7601" s="355"/>
      <c r="F7601" s="355"/>
      <c r="G7601" s="355"/>
      <c r="H7601" s="355"/>
      <c r="I7601" s="355"/>
      <c r="J7601" s="355"/>
      <c r="K7601" s="355"/>
      <c r="L7601" s="355"/>
      <c r="M7601" s="355"/>
    </row>
    <row r="7602" spans="5:13">
      <c r="E7602" s="355"/>
      <c r="F7602" s="355"/>
      <c r="G7602" s="355"/>
      <c r="H7602" s="355"/>
      <c r="I7602" s="355"/>
      <c r="J7602" s="355"/>
      <c r="K7602" s="355"/>
      <c r="L7602" s="355"/>
      <c r="M7602" s="355"/>
    </row>
    <row r="7603" spans="5:13">
      <c r="E7603" s="355"/>
      <c r="F7603" s="355"/>
      <c r="G7603" s="355"/>
      <c r="H7603" s="355"/>
      <c r="I7603" s="355"/>
      <c r="J7603" s="355"/>
      <c r="K7603" s="355"/>
      <c r="L7603" s="355"/>
      <c r="M7603" s="355"/>
    </row>
    <row r="7604" spans="5:13">
      <c r="E7604" s="355"/>
      <c r="F7604" s="355"/>
      <c r="G7604" s="355"/>
      <c r="H7604" s="355"/>
      <c r="I7604" s="355"/>
      <c r="J7604" s="355"/>
      <c r="K7604" s="355"/>
      <c r="L7604" s="355"/>
      <c r="M7604" s="355"/>
    </row>
    <row r="7605" spans="5:13">
      <c r="E7605" s="355"/>
      <c r="F7605" s="355"/>
      <c r="G7605" s="355"/>
      <c r="H7605" s="355"/>
      <c r="I7605" s="355"/>
      <c r="J7605" s="355"/>
      <c r="K7605" s="355"/>
      <c r="L7605" s="355"/>
      <c r="M7605" s="355"/>
    </row>
    <row r="7606" spans="5:13">
      <c r="E7606" s="355"/>
      <c r="F7606" s="355"/>
      <c r="G7606" s="355"/>
      <c r="H7606" s="355"/>
      <c r="I7606" s="355"/>
      <c r="J7606" s="355"/>
      <c r="K7606" s="355"/>
      <c r="L7606" s="355"/>
      <c r="M7606" s="355"/>
    </row>
    <row r="7607" spans="5:13">
      <c r="E7607" s="355"/>
      <c r="F7607" s="355"/>
      <c r="G7607" s="355"/>
      <c r="H7607" s="355"/>
      <c r="I7607" s="355"/>
      <c r="J7607" s="355"/>
      <c r="K7607" s="355"/>
      <c r="L7607" s="355"/>
      <c r="M7607" s="355"/>
    </row>
    <row r="7608" spans="5:13">
      <c r="E7608" s="355"/>
      <c r="F7608" s="355"/>
      <c r="G7608" s="355"/>
      <c r="H7608" s="355"/>
      <c r="I7608" s="355"/>
      <c r="J7608" s="355"/>
      <c r="K7608" s="355"/>
      <c r="L7608" s="355"/>
      <c r="M7608" s="355"/>
    </row>
    <row r="7609" spans="5:13">
      <c r="E7609" s="355"/>
      <c r="F7609" s="355"/>
      <c r="G7609" s="355"/>
      <c r="H7609" s="355"/>
      <c r="I7609" s="355"/>
      <c r="J7609" s="355"/>
      <c r="K7609" s="355"/>
      <c r="L7609" s="355"/>
      <c r="M7609" s="355"/>
    </row>
    <row r="7610" spans="5:13">
      <c r="E7610" s="355"/>
      <c r="F7610" s="355"/>
      <c r="G7610" s="355"/>
      <c r="H7610" s="355"/>
      <c r="I7610" s="355"/>
      <c r="J7610" s="355"/>
      <c r="K7610" s="355"/>
      <c r="L7610" s="355"/>
      <c r="M7610" s="355"/>
    </row>
    <row r="7611" spans="5:13">
      <c r="E7611" s="355"/>
      <c r="F7611" s="355"/>
      <c r="G7611" s="355"/>
      <c r="H7611" s="355"/>
      <c r="I7611" s="355"/>
      <c r="J7611" s="355"/>
      <c r="K7611" s="355"/>
      <c r="L7611" s="355"/>
      <c r="M7611" s="355"/>
    </row>
    <row r="7612" spans="5:13">
      <c r="E7612" s="355"/>
      <c r="F7612" s="355"/>
      <c r="G7612" s="355"/>
      <c r="H7612" s="355"/>
      <c r="I7612" s="355"/>
      <c r="J7612" s="355"/>
      <c r="K7612" s="355"/>
      <c r="L7612" s="355"/>
      <c r="M7612" s="355"/>
    </row>
    <row r="7613" spans="5:13">
      <c r="E7613" s="355"/>
      <c r="F7613" s="355"/>
      <c r="G7613" s="355"/>
      <c r="H7613" s="355"/>
      <c r="I7613" s="355"/>
      <c r="J7613" s="355"/>
      <c r="K7613" s="355"/>
      <c r="L7613" s="355"/>
      <c r="M7613" s="355"/>
    </row>
    <row r="7614" spans="5:13">
      <c r="E7614" s="355"/>
      <c r="F7614" s="355"/>
      <c r="G7614" s="355"/>
      <c r="H7614" s="355"/>
      <c r="I7614" s="355"/>
      <c r="J7614" s="355"/>
      <c r="K7614" s="355"/>
      <c r="L7614" s="355"/>
      <c r="M7614" s="355"/>
    </row>
    <row r="7615" spans="5:13">
      <c r="E7615" s="355"/>
      <c r="F7615" s="355"/>
      <c r="G7615" s="355"/>
      <c r="H7615" s="355"/>
      <c r="I7615" s="355"/>
      <c r="J7615" s="355"/>
      <c r="K7615" s="355"/>
      <c r="L7615" s="355"/>
      <c r="M7615" s="355"/>
    </row>
    <row r="7616" spans="5:13">
      <c r="E7616" s="355"/>
      <c r="F7616" s="355"/>
      <c r="G7616" s="355"/>
      <c r="H7616" s="355"/>
      <c r="I7616" s="355"/>
      <c r="J7616" s="355"/>
      <c r="K7616" s="355"/>
      <c r="L7616" s="355"/>
      <c r="M7616" s="355"/>
    </row>
    <row r="7617" spans="5:13">
      <c r="E7617" s="355"/>
      <c r="F7617" s="355"/>
      <c r="G7617" s="355"/>
      <c r="H7617" s="355"/>
      <c r="I7617" s="355"/>
      <c r="J7617" s="355"/>
      <c r="K7617" s="355"/>
      <c r="L7617" s="355"/>
      <c r="M7617" s="355"/>
    </row>
    <row r="7618" spans="5:13">
      <c r="E7618" s="355"/>
      <c r="F7618" s="355"/>
      <c r="G7618" s="355"/>
      <c r="H7618" s="355"/>
      <c r="I7618" s="355"/>
      <c r="J7618" s="355"/>
      <c r="K7618" s="355"/>
      <c r="L7618" s="355"/>
      <c r="M7618" s="355"/>
    </row>
    <row r="7619" spans="5:13">
      <c r="E7619" s="355"/>
      <c r="F7619" s="355"/>
      <c r="G7619" s="355"/>
      <c r="H7619" s="355"/>
      <c r="I7619" s="355"/>
      <c r="J7619" s="355"/>
      <c r="K7619" s="355"/>
      <c r="L7619" s="355"/>
      <c r="M7619" s="355"/>
    </row>
    <row r="7620" spans="5:13">
      <c r="E7620" s="355"/>
      <c r="F7620" s="355"/>
      <c r="G7620" s="355"/>
      <c r="H7620" s="355"/>
      <c r="I7620" s="355"/>
      <c r="J7620" s="355"/>
      <c r="K7620" s="355"/>
      <c r="L7620" s="355"/>
      <c r="M7620" s="355"/>
    </row>
    <row r="7621" spans="5:13">
      <c r="E7621" s="355"/>
      <c r="F7621" s="355"/>
      <c r="G7621" s="355"/>
      <c r="H7621" s="355"/>
      <c r="I7621" s="355"/>
      <c r="J7621" s="355"/>
      <c r="K7621" s="355"/>
      <c r="L7621" s="355"/>
      <c r="M7621" s="355"/>
    </row>
    <row r="7622" spans="5:13">
      <c r="E7622" s="355"/>
      <c r="F7622" s="355"/>
      <c r="G7622" s="355"/>
      <c r="H7622" s="355"/>
      <c r="I7622" s="355"/>
      <c r="J7622" s="355"/>
      <c r="K7622" s="355"/>
      <c r="L7622" s="355"/>
      <c r="M7622" s="355"/>
    </row>
    <row r="7623" spans="5:13">
      <c r="E7623" s="355"/>
      <c r="F7623" s="355"/>
      <c r="G7623" s="355"/>
      <c r="H7623" s="355"/>
      <c r="I7623" s="355"/>
      <c r="J7623" s="355"/>
      <c r="K7623" s="355"/>
      <c r="L7623" s="355"/>
      <c r="M7623" s="355"/>
    </row>
    <row r="7624" spans="5:13">
      <c r="E7624" s="355"/>
      <c r="F7624" s="355"/>
      <c r="G7624" s="355"/>
      <c r="H7624" s="355"/>
      <c r="I7624" s="355"/>
      <c r="J7624" s="355"/>
      <c r="K7624" s="355"/>
      <c r="L7624" s="355"/>
      <c r="M7624" s="355"/>
    </row>
    <row r="7625" spans="5:13">
      <c r="E7625" s="355"/>
      <c r="F7625" s="355"/>
      <c r="G7625" s="355"/>
      <c r="H7625" s="355"/>
      <c r="I7625" s="355"/>
      <c r="J7625" s="355"/>
      <c r="K7625" s="355"/>
      <c r="L7625" s="355"/>
      <c r="M7625" s="355"/>
    </row>
    <row r="7626" spans="5:13">
      <c r="E7626" s="355"/>
      <c r="F7626" s="355"/>
      <c r="G7626" s="355"/>
      <c r="H7626" s="355"/>
      <c r="I7626" s="355"/>
      <c r="J7626" s="355"/>
      <c r="K7626" s="355"/>
      <c r="L7626" s="355"/>
      <c r="M7626" s="355"/>
    </row>
    <row r="7627" spans="5:13">
      <c r="E7627" s="355"/>
      <c r="F7627" s="355"/>
      <c r="G7627" s="355"/>
      <c r="H7627" s="355"/>
      <c r="I7627" s="355"/>
      <c r="J7627" s="355"/>
      <c r="K7627" s="355"/>
      <c r="L7627" s="355"/>
      <c r="M7627" s="355"/>
    </row>
    <row r="7628" spans="5:13">
      <c r="E7628" s="355"/>
      <c r="F7628" s="355"/>
      <c r="G7628" s="355"/>
      <c r="H7628" s="355"/>
      <c r="I7628" s="355"/>
      <c r="J7628" s="355"/>
      <c r="K7628" s="355"/>
      <c r="L7628" s="355"/>
      <c r="M7628" s="355"/>
    </row>
    <row r="7629" spans="5:13">
      <c r="E7629" s="355"/>
      <c r="F7629" s="355"/>
      <c r="G7629" s="355"/>
      <c r="H7629" s="355"/>
      <c r="I7629" s="355"/>
      <c r="J7629" s="355"/>
      <c r="K7629" s="355"/>
      <c r="L7629" s="355"/>
      <c r="M7629" s="355"/>
    </row>
    <row r="7630" spans="5:13">
      <c r="E7630" s="355"/>
      <c r="F7630" s="355"/>
      <c r="G7630" s="355"/>
      <c r="H7630" s="355"/>
      <c r="I7630" s="355"/>
      <c r="J7630" s="355"/>
      <c r="K7630" s="355"/>
      <c r="L7630" s="355"/>
      <c r="M7630" s="355"/>
    </row>
    <row r="7631" spans="5:13">
      <c r="E7631" s="355"/>
      <c r="F7631" s="355"/>
      <c r="G7631" s="355"/>
      <c r="H7631" s="355"/>
      <c r="I7631" s="355"/>
      <c r="J7631" s="355"/>
      <c r="K7631" s="355"/>
      <c r="L7631" s="355"/>
      <c r="M7631" s="355"/>
    </row>
    <row r="7632" spans="5:13">
      <c r="E7632" s="355"/>
      <c r="F7632" s="355"/>
      <c r="G7632" s="355"/>
      <c r="H7632" s="355"/>
      <c r="I7632" s="355"/>
      <c r="J7632" s="355"/>
      <c r="K7632" s="355"/>
      <c r="L7632" s="355"/>
      <c r="M7632" s="355"/>
    </row>
    <row r="7633" spans="5:13">
      <c r="E7633" s="355"/>
      <c r="F7633" s="355"/>
      <c r="G7633" s="355"/>
      <c r="H7633" s="355"/>
      <c r="I7633" s="355"/>
      <c r="J7633" s="355"/>
      <c r="K7633" s="355"/>
      <c r="L7633" s="355"/>
      <c r="M7633" s="355"/>
    </row>
    <row r="7634" spans="5:13">
      <c r="E7634" s="355"/>
      <c r="F7634" s="355"/>
      <c r="G7634" s="355"/>
      <c r="H7634" s="355"/>
      <c r="I7634" s="355"/>
      <c r="J7634" s="355"/>
      <c r="K7634" s="355"/>
      <c r="L7634" s="355"/>
      <c r="M7634" s="355"/>
    </row>
    <row r="7635" spans="5:13">
      <c r="E7635" s="355"/>
      <c r="F7635" s="355"/>
      <c r="G7635" s="355"/>
      <c r="H7635" s="355"/>
      <c r="I7635" s="355"/>
      <c r="J7635" s="355"/>
      <c r="K7635" s="355"/>
      <c r="L7635" s="355"/>
      <c r="M7635" s="355"/>
    </row>
    <row r="7636" spans="5:13">
      <c r="E7636" s="355"/>
      <c r="F7636" s="355"/>
      <c r="G7636" s="355"/>
      <c r="H7636" s="355"/>
      <c r="I7636" s="355"/>
      <c r="J7636" s="355"/>
      <c r="K7636" s="355"/>
      <c r="L7636" s="355"/>
      <c r="M7636" s="355"/>
    </row>
    <row r="7637" spans="5:13">
      <c r="E7637" s="355"/>
      <c r="F7637" s="355"/>
      <c r="G7637" s="355"/>
      <c r="H7637" s="355"/>
      <c r="I7637" s="355"/>
      <c r="J7637" s="355"/>
      <c r="K7637" s="355"/>
      <c r="L7637" s="355"/>
      <c r="M7637" s="355"/>
    </row>
    <row r="7638" spans="5:13">
      <c r="E7638" s="355"/>
      <c r="F7638" s="355"/>
      <c r="G7638" s="355"/>
      <c r="H7638" s="355"/>
      <c r="I7638" s="355"/>
      <c r="J7638" s="355"/>
      <c r="K7638" s="355"/>
      <c r="L7638" s="355"/>
      <c r="M7638" s="355"/>
    </row>
    <row r="7639" spans="5:13">
      <c r="E7639" s="355"/>
      <c r="F7639" s="355"/>
      <c r="G7639" s="355"/>
      <c r="H7639" s="355"/>
      <c r="I7639" s="355"/>
      <c r="J7639" s="355"/>
      <c r="K7639" s="355"/>
      <c r="L7639" s="355"/>
      <c r="M7639" s="355"/>
    </row>
    <row r="7640" spans="5:13">
      <c r="E7640" s="355"/>
      <c r="F7640" s="355"/>
      <c r="G7640" s="355"/>
      <c r="H7640" s="355"/>
      <c r="I7640" s="355"/>
      <c r="J7640" s="355"/>
      <c r="K7640" s="355"/>
      <c r="L7640" s="355"/>
      <c r="M7640" s="355"/>
    </row>
    <row r="7641" spans="5:13">
      <c r="E7641" s="355"/>
      <c r="F7641" s="355"/>
      <c r="G7641" s="355"/>
      <c r="H7641" s="355"/>
      <c r="I7641" s="355"/>
      <c r="J7641" s="355"/>
      <c r="K7641" s="355"/>
      <c r="L7641" s="355"/>
      <c r="M7641" s="355"/>
    </row>
    <row r="7642" spans="5:13">
      <c r="E7642" s="355"/>
      <c r="F7642" s="355"/>
      <c r="G7642" s="355"/>
      <c r="H7642" s="355"/>
      <c r="I7642" s="355"/>
      <c r="J7642" s="355"/>
      <c r="K7642" s="355"/>
      <c r="L7642" s="355"/>
      <c r="M7642" s="355"/>
    </row>
    <row r="7643" spans="5:13">
      <c r="E7643" s="355"/>
      <c r="F7643" s="355"/>
      <c r="G7643" s="355"/>
      <c r="H7643" s="355"/>
      <c r="I7643" s="355"/>
      <c r="J7643" s="355"/>
      <c r="K7643" s="355"/>
      <c r="L7643" s="355"/>
      <c r="M7643" s="355"/>
    </row>
    <row r="7644" spans="5:13">
      <c r="E7644" s="355"/>
      <c r="F7644" s="355"/>
      <c r="G7644" s="355"/>
      <c r="H7644" s="355"/>
      <c r="I7644" s="355"/>
      <c r="J7644" s="355"/>
      <c r="K7644" s="355"/>
      <c r="L7644" s="355"/>
      <c r="M7644" s="355"/>
    </row>
    <row r="7645" spans="5:13">
      <c r="E7645" s="355"/>
      <c r="F7645" s="355"/>
      <c r="G7645" s="355"/>
      <c r="H7645" s="355"/>
      <c r="I7645" s="355"/>
      <c r="J7645" s="355"/>
      <c r="K7645" s="355"/>
      <c r="L7645" s="355"/>
      <c r="M7645" s="355"/>
    </row>
    <row r="7646" spans="5:13">
      <c r="E7646" s="355"/>
      <c r="F7646" s="355"/>
      <c r="G7646" s="355"/>
      <c r="H7646" s="355"/>
      <c r="I7646" s="355"/>
      <c r="J7646" s="355"/>
      <c r="K7646" s="355"/>
      <c r="L7646" s="355"/>
      <c r="M7646" s="355"/>
    </row>
    <row r="7647" spans="5:13">
      <c r="E7647" s="355"/>
      <c r="F7647" s="355"/>
      <c r="G7647" s="355"/>
      <c r="H7647" s="355"/>
      <c r="I7647" s="355"/>
      <c r="J7647" s="355"/>
      <c r="K7647" s="355"/>
      <c r="L7647" s="355"/>
      <c r="M7647" s="355"/>
    </row>
    <row r="7648" spans="5:13">
      <c r="E7648" s="355"/>
      <c r="F7648" s="355"/>
      <c r="G7648" s="355"/>
      <c r="H7648" s="355"/>
      <c r="I7648" s="355"/>
      <c r="J7648" s="355"/>
      <c r="K7648" s="355"/>
      <c r="L7648" s="355"/>
      <c r="M7648" s="355"/>
    </row>
    <row r="7649" spans="5:13">
      <c r="E7649" s="355"/>
      <c r="F7649" s="355"/>
      <c r="G7649" s="355"/>
      <c r="H7649" s="355"/>
      <c r="I7649" s="355"/>
      <c r="J7649" s="355"/>
      <c r="K7649" s="355"/>
      <c r="L7649" s="355"/>
      <c r="M7649" s="355"/>
    </row>
    <row r="7650" spans="5:13">
      <c r="E7650" s="355"/>
      <c r="F7650" s="355"/>
      <c r="G7650" s="355"/>
      <c r="H7650" s="355"/>
      <c r="I7650" s="355"/>
      <c r="J7650" s="355"/>
      <c r="K7650" s="355"/>
      <c r="L7650" s="355"/>
      <c r="M7650" s="355"/>
    </row>
    <row r="7651" spans="5:13">
      <c r="E7651" s="355"/>
      <c r="F7651" s="355"/>
      <c r="G7651" s="355"/>
      <c r="H7651" s="355"/>
      <c r="I7651" s="355"/>
      <c r="J7651" s="355"/>
      <c r="K7651" s="355"/>
      <c r="L7651" s="355"/>
      <c r="M7651" s="355"/>
    </row>
    <row r="7652" spans="5:13">
      <c r="E7652" s="355"/>
      <c r="F7652" s="355"/>
      <c r="G7652" s="355"/>
      <c r="H7652" s="355"/>
      <c r="I7652" s="355"/>
      <c r="J7652" s="355"/>
      <c r="K7652" s="355"/>
      <c r="L7652" s="355"/>
      <c r="M7652" s="355"/>
    </row>
    <row r="7653" spans="5:13">
      <c r="E7653" s="355"/>
      <c r="F7653" s="355"/>
      <c r="G7653" s="355"/>
      <c r="H7653" s="355"/>
      <c r="I7653" s="355"/>
      <c r="J7653" s="355"/>
      <c r="K7653" s="355"/>
      <c r="L7653" s="355"/>
      <c r="M7653" s="355"/>
    </row>
    <row r="7654" spans="5:13">
      <c r="E7654" s="355"/>
      <c r="F7654" s="355"/>
      <c r="G7654" s="355"/>
      <c r="H7654" s="355"/>
      <c r="I7654" s="355"/>
      <c r="J7654" s="355"/>
      <c r="K7654" s="355"/>
      <c r="L7654" s="355"/>
      <c r="M7654" s="355"/>
    </row>
    <row r="7655" spans="5:13">
      <c r="E7655" s="355"/>
      <c r="F7655" s="355"/>
      <c r="G7655" s="355"/>
      <c r="H7655" s="355"/>
      <c r="I7655" s="355"/>
      <c r="J7655" s="355"/>
      <c r="K7655" s="355"/>
      <c r="L7655" s="355"/>
      <c r="M7655" s="355"/>
    </row>
    <row r="7656" spans="5:13">
      <c r="E7656" s="355"/>
      <c r="F7656" s="355"/>
      <c r="G7656" s="355"/>
      <c r="H7656" s="355"/>
      <c r="I7656" s="355"/>
      <c r="J7656" s="355"/>
      <c r="K7656" s="355"/>
      <c r="L7656" s="355"/>
      <c r="M7656" s="355"/>
    </row>
    <row r="7657" spans="5:13">
      <c r="E7657" s="355"/>
      <c r="F7657" s="355"/>
      <c r="G7657" s="355"/>
      <c r="H7657" s="355"/>
      <c r="I7657" s="355"/>
      <c r="J7657" s="355"/>
      <c r="K7657" s="355"/>
      <c r="L7657" s="355"/>
      <c r="M7657" s="355"/>
    </row>
    <row r="7658" spans="5:13">
      <c r="E7658" s="355"/>
      <c r="F7658" s="355"/>
      <c r="G7658" s="355"/>
      <c r="H7658" s="355"/>
      <c r="I7658" s="355"/>
      <c r="J7658" s="355"/>
      <c r="K7658" s="355"/>
      <c r="L7658" s="355"/>
      <c r="M7658" s="355"/>
    </row>
    <row r="7659" spans="5:13">
      <c r="E7659" s="355"/>
      <c r="F7659" s="355"/>
      <c r="G7659" s="355"/>
      <c r="H7659" s="355"/>
      <c r="I7659" s="355"/>
      <c r="J7659" s="355"/>
      <c r="K7659" s="355"/>
      <c r="L7659" s="355"/>
      <c r="M7659" s="355"/>
    </row>
    <row r="7660" spans="5:13">
      <c r="E7660" s="355"/>
      <c r="F7660" s="355"/>
      <c r="G7660" s="355"/>
      <c r="H7660" s="355"/>
      <c r="I7660" s="355"/>
      <c r="J7660" s="355"/>
      <c r="K7660" s="355"/>
      <c r="L7660" s="355"/>
      <c r="M7660" s="355"/>
    </row>
    <row r="7661" spans="5:13">
      <c r="E7661" s="355"/>
      <c r="F7661" s="355"/>
      <c r="G7661" s="355"/>
      <c r="H7661" s="355"/>
      <c r="I7661" s="355"/>
      <c r="J7661" s="355"/>
      <c r="K7661" s="355"/>
      <c r="L7661" s="355"/>
      <c r="M7661" s="355"/>
    </row>
    <row r="7662" spans="5:13">
      <c r="E7662" s="355"/>
      <c r="F7662" s="355"/>
      <c r="G7662" s="355"/>
      <c r="H7662" s="355"/>
      <c r="I7662" s="355"/>
      <c r="J7662" s="355"/>
      <c r="K7662" s="355"/>
      <c r="L7662" s="355"/>
      <c r="M7662" s="355"/>
    </row>
    <row r="7663" spans="5:13">
      <c r="E7663" s="355"/>
      <c r="F7663" s="355"/>
      <c r="G7663" s="355"/>
      <c r="H7663" s="355"/>
      <c r="I7663" s="355"/>
      <c r="J7663" s="355"/>
      <c r="K7663" s="355"/>
      <c r="L7663" s="355"/>
      <c r="M7663" s="355"/>
    </row>
    <row r="7664" spans="5:13">
      <c r="E7664" s="355"/>
      <c r="F7664" s="355"/>
      <c r="G7664" s="355"/>
      <c r="H7664" s="355"/>
      <c r="I7664" s="355"/>
      <c r="J7664" s="355"/>
      <c r="K7664" s="355"/>
      <c r="L7664" s="355"/>
      <c r="M7664" s="355"/>
    </row>
    <row r="7665" spans="5:13">
      <c r="E7665" s="355"/>
      <c r="F7665" s="355"/>
      <c r="G7665" s="355"/>
      <c r="H7665" s="355"/>
      <c r="I7665" s="355"/>
      <c r="J7665" s="355"/>
      <c r="K7665" s="355"/>
      <c r="L7665" s="355"/>
      <c r="M7665" s="355"/>
    </row>
    <row r="7666" spans="5:13">
      <c r="E7666" s="355"/>
      <c r="F7666" s="355"/>
      <c r="G7666" s="355"/>
      <c r="H7666" s="355"/>
      <c r="I7666" s="355"/>
      <c r="J7666" s="355"/>
      <c r="K7666" s="355"/>
      <c r="L7666" s="355"/>
      <c r="M7666" s="355"/>
    </row>
    <row r="7667" spans="5:13">
      <c r="E7667" s="355"/>
      <c r="F7667" s="355"/>
      <c r="G7667" s="355"/>
      <c r="H7667" s="355"/>
      <c r="I7667" s="355"/>
      <c r="J7667" s="355"/>
      <c r="K7667" s="355"/>
      <c r="L7667" s="355"/>
      <c r="M7667" s="355"/>
    </row>
    <row r="7668" spans="5:13">
      <c r="E7668" s="355"/>
      <c r="F7668" s="355"/>
      <c r="G7668" s="355"/>
      <c r="H7668" s="355"/>
      <c r="I7668" s="355"/>
      <c r="J7668" s="355"/>
      <c r="K7668" s="355"/>
      <c r="L7668" s="355"/>
      <c r="M7668" s="355"/>
    </row>
    <row r="7669" spans="5:13">
      <c r="E7669" s="355"/>
      <c r="F7669" s="355"/>
      <c r="G7669" s="355"/>
      <c r="H7669" s="355"/>
      <c r="I7669" s="355"/>
      <c r="J7669" s="355"/>
      <c r="K7669" s="355"/>
      <c r="L7669" s="355"/>
      <c r="M7669" s="355"/>
    </row>
    <row r="7670" spans="5:13">
      <c r="E7670" s="355"/>
      <c r="F7670" s="355"/>
      <c r="G7670" s="355"/>
      <c r="H7670" s="355"/>
      <c r="I7670" s="355"/>
      <c r="J7670" s="355"/>
      <c r="K7670" s="355"/>
      <c r="L7670" s="355"/>
      <c r="M7670" s="355"/>
    </row>
    <row r="7671" spans="5:13">
      <c r="E7671" s="355"/>
      <c r="F7671" s="355"/>
      <c r="G7671" s="355"/>
      <c r="H7671" s="355"/>
      <c r="I7671" s="355"/>
      <c r="J7671" s="355"/>
      <c r="K7671" s="355"/>
      <c r="L7671" s="355"/>
      <c r="M7671" s="355"/>
    </row>
    <row r="7672" spans="5:13">
      <c r="E7672" s="355"/>
      <c r="F7672" s="355"/>
      <c r="G7672" s="355"/>
      <c r="H7672" s="355"/>
      <c r="I7672" s="355"/>
      <c r="J7672" s="355"/>
      <c r="K7672" s="355"/>
      <c r="L7672" s="355"/>
      <c r="M7672" s="355"/>
    </row>
    <row r="7673" spans="5:13">
      <c r="E7673" s="355"/>
      <c r="F7673" s="355"/>
      <c r="G7673" s="355"/>
      <c r="H7673" s="355"/>
      <c r="I7673" s="355"/>
      <c r="J7673" s="355"/>
      <c r="K7673" s="355"/>
      <c r="L7673" s="355"/>
      <c r="M7673" s="355"/>
    </row>
    <row r="7674" spans="5:13">
      <c r="E7674" s="355"/>
      <c r="F7674" s="355"/>
      <c r="G7674" s="355"/>
      <c r="H7674" s="355"/>
      <c r="I7674" s="355"/>
      <c r="J7674" s="355"/>
      <c r="K7674" s="355"/>
      <c r="L7674" s="355"/>
      <c r="M7674" s="355"/>
    </row>
    <row r="7675" spans="5:13">
      <c r="E7675" s="355"/>
      <c r="F7675" s="355"/>
      <c r="G7675" s="355"/>
      <c r="H7675" s="355"/>
      <c r="I7675" s="355"/>
      <c r="J7675" s="355"/>
      <c r="K7675" s="355"/>
      <c r="L7675" s="355"/>
      <c r="M7675" s="355"/>
    </row>
    <row r="7676" spans="5:13">
      <c r="E7676" s="355"/>
      <c r="F7676" s="355"/>
      <c r="G7676" s="355"/>
      <c r="H7676" s="355"/>
      <c r="I7676" s="355"/>
      <c r="J7676" s="355"/>
      <c r="K7676" s="355"/>
      <c r="L7676" s="355"/>
      <c r="M7676" s="355"/>
    </row>
    <row r="7677" spans="5:13">
      <c r="E7677" s="355"/>
      <c r="F7677" s="355"/>
      <c r="G7677" s="355"/>
      <c r="H7677" s="355"/>
      <c r="I7677" s="355"/>
      <c r="J7677" s="355"/>
      <c r="K7677" s="355"/>
      <c r="L7677" s="355"/>
      <c r="M7677" s="355"/>
    </row>
    <row r="7678" spans="5:13">
      <c r="E7678" s="355"/>
      <c r="F7678" s="355"/>
      <c r="G7678" s="355"/>
      <c r="H7678" s="355"/>
      <c r="I7678" s="355"/>
      <c r="J7678" s="355"/>
      <c r="K7678" s="355"/>
      <c r="L7678" s="355"/>
      <c r="M7678" s="355"/>
    </row>
    <row r="7679" spans="5:13">
      <c r="E7679" s="355"/>
      <c r="F7679" s="355"/>
      <c r="G7679" s="355"/>
      <c r="H7679" s="355"/>
      <c r="I7679" s="355"/>
      <c r="J7679" s="355"/>
      <c r="K7679" s="355"/>
      <c r="L7679" s="355"/>
      <c r="M7679" s="355"/>
    </row>
    <row r="7680" spans="5:13">
      <c r="E7680" s="355"/>
      <c r="F7680" s="355"/>
      <c r="G7680" s="355"/>
      <c r="H7680" s="355"/>
      <c r="I7680" s="355"/>
      <c r="J7680" s="355"/>
      <c r="K7680" s="355"/>
      <c r="L7680" s="355"/>
      <c r="M7680" s="355"/>
    </row>
    <row r="7681" spans="5:13">
      <c r="E7681" s="355"/>
      <c r="F7681" s="355"/>
      <c r="G7681" s="355"/>
      <c r="H7681" s="355"/>
      <c r="I7681" s="355"/>
      <c r="J7681" s="355"/>
      <c r="K7681" s="355"/>
      <c r="L7681" s="355"/>
      <c r="M7681" s="355"/>
    </row>
    <row r="7682" spans="5:13">
      <c r="E7682" s="355"/>
      <c r="F7682" s="355"/>
      <c r="G7682" s="355"/>
      <c r="H7682" s="355"/>
      <c r="I7682" s="355"/>
      <c r="J7682" s="355"/>
      <c r="K7682" s="355"/>
      <c r="L7682" s="355"/>
      <c r="M7682" s="355"/>
    </row>
    <row r="7683" spans="5:13">
      <c r="E7683" s="355"/>
      <c r="F7683" s="355"/>
      <c r="G7683" s="355"/>
      <c r="H7683" s="355"/>
      <c r="I7683" s="355"/>
      <c r="J7683" s="355"/>
      <c r="K7683" s="355"/>
      <c r="L7683" s="355"/>
      <c r="M7683" s="355"/>
    </row>
    <row r="7684" spans="5:13">
      <c r="E7684" s="355"/>
      <c r="F7684" s="355"/>
      <c r="G7684" s="355"/>
      <c r="H7684" s="355"/>
      <c r="I7684" s="355"/>
      <c r="J7684" s="355"/>
      <c r="K7684" s="355"/>
      <c r="L7684" s="355"/>
      <c r="M7684" s="355"/>
    </row>
    <row r="7685" spans="5:13">
      <c r="E7685" s="355"/>
      <c r="F7685" s="355"/>
      <c r="G7685" s="355"/>
      <c r="H7685" s="355"/>
      <c r="I7685" s="355"/>
      <c r="J7685" s="355"/>
      <c r="K7685" s="355"/>
      <c r="L7685" s="355"/>
      <c r="M7685" s="355"/>
    </row>
    <row r="7686" spans="5:13">
      <c r="E7686" s="355"/>
      <c r="F7686" s="355"/>
      <c r="G7686" s="355"/>
      <c r="H7686" s="355"/>
      <c r="I7686" s="355"/>
      <c r="J7686" s="355"/>
      <c r="K7686" s="355"/>
      <c r="L7686" s="355"/>
      <c r="M7686" s="355"/>
    </row>
    <row r="7687" spans="5:13">
      <c r="E7687" s="355"/>
      <c r="F7687" s="355"/>
      <c r="G7687" s="355"/>
      <c r="H7687" s="355"/>
      <c r="I7687" s="355"/>
      <c r="J7687" s="355"/>
      <c r="K7687" s="355"/>
      <c r="L7687" s="355"/>
      <c r="M7687" s="355"/>
    </row>
    <row r="7688" spans="5:13">
      <c r="E7688" s="355"/>
      <c r="F7688" s="355"/>
      <c r="G7688" s="355"/>
      <c r="H7688" s="355"/>
      <c r="I7688" s="355"/>
      <c r="J7688" s="355"/>
      <c r="K7688" s="355"/>
      <c r="L7688" s="355"/>
      <c r="M7688" s="355"/>
    </row>
    <row r="7689" spans="5:13">
      <c r="E7689" s="355"/>
      <c r="F7689" s="355"/>
      <c r="G7689" s="355"/>
      <c r="H7689" s="355"/>
      <c r="I7689" s="355"/>
      <c r="J7689" s="355"/>
      <c r="K7689" s="355"/>
      <c r="L7689" s="355"/>
      <c r="M7689" s="355"/>
    </row>
    <row r="7690" spans="5:13">
      <c r="E7690" s="355"/>
      <c r="F7690" s="355"/>
      <c r="G7690" s="355"/>
      <c r="H7690" s="355"/>
      <c r="I7690" s="355"/>
      <c r="J7690" s="355"/>
      <c r="K7690" s="355"/>
      <c r="L7690" s="355"/>
      <c r="M7690" s="355"/>
    </row>
    <row r="7691" spans="5:13">
      <c r="E7691" s="355"/>
      <c r="F7691" s="355"/>
      <c r="G7691" s="355"/>
      <c r="H7691" s="355"/>
      <c r="I7691" s="355"/>
      <c r="J7691" s="355"/>
      <c r="K7691" s="355"/>
      <c r="L7691" s="355"/>
      <c r="M7691" s="355"/>
    </row>
    <row r="7692" spans="5:13">
      <c r="E7692" s="355"/>
      <c r="F7692" s="355"/>
      <c r="G7692" s="355"/>
      <c r="H7692" s="355"/>
      <c r="I7692" s="355"/>
      <c r="J7692" s="355"/>
      <c r="K7692" s="355"/>
      <c r="L7692" s="355"/>
      <c r="M7692" s="355"/>
    </row>
    <row r="7693" spans="5:13">
      <c r="E7693" s="355"/>
      <c r="F7693" s="355"/>
      <c r="G7693" s="355"/>
      <c r="H7693" s="355"/>
      <c r="I7693" s="355"/>
      <c r="J7693" s="355"/>
      <c r="K7693" s="355"/>
      <c r="L7693" s="355"/>
      <c r="M7693" s="355"/>
    </row>
    <row r="7694" spans="5:13">
      <c r="E7694" s="355"/>
      <c r="F7694" s="355"/>
      <c r="G7694" s="355"/>
      <c r="H7694" s="355"/>
      <c r="I7694" s="355"/>
      <c r="J7694" s="355"/>
      <c r="K7694" s="355"/>
      <c r="L7694" s="355"/>
      <c r="M7694" s="355"/>
    </row>
    <row r="7695" spans="5:13">
      <c r="E7695" s="355"/>
      <c r="F7695" s="355"/>
      <c r="G7695" s="355"/>
      <c r="H7695" s="355"/>
      <c r="I7695" s="355"/>
      <c r="J7695" s="355"/>
      <c r="K7695" s="355"/>
      <c r="L7695" s="355"/>
      <c r="M7695" s="355"/>
    </row>
    <row r="7696" spans="5:13">
      <c r="E7696" s="355"/>
      <c r="F7696" s="355"/>
      <c r="G7696" s="355"/>
      <c r="H7696" s="355"/>
      <c r="I7696" s="355"/>
      <c r="J7696" s="355"/>
      <c r="K7696" s="355"/>
      <c r="L7696" s="355"/>
      <c r="M7696" s="355"/>
    </row>
    <row r="7697" spans="5:13">
      <c r="E7697" s="355"/>
      <c r="F7697" s="355"/>
      <c r="G7697" s="355"/>
      <c r="H7697" s="355"/>
      <c r="I7697" s="355"/>
      <c r="J7697" s="355"/>
      <c r="K7697" s="355"/>
      <c r="L7697" s="355"/>
      <c r="M7697" s="355"/>
    </row>
    <row r="7698" spans="5:13">
      <c r="E7698" s="355"/>
      <c r="F7698" s="355"/>
      <c r="G7698" s="355"/>
      <c r="H7698" s="355"/>
      <c r="I7698" s="355"/>
      <c r="J7698" s="355"/>
      <c r="K7698" s="355"/>
      <c r="L7698" s="355"/>
      <c r="M7698" s="355"/>
    </row>
    <row r="7699" spans="5:13">
      <c r="E7699" s="355"/>
      <c r="F7699" s="355"/>
      <c r="G7699" s="355"/>
      <c r="H7699" s="355"/>
      <c r="I7699" s="355"/>
      <c r="J7699" s="355"/>
      <c r="K7699" s="355"/>
      <c r="L7699" s="355"/>
      <c r="M7699" s="355"/>
    </row>
    <row r="7700" spans="5:13">
      <c r="E7700" s="355"/>
      <c r="F7700" s="355"/>
      <c r="G7700" s="355"/>
      <c r="H7700" s="355"/>
      <c r="I7700" s="355"/>
      <c r="J7700" s="355"/>
      <c r="K7700" s="355"/>
      <c r="L7700" s="355"/>
      <c r="M7700" s="355"/>
    </row>
    <row r="7701" spans="5:13">
      <c r="E7701" s="355"/>
      <c r="F7701" s="355"/>
      <c r="G7701" s="355"/>
      <c r="H7701" s="355"/>
      <c r="I7701" s="355"/>
      <c r="J7701" s="355"/>
      <c r="K7701" s="355"/>
      <c r="L7701" s="355"/>
      <c r="M7701" s="355"/>
    </row>
    <row r="7702" spans="5:13">
      <c r="E7702" s="355"/>
      <c r="F7702" s="355"/>
      <c r="G7702" s="355"/>
      <c r="H7702" s="355"/>
      <c r="I7702" s="355"/>
      <c r="J7702" s="355"/>
      <c r="K7702" s="355"/>
      <c r="L7702" s="355"/>
      <c r="M7702" s="355"/>
    </row>
    <row r="7703" spans="5:13">
      <c r="E7703" s="355"/>
      <c r="F7703" s="355"/>
      <c r="G7703" s="355"/>
      <c r="H7703" s="355"/>
      <c r="I7703" s="355"/>
      <c r="J7703" s="355"/>
      <c r="K7703" s="355"/>
      <c r="L7703" s="355"/>
      <c r="M7703" s="355"/>
    </row>
    <row r="7704" spans="5:13">
      <c r="E7704" s="355"/>
      <c r="F7704" s="355"/>
      <c r="G7704" s="355"/>
      <c r="H7704" s="355"/>
      <c r="I7704" s="355"/>
      <c r="J7704" s="355"/>
      <c r="K7704" s="355"/>
      <c r="L7704" s="355"/>
      <c r="M7704" s="355"/>
    </row>
    <row r="7705" spans="5:13">
      <c r="E7705" s="355"/>
      <c r="F7705" s="355"/>
      <c r="G7705" s="355"/>
      <c r="H7705" s="355"/>
      <c r="I7705" s="355"/>
      <c r="J7705" s="355"/>
      <c r="K7705" s="355"/>
      <c r="L7705" s="355"/>
      <c r="M7705" s="355"/>
    </row>
    <row r="7706" spans="5:13">
      <c r="E7706" s="355"/>
      <c r="F7706" s="355"/>
      <c r="G7706" s="355"/>
      <c r="H7706" s="355"/>
      <c r="I7706" s="355"/>
      <c r="J7706" s="355"/>
      <c r="K7706" s="355"/>
      <c r="L7706" s="355"/>
      <c r="M7706" s="355"/>
    </row>
    <row r="7707" spans="5:13">
      <c r="E7707" s="355"/>
      <c r="F7707" s="355"/>
      <c r="G7707" s="355"/>
      <c r="H7707" s="355"/>
      <c r="I7707" s="355"/>
      <c r="J7707" s="355"/>
      <c r="K7707" s="355"/>
      <c r="L7707" s="355"/>
      <c r="M7707" s="355"/>
    </row>
    <row r="7708" spans="5:13">
      <c r="E7708" s="355"/>
      <c r="F7708" s="355"/>
      <c r="G7708" s="355"/>
      <c r="H7708" s="355"/>
      <c r="I7708" s="355"/>
      <c r="J7708" s="355"/>
      <c r="K7708" s="355"/>
      <c r="L7708" s="355"/>
      <c r="M7708" s="355"/>
    </row>
    <row r="7709" spans="5:13">
      <c r="E7709" s="355"/>
      <c r="F7709" s="355"/>
      <c r="G7709" s="355"/>
      <c r="H7709" s="355"/>
      <c r="I7709" s="355"/>
      <c r="J7709" s="355"/>
      <c r="K7709" s="355"/>
      <c r="L7709" s="355"/>
      <c r="M7709" s="355"/>
    </row>
    <row r="7710" spans="5:13">
      <c r="E7710" s="355"/>
      <c r="F7710" s="355"/>
      <c r="G7710" s="355"/>
      <c r="H7710" s="355"/>
      <c r="I7710" s="355"/>
      <c r="J7710" s="355"/>
      <c r="K7710" s="355"/>
      <c r="L7710" s="355"/>
      <c r="M7710" s="355"/>
    </row>
    <row r="7711" spans="5:13">
      <c r="E7711" s="355"/>
      <c r="F7711" s="355"/>
      <c r="G7711" s="355"/>
      <c r="H7711" s="355"/>
      <c r="I7711" s="355"/>
      <c r="J7711" s="355"/>
      <c r="K7711" s="355"/>
      <c r="L7711" s="355"/>
      <c r="M7711" s="355"/>
    </row>
    <row r="7712" spans="5:13">
      <c r="E7712" s="355"/>
      <c r="F7712" s="355"/>
      <c r="G7712" s="355"/>
      <c r="H7712" s="355"/>
      <c r="I7712" s="355"/>
      <c r="J7712" s="355"/>
      <c r="K7712" s="355"/>
      <c r="L7712" s="355"/>
      <c r="M7712" s="355"/>
    </row>
    <row r="7713" spans="5:13">
      <c r="E7713" s="355"/>
      <c r="F7713" s="355"/>
      <c r="G7713" s="355"/>
      <c r="H7713" s="355"/>
      <c r="I7713" s="355"/>
      <c r="J7713" s="355"/>
      <c r="K7713" s="355"/>
      <c r="L7713" s="355"/>
      <c r="M7713" s="355"/>
    </row>
    <row r="7714" spans="5:13">
      <c r="E7714" s="355"/>
      <c r="F7714" s="355"/>
      <c r="G7714" s="355"/>
      <c r="H7714" s="355"/>
      <c r="I7714" s="355"/>
      <c r="J7714" s="355"/>
      <c r="K7714" s="355"/>
      <c r="L7714" s="355"/>
      <c r="M7714" s="355"/>
    </row>
    <row r="7715" spans="5:13">
      <c r="E7715" s="355"/>
      <c r="F7715" s="355"/>
      <c r="G7715" s="355"/>
      <c r="H7715" s="355"/>
      <c r="I7715" s="355"/>
      <c r="J7715" s="355"/>
      <c r="K7715" s="355"/>
      <c r="L7715" s="355"/>
      <c r="M7715" s="355"/>
    </row>
    <row r="7716" spans="5:13">
      <c r="E7716" s="355"/>
      <c r="F7716" s="355"/>
      <c r="G7716" s="355"/>
      <c r="H7716" s="355"/>
      <c r="I7716" s="355"/>
      <c r="J7716" s="355"/>
      <c r="K7716" s="355"/>
      <c r="L7716" s="355"/>
      <c r="M7716" s="355"/>
    </row>
    <row r="7717" spans="5:13">
      <c r="E7717" s="355"/>
      <c r="F7717" s="355"/>
      <c r="G7717" s="355"/>
      <c r="H7717" s="355"/>
      <c r="I7717" s="355"/>
      <c r="J7717" s="355"/>
      <c r="K7717" s="355"/>
      <c r="L7717" s="355"/>
      <c r="M7717" s="355"/>
    </row>
    <row r="7718" spans="5:13">
      <c r="E7718" s="355"/>
      <c r="F7718" s="355"/>
      <c r="G7718" s="355"/>
      <c r="H7718" s="355"/>
      <c r="I7718" s="355"/>
      <c r="J7718" s="355"/>
      <c r="K7718" s="355"/>
      <c r="L7718" s="355"/>
      <c r="M7718" s="355"/>
    </row>
    <row r="7719" spans="5:13">
      <c r="E7719" s="355"/>
      <c r="F7719" s="355"/>
      <c r="G7719" s="355"/>
      <c r="H7719" s="355"/>
      <c r="I7719" s="355"/>
      <c r="J7719" s="355"/>
      <c r="K7719" s="355"/>
      <c r="L7719" s="355"/>
      <c r="M7719" s="355"/>
    </row>
    <row r="7720" spans="5:13">
      <c r="E7720" s="355"/>
      <c r="F7720" s="355"/>
      <c r="G7720" s="355"/>
      <c r="H7720" s="355"/>
      <c r="I7720" s="355"/>
      <c r="J7720" s="355"/>
      <c r="K7720" s="355"/>
      <c r="L7720" s="355"/>
      <c r="M7720" s="355"/>
    </row>
    <row r="7721" spans="5:13">
      <c r="E7721" s="355"/>
      <c r="F7721" s="355"/>
      <c r="G7721" s="355"/>
      <c r="H7721" s="355"/>
      <c r="I7721" s="355"/>
      <c r="J7721" s="355"/>
      <c r="K7721" s="355"/>
      <c r="L7721" s="355"/>
      <c r="M7721" s="355"/>
    </row>
    <row r="7722" spans="5:13">
      <c r="E7722" s="355"/>
      <c r="F7722" s="355"/>
      <c r="G7722" s="355"/>
      <c r="H7722" s="355"/>
      <c r="I7722" s="355"/>
      <c r="J7722" s="355"/>
      <c r="K7722" s="355"/>
      <c r="L7722" s="355"/>
      <c r="M7722" s="355"/>
    </row>
    <row r="7723" spans="5:13">
      <c r="E7723" s="355"/>
      <c r="F7723" s="355"/>
      <c r="G7723" s="355"/>
      <c r="H7723" s="355"/>
      <c r="I7723" s="355"/>
      <c r="J7723" s="355"/>
      <c r="K7723" s="355"/>
      <c r="L7723" s="355"/>
      <c r="M7723" s="355"/>
    </row>
    <row r="7724" spans="5:13">
      <c r="E7724" s="355"/>
      <c r="F7724" s="355"/>
      <c r="G7724" s="355"/>
      <c r="H7724" s="355"/>
      <c r="I7724" s="355"/>
      <c r="J7724" s="355"/>
      <c r="K7724" s="355"/>
      <c r="L7724" s="355"/>
      <c r="M7724" s="355"/>
    </row>
    <row r="7725" spans="5:13">
      <c r="E7725" s="355"/>
      <c r="F7725" s="355"/>
      <c r="G7725" s="355"/>
      <c r="H7725" s="355"/>
      <c r="I7725" s="355"/>
      <c r="J7725" s="355"/>
      <c r="K7725" s="355"/>
      <c r="L7725" s="355"/>
      <c r="M7725" s="355"/>
    </row>
    <row r="7726" spans="5:13">
      <c r="E7726" s="355"/>
      <c r="F7726" s="355"/>
      <c r="G7726" s="355"/>
      <c r="H7726" s="355"/>
      <c r="I7726" s="355"/>
      <c r="J7726" s="355"/>
      <c r="K7726" s="355"/>
      <c r="L7726" s="355"/>
      <c r="M7726" s="355"/>
    </row>
    <row r="7727" spans="5:13">
      <c r="E7727" s="355"/>
      <c r="F7727" s="355"/>
      <c r="G7727" s="355"/>
      <c r="H7727" s="355"/>
      <c r="I7727" s="355"/>
      <c r="J7727" s="355"/>
      <c r="K7727" s="355"/>
      <c r="L7727" s="355"/>
      <c r="M7727" s="355"/>
    </row>
    <row r="7728" spans="5:13">
      <c r="E7728" s="355"/>
      <c r="F7728" s="355"/>
      <c r="G7728" s="355"/>
      <c r="H7728" s="355"/>
      <c r="I7728" s="355"/>
      <c r="J7728" s="355"/>
      <c r="K7728" s="355"/>
      <c r="L7728" s="355"/>
      <c r="M7728" s="355"/>
    </row>
    <row r="7729" spans="5:13">
      <c r="E7729" s="355"/>
      <c r="F7729" s="355"/>
      <c r="G7729" s="355"/>
      <c r="H7729" s="355"/>
      <c r="I7729" s="355"/>
      <c r="J7729" s="355"/>
      <c r="K7729" s="355"/>
      <c r="L7729" s="355"/>
      <c r="M7729" s="355"/>
    </row>
    <row r="7730" spans="5:13">
      <c r="E7730" s="355"/>
      <c r="F7730" s="355"/>
      <c r="G7730" s="355"/>
      <c r="H7730" s="355"/>
      <c r="I7730" s="355"/>
      <c r="J7730" s="355"/>
      <c r="K7730" s="355"/>
      <c r="L7730" s="355"/>
      <c r="M7730" s="355"/>
    </row>
    <row r="7731" spans="5:13">
      <c r="E7731" s="355"/>
      <c r="F7731" s="355"/>
      <c r="G7731" s="355"/>
      <c r="H7731" s="355"/>
      <c r="I7731" s="355"/>
      <c r="J7731" s="355"/>
      <c r="K7731" s="355"/>
      <c r="L7731" s="355"/>
      <c r="M7731" s="355"/>
    </row>
    <row r="7732" spans="5:13">
      <c r="E7732" s="355"/>
      <c r="F7732" s="355"/>
      <c r="G7732" s="355"/>
      <c r="H7732" s="355"/>
      <c r="I7732" s="355"/>
      <c r="J7732" s="355"/>
      <c r="K7732" s="355"/>
      <c r="L7732" s="355"/>
      <c r="M7732" s="355"/>
    </row>
    <row r="7733" spans="5:13">
      <c r="E7733" s="355"/>
      <c r="F7733" s="355"/>
      <c r="G7733" s="355"/>
      <c r="H7733" s="355"/>
      <c r="I7733" s="355"/>
      <c r="J7733" s="355"/>
      <c r="K7733" s="355"/>
      <c r="L7733" s="355"/>
      <c r="M7733" s="355"/>
    </row>
    <row r="7734" spans="5:13">
      <c r="E7734" s="355"/>
      <c r="F7734" s="355"/>
      <c r="G7734" s="355"/>
      <c r="H7734" s="355"/>
      <c r="I7734" s="355"/>
      <c r="J7734" s="355"/>
      <c r="K7734" s="355"/>
      <c r="L7734" s="355"/>
      <c r="M7734" s="355"/>
    </row>
    <row r="7735" spans="5:13">
      <c r="E7735" s="355"/>
      <c r="F7735" s="355"/>
      <c r="G7735" s="355"/>
      <c r="H7735" s="355"/>
      <c r="I7735" s="355"/>
      <c r="J7735" s="355"/>
      <c r="K7735" s="355"/>
      <c r="L7735" s="355"/>
      <c r="M7735" s="355"/>
    </row>
    <row r="7736" spans="5:13">
      <c r="E7736" s="355"/>
      <c r="F7736" s="355"/>
      <c r="G7736" s="355"/>
      <c r="H7736" s="355"/>
      <c r="I7736" s="355"/>
      <c r="J7736" s="355"/>
      <c r="K7736" s="355"/>
      <c r="L7736" s="355"/>
      <c r="M7736" s="355"/>
    </row>
    <row r="7737" spans="5:13">
      <c r="E7737" s="355"/>
      <c r="F7737" s="355"/>
      <c r="G7737" s="355"/>
      <c r="H7737" s="355"/>
      <c r="I7737" s="355"/>
      <c r="J7737" s="355"/>
      <c r="K7737" s="355"/>
      <c r="L7737" s="355"/>
      <c r="M7737" s="355"/>
    </row>
    <row r="7738" spans="5:13">
      <c r="E7738" s="355"/>
      <c r="F7738" s="355"/>
      <c r="G7738" s="355"/>
      <c r="H7738" s="355"/>
      <c r="I7738" s="355"/>
      <c r="J7738" s="355"/>
      <c r="K7738" s="355"/>
      <c r="L7738" s="355"/>
      <c r="M7738" s="355"/>
    </row>
    <row r="7739" spans="5:13">
      <c r="E7739" s="355"/>
      <c r="F7739" s="355"/>
      <c r="G7739" s="355"/>
      <c r="H7739" s="355"/>
      <c r="I7739" s="355"/>
      <c r="J7739" s="355"/>
      <c r="K7739" s="355"/>
      <c r="L7739" s="355"/>
      <c r="M7739" s="355"/>
    </row>
    <row r="7740" spans="5:13">
      <c r="E7740" s="355"/>
      <c r="F7740" s="355"/>
      <c r="G7740" s="355"/>
      <c r="H7740" s="355"/>
      <c r="I7740" s="355"/>
      <c r="J7740" s="355"/>
      <c r="K7740" s="355"/>
      <c r="L7740" s="355"/>
      <c r="M7740" s="355"/>
    </row>
    <row r="7741" spans="5:13">
      <c r="E7741" s="355"/>
      <c r="F7741" s="355"/>
      <c r="G7741" s="355"/>
      <c r="H7741" s="355"/>
      <c r="I7741" s="355"/>
      <c r="J7741" s="355"/>
      <c r="K7741" s="355"/>
      <c r="L7741" s="355"/>
      <c r="M7741" s="355"/>
    </row>
    <row r="7742" spans="5:13">
      <c r="E7742" s="355"/>
      <c r="F7742" s="355"/>
      <c r="G7742" s="355"/>
      <c r="H7742" s="355"/>
      <c r="I7742" s="355"/>
      <c r="J7742" s="355"/>
      <c r="K7742" s="355"/>
      <c r="L7742" s="355"/>
      <c r="M7742" s="355"/>
    </row>
    <row r="7743" spans="5:13">
      <c r="E7743" s="355"/>
      <c r="F7743" s="355"/>
      <c r="G7743" s="355"/>
      <c r="H7743" s="355"/>
      <c r="I7743" s="355"/>
      <c r="J7743" s="355"/>
      <c r="K7743" s="355"/>
      <c r="L7743" s="355"/>
      <c r="M7743" s="355"/>
    </row>
    <row r="7744" spans="5:13">
      <c r="E7744" s="355"/>
      <c r="F7744" s="355"/>
      <c r="G7744" s="355"/>
      <c r="H7744" s="355"/>
      <c r="I7744" s="355"/>
      <c r="J7744" s="355"/>
      <c r="K7744" s="355"/>
      <c r="L7744" s="355"/>
      <c r="M7744" s="355"/>
    </row>
    <row r="7745" spans="5:13">
      <c r="E7745" s="355"/>
      <c r="F7745" s="355"/>
      <c r="G7745" s="355"/>
      <c r="H7745" s="355"/>
      <c r="I7745" s="355"/>
      <c r="J7745" s="355"/>
      <c r="K7745" s="355"/>
      <c r="L7745" s="355"/>
      <c r="M7745" s="355"/>
    </row>
    <row r="7746" spans="5:13">
      <c r="E7746" s="355"/>
      <c r="F7746" s="355"/>
      <c r="G7746" s="355"/>
      <c r="H7746" s="355"/>
      <c r="I7746" s="355"/>
      <c r="J7746" s="355"/>
      <c r="K7746" s="355"/>
      <c r="L7746" s="355"/>
      <c r="M7746" s="355"/>
    </row>
    <row r="7747" spans="5:13">
      <c r="E7747" s="355"/>
      <c r="F7747" s="355"/>
      <c r="G7747" s="355"/>
      <c r="H7747" s="355"/>
      <c r="I7747" s="355"/>
      <c r="J7747" s="355"/>
      <c r="K7747" s="355"/>
      <c r="L7747" s="355"/>
      <c r="M7747" s="355"/>
    </row>
    <row r="7748" spans="5:13">
      <c r="E7748" s="355"/>
      <c r="F7748" s="355"/>
      <c r="G7748" s="355"/>
      <c r="H7748" s="355"/>
      <c r="I7748" s="355"/>
      <c r="J7748" s="355"/>
      <c r="K7748" s="355"/>
      <c r="L7748" s="355"/>
      <c r="M7748" s="355"/>
    </row>
    <row r="7749" spans="5:13">
      <c r="E7749" s="355"/>
      <c r="F7749" s="355"/>
      <c r="G7749" s="355"/>
      <c r="H7749" s="355"/>
      <c r="I7749" s="355"/>
      <c r="J7749" s="355"/>
      <c r="K7749" s="355"/>
      <c r="L7749" s="355"/>
      <c r="M7749" s="355"/>
    </row>
    <row r="7750" spans="5:13">
      <c r="E7750" s="355"/>
      <c r="F7750" s="355"/>
      <c r="G7750" s="355"/>
      <c r="H7750" s="355"/>
      <c r="I7750" s="355"/>
      <c r="J7750" s="355"/>
      <c r="K7750" s="355"/>
      <c r="L7750" s="355"/>
      <c r="M7750" s="355"/>
    </row>
    <row r="7751" spans="5:13">
      <c r="E7751" s="355"/>
      <c r="F7751" s="355"/>
      <c r="G7751" s="355"/>
      <c r="H7751" s="355"/>
      <c r="I7751" s="355"/>
      <c r="J7751" s="355"/>
      <c r="K7751" s="355"/>
      <c r="L7751" s="355"/>
      <c r="M7751" s="355"/>
    </row>
    <row r="7752" spans="5:13">
      <c r="E7752" s="355"/>
      <c r="F7752" s="355"/>
      <c r="G7752" s="355"/>
      <c r="H7752" s="355"/>
      <c r="I7752" s="355"/>
      <c r="J7752" s="355"/>
      <c r="K7752" s="355"/>
      <c r="L7752" s="355"/>
      <c r="M7752" s="355"/>
    </row>
    <row r="7753" spans="5:13">
      <c r="E7753" s="355"/>
      <c r="F7753" s="355"/>
      <c r="G7753" s="355"/>
      <c r="H7753" s="355"/>
      <c r="I7753" s="355"/>
      <c r="J7753" s="355"/>
      <c r="K7753" s="355"/>
      <c r="L7753" s="355"/>
      <c r="M7753" s="355"/>
    </row>
    <row r="7754" spans="5:13">
      <c r="E7754" s="355"/>
      <c r="F7754" s="355"/>
      <c r="G7754" s="355"/>
      <c r="H7754" s="355"/>
      <c r="I7754" s="355"/>
      <c r="J7754" s="355"/>
      <c r="K7754" s="355"/>
      <c r="L7754" s="355"/>
      <c r="M7754" s="355"/>
    </row>
    <row r="7755" spans="5:13">
      <c r="E7755" s="355"/>
      <c r="F7755" s="355"/>
      <c r="G7755" s="355"/>
      <c r="H7755" s="355"/>
      <c r="I7755" s="355"/>
      <c r="J7755" s="355"/>
      <c r="K7755" s="355"/>
      <c r="L7755" s="355"/>
      <c r="M7755" s="355"/>
    </row>
    <row r="7756" spans="5:13">
      <c r="E7756" s="355"/>
      <c r="F7756" s="355"/>
      <c r="G7756" s="355"/>
      <c r="H7756" s="355"/>
      <c r="I7756" s="355"/>
      <c r="J7756" s="355"/>
      <c r="K7756" s="355"/>
      <c r="L7756" s="355"/>
      <c r="M7756" s="355"/>
    </row>
    <row r="7757" spans="5:13">
      <c r="E7757" s="355"/>
      <c r="F7757" s="355"/>
      <c r="G7757" s="355"/>
      <c r="H7757" s="355"/>
      <c r="I7757" s="355"/>
      <c r="J7757" s="355"/>
      <c r="K7757" s="355"/>
      <c r="L7757" s="355"/>
      <c r="M7757" s="355"/>
    </row>
    <row r="7758" spans="5:13">
      <c r="E7758" s="355"/>
      <c r="F7758" s="355"/>
      <c r="G7758" s="355"/>
      <c r="H7758" s="355"/>
      <c r="I7758" s="355"/>
      <c r="J7758" s="355"/>
      <c r="K7758" s="355"/>
      <c r="L7758" s="355"/>
      <c r="M7758" s="355"/>
    </row>
    <row r="7759" spans="5:13">
      <c r="E7759" s="355"/>
      <c r="F7759" s="355"/>
      <c r="G7759" s="355"/>
      <c r="H7759" s="355"/>
      <c r="I7759" s="355"/>
      <c r="J7759" s="355"/>
      <c r="K7759" s="355"/>
      <c r="L7759" s="355"/>
      <c r="M7759" s="355"/>
    </row>
    <row r="7760" spans="5:13">
      <c r="E7760" s="355"/>
      <c r="F7760" s="355"/>
      <c r="G7760" s="355"/>
      <c r="H7760" s="355"/>
      <c r="I7760" s="355"/>
      <c r="J7760" s="355"/>
      <c r="K7760" s="355"/>
      <c r="L7760" s="355"/>
      <c r="M7760" s="355"/>
    </row>
    <row r="7761" spans="5:13">
      <c r="E7761" s="355"/>
      <c r="F7761" s="355"/>
      <c r="G7761" s="355"/>
      <c r="H7761" s="355"/>
      <c r="I7761" s="355"/>
      <c r="J7761" s="355"/>
      <c r="K7761" s="355"/>
      <c r="L7761" s="355"/>
      <c r="M7761" s="355"/>
    </row>
    <row r="7762" spans="5:13">
      <c r="E7762" s="355"/>
      <c r="F7762" s="355"/>
      <c r="G7762" s="355"/>
      <c r="H7762" s="355"/>
      <c r="I7762" s="355"/>
      <c r="J7762" s="355"/>
      <c r="K7762" s="355"/>
      <c r="L7762" s="355"/>
      <c r="M7762" s="355"/>
    </row>
    <row r="7763" spans="5:13">
      <c r="E7763" s="355"/>
      <c r="F7763" s="355"/>
      <c r="G7763" s="355"/>
      <c r="H7763" s="355"/>
      <c r="I7763" s="355"/>
      <c r="J7763" s="355"/>
      <c r="K7763" s="355"/>
      <c r="L7763" s="355"/>
      <c r="M7763" s="355"/>
    </row>
    <row r="7764" spans="5:13">
      <c r="E7764" s="355"/>
      <c r="F7764" s="355"/>
      <c r="G7764" s="355"/>
      <c r="H7764" s="355"/>
      <c r="I7764" s="355"/>
      <c r="J7764" s="355"/>
      <c r="K7764" s="355"/>
      <c r="L7764" s="355"/>
      <c r="M7764" s="355"/>
    </row>
    <row r="7765" spans="5:13">
      <c r="E7765" s="355"/>
      <c r="F7765" s="355"/>
      <c r="G7765" s="355"/>
      <c r="H7765" s="355"/>
      <c r="I7765" s="355"/>
      <c r="J7765" s="355"/>
      <c r="K7765" s="355"/>
      <c r="L7765" s="355"/>
      <c r="M7765" s="355"/>
    </row>
    <row r="7766" spans="5:13">
      <c r="E7766" s="355"/>
      <c r="F7766" s="355"/>
      <c r="G7766" s="355"/>
      <c r="H7766" s="355"/>
      <c r="I7766" s="355"/>
      <c r="J7766" s="355"/>
      <c r="K7766" s="355"/>
      <c r="L7766" s="355"/>
      <c r="M7766" s="355"/>
    </row>
    <row r="7767" spans="5:13">
      <c r="E7767" s="355"/>
      <c r="F7767" s="355"/>
      <c r="G7767" s="355"/>
      <c r="H7767" s="355"/>
      <c r="I7767" s="355"/>
      <c r="J7767" s="355"/>
      <c r="K7767" s="355"/>
      <c r="L7767" s="355"/>
      <c r="M7767" s="355"/>
    </row>
    <row r="7768" spans="5:13">
      <c r="E7768" s="355"/>
      <c r="F7768" s="355"/>
      <c r="G7768" s="355"/>
      <c r="H7768" s="355"/>
      <c r="I7768" s="355"/>
      <c r="J7768" s="355"/>
      <c r="K7768" s="355"/>
      <c r="L7768" s="355"/>
      <c r="M7768" s="355"/>
    </row>
    <row r="7769" spans="5:13">
      <c r="E7769" s="355"/>
      <c r="F7769" s="355"/>
      <c r="G7769" s="355"/>
      <c r="H7769" s="355"/>
      <c r="I7769" s="355"/>
      <c r="J7769" s="355"/>
      <c r="K7769" s="355"/>
      <c r="L7769" s="355"/>
      <c r="M7769" s="355"/>
    </row>
    <row r="7770" spans="5:13">
      <c r="E7770" s="355"/>
      <c r="F7770" s="355"/>
      <c r="G7770" s="355"/>
      <c r="H7770" s="355"/>
      <c r="I7770" s="355"/>
      <c r="J7770" s="355"/>
      <c r="K7770" s="355"/>
      <c r="L7770" s="355"/>
      <c r="M7770" s="355"/>
    </row>
    <row r="7771" spans="5:13">
      <c r="E7771" s="355"/>
      <c r="F7771" s="355"/>
      <c r="G7771" s="355"/>
      <c r="H7771" s="355"/>
      <c r="I7771" s="355"/>
      <c r="J7771" s="355"/>
      <c r="K7771" s="355"/>
      <c r="L7771" s="355"/>
      <c r="M7771" s="355"/>
    </row>
    <row r="7772" spans="5:13">
      <c r="E7772" s="355"/>
      <c r="F7772" s="355"/>
      <c r="G7772" s="355"/>
      <c r="H7772" s="355"/>
      <c r="I7772" s="355"/>
      <c r="J7772" s="355"/>
      <c r="K7772" s="355"/>
      <c r="L7772" s="355"/>
      <c r="M7772" s="355"/>
    </row>
    <row r="7773" spans="5:13">
      <c r="E7773" s="355"/>
      <c r="F7773" s="355"/>
      <c r="G7773" s="355"/>
      <c r="H7773" s="355"/>
      <c r="I7773" s="355"/>
      <c r="J7773" s="355"/>
      <c r="K7773" s="355"/>
      <c r="L7773" s="355"/>
      <c r="M7773" s="355"/>
    </row>
    <row r="7774" spans="5:13">
      <c r="E7774" s="355"/>
      <c r="F7774" s="355"/>
      <c r="G7774" s="355"/>
      <c r="H7774" s="355"/>
      <c r="I7774" s="355"/>
      <c r="J7774" s="355"/>
      <c r="K7774" s="355"/>
      <c r="L7774" s="355"/>
      <c r="M7774" s="355"/>
    </row>
    <row r="7775" spans="5:13">
      <c r="E7775" s="355"/>
      <c r="F7775" s="355"/>
      <c r="G7775" s="355"/>
      <c r="H7775" s="355"/>
      <c r="I7775" s="355"/>
      <c r="J7775" s="355"/>
      <c r="K7775" s="355"/>
      <c r="L7775" s="355"/>
      <c r="M7775" s="355"/>
    </row>
    <row r="7776" spans="5:13">
      <c r="E7776" s="355"/>
      <c r="F7776" s="355"/>
      <c r="G7776" s="355"/>
      <c r="H7776" s="355"/>
      <c r="I7776" s="355"/>
      <c r="J7776" s="355"/>
      <c r="K7776" s="355"/>
      <c r="L7776" s="355"/>
      <c r="M7776" s="355"/>
    </row>
    <row r="7777" spans="5:13">
      <c r="E7777" s="355"/>
      <c r="F7777" s="355"/>
      <c r="G7777" s="355"/>
      <c r="H7777" s="355"/>
      <c r="I7777" s="355"/>
      <c r="J7777" s="355"/>
      <c r="K7777" s="355"/>
      <c r="L7777" s="355"/>
      <c r="M7777" s="355"/>
    </row>
    <row r="7778" spans="5:13">
      <c r="E7778" s="355"/>
      <c r="F7778" s="355"/>
      <c r="G7778" s="355"/>
      <c r="H7778" s="355"/>
      <c r="I7778" s="355"/>
      <c r="J7778" s="355"/>
      <c r="K7778" s="355"/>
      <c r="L7778" s="355"/>
      <c r="M7778" s="355"/>
    </row>
    <row r="7779" spans="5:13">
      <c r="E7779" s="355"/>
      <c r="F7779" s="355"/>
      <c r="G7779" s="355"/>
      <c r="H7779" s="355"/>
      <c r="I7779" s="355"/>
      <c r="J7779" s="355"/>
      <c r="K7779" s="355"/>
      <c r="L7779" s="355"/>
      <c r="M7779" s="355"/>
    </row>
    <row r="7780" spans="5:13">
      <c r="E7780" s="355"/>
      <c r="F7780" s="355"/>
      <c r="G7780" s="355"/>
      <c r="H7780" s="355"/>
      <c r="I7780" s="355"/>
      <c r="J7780" s="355"/>
      <c r="K7780" s="355"/>
      <c r="L7780" s="355"/>
      <c r="M7780" s="355"/>
    </row>
    <row r="7781" spans="5:13">
      <c r="E7781" s="355"/>
      <c r="F7781" s="355"/>
      <c r="G7781" s="355"/>
      <c r="H7781" s="355"/>
      <c r="I7781" s="355"/>
      <c r="J7781" s="355"/>
      <c r="K7781" s="355"/>
      <c r="L7781" s="355"/>
      <c r="M7781" s="355"/>
    </row>
    <row r="7782" spans="5:13">
      <c r="E7782" s="355"/>
      <c r="F7782" s="355"/>
      <c r="G7782" s="355"/>
      <c r="H7782" s="355"/>
      <c r="I7782" s="355"/>
      <c r="J7782" s="355"/>
      <c r="K7782" s="355"/>
      <c r="L7782" s="355"/>
      <c r="M7782" s="355"/>
    </row>
    <row r="7783" spans="5:13">
      <c r="E7783" s="355"/>
      <c r="F7783" s="355"/>
      <c r="G7783" s="355"/>
      <c r="H7783" s="355"/>
      <c r="I7783" s="355"/>
      <c r="J7783" s="355"/>
      <c r="K7783" s="355"/>
      <c r="L7783" s="355"/>
      <c r="M7783" s="355"/>
    </row>
    <row r="7784" spans="5:13">
      <c r="E7784" s="355"/>
      <c r="F7784" s="355"/>
      <c r="G7784" s="355"/>
      <c r="H7784" s="355"/>
      <c r="I7784" s="355"/>
      <c r="J7784" s="355"/>
      <c r="K7784" s="355"/>
      <c r="L7784" s="355"/>
      <c r="M7784" s="355"/>
    </row>
    <row r="7785" spans="5:13">
      <c r="E7785" s="355"/>
      <c r="F7785" s="355"/>
      <c r="G7785" s="355"/>
      <c r="H7785" s="355"/>
      <c r="I7785" s="355"/>
      <c r="J7785" s="355"/>
      <c r="K7785" s="355"/>
      <c r="L7785" s="355"/>
      <c r="M7785" s="355"/>
    </row>
    <row r="7786" spans="5:13">
      <c r="E7786" s="355"/>
      <c r="F7786" s="355"/>
      <c r="G7786" s="355"/>
      <c r="H7786" s="355"/>
      <c r="I7786" s="355"/>
      <c r="J7786" s="355"/>
      <c r="K7786" s="355"/>
      <c r="L7786" s="355"/>
      <c r="M7786" s="355"/>
    </row>
    <row r="7787" spans="5:13">
      <c r="E7787" s="355"/>
      <c r="F7787" s="355"/>
      <c r="G7787" s="355"/>
      <c r="H7787" s="355"/>
      <c r="I7787" s="355"/>
      <c r="J7787" s="355"/>
      <c r="K7787" s="355"/>
      <c r="L7787" s="355"/>
      <c r="M7787" s="355"/>
    </row>
    <row r="7788" spans="5:13">
      <c r="E7788" s="355"/>
      <c r="F7788" s="355"/>
      <c r="G7788" s="355"/>
      <c r="H7788" s="355"/>
      <c r="I7788" s="355"/>
      <c r="J7788" s="355"/>
      <c r="K7788" s="355"/>
      <c r="L7788" s="355"/>
      <c r="M7788" s="355"/>
    </row>
    <row r="7789" spans="5:13">
      <c r="E7789" s="355"/>
      <c r="F7789" s="355"/>
      <c r="G7789" s="355"/>
      <c r="H7789" s="355"/>
      <c r="I7789" s="355"/>
      <c r="J7789" s="355"/>
      <c r="K7789" s="355"/>
      <c r="L7789" s="355"/>
      <c r="M7789" s="355"/>
    </row>
    <row r="7790" spans="5:13">
      <c r="E7790" s="355"/>
      <c r="F7790" s="355"/>
      <c r="G7790" s="355"/>
      <c r="H7790" s="355"/>
      <c r="I7790" s="355"/>
      <c r="J7790" s="355"/>
      <c r="K7790" s="355"/>
      <c r="L7790" s="355"/>
      <c r="M7790" s="355"/>
    </row>
    <row r="7791" spans="5:13">
      <c r="E7791" s="355"/>
      <c r="F7791" s="355"/>
      <c r="G7791" s="355"/>
      <c r="H7791" s="355"/>
      <c r="I7791" s="355"/>
      <c r="J7791" s="355"/>
      <c r="K7791" s="355"/>
      <c r="L7791" s="355"/>
      <c r="M7791" s="355"/>
    </row>
    <row r="7792" spans="5:13">
      <c r="E7792" s="355"/>
      <c r="F7792" s="355"/>
      <c r="G7792" s="355"/>
      <c r="H7792" s="355"/>
      <c r="I7792" s="355"/>
      <c r="J7792" s="355"/>
      <c r="K7792" s="355"/>
      <c r="L7792" s="355"/>
      <c r="M7792" s="355"/>
    </row>
    <row r="7793" spans="5:13">
      <c r="E7793" s="355"/>
      <c r="F7793" s="355"/>
      <c r="G7793" s="355"/>
      <c r="H7793" s="355"/>
      <c r="I7793" s="355"/>
      <c r="J7793" s="355"/>
      <c r="K7793" s="355"/>
      <c r="L7793" s="355"/>
      <c r="M7793" s="355"/>
    </row>
    <row r="7794" spans="5:13">
      <c r="E7794" s="355"/>
      <c r="F7794" s="355"/>
      <c r="G7794" s="355"/>
      <c r="H7794" s="355"/>
      <c r="I7794" s="355"/>
      <c r="J7794" s="355"/>
      <c r="K7794" s="355"/>
      <c r="L7794" s="355"/>
      <c r="M7794" s="355"/>
    </row>
    <row r="7795" spans="5:13">
      <c r="E7795" s="355"/>
      <c r="F7795" s="355"/>
      <c r="G7795" s="355"/>
      <c r="H7795" s="355"/>
      <c r="I7795" s="355"/>
      <c r="J7795" s="355"/>
      <c r="K7795" s="355"/>
      <c r="L7795" s="355"/>
      <c r="M7795" s="355"/>
    </row>
    <row r="7796" spans="5:13">
      <c r="E7796" s="355"/>
      <c r="F7796" s="355"/>
      <c r="G7796" s="355"/>
      <c r="H7796" s="355"/>
      <c r="I7796" s="355"/>
      <c r="J7796" s="355"/>
      <c r="K7796" s="355"/>
      <c r="L7796" s="355"/>
      <c r="M7796" s="355"/>
    </row>
    <row r="7797" spans="5:13">
      <c r="E7797" s="355"/>
      <c r="F7797" s="355"/>
      <c r="G7797" s="355"/>
      <c r="H7797" s="355"/>
      <c r="I7797" s="355"/>
      <c r="J7797" s="355"/>
      <c r="K7797" s="355"/>
      <c r="L7797" s="355"/>
      <c r="M7797" s="355"/>
    </row>
    <row r="7798" spans="5:13">
      <c r="E7798" s="355"/>
      <c r="F7798" s="355"/>
      <c r="G7798" s="355"/>
      <c r="H7798" s="355"/>
      <c r="I7798" s="355"/>
      <c r="J7798" s="355"/>
      <c r="K7798" s="355"/>
      <c r="L7798" s="355"/>
      <c r="M7798" s="355"/>
    </row>
    <row r="7799" spans="5:13">
      <c r="E7799" s="355"/>
      <c r="F7799" s="355"/>
      <c r="G7799" s="355"/>
      <c r="H7799" s="355"/>
      <c r="I7799" s="355"/>
      <c r="J7799" s="355"/>
      <c r="K7799" s="355"/>
      <c r="L7799" s="355"/>
      <c r="M7799" s="355"/>
    </row>
    <row r="7800" spans="5:13">
      <c r="E7800" s="355"/>
      <c r="F7800" s="355"/>
      <c r="G7800" s="355"/>
      <c r="H7800" s="355"/>
      <c r="I7800" s="355"/>
      <c r="J7800" s="355"/>
      <c r="K7800" s="355"/>
      <c r="L7800" s="355"/>
      <c r="M7800" s="355"/>
    </row>
    <row r="7801" spans="5:13">
      <c r="E7801" s="355"/>
      <c r="F7801" s="355"/>
      <c r="G7801" s="355"/>
      <c r="H7801" s="355"/>
      <c r="I7801" s="355"/>
      <c r="J7801" s="355"/>
      <c r="K7801" s="355"/>
      <c r="L7801" s="355"/>
      <c r="M7801" s="355"/>
    </row>
    <row r="7802" spans="5:13">
      <c r="E7802" s="355"/>
      <c r="F7802" s="355"/>
      <c r="G7802" s="355"/>
      <c r="H7802" s="355"/>
      <c r="I7802" s="355"/>
      <c r="J7802" s="355"/>
      <c r="K7802" s="355"/>
      <c r="L7802" s="355"/>
      <c r="M7802" s="355"/>
    </row>
    <row r="7803" spans="5:13">
      <c r="E7803" s="355"/>
      <c r="F7803" s="355"/>
      <c r="G7803" s="355"/>
      <c r="H7803" s="355"/>
      <c r="I7803" s="355"/>
      <c r="J7803" s="355"/>
      <c r="K7803" s="355"/>
      <c r="L7803" s="355"/>
      <c r="M7803" s="355"/>
    </row>
    <row r="7804" spans="5:13">
      <c r="E7804" s="355"/>
      <c r="F7804" s="355"/>
      <c r="G7804" s="355"/>
      <c r="H7804" s="355"/>
      <c r="I7804" s="355"/>
      <c r="J7804" s="355"/>
      <c r="K7804" s="355"/>
      <c r="L7804" s="355"/>
      <c r="M7804" s="355"/>
    </row>
    <row r="7805" spans="5:13">
      <c r="E7805" s="355"/>
      <c r="F7805" s="355"/>
      <c r="G7805" s="355"/>
      <c r="H7805" s="355"/>
      <c r="I7805" s="355"/>
      <c r="J7805" s="355"/>
      <c r="K7805" s="355"/>
      <c r="L7805" s="355"/>
      <c r="M7805" s="355"/>
    </row>
    <row r="7806" spans="5:13">
      <c r="E7806" s="355"/>
      <c r="F7806" s="355"/>
      <c r="G7806" s="355"/>
      <c r="H7806" s="355"/>
      <c r="I7806" s="355"/>
      <c r="J7806" s="355"/>
      <c r="K7806" s="355"/>
      <c r="L7806" s="355"/>
      <c r="M7806" s="355"/>
    </row>
    <row r="7807" spans="5:13">
      <c r="E7807" s="355"/>
      <c r="F7807" s="355"/>
      <c r="G7807" s="355"/>
      <c r="H7807" s="355"/>
      <c r="I7807" s="355"/>
      <c r="J7807" s="355"/>
      <c r="K7807" s="355"/>
      <c r="L7807" s="355"/>
      <c r="M7807" s="355"/>
    </row>
    <row r="7808" spans="5:13">
      <c r="E7808" s="355"/>
      <c r="F7808" s="355"/>
      <c r="G7808" s="355"/>
      <c r="H7808" s="355"/>
      <c r="I7808" s="355"/>
      <c r="J7808" s="355"/>
      <c r="K7808" s="355"/>
      <c r="L7808" s="355"/>
      <c r="M7808" s="355"/>
    </row>
    <row r="7809" spans="5:13">
      <c r="E7809" s="355"/>
      <c r="F7809" s="355"/>
      <c r="G7809" s="355"/>
      <c r="H7809" s="355"/>
      <c r="I7809" s="355"/>
      <c r="J7809" s="355"/>
      <c r="K7809" s="355"/>
      <c r="L7809" s="355"/>
      <c r="M7809" s="355"/>
    </row>
    <row r="7810" spans="5:13">
      <c r="E7810" s="355"/>
      <c r="F7810" s="355"/>
      <c r="G7810" s="355"/>
      <c r="H7810" s="355"/>
      <c r="I7810" s="355"/>
      <c r="J7810" s="355"/>
      <c r="K7810" s="355"/>
      <c r="L7810" s="355"/>
      <c r="M7810" s="355"/>
    </row>
    <row r="7811" spans="5:13">
      <c r="E7811" s="355"/>
      <c r="F7811" s="355"/>
      <c r="G7811" s="355"/>
      <c r="H7811" s="355"/>
      <c r="I7811" s="355"/>
      <c r="J7811" s="355"/>
      <c r="K7811" s="355"/>
      <c r="L7811" s="355"/>
      <c r="M7811" s="355"/>
    </row>
    <row r="7812" spans="5:13">
      <c r="E7812" s="355"/>
      <c r="F7812" s="355"/>
      <c r="G7812" s="355"/>
      <c r="H7812" s="355"/>
      <c r="I7812" s="355"/>
      <c r="J7812" s="355"/>
      <c r="K7812" s="355"/>
      <c r="L7812" s="355"/>
      <c r="M7812" s="355"/>
    </row>
    <row r="7813" spans="5:13">
      <c r="E7813" s="355"/>
      <c r="F7813" s="355"/>
      <c r="G7813" s="355"/>
      <c r="H7813" s="355"/>
      <c r="I7813" s="355"/>
      <c r="J7813" s="355"/>
      <c r="K7813" s="355"/>
      <c r="L7813" s="355"/>
      <c r="M7813" s="355"/>
    </row>
    <row r="7814" spans="5:13">
      <c r="E7814" s="355"/>
      <c r="F7814" s="355"/>
      <c r="G7814" s="355"/>
      <c r="H7814" s="355"/>
      <c r="I7814" s="355"/>
      <c r="J7814" s="355"/>
      <c r="K7814" s="355"/>
      <c r="L7814" s="355"/>
      <c r="M7814" s="355"/>
    </row>
    <row r="7815" spans="5:13">
      <c r="E7815" s="355"/>
      <c r="F7815" s="355"/>
      <c r="G7815" s="355"/>
      <c r="H7815" s="355"/>
      <c r="I7815" s="355"/>
      <c r="J7815" s="355"/>
      <c r="K7815" s="355"/>
      <c r="L7815" s="355"/>
      <c r="M7815" s="355"/>
    </row>
    <row r="7816" spans="5:13">
      <c r="E7816" s="355"/>
      <c r="F7816" s="355"/>
      <c r="G7816" s="355"/>
      <c r="H7816" s="355"/>
      <c r="I7816" s="355"/>
      <c r="J7816" s="355"/>
      <c r="K7816" s="355"/>
      <c r="L7816" s="355"/>
      <c r="M7816" s="355"/>
    </row>
    <row r="7817" spans="5:13">
      <c r="E7817" s="355"/>
      <c r="F7817" s="355"/>
      <c r="G7817" s="355"/>
      <c r="H7817" s="355"/>
      <c r="I7817" s="355"/>
      <c r="J7817" s="355"/>
      <c r="K7817" s="355"/>
      <c r="L7817" s="355"/>
      <c r="M7817" s="355"/>
    </row>
    <row r="7818" spans="5:13">
      <c r="E7818" s="355"/>
      <c r="F7818" s="355"/>
      <c r="G7818" s="355"/>
      <c r="H7818" s="355"/>
      <c r="I7818" s="355"/>
      <c r="J7818" s="355"/>
      <c r="K7818" s="355"/>
      <c r="L7818" s="355"/>
      <c r="M7818" s="355"/>
    </row>
    <row r="7819" spans="5:13">
      <c r="E7819" s="355"/>
      <c r="F7819" s="355"/>
      <c r="G7819" s="355"/>
      <c r="H7819" s="355"/>
      <c r="I7819" s="355"/>
      <c r="J7819" s="355"/>
      <c r="K7819" s="355"/>
      <c r="L7819" s="355"/>
      <c r="M7819" s="355"/>
    </row>
    <row r="7820" spans="5:13">
      <c r="E7820" s="355"/>
      <c r="F7820" s="355"/>
      <c r="G7820" s="355"/>
      <c r="H7820" s="355"/>
      <c r="I7820" s="355"/>
      <c r="J7820" s="355"/>
      <c r="K7820" s="355"/>
      <c r="L7820" s="355"/>
      <c r="M7820" s="355"/>
    </row>
    <row r="7821" spans="5:13">
      <c r="E7821" s="355"/>
      <c r="F7821" s="355"/>
      <c r="G7821" s="355"/>
      <c r="H7821" s="355"/>
      <c r="I7821" s="355"/>
      <c r="J7821" s="355"/>
      <c r="K7821" s="355"/>
      <c r="L7821" s="355"/>
      <c r="M7821" s="355"/>
    </row>
    <row r="7822" spans="5:13">
      <c r="E7822" s="355"/>
      <c r="F7822" s="355"/>
      <c r="G7822" s="355"/>
      <c r="H7822" s="355"/>
      <c r="I7822" s="355"/>
      <c r="J7822" s="355"/>
      <c r="K7822" s="355"/>
      <c r="L7822" s="355"/>
      <c r="M7822" s="355"/>
    </row>
    <row r="7823" spans="5:13">
      <c r="E7823" s="355"/>
      <c r="F7823" s="355"/>
      <c r="G7823" s="355"/>
      <c r="H7823" s="355"/>
      <c r="I7823" s="355"/>
      <c r="J7823" s="355"/>
      <c r="K7823" s="355"/>
      <c r="L7823" s="355"/>
      <c r="M7823" s="355"/>
    </row>
    <row r="7824" spans="5:13">
      <c r="E7824" s="355"/>
      <c r="F7824" s="355"/>
      <c r="G7824" s="355"/>
      <c r="H7824" s="355"/>
      <c r="I7824" s="355"/>
      <c r="J7824" s="355"/>
      <c r="K7824" s="355"/>
      <c r="L7824" s="355"/>
      <c r="M7824" s="355"/>
    </row>
    <row r="7825" spans="5:13">
      <c r="E7825" s="355"/>
      <c r="F7825" s="355"/>
      <c r="G7825" s="355"/>
      <c r="H7825" s="355"/>
      <c r="I7825" s="355"/>
      <c r="J7825" s="355"/>
      <c r="K7825" s="355"/>
      <c r="L7825" s="355"/>
      <c r="M7825" s="355"/>
    </row>
    <row r="7826" spans="5:13">
      <c r="E7826" s="355"/>
      <c r="F7826" s="355"/>
      <c r="G7826" s="355"/>
      <c r="H7826" s="355"/>
      <c r="I7826" s="355"/>
      <c r="J7826" s="355"/>
      <c r="K7826" s="355"/>
      <c r="L7826" s="355"/>
      <c r="M7826" s="355"/>
    </row>
    <row r="7827" spans="5:13">
      <c r="E7827" s="355"/>
      <c r="F7827" s="355"/>
      <c r="G7827" s="355"/>
      <c r="H7827" s="355"/>
      <c r="I7827" s="355"/>
      <c r="J7827" s="355"/>
      <c r="K7827" s="355"/>
      <c r="L7827" s="355"/>
      <c r="M7827" s="355"/>
    </row>
    <row r="7828" spans="5:13">
      <c r="E7828" s="355"/>
      <c r="F7828" s="355"/>
      <c r="G7828" s="355"/>
      <c r="H7828" s="355"/>
      <c r="I7828" s="355"/>
      <c r="J7828" s="355"/>
      <c r="K7828" s="355"/>
      <c r="L7828" s="355"/>
      <c r="M7828" s="355"/>
    </row>
    <row r="7829" spans="5:13">
      <c r="E7829" s="355"/>
      <c r="F7829" s="355"/>
      <c r="G7829" s="355"/>
      <c r="H7829" s="355"/>
      <c r="I7829" s="355"/>
      <c r="J7829" s="355"/>
      <c r="K7829" s="355"/>
      <c r="L7829" s="355"/>
      <c r="M7829" s="355"/>
    </row>
    <row r="7830" spans="5:13">
      <c r="E7830" s="355"/>
      <c r="F7830" s="355"/>
      <c r="G7830" s="355"/>
      <c r="H7830" s="355"/>
      <c r="I7830" s="355"/>
      <c r="J7830" s="355"/>
      <c r="K7830" s="355"/>
      <c r="L7830" s="355"/>
      <c r="M7830" s="355"/>
    </row>
    <row r="7831" spans="5:13">
      <c r="E7831" s="355"/>
      <c r="F7831" s="355"/>
      <c r="G7831" s="355"/>
      <c r="H7831" s="355"/>
      <c r="I7831" s="355"/>
      <c r="J7831" s="355"/>
      <c r="K7831" s="355"/>
      <c r="L7831" s="355"/>
      <c r="M7831" s="355"/>
    </row>
    <row r="7832" spans="5:13">
      <c r="E7832" s="355"/>
      <c r="F7832" s="355"/>
      <c r="G7832" s="355"/>
      <c r="H7832" s="355"/>
      <c r="I7832" s="355"/>
      <c r="J7832" s="355"/>
      <c r="K7832" s="355"/>
      <c r="L7832" s="355"/>
      <c r="M7832" s="355"/>
    </row>
    <row r="7833" spans="5:13">
      <c r="E7833" s="355"/>
      <c r="F7833" s="355"/>
      <c r="G7833" s="355"/>
      <c r="H7833" s="355"/>
      <c r="I7833" s="355"/>
      <c r="J7833" s="355"/>
      <c r="K7833" s="355"/>
      <c r="L7833" s="355"/>
      <c r="M7833" s="355"/>
    </row>
    <row r="7834" spans="5:13">
      <c r="E7834" s="355"/>
      <c r="F7834" s="355"/>
      <c r="G7834" s="355"/>
      <c r="H7834" s="355"/>
      <c r="I7834" s="355"/>
      <c r="J7834" s="355"/>
      <c r="K7834" s="355"/>
      <c r="L7834" s="355"/>
      <c r="M7834" s="355"/>
    </row>
    <row r="7835" spans="5:13">
      <c r="E7835" s="355"/>
      <c r="F7835" s="355"/>
      <c r="G7835" s="355"/>
      <c r="H7835" s="355"/>
      <c r="I7835" s="355"/>
      <c r="J7835" s="355"/>
      <c r="K7835" s="355"/>
      <c r="L7835" s="355"/>
      <c r="M7835" s="355"/>
    </row>
    <row r="7836" spans="5:13">
      <c r="E7836" s="355"/>
      <c r="F7836" s="355"/>
      <c r="G7836" s="355"/>
      <c r="H7836" s="355"/>
      <c r="I7836" s="355"/>
      <c r="J7836" s="355"/>
      <c r="K7836" s="355"/>
      <c r="L7836" s="355"/>
      <c r="M7836" s="355"/>
    </row>
    <row r="7837" spans="5:13">
      <c r="E7837" s="355"/>
      <c r="F7837" s="355"/>
      <c r="G7837" s="355"/>
      <c r="H7837" s="355"/>
      <c r="I7837" s="355"/>
      <c r="J7837" s="355"/>
      <c r="K7837" s="355"/>
      <c r="L7837" s="355"/>
      <c r="M7837" s="355"/>
    </row>
    <row r="7838" spans="5:13">
      <c r="E7838" s="355"/>
      <c r="F7838" s="355"/>
      <c r="G7838" s="355"/>
      <c r="H7838" s="355"/>
      <c r="I7838" s="355"/>
      <c r="J7838" s="355"/>
      <c r="K7838" s="355"/>
      <c r="L7838" s="355"/>
      <c r="M7838" s="355"/>
    </row>
    <row r="7839" spans="5:13">
      <c r="E7839" s="355"/>
      <c r="F7839" s="355"/>
      <c r="G7839" s="355"/>
      <c r="H7839" s="355"/>
      <c r="I7839" s="355"/>
      <c r="J7839" s="355"/>
      <c r="K7839" s="355"/>
      <c r="L7839" s="355"/>
      <c r="M7839" s="355"/>
    </row>
    <row r="7840" spans="5:13">
      <c r="E7840" s="355"/>
      <c r="F7840" s="355"/>
      <c r="G7840" s="355"/>
      <c r="H7840" s="355"/>
      <c r="I7840" s="355"/>
      <c r="J7840" s="355"/>
      <c r="K7840" s="355"/>
      <c r="L7840" s="355"/>
      <c r="M7840" s="355"/>
    </row>
    <row r="7841" spans="5:13">
      <c r="E7841" s="355"/>
      <c r="F7841" s="355"/>
      <c r="G7841" s="355"/>
      <c r="H7841" s="355"/>
      <c r="I7841" s="355"/>
      <c r="J7841" s="355"/>
      <c r="K7841" s="355"/>
      <c r="L7841" s="355"/>
      <c r="M7841" s="355"/>
    </row>
    <row r="7842" spans="5:13">
      <c r="E7842" s="355"/>
      <c r="F7842" s="355"/>
      <c r="G7842" s="355"/>
      <c r="H7842" s="355"/>
      <c r="I7842" s="355"/>
      <c r="J7842" s="355"/>
      <c r="K7842" s="355"/>
      <c r="L7842" s="355"/>
      <c r="M7842" s="355"/>
    </row>
    <row r="7843" spans="5:13">
      <c r="E7843" s="355"/>
      <c r="F7843" s="355"/>
      <c r="G7843" s="355"/>
      <c r="H7843" s="355"/>
      <c r="I7843" s="355"/>
      <c r="J7843" s="355"/>
      <c r="K7843" s="355"/>
      <c r="L7843" s="355"/>
      <c r="M7843" s="355"/>
    </row>
    <row r="7844" spans="5:13">
      <c r="E7844" s="355"/>
      <c r="F7844" s="355"/>
      <c r="G7844" s="355"/>
      <c r="H7844" s="355"/>
      <c r="I7844" s="355"/>
      <c r="J7844" s="355"/>
      <c r="K7844" s="355"/>
      <c r="L7844" s="355"/>
      <c r="M7844" s="355"/>
    </row>
    <row r="7845" spans="5:13">
      <c r="E7845" s="355"/>
      <c r="F7845" s="355"/>
      <c r="G7845" s="355"/>
      <c r="H7845" s="355"/>
      <c r="I7845" s="355"/>
      <c r="J7845" s="355"/>
      <c r="K7845" s="355"/>
      <c r="L7845" s="355"/>
      <c r="M7845" s="355"/>
    </row>
    <row r="7846" spans="5:13">
      <c r="E7846" s="355"/>
      <c r="F7846" s="355"/>
      <c r="G7846" s="355"/>
      <c r="H7846" s="355"/>
      <c r="I7846" s="355"/>
      <c r="J7846" s="355"/>
      <c r="K7846" s="355"/>
      <c r="L7846" s="355"/>
      <c r="M7846" s="355"/>
    </row>
    <row r="7847" spans="5:13">
      <c r="E7847" s="355"/>
      <c r="F7847" s="355"/>
      <c r="G7847" s="355"/>
      <c r="H7847" s="355"/>
      <c r="I7847" s="355"/>
      <c r="J7847" s="355"/>
      <c r="K7847" s="355"/>
      <c r="L7847" s="355"/>
      <c r="M7847" s="355"/>
    </row>
    <row r="7848" spans="5:13">
      <c r="E7848" s="355"/>
      <c r="F7848" s="355"/>
      <c r="G7848" s="355"/>
      <c r="H7848" s="355"/>
      <c r="I7848" s="355"/>
      <c r="J7848" s="355"/>
      <c r="K7848" s="355"/>
      <c r="L7848" s="355"/>
      <c r="M7848" s="355"/>
    </row>
    <row r="7849" spans="5:13">
      <c r="E7849" s="355"/>
      <c r="F7849" s="355"/>
      <c r="G7849" s="355"/>
      <c r="H7849" s="355"/>
      <c r="I7849" s="355"/>
      <c r="J7849" s="355"/>
      <c r="K7849" s="355"/>
      <c r="L7849" s="355"/>
      <c r="M7849" s="355"/>
    </row>
    <row r="7850" spans="5:13">
      <c r="E7850" s="355"/>
      <c r="F7850" s="355"/>
      <c r="G7850" s="355"/>
      <c r="H7850" s="355"/>
      <c r="I7850" s="355"/>
      <c r="J7850" s="355"/>
      <c r="K7850" s="355"/>
      <c r="L7850" s="355"/>
      <c r="M7850" s="355"/>
    </row>
    <row r="7851" spans="5:13">
      <c r="E7851" s="355"/>
      <c r="F7851" s="355"/>
      <c r="G7851" s="355"/>
      <c r="H7851" s="355"/>
      <c r="I7851" s="355"/>
      <c r="J7851" s="355"/>
      <c r="K7851" s="355"/>
      <c r="L7851" s="355"/>
      <c r="M7851" s="355"/>
    </row>
    <row r="7852" spans="5:13">
      <c r="E7852" s="355"/>
      <c r="F7852" s="355"/>
      <c r="G7852" s="355"/>
      <c r="H7852" s="355"/>
      <c r="I7852" s="355"/>
      <c r="J7852" s="355"/>
      <c r="K7852" s="355"/>
      <c r="L7852" s="355"/>
      <c r="M7852" s="355"/>
    </row>
    <row r="7853" spans="5:13">
      <c r="E7853" s="355"/>
      <c r="F7853" s="355"/>
      <c r="G7853" s="355"/>
      <c r="H7853" s="355"/>
      <c r="I7853" s="355"/>
      <c r="J7853" s="355"/>
      <c r="K7853" s="355"/>
      <c r="L7853" s="355"/>
      <c r="M7853" s="355"/>
    </row>
    <row r="7854" spans="5:13">
      <c r="E7854" s="355"/>
      <c r="F7854" s="355"/>
      <c r="G7854" s="355"/>
      <c r="H7854" s="355"/>
      <c r="I7854" s="355"/>
      <c r="J7854" s="355"/>
      <c r="K7854" s="355"/>
      <c r="L7854" s="355"/>
      <c r="M7854" s="355"/>
    </row>
    <row r="7855" spans="5:13">
      <c r="E7855" s="355"/>
      <c r="F7855" s="355"/>
      <c r="G7855" s="355"/>
      <c r="H7855" s="355"/>
      <c r="I7855" s="355"/>
      <c r="J7855" s="355"/>
      <c r="K7855" s="355"/>
      <c r="L7855" s="355"/>
      <c r="M7855" s="355"/>
    </row>
    <row r="7856" spans="5:13">
      <c r="E7856" s="355"/>
      <c r="F7856" s="355"/>
      <c r="G7856" s="355"/>
      <c r="H7856" s="355"/>
      <c r="I7856" s="355"/>
      <c r="J7856" s="355"/>
      <c r="K7856" s="355"/>
      <c r="L7856" s="355"/>
      <c r="M7856" s="355"/>
    </row>
    <row r="7857" spans="5:13">
      <c r="E7857" s="355"/>
      <c r="F7857" s="355"/>
      <c r="G7857" s="355"/>
      <c r="H7857" s="355"/>
      <c r="I7857" s="355"/>
      <c r="J7857" s="355"/>
      <c r="K7857" s="355"/>
      <c r="L7857" s="355"/>
      <c r="M7857" s="355"/>
    </row>
    <row r="7858" spans="5:13">
      <c r="E7858" s="355"/>
      <c r="F7858" s="355"/>
      <c r="G7858" s="355"/>
      <c r="H7858" s="355"/>
      <c r="I7858" s="355"/>
      <c r="J7858" s="355"/>
      <c r="K7858" s="355"/>
      <c r="L7858" s="355"/>
      <c r="M7858" s="355"/>
    </row>
    <row r="7859" spans="5:13">
      <c r="E7859" s="355"/>
      <c r="F7859" s="355"/>
      <c r="G7859" s="355"/>
      <c r="H7859" s="355"/>
      <c r="I7859" s="355"/>
      <c r="J7859" s="355"/>
      <c r="K7859" s="355"/>
      <c r="L7859" s="355"/>
      <c r="M7859" s="355"/>
    </row>
    <row r="7860" spans="5:13">
      <c r="E7860" s="355"/>
      <c r="F7860" s="355"/>
      <c r="G7860" s="355"/>
      <c r="H7860" s="355"/>
      <c r="I7860" s="355"/>
      <c r="J7860" s="355"/>
      <c r="K7860" s="355"/>
      <c r="L7860" s="355"/>
      <c r="M7860" s="355"/>
    </row>
    <row r="7861" spans="5:13">
      <c r="E7861" s="355"/>
      <c r="F7861" s="355"/>
      <c r="G7861" s="355"/>
      <c r="H7861" s="355"/>
      <c r="I7861" s="355"/>
      <c r="J7861" s="355"/>
      <c r="K7861" s="355"/>
      <c r="L7861" s="355"/>
      <c r="M7861" s="355"/>
    </row>
    <row r="7862" spans="5:13">
      <c r="E7862" s="355"/>
      <c r="F7862" s="355"/>
      <c r="G7862" s="355"/>
      <c r="H7862" s="355"/>
      <c r="I7862" s="355"/>
      <c r="J7862" s="355"/>
      <c r="K7862" s="355"/>
      <c r="L7862" s="355"/>
      <c r="M7862" s="355"/>
    </row>
    <row r="7863" spans="5:13">
      <c r="E7863" s="355"/>
      <c r="F7863" s="355"/>
      <c r="G7863" s="355"/>
      <c r="H7863" s="355"/>
      <c r="I7863" s="355"/>
      <c r="J7863" s="355"/>
      <c r="K7863" s="355"/>
      <c r="L7863" s="355"/>
      <c r="M7863" s="355"/>
    </row>
    <row r="7864" spans="5:13">
      <c r="E7864" s="355"/>
      <c r="F7864" s="355"/>
      <c r="G7864" s="355"/>
      <c r="H7864" s="355"/>
      <c r="I7864" s="355"/>
      <c r="J7864" s="355"/>
      <c r="K7864" s="355"/>
      <c r="L7864" s="355"/>
      <c r="M7864" s="355"/>
    </row>
    <row r="7865" spans="5:13">
      <c r="E7865" s="355"/>
      <c r="F7865" s="355"/>
      <c r="G7865" s="355"/>
      <c r="H7865" s="355"/>
      <c r="I7865" s="355"/>
      <c r="J7865" s="355"/>
      <c r="K7865" s="355"/>
      <c r="L7865" s="355"/>
      <c r="M7865" s="355"/>
    </row>
    <row r="7866" spans="5:13">
      <c r="E7866" s="355"/>
      <c r="F7866" s="355"/>
      <c r="G7866" s="355"/>
      <c r="H7866" s="355"/>
      <c r="I7866" s="355"/>
      <c r="J7866" s="355"/>
      <c r="K7866" s="355"/>
      <c r="L7866" s="355"/>
      <c r="M7866" s="355"/>
    </row>
    <row r="7867" spans="5:13">
      <c r="E7867" s="355"/>
      <c r="F7867" s="355"/>
      <c r="G7867" s="355"/>
      <c r="H7867" s="355"/>
      <c r="I7867" s="355"/>
      <c r="J7867" s="355"/>
      <c r="K7867" s="355"/>
      <c r="L7867" s="355"/>
      <c r="M7867" s="355"/>
    </row>
    <row r="7868" spans="5:13">
      <c r="E7868" s="355"/>
      <c r="F7868" s="355"/>
      <c r="G7868" s="355"/>
      <c r="H7868" s="355"/>
      <c r="I7868" s="355"/>
      <c r="J7868" s="355"/>
      <c r="K7868" s="355"/>
      <c r="L7868" s="355"/>
      <c r="M7868" s="355"/>
    </row>
    <row r="7869" spans="5:13">
      <c r="E7869" s="355"/>
      <c r="F7869" s="355"/>
      <c r="G7869" s="355"/>
      <c r="H7869" s="355"/>
      <c r="I7869" s="355"/>
      <c r="J7869" s="355"/>
      <c r="K7869" s="355"/>
      <c r="L7869" s="355"/>
      <c r="M7869" s="355"/>
    </row>
    <row r="7870" spans="5:13">
      <c r="E7870" s="355"/>
      <c r="F7870" s="355"/>
      <c r="G7870" s="355"/>
      <c r="H7870" s="355"/>
      <c r="I7870" s="355"/>
      <c r="J7870" s="355"/>
      <c r="K7870" s="355"/>
      <c r="L7870" s="355"/>
      <c r="M7870" s="355"/>
    </row>
    <row r="7871" spans="5:13">
      <c r="E7871" s="355"/>
      <c r="F7871" s="355"/>
      <c r="G7871" s="355"/>
      <c r="H7871" s="355"/>
      <c r="I7871" s="355"/>
      <c r="J7871" s="355"/>
      <c r="K7871" s="355"/>
      <c r="L7871" s="355"/>
      <c r="M7871" s="355"/>
    </row>
    <row r="7872" spans="5:13">
      <c r="E7872" s="355"/>
      <c r="F7872" s="355"/>
      <c r="G7872" s="355"/>
      <c r="H7872" s="355"/>
      <c r="I7872" s="355"/>
      <c r="J7872" s="355"/>
      <c r="K7872" s="355"/>
      <c r="L7872" s="355"/>
      <c r="M7872" s="355"/>
    </row>
    <row r="7873" spans="5:13">
      <c r="E7873" s="355"/>
      <c r="F7873" s="355"/>
      <c r="G7873" s="355"/>
      <c r="H7873" s="355"/>
      <c r="I7873" s="355"/>
      <c r="J7873" s="355"/>
      <c r="K7873" s="355"/>
      <c r="L7873" s="355"/>
      <c r="M7873" s="355"/>
    </row>
    <row r="7874" spans="5:13">
      <c r="E7874" s="355"/>
      <c r="F7874" s="355"/>
      <c r="G7874" s="355"/>
      <c r="H7874" s="355"/>
      <c r="I7874" s="355"/>
      <c r="J7874" s="355"/>
      <c r="K7874" s="355"/>
      <c r="L7874" s="355"/>
      <c r="M7874" s="355"/>
    </row>
    <row r="7875" spans="5:13">
      <c r="E7875" s="355"/>
      <c r="F7875" s="355"/>
      <c r="G7875" s="355"/>
      <c r="H7875" s="355"/>
      <c r="I7875" s="355"/>
      <c r="J7875" s="355"/>
      <c r="K7875" s="355"/>
      <c r="L7875" s="355"/>
      <c r="M7875" s="355"/>
    </row>
    <row r="7876" spans="5:13">
      <c r="E7876" s="355"/>
      <c r="F7876" s="355"/>
      <c r="G7876" s="355"/>
      <c r="H7876" s="355"/>
      <c r="I7876" s="355"/>
      <c r="J7876" s="355"/>
      <c r="K7876" s="355"/>
      <c r="L7876" s="355"/>
      <c r="M7876" s="355"/>
    </row>
    <row r="7877" spans="5:13">
      <c r="E7877" s="355"/>
      <c r="F7877" s="355"/>
      <c r="G7877" s="355"/>
      <c r="H7877" s="355"/>
      <c r="I7877" s="355"/>
      <c r="J7877" s="355"/>
      <c r="K7877" s="355"/>
      <c r="L7877" s="355"/>
      <c r="M7877" s="355"/>
    </row>
    <row r="7878" spans="5:13">
      <c r="E7878" s="355"/>
      <c r="F7878" s="355"/>
      <c r="G7878" s="355"/>
      <c r="H7878" s="355"/>
      <c r="I7878" s="355"/>
      <c r="J7878" s="355"/>
      <c r="K7878" s="355"/>
      <c r="L7878" s="355"/>
      <c r="M7878" s="355"/>
    </row>
    <row r="7879" spans="5:13">
      <c r="E7879" s="355"/>
      <c r="F7879" s="355"/>
      <c r="G7879" s="355"/>
      <c r="H7879" s="355"/>
      <c r="I7879" s="355"/>
      <c r="J7879" s="355"/>
      <c r="K7879" s="355"/>
      <c r="L7879" s="355"/>
      <c r="M7879" s="355"/>
    </row>
    <row r="7880" spans="5:13">
      <c r="E7880" s="355"/>
      <c r="F7880" s="355"/>
      <c r="G7880" s="355"/>
      <c r="H7880" s="355"/>
      <c r="I7880" s="355"/>
      <c r="J7880" s="355"/>
      <c r="K7880" s="355"/>
      <c r="L7880" s="355"/>
      <c r="M7880" s="355"/>
    </row>
    <row r="7881" spans="5:13">
      <c r="E7881" s="355"/>
      <c r="F7881" s="355"/>
      <c r="G7881" s="355"/>
      <c r="H7881" s="355"/>
      <c r="I7881" s="355"/>
      <c r="J7881" s="355"/>
      <c r="K7881" s="355"/>
      <c r="L7881" s="355"/>
      <c r="M7881" s="355"/>
    </row>
    <row r="7882" spans="5:13">
      <c r="E7882" s="355"/>
      <c r="F7882" s="355"/>
      <c r="G7882" s="355"/>
      <c r="H7882" s="355"/>
      <c r="I7882" s="355"/>
      <c r="J7882" s="355"/>
      <c r="K7882" s="355"/>
      <c r="L7882" s="355"/>
      <c r="M7882" s="355"/>
    </row>
    <row r="7883" spans="5:13">
      <c r="E7883" s="355"/>
      <c r="F7883" s="355"/>
      <c r="G7883" s="355"/>
      <c r="H7883" s="355"/>
      <c r="I7883" s="355"/>
      <c r="J7883" s="355"/>
      <c r="K7883" s="355"/>
      <c r="L7883" s="355"/>
      <c r="M7883" s="355"/>
    </row>
    <row r="7884" spans="5:13">
      <c r="E7884" s="355"/>
      <c r="F7884" s="355"/>
      <c r="G7884" s="355"/>
      <c r="H7884" s="355"/>
      <c r="I7884" s="355"/>
      <c r="J7884" s="355"/>
      <c r="K7884" s="355"/>
      <c r="L7884" s="355"/>
      <c r="M7884" s="355"/>
    </row>
    <row r="7885" spans="5:13">
      <c r="E7885" s="355"/>
      <c r="F7885" s="355"/>
      <c r="G7885" s="355"/>
      <c r="H7885" s="355"/>
      <c r="I7885" s="355"/>
      <c r="J7885" s="355"/>
      <c r="K7885" s="355"/>
      <c r="L7885" s="355"/>
      <c r="M7885" s="355"/>
    </row>
    <row r="7886" spans="5:13">
      <c r="E7886" s="355"/>
      <c r="F7886" s="355"/>
      <c r="G7886" s="355"/>
      <c r="H7886" s="355"/>
      <c r="I7886" s="355"/>
      <c r="J7886" s="355"/>
      <c r="K7886" s="355"/>
      <c r="L7886" s="355"/>
      <c r="M7886" s="355"/>
    </row>
    <row r="7887" spans="5:13">
      <c r="E7887" s="355"/>
      <c r="F7887" s="355"/>
      <c r="G7887" s="355"/>
      <c r="H7887" s="355"/>
      <c r="I7887" s="355"/>
      <c r="J7887" s="355"/>
      <c r="K7887" s="355"/>
      <c r="L7887" s="355"/>
      <c r="M7887" s="355"/>
    </row>
    <row r="7888" spans="5:13">
      <c r="E7888" s="355"/>
      <c r="F7888" s="355"/>
      <c r="G7888" s="355"/>
      <c r="H7888" s="355"/>
      <c r="I7888" s="355"/>
      <c r="J7888" s="355"/>
      <c r="K7888" s="355"/>
      <c r="L7888" s="355"/>
      <c r="M7888" s="355"/>
    </row>
    <row r="7889" spans="5:13">
      <c r="E7889" s="355"/>
      <c r="F7889" s="355"/>
      <c r="G7889" s="355"/>
      <c r="H7889" s="355"/>
      <c r="I7889" s="355"/>
      <c r="J7889" s="355"/>
      <c r="K7889" s="355"/>
      <c r="L7889" s="355"/>
      <c r="M7889" s="355"/>
    </row>
    <row r="7890" spans="5:13">
      <c r="E7890" s="355"/>
      <c r="F7890" s="355"/>
      <c r="G7890" s="355"/>
      <c r="H7890" s="355"/>
      <c r="I7890" s="355"/>
      <c r="J7890" s="355"/>
      <c r="K7890" s="355"/>
      <c r="L7890" s="355"/>
      <c r="M7890" s="355"/>
    </row>
    <row r="7891" spans="5:13">
      <c r="E7891" s="355"/>
      <c r="F7891" s="355"/>
      <c r="G7891" s="355"/>
      <c r="H7891" s="355"/>
      <c r="I7891" s="355"/>
      <c r="J7891" s="355"/>
      <c r="K7891" s="355"/>
      <c r="L7891" s="355"/>
      <c r="M7891" s="355"/>
    </row>
    <row r="7892" spans="5:13">
      <c r="E7892" s="355"/>
      <c r="F7892" s="355"/>
      <c r="G7892" s="355"/>
      <c r="H7892" s="355"/>
      <c r="I7892" s="355"/>
      <c r="J7892" s="355"/>
      <c r="K7892" s="355"/>
      <c r="L7892" s="355"/>
      <c r="M7892" s="355"/>
    </row>
    <row r="7893" spans="5:13">
      <c r="E7893" s="355"/>
      <c r="F7893" s="355"/>
      <c r="G7893" s="355"/>
      <c r="H7893" s="355"/>
      <c r="I7893" s="355"/>
      <c r="J7893" s="355"/>
      <c r="K7893" s="355"/>
      <c r="L7893" s="355"/>
      <c r="M7893" s="355"/>
    </row>
    <row r="7894" spans="5:13">
      <c r="E7894" s="355"/>
      <c r="F7894" s="355"/>
      <c r="G7894" s="355"/>
      <c r="H7894" s="355"/>
      <c r="I7894" s="355"/>
      <c r="J7894" s="355"/>
      <c r="K7894" s="355"/>
      <c r="L7894" s="355"/>
      <c r="M7894" s="355"/>
    </row>
    <row r="7895" spans="5:13">
      <c r="E7895" s="355"/>
      <c r="F7895" s="355"/>
      <c r="G7895" s="355"/>
      <c r="H7895" s="355"/>
      <c r="I7895" s="355"/>
      <c r="J7895" s="355"/>
      <c r="K7895" s="355"/>
      <c r="L7895" s="355"/>
      <c r="M7895" s="355"/>
    </row>
    <row r="7896" spans="5:13">
      <c r="E7896" s="355"/>
      <c r="F7896" s="355"/>
      <c r="G7896" s="355"/>
      <c r="H7896" s="355"/>
      <c r="I7896" s="355"/>
      <c r="J7896" s="355"/>
      <c r="K7896" s="355"/>
      <c r="L7896" s="355"/>
      <c r="M7896" s="355"/>
    </row>
    <row r="7897" spans="5:13">
      <c r="E7897" s="355"/>
      <c r="F7897" s="355"/>
      <c r="G7897" s="355"/>
      <c r="H7897" s="355"/>
      <c r="I7897" s="355"/>
      <c r="J7897" s="355"/>
      <c r="K7897" s="355"/>
      <c r="L7897" s="355"/>
      <c r="M7897" s="355"/>
    </row>
    <row r="7898" spans="5:13">
      <c r="E7898" s="355"/>
      <c r="F7898" s="355"/>
      <c r="G7898" s="355"/>
      <c r="H7898" s="355"/>
      <c r="I7898" s="355"/>
      <c r="J7898" s="355"/>
      <c r="K7898" s="355"/>
      <c r="L7898" s="355"/>
      <c r="M7898" s="355"/>
    </row>
    <row r="7899" spans="5:13">
      <c r="E7899" s="355"/>
      <c r="F7899" s="355"/>
      <c r="G7899" s="355"/>
      <c r="H7899" s="355"/>
      <c r="I7899" s="355"/>
      <c r="J7899" s="355"/>
      <c r="K7899" s="355"/>
      <c r="L7899" s="355"/>
      <c r="M7899" s="355"/>
    </row>
    <row r="7900" spans="5:13">
      <c r="E7900" s="355"/>
      <c r="F7900" s="355"/>
      <c r="G7900" s="355"/>
      <c r="H7900" s="355"/>
      <c r="I7900" s="355"/>
      <c r="J7900" s="355"/>
      <c r="K7900" s="355"/>
      <c r="L7900" s="355"/>
      <c r="M7900" s="355"/>
    </row>
    <row r="7901" spans="5:13">
      <c r="E7901" s="355"/>
      <c r="F7901" s="355"/>
      <c r="G7901" s="355"/>
      <c r="H7901" s="355"/>
      <c r="I7901" s="355"/>
      <c r="J7901" s="355"/>
      <c r="K7901" s="355"/>
      <c r="L7901" s="355"/>
      <c r="M7901" s="355"/>
    </row>
    <row r="7902" spans="5:13">
      <c r="E7902" s="355"/>
      <c r="F7902" s="355"/>
      <c r="G7902" s="355"/>
      <c r="H7902" s="355"/>
      <c r="I7902" s="355"/>
      <c r="J7902" s="355"/>
      <c r="K7902" s="355"/>
      <c r="L7902" s="355"/>
      <c r="M7902" s="355"/>
    </row>
    <row r="7903" spans="5:13">
      <c r="E7903" s="355"/>
      <c r="F7903" s="355"/>
      <c r="G7903" s="355"/>
      <c r="H7903" s="355"/>
      <c r="I7903" s="355"/>
      <c r="J7903" s="355"/>
      <c r="K7903" s="355"/>
      <c r="L7903" s="355"/>
      <c r="M7903" s="355"/>
    </row>
    <row r="7904" spans="5:13">
      <c r="E7904" s="355"/>
      <c r="F7904" s="355"/>
      <c r="G7904" s="355"/>
      <c r="H7904" s="355"/>
      <c r="I7904" s="355"/>
      <c r="J7904" s="355"/>
      <c r="K7904" s="355"/>
      <c r="L7904" s="355"/>
      <c r="M7904" s="355"/>
    </row>
    <row r="7905" spans="8:8" s="182" customFormat="1">
      <c r="H7905" s="276"/>
    </row>
    <row r="7906" spans="8:8" s="182" customFormat="1">
      <c r="H7906" s="276"/>
    </row>
    <row r="7907" spans="8:8" s="182" customFormat="1">
      <c r="H7907" s="276"/>
    </row>
    <row r="7908" spans="8:8" s="182" customFormat="1">
      <c r="H7908" s="276"/>
    </row>
    <row r="7909" spans="8:8" s="182" customFormat="1">
      <c r="H7909" s="276"/>
    </row>
    <row r="7910" spans="8:8" s="182" customFormat="1">
      <c r="H7910" s="276"/>
    </row>
    <row r="7911" spans="8:8" s="182" customFormat="1">
      <c r="H7911" s="276"/>
    </row>
    <row r="7912" spans="8:8" s="182" customFormat="1">
      <c r="H7912" s="276"/>
    </row>
    <row r="7913" spans="8:8" s="182" customFormat="1">
      <c r="H7913" s="276"/>
    </row>
    <row r="7914" spans="8:8" s="182" customFormat="1">
      <c r="H7914" s="276"/>
    </row>
    <row r="7915" spans="8:8" s="182" customFormat="1">
      <c r="H7915" s="276"/>
    </row>
    <row r="7916" spans="8:8" s="182" customFormat="1">
      <c r="H7916" s="276"/>
    </row>
    <row r="7917" spans="8:8" s="182" customFormat="1">
      <c r="H7917" s="276"/>
    </row>
    <row r="7918" spans="8:8" s="182" customFormat="1">
      <c r="H7918" s="276"/>
    </row>
    <row r="7919" spans="8:8" s="182" customFormat="1">
      <c r="H7919" s="276"/>
    </row>
    <row r="7920" spans="8:8" s="182" customFormat="1">
      <c r="H7920" s="276"/>
    </row>
    <row r="7921" spans="8:8" s="182" customFormat="1">
      <c r="H7921" s="276"/>
    </row>
    <row r="7922" spans="8:8" s="182" customFormat="1">
      <c r="H7922" s="276"/>
    </row>
    <row r="7923" spans="8:8" s="182" customFormat="1">
      <c r="H7923" s="276"/>
    </row>
    <row r="7924" spans="8:8" s="182" customFormat="1">
      <c r="H7924" s="276"/>
    </row>
    <row r="7925" spans="8:8" s="182" customFormat="1">
      <c r="H7925" s="276"/>
    </row>
    <row r="7926" spans="8:8" s="182" customFormat="1">
      <c r="H7926" s="276"/>
    </row>
    <row r="7927" spans="8:8" s="182" customFormat="1">
      <c r="H7927" s="276"/>
    </row>
    <row r="7928" spans="8:8" s="182" customFormat="1">
      <c r="H7928" s="276"/>
    </row>
    <row r="7929" spans="8:8" s="182" customFormat="1">
      <c r="H7929" s="276"/>
    </row>
    <row r="7930" spans="8:8" s="182" customFormat="1">
      <c r="H7930" s="276"/>
    </row>
    <row r="7931" spans="8:8" s="182" customFormat="1">
      <c r="H7931" s="276"/>
    </row>
    <row r="7932" spans="8:8" s="182" customFormat="1">
      <c r="H7932" s="276"/>
    </row>
    <row r="7933" spans="8:8" s="182" customFormat="1">
      <c r="H7933" s="276"/>
    </row>
    <row r="7934" spans="8:8" s="182" customFormat="1">
      <c r="H7934" s="276"/>
    </row>
    <row r="7935" spans="8:8" s="182" customFormat="1">
      <c r="H7935" s="276"/>
    </row>
    <row r="7936" spans="8:8" s="182" customFormat="1">
      <c r="H7936" s="276"/>
    </row>
    <row r="7937" spans="8:8" s="182" customFormat="1">
      <c r="H7937" s="276"/>
    </row>
    <row r="7938" spans="8:8" s="182" customFormat="1">
      <c r="H7938" s="276"/>
    </row>
    <row r="7939" spans="8:8" s="182" customFormat="1">
      <c r="H7939" s="276"/>
    </row>
    <row r="7940" spans="8:8" s="182" customFormat="1">
      <c r="H7940" s="276"/>
    </row>
    <row r="7941" spans="8:8" s="182" customFormat="1">
      <c r="H7941" s="276"/>
    </row>
    <row r="7942" spans="8:8" s="182" customFormat="1">
      <c r="H7942" s="276"/>
    </row>
    <row r="7943" spans="8:8" s="182" customFormat="1">
      <c r="H7943" s="276"/>
    </row>
    <row r="7944" spans="8:8" s="182" customFormat="1">
      <c r="H7944" s="276"/>
    </row>
    <row r="7945" spans="8:8" s="182" customFormat="1">
      <c r="H7945" s="276"/>
    </row>
    <row r="7946" spans="8:8" s="182" customFormat="1">
      <c r="H7946" s="276"/>
    </row>
    <row r="7947" spans="8:8" s="182" customFormat="1">
      <c r="H7947" s="276"/>
    </row>
    <row r="7948" spans="8:8" s="182" customFormat="1">
      <c r="H7948" s="276"/>
    </row>
    <row r="7949" spans="8:8" s="182" customFormat="1">
      <c r="H7949" s="276"/>
    </row>
    <row r="7950" spans="8:8" s="182" customFormat="1">
      <c r="H7950" s="276"/>
    </row>
    <row r="7951" spans="8:8" s="182" customFormat="1">
      <c r="H7951" s="276"/>
    </row>
    <row r="7952" spans="8:8" s="182" customFormat="1">
      <c r="H7952" s="276"/>
    </row>
    <row r="7953" spans="8:8" s="182" customFormat="1">
      <c r="H7953" s="276"/>
    </row>
    <row r="7954" spans="8:8" s="182" customFormat="1">
      <c r="H7954" s="276"/>
    </row>
    <row r="7955" spans="8:8" s="182" customFormat="1">
      <c r="H7955" s="276"/>
    </row>
    <row r="7956" spans="8:8" s="182" customFormat="1">
      <c r="H7956" s="276"/>
    </row>
    <row r="7957" spans="8:8" s="182" customFormat="1">
      <c r="H7957" s="276"/>
    </row>
    <row r="7958" spans="8:8" s="182" customFormat="1">
      <c r="H7958" s="276"/>
    </row>
    <row r="7959" spans="8:8" s="182" customFormat="1">
      <c r="H7959" s="276"/>
    </row>
    <row r="7960" spans="8:8" s="182" customFormat="1">
      <c r="H7960" s="276"/>
    </row>
    <row r="7961" spans="8:8" s="182" customFormat="1">
      <c r="H7961" s="276"/>
    </row>
    <row r="7962" spans="8:8" s="182" customFormat="1">
      <c r="H7962" s="276"/>
    </row>
    <row r="7963" spans="8:8" s="182" customFormat="1">
      <c r="H7963" s="276"/>
    </row>
    <row r="7964" spans="8:8" s="182" customFormat="1">
      <c r="H7964" s="276"/>
    </row>
    <row r="7965" spans="8:8" s="182" customFormat="1">
      <c r="H7965" s="276"/>
    </row>
    <row r="7966" spans="8:8" s="182" customFormat="1">
      <c r="H7966" s="276"/>
    </row>
    <row r="7967" spans="8:8" s="182" customFormat="1">
      <c r="H7967" s="276"/>
    </row>
    <row r="7968" spans="8:8" s="182" customFormat="1">
      <c r="H7968" s="276"/>
    </row>
    <row r="7969" spans="8:8" s="182" customFormat="1">
      <c r="H7969" s="276"/>
    </row>
    <row r="7970" spans="8:8" s="182" customFormat="1">
      <c r="H7970" s="276"/>
    </row>
    <row r="7971" spans="8:8" s="182" customFormat="1">
      <c r="H7971" s="276"/>
    </row>
    <row r="7972" spans="8:8" s="182" customFormat="1">
      <c r="H7972" s="276"/>
    </row>
    <row r="7973" spans="8:8" s="182" customFormat="1">
      <c r="H7973" s="276"/>
    </row>
    <row r="7974" spans="8:8" s="182" customFormat="1">
      <c r="H7974" s="276"/>
    </row>
    <row r="7975" spans="8:8" s="182" customFormat="1">
      <c r="H7975" s="276"/>
    </row>
    <row r="7976" spans="8:8" s="182" customFormat="1">
      <c r="H7976" s="276"/>
    </row>
    <row r="7977" spans="8:8" s="182" customFormat="1">
      <c r="H7977" s="276"/>
    </row>
    <row r="7978" spans="8:8" s="182" customFormat="1">
      <c r="H7978" s="276"/>
    </row>
    <row r="7979" spans="8:8" s="182" customFormat="1">
      <c r="H7979" s="276"/>
    </row>
    <row r="7980" spans="8:8" s="182" customFormat="1">
      <c r="H7980" s="276"/>
    </row>
    <row r="7981" spans="8:8" s="182" customFormat="1">
      <c r="H7981" s="276"/>
    </row>
    <row r="7982" spans="8:8" s="182" customFormat="1">
      <c r="H7982" s="276"/>
    </row>
    <row r="7983" spans="8:8" s="182" customFormat="1">
      <c r="H7983" s="276"/>
    </row>
    <row r="7984" spans="8:8" s="182" customFormat="1">
      <c r="H7984" s="276"/>
    </row>
    <row r="7985" spans="8:8" s="182" customFormat="1">
      <c r="H7985" s="276"/>
    </row>
    <row r="7986" spans="8:8" s="182" customFormat="1">
      <c r="H7986" s="276"/>
    </row>
    <row r="7987" spans="8:8" s="182" customFormat="1">
      <c r="H7987" s="276"/>
    </row>
    <row r="7988" spans="8:8" s="182" customFormat="1">
      <c r="H7988" s="276"/>
    </row>
    <row r="7989" spans="8:8" s="182" customFormat="1">
      <c r="H7989" s="276"/>
    </row>
    <row r="7990" spans="8:8" s="182" customFormat="1">
      <c r="H7990" s="276"/>
    </row>
    <row r="7991" spans="8:8" s="182" customFormat="1">
      <c r="H7991" s="276"/>
    </row>
    <row r="7992" spans="8:8" s="182" customFormat="1">
      <c r="H7992" s="276"/>
    </row>
    <row r="7993" spans="8:8" s="182" customFormat="1">
      <c r="H7993" s="276"/>
    </row>
    <row r="7994" spans="8:8" s="182" customFormat="1">
      <c r="H7994" s="276"/>
    </row>
    <row r="7995" spans="8:8" s="182" customFormat="1">
      <c r="H7995" s="276"/>
    </row>
    <row r="7996" spans="8:8" s="182" customFormat="1">
      <c r="H7996" s="276"/>
    </row>
    <row r="7997" spans="8:8" s="182" customFormat="1">
      <c r="H7997" s="276"/>
    </row>
    <row r="7998" spans="8:8" s="182" customFormat="1">
      <c r="H7998" s="276"/>
    </row>
    <row r="7999" spans="8:8" s="182" customFormat="1">
      <c r="H7999" s="276"/>
    </row>
    <row r="8000" spans="8:8" s="182" customFormat="1">
      <c r="H8000" s="276"/>
    </row>
    <row r="8001" spans="8:8" s="182" customFormat="1">
      <c r="H8001" s="276"/>
    </row>
    <row r="8002" spans="8:8" s="182" customFormat="1">
      <c r="H8002" s="276"/>
    </row>
    <row r="8003" spans="8:8" s="182" customFormat="1">
      <c r="H8003" s="276"/>
    </row>
    <row r="8004" spans="8:8" s="182" customFormat="1">
      <c r="H8004" s="276"/>
    </row>
    <row r="8005" spans="8:8" s="182" customFormat="1">
      <c r="H8005" s="276"/>
    </row>
    <row r="8006" spans="8:8" s="182" customFormat="1">
      <c r="H8006" s="276"/>
    </row>
    <row r="8007" spans="8:8" s="182" customFormat="1">
      <c r="H8007" s="276"/>
    </row>
    <row r="8008" spans="8:8" s="182" customFormat="1">
      <c r="H8008" s="276"/>
    </row>
    <row r="8009" spans="8:8" s="182" customFormat="1">
      <c r="H8009" s="276"/>
    </row>
    <row r="8010" spans="8:8" s="182" customFormat="1">
      <c r="H8010" s="276"/>
    </row>
    <row r="8011" spans="8:8" s="182" customFormat="1">
      <c r="H8011" s="276"/>
    </row>
    <row r="8012" spans="8:8" s="182" customFormat="1">
      <c r="H8012" s="276"/>
    </row>
    <row r="8013" spans="8:8" s="182" customFormat="1">
      <c r="H8013" s="276"/>
    </row>
    <row r="8014" spans="8:8" s="182" customFormat="1">
      <c r="H8014" s="276"/>
    </row>
    <row r="8015" spans="8:8" s="182" customFormat="1">
      <c r="H8015" s="276"/>
    </row>
    <row r="8016" spans="8:8" s="182" customFormat="1">
      <c r="H8016" s="276"/>
    </row>
    <row r="8017" spans="8:8" s="182" customFormat="1">
      <c r="H8017" s="276"/>
    </row>
    <row r="8018" spans="8:8" s="182" customFormat="1">
      <c r="H8018" s="276"/>
    </row>
    <row r="8019" spans="8:8" s="182" customFormat="1">
      <c r="H8019" s="276"/>
    </row>
    <row r="8020" spans="8:8" s="182" customFormat="1">
      <c r="H8020" s="276"/>
    </row>
    <row r="8021" spans="8:8" s="182" customFormat="1">
      <c r="H8021" s="276"/>
    </row>
    <row r="8022" spans="8:8" s="182" customFormat="1">
      <c r="H8022" s="276"/>
    </row>
    <row r="8023" spans="8:8" s="182" customFormat="1">
      <c r="H8023" s="276"/>
    </row>
    <row r="8024" spans="8:8" s="182" customFormat="1">
      <c r="H8024" s="276"/>
    </row>
    <row r="8025" spans="8:8" s="182" customFormat="1">
      <c r="H8025" s="276"/>
    </row>
    <row r="8026" spans="8:8" s="182" customFormat="1">
      <c r="H8026" s="276"/>
    </row>
    <row r="8027" spans="8:8" s="182" customFormat="1">
      <c r="H8027" s="276"/>
    </row>
    <row r="8028" spans="8:8" s="182" customFormat="1">
      <c r="H8028" s="276"/>
    </row>
    <row r="8029" spans="8:8" s="182" customFormat="1">
      <c r="H8029" s="276"/>
    </row>
    <row r="8030" spans="8:8" s="182" customFormat="1">
      <c r="H8030" s="276"/>
    </row>
    <row r="8031" spans="8:8" s="182" customFormat="1">
      <c r="H8031" s="276"/>
    </row>
    <row r="8032" spans="8:8" s="182" customFormat="1">
      <c r="H8032" s="276"/>
    </row>
    <row r="8033" spans="8:8" s="182" customFormat="1">
      <c r="H8033" s="276"/>
    </row>
    <row r="8034" spans="8:8" s="182" customFormat="1">
      <c r="H8034" s="276"/>
    </row>
    <row r="8035" spans="8:8" s="182" customFormat="1">
      <c r="H8035" s="276"/>
    </row>
    <row r="8036" spans="8:8" s="182" customFormat="1">
      <c r="H8036" s="276"/>
    </row>
    <row r="8037" spans="8:8" s="182" customFormat="1">
      <c r="H8037" s="276"/>
    </row>
    <row r="8038" spans="8:8" s="182" customFormat="1">
      <c r="H8038" s="276"/>
    </row>
    <row r="8039" spans="8:8" s="182" customFormat="1">
      <c r="H8039" s="276"/>
    </row>
    <row r="8040" spans="8:8" s="182" customFormat="1">
      <c r="H8040" s="276"/>
    </row>
    <row r="8041" spans="8:8" s="182" customFormat="1">
      <c r="H8041" s="276"/>
    </row>
    <row r="8042" spans="8:8" s="182" customFormat="1">
      <c r="H8042" s="276"/>
    </row>
    <row r="8043" spans="8:8" s="182" customFormat="1">
      <c r="H8043" s="276"/>
    </row>
    <row r="8044" spans="8:8" s="182" customFormat="1">
      <c r="H8044" s="276"/>
    </row>
    <row r="8045" spans="8:8" s="182" customFormat="1">
      <c r="H8045" s="276"/>
    </row>
    <row r="8046" spans="8:8" s="182" customFormat="1">
      <c r="H8046" s="276"/>
    </row>
    <row r="8047" spans="8:8" s="182" customFormat="1">
      <c r="H8047" s="276"/>
    </row>
    <row r="8048" spans="8:8" s="182" customFormat="1">
      <c r="H8048" s="276"/>
    </row>
    <row r="8049" spans="8:8" s="182" customFormat="1">
      <c r="H8049" s="276"/>
    </row>
    <row r="8050" spans="8:8" s="182" customFormat="1">
      <c r="H8050" s="276"/>
    </row>
    <row r="8051" spans="8:8" s="182" customFormat="1">
      <c r="H8051" s="276"/>
    </row>
    <row r="8052" spans="8:8" s="182" customFormat="1">
      <c r="H8052" s="276"/>
    </row>
    <row r="8053" spans="8:8" s="182" customFormat="1">
      <c r="H8053" s="276"/>
    </row>
    <row r="8054" spans="8:8" s="182" customFormat="1">
      <c r="H8054" s="276"/>
    </row>
    <row r="8055" spans="8:8" s="182" customFormat="1">
      <c r="H8055" s="276"/>
    </row>
    <row r="8056" spans="8:8" s="182" customFormat="1">
      <c r="H8056" s="276"/>
    </row>
    <row r="8057" spans="8:8" s="182" customFormat="1">
      <c r="H8057" s="276"/>
    </row>
    <row r="8058" spans="8:8" s="182" customFormat="1">
      <c r="H8058" s="276"/>
    </row>
    <row r="8059" spans="8:8" s="182" customFormat="1">
      <c r="H8059" s="276"/>
    </row>
    <row r="8060" spans="8:8" s="182" customFormat="1">
      <c r="H8060" s="276"/>
    </row>
    <row r="8061" spans="8:8" s="182" customFormat="1">
      <c r="H8061" s="276"/>
    </row>
    <row r="8062" spans="8:8" s="182" customFormat="1">
      <c r="H8062" s="276"/>
    </row>
    <row r="8063" spans="8:8" s="182" customFormat="1">
      <c r="H8063" s="276"/>
    </row>
    <row r="8064" spans="8:8" s="182" customFormat="1">
      <c r="H8064" s="276"/>
    </row>
    <row r="8065" spans="8:8" s="182" customFormat="1">
      <c r="H8065" s="276"/>
    </row>
    <row r="8066" spans="8:8" s="182" customFormat="1">
      <c r="H8066" s="276"/>
    </row>
    <row r="8067" spans="8:8" s="182" customFormat="1">
      <c r="H8067" s="276"/>
    </row>
    <row r="8068" spans="8:8" s="182" customFormat="1">
      <c r="H8068" s="276"/>
    </row>
    <row r="8069" spans="8:8" s="182" customFormat="1">
      <c r="H8069" s="276"/>
    </row>
    <row r="8070" spans="8:8" s="182" customFormat="1">
      <c r="H8070" s="276"/>
    </row>
    <row r="8071" spans="8:8" s="182" customFormat="1">
      <c r="H8071" s="276"/>
    </row>
    <row r="8072" spans="8:8" s="182" customFormat="1">
      <c r="H8072" s="276"/>
    </row>
    <row r="8073" spans="8:8" s="182" customFormat="1">
      <c r="H8073" s="276"/>
    </row>
    <row r="8074" spans="8:8" s="182" customFormat="1">
      <c r="H8074" s="276"/>
    </row>
    <row r="8075" spans="8:8" s="182" customFormat="1">
      <c r="H8075" s="276"/>
    </row>
    <row r="8076" spans="8:8" s="182" customFormat="1">
      <c r="H8076" s="276"/>
    </row>
    <row r="8077" spans="8:8" s="182" customFormat="1">
      <c r="H8077" s="276"/>
    </row>
    <row r="8078" spans="8:8" s="182" customFormat="1">
      <c r="H8078" s="276"/>
    </row>
    <row r="8079" spans="8:8" s="182" customFormat="1">
      <c r="H8079" s="276"/>
    </row>
    <row r="8080" spans="8:8" s="182" customFormat="1">
      <c r="H8080" s="276"/>
    </row>
    <row r="8081" spans="8:8" s="182" customFormat="1">
      <c r="H8081" s="276"/>
    </row>
    <row r="8082" spans="8:8" s="182" customFormat="1">
      <c r="H8082" s="276"/>
    </row>
    <row r="8083" spans="8:8" s="182" customFormat="1">
      <c r="H8083" s="276"/>
    </row>
    <row r="8084" spans="8:8" s="182" customFormat="1">
      <c r="H8084" s="276"/>
    </row>
    <row r="8085" spans="8:8" s="182" customFormat="1">
      <c r="H8085" s="276"/>
    </row>
    <row r="8086" spans="8:8" s="182" customFormat="1">
      <c r="H8086" s="276"/>
    </row>
    <row r="8087" spans="8:8" s="182" customFormat="1">
      <c r="H8087" s="276"/>
    </row>
    <row r="8088" spans="8:8" s="182" customFormat="1">
      <c r="H8088" s="276"/>
    </row>
    <row r="8089" spans="8:8" s="182" customFormat="1">
      <c r="H8089" s="276"/>
    </row>
    <row r="8090" spans="8:8" s="182" customFormat="1">
      <c r="H8090" s="276"/>
    </row>
    <row r="8091" spans="8:8" s="182" customFormat="1">
      <c r="H8091" s="276"/>
    </row>
    <row r="8092" spans="8:8" s="182" customFormat="1">
      <c r="H8092" s="276"/>
    </row>
    <row r="8093" spans="8:8" s="182" customFormat="1">
      <c r="H8093" s="276"/>
    </row>
    <row r="8094" spans="8:8" s="182" customFormat="1">
      <c r="H8094" s="276"/>
    </row>
    <row r="8095" spans="8:8" s="182" customFormat="1">
      <c r="H8095" s="276"/>
    </row>
    <row r="8096" spans="8:8" s="182" customFormat="1">
      <c r="H8096" s="276"/>
    </row>
    <row r="8097" spans="8:8" s="182" customFormat="1">
      <c r="H8097" s="276"/>
    </row>
    <row r="8098" spans="8:8" s="182" customFormat="1">
      <c r="H8098" s="276"/>
    </row>
    <row r="8099" spans="8:8" s="182" customFormat="1">
      <c r="H8099" s="276"/>
    </row>
    <row r="8100" spans="8:8" s="182" customFormat="1">
      <c r="H8100" s="276"/>
    </row>
    <row r="8101" spans="8:8" s="182" customFormat="1">
      <c r="H8101" s="276"/>
    </row>
    <row r="8102" spans="8:8" s="182" customFormat="1">
      <c r="H8102" s="276"/>
    </row>
    <row r="8103" spans="8:8" s="182" customFormat="1">
      <c r="H8103" s="276"/>
    </row>
    <row r="8104" spans="8:8" s="182" customFormat="1">
      <c r="H8104" s="276"/>
    </row>
    <row r="8105" spans="8:8" s="182" customFormat="1">
      <c r="H8105" s="276"/>
    </row>
    <row r="8106" spans="8:8" s="182" customFormat="1">
      <c r="H8106" s="276"/>
    </row>
    <row r="8107" spans="8:8" s="182" customFormat="1">
      <c r="H8107" s="276"/>
    </row>
    <row r="8108" spans="8:8" s="182" customFormat="1">
      <c r="H8108" s="276"/>
    </row>
    <row r="8109" spans="8:8" s="182" customFormat="1">
      <c r="H8109" s="276"/>
    </row>
    <row r="8110" spans="8:8" s="182" customFormat="1">
      <c r="H8110" s="276"/>
    </row>
    <row r="8111" spans="8:8" s="182" customFormat="1">
      <c r="H8111" s="276"/>
    </row>
    <row r="8112" spans="8:8" s="182" customFormat="1">
      <c r="H8112" s="276"/>
    </row>
    <row r="8113" spans="8:8" s="182" customFormat="1">
      <c r="H8113" s="276"/>
    </row>
    <row r="8114" spans="8:8" s="182" customFormat="1">
      <c r="H8114" s="276"/>
    </row>
    <row r="8115" spans="8:8" s="182" customFormat="1">
      <c r="H8115" s="276"/>
    </row>
    <row r="8116" spans="8:8" s="182" customFormat="1">
      <c r="H8116" s="276"/>
    </row>
    <row r="8117" spans="8:8" s="182" customFormat="1">
      <c r="H8117" s="276"/>
    </row>
    <row r="8118" spans="8:8" s="182" customFormat="1">
      <c r="H8118" s="276"/>
    </row>
    <row r="8119" spans="8:8" s="182" customFormat="1">
      <c r="H8119" s="276"/>
    </row>
    <row r="8120" spans="8:8" s="182" customFormat="1">
      <c r="H8120" s="276"/>
    </row>
    <row r="8121" spans="8:8" s="182" customFormat="1">
      <c r="H8121" s="276"/>
    </row>
    <row r="8122" spans="8:8" s="182" customFormat="1">
      <c r="H8122" s="276"/>
    </row>
    <row r="8123" spans="8:8" s="182" customFormat="1">
      <c r="H8123" s="276"/>
    </row>
    <row r="8124" spans="8:8" s="182" customFormat="1">
      <c r="H8124" s="276"/>
    </row>
    <row r="8125" spans="8:8" s="182" customFormat="1">
      <c r="H8125" s="276"/>
    </row>
    <row r="8126" spans="8:8" s="182" customFormat="1">
      <c r="H8126" s="276"/>
    </row>
    <row r="8127" spans="8:8" s="182" customFormat="1">
      <c r="H8127" s="276"/>
    </row>
    <row r="8128" spans="8:8" s="182" customFormat="1">
      <c r="H8128" s="276"/>
    </row>
    <row r="8129" spans="8:8" s="182" customFormat="1">
      <c r="H8129" s="276"/>
    </row>
    <row r="8130" spans="8:8" s="182" customFormat="1">
      <c r="H8130" s="276"/>
    </row>
    <row r="8131" spans="8:8" s="182" customFormat="1">
      <c r="H8131" s="276"/>
    </row>
    <row r="8132" spans="8:8" s="182" customFormat="1">
      <c r="H8132" s="276"/>
    </row>
    <row r="8133" spans="8:8" s="182" customFormat="1">
      <c r="H8133" s="276"/>
    </row>
    <row r="8134" spans="8:8" s="182" customFormat="1">
      <c r="H8134" s="276"/>
    </row>
    <row r="8135" spans="8:8" s="182" customFormat="1">
      <c r="H8135" s="276"/>
    </row>
    <row r="8136" spans="8:8" s="182" customFormat="1">
      <c r="H8136" s="276"/>
    </row>
    <row r="8137" spans="8:8" s="182" customFormat="1">
      <c r="H8137" s="276"/>
    </row>
    <row r="8138" spans="8:8" s="182" customFormat="1">
      <c r="H8138" s="276"/>
    </row>
    <row r="8139" spans="8:8" s="182" customFormat="1">
      <c r="H8139" s="276"/>
    </row>
    <row r="8140" spans="8:8" s="182" customFormat="1">
      <c r="H8140" s="276"/>
    </row>
    <row r="8141" spans="8:8" s="182" customFormat="1">
      <c r="H8141" s="276"/>
    </row>
    <row r="8142" spans="8:8" s="182" customFormat="1">
      <c r="H8142" s="276"/>
    </row>
    <row r="8143" spans="8:8" s="182" customFormat="1">
      <c r="H8143" s="276"/>
    </row>
    <row r="8144" spans="8:8" s="182" customFormat="1">
      <c r="H8144" s="276"/>
    </row>
    <row r="8145" spans="8:8" s="182" customFormat="1">
      <c r="H8145" s="276"/>
    </row>
    <row r="8146" spans="8:8" s="182" customFormat="1">
      <c r="H8146" s="276"/>
    </row>
    <row r="8147" spans="8:8" s="182" customFormat="1">
      <c r="H8147" s="276"/>
    </row>
    <row r="8148" spans="8:8" s="182" customFormat="1">
      <c r="H8148" s="276"/>
    </row>
    <row r="8149" spans="8:8" s="182" customFormat="1">
      <c r="H8149" s="276"/>
    </row>
    <row r="8150" spans="8:8" s="182" customFormat="1">
      <c r="H8150" s="276"/>
    </row>
    <row r="8151" spans="8:8" s="182" customFormat="1">
      <c r="H8151" s="276"/>
    </row>
    <row r="8152" spans="8:8" s="182" customFormat="1">
      <c r="H8152" s="276"/>
    </row>
    <row r="8153" spans="8:8" s="182" customFormat="1">
      <c r="H8153" s="276"/>
    </row>
    <row r="8154" spans="8:8" s="182" customFormat="1">
      <c r="H8154" s="276"/>
    </row>
    <row r="8155" spans="8:8" s="182" customFormat="1">
      <c r="H8155" s="276"/>
    </row>
    <row r="8156" spans="8:8" s="182" customFormat="1">
      <c r="H8156" s="276"/>
    </row>
    <row r="8157" spans="8:8" s="182" customFormat="1">
      <c r="H8157" s="276"/>
    </row>
    <row r="8158" spans="8:8" s="182" customFormat="1">
      <c r="H8158" s="276"/>
    </row>
    <row r="8159" spans="8:8" s="182" customFormat="1">
      <c r="H8159" s="276"/>
    </row>
    <row r="8160" spans="8:8" s="182" customFormat="1">
      <c r="H8160" s="276"/>
    </row>
    <row r="8161" spans="8:8" s="182" customFormat="1">
      <c r="H8161" s="276"/>
    </row>
    <row r="8162" spans="8:8" s="182" customFormat="1">
      <c r="H8162" s="276"/>
    </row>
    <row r="8163" spans="8:8" s="182" customFormat="1">
      <c r="H8163" s="276"/>
    </row>
    <row r="8164" spans="8:8" s="182" customFormat="1">
      <c r="H8164" s="276"/>
    </row>
    <row r="8165" spans="8:8" s="182" customFormat="1">
      <c r="H8165" s="276"/>
    </row>
    <row r="8166" spans="8:8" s="182" customFormat="1">
      <c r="H8166" s="276"/>
    </row>
    <row r="8167" spans="8:8" s="182" customFormat="1">
      <c r="H8167" s="276"/>
    </row>
    <row r="8168" spans="8:8" s="182" customFormat="1">
      <c r="H8168" s="276"/>
    </row>
    <row r="8169" spans="8:8" s="182" customFormat="1">
      <c r="H8169" s="276"/>
    </row>
    <row r="8170" spans="8:8" s="182" customFormat="1">
      <c r="H8170" s="276"/>
    </row>
    <row r="8171" spans="8:8" s="182" customFormat="1">
      <c r="H8171" s="276"/>
    </row>
    <row r="8172" spans="8:8" s="182" customFormat="1">
      <c r="H8172" s="276"/>
    </row>
    <row r="8173" spans="8:8" s="182" customFormat="1">
      <c r="H8173" s="276"/>
    </row>
    <row r="8174" spans="8:8" s="182" customFormat="1">
      <c r="H8174" s="276"/>
    </row>
    <row r="8175" spans="8:8" s="182" customFormat="1">
      <c r="H8175" s="276"/>
    </row>
    <row r="8176" spans="8:8" s="182" customFormat="1">
      <c r="H8176" s="276"/>
    </row>
    <row r="8177" spans="8:8" s="182" customFormat="1">
      <c r="H8177" s="276"/>
    </row>
    <row r="8178" spans="8:8" s="182" customFormat="1">
      <c r="H8178" s="276"/>
    </row>
    <row r="8179" spans="8:8" s="182" customFormat="1">
      <c r="H8179" s="276"/>
    </row>
    <row r="8180" spans="8:8" s="182" customFormat="1">
      <c r="H8180" s="276"/>
    </row>
    <row r="8181" spans="8:8" s="182" customFormat="1">
      <c r="H8181" s="276"/>
    </row>
    <row r="8182" spans="8:8" s="182" customFormat="1">
      <c r="H8182" s="276"/>
    </row>
    <row r="8183" spans="8:8" s="182" customFormat="1">
      <c r="H8183" s="276"/>
    </row>
    <row r="8184" spans="8:8" s="182" customFormat="1">
      <c r="H8184" s="276"/>
    </row>
    <row r="8185" spans="8:8" s="182" customFormat="1">
      <c r="H8185" s="276"/>
    </row>
    <row r="8186" spans="8:8" s="182" customFormat="1">
      <c r="H8186" s="276"/>
    </row>
    <row r="8187" spans="8:8" s="182" customFormat="1">
      <c r="H8187" s="276"/>
    </row>
    <row r="8188" spans="8:8" s="182" customFormat="1">
      <c r="H8188" s="276"/>
    </row>
    <row r="8189" spans="8:8" s="182" customFormat="1">
      <c r="H8189" s="276"/>
    </row>
    <row r="8190" spans="8:8" s="182" customFormat="1">
      <c r="H8190" s="276"/>
    </row>
    <row r="8191" spans="8:8" s="182" customFormat="1">
      <c r="H8191" s="276"/>
    </row>
    <row r="8192" spans="8:8" s="182" customFormat="1">
      <c r="H8192" s="276"/>
    </row>
    <row r="8193" spans="8:8" s="182" customFormat="1">
      <c r="H8193" s="276"/>
    </row>
    <row r="8194" spans="8:8" s="182" customFormat="1">
      <c r="H8194" s="276"/>
    </row>
    <row r="8195" spans="8:8" s="182" customFormat="1">
      <c r="H8195" s="276"/>
    </row>
    <row r="8196" spans="8:8" s="182" customFormat="1">
      <c r="H8196" s="276"/>
    </row>
    <row r="8197" spans="8:8" s="182" customFormat="1">
      <c r="H8197" s="276"/>
    </row>
    <row r="8198" spans="8:8" s="182" customFormat="1">
      <c r="H8198" s="276"/>
    </row>
    <row r="8199" spans="8:8" s="182" customFormat="1">
      <c r="H8199" s="276"/>
    </row>
    <row r="8200" spans="8:8" s="182" customFormat="1">
      <c r="H8200" s="276"/>
    </row>
    <row r="8201" spans="8:8" s="182" customFormat="1">
      <c r="H8201" s="276"/>
    </row>
    <row r="8202" spans="8:8" s="182" customFormat="1">
      <c r="H8202" s="276"/>
    </row>
    <row r="8203" spans="8:8" s="182" customFormat="1">
      <c r="H8203" s="276"/>
    </row>
    <row r="8204" spans="8:8" s="182" customFormat="1">
      <c r="H8204" s="276"/>
    </row>
    <row r="8205" spans="8:8" s="182" customFormat="1">
      <c r="H8205" s="276"/>
    </row>
    <row r="8206" spans="8:8" s="182" customFormat="1">
      <c r="H8206" s="276"/>
    </row>
    <row r="8207" spans="8:8" s="182" customFormat="1">
      <c r="H8207" s="276"/>
    </row>
    <row r="8208" spans="8:8" s="182" customFormat="1">
      <c r="H8208" s="276"/>
    </row>
    <row r="8209" spans="8:8" s="182" customFormat="1">
      <c r="H8209" s="276"/>
    </row>
    <row r="8210" spans="8:8" s="182" customFormat="1">
      <c r="H8210" s="276"/>
    </row>
    <row r="8211" spans="8:8" s="182" customFormat="1">
      <c r="H8211" s="276"/>
    </row>
    <row r="8212" spans="8:8" s="182" customFormat="1">
      <c r="H8212" s="276"/>
    </row>
    <row r="8213" spans="8:8" s="182" customFormat="1">
      <c r="H8213" s="276"/>
    </row>
    <row r="8214" spans="8:8" s="182" customFormat="1">
      <c r="H8214" s="276"/>
    </row>
    <row r="8215" spans="8:8" s="182" customFormat="1">
      <c r="H8215" s="276"/>
    </row>
    <row r="8216" spans="8:8" s="182" customFormat="1">
      <c r="H8216" s="276"/>
    </row>
    <row r="8217" spans="8:8" s="182" customFormat="1">
      <c r="H8217" s="276"/>
    </row>
    <row r="8218" spans="8:8" s="182" customFormat="1">
      <c r="H8218" s="276"/>
    </row>
    <row r="8219" spans="8:8" s="182" customFormat="1">
      <c r="H8219" s="276"/>
    </row>
    <row r="8220" spans="8:8" s="182" customFormat="1">
      <c r="H8220" s="276"/>
    </row>
    <row r="8221" spans="8:8" s="182" customFormat="1">
      <c r="H8221" s="276"/>
    </row>
    <row r="8222" spans="8:8" s="182" customFormat="1">
      <c r="H8222" s="276"/>
    </row>
    <row r="8223" spans="8:8" s="182" customFormat="1">
      <c r="H8223" s="276"/>
    </row>
    <row r="8224" spans="8:8" s="182" customFormat="1">
      <c r="H8224" s="276"/>
    </row>
    <row r="8225" spans="8:8" s="182" customFormat="1">
      <c r="H8225" s="276"/>
    </row>
    <row r="8226" spans="8:8" s="182" customFormat="1">
      <c r="H8226" s="276"/>
    </row>
    <row r="8227" spans="8:8" s="182" customFormat="1">
      <c r="H8227" s="276"/>
    </row>
    <row r="8228" spans="8:8" s="182" customFormat="1">
      <c r="H8228" s="276"/>
    </row>
    <row r="8229" spans="8:8" s="182" customFormat="1">
      <c r="H8229" s="276"/>
    </row>
    <row r="8230" spans="8:8" s="182" customFormat="1">
      <c r="H8230" s="276"/>
    </row>
    <row r="8231" spans="8:8" s="182" customFormat="1">
      <c r="H8231" s="276"/>
    </row>
    <row r="8232" spans="8:8" s="182" customFormat="1">
      <c r="H8232" s="276"/>
    </row>
    <row r="8233" spans="8:8" s="182" customFormat="1">
      <c r="H8233" s="276"/>
    </row>
    <row r="8234" spans="8:8" s="182" customFormat="1">
      <c r="H8234" s="276"/>
    </row>
    <row r="8235" spans="8:8" s="182" customFormat="1">
      <c r="H8235" s="276"/>
    </row>
    <row r="8236" spans="8:8" s="182" customFormat="1">
      <c r="H8236" s="276"/>
    </row>
    <row r="8237" spans="8:8" s="182" customFormat="1">
      <c r="H8237" s="276"/>
    </row>
    <row r="8238" spans="8:8" s="182" customFormat="1">
      <c r="H8238" s="276"/>
    </row>
    <row r="8239" spans="8:8" s="182" customFormat="1">
      <c r="H8239" s="276"/>
    </row>
    <row r="8240" spans="8:8" s="182" customFormat="1">
      <c r="H8240" s="276"/>
    </row>
    <row r="8241" spans="8:8" s="182" customFormat="1">
      <c r="H8241" s="276"/>
    </row>
    <row r="8242" spans="8:8" s="182" customFormat="1">
      <c r="H8242" s="276"/>
    </row>
    <row r="8243" spans="8:8" s="182" customFormat="1">
      <c r="H8243" s="276"/>
    </row>
    <row r="8244" spans="8:8" s="182" customFormat="1">
      <c r="H8244" s="276"/>
    </row>
    <row r="8245" spans="8:8" s="182" customFormat="1">
      <c r="H8245" s="276"/>
    </row>
    <row r="8246" spans="8:8" s="182" customFormat="1">
      <c r="H8246" s="276"/>
    </row>
    <row r="8247" spans="8:8" s="182" customFormat="1">
      <c r="H8247" s="276"/>
    </row>
    <row r="8248" spans="8:8" s="182" customFormat="1">
      <c r="H8248" s="276"/>
    </row>
    <row r="8249" spans="8:8" s="182" customFormat="1">
      <c r="H8249" s="276"/>
    </row>
    <row r="8250" spans="8:8" s="182" customFormat="1">
      <c r="H8250" s="276"/>
    </row>
    <row r="8251" spans="8:8" s="182" customFormat="1">
      <c r="H8251" s="276"/>
    </row>
    <row r="8252" spans="8:8" s="182" customFormat="1">
      <c r="H8252" s="276"/>
    </row>
    <row r="8253" spans="8:8" s="182" customFormat="1">
      <c r="H8253" s="276"/>
    </row>
    <row r="8254" spans="8:8" s="182" customFormat="1">
      <c r="H8254" s="276"/>
    </row>
    <row r="8255" spans="8:8" s="182" customFormat="1">
      <c r="H8255" s="276"/>
    </row>
    <row r="8256" spans="8:8" s="182" customFormat="1">
      <c r="H8256" s="276"/>
    </row>
    <row r="8257" spans="8:8" s="182" customFormat="1">
      <c r="H8257" s="276"/>
    </row>
    <row r="8258" spans="8:8" s="182" customFormat="1">
      <c r="H8258" s="276"/>
    </row>
    <row r="8259" spans="8:8" s="182" customFormat="1">
      <c r="H8259" s="276"/>
    </row>
    <row r="8260" spans="8:8" s="182" customFormat="1">
      <c r="H8260" s="276"/>
    </row>
    <row r="8261" spans="8:8" s="182" customFormat="1">
      <c r="H8261" s="276"/>
    </row>
    <row r="8262" spans="8:8" s="182" customFormat="1">
      <c r="H8262" s="276"/>
    </row>
    <row r="8263" spans="8:8" s="182" customFormat="1">
      <c r="H8263" s="276"/>
    </row>
    <row r="8264" spans="8:8" s="182" customFormat="1">
      <c r="H8264" s="276"/>
    </row>
    <row r="8265" spans="8:8" s="182" customFormat="1">
      <c r="H8265" s="276"/>
    </row>
    <row r="8266" spans="8:8" s="182" customFormat="1">
      <c r="H8266" s="276"/>
    </row>
    <row r="8267" spans="8:8" s="182" customFormat="1">
      <c r="H8267" s="276"/>
    </row>
    <row r="8268" spans="8:8" s="182" customFormat="1">
      <c r="H8268" s="276"/>
    </row>
    <row r="8269" spans="8:8" s="182" customFormat="1">
      <c r="H8269" s="276"/>
    </row>
    <row r="8270" spans="8:8" s="182" customFormat="1">
      <c r="H8270" s="276"/>
    </row>
    <row r="8271" spans="8:8" s="182" customFormat="1">
      <c r="H8271" s="276"/>
    </row>
    <row r="8272" spans="8:8" s="182" customFormat="1">
      <c r="H8272" s="276"/>
    </row>
    <row r="8273" spans="8:8" s="182" customFormat="1">
      <c r="H8273" s="276"/>
    </row>
    <row r="8274" spans="8:8" s="182" customFormat="1">
      <c r="H8274" s="276"/>
    </row>
    <row r="8275" spans="8:8" s="182" customFormat="1">
      <c r="H8275" s="276"/>
    </row>
    <row r="8276" spans="8:8" s="182" customFormat="1">
      <c r="H8276" s="276"/>
    </row>
    <row r="8277" spans="8:8" s="182" customFormat="1">
      <c r="H8277" s="276"/>
    </row>
    <row r="8278" spans="8:8" s="182" customFormat="1">
      <c r="H8278" s="276"/>
    </row>
    <row r="8279" spans="8:8" s="182" customFormat="1">
      <c r="H8279" s="276"/>
    </row>
    <row r="8280" spans="8:8" s="182" customFormat="1">
      <c r="H8280" s="276"/>
    </row>
    <row r="8281" spans="8:8" s="182" customFormat="1">
      <c r="H8281" s="276"/>
    </row>
    <row r="8282" spans="8:8" s="182" customFormat="1">
      <c r="H8282" s="276"/>
    </row>
    <row r="8283" spans="8:8" s="182" customFormat="1">
      <c r="H8283" s="276"/>
    </row>
    <row r="8284" spans="8:8" s="182" customFormat="1">
      <c r="H8284" s="276"/>
    </row>
    <row r="8285" spans="8:8" s="182" customFormat="1">
      <c r="H8285" s="276"/>
    </row>
    <row r="8286" spans="8:8" s="182" customFormat="1">
      <c r="H8286" s="276"/>
    </row>
    <row r="8287" spans="8:8" s="182" customFormat="1">
      <c r="H8287" s="276"/>
    </row>
    <row r="8288" spans="8:8" s="182" customFormat="1">
      <c r="H8288" s="276"/>
    </row>
    <row r="8289" spans="8:8" s="182" customFormat="1">
      <c r="H8289" s="276"/>
    </row>
    <row r="8290" spans="8:8" s="182" customFormat="1">
      <c r="H8290" s="276"/>
    </row>
    <row r="8291" spans="8:8" s="182" customFormat="1">
      <c r="H8291" s="276"/>
    </row>
    <row r="8292" spans="8:8" s="182" customFormat="1">
      <c r="H8292" s="276"/>
    </row>
    <row r="8293" spans="8:8" s="182" customFormat="1">
      <c r="H8293" s="276"/>
    </row>
    <row r="8294" spans="8:8" s="182" customFormat="1">
      <c r="H8294" s="276"/>
    </row>
    <row r="8295" spans="8:8" s="182" customFormat="1">
      <c r="H8295" s="276"/>
    </row>
    <row r="8296" spans="8:8" s="182" customFormat="1">
      <c r="H8296" s="276"/>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8" activePane="bottomLeft" state="frozen"/>
      <selection pane="bottomLeft" activeCell="P13" sqref="P13"/>
    </sheetView>
  </sheetViews>
  <sheetFormatPr defaultColWidth="7.109375" defaultRowHeight="12.75"/>
  <cols>
    <col min="1" max="3" width="7.109375" style="45"/>
    <col min="4" max="4" width="11.21875" style="45" customWidth="1"/>
    <col min="5" max="5" width="7.109375" style="45"/>
    <col min="6" max="6" width="4.88671875" style="45" customWidth="1"/>
    <col min="7" max="7" width="8" style="45" customWidth="1"/>
    <col min="8" max="8" width="6.44140625" style="45" customWidth="1"/>
    <col min="9" max="9" width="4.21875" style="45" customWidth="1"/>
    <col min="10" max="10" width="8.21875" style="45" customWidth="1"/>
    <col min="11" max="11" width="5.88671875" style="45" customWidth="1"/>
    <col min="12" max="12" width="6.109375" style="45" customWidth="1"/>
    <col min="13" max="16384" width="7.109375" style="45"/>
  </cols>
  <sheetData>
    <row r="1" spans="1:22" s="46" customFormat="1" ht="178.5">
      <c r="B1" s="107" t="s">
        <v>1487</v>
      </c>
      <c r="C1" s="107"/>
      <c r="D1" s="107" t="s">
        <v>2225</v>
      </c>
      <c r="E1" s="107"/>
      <c r="F1" s="107"/>
      <c r="G1" s="107" t="s">
        <v>1222</v>
      </c>
      <c r="H1" s="107"/>
      <c r="I1" s="107"/>
      <c r="J1" s="107" t="s">
        <v>279</v>
      </c>
      <c r="K1" s="107"/>
      <c r="L1" s="107"/>
      <c r="M1" s="107" t="s">
        <v>2226</v>
      </c>
      <c r="N1" s="107"/>
      <c r="O1" s="107"/>
      <c r="P1" s="107" t="s">
        <v>2428</v>
      </c>
      <c r="Q1" s="107"/>
    </row>
    <row r="2" spans="1:22">
      <c r="B2" s="104" t="s">
        <v>1488</v>
      </c>
      <c r="C2" s="104"/>
      <c r="D2" s="103" t="s">
        <v>0</v>
      </c>
      <c r="G2" s="102" t="s">
        <v>217</v>
      </c>
    </row>
    <row r="3" spans="1:22">
      <c r="A3" s="439" t="s">
        <v>851</v>
      </c>
      <c r="B3" s="227">
        <v>6.96</v>
      </c>
      <c r="C3" s="439">
        <f>10*B3</f>
        <v>69.599999999999994</v>
      </c>
      <c r="D3" s="227">
        <v>11.13</v>
      </c>
      <c r="E3" s="439">
        <f>10*D3</f>
        <v>111.3</v>
      </c>
      <c r="F3" s="439"/>
      <c r="G3" s="227">
        <v>9.39</v>
      </c>
      <c r="H3" s="439">
        <f>10*G3</f>
        <v>93.9</v>
      </c>
      <c r="I3" s="439"/>
      <c r="J3" s="227">
        <v>12.52</v>
      </c>
      <c r="K3" s="439">
        <f>10*J3</f>
        <v>125.2</v>
      </c>
      <c r="L3" s="439"/>
      <c r="M3" s="227">
        <v>15.64</v>
      </c>
      <c r="N3" s="439">
        <f>10*M3</f>
        <v>156.4</v>
      </c>
      <c r="O3" s="439"/>
      <c r="P3" s="227">
        <v>7.64</v>
      </c>
      <c r="Q3" s="626">
        <f>10*P3</f>
        <v>76.400000000000006</v>
      </c>
      <c r="R3" s="439"/>
    </row>
    <row r="4" spans="1:22">
      <c r="A4" s="895" t="s">
        <v>391</v>
      </c>
      <c r="B4" s="227">
        <v>5.96</v>
      </c>
      <c r="C4" s="439">
        <f>+C3+10*B4</f>
        <v>129.19999999999999</v>
      </c>
      <c r="D4" s="227">
        <v>9.52</v>
      </c>
      <c r="E4" s="439">
        <f>+E3+10*D4</f>
        <v>206.5</v>
      </c>
      <c r="F4" s="439"/>
      <c r="G4" s="424">
        <v>8.0399999999999991</v>
      </c>
      <c r="H4" s="439">
        <f>+H3+10*G4</f>
        <v>174.3</v>
      </c>
      <c r="I4" s="439"/>
      <c r="J4" s="227">
        <v>10.72</v>
      </c>
      <c r="K4" s="439">
        <f>+K3+10*J4</f>
        <v>232.4</v>
      </c>
      <c r="L4" s="439"/>
      <c r="M4" s="226">
        <v>13.4</v>
      </c>
      <c r="N4" s="439">
        <f>+N3+10*M4</f>
        <v>290.39999999999998</v>
      </c>
      <c r="O4" s="439"/>
      <c r="P4" s="227">
        <v>6.55</v>
      </c>
      <c r="Q4" s="439">
        <f>+Q3+10*P4</f>
        <v>141.9</v>
      </c>
      <c r="R4" s="439"/>
    </row>
    <row r="5" spans="1:22">
      <c r="A5" s="439" t="s">
        <v>923</v>
      </c>
      <c r="B5" s="227">
        <v>5.13</v>
      </c>
      <c r="C5" s="439">
        <f>+C4+20*B5</f>
        <v>231.8</v>
      </c>
      <c r="D5" s="227">
        <v>8.1999999999999993</v>
      </c>
      <c r="E5" s="439">
        <f>+E4+20*D5</f>
        <v>370.5</v>
      </c>
      <c r="F5" s="439"/>
      <c r="G5" s="227">
        <v>6.9</v>
      </c>
      <c r="H5" s="439">
        <f>+H4+20*G5</f>
        <v>312.3</v>
      </c>
      <c r="I5" s="439"/>
      <c r="J5" s="227">
        <v>9.2200000000000006</v>
      </c>
      <c r="K5" s="439">
        <f>+K4+20*J5</f>
        <v>416.8</v>
      </c>
      <c r="L5" s="439"/>
      <c r="M5" s="227">
        <v>11.52</v>
      </c>
      <c r="N5" s="439">
        <f>+N4+20*M5</f>
        <v>520.79999999999995</v>
      </c>
      <c r="O5" s="439"/>
      <c r="P5" s="227">
        <v>5.64</v>
      </c>
      <c r="Q5" s="439">
        <f>+Q4+20*P5</f>
        <v>254.7</v>
      </c>
      <c r="R5" s="439"/>
    </row>
    <row r="6" spans="1:22">
      <c r="A6" s="439" t="s">
        <v>924</v>
      </c>
      <c r="B6" s="227">
        <v>4.42</v>
      </c>
      <c r="C6" s="439">
        <f>+C5+40*B6</f>
        <v>408.6</v>
      </c>
      <c r="D6" s="227">
        <v>7.69</v>
      </c>
      <c r="E6" s="439">
        <f>+E5+40*D6</f>
        <v>678.1</v>
      </c>
      <c r="F6" s="439"/>
      <c r="G6" s="227">
        <v>5.96</v>
      </c>
      <c r="H6" s="439">
        <f>+H5+40*G6</f>
        <v>550.70000000000005</v>
      </c>
      <c r="I6" s="439"/>
      <c r="J6" s="227">
        <v>7.94</v>
      </c>
      <c r="K6" s="439">
        <f>+K5+40*J6</f>
        <v>734.4</v>
      </c>
      <c r="L6" s="439"/>
      <c r="M6" s="227">
        <v>9.9499999999999993</v>
      </c>
      <c r="N6" s="439">
        <f>+N5+40*M6</f>
        <v>918.8</v>
      </c>
      <c r="O6" s="439"/>
      <c r="P6" s="227">
        <v>4.87</v>
      </c>
      <c r="Q6" s="439">
        <f>+Q5+40*P6</f>
        <v>449.5</v>
      </c>
      <c r="R6" s="439"/>
    </row>
    <row r="7" spans="1:22">
      <c r="A7" s="439" t="s">
        <v>925</v>
      </c>
      <c r="B7" s="227">
        <v>4.03</v>
      </c>
      <c r="C7" s="439"/>
      <c r="D7" s="227">
        <v>6.45</v>
      </c>
      <c r="E7" s="439"/>
      <c r="F7" s="439"/>
      <c r="G7" s="227">
        <v>5.45</v>
      </c>
      <c r="H7" s="439"/>
      <c r="I7" s="439"/>
      <c r="J7" s="227">
        <v>7.25</v>
      </c>
      <c r="K7" s="439"/>
      <c r="L7" s="439"/>
      <c r="M7" s="227">
        <v>9.07</v>
      </c>
      <c r="N7" s="439"/>
      <c r="O7" s="439"/>
      <c r="P7" s="227">
        <v>4.4400000000000004</v>
      </c>
      <c r="Q7" s="439"/>
      <c r="R7" s="439"/>
    </row>
    <row r="8" spans="1:22" ht="5.25" customHeight="1">
      <c r="A8" s="439"/>
      <c r="B8" s="439"/>
      <c r="C8" s="439"/>
      <c r="D8" s="439"/>
      <c r="E8" s="439"/>
      <c r="F8" s="439"/>
      <c r="G8" s="439"/>
      <c r="H8" s="439"/>
      <c r="I8" s="439"/>
      <c r="J8" s="439"/>
      <c r="K8" s="439"/>
      <c r="L8" s="439"/>
      <c r="M8" s="439"/>
      <c r="N8" s="439"/>
      <c r="O8" s="439"/>
      <c r="P8" s="439"/>
      <c r="Q8" s="439"/>
      <c r="R8" s="439"/>
    </row>
    <row r="9" spans="1:22" ht="6.75" customHeight="1">
      <c r="A9" s="439"/>
      <c r="B9" s="896"/>
      <c r="C9" s="896"/>
      <c r="D9" s="439"/>
      <c r="E9" s="439"/>
      <c r="F9" s="439"/>
      <c r="G9" s="439"/>
      <c r="H9" s="439"/>
      <c r="I9" s="439"/>
      <c r="J9" s="439"/>
      <c r="K9" s="439"/>
      <c r="L9" s="439"/>
      <c r="M9" s="439"/>
      <c r="N9" s="439"/>
      <c r="O9" s="439"/>
      <c r="P9" s="439"/>
      <c r="Q9" s="439"/>
      <c r="R9" s="439"/>
    </row>
    <row r="10" spans="1:22" ht="28.5" customHeight="1">
      <c r="A10" s="439"/>
      <c r="B10" s="439" t="s">
        <v>819</v>
      </c>
      <c r="C10" s="439"/>
      <c r="D10" s="439">
        <v>14</v>
      </c>
      <c r="E10" s="626">
        <f>IF(D10&lt;11,D10*$D$3,IF(D10&lt;21,($E$3+(D10-10)*$D$4),IF(D10&lt;41,$E$4+(D10-20)*$D$5,IF(D10&lt;81,($E$5+(D10-40)*$D$6),$E$6+(D10-80)*$D$7))))</f>
        <v>149.38</v>
      </c>
      <c r="F10" s="439"/>
      <c r="G10" s="439">
        <v>3</v>
      </c>
      <c r="H10" s="439">
        <f>IF(G10&lt;11,G10*$G$3,IF(G10&lt;21,($H$3+(G10-10)*$G$4),IF(G10&lt;41,$H$4+(G10-20)*$G$5,IF(G10&lt;81,($H$5+(G10-40)*$G$6),$H$6+(G10-80)*$G$7))))</f>
        <v>28.17</v>
      </c>
      <c r="I10" s="439"/>
      <c r="J10" s="439"/>
      <c r="K10" s="439"/>
      <c r="L10" s="49" t="s">
        <v>1131</v>
      </c>
      <c r="M10" s="439">
        <v>0</v>
      </c>
      <c r="N10" s="439">
        <f>IF(M10&lt;11,M10*$M$3,IF(M10&lt;21,($N$3+(M10-10)*$M$4),IF(M10&lt;41,$N$4+(M10-20)*$M$5,IF(M10&lt;81,($N$5+(M10-40)*$M$6),$N$6+(M10-80)*$M$7))))</f>
        <v>0</v>
      </c>
      <c r="O10" s="439"/>
      <c r="P10" s="439">
        <v>3</v>
      </c>
      <c r="Q10" s="439">
        <f>IF(P10&lt;11,P10*$P$3,IF(P10&lt;21,($Q$3+(P10-10)*$P$4),IF(P10&lt;41,$Q$4+(P10-20)*$P$5,IF(P10&lt;81,($Q$5+(P10-40)*$P$6),$Q$6+(P10-80)*$P$7))))</f>
        <v>22.92</v>
      </c>
      <c r="R10" s="439" t="s">
        <v>1120</v>
      </c>
    </row>
    <row r="11" spans="1:22">
      <c r="A11" s="439"/>
      <c r="B11" s="439" t="s">
        <v>1027</v>
      </c>
      <c r="C11" s="439"/>
      <c r="D11" s="439">
        <v>11</v>
      </c>
      <c r="E11" s="626">
        <f>IF(D11&lt;11,D11*$D$3,(IF(D11&lt;21,($E$3+(D11-10)*$D$4),(IF(D11&lt;41,$E$4+(D11-20)*$D$5,IF(D11&lt;81,($E$5+(D11-40)*$D$6),$E$6+(D11-80)*$D$7))))))</f>
        <v>120.82</v>
      </c>
      <c r="F11" s="439"/>
      <c r="G11" s="439"/>
      <c r="H11" s="439">
        <f>IF(G11&lt;11,G11*$G$3,IF(G11&lt;21,($H$3+(G11-10)*$G$4),IF(G11&lt;41,$H$4+(G11-20)*$G$5,IF(G11&lt;81,($H$5+(G11-40)*$G$6),$H$6+(G11-80)*$G$7))))</f>
        <v>0</v>
      </c>
      <c r="I11" s="439"/>
      <c r="J11" s="439">
        <v>0</v>
      </c>
      <c r="K11" s="439">
        <f>IF(J11&lt;11,J11*$J$3,IF(J11&lt;21,($K$3+(J11-10)*$J$4),IF(J11&lt;41,$K$4+(J11-20)*$J$5,IF(J11&lt;81,($K$5+(J11-40)*$J$6),$K$6+(J11-80)*$J$7))))/2</f>
        <v>0</v>
      </c>
      <c r="L11" s="50" t="s">
        <v>280</v>
      </c>
      <c r="M11" s="439"/>
      <c r="N11" s="439"/>
      <c r="O11" s="439"/>
      <c r="P11" s="439">
        <v>0</v>
      </c>
      <c r="Q11" s="439">
        <f>IF(P11&lt;11,P11*$P$3,IF(P11&lt;21,($Q$3+(P11-10)*$P$4),IF(P11&lt;41,$Q$4+(P11-20)*$P$5,IF(P11&lt;81,($Q$5+(P11-40)*$P$6),$Q$6+(P11-80)*$P$7))))</f>
        <v>0</v>
      </c>
      <c r="R11" s="439" t="s">
        <v>1121</v>
      </c>
      <c r="T11" s="439" t="s">
        <v>3485</v>
      </c>
    </row>
    <row r="12" spans="1:22" ht="21" customHeight="1">
      <c r="A12" s="439"/>
      <c r="B12" s="49" t="s">
        <v>748</v>
      </c>
      <c r="C12" s="49"/>
      <c r="D12" s="439">
        <v>14</v>
      </c>
      <c r="E12" s="439">
        <f>IF(D12&lt;11,D12*$D$3,(IF(D12&lt;21,($E$3+(D12-10)*$D$4),(IF(D12&lt;41,$E$4+(D12-20)*$D$5,IF(D12&lt;81,($E$5+(D12-40)*$D$6),$E$6+(D12-80)*$D$7))))))</f>
        <v>149.38</v>
      </c>
      <c r="F12" s="439"/>
      <c r="G12" s="439"/>
      <c r="H12" s="439"/>
      <c r="I12" s="439"/>
      <c r="J12" s="439">
        <v>0</v>
      </c>
      <c r="K12" s="439">
        <f>IF(J12&lt;11,J12*$J$3,IF(J12&lt;21,($K$3+(J12-10)*$J$4),IF(J12&lt;41,$K$4+(J12-20)*$J$5,IF(J12&lt;81,($K$5+(J12-40)*$J$6),$K$6+(J12-80)*$J$7))))/2</f>
        <v>0</v>
      </c>
      <c r="L12" s="439"/>
      <c r="M12" s="439"/>
      <c r="N12" s="439">
        <f>90+77.5+6.85*20+5.7*23</f>
        <v>435.6</v>
      </c>
      <c r="O12" s="439"/>
      <c r="P12" s="439">
        <v>0</v>
      </c>
      <c r="Q12" s="439">
        <f>IF(P12&lt;11,P12*$P$3,IF(P12&lt;21,($Q$3+(P12-10)*$P$4),IF(P12&lt;41,$Q$4+(P12-20)*$P$5,IF(P12&lt;81,($Q$5+(P12-40)*$P$6),$Q$6+(P12-80)*$P$7))))</f>
        <v>0</v>
      </c>
      <c r="R12" s="439" t="s">
        <v>3690</v>
      </c>
      <c r="T12" s="45">
        <f>8.69*6</f>
        <v>52.14</v>
      </c>
      <c r="U12" s="102" t="s">
        <v>3484</v>
      </c>
    </row>
    <row r="13" spans="1:22">
      <c r="A13" s="439"/>
      <c r="B13" s="439" t="s">
        <v>201</v>
      </c>
      <c r="C13" s="439"/>
      <c r="D13" s="439">
        <v>12</v>
      </c>
      <c r="E13" s="626">
        <f>IF(D13&lt;11,D13*$D$3,(IF(D13&lt;21,($E$3+(D13-10)*$D$4),(IF(D13&lt;41,$E$4+(D13-20)*$D$5,IF(D13&lt;81,($E$5+(D13-40)*$D$6),$E$6+(D13-80)*$D$7))))))</f>
        <v>130.34</v>
      </c>
      <c r="F13" s="439"/>
      <c r="G13" s="439"/>
      <c r="H13" s="439"/>
      <c r="I13" s="439"/>
      <c r="J13" s="439"/>
      <c r="K13" s="439"/>
      <c r="L13" s="439"/>
      <c r="M13" s="439"/>
      <c r="N13" s="439"/>
      <c r="O13" s="439"/>
      <c r="P13" s="439">
        <v>0</v>
      </c>
      <c r="Q13" s="439">
        <f>IF(P13&lt;11,P13*$P$3,IF(P13&lt;21,($Q$3+(P13-10)*$P$4),IF(P13&lt;41,$Q$4+(P13-20)*$P$5,IF(P13&lt;81,($Q$5+(P13-40)*$P$6),$Q$6+(P13-80)*$P$7))))</f>
        <v>0</v>
      </c>
      <c r="R13" s="439" t="s">
        <v>3487</v>
      </c>
    </row>
    <row r="14" spans="1:22">
      <c r="A14" s="439"/>
      <c r="B14" s="439" t="s">
        <v>364</v>
      </c>
      <c r="C14" s="439"/>
      <c r="D14" s="439">
        <v>0</v>
      </c>
      <c r="E14" s="439">
        <f>IF(D14&lt;11,D14*$B$3,(IF(D14&lt;21,($C$3+(D14-10)*$B$4),(IF(D14&lt;41,$C$4+(D14-20)*$B$5,IF(D14&lt;81,($C$5+(D14-40)*$B$6),$C$6+(D14-80)*$B$7))))))</f>
        <v>0</v>
      </c>
      <c r="F14" s="439"/>
      <c r="G14" s="439"/>
      <c r="H14" s="439"/>
      <c r="I14" s="439"/>
      <c r="J14" s="439"/>
      <c r="K14" s="439"/>
      <c r="L14" s="439"/>
      <c r="M14" s="439"/>
      <c r="N14" s="439"/>
      <c r="O14" s="439"/>
      <c r="P14" s="439"/>
      <c r="Q14" s="439"/>
      <c r="R14" s="439"/>
      <c r="T14" s="439" t="s">
        <v>940</v>
      </c>
      <c r="U14" s="45">
        <f>8.69+7.44+6.4+6</f>
        <v>28.53</v>
      </c>
      <c r="V14" s="45">
        <f>U14*44</f>
        <v>1255.32</v>
      </c>
    </row>
    <row r="15" spans="1:22">
      <c r="A15" s="439"/>
      <c r="B15" s="439" t="s">
        <v>479</v>
      </c>
      <c r="C15" s="439"/>
      <c r="D15" s="439">
        <v>0</v>
      </c>
      <c r="E15" s="439">
        <f>IF(D15&lt;11,D15*$B$3,(IF(D15&lt;21,($C$3+(D15-10)*$B$4),(IF(D15&lt;41,$C$4+(D15-20)*$B$5,IF(D15&lt;81,($C$5+(D15-40)*$B$6),$C$6+(D15-80)*$B$7))))))</f>
        <v>0</v>
      </c>
      <c r="F15" s="439"/>
      <c r="G15" s="439"/>
      <c r="H15" s="439"/>
      <c r="I15" s="439"/>
      <c r="J15" s="439"/>
      <c r="K15" s="439"/>
      <c r="L15" s="439"/>
      <c r="M15" s="439"/>
      <c r="N15" s="439"/>
      <c r="O15" s="439"/>
      <c r="P15" s="439"/>
      <c r="Q15" s="439"/>
      <c r="R15" s="439"/>
    </row>
    <row r="16" spans="1:22">
      <c r="A16" s="439"/>
      <c r="B16" s="439" t="s">
        <v>3154</v>
      </c>
      <c r="C16" s="439"/>
      <c r="D16" s="439">
        <v>20</v>
      </c>
      <c r="E16" s="626">
        <f t="shared" ref="E16:E21" si="0">IF(D16&lt;11,D16*$D$3,(IF(D16&lt;21,($E$3+(D16-10)*$D$4),(IF(D16&lt;41,$E$4+(D16-20)*$D$5,IF(D16&lt;81,($E$5+(D16-40)*$D$6),$E$6+(D16-80)*$D$7))))))</f>
        <v>206.5</v>
      </c>
      <c r="F16" s="439"/>
      <c r="G16" s="439"/>
      <c r="H16" s="439"/>
      <c r="I16" s="439"/>
      <c r="J16" s="439"/>
      <c r="K16" s="439"/>
      <c r="L16" s="439"/>
      <c r="M16" s="439"/>
      <c r="N16" s="439"/>
      <c r="O16" s="439"/>
      <c r="P16" s="439"/>
      <c r="Q16" s="439"/>
      <c r="R16" s="439"/>
      <c r="U16" s="45">
        <f>8.69*10</f>
        <v>86.9</v>
      </c>
    </row>
    <row r="17" spans="1:21">
      <c r="A17" s="439"/>
      <c r="B17" s="439"/>
      <c r="C17" s="439"/>
      <c r="D17" s="439">
        <v>0</v>
      </c>
      <c r="E17" s="439">
        <f t="shared" si="0"/>
        <v>0</v>
      </c>
      <c r="F17" s="439"/>
      <c r="G17" s="439"/>
      <c r="H17" s="439"/>
      <c r="I17" s="439"/>
      <c r="J17" s="439"/>
      <c r="K17" s="439"/>
      <c r="L17" s="439"/>
      <c r="M17" s="439"/>
      <c r="N17" s="439"/>
      <c r="O17" s="439"/>
      <c r="P17" s="439"/>
      <c r="Q17" s="439"/>
      <c r="R17" s="439"/>
      <c r="U17" s="45">
        <f>7.44*10</f>
        <v>74.400000000000006</v>
      </c>
    </row>
    <row r="18" spans="1:21">
      <c r="A18" s="439"/>
      <c r="B18" s="439"/>
      <c r="C18" s="439"/>
      <c r="D18" s="439">
        <v>0</v>
      </c>
      <c r="E18" s="439">
        <f t="shared" si="0"/>
        <v>0</v>
      </c>
      <c r="F18" s="439"/>
      <c r="G18" s="626"/>
      <c r="H18" s="626">
        <f>(G18+G19)/2</f>
        <v>0</v>
      </c>
      <c r="I18" s="439"/>
      <c r="J18" s="439"/>
      <c r="K18" s="439"/>
      <c r="L18" s="439"/>
      <c r="M18" s="439"/>
      <c r="N18" s="439"/>
      <c r="O18" s="439"/>
      <c r="P18" s="439"/>
      <c r="Q18" s="439"/>
      <c r="R18" s="439"/>
      <c r="U18" s="45">
        <f>6.4*20</f>
        <v>128</v>
      </c>
    </row>
    <row r="19" spans="1:21">
      <c r="A19" s="439"/>
      <c r="B19" s="439"/>
      <c r="C19" s="439"/>
      <c r="D19" s="439">
        <v>0</v>
      </c>
      <c r="E19" s="439">
        <f t="shared" si="0"/>
        <v>0</v>
      </c>
      <c r="F19" s="439"/>
      <c r="G19" s="626"/>
      <c r="H19" s="439">
        <f>15+20+25+0.2</f>
        <v>60.2</v>
      </c>
      <c r="I19" s="439"/>
      <c r="J19" s="439"/>
      <c r="K19" s="439"/>
      <c r="L19" s="439"/>
      <c r="M19" s="439"/>
      <c r="N19" s="439"/>
      <c r="O19" s="439"/>
      <c r="P19" s="439"/>
      <c r="Q19" s="439"/>
      <c r="R19" s="439"/>
      <c r="U19" s="45">
        <f>6*4</f>
        <v>24</v>
      </c>
    </row>
    <row r="20" spans="1:21">
      <c r="A20" s="439"/>
      <c r="B20" s="439"/>
      <c r="C20" s="439"/>
      <c r="D20" s="439">
        <v>0</v>
      </c>
      <c r="E20" s="439">
        <f t="shared" si="0"/>
        <v>0</v>
      </c>
      <c r="F20" s="439"/>
      <c r="G20" s="626"/>
      <c r="H20" s="439"/>
      <c r="I20" s="439"/>
      <c r="J20" s="439"/>
      <c r="K20" s="439"/>
      <c r="L20" s="439"/>
      <c r="M20" s="439"/>
      <c r="N20" s="439"/>
      <c r="O20" s="439"/>
      <c r="P20" s="439"/>
      <c r="Q20" s="439"/>
      <c r="R20" s="439"/>
      <c r="U20" s="102">
        <f>SUM(U16:U19)</f>
        <v>313.3</v>
      </c>
    </row>
    <row r="21" spans="1:21">
      <c r="D21" s="439">
        <v>0</v>
      </c>
      <c r="E21" s="45">
        <f t="shared" si="0"/>
        <v>0</v>
      </c>
      <c r="G21" s="48"/>
    </row>
    <row r="22" spans="1:21">
      <c r="G22" s="48"/>
    </row>
    <row r="23" spans="1:21">
      <c r="G23" s="48"/>
    </row>
    <row r="24" spans="1:21">
      <c r="G24" s="48"/>
    </row>
    <row r="25" spans="1:21">
      <c r="G25" s="48"/>
      <c r="H25" s="45">
        <f>SUM(G20:G25)/6</f>
        <v>0</v>
      </c>
    </row>
    <row r="26" spans="1:21">
      <c r="G26" s="48"/>
    </row>
    <row r="27" spans="1:21">
      <c r="G27" s="48"/>
    </row>
    <row r="28" spans="1:21">
      <c r="G28" s="48"/>
    </row>
    <row r="29" spans="1:21">
      <c r="G29" s="48"/>
    </row>
    <row r="30" spans="1:21">
      <c r="G30" s="48"/>
    </row>
    <row r="31" spans="1:21">
      <c r="G31" s="48"/>
    </row>
    <row r="32" spans="1:21">
      <c r="G32" s="48"/>
    </row>
    <row r="33" spans="7:7">
      <c r="G33" s="48"/>
    </row>
  </sheetData>
  <phoneticPr fontId="5"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4017" transitionEvaluation="1"/>
  <dimension ref="A1:AK8305"/>
  <sheetViews>
    <sheetView view="pageBreakPreview" topLeftCell="F4017" zoomScale="80" zoomScaleNormal="60" zoomScaleSheetLayoutView="80" workbookViewId="0">
      <selection activeCell="H4036" sqref="H4036"/>
    </sheetView>
  </sheetViews>
  <sheetFormatPr defaultColWidth="7.44140625" defaultRowHeight="15.75"/>
  <cols>
    <col min="1" max="1" width="7.77734375" style="182" hidden="1" customWidth="1"/>
    <col min="2" max="2" width="45.77734375" style="182" hidden="1" customWidth="1"/>
    <col min="3" max="3" width="11.77734375" style="182" hidden="1" customWidth="1"/>
    <col min="4" max="4" width="9.77734375" style="182" hidden="1" customWidth="1"/>
    <col min="5" max="5" width="9.21875" style="182" hidden="1" customWidth="1"/>
    <col min="6" max="6" width="8.88671875" style="182" customWidth="1"/>
    <col min="7" max="7" width="6.5546875" style="180" customWidth="1"/>
    <col min="8" max="8" width="55.77734375" style="182" customWidth="1"/>
    <col min="9" max="9" width="10" style="182" customWidth="1"/>
    <col min="10" max="10" width="9.44140625" style="156" customWidth="1"/>
    <col min="11" max="11" width="13.5546875" style="182" customWidth="1"/>
    <col min="12" max="13" width="9.77734375" style="182" customWidth="1"/>
    <col min="14" max="14" width="10.88671875" style="182" customWidth="1"/>
    <col min="15" max="15" width="50.5546875" style="182" customWidth="1"/>
    <col min="16" max="16" width="9.77734375" style="182" customWidth="1"/>
    <col min="17" max="17" width="9.21875" style="182" customWidth="1"/>
    <col min="18" max="18" width="10.33203125" style="182" customWidth="1"/>
    <col min="19" max="19" width="9.5546875" style="182" customWidth="1"/>
    <col min="20" max="20" width="7.77734375" style="182" customWidth="1"/>
    <col min="21" max="21" width="49.77734375" style="182" customWidth="1"/>
    <col min="22" max="22" width="7.77734375" style="182" hidden="1" customWidth="1"/>
    <col min="23" max="23" width="16.77734375" style="182" hidden="1" customWidth="1"/>
    <col min="24" max="24" width="9.109375" style="182" customWidth="1"/>
    <col min="25" max="25" width="11.21875" style="182" bestFit="1" customWidth="1"/>
    <col min="26" max="26" width="9.6640625" style="182" customWidth="1"/>
    <col min="27" max="27" width="8.6640625" style="182" customWidth="1"/>
    <col min="28" max="28" width="9.6640625" style="182" customWidth="1"/>
    <col min="29" max="29" width="10.6640625" style="182" customWidth="1"/>
    <col min="30" max="30" width="23.21875" style="182" customWidth="1"/>
    <col min="31" max="31" width="8.77734375" style="182" customWidth="1"/>
    <col min="32" max="32" width="8.109375" style="182" bestFit="1" customWidth="1"/>
    <col min="33" max="33" width="9" style="182" customWidth="1"/>
    <col min="34" max="34" width="8.77734375" style="182" customWidth="1"/>
    <col min="35" max="16384" width="7.44140625" style="182"/>
  </cols>
  <sheetData>
    <row r="1" spans="1:37" ht="19.5" hidden="1">
      <c r="A1" s="181" t="s">
        <v>940</v>
      </c>
      <c r="B1" s="236" t="s">
        <v>1979</v>
      </c>
      <c r="E1" s="181" t="s">
        <v>940</v>
      </c>
      <c r="H1" s="181" t="s">
        <v>233</v>
      </c>
      <c r="O1" s="181" t="s">
        <v>233</v>
      </c>
      <c r="U1" s="237" t="s">
        <v>1979</v>
      </c>
      <c r="V1" s="181" t="s">
        <v>234</v>
      </c>
      <c r="W1" s="181" t="s">
        <v>940</v>
      </c>
    </row>
    <row r="2" spans="1:37" hidden="1">
      <c r="B2" s="185" t="s">
        <v>1980</v>
      </c>
      <c r="E2" s="181" t="s">
        <v>940</v>
      </c>
      <c r="H2" s="236" t="s">
        <v>620</v>
      </c>
      <c r="O2" s="236" t="s">
        <v>620</v>
      </c>
      <c r="U2" s="185" t="s">
        <v>1980</v>
      </c>
    </row>
    <row r="3" spans="1:37" hidden="1">
      <c r="A3" s="181" t="s">
        <v>1529</v>
      </c>
      <c r="B3" s="238" t="s">
        <v>2399</v>
      </c>
      <c r="C3" s="181" t="s">
        <v>2400</v>
      </c>
      <c r="E3" s="181" t="s">
        <v>940</v>
      </c>
      <c r="F3" s="189" t="s">
        <v>1529</v>
      </c>
      <c r="G3" s="187" t="s">
        <v>940</v>
      </c>
      <c r="H3" s="188" t="str">
        <f>B3</f>
        <v>Madurai TSp VIth Bn under 4000 quarters Scheme.</v>
      </c>
      <c r="J3" s="236" t="str">
        <f>C3</f>
        <v>2006-2007</v>
      </c>
      <c r="M3" s="181" t="s">
        <v>1529</v>
      </c>
      <c r="N3" s="181" t="s">
        <v>940</v>
      </c>
      <c r="O3" s="188" t="str">
        <f>B3</f>
        <v>Madurai TSp VIth Bn under 4000 quarters Scheme.</v>
      </c>
      <c r="Q3" s="188" t="str">
        <f>C3</f>
        <v>2006-2007</v>
      </c>
      <c r="T3" s="181" t="s">
        <v>1529</v>
      </c>
      <c r="U3" s="188" t="str">
        <f>B3</f>
        <v>Madurai TSp VIth Bn under 4000 quarters Scheme.</v>
      </c>
      <c r="W3" s="239" t="str">
        <f>C3</f>
        <v>2006-2007</v>
      </c>
      <c r="AA3" s="181" t="s">
        <v>940</v>
      </c>
    </row>
    <row r="4" spans="1:37" hidden="1">
      <c r="F4" s="185" t="s">
        <v>1530</v>
      </c>
      <c r="G4" s="185" t="s">
        <v>1530</v>
      </c>
      <c r="H4" s="185" t="s">
        <v>1530</v>
      </c>
      <c r="I4" s="185" t="s">
        <v>1530</v>
      </c>
      <c r="J4" s="185" t="s">
        <v>1530</v>
      </c>
      <c r="K4" s="185" t="s">
        <v>1530</v>
      </c>
      <c r="M4" s="185" t="s">
        <v>1530</v>
      </c>
      <c r="N4" s="185" t="s">
        <v>1530</v>
      </c>
      <c r="O4" s="185" t="s">
        <v>1530</v>
      </c>
      <c r="P4" s="185" t="s">
        <v>1530</v>
      </c>
      <c r="Q4" s="185" t="s">
        <v>1530</v>
      </c>
      <c r="R4" s="185" t="s">
        <v>1530</v>
      </c>
      <c r="U4" s="181" t="s">
        <v>940</v>
      </c>
      <c r="W4" s="181" t="s">
        <v>940</v>
      </c>
      <c r="X4" s="181" t="s">
        <v>234</v>
      </c>
      <c r="Y4" s="181" t="s">
        <v>940</v>
      </c>
      <c r="AC4" s="181" t="s">
        <v>940</v>
      </c>
      <c r="AG4" s="181" t="s">
        <v>1531</v>
      </c>
    </row>
    <row r="5" spans="1:37" hidden="1">
      <c r="A5" s="185" t="s">
        <v>1530</v>
      </c>
      <c r="B5" s="185" t="s">
        <v>1530</v>
      </c>
      <c r="C5" s="185" t="s">
        <v>1530</v>
      </c>
      <c r="D5" s="185" t="s">
        <v>1530</v>
      </c>
      <c r="E5" s="181" t="s">
        <v>940</v>
      </c>
      <c r="F5" s="189" t="s">
        <v>1532</v>
      </c>
      <c r="G5" s="187" t="s">
        <v>940</v>
      </c>
      <c r="H5" s="236" t="s">
        <v>1533</v>
      </c>
      <c r="I5" s="236" t="s">
        <v>1534</v>
      </c>
      <c r="J5" s="236" t="s">
        <v>1535</v>
      </c>
      <c r="K5" s="236" t="s">
        <v>1536</v>
      </c>
      <c r="M5" s="236" t="s">
        <v>1532</v>
      </c>
      <c r="N5" s="181" t="s">
        <v>940</v>
      </c>
      <c r="O5" s="236" t="s">
        <v>1533</v>
      </c>
      <c r="P5" s="236" t="s">
        <v>1534</v>
      </c>
      <c r="Q5" s="236" t="s">
        <v>1535</v>
      </c>
      <c r="R5" s="236" t="s">
        <v>1536</v>
      </c>
      <c r="T5" s="185" t="s">
        <v>1530</v>
      </c>
      <c r="U5" s="185" t="s">
        <v>1530</v>
      </c>
      <c r="V5" s="185" t="s">
        <v>1530</v>
      </c>
      <c r="W5" s="185" t="s">
        <v>1530</v>
      </c>
      <c r="X5" s="185" t="s">
        <v>1530</v>
      </c>
      <c r="Y5" s="185" t="s">
        <v>1530</v>
      </c>
      <c r="Z5" s="185" t="s">
        <v>1530</v>
      </c>
      <c r="AA5" s="185" t="s">
        <v>1530</v>
      </c>
      <c r="AB5" s="185" t="s">
        <v>1530</v>
      </c>
      <c r="AC5" s="185" t="s">
        <v>1530</v>
      </c>
      <c r="AD5" s="185" t="s">
        <v>1530</v>
      </c>
      <c r="AE5" s="185" t="s">
        <v>1530</v>
      </c>
    </row>
    <row r="6" spans="1:37" hidden="1">
      <c r="A6" s="181" t="s">
        <v>662</v>
      </c>
      <c r="B6" s="181" t="s">
        <v>1533</v>
      </c>
      <c r="C6" s="181" t="s">
        <v>1534</v>
      </c>
      <c r="D6" s="181" t="s">
        <v>1535</v>
      </c>
      <c r="F6" s="185" t="s">
        <v>1530</v>
      </c>
      <c r="G6" s="185" t="s">
        <v>1530</v>
      </c>
      <c r="H6" s="185" t="s">
        <v>1530</v>
      </c>
      <c r="I6" s="185" t="s">
        <v>1530</v>
      </c>
      <c r="J6" s="185" t="s">
        <v>1530</v>
      </c>
      <c r="K6" s="185" t="s">
        <v>1530</v>
      </c>
      <c r="M6" s="185" t="s">
        <v>1530</v>
      </c>
      <c r="N6" s="185" t="s">
        <v>1530</v>
      </c>
      <c r="O6" s="185" t="s">
        <v>1530</v>
      </c>
      <c r="P6" s="185" t="s">
        <v>1530</v>
      </c>
      <c r="Q6" s="185" t="s">
        <v>1530</v>
      </c>
      <c r="R6" s="185" t="s">
        <v>1530</v>
      </c>
      <c r="T6" s="236" t="s">
        <v>662</v>
      </c>
      <c r="U6" s="236" t="s">
        <v>54</v>
      </c>
      <c r="V6" s="236" t="s">
        <v>2159</v>
      </c>
      <c r="W6" s="236" t="s">
        <v>2160</v>
      </c>
      <c r="X6" s="236" t="s">
        <v>2161</v>
      </c>
      <c r="Y6" s="236" t="s">
        <v>2162</v>
      </c>
      <c r="Z6" s="236" t="s">
        <v>2163</v>
      </c>
      <c r="AA6" s="181" t="s">
        <v>2401</v>
      </c>
      <c r="AB6" s="181" t="s">
        <v>2164</v>
      </c>
      <c r="AC6" s="181" t="s">
        <v>2165</v>
      </c>
      <c r="AD6" s="236" t="s">
        <v>2166</v>
      </c>
      <c r="AG6" s="182">
        <f>135*1.1</f>
        <v>148.5</v>
      </c>
    </row>
    <row r="7" spans="1:37" hidden="1">
      <c r="A7" s="185" t="s">
        <v>1530</v>
      </c>
      <c r="B7" s="185" t="s">
        <v>1530</v>
      </c>
      <c r="C7" s="185" t="s">
        <v>1530</v>
      </c>
      <c r="D7" s="185" t="s">
        <v>1530</v>
      </c>
      <c r="G7" s="187" t="s">
        <v>2167</v>
      </c>
      <c r="H7" s="181" t="s">
        <v>2168</v>
      </c>
      <c r="O7" s="181" t="s">
        <v>2169</v>
      </c>
      <c r="X7" s="236" t="s">
        <v>2170</v>
      </c>
      <c r="Y7" s="236" t="s">
        <v>2165</v>
      </c>
      <c r="Z7" s="236" t="s">
        <v>2171</v>
      </c>
      <c r="AA7" s="181" t="s">
        <v>2402</v>
      </c>
      <c r="AB7" s="181" t="s">
        <v>2172</v>
      </c>
      <c r="AC7" s="181" t="s">
        <v>2173</v>
      </c>
    </row>
    <row r="8" spans="1:37" hidden="1">
      <c r="B8" s="181" t="s">
        <v>2174</v>
      </c>
      <c r="C8"/>
      <c r="D8"/>
      <c r="E8"/>
      <c r="H8" s="185" t="s">
        <v>1530</v>
      </c>
      <c r="O8" s="185" t="s">
        <v>1530</v>
      </c>
      <c r="T8" s="185" t="s">
        <v>1530</v>
      </c>
      <c r="U8" s="185" t="s">
        <v>1530</v>
      </c>
      <c r="V8" s="185" t="s">
        <v>1530</v>
      </c>
      <c r="W8" s="185" t="s">
        <v>1530</v>
      </c>
      <c r="X8" s="185" t="s">
        <v>1530</v>
      </c>
      <c r="Y8" s="185" t="s">
        <v>1530</v>
      </c>
      <c r="Z8" s="185" t="s">
        <v>1530</v>
      </c>
      <c r="AA8" s="185" t="s">
        <v>1530</v>
      </c>
      <c r="AB8" s="185" t="s">
        <v>1530</v>
      </c>
      <c r="AC8" s="185" t="s">
        <v>1530</v>
      </c>
      <c r="AD8" s="185" t="s">
        <v>1530</v>
      </c>
      <c r="AE8" s="185" t="s">
        <v>1530</v>
      </c>
      <c r="AG8" s="181" t="s">
        <v>2175</v>
      </c>
      <c r="AI8">
        <v>148.5</v>
      </c>
      <c r="AJ8" s="182">
        <v>1.1000000000000001</v>
      </c>
      <c r="AK8" s="182">
        <f>AI8*AJ8</f>
        <v>163.35</v>
      </c>
    </row>
    <row r="9" spans="1:37" hidden="1">
      <c r="B9" s="181" t="s">
        <v>827</v>
      </c>
      <c r="C9"/>
      <c r="D9"/>
      <c r="E9"/>
      <c r="F9" s="188">
        <v>0.96</v>
      </c>
      <c r="G9" s="187" t="s">
        <v>828</v>
      </c>
      <c r="H9" s="181" t="s">
        <v>829</v>
      </c>
      <c r="I9" s="8">
        <f>(C67)</f>
        <v>3800</v>
      </c>
      <c r="J9" s="2" t="s">
        <v>828</v>
      </c>
      <c r="K9" s="8">
        <f>(F9*I9)</f>
        <v>3648</v>
      </c>
      <c r="M9" s="188">
        <v>0.5</v>
      </c>
      <c r="N9" s="181" t="s">
        <v>828</v>
      </c>
      <c r="O9" s="181" t="s">
        <v>830</v>
      </c>
      <c r="P9" s="188" t="e">
        <f>(C85)</f>
        <v>#REF!</v>
      </c>
      <c r="Q9" s="181" t="s">
        <v>828</v>
      </c>
      <c r="R9" s="188" t="e">
        <f>(M9*P9)</f>
        <v>#REF!</v>
      </c>
      <c r="T9" s="236" t="s">
        <v>831</v>
      </c>
      <c r="U9" s="181" t="s">
        <v>832</v>
      </c>
      <c r="V9" s="181" t="s">
        <v>833</v>
      </c>
      <c r="W9" s="181" t="s">
        <v>2403</v>
      </c>
      <c r="X9" s="188" t="e">
        <f>#REF!</f>
        <v>#REF!</v>
      </c>
      <c r="Y9" s="8">
        <v>200</v>
      </c>
      <c r="Z9" s="188" t="e">
        <f>#REF!</f>
        <v>#REF!</v>
      </c>
      <c r="AA9" s="236">
        <v>0</v>
      </c>
      <c r="AB9" s="181">
        <v>0</v>
      </c>
      <c r="AC9" s="181" t="e">
        <f t="shared" ref="AC9:AC38" si="0">SUM(Y9+Z9+AA9+AB9)</f>
        <v>#REF!</v>
      </c>
      <c r="AD9" s="181" t="s">
        <v>2430</v>
      </c>
      <c r="AE9" s="8">
        <v>150</v>
      </c>
      <c r="AF9" s="188"/>
      <c r="AG9" s="188"/>
      <c r="AI9">
        <v>126.5</v>
      </c>
      <c r="AJ9" s="182">
        <v>1.1000000000000001</v>
      </c>
      <c r="AK9" s="182">
        <f t="shared" ref="AK9:AK36" si="1">AI9*AJ9</f>
        <v>139.15</v>
      </c>
    </row>
    <row r="10" spans="1:37" ht="15" hidden="1" customHeight="1">
      <c r="A10" s="240">
        <v>1</v>
      </c>
      <c r="B10" s="181" t="s">
        <v>834</v>
      </c>
      <c r="C10" s="8">
        <f>AE9</f>
        <v>150</v>
      </c>
      <c r="D10" s="1" t="s">
        <v>835</v>
      </c>
      <c r="E10"/>
      <c r="F10" s="188">
        <v>1</v>
      </c>
      <c r="G10" s="187" t="s">
        <v>836</v>
      </c>
      <c r="H10" s="181" t="s">
        <v>837</v>
      </c>
      <c r="I10" s="8" t="e">
        <f>(C78)</f>
        <v>#REF!</v>
      </c>
      <c r="J10" s="2" t="s">
        <v>836</v>
      </c>
      <c r="K10" s="8" t="e">
        <f>(F10*I10)</f>
        <v>#REF!</v>
      </c>
      <c r="M10" s="188">
        <v>1</v>
      </c>
      <c r="N10" s="181" t="s">
        <v>836</v>
      </c>
      <c r="O10" s="181" t="s">
        <v>837</v>
      </c>
      <c r="P10" s="188" t="e">
        <f>(C78)</f>
        <v>#REF!</v>
      </c>
      <c r="Q10" s="181" t="s">
        <v>836</v>
      </c>
      <c r="R10" s="188" t="e">
        <f>(M10*P10)</f>
        <v>#REF!</v>
      </c>
      <c r="T10" s="236" t="s">
        <v>838</v>
      </c>
      <c r="U10" s="181" t="s">
        <v>839</v>
      </c>
      <c r="V10" s="181" t="s">
        <v>833</v>
      </c>
      <c r="W10" s="188" t="str">
        <f>W9</f>
        <v>Nallambakkam</v>
      </c>
      <c r="X10" s="188" t="e">
        <f>+X9</f>
        <v>#REF!</v>
      </c>
      <c r="Y10" s="8">
        <v>300</v>
      </c>
      <c r="Z10" s="188" t="e">
        <f t="shared" ref="Z10:Z15" si="2">+Z9</f>
        <v>#REF!</v>
      </c>
      <c r="AA10" s="156">
        <v>0</v>
      </c>
      <c r="AB10" s="183">
        <v>0</v>
      </c>
      <c r="AC10" s="181" t="e">
        <f t="shared" si="0"/>
        <v>#REF!</v>
      </c>
      <c r="AD10" s="181" t="s">
        <v>2431</v>
      </c>
      <c r="AE10" s="8">
        <v>135</v>
      </c>
      <c r="AF10" s="188"/>
      <c r="AG10" s="188"/>
      <c r="AI10">
        <v>85.5</v>
      </c>
      <c r="AJ10" s="182">
        <v>1.1000000000000001</v>
      </c>
      <c r="AK10" s="182">
        <f t="shared" si="1"/>
        <v>94.05</v>
      </c>
    </row>
    <row r="11" spans="1:37" hidden="1">
      <c r="A11" s="240">
        <f t="shared" ref="A11:A35" si="3">(A10+1)</f>
        <v>2</v>
      </c>
      <c r="B11" s="181" t="s">
        <v>840</v>
      </c>
      <c r="C11" s="8">
        <f>AE10</f>
        <v>135</v>
      </c>
      <c r="D11" s="1" t="s">
        <v>835</v>
      </c>
      <c r="E11"/>
      <c r="F11" s="188">
        <v>1</v>
      </c>
      <c r="G11" s="187" t="s">
        <v>836</v>
      </c>
      <c r="H11" s="181" t="s">
        <v>841</v>
      </c>
      <c r="I11" s="8">
        <f>(C18)</f>
        <v>26</v>
      </c>
      <c r="J11" s="2" t="s">
        <v>836</v>
      </c>
      <c r="K11" s="8">
        <f>(F11*I11)</f>
        <v>26</v>
      </c>
      <c r="M11" s="188">
        <v>1</v>
      </c>
      <c r="N11" s="181" t="s">
        <v>836</v>
      </c>
      <c r="O11" s="181" t="s">
        <v>842</v>
      </c>
      <c r="P11" s="188">
        <f>(C64)</f>
        <v>62.5</v>
      </c>
      <c r="Q11" s="181" t="s">
        <v>836</v>
      </c>
      <c r="R11" s="188">
        <f>(M11*P11)</f>
        <v>62.5</v>
      </c>
      <c r="T11" s="236" t="s">
        <v>843</v>
      </c>
      <c r="U11" s="181" t="s">
        <v>844</v>
      </c>
      <c r="V11" s="181" t="s">
        <v>833</v>
      </c>
      <c r="W11" s="181" t="s">
        <v>2432</v>
      </c>
      <c r="X11" s="188" t="e">
        <f>#REF!</f>
        <v>#REF!</v>
      </c>
      <c r="Y11" s="8">
        <v>333.33</v>
      </c>
      <c r="Z11" s="188" t="e">
        <f t="shared" si="2"/>
        <v>#REF!</v>
      </c>
      <c r="AA11" s="236">
        <v>0</v>
      </c>
      <c r="AB11" s="183">
        <v>0</v>
      </c>
      <c r="AC11" s="181" t="e">
        <f t="shared" si="0"/>
        <v>#REF!</v>
      </c>
      <c r="AD11" s="181" t="s">
        <v>845</v>
      </c>
      <c r="AE11" s="8">
        <v>95</v>
      </c>
      <c r="AF11" s="188"/>
      <c r="AG11" s="188"/>
      <c r="AI11">
        <v>80.5</v>
      </c>
      <c r="AJ11" s="182">
        <v>1.1000000000000001</v>
      </c>
      <c r="AK11" s="182">
        <f t="shared" si="1"/>
        <v>88.55</v>
      </c>
    </row>
    <row r="12" spans="1:37" hidden="1">
      <c r="A12" s="240">
        <f t="shared" si="3"/>
        <v>3</v>
      </c>
      <c r="B12" s="181" t="s">
        <v>418</v>
      </c>
      <c r="C12" s="8">
        <f>AE11</f>
        <v>95</v>
      </c>
      <c r="D12" s="1" t="s">
        <v>835</v>
      </c>
      <c r="E12"/>
      <c r="G12" s="187" t="s">
        <v>419</v>
      </c>
      <c r="H12" s="181" t="s">
        <v>420</v>
      </c>
      <c r="I12" s="1" t="s">
        <v>940</v>
      </c>
      <c r="J12" s="2" t="s">
        <v>419</v>
      </c>
      <c r="K12" s="8">
        <v>0</v>
      </c>
      <c r="N12" s="181" t="s">
        <v>419</v>
      </c>
      <c r="O12" s="181" t="s">
        <v>420</v>
      </c>
      <c r="P12" s="181" t="s">
        <v>940</v>
      </c>
      <c r="Q12" s="181" t="s">
        <v>419</v>
      </c>
      <c r="R12" s="188">
        <v>0</v>
      </c>
      <c r="T12" s="236" t="s">
        <v>421</v>
      </c>
      <c r="U12" s="181" t="s">
        <v>1452</v>
      </c>
      <c r="V12" s="181" t="s">
        <v>833</v>
      </c>
      <c r="W12" s="188" t="str">
        <f>W11</f>
        <v>Pallavaram</v>
      </c>
      <c r="X12" s="188" t="e">
        <f>+X11</f>
        <v>#REF!</v>
      </c>
      <c r="Y12" s="8">
        <v>425</v>
      </c>
      <c r="Z12" s="188" t="e">
        <f t="shared" si="2"/>
        <v>#REF!</v>
      </c>
      <c r="AA12" s="236">
        <v>0</v>
      </c>
      <c r="AB12" s="183">
        <v>0</v>
      </c>
      <c r="AC12" s="181" t="e">
        <f t="shared" si="0"/>
        <v>#REF!</v>
      </c>
      <c r="AD12" s="181" t="s">
        <v>1453</v>
      </c>
      <c r="AE12" s="8">
        <v>85</v>
      </c>
      <c r="AF12" s="188"/>
      <c r="AG12" s="188"/>
      <c r="AI12">
        <v>114.5</v>
      </c>
      <c r="AJ12" s="182">
        <v>1.1000000000000001</v>
      </c>
      <c r="AK12" s="182">
        <f t="shared" si="1"/>
        <v>125.95</v>
      </c>
    </row>
    <row r="13" spans="1:37" hidden="1">
      <c r="A13" s="240">
        <f t="shared" si="3"/>
        <v>4</v>
      </c>
      <c r="B13" s="181" t="s">
        <v>1454</v>
      </c>
      <c r="C13" s="8">
        <f>AE12</f>
        <v>85</v>
      </c>
      <c r="D13" s="1" t="s">
        <v>835</v>
      </c>
      <c r="E13"/>
      <c r="I13"/>
      <c r="J13" s="4"/>
      <c r="K13" s="5" t="s">
        <v>1530</v>
      </c>
      <c r="R13" s="185" t="s">
        <v>1530</v>
      </c>
      <c r="T13" s="236" t="s">
        <v>1455</v>
      </c>
      <c r="U13" s="181" t="s">
        <v>1456</v>
      </c>
      <c r="V13" s="181" t="s">
        <v>833</v>
      </c>
      <c r="W13" s="188" t="str">
        <f>W11</f>
        <v>Pallavaram</v>
      </c>
      <c r="X13" s="188" t="e">
        <f>+X12</f>
        <v>#REF!</v>
      </c>
      <c r="Y13" s="8">
        <v>630</v>
      </c>
      <c r="Z13" s="188" t="e">
        <f t="shared" si="2"/>
        <v>#REF!</v>
      </c>
      <c r="AA13" s="236">
        <v>0</v>
      </c>
      <c r="AB13" s="183">
        <v>0</v>
      </c>
      <c r="AC13" s="181" t="e">
        <f t="shared" si="0"/>
        <v>#REF!</v>
      </c>
      <c r="AD13" s="181" t="s">
        <v>1457</v>
      </c>
      <c r="AE13" s="8">
        <v>120</v>
      </c>
      <c r="AF13" s="188"/>
      <c r="AG13" s="188"/>
      <c r="AI13">
        <v>106.5</v>
      </c>
      <c r="AJ13" s="182">
        <v>1.1000000000000001</v>
      </c>
      <c r="AK13" s="182">
        <f t="shared" si="1"/>
        <v>117.15</v>
      </c>
    </row>
    <row r="14" spans="1:37" hidden="1">
      <c r="A14" s="240">
        <f t="shared" si="3"/>
        <v>5</v>
      </c>
      <c r="B14" s="181" t="s">
        <v>1458</v>
      </c>
      <c r="C14" s="8">
        <f>AE13</f>
        <v>120</v>
      </c>
      <c r="D14" s="8">
        <f>AE14</f>
        <v>110</v>
      </c>
      <c r="E14"/>
      <c r="H14" s="181" t="s">
        <v>1459</v>
      </c>
      <c r="I14"/>
      <c r="J14" s="4"/>
      <c r="K14" s="8" t="e">
        <f>SUM(K9:K12)</f>
        <v>#REF!</v>
      </c>
      <c r="N14" s="188" t="e">
        <f>SUM(K9:K12)</f>
        <v>#REF!</v>
      </c>
      <c r="O14" s="181" t="s">
        <v>1459</v>
      </c>
      <c r="R14" s="188" t="e">
        <f>SUM(R9:R12)</f>
        <v>#REF!</v>
      </c>
      <c r="T14" s="236" t="s">
        <v>1937</v>
      </c>
      <c r="U14" s="181" t="s">
        <v>110</v>
      </c>
      <c r="V14" s="181" t="s">
        <v>833</v>
      </c>
      <c r="W14" s="188" t="str">
        <f>W11</f>
        <v>Pallavaram</v>
      </c>
      <c r="X14" s="188" t="e">
        <f>+X13</f>
        <v>#REF!</v>
      </c>
      <c r="Y14" s="8">
        <v>685</v>
      </c>
      <c r="Z14" s="188" t="e">
        <f t="shared" si="2"/>
        <v>#REF!</v>
      </c>
      <c r="AA14" s="236">
        <v>0</v>
      </c>
      <c r="AB14" s="183">
        <v>0</v>
      </c>
      <c r="AC14" s="181" t="e">
        <f t="shared" si="0"/>
        <v>#REF!</v>
      </c>
      <c r="AD14" s="181" t="s">
        <v>111</v>
      </c>
      <c r="AE14" s="8">
        <v>110</v>
      </c>
      <c r="AF14" s="188"/>
      <c r="AG14" s="188"/>
      <c r="AI14">
        <v>116.5</v>
      </c>
      <c r="AJ14" s="182">
        <v>1.1000000000000001</v>
      </c>
      <c r="AK14" s="182">
        <f t="shared" si="1"/>
        <v>128.15</v>
      </c>
    </row>
    <row r="15" spans="1:37" hidden="1">
      <c r="A15" s="240">
        <f t="shared" si="3"/>
        <v>6</v>
      </c>
      <c r="B15" s="181" t="s">
        <v>112</v>
      </c>
      <c r="C15" s="8">
        <f>AE15</f>
        <v>130</v>
      </c>
      <c r="D15" s="1" t="s">
        <v>835</v>
      </c>
      <c r="E15"/>
      <c r="I15"/>
      <c r="J15" s="4"/>
      <c r="K15" s="5" t="s">
        <v>1530</v>
      </c>
      <c r="R15" s="185" t="s">
        <v>1530</v>
      </c>
      <c r="T15" s="236" t="s">
        <v>113</v>
      </c>
      <c r="U15" s="181" t="s">
        <v>114</v>
      </c>
      <c r="V15" s="181" t="s">
        <v>833</v>
      </c>
      <c r="W15" s="188" t="str">
        <f>W11</f>
        <v>Pallavaram</v>
      </c>
      <c r="X15" s="188" t="e">
        <f>+X14</f>
        <v>#REF!</v>
      </c>
      <c r="Y15" s="8">
        <v>490</v>
      </c>
      <c r="Z15" s="188" t="e">
        <f t="shared" si="2"/>
        <v>#REF!</v>
      </c>
      <c r="AA15" s="236">
        <v>0</v>
      </c>
      <c r="AB15" s="183">
        <v>0</v>
      </c>
      <c r="AC15" s="181" t="e">
        <f t="shared" si="0"/>
        <v>#REF!</v>
      </c>
      <c r="AD15" s="181" t="s">
        <v>115</v>
      </c>
      <c r="AE15" s="8">
        <v>130</v>
      </c>
      <c r="AF15" s="188"/>
      <c r="AG15" s="188"/>
      <c r="AI15">
        <v>106.5</v>
      </c>
      <c r="AJ15" s="182">
        <v>1.1000000000000001</v>
      </c>
      <c r="AK15" s="182">
        <f t="shared" si="1"/>
        <v>117.15</v>
      </c>
    </row>
    <row r="16" spans="1:37" hidden="1">
      <c r="A16" s="240">
        <f t="shared" si="3"/>
        <v>7</v>
      </c>
      <c r="B16" s="181" t="s">
        <v>116</v>
      </c>
      <c r="C16" s="8">
        <f>AE19</f>
        <v>150</v>
      </c>
      <c r="D16" s="8">
        <f>AE20</f>
        <v>135</v>
      </c>
      <c r="E16"/>
      <c r="G16" s="187" t="s">
        <v>2167</v>
      </c>
      <c r="H16" s="181" t="s">
        <v>117</v>
      </c>
      <c r="I16"/>
      <c r="J16" s="4"/>
      <c r="K16"/>
      <c r="N16" s="181" t="s">
        <v>2167</v>
      </c>
      <c r="O16" s="181" t="s">
        <v>118</v>
      </c>
      <c r="T16" s="236" t="s">
        <v>119</v>
      </c>
      <c r="U16" s="181" t="s">
        <v>120</v>
      </c>
      <c r="V16" s="181" t="s">
        <v>833</v>
      </c>
      <c r="W16" s="181" t="s">
        <v>2433</v>
      </c>
      <c r="X16" s="188" t="e">
        <f>#REF!</f>
        <v>#REF!</v>
      </c>
      <c r="Y16" s="8">
        <v>110</v>
      </c>
      <c r="Z16" s="188" t="e">
        <f>#REF!</f>
        <v>#REF!</v>
      </c>
      <c r="AA16" s="236">
        <v>0</v>
      </c>
      <c r="AB16" s="183">
        <v>0</v>
      </c>
      <c r="AC16" s="181" t="e">
        <f t="shared" si="0"/>
        <v>#REF!</v>
      </c>
      <c r="AD16" s="181" t="s">
        <v>2157</v>
      </c>
      <c r="AE16" s="8">
        <v>120</v>
      </c>
      <c r="AF16" s="188"/>
      <c r="AG16" s="188"/>
      <c r="AI16">
        <v>106.5</v>
      </c>
      <c r="AJ16" s="182">
        <v>1.1000000000000001</v>
      </c>
      <c r="AK16" s="182">
        <f t="shared" si="1"/>
        <v>117.15</v>
      </c>
    </row>
    <row r="17" spans="1:37" hidden="1">
      <c r="A17" s="240">
        <f t="shared" si="3"/>
        <v>8</v>
      </c>
      <c r="B17" s="181" t="s">
        <v>2158</v>
      </c>
      <c r="C17" s="8">
        <f>AE17</f>
        <v>130</v>
      </c>
      <c r="D17" s="8">
        <f>AE18</f>
        <v>120</v>
      </c>
      <c r="E17"/>
      <c r="H17" s="185" t="s">
        <v>1530</v>
      </c>
      <c r="I17"/>
      <c r="J17" s="4"/>
      <c r="K17"/>
      <c r="O17" s="181" t="s">
        <v>1000</v>
      </c>
      <c r="T17" s="236" t="s">
        <v>1001</v>
      </c>
      <c r="U17" s="181" t="s">
        <v>1002</v>
      </c>
      <c r="V17" s="181" t="s">
        <v>833</v>
      </c>
      <c r="W17" s="181" t="s">
        <v>2434</v>
      </c>
      <c r="X17" s="188" t="e">
        <f>X16</f>
        <v>#REF!</v>
      </c>
      <c r="Y17" s="8">
        <v>110</v>
      </c>
      <c r="Z17" s="188" t="e">
        <f>Z16</f>
        <v>#REF!</v>
      </c>
      <c r="AA17" s="236">
        <v>0</v>
      </c>
      <c r="AB17" s="183">
        <v>0</v>
      </c>
      <c r="AC17" s="181" t="e">
        <f t="shared" si="0"/>
        <v>#REF!</v>
      </c>
      <c r="AD17" s="181" t="s">
        <v>1003</v>
      </c>
      <c r="AE17" s="8">
        <v>130</v>
      </c>
      <c r="AF17" s="188"/>
      <c r="AG17" s="188"/>
      <c r="AI17">
        <v>98.5</v>
      </c>
      <c r="AJ17" s="182">
        <v>1.1000000000000001</v>
      </c>
      <c r="AK17" s="182">
        <f t="shared" si="1"/>
        <v>108.35</v>
      </c>
    </row>
    <row r="18" spans="1:37" hidden="1">
      <c r="A18" s="240">
        <f t="shared" si="3"/>
        <v>9</v>
      </c>
      <c r="B18" s="181" t="s">
        <v>1004</v>
      </c>
      <c r="C18" s="8">
        <f>AE24</f>
        <v>26</v>
      </c>
      <c r="D18" s="1" t="s">
        <v>1005</v>
      </c>
      <c r="E18"/>
      <c r="F18" s="188">
        <v>0.72</v>
      </c>
      <c r="G18" s="187" t="s">
        <v>828</v>
      </c>
      <c r="H18" s="181" t="s">
        <v>829</v>
      </c>
      <c r="I18" s="8">
        <f>(C67)</f>
        <v>3800</v>
      </c>
      <c r="J18" s="2" t="s">
        <v>828</v>
      </c>
      <c r="K18" s="8">
        <f>(F18*I18)</f>
        <v>2736</v>
      </c>
      <c r="O18" s="181" t="s">
        <v>1386</v>
      </c>
      <c r="T18" s="236" t="s">
        <v>1387</v>
      </c>
      <c r="U18" s="181" t="s">
        <v>2435</v>
      </c>
      <c r="V18" s="181" t="s">
        <v>1388</v>
      </c>
      <c r="W18" s="181" t="s">
        <v>2436</v>
      </c>
      <c r="X18" s="188" t="e">
        <f>#REF!</f>
        <v>#REF!</v>
      </c>
      <c r="Y18" s="8">
        <v>1950</v>
      </c>
      <c r="Z18" s="188" t="e">
        <f>#REF!</f>
        <v>#REF!</v>
      </c>
      <c r="AA18" s="236">
        <v>0</v>
      </c>
      <c r="AB18" s="183">
        <v>0</v>
      </c>
      <c r="AC18" s="181" t="e">
        <f t="shared" si="0"/>
        <v>#REF!</v>
      </c>
      <c r="AD18" s="181" t="s">
        <v>1389</v>
      </c>
      <c r="AE18" s="8">
        <v>120</v>
      </c>
      <c r="AF18" s="188"/>
      <c r="AG18" s="188"/>
      <c r="AI18">
        <v>148.5</v>
      </c>
      <c r="AJ18" s="182">
        <v>1.1000000000000001</v>
      </c>
      <c r="AK18" s="182">
        <f t="shared" si="1"/>
        <v>163.35</v>
      </c>
    </row>
    <row r="19" spans="1:37" hidden="1">
      <c r="A19" s="240">
        <f t="shared" si="3"/>
        <v>10</v>
      </c>
      <c r="B19" s="181" t="s">
        <v>1390</v>
      </c>
      <c r="C19" s="8">
        <v>17.600000000000001</v>
      </c>
      <c r="D19" s="1" t="s">
        <v>836</v>
      </c>
      <c r="E19"/>
      <c r="F19" s="188">
        <v>1</v>
      </c>
      <c r="G19" s="187" t="s">
        <v>836</v>
      </c>
      <c r="H19" s="181" t="s">
        <v>837</v>
      </c>
      <c r="I19" s="8" t="e">
        <f>(C78)</f>
        <v>#REF!</v>
      </c>
      <c r="J19" s="2" t="s">
        <v>836</v>
      </c>
      <c r="K19" s="8" t="e">
        <f>(F19*I19)</f>
        <v>#REF!</v>
      </c>
      <c r="O19" s="181" t="s">
        <v>70</v>
      </c>
      <c r="T19" s="236" t="s">
        <v>71</v>
      </c>
      <c r="U19" s="181" t="s">
        <v>72</v>
      </c>
      <c r="V19" s="181" t="s">
        <v>836</v>
      </c>
      <c r="W19" s="188" t="str">
        <f>W18</f>
        <v>Nerkundram</v>
      </c>
      <c r="X19" s="188" t="e">
        <f>#REF!</f>
        <v>#REF!</v>
      </c>
      <c r="Y19" s="8">
        <v>260</v>
      </c>
      <c r="Z19" s="188" t="e">
        <f>#REF!</f>
        <v>#REF!</v>
      </c>
      <c r="AA19" s="236">
        <v>0</v>
      </c>
      <c r="AB19" s="183">
        <v>0</v>
      </c>
      <c r="AC19" s="181" t="e">
        <f t="shared" si="0"/>
        <v>#REF!</v>
      </c>
      <c r="AD19" s="181" t="s">
        <v>73</v>
      </c>
      <c r="AE19" s="8">
        <v>150</v>
      </c>
      <c r="AF19" s="188"/>
      <c r="AG19" s="188"/>
      <c r="AI19">
        <v>126.5</v>
      </c>
      <c r="AJ19" s="182">
        <v>1.1000000000000001</v>
      </c>
      <c r="AK19" s="182">
        <f t="shared" si="1"/>
        <v>139.15</v>
      </c>
    </row>
    <row r="20" spans="1:37" hidden="1">
      <c r="A20" s="240">
        <f t="shared" si="3"/>
        <v>11</v>
      </c>
      <c r="B20" s="181" t="s">
        <v>349</v>
      </c>
      <c r="C20" s="8">
        <v>35.200000000000003</v>
      </c>
      <c r="D20" s="1" t="s">
        <v>836</v>
      </c>
      <c r="E20"/>
      <c r="F20" s="188">
        <v>1</v>
      </c>
      <c r="G20" s="187" t="s">
        <v>836</v>
      </c>
      <c r="H20" s="181" t="s">
        <v>841</v>
      </c>
      <c r="I20" s="8">
        <f>(C18)</f>
        <v>26</v>
      </c>
      <c r="J20" s="2" t="s">
        <v>836</v>
      </c>
      <c r="K20" s="8">
        <f>(F20*I20)</f>
        <v>26</v>
      </c>
      <c r="O20" s="181" t="s">
        <v>1013</v>
      </c>
      <c r="T20" s="236" t="s">
        <v>1903</v>
      </c>
      <c r="U20" s="181" t="s">
        <v>1904</v>
      </c>
      <c r="V20" s="181" t="s">
        <v>836</v>
      </c>
      <c r="W20" s="188" t="str">
        <f>W18</f>
        <v>Nerkundram</v>
      </c>
      <c r="X20" s="188" t="e">
        <f>X19</f>
        <v>#REF!</v>
      </c>
      <c r="Y20" s="8">
        <v>280</v>
      </c>
      <c r="Z20" s="188" t="e">
        <f>+Z19</f>
        <v>#REF!</v>
      </c>
      <c r="AA20" s="236">
        <v>0</v>
      </c>
      <c r="AB20" s="183">
        <v>0</v>
      </c>
      <c r="AC20" s="181" t="e">
        <f t="shared" si="0"/>
        <v>#REF!</v>
      </c>
      <c r="AD20" s="181" t="s">
        <v>1905</v>
      </c>
      <c r="AE20" s="8">
        <v>135</v>
      </c>
      <c r="AF20" s="188"/>
      <c r="AG20" s="188"/>
      <c r="AI20">
        <v>116.5</v>
      </c>
      <c r="AJ20" s="182">
        <v>1.1000000000000001</v>
      </c>
      <c r="AK20" s="182">
        <f t="shared" si="1"/>
        <v>128.15</v>
      </c>
    </row>
    <row r="21" spans="1:37" hidden="1">
      <c r="A21" s="240">
        <f t="shared" si="3"/>
        <v>12</v>
      </c>
      <c r="B21" s="181" t="s">
        <v>2178</v>
      </c>
      <c r="C21" s="8">
        <v>35.200000000000003</v>
      </c>
      <c r="D21" s="1" t="s">
        <v>836</v>
      </c>
      <c r="E21"/>
      <c r="G21" s="187" t="s">
        <v>419</v>
      </c>
      <c r="H21" s="181" t="s">
        <v>420</v>
      </c>
      <c r="I21" s="1" t="s">
        <v>940</v>
      </c>
      <c r="J21" s="2" t="s">
        <v>419</v>
      </c>
      <c r="K21" s="8">
        <v>0</v>
      </c>
      <c r="O21" s="185" t="s">
        <v>1530</v>
      </c>
      <c r="T21" s="236" t="s">
        <v>2179</v>
      </c>
      <c r="U21" s="181" t="s">
        <v>2180</v>
      </c>
      <c r="V21" s="181" t="s">
        <v>1388</v>
      </c>
      <c r="W21" s="181" t="s">
        <v>2181</v>
      </c>
      <c r="X21" s="188" t="e">
        <f>#REF!</f>
        <v>#REF!</v>
      </c>
      <c r="Y21" s="8">
        <v>4500</v>
      </c>
      <c r="Z21" s="188">
        <v>0</v>
      </c>
      <c r="AA21" s="236">
        <v>0</v>
      </c>
      <c r="AB21" s="183">
        <v>0</v>
      </c>
      <c r="AC21" s="181">
        <f t="shared" si="0"/>
        <v>4500</v>
      </c>
      <c r="AD21" s="181" t="s">
        <v>2182</v>
      </c>
      <c r="AE21" s="8">
        <v>120</v>
      </c>
      <c r="AF21" s="188"/>
      <c r="AG21" s="188"/>
      <c r="AI21">
        <v>106.5</v>
      </c>
      <c r="AJ21" s="182">
        <v>1.1000000000000001</v>
      </c>
      <c r="AK21" s="182">
        <f t="shared" si="1"/>
        <v>117.15</v>
      </c>
    </row>
    <row r="22" spans="1:37" hidden="1">
      <c r="A22" s="240">
        <f t="shared" si="3"/>
        <v>13</v>
      </c>
      <c r="B22" s="181" t="s">
        <v>1628</v>
      </c>
      <c r="C22" s="8">
        <v>26.45</v>
      </c>
      <c r="D22" s="1" t="s">
        <v>836</v>
      </c>
      <c r="E22"/>
      <c r="I22"/>
      <c r="J22" s="4"/>
      <c r="K22" s="5" t="s">
        <v>1530</v>
      </c>
      <c r="M22" s="188">
        <v>1</v>
      </c>
      <c r="N22" s="181" t="s">
        <v>836</v>
      </c>
      <c r="O22" s="181" t="s">
        <v>1931</v>
      </c>
      <c r="P22" s="188" t="e">
        <f>C78</f>
        <v>#REF!</v>
      </c>
      <c r="Q22" s="181" t="s">
        <v>836</v>
      </c>
      <c r="R22" s="188" t="e">
        <f>(M22*P22)</f>
        <v>#REF!</v>
      </c>
      <c r="T22" s="236" t="s">
        <v>1932</v>
      </c>
      <c r="U22" s="181" t="s">
        <v>1933</v>
      </c>
      <c r="V22" s="181" t="s">
        <v>833</v>
      </c>
      <c r="W22" s="241" t="s">
        <v>2437</v>
      </c>
      <c r="X22" s="188">
        <v>0</v>
      </c>
      <c r="Y22" s="8">
        <v>773</v>
      </c>
      <c r="Z22" s="188">
        <v>0</v>
      </c>
      <c r="AA22" s="236">
        <v>0</v>
      </c>
      <c r="AB22" s="183">
        <v>0</v>
      </c>
      <c r="AC22" s="181">
        <f t="shared" si="0"/>
        <v>773</v>
      </c>
      <c r="AD22" s="181" t="s">
        <v>1934</v>
      </c>
      <c r="AE22" s="8">
        <v>110</v>
      </c>
      <c r="AF22" s="188"/>
      <c r="AG22" s="188"/>
      <c r="AI22">
        <v>106.5</v>
      </c>
      <c r="AJ22" s="182">
        <v>1.1000000000000001</v>
      </c>
      <c r="AK22" s="182">
        <f t="shared" si="1"/>
        <v>117.15</v>
      </c>
    </row>
    <row r="23" spans="1:37" hidden="1">
      <c r="A23" s="240">
        <f t="shared" si="3"/>
        <v>14</v>
      </c>
      <c r="B23" s="181" t="s">
        <v>268</v>
      </c>
      <c r="C23" s="8">
        <v>52.85</v>
      </c>
      <c r="D23" s="1" t="s">
        <v>836</v>
      </c>
      <c r="E23"/>
      <c r="H23" s="181" t="s">
        <v>1459</v>
      </c>
      <c r="I23"/>
      <c r="J23" s="4"/>
      <c r="K23" s="8" t="e">
        <f>SUM(K18:K21)</f>
        <v>#REF!</v>
      </c>
      <c r="M23" s="188">
        <v>1</v>
      </c>
      <c r="N23" s="181" t="s">
        <v>836</v>
      </c>
      <c r="O23" s="181" t="s">
        <v>269</v>
      </c>
      <c r="P23" s="188" t="e">
        <f>C85</f>
        <v>#REF!</v>
      </c>
      <c r="Q23" s="181" t="s">
        <v>836</v>
      </c>
      <c r="R23" s="188" t="e">
        <f>(M23*P23)</f>
        <v>#REF!</v>
      </c>
      <c r="T23" s="236" t="s">
        <v>796</v>
      </c>
      <c r="U23" s="181" t="s">
        <v>797</v>
      </c>
      <c r="V23" s="181" t="s">
        <v>833</v>
      </c>
      <c r="W23" s="241" t="s">
        <v>2437</v>
      </c>
      <c r="X23" s="188" t="e">
        <f>#REF!</f>
        <v>#REF!</v>
      </c>
      <c r="Y23" s="8">
        <v>565</v>
      </c>
      <c r="Z23" s="188" t="e">
        <f>#REF!</f>
        <v>#REF!</v>
      </c>
      <c r="AA23" s="236">
        <v>0</v>
      </c>
      <c r="AB23" s="183">
        <v>0</v>
      </c>
      <c r="AC23" s="181" t="e">
        <f t="shared" si="0"/>
        <v>#REF!</v>
      </c>
      <c r="AD23" s="181" t="s">
        <v>798</v>
      </c>
      <c r="AE23" s="8">
        <v>120</v>
      </c>
      <c r="AF23" s="188"/>
      <c r="AG23" s="188"/>
      <c r="AI23">
        <v>26</v>
      </c>
      <c r="AJ23" s="182">
        <v>1.1000000000000001</v>
      </c>
      <c r="AK23" s="182">
        <f t="shared" si="1"/>
        <v>28.6</v>
      </c>
    </row>
    <row r="24" spans="1:37" hidden="1">
      <c r="A24" s="240">
        <f t="shared" si="3"/>
        <v>15</v>
      </c>
      <c r="B24" s="181" t="s">
        <v>799</v>
      </c>
      <c r="C24" s="8">
        <v>52.85</v>
      </c>
      <c r="D24" s="1" t="s">
        <v>836</v>
      </c>
      <c r="E24"/>
      <c r="I24"/>
      <c r="J24" s="4"/>
      <c r="K24" s="5" t="s">
        <v>1530</v>
      </c>
      <c r="M24" s="188">
        <v>1.5</v>
      </c>
      <c r="N24" s="181" t="s">
        <v>836</v>
      </c>
      <c r="O24" s="181" t="s">
        <v>1730</v>
      </c>
      <c r="P24" s="188">
        <f>C18</f>
        <v>26</v>
      </c>
      <c r="Q24" s="181" t="s">
        <v>836</v>
      </c>
      <c r="R24" s="188">
        <f>(M24*P24)</f>
        <v>39</v>
      </c>
      <c r="T24" s="236" t="s">
        <v>1731</v>
      </c>
      <c r="U24" s="181" t="s">
        <v>2</v>
      </c>
      <c r="V24" s="181" t="s">
        <v>833</v>
      </c>
      <c r="W24" s="181" t="s">
        <v>1732</v>
      </c>
      <c r="X24" s="182">
        <v>0</v>
      </c>
      <c r="Y24" s="8">
        <v>20605</v>
      </c>
      <c r="Z24" s="182">
        <v>0</v>
      </c>
      <c r="AA24" s="156">
        <v>0</v>
      </c>
      <c r="AB24" s="183">
        <v>0</v>
      </c>
      <c r="AC24" s="181">
        <f t="shared" si="0"/>
        <v>20605</v>
      </c>
      <c r="AD24" s="181" t="s">
        <v>1733</v>
      </c>
      <c r="AE24" s="8">
        <v>26</v>
      </c>
      <c r="AF24" s="188"/>
      <c r="AG24" s="188"/>
      <c r="AI24">
        <v>20.7</v>
      </c>
      <c r="AJ24" s="182">
        <v>1.1000000000000001</v>
      </c>
      <c r="AK24" s="182">
        <f t="shared" si="1"/>
        <v>22.77</v>
      </c>
    </row>
    <row r="25" spans="1:37" hidden="1">
      <c r="A25" s="240">
        <f t="shared" si="3"/>
        <v>16</v>
      </c>
      <c r="B25" s="181" t="s">
        <v>1734</v>
      </c>
      <c r="C25" s="8">
        <f>AE25</f>
        <v>20.7</v>
      </c>
      <c r="D25" s="1" t="s">
        <v>836</v>
      </c>
      <c r="E25"/>
      <c r="G25" s="187" t="s">
        <v>2167</v>
      </c>
      <c r="H25" s="181" t="s">
        <v>1301</v>
      </c>
      <c r="I25"/>
      <c r="J25" s="4"/>
      <c r="K25"/>
      <c r="M25" s="188">
        <v>1.5</v>
      </c>
      <c r="N25" s="181" t="s">
        <v>836</v>
      </c>
      <c r="O25" s="181" t="s">
        <v>1302</v>
      </c>
      <c r="P25" s="188">
        <f>C27</f>
        <v>7.8</v>
      </c>
      <c r="Q25" s="181" t="s">
        <v>836</v>
      </c>
      <c r="R25" s="188">
        <f>(M25*P25)</f>
        <v>11.7</v>
      </c>
      <c r="T25" s="236" t="s">
        <v>1303</v>
      </c>
      <c r="U25" s="181" t="s">
        <v>1304</v>
      </c>
      <c r="V25" s="181" t="s">
        <v>833</v>
      </c>
      <c r="W25" s="241" t="s">
        <v>1732</v>
      </c>
      <c r="X25" s="182">
        <v>0</v>
      </c>
      <c r="Y25" s="8">
        <v>23685</v>
      </c>
      <c r="Z25" s="182">
        <v>0</v>
      </c>
      <c r="AA25" s="156">
        <v>0</v>
      </c>
      <c r="AB25" s="183">
        <v>0</v>
      </c>
      <c r="AC25" s="181">
        <f t="shared" si="0"/>
        <v>23685</v>
      </c>
      <c r="AD25" s="181" t="s">
        <v>274</v>
      </c>
      <c r="AE25" s="8">
        <v>20.7</v>
      </c>
      <c r="AF25" s="188"/>
      <c r="AG25" s="188"/>
      <c r="AI25">
        <v>15.6</v>
      </c>
      <c r="AJ25" s="182">
        <v>1.1000000000000001</v>
      </c>
      <c r="AK25" s="182">
        <f t="shared" si="1"/>
        <v>17.16</v>
      </c>
    </row>
    <row r="26" spans="1:37" hidden="1">
      <c r="A26" s="240">
        <f t="shared" si="3"/>
        <v>17</v>
      </c>
      <c r="B26" s="181" t="s">
        <v>1031</v>
      </c>
      <c r="C26" s="8">
        <f>+AE28</f>
        <v>8.8000000000000007</v>
      </c>
      <c r="D26" s="1" t="s">
        <v>1970</v>
      </c>
      <c r="E26"/>
      <c r="H26" s="185" t="s">
        <v>1530</v>
      </c>
      <c r="I26"/>
      <c r="J26" s="4"/>
      <c r="K26"/>
      <c r="N26" s="181" t="s">
        <v>419</v>
      </c>
      <c r="O26" s="181" t="s">
        <v>420</v>
      </c>
      <c r="P26" s="181" t="s">
        <v>940</v>
      </c>
      <c r="Q26" s="181" t="s">
        <v>419</v>
      </c>
      <c r="R26" s="188">
        <v>0</v>
      </c>
      <c r="T26" s="236" t="s">
        <v>1971</v>
      </c>
      <c r="U26" s="181" t="s">
        <v>2438</v>
      </c>
      <c r="V26" s="181" t="s">
        <v>833</v>
      </c>
      <c r="W26" s="241" t="s">
        <v>1732</v>
      </c>
      <c r="X26" s="182">
        <v>0</v>
      </c>
      <c r="Y26" s="8">
        <v>65420</v>
      </c>
      <c r="Z26" s="182">
        <v>0</v>
      </c>
      <c r="AA26" s="156">
        <v>0</v>
      </c>
      <c r="AB26" s="183">
        <v>0</v>
      </c>
      <c r="AC26" s="181">
        <f t="shared" si="0"/>
        <v>65420</v>
      </c>
      <c r="AD26" s="181" t="s">
        <v>1431</v>
      </c>
      <c r="AE26" s="8">
        <v>15.6</v>
      </c>
      <c r="AF26" s="188"/>
      <c r="AG26" s="188"/>
      <c r="AI26">
        <v>7.8</v>
      </c>
      <c r="AJ26" s="182">
        <v>1.1000000000000001</v>
      </c>
      <c r="AK26" s="182">
        <f t="shared" si="1"/>
        <v>8.58</v>
      </c>
    </row>
    <row r="27" spans="1:37" hidden="1">
      <c r="A27" s="240">
        <f t="shared" si="3"/>
        <v>18</v>
      </c>
      <c r="B27" s="181" t="s">
        <v>1432</v>
      </c>
      <c r="C27" s="8">
        <f>+AE27</f>
        <v>7.8</v>
      </c>
      <c r="D27" s="1" t="s">
        <v>1970</v>
      </c>
      <c r="E27"/>
      <c r="F27" s="188">
        <v>0.48</v>
      </c>
      <c r="G27" s="187" t="s">
        <v>828</v>
      </c>
      <c r="H27" s="181" t="s">
        <v>829</v>
      </c>
      <c r="I27" s="8">
        <f>(C67)</f>
        <v>3800</v>
      </c>
      <c r="J27" s="2" t="s">
        <v>828</v>
      </c>
      <c r="K27" s="8">
        <f>(F27*I27)</f>
        <v>1824</v>
      </c>
      <c r="R27" s="185" t="s">
        <v>1530</v>
      </c>
      <c r="T27" s="236" t="s">
        <v>1433</v>
      </c>
      <c r="U27" s="181" t="s">
        <v>2439</v>
      </c>
      <c r="V27" s="181" t="s">
        <v>833</v>
      </c>
      <c r="W27" s="241" t="s">
        <v>1732</v>
      </c>
      <c r="X27" s="182">
        <v>0</v>
      </c>
      <c r="Y27" s="8">
        <v>57165</v>
      </c>
      <c r="Z27" s="182">
        <v>0</v>
      </c>
      <c r="AA27" s="156">
        <v>0</v>
      </c>
      <c r="AB27" s="183">
        <v>0</v>
      </c>
      <c r="AC27" s="181">
        <f t="shared" si="0"/>
        <v>57165</v>
      </c>
      <c r="AD27" s="181" t="s">
        <v>1434</v>
      </c>
      <c r="AE27" s="8">
        <v>7.8</v>
      </c>
      <c r="AF27" s="188"/>
      <c r="AG27" s="188"/>
      <c r="AI27">
        <v>8.8000000000000007</v>
      </c>
      <c r="AJ27" s="182">
        <v>1.1000000000000001</v>
      </c>
      <c r="AK27" s="182">
        <f t="shared" si="1"/>
        <v>9.68</v>
      </c>
    </row>
    <row r="28" spans="1:37" hidden="1">
      <c r="A28" s="240">
        <f t="shared" si="3"/>
        <v>19</v>
      </c>
      <c r="B28" s="181" t="s">
        <v>2440</v>
      </c>
      <c r="C28" s="8">
        <v>58.33</v>
      </c>
      <c r="D28" s="1" t="s">
        <v>419</v>
      </c>
      <c r="E28"/>
      <c r="F28" s="188">
        <v>1</v>
      </c>
      <c r="G28" s="187" t="s">
        <v>836</v>
      </c>
      <c r="H28" s="181" t="s">
        <v>837</v>
      </c>
      <c r="I28" s="8" t="e">
        <f>(C78)</f>
        <v>#REF!</v>
      </c>
      <c r="J28" s="2" t="s">
        <v>836</v>
      </c>
      <c r="K28" s="8" t="e">
        <f>(F28*I28)</f>
        <v>#REF!</v>
      </c>
      <c r="O28" s="181" t="s">
        <v>164</v>
      </c>
      <c r="R28" s="188" t="e">
        <f>SUM(R22:R26)</f>
        <v>#REF!</v>
      </c>
      <c r="T28" s="236" t="s">
        <v>852</v>
      </c>
      <c r="U28" s="181" t="s">
        <v>2441</v>
      </c>
      <c r="V28" s="181" t="s">
        <v>833</v>
      </c>
      <c r="W28" s="241" t="s">
        <v>1732</v>
      </c>
      <c r="X28" s="182">
        <v>0</v>
      </c>
      <c r="Y28" s="8">
        <v>63870</v>
      </c>
      <c r="Z28" s="182">
        <v>0</v>
      </c>
      <c r="AA28" s="156">
        <v>0</v>
      </c>
      <c r="AB28" s="183">
        <v>0</v>
      </c>
      <c r="AC28" s="181">
        <f t="shared" si="0"/>
        <v>63870</v>
      </c>
      <c r="AD28" s="181" t="s">
        <v>2186</v>
      </c>
      <c r="AE28" s="8">
        <v>8.8000000000000007</v>
      </c>
      <c r="AF28" s="188"/>
      <c r="AG28" s="188"/>
      <c r="AI28">
        <v>25</v>
      </c>
      <c r="AJ28" s="182">
        <v>1.1000000000000001</v>
      </c>
      <c r="AK28" s="182">
        <f t="shared" si="1"/>
        <v>27.5</v>
      </c>
    </row>
    <row r="29" spans="1:37" hidden="1">
      <c r="A29" s="240">
        <f t="shared" si="3"/>
        <v>20</v>
      </c>
      <c r="B29" s="181" t="s">
        <v>738</v>
      </c>
      <c r="C29" s="8">
        <f>AE23</f>
        <v>120</v>
      </c>
      <c r="D29" s="1" t="s">
        <v>739</v>
      </c>
      <c r="E29"/>
      <c r="F29" s="188">
        <v>1</v>
      </c>
      <c r="G29" s="187" t="s">
        <v>836</v>
      </c>
      <c r="H29" s="181" t="s">
        <v>841</v>
      </c>
      <c r="I29" s="8">
        <f>(C18)</f>
        <v>26</v>
      </c>
      <c r="J29" s="2" t="s">
        <v>836</v>
      </c>
      <c r="K29" s="8">
        <f>(F29*I29)</f>
        <v>26</v>
      </c>
      <c r="R29" s="185" t="s">
        <v>1530</v>
      </c>
      <c r="T29" s="236" t="s">
        <v>740</v>
      </c>
      <c r="U29" s="181" t="s">
        <v>741</v>
      </c>
      <c r="V29" s="181" t="s">
        <v>1388</v>
      </c>
      <c r="W29" s="188" t="str">
        <f>W18</f>
        <v>Nerkundram</v>
      </c>
      <c r="X29" s="188" t="e">
        <f>X18</f>
        <v>#REF!</v>
      </c>
      <c r="Y29" s="8">
        <v>1470</v>
      </c>
      <c r="Z29" s="188" t="e">
        <f>Z18</f>
        <v>#REF!</v>
      </c>
      <c r="AA29" s="156">
        <v>0</v>
      </c>
      <c r="AB29" s="183">
        <v>0</v>
      </c>
      <c r="AC29" s="181" t="e">
        <f t="shared" si="0"/>
        <v>#REF!</v>
      </c>
      <c r="AD29" s="181" t="s">
        <v>2442</v>
      </c>
      <c r="AE29" s="8">
        <v>25</v>
      </c>
      <c r="AF29" s="188"/>
      <c r="AG29" s="188"/>
      <c r="AI29">
        <v>342</v>
      </c>
      <c r="AJ29" s="182">
        <v>1.1000000000000001</v>
      </c>
      <c r="AK29" s="182">
        <f t="shared" si="1"/>
        <v>376.2</v>
      </c>
    </row>
    <row r="30" spans="1:37" hidden="1">
      <c r="A30" s="240">
        <f t="shared" si="3"/>
        <v>21</v>
      </c>
      <c r="B30" s="181" t="s">
        <v>742</v>
      </c>
      <c r="C30" s="8">
        <f>AE33</f>
        <v>3035</v>
      </c>
      <c r="D30" s="8">
        <f>AE31</f>
        <v>287</v>
      </c>
      <c r="E30"/>
      <c r="G30" s="187" t="s">
        <v>419</v>
      </c>
      <c r="H30" s="181" t="s">
        <v>420</v>
      </c>
      <c r="I30" s="1" t="s">
        <v>940</v>
      </c>
      <c r="J30" s="2" t="s">
        <v>419</v>
      </c>
      <c r="K30" s="8">
        <v>0</v>
      </c>
      <c r="O30" s="181" t="s">
        <v>743</v>
      </c>
      <c r="R30" s="188" t="e">
        <f>(R28/1.5)</f>
        <v>#REF!</v>
      </c>
      <c r="T30" s="236" t="s">
        <v>2086</v>
      </c>
      <c r="U30" s="181" t="s">
        <v>17</v>
      </c>
      <c r="V30" s="181" t="s">
        <v>1388</v>
      </c>
      <c r="W30" s="241" t="s">
        <v>1732</v>
      </c>
      <c r="X30" s="188">
        <v>0</v>
      </c>
      <c r="Y30" s="8">
        <v>8240</v>
      </c>
      <c r="Z30" s="188">
        <v>0</v>
      </c>
      <c r="AA30" s="236">
        <v>0</v>
      </c>
      <c r="AB30" s="183">
        <v>0</v>
      </c>
      <c r="AC30" s="181">
        <f t="shared" si="0"/>
        <v>8240</v>
      </c>
      <c r="AD30" s="181" t="s">
        <v>2443</v>
      </c>
      <c r="AE30" s="8">
        <v>342</v>
      </c>
      <c r="AF30" s="188"/>
      <c r="AG30" s="188"/>
      <c r="AI30">
        <v>287</v>
      </c>
      <c r="AJ30" s="182">
        <v>1.1000000000000001</v>
      </c>
      <c r="AK30" s="182">
        <f t="shared" si="1"/>
        <v>315.7</v>
      </c>
    </row>
    <row r="31" spans="1:37" hidden="1">
      <c r="A31" s="240">
        <f t="shared" si="3"/>
        <v>22</v>
      </c>
      <c r="B31" s="181" t="s">
        <v>18</v>
      </c>
      <c r="C31" s="8">
        <f>AE30</f>
        <v>342</v>
      </c>
      <c r="D31" s="8">
        <f>AE32</f>
        <v>320</v>
      </c>
      <c r="E31"/>
      <c r="I31"/>
      <c r="J31" s="4"/>
      <c r="K31" s="5" t="s">
        <v>1530</v>
      </c>
      <c r="O31" s="181" t="s">
        <v>234</v>
      </c>
      <c r="R31" s="185" t="s">
        <v>1980</v>
      </c>
      <c r="T31" s="236" t="s">
        <v>19</v>
      </c>
      <c r="U31" s="181" t="s">
        <v>20</v>
      </c>
      <c r="V31" s="181" t="s">
        <v>828</v>
      </c>
      <c r="W31" s="181" t="s">
        <v>1732</v>
      </c>
      <c r="X31" s="188">
        <v>0</v>
      </c>
      <c r="Y31" s="8">
        <v>3800</v>
      </c>
      <c r="Z31" s="188">
        <v>0</v>
      </c>
      <c r="AA31" s="236">
        <v>0</v>
      </c>
      <c r="AB31" s="183">
        <v>0</v>
      </c>
      <c r="AC31" s="181">
        <v>3800</v>
      </c>
      <c r="AD31" s="181" t="s">
        <v>2444</v>
      </c>
      <c r="AE31" s="8">
        <v>287</v>
      </c>
      <c r="AF31" s="188"/>
      <c r="AG31" s="188"/>
      <c r="AI31">
        <v>320</v>
      </c>
      <c r="AJ31" s="182">
        <v>1.1000000000000001</v>
      </c>
      <c r="AK31" s="182">
        <f t="shared" si="1"/>
        <v>352</v>
      </c>
    </row>
    <row r="32" spans="1:37" hidden="1">
      <c r="A32" s="240">
        <f t="shared" si="3"/>
        <v>23</v>
      </c>
      <c r="B32" s="181" t="s">
        <v>1735</v>
      </c>
      <c r="C32" s="8">
        <v>2.5</v>
      </c>
      <c r="D32" s="8">
        <f>AE34</f>
        <v>267</v>
      </c>
      <c r="E32"/>
      <c r="H32" s="181" t="s">
        <v>1459</v>
      </c>
      <c r="I32"/>
      <c r="J32" s="4"/>
      <c r="K32" s="8" t="e">
        <f>SUM(K27:K30)</f>
        <v>#REF!</v>
      </c>
      <c r="T32" s="236" t="s">
        <v>1736</v>
      </c>
      <c r="U32" s="181" t="s">
        <v>1737</v>
      </c>
      <c r="V32" s="181" t="s">
        <v>828</v>
      </c>
      <c r="W32" s="181" t="s">
        <v>2181</v>
      </c>
      <c r="X32" s="188">
        <v>0</v>
      </c>
      <c r="Y32" s="8">
        <v>28000</v>
      </c>
      <c r="Z32" s="188">
        <v>0</v>
      </c>
      <c r="AA32" s="236">
        <v>0</v>
      </c>
      <c r="AB32" s="183">
        <v>0</v>
      </c>
      <c r="AC32" s="181">
        <f t="shared" si="0"/>
        <v>28000</v>
      </c>
      <c r="AD32" s="181" t="s">
        <v>2445</v>
      </c>
      <c r="AE32" s="8">
        <v>320</v>
      </c>
      <c r="AF32" s="188"/>
      <c r="AG32" s="188"/>
      <c r="AI32">
        <v>3035</v>
      </c>
      <c r="AJ32" s="182">
        <v>1.1000000000000001</v>
      </c>
      <c r="AK32" s="182">
        <f t="shared" si="1"/>
        <v>3338.5</v>
      </c>
    </row>
    <row r="33" spans="1:37" hidden="1">
      <c r="A33" s="240">
        <f t="shared" si="3"/>
        <v>24</v>
      </c>
      <c r="B33" s="181" t="s">
        <v>414</v>
      </c>
      <c r="C33" s="8">
        <v>3.64</v>
      </c>
      <c r="D33" s="8">
        <f>AE35</f>
        <v>240</v>
      </c>
      <c r="E33"/>
      <c r="I33"/>
      <c r="J33" s="4"/>
      <c r="K33" s="5" t="s">
        <v>1530</v>
      </c>
      <c r="T33" s="242" t="s">
        <v>415</v>
      </c>
      <c r="U33" s="181" t="s">
        <v>1361</v>
      </c>
      <c r="V33" s="181" t="s">
        <v>828</v>
      </c>
      <c r="W33" s="181" t="s">
        <v>2181</v>
      </c>
      <c r="X33" s="188">
        <v>0</v>
      </c>
      <c r="Y33" s="8">
        <v>26500</v>
      </c>
      <c r="Z33" s="188">
        <v>0</v>
      </c>
      <c r="AA33" s="236">
        <v>0</v>
      </c>
      <c r="AB33" s="183">
        <v>0</v>
      </c>
      <c r="AC33" s="181">
        <f t="shared" si="0"/>
        <v>26500</v>
      </c>
      <c r="AD33" s="181" t="s">
        <v>2446</v>
      </c>
      <c r="AE33" s="8">
        <v>3035</v>
      </c>
      <c r="AF33" s="188"/>
      <c r="AG33" s="188"/>
      <c r="AI33">
        <v>267</v>
      </c>
      <c r="AJ33" s="182">
        <v>1.1000000000000001</v>
      </c>
      <c r="AK33" s="182">
        <f t="shared" si="1"/>
        <v>293.7</v>
      </c>
    </row>
    <row r="34" spans="1:37" hidden="1">
      <c r="A34" s="240">
        <f t="shared" si="3"/>
        <v>25</v>
      </c>
      <c r="B34" s="181" t="s">
        <v>1362</v>
      </c>
      <c r="C34" s="8">
        <v>30000</v>
      </c>
      <c r="D34" s="8">
        <v>30000</v>
      </c>
      <c r="E34"/>
      <c r="G34" s="187" t="s">
        <v>2167</v>
      </c>
      <c r="H34" s="181" t="s">
        <v>1258</v>
      </c>
      <c r="I34"/>
      <c r="J34" s="4"/>
      <c r="K34"/>
      <c r="T34" s="242" t="s">
        <v>1363</v>
      </c>
      <c r="U34" s="181" t="s">
        <v>1364</v>
      </c>
      <c r="V34" s="181" t="s">
        <v>1388</v>
      </c>
      <c r="W34" s="188" t="str">
        <f>W18</f>
        <v>Nerkundram</v>
      </c>
      <c r="X34" s="188" t="e">
        <f>X18</f>
        <v>#REF!</v>
      </c>
      <c r="Y34" s="8">
        <f>Y29</f>
        <v>1470</v>
      </c>
      <c r="Z34" s="188" t="e">
        <f>Z29</f>
        <v>#REF!</v>
      </c>
      <c r="AA34" s="236">
        <v>0</v>
      </c>
      <c r="AB34" s="183">
        <v>0</v>
      </c>
      <c r="AC34" s="181" t="e">
        <f t="shared" si="0"/>
        <v>#REF!</v>
      </c>
      <c r="AD34" s="181" t="s">
        <v>2447</v>
      </c>
      <c r="AE34" s="8">
        <v>267</v>
      </c>
      <c r="AF34" s="188"/>
      <c r="AG34" s="188"/>
      <c r="AI34">
        <v>240</v>
      </c>
      <c r="AJ34" s="182">
        <v>1.1000000000000001</v>
      </c>
      <c r="AK34" s="182">
        <f t="shared" si="1"/>
        <v>264</v>
      </c>
    </row>
    <row r="35" spans="1:37" hidden="1">
      <c r="A35" s="240">
        <f t="shared" si="3"/>
        <v>26</v>
      </c>
      <c r="B35" s="181" t="s">
        <v>2448</v>
      </c>
      <c r="C35" s="8">
        <f>AC38</f>
        <v>169</v>
      </c>
      <c r="D35"/>
      <c r="E35"/>
      <c r="F35" s="188">
        <v>0.36</v>
      </c>
      <c r="G35" s="187" t="s">
        <v>828</v>
      </c>
      <c r="H35" s="181" t="s">
        <v>829</v>
      </c>
      <c r="I35" s="8">
        <f>C67</f>
        <v>3800</v>
      </c>
      <c r="J35" s="2" t="s">
        <v>828</v>
      </c>
      <c r="K35" s="8">
        <f>(F35*I35)</f>
        <v>1368</v>
      </c>
      <c r="T35" s="236" t="s">
        <v>1365</v>
      </c>
      <c r="U35" s="181" t="s">
        <v>370</v>
      </c>
      <c r="V35" s="181" t="s">
        <v>833</v>
      </c>
      <c r="W35" s="181" t="str">
        <f>W11</f>
        <v>Pallavaram</v>
      </c>
      <c r="X35" s="188">
        <v>18</v>
      </c>
      <c r="Y35" s="243">
        <v>278</v>
      </c>
      <c r="Z35" s="188" t="e">
        <f>Z11</f>
        <v>#REF!</v>
      </c>
      <c r="AA35" s="236">
        <v>0</v>
      </c>
      <c r="AB35" s="183">
        <v>0</v>
      </c>
      <c r="AC35" s="181" t="e">
        <f t="shared" si="0"/>
        <v>#REF!</v>
      </c>
      <c r="AD35" s="181" t="s">
        <v>2449</v>
      </c>
      <c r="AE35" s="8">
        <v>240</v>
      </c>
      <c r="AF35" s="188"/>
      <c r="AG35" s="188"/>
      <c r="AI35">
        <v>37.299999999999997</v>
      </c>
      <c r="AJ35" s="182">
        <v>1.1000000000000001</v>
      </c>
      <c r="AK35" s="182">
        <f t="shared" si="1"/>
        <v>41.03</v>
      </c>
    </row>
    <row r="36" spans="1:37" hidden="1">
      <c r="B36" s="181" t="s">
        <v>717</v>
      </c>
      <c r="C36" s="8">
        <v>2.6</v>
      </c>
      <c r="D36"/>
      <c r="E36"/>
      <c r="F36" s="188">
        <v>1</v>
      </c>
      <c r="G36" s="187" t="s">
        <v>836</v>
      </c>
      <c r="H36" s="181" t="s">
        <v>837</v>
      </c>
      <c r="I36" s="8" t="e">
        <f>C78</f>
        <v>#REF!</v>
      </c>
      <c r="J36" s="2" t="s">
        <v>836</v>
      </c>
      <c r="K36" s="8" t="e">
        <f>(F36*I36)</f>
        <v>#REF!</v>
      </c>
      <c r="T36" s="236" t="s">
        <v>219</v>
      </c>
      <c r="U36" s="181" t="s">
        <v>369</v>
      </c>
      <c r="V36" s="181" t="s">
        <v>833</v>
      </c>
      <c r="W36" s="181" t="str">
        <f>W12</f>
        <v>Pallavaram</v>
      </c>
      <c r="X36" s="188">
        <v>18</v>
      </c>
      <c r="Y36" s="243">
        <v>334.5</v>
      </c>
      <c r="Z36" s="188" t="e">
        <f>Z12</f>
        <v>#REF!</v>
      </c>
      <c r="AA36" s="236">
        <v>0</v>
      </c>
      <c r="AB36" s="183">
        <v>0</v>
      </c>
      <c r="AC36" s="181" t="e">
        <f t="shared" si="0"/>
        <v>#REF!</v>
      </c>
      <c r="AD36" s="181" t="s">
        <v>2450</v>
      </c>
      <c r="AE36" s="6">
        <v>37.299999999999997</v>
      </c>
      <c r="AF36" s="189"/>
      <c r="AG36" s="189"/>
      <c r="AI36">
        <v>95.5</v>
      </c>
      <c r="AJ36" s="182">
        <v>1.1000000000000001</v>
      </c>
      <c r="AK36" s="182">
        <f t="shared" si="1"/>
        <v>105.05</v>
      </c>
    </row>
    <row r="37" spans="1:37" hidden="1">
      <c r="C37"/>
      <c r="D37"/>
      <c r="E37"/>
      <c r="F37" s="188">
        <v>1</v>
      </c>
      <c r="G37" s="187" t="s">
        <v>836</v>
      </c>
      <c r="H37" s="181" t="s">
        <v>841</v>
      </c>
      <c r="I37" s="8">
        <f>C18</f>
        <v>26</v>
      </c>
      <c r="J37" s="2" t="s">
        <v>836</v>
      </c>
      <c r="K37" s="8">
        <f>(F37*I37)</f>
        <v>26</v>
      </c>
      <c r="T37" s="236" t="s">
        <v>1619</v>
      </c>
      <c r="U37" s="181" t="s">
        <v>387</v>
      </c>
      <c r="V37" s="181" t="s">
        <v>833</v>
      </c>
      <c r="W37" s="181" t="str">
        <f>W13</f>
        <v>Pallavaram</v>
      </c>
      <c r="X37" s="188">
        <v>18</v>
      </c>
      <c r="Y37" s="243">
        <v>278.5</v>
      </c>
      <c r="Z37" s="188" t="e">
        <f>Z13</f>
        <v>#REF!</v>
      </c>
      <c r="AA37" s="236">
        <v>0</v>
      </c>
      <c r="AB37" s="183">
        <v>0</v>
      </c>
      <c r="AC37" s="181" t="e">
        <f t="shared" si="0"/>
        <v>#REF!</v>
      </c>
      <c r="AD37" s="181" t="s">
        <v>2451</v>
      </c>
      <c r="AE37" s="8">
        <v>120</v>
      </c>
      <c r="AF37" s="188"/>
      <c r="AG37" s="188"/>
    </row>
    <row r="38" spans="1:37" hidden="1">
      <c r="A38" s="240">
        <f>(A35+1)</f>
        <v>27</v>
      </c>
      <c r="B38" s="181" t="s">
        <v>1620</v>
      </c>
      <c r="C38" s="8">
        <v>40</v>
      </c>
      <c r="D38" s="1" t="s">
        <v>835</v>
      </c>
      <c r="E38"/>
      <c r="G38" s="187" t="s">
        <v>419</v>
      </c>
      <c r="H38" s="181" t="s">
        <v>420</v>
      </c>
      <c r="I38" s="1" t="s">
        <v>940</v>
      </c>
      <c r="J38" s="2" t="s">
        <v>419</v>
      </c>
      <c r="K38" s="8">
        <v>0</v>
      </c>
      <c r="T38" s="236" t="s">
        <v>200</v>
      </c>
      <c r="U38" s="181" t="s">
        <v>201</v>
      </c>
      <c r="V38" s="181" t="s">
        <v>833</v>
      </c>
      <c r="W38" s="181" t="s">
        <v>2452</v>
      </c>
      <c r="X38" s="188">
        <v>20</v>
      </c>
      <c r="Y38" s="6">
        <v>83</v>
      </c>
      <c r="Z38" s="188">
        <v>86</v>
      </c>
      <c r="AA38" s="236">
        <v>0</v>
      </c>
      <c r="AB38" s="183">
        <v>0</v>
      </c>
      <c r="AC38" s="181">
        <f t="shared" si="0"/>
        <v>169</v>
      </c>
      <c r="AD38" s="181" t="s">
        <v>940</v>
      </c>
      <c r="AE38" s="6"/>
      <c r="AG38" s="181" t="s">
        <v>2175</v>
      </c>
    </row>
    <row r="39" spans="1:37" hidden="1">
      <c r="A39" s="240">
        <f t="shared" ref="A39:A58" si="4">(A38+1)</f>
        <v>28</v>
      </c>
      <c r="B39" s="181" t="s">
        <v>202</v>
      </c>
      <c r="C39" s="8">
        <v>41</v>
      </c>
      <c r="D39" s="8">
        <v>500</v>
      </c>
      <c r="E39"/>
      <c r="I39"/>
      <c r="J39" s="4"/>
      <c r="K39" s="5" t="s">
        <v>1530</v>
      </c>
      <c r="T39" s="156"/>
      <c r="AA39" s="156"/>
      <c r="AG39" s="181" t="s">
        <v>2175</v>
      </c>
    </row>
    <row r="40" spans="1:37" hidden="1">
      <c r="A40" s="240">
        <f t="shared" si="4"/>
        <v>29</v>
      </c>
      <c r="B40" s="181" t="s">
        <v>979</v>
      </c>
      <c r="C40" s="8">
        <v>28</v>
      </c>
      <c r="D40" s="8">
        <f>95+95*0.11</f>
        <v>105.45</v>
      </c>
      <c r="E40"/>
      <c r="H40" s="181" t="s">
        <v>1459</v>
      </c>
      <c r="I40"/>
      <c r="J40" s="4"/>
      <c r="K40" s="8" t="e">
        <f>SUM(K35:K38)</f>
        <v>#REF!</v>
      </c>
      <c r="T40" s="185" t="s">
        <v>1530</v>
      </c>
      <c r="U40" s="185" t="s">
        <v>1530</v>
      </c>
      <c r="V40" s="185" t="s">
        <v>1530</v>
      </c>
      <c r="W40" s="185" t="s">
        <v>1530</v>
      </c>
      <c r="X40" s="185" t="s">
        <v>1530</v>
      </c>
      <c r="Y40" s="185" t="s">
        <v>1530</v>
      </c>
      <c r="Z40" s="185" t="s">
        <v>1530</v>
      </c>
      <c r="AA40" s="185" t="s">
        <v>1530</v>
      </c>
      <c r="AB40" s="185" t="s">
        <v>1530</v>
      </c>
      <c r="AC40" s="185" t="s">
        <v>1530</v>
      </c>
      <c r="AD40" s="185" t="s">
        <v>1530</v>
      </c>
      <c r="AE40" s="185" t="s">
        <v>1530</v>
      </c>
      <c r="AF40" s="185"/>
      <c r="AG40" s="181" t="s">
        <v>2175</v>
      </c>
    </row>
    <row r="41" spans="1:37" ht="47.25" hidden="1" customHeight="1">
      <c r="A41" s="240">
        <f t="shared" si="4"/>
        <v>30</v>
      </c>
      <c r="B41" s="181" t="s">
        <v>1712</v>
      </c>
      <c r="C41" s="8">
        <f>AE22</f>
        <v>110</v>
      </c>
      <c r="D41" s="1" t="s">
        <v>739</v>
      </c>
      <c r="E41"/>
      <c r="I41"/>
      <c r="J41" s="4"/>
      <c r="K41" s="5" t="s">
        <v>1530</v>
      </c>
      <c r="U41" s="244"/>
      <c r="Y41" s="181" t="s">
        <v>940</v>
      </c>
      <c r="AG41" s="181" t="s">
        <v>2175</v>
      </c>
    </row>
    <row r="42" spans="1:37" hidden="1">
      <c r="A42" s="240">
        <f t="shared" si="4"/>
        <v>31</v>
      </c>
      <c r="B42" s="181" t="s">
        <v>1713</v>
      </c>
      <c r="C42" s="8">
        <v>1.75</v>
      </c>
      <c r="D42" s="1" t="s">
        <v>1714</v>
      </c>
      <c r="E42"/>
      <c r="G42" s="187" t="s">
        <v>2167</v>
      </c>
      <c r="H42" s="181" t="s">
        <v>1571</v>
      </c>
      <c r="I42"/>
      <c r="J42" s="4"/>
      <c r="K42"/>
      <c r="U42" s="182" t="s">
        <v>1451</v>
      </c>
      <c r="AG42" s="181" t="s">
        <v>2175</v>
      </c>
    </row>
    <row r="43" spans="1:37" hidden="1">
      <c r="A43" s="240">
        <f t="shared" si="4"/>
        <v>32</v>
      </c>
      <c r="B43" s="181" t="s">
        <v>1572</v>
      </c>
      <c r="C43" s="8">
        <v>2.2000000000000002</v>
      </c>
      <c r="D43" s="1" t="s">
        <v>739</v>
      </c>
      <c r="E43"/>
      <c r="H43" s="185" t="s">
        <v>1530</v>
      </c>
      <c r="I43"/>
      <c r="J43" s="4"/>
      <c r="K43"/>
      <c r="AG43" s="181" t="s">
        <v>2175</v>
      </c>
    </row>
    <row r="44" spans="1:37" hidden="1">
      <c r="A44" s="240">
        <f t="shared" si="4"/>
        <v>33</v>
      </c>
      <c r="B44" s="181" t="s">
        <v>246</v>
      </c>
      <c r="C44" s="8">
        <v>2.2000000000000002</v>
      </c>
      <c r="D44" s="1" t="s">
        <v>739</v>
      </c>
      <c r="E44"/>
      <c r="F44" s="245">
        <v>0.28799999999999998</v>
      </c>
      <c r="G44" s="187" t="s">
        <v>828</v>
      </c>
      <c r="H44" s="181" t="s">
        <v>829</v>
      </c>
      <c r="I44" s="8">
        <f>(C67)</f>
        <v>3800</v>
      </c>
      <c r="J44" s="2" t="s">
        <v>828</v>
      </c>
      <c r="K44" s="8">
        <f>(F44*I44)</f>
        <v>1094.4000000000001</v>
      </c>
      <c r="AG44" s="181" t="s">
        <v>2175</v>
      </c>
    </row>
    <row r="45" spans="1:37" hidden="1">
      <c r="A45" s="240">
        <f t="shared" si="4"/>
        <v>34</v>
      </c>
      <c r="B45" s="181" t="s">
        <v>1845</v>
      </c>
      <c r="C45" s="8">
        <v>2.7</v>
      </c>
      <c r="D45" s="1" t="s">
        <v>739</v>
      </c>
      <c r="E45"/>
      <c r="F45" s="188">
        <v>1</v>
      </c>
      <c r="G45" s="187" t="s">
        <v>836</v>
      </c>
      <c r="H45" s="181" t="s">
        <v>837</v>
      </c>
      <c r="I45" s="8" t="e">
        <f>(C78)</f>
        <v>#REF!</v>
      </c>
      <c r="J45" s="2" t="s">
        <v>836</v>
      </c>
      <c r="K45" s="8" t="e">
        <f>(F45*I45)</f>
        <v>#REF!</v>
      </c>
      <c r="AG45" s="181" t="s">
        <v>2175</v>
      </c>
    </row>
    <row r="46" spans="1:37" hidden="1">
      <c r="A46" s="240">
        <f t="shared" si="4"/>
        <v>35</v>
      </c>
      <c r="B46" s="181" t="s">
        <v>75</v>
      </c>
      <c r="C46" s="8">
        <v>3.2</v>
      </c>
      <c r="D46" s="1" t="s">
        <v>739</v>
      </c>
      <c r="E46"/>
      <c r="F46" s="188">
        <v>1</v>
      </c>
      <c r="G46" s="187" t="s">
        <v>836</v>
      </c>
      <c r="H46" s="181" t="s">
        <v>841</v>
      </c>
      <c r="I46" s="8">
        <f>(C18)</f>
        <v>26</v>
      </c>
      <c r="J46" s="2" t="s">
        <v>836</v>
      </c>
      <c r="K46" s="8">
        <f>(F46*I46)</f>
        <v>26</v>
      </c>
      <c r="W46" s="181" t="s">
        <v>1608</v>
      </c>
      <c r="AA46" s="181" t="s">
        <v>76</v>
      </c>
      <c r="AE46" s="182" t="s">
        <v>2227</v>
      </c>
      <c r="AG46" s="181" t="s">
        <v>2175</v>
      </c>
    </row>
    <row r="47" spans="1:37" hidden="1">
      <c r="A47" s="240">
        <f t="shared" si="4"/>
        <v>36</v>
      </c>
      <c r="B47" s="181" t="s">
        <v>77</v>
      </c>
      <c r="C47" s="8">
        <v>4.2</v>
      </c>
      <c r="D47" s="1" t="s">
        <v>739</v>
      </c>
      <c r="E47"/>
      <c r="G47" s="187" t="s">
        <v>419</v>
      </c>
      <c r="H47" s="181" t="s">
        <v>420</v>
      </c>
      <c r="I47" s="1" t="s">
        <v>940</v>
      </c>
      <c r="J47" s="2" t="s">
        <v>419</v>
      </c>
      <c r="K47" s="8">
        <v>0</v>
      </c>
      <c r="N47" s="181" t="s">
        <v>2167</v>
      </c>
      <c r="O47" s="181" t="s">
        <v>1208</v>
      </c>
      <c r="AG47" s="181" t="s">
        <v>2175</v>
      </c>
    </row>
    <row r="48" spans="1:37" hidden="1">
      <c r="A48" s="240">
        <f t="shared" si="4"/>
        <v>37</v>
      </c>
      <c r="B48" s="181" t="s">
        <v>1209</v>
      </c>
      <c r="C48" s="8">
        <v>5.35</v>
      </c>
      <c r="D48" s="8">
        <v>10.65</v>
      </c>
      <c r="E48"/>
      <c r="I48"/>
      <c r="J48" s="4"/>
      <c r="K48" s="5" t="s">
        <v>1530</v>
      </c>
      <c r="O48" s="181" t="s">
        <v>611</v>
      </c>
      <c r="AG48" s="181" t="s">
        <v>2175</v>
      </c>
    </row>
    <row r="49" spans="1:33" hidden="1">
      <c r="A49" s="240">
        <f t="shared" si="4"/>
        <v>38</v>
      </c>
      <c r="B49" s="181" t="s">
        <v>1648</v>
      </c>
      <c r="C49" s="8">
        <v>5.85</v>
      </c>
      <c r="D49" s="8">
        <v>7.45</v>
      </c>
      <c r="E49"/>
      <c r="H49" s="181" t="s">
        <v>1459</v>
      </c>
      <c r="I49"/>
      <c r="J49" s="4"/>
      <c r="K49" s="8" t="e">
        <f>SUM(K44:K47)</f>
        <v>#REF!</v>
      </c>
      <c r="O49" s="185" t="s">
        <v>1530</v>
      </c>
      <c r="AG49" s="181" t="s">
        <v>2175</v>
      </c>
    </row>
    <row r="50" spans="1:33" hidden="1">
      <c r="A50" s="240">
        <f t="shared" si="4"/>
        <v>39</v>
      </c>
      <c r="B50" s="181" t="s">
        <v>1575</v>
      </c>
      <c r="C50" s="8">
        <v>3.2</v>
      </c>
      <c r="D50" s="1" t="s">
        <v>739</v>
      </c>
      <c r="E50"/>
      <c r="I50"/>
      <c r="J50" s="4"/>
      <c r="K50" s="5" t="s">
        <v>1530</v>
      </c>
      <c r="M50" s="188">
        <v>9</v>
      </c>
      <c r="N50" s="181" t="s">
        <v>836</v>
      </c>
      <c r="O50" s="181" t="s">
        <v>611</v>
      </c>
      <c r="P50" s="188" t="e">
        <f>(C81)</f>
        <v>#REF!</v>
      </c>
      <c r="Q50" s="181" t="s">
        <v>836</v>
      </c>
      <c r="R50" s="188" t="e">
        <f>(M50*P50)</f>
        <v>#REF!</v>
      </c>
      <c r="AG50" s="181" t="s">
        <v>2175</v>
      </c>
    </row>
    <row r="51" spans="1:33" hidden="1">
      <c r="A51" s="240">
        <f t="shared" si="4"/>
        <v>40</v>
      </c>
      <c r="B51" s="181" t="s">
        <v>1576</v>
      </c>
      <c r="C51" s="8">
        <v>3.2</v>
      </c>
      <c r="D51" s="1" t="s">
        <v>739</v>
      </c>
      <c r="E51"/>
      <c r="G51" s="187" t="s">
        <v>2167</v>
      </c>
      <c r="H51" s="181" t="s">
        <v>1577</v>
      </c>
      <c r="I51"/>
      <c r="J51" s="4"/>
      <c r="K51"/>
      <c r="M51" s="188">
        <v>4.5</v>
      </c>
      <c r="N51" s="181" t="s">
        <v>836</v>
      </c>
      <c r="O51" s="181" t="s">
        <v>1578</v>
      </c>
      <c r="P51" s="188" t="e">
        <f>(K77)</f>
        <v>#REF!</v>
      </c>
      <c r="Q51" s="181" t="s">
        <v>836</v>
      </c>
      <c r="R51" s="188" t="e">
        <f>(M51*P51)</f>
        <v>#REF!</v>
      </c>
      <c r="AG51" s="181" t="s">
        <v>2175</v>
      </c>
    </row>
    <row r="52" spans="1:33" hidden="1">
      <c r="A52" s="240">
        <f t="shared" si="4"/>
        <v>41</v>
      </c>
      <c r="B52" s="181" t="s">
        <v>1653</v>
      </c>
      <c r="C52" s="8">
        <v>6.4</v>
      </c>
      <c r="D52" s="1" t="s">
        <v>739</v>
      </c>
      <c r="E52"/>
      <c r="H52" s="185" t="s">
        <v>1530</v>
      </c>
      <c r="I52"/>
      <c r="J52" s="4"/>
      <c r="K52"/>
      <c r="M52" s="188">
        <v>1.8</v>
      </c>
      <c r="N52" s="181" t="s">
        <v>835</v>
      </c>
      <c r="O52" s="181" t="s">
        <v>1654</v>
      </c>
      <c r="P52" s="188">
        <f>(C11)</f>
        <v>135</v>
      </c>
      <c r="Q52" s="181" t="s">
        <v>835</v>
      </c>
      <c r="R52" s="188">
        <f>(M52*P52)</f>
        <v>243</v>
      </c>
      <c r="AG52" s="181" t="s">
        <v>2175</v>
      </c>
    </row>
    <row r="53" spans="1:33" hidden="1">
      <c r="A53" s="240">
        <f t="shared" si="4"/>
        <v>42</v>
      </c>
      <c r="B53" s="181" t="s">
        <v>1835</v>
      </c>
      <c r="C53" s="8">
        <v>8.5500000000000007</v>
      </c>
      <c r="D53" s="8">
        <v>21.3</v>
      </c>
      <c r="E53"/>
      <c r="F53" s="188">
        <v>0.24</v>
      </c>
      <c r="G53" s="187" t="s">
        <v>828</v>
      </c>
      <c r="H53" s="181" t="s">
        <v>829</v>
      </c>
      <c r="I53" s="8">
        <f>(C67)</f>
        <v>3800</v>
      </c>
      <c r="J53" s="2" t="s">
        <v>828</v>
      </c>
      <c r="K53" s="8">
        <f>(F53*I53)</f>
        <v>912</v>
      </c>
      <c r="M53" s="188">
        <v>17.7</v>
      </c>
      <c r="N53" s="181" t="s">
        <v>835</v>
      </c>
      <c r="O53" s="181" t="s">
        <v>1836</v>
      </c>
      <c r="P53" s="188">
        <f>(C12)</f>
        <v>95</v>
      </c>
      <c r="Q53" s="181" t="s">
        <v>835</v>
      </c>
      <c r="R53" s="188">
        <f>(M53*P53)</f>
        <v>1681.5</v>
      </c>
      <c r="AG53" s="181" t="s">
        <v>2175</v>
      </c>
    </row>
    <row r="54" spans="1:33" hidden="1">
      <c r="A54" s="240">
        <f t="shared" si="4"/>
        <v>43</v>
      </c>
      <c r="B54" s="181" t="s">
        <v>298</v>
      </c>
      <c r="C54" s="8">
        <v>9.5500000000000007</v>
      </c>
      <c r="D54" s="8">
        <v>16</v>
      </c>
      <c r="E54"/>
      <c r="F54" s="188">
        <v>1</v>
      </c>
      <c r="G54" s="187" t="s">
        <v>836</v>
      </c>
      <c r="H54" s="181" t="s">
        <v>837</v>
      </c>
      <c r="I54" s="8" t="e">
        <f>(C78)</f>
        <v>#REF!</v>
      </c>
      <c r="J54" s="2" t="s">
        <v>836</v>
      </c>
      <c r="K54" s="8" t="e">
        <f>(F54*I54)</f>
        <v>#REF!</v>
      </c>
      <c r="M54" s="188">
        <v>14.1</v>
      </c>
      <c r="N54" s="181" t="s">
        <v>835</v>
      </c>
      <c r="O54" s="181" t="s">
        <v>299</v>
      </c>
      <c r="P54" s="188">
        <f>(C13)</f>
        <v>85</v>
      </c>
      <c r="Q54" s="181" t="s">
        <v>835</v>
      </c>
      <c r="R54" s="188">
        <f>(M54*P54)</f>
        <v>1198.5</v>
      </c>
      <c r="AG54" s="181" t="s">
        <v>300</v>
      </c>
    </row>
    <row r="55" spans="1:33" hidden="1">
      <c r="A55" s="240">
        <f t="shared" si="4"/>
        <v>44</v>
      </c>
      <c r="B55" s="181" t="s">
        <v>301</v>
      </c>
      <c r="C55" s="8">
        <v>10.65</v>
      </c>
      <c r="D55" s="8">
        <v>12.75</v>
      </c>
      <c r="E55"/>
      <c r="F55" s="188">
        <v>1</v>
      </c>
      <c r="G55" s="187" t="s">
        <v>836</v>
      </c>
      <c r="H55" s="181" t="s">
        <v>841</v>
      </c>
      <c r="I55" s="8">
        <f>(C18)</f>
        <v>26</v>
      </c>
      <c r="J55" s="2" t="s">
        <v>836</v>
      </c>
      <c r="K55" s="8">
        <f>(F55*I55)</f>
        <v>26</v>
      </c>
      <c r="N55" s="181" t="s">
        <v>419</v>
      </c>
      <c r="O55" s="181" t="s">
        <v>420</v>
      </c>
      <c r="Q55" s="181" t="s">
        <v>419</v>
      </c>
      <c r="R55" s="188">
        <v>0</v>
      </c>
    </row>
    <row r="56" spans="1:33" hidden="1">
      <c r="A56" s="240">
        <f t="shared" si="4"/>
        <v>45</v>
      </c>
      <c r="B56" s="181" t="s">
        <v>302</v>
      </c>
      <c r="C56" s="8">
        <v>12.1</v>
      </c>
      <c r="D56" s="1" t="s">
        <v>419</v>
      </c>
      <c r="E56"/>
      <c r="G56" s="187" t="s">
        <v>419</v>
      </c>
      <c r="H56" s="181" t="s">
        <v>420</v>
      </c>
      <c r="I56" s="1" t="s">
        <v>940</v>
      </c>
      <c r="J56" s="2" t="s">
        <v>419</v>
      </c>
      <c r="K56" s="8">
        <v>0</v>
      </c>
      <c r="R56" s="185" t="s">
        <v>1530</v>
      </c>
    </row>
    <row r="57" spans="1:33" hidden="1">
      <c r="A57" s="240">
        <f t="shared" si="4"/>
        <v>46</v>
      </c>
      <c r="B57" s="181" t="s">
        <v>582</v>
      </c>
      <c r="C57" s="8">
        <v>35</v>
      </c>
      <c r="D57" s="1" t="s">
        <v>419</v>
      </c>
      <c r="E57"/>
      <c r="I57"/>
      <c r="J57" s="4"/>
      <c r="K57" s="5" t="s">
        <v>1530</v>
      </c>
      <c r="O57" s="181" t="s">
        <v>583</v>
      </c>
      <c r="R57" s="188" t="e">
        <f>SUM(R50:R55)</f>
        <v>#REF!</v>
      </c>
      <c r="AG57" s="181" t="s">
        <v>2175</v>
      </c>
    </row>
    <row r="58" spans="1:33" hidden="1">
      <c r="A58" s="240">
        <f t="shared" si="4"/>
        <v>47</v>
      </c>
      <c r="B58" s="181" t="s">
        <v>584</v>
      </c>
      <c r="C58" s="8">
        <v>15</v>
      </c>
      <c r="D58" s="1" t="s">
        <v>419</v>
      </c>
      <c r="E58"/>
      <c r="H58" s="181" t="s">
        <v>1459</v>
      </c>
      <c r="I58"/>
      <c r="J58" s="4"/>
      <c r="K58" s="8" t="e">
        <f>SUM(K53:K56)</f>
        <v>#REF!</v>
      </c>
      <c r="R58" s="185" t="s">
        <v>1530</v>
      </c>
      <c r="AG58" s="181" t="s">
        <v>2175</v>
      </c>
    </row>
    <row r="59" spans="1:33" hidden="1">
      <c r="C59"/>
      <c r="D59"/>
      <c r="E59"/>
      <c r="F59" s="181" t="s">
        <v>940</v>
      </c>
      <c r="I59"/>
      <c r="J59" s="4"/>
      <c r="K59"/>
    </row>
    <row r="60" spans="1:33" hidden="1">
      <c r="A60" s="240">
        <f>(A58+1)</f>
        <v>48</v>
      </c>
      <c r="B60" s="181" t="s">
        <v>585</v>
      </c>
      <c r="C60" s="8">
        <v>6.55</v>
      </c>
      <c r="D60" s="1" t="s">
        <v>1997</v>
      </c>
      <c r="E60"/>
      <c r="I60"/>
      <c r="J60" s="4"/>
      <c r="K60" s="5" t="s">
        <v>1530</v>
      </c>
      <c r="O60" s="181" t="s">
        <v>743</v>
      </c>
      <c r="R60" s="188" t="e">
        <f>(R57/10)</f>
        <v>#REF!</v>
      </c>
      <c r="AG60" s="181" t="s">
        <v>2175</v>
      </c>
    </row>
    <row r="61" spans="1:33" hidden="1">
      <c r="A61" s="240">
        <f t="shared" ref="A61:A91" si="5">(A60+1)</f>
        <v>49</v>
      </c>
      <c r="B61" s="181" t="s">
        <v>1998</v>
      </c>
      <c r="C61" s="8">
        <f>AE29</f>
        <v>25</v>
      </c>
      <c r="D61" s="8">
        <f>AE36</f>
        <v>37.299999999999997</v>
      </c>
      <c r="E61"/>
      <c r="G61" s="187" t="s">
        <v>2167</v>
      </c>
      <c r="H61" s="181" t="s">
        <v>1999</v>
      </c>
      <c r="I61"/>
      <c r="J61" s="4"/>
      <c r="K61"/>
      <c r="R61" s="185" t="s">
        <v>1980</v>
      </c>
      <c r="AG61" s="181" t="s">
        <v>2175</v>
      </c>
    </row>
    <row r="62" spans="1:33" hidden="1">
      <c r="A62" s="240">
        <f t="shared" si="5"/>
        <v>50</v>
      </c>
      <c r="B62" s="181" t="s">
        <v>2000</v>
      </c>
      <c r="C62" s="8">
        <v>85.5</v>
      </c>
      <c r="D62" s="1" t="s">
        <v>835</v>
      </c>
      <c r="E62"/>
      <c r="H62" s="185" t="s">
        <v>1530</v>
      </c>
      <c r="I62"/>
      <c r="J62" s="4"/>
      <c r="K62"/>
      <c r="N62" s="181" t="s">
        <v>2167</v>
      </c>
      <c r="O62" s="181" t="s">
        <v>1305</v>
      </c>
      <c r="AG62" s="181" t="s">
        <v>2175</v>
      </c>
    </row>
    <row r="63" spans="1:33" hidden="1">
      <c r="A63" s="240">
        <f t="shared" si="5"/>
        <v>51</v>
      </c>
      <c r="B63" s="181" t="s">
        <v>1972</v>
      </c>
      <c r="C63" s="8">
        <v>42</v>
      </c>
      <c r="D63" s="1" t="s">
        <v>419</v>
      </c>
      <c r="E63"/>
      <c r="F63" s="245">
        <v>0.20599999999999999</v>
      </c>
      <c r="G63" s="187" t="s">
        <v>828</v>
      </c>
      <c r="H63" s="181" t="s">
        <v>829</v>
      </c>
      <c r="I63" s="8">
        <f>(C67)</f>
        <v>3800</v>
      </c>
      <c r="J63" s="2" t="s">
        <v>828</v>
      </c>
      <c r="K63" s="8">
        <f>(F63*I63)</f>
        <v>782.8</v>
      </c>
      <c r="O63" s="181" t="s">
        <v>1430</v>
      </c>
      <c r="AG63" s="181" t="s">
        <v>2175</v>
      </c>
    </row>
    <row r="64" spans="1:33" hidden="1">
      <c r="A64" s="240">
        <f t="shared" si="5"/>
        <v>52</v>
      </c>
      <c r="B64" s="181" t="s">
        <v>1492</v>
      </c>
      <c r="C64" s="8">
        <v>62.5</v>
      </c>
      <c r="D64" s="1" t="s">
        <v>836</v>
      </c>
      <c r="E64"/>
      <c r="F64" s="188">
        <v>1</v>
      </c>
      <c r="G64" s="187" t="s">
        <v>836</v>
      </c>
      <c r="H64" s="181" t="s">
        <v>837</v>
      </c>
      <c r="I64" s="8" t="e">
        <f>(C78)</f>
        <v>#REF!</v>
      </c>
      <c r="J64" s="2" t="s">
        <v>836</v>
      </c>
      <c r="K64" s="8" t="e">
        <f>(F64*I64)</f>
        <v>#REF!</v>
      </c>
      <c r="O64" s="185" t="s">
        <v>1530</v>
      </c>
      <c r="AG64" s="181" t="s">
        <v>2175</v>
      </c>
    </row>
    <row r="65" spans="1:33" hidden="1">
      <c r="A65" s="240">
        <f t="shared" si="5"/>
        <v>53</v>
      </c>
      <c r="B65" s="181" t="s">
        <v>1306</v>
      </c>
      <c r="C65" s="8">
        <v>303</v>
      </c>
      <c r="D65" s="1" t="s">
        <v>1307</v>
      </c>
      <c r="E65"/>
      <c r="F65" s="188">
        <v>1</v>
      </c>
      <c r="G65" s="187" t="s">
        <v>836</v>
      </c>
      <c r="H65" s="181" t="s">
        <v>841</v>
      </c>
      <c r="I65" s="8">
        <f>(C18)</f>
        <v>26</v>
      </c>
      <c r="J65" s="2" t="s">
        <v>836</v>
      </c>
      <c r="K65" s="8">
        <f>(F65*I65)</f>
        <v>26</v>
      </c>
      <c r="M65" s="188">
        <v>9</v>
      </c>
      <c r="N65" s="181" t="s">
        <v>836</v>
      </c>
      <c r="O65" s="181" t="s">
        <v>1430</v>
      </c>
      <c r="P65" s="188" t="e">
        <f>(C73)</f>
        <v>#REF!</v>
      </c>
      <c r="Q65" s="181" t="s">
        <v>836</v>
      </c>
      <c r="R65" s="188" t="e">
        <f>(M65*P65)</f>
        <v>#REF!</v>
      </c>
      <c r="AG65" s="181" t="s">
        <v>2175</v>
      </c>
    </row>
    <row r="66" spans="1:33" hidden="1">
      <c r="A66" s="240">
        <f t="shared" si="5"/>
        <v>54</v>
      </c>
      <c r="B66" s="181" t="s">
        <v>1437</v>
      </c>
      <c r="C66" s="8">
        <f>AE18</f>
        <v>120</v>
      </c>
      <c r="D66" s="1" t="s">
        <v>835</v>
      </c>
      <c r="E66"/>
      <c r="G66" s="187" t="s">
        <v>419</v>
      </c>
      <c r="H66" s="181" t="s">
        <v>420</v>
      </c>
      <c r="I66" s="1" t="s">
        <v>940</v>
      </c>
      <c r="J66" s="2" t="s">
        <v>419</v>
      </c>
      <c r="K66" s="8">
        <v>0</v>
      </c>
      <c r="M66" s="188">
        <v>4.5</v>
      </c>
      <c r="N66" s="181" t="s">
        <v>836</v>
      </c>
      <c r="O66" s="181" t="s">
        <v>117</v>
      </c>
      <c r="P66" s="188" t="e">
        <f>(K23)</f>
        <v>#REF!</v>
      </c>
      <c r="Q66" s="181" t="s">
        <v>836</v>
      </c>
      <c r="R66" s="188" t="e">
        <f>(M66*P66)</f>
        <v>#REF!</v>
      </c>
      <c r="AG66" s="181" t="s">
        <v>2175</v>
      </c>
    </row>
    <row r="67" spans="1:33" hidden="1">
      <c r="A67" s="240">
        <f t="shared" si="5"/>
        <v>55</v>
      </c>
      <c r="B67" s="181" t="s">
        <v>829</v>
      </c>
      <c r="C67" s="8">
        <f>AC31</f>
        <v>3800</v>
      </c>
      <c r="D67" s="1" t="s">
        <v>828</v>
      </c>
      <c r="E67"/>
      <c r="I67"/>
      <c r="J67" s="4"/>
      <c r="K67" s="5" t="s">
        <v>1530</v>
      </c>
      <c r="M67" s="188">
        <v>1.8</v>
      </c>
      <c r="N67" s="181" t="s">
        <v>835</v>
      </c>
      <c r="O67" s="181" t="s">
        <v>1654</v>
      </c>
      <c r="P67" s="188">
        <f>(C11)</f>
        <v>135</v>
      </c>
      <c r="Q67" s="181" t="s">
        <v>835</v>
      </c>
      <c r="R67" s="188">
        <f>(M67*P67)</f>
        <v>243</v>
      </c>
      <c r="AG67" s="181" t="s">
        <v>2175</v>
      </c>
    </row>
    <row r="68" spans="1:33" hidden="1">
      <c r="A68" s="240">
        <f t="shared" si="5"/>
        <v>56</v>
      </c>
      <c r="B68" s="181" t="s">
        <v>1438</v>
      </c>
      <c r="C68" s="8" t="e">
        <f t="shared" ref="C68:C74" si="6">AC9</f>
        <v>#REF!</v>
      </c>
      <c r="D68" s="1" t="s">
        <v>836</v>
      </c>
      <c r="E68"/>
      <c r="H68" s="181" t="s">
        <v>1459</v>
      </c>
      <c r="I68"/>
      <c r="J68" s="4"/>
      <c r="K68" s="8" t="e">
        <f>SUM(K63:K66)</f>
        <v>#REF!</v>
      </c>
      <c r="M68" s="188">
        <v>17.7</v>
      </c>
      <c r="N68" s="181" t="s">
        <v>835</v>
      </c>
      <c r="O68" s="181" t="s">
        <v>1836</v>
      </c>
      <c r="P68" s="188">
        <f>(C12)</f>
        <v>95</v>
      </c>
      <c r="Q68" s="181" t="s">
        <v>835</v>
      </c>
      <c r="R68" s="188">
        <f>(M68*P68)</f>
        <v>1681.5</v>
      </c>
      <c r="AG68" s="181" t="s">
        <v>2175</v>
      </c>
    </row>
    <row r="69" spans="1:33" hidden="1">
      <c r="A69" s="240">
        <f t="shared" si="5"/>
        <v>57</v>
      </c>
      <c r="B69" s="181" t="s">
        <v>839</v>
      </c>
      <c r="C69" s="8" t="e">
        <f t="shared" si="6"/>
        <v>#REF!</v>
      </c>
      <c r="D69" s="1" t="s">
        <v>836</v>
      </c>
      <c r="E69"/>
      <c r="I69"/>
      <c r="J69" s="4"/>
      <c r="K69" s="5" t="s">
        <v>1530</v>
      </c>
      <c r="M69" s="188">
        <v>14.1</v>
      </c>
      <c r="N69" s="181" t="s">
        <v>835</v>
      </c>
      <c r="O69" s="181" t="s">
        <v>299</v>
      </c>
      <c r="P69" s="188">
        <f>(C13)</f>
        <v>85</v>
      </c>
      <c r="Q69" s="181" t="s">
        <v>835</v>
      </c>
      <c r="R69" s="188">
        <f>(M69*P69)</f>
        <v>1198.5</v>
      </c>
      <c r="AG69" s="181" t="s">
        <v>2175</v>
      </c>
    </row>
    <row r="70" spans="1:33" hidden="1">
      <c r="A70" s="240">
        <f t="shared" si="5"/>
        <v>58</v>
      </c>
      <c r="B70" s="181" t="s">
        <v>1439</v>
      </c>
      <c r="C70" s="8" t="e">
        <f t="shared" si="6"/>
        <v>#REF!</v>
      </c>
      <c r="D70" s="1" t="s">
        <v>836</v>
      </c>
      <c r="E70"/>
      <c r="G70" s="187" t="s">
        <v>2167</v>
      </c>
      <c r="H70" s="181" t="s">
        <v>1578</v>
      </c>
      <c r="I70"/>
      <c r="J70" s="4"/>
      <c r="K70"/>
      <c r="N70" s="181" t="s">
        <v>419</v>
      </c>
      <c r="O70" s="181" t="s">
        <v>420</v>
      </c>
      <c r="Q70" s="181" t="s">
        <v>419</v>
      </c>
      <c r="R70" s="188">
        <v>0</v>
      </c>
      <c r="AG70" s="181" t="s">
        <v>2175</v>
      </c>
    </row>
    <row r="71" spans="1:33" hidden="1">
      <c r="A71" s="240">
        <f t="shared" si="5"/>
        <v>59</v>
      </c>
      <c r="B71" s="181" t="s">
        <v>1440</v>
      </c>
      <c r="C71" s="8" t="e">
        <f t="shared" si="6"/>
        <v>#REF!</v>
      </c>
      <c r="D71" s="1" t="s">
        <v>836</v>
      </c>
      <c r="E71"/>
      <c r="H71" s="185" t="s">
        <v>1530</v>
      </c>
      <c r="I71"/>
      <c r="J71" s="4"/>
      <c r="K71"/>
      <c r="R71" s="185" t="s">
        <v>1530</v>
      </c>
      <c r="AG71" s="181" t="s">
        <v>2175</v>
      </c>
    </row>
    <row r="72" spans="1:33" hidden="1">
      <c r="A72" s="240">
        <f t="shared" si="5"/>
        <v>60</v>
      </c>
      <c r="B72" s="181" t="s">
        <v>1441</v>
      </c>
      <c r="C72" s="8" t="e">
        <f t="shared" si="6"/>
        <v>#REF!</v>
      </c>
      <c r="D72" s="1" t="s">
        <v>836</v>
      </c>
      <c r="E72"/>
      <c r="F72" s="188">
        <v>0.18</v>
      </c>
      <c r="G72" s="187" t="s">
        <v>828</v>
      </c>
      <c r="H72" s="181" t="s">
        <v>829</v>
      </c>
      <c r="I72" s="8">
        <f>(C67)</f>
        <v>3800</v>
      </c>
      <c r="J72" s="2" t="s">
        <v>828</v>
      </c>
      <c r="K72" s="8">
        <f>(F72*I72)</f>
        <v>684</v>
      </c>
      <c r="O72" s="181" t="s">
        <v>583</v>
      </c>
      <c r="R72" s="188" t="e">
        <f>SUM(R65:R70)</f>
        <v>#REF!</v>
      </c>
      <c r="AG72" s="181" t="s">
        <v>2175</v>
      </c>
    </row>
    <row r="73" spans="1:33" hidden="1">
      <c r="A73" s="240">
        <f t="shared" si="5"/>
        <v>61</v>
      </c>
      <c r="B73" s="181" t="s">
        <v>623</v>
      </c>
      <c r="C73" s="8" t="e">
        <f t="shared" si="6"/>
        <v>#REF!</v>
      </c>
      <c r="D73" s="1" t="s">
        <v>836</v>
      </c>
      <c r="E73"/>
      <c r="F73" s="188">
        <v>1</v>
      </c>
      <c r="G73" s="187" t="s">
        <v>836</v>
      </c>
      <c r="H73" s="181" t="s">
        <v>837</v>
      </c>
      <c r="I73" s="8" t="e">
        <f>(C78)</f>
        <v>#REF!</v>
      </c>
      <c r="J73" s="2" t="s">
        <v>836</v>
      </c>
      <c r="K73" s="8" t="e">
        <f>(F73*I73)</f>
        <v>#REF!</v>
      </c>
      <c r="R73" s="185" t="s">
        <v>1530</v>
      </c>
      <c r="AG73" s="181" t="s">
        <v>2175</v>
      </c>
    </row>
    <row r="74" spans="1:33" hidden="1">
      <c r="A74" s="240">
        <f t="shared" si="5"/>
        <v>62</v>
      </c>
      <c r="B74" s="181" t="s">
        <v>919</v>
      </c>
      <c r="C74" s="8" t="e">
        <f t="shared" si="6"/>
        <v>#REF!</v>
      </c>
      <c r="D74" s="1" t="s">
        <v>836</v>
      </c>
      <c r="E74"/>
      <c r="F74" s="188">
        <v>1</v>
      </c>
      <c r="G74" s="187" t="s">
        <v>836</v>
      </c>
      <c r="H74" s="181" t="s">
        <v>841</v>
      </c>
      <c r="I74" s="8">
        <f>(C18)</f>
        <v>26</v>
      </c>
      <c r="J74" s="2" t="s">
        <v>836</v>
      </c>
      <c r="K74" s="8">
        <f>(F74*I74)</f>
        <v>26</v>
      </c>
      <c r="O74" s="181" t="s">
        <v>743</v>
      </c>
      <c r="R74" s="188" t="e">
        <f>(R72/10)</f>
        <v>#REF!</v>
      </c>
      <c r="AG74" s="181" t="s">
        <v>2175</v>
      </c>
    </row>
    <row r="75" spans="1:33" hidden="1">
      <c r="A75" s="240">
        <f t="shared" si="5"/>
        <v>63</v>
      </c>
      <c r="B75" s="181" t="s">
        <v>920</v>
      </c>
      <c r="C75" s="8">
        <v>20</v>
      </c>
      <c r="D75" s="1" t="s">
        <v>2167</v>
      </c>
      <c r="E75"/>
      <c r="G75" s="187" t="s">
        <v>419</v>
      </c>
      <c r="H75" s="181" t="s">
        <v>420</v>
      </c>
      <c r="I75" s="1" t="s">
        <v>940</v>
      </c>
      <c r="J75" s="2" t="s">
        <v>419</v>
      </c>
      <c r="K75" s="8">
        <v>0</v>
      </c>
      <c r="R75" s="185" t="s">
        <v>1980</v>
      </c>
      <c r="AG75" s="181" t="s">
        <v>2175</v>
      </c>
    </row>
    <row r="76" spans="1:33" hidden="1">
      <c r="A76" s="240">
        <f t="shared" si="5"/>
        <v>64</v>
      </c>
      <c r="B76" s="181" t="s">
        <v>921</v>
      </c>
      <c r="C76" s="8">
        <v>514.62</v>
      </c>
      <c r="D76" s="8">
        <v>240</v>
      </c>
      <c r="E76"/>
      <c r="I76"/>
      <c r="J76" s="4"/>
      <c r="K76" s="5" t="s">
        <v>1530</v>
      </c>
      <c r="N76" s="181" t="s">
        <v>2167</v>
      </c>
      <c r="O76" s="181" t="s">
        <v>922</v>
      </c>
      <c r="AG76" s="181" t="s">
        <v>2175</v>
      </c>
    </row>
    <row r="77" spans="1:33" hidden="1">
      <c r="A77" s="240">
        <f t="shared" si="5"/>
        <v>65</v>
      </c>
      <c r="B77" s="181" t="s">
        <v>2228</v>
      </c>
      <c r="C77" s="8" t="e">
        <f>AC34</f>
        <v>#REF!</v>
      </c>
      <c r="D77" s="1" t="s">
        <v>836</v>
      </c>
      <c r="E77"/>
      <c r="H77" s="181" t="s">
        <v>1459</v>
      </c>
      <c r="I77"/>
      <c r="J77" s="4"/>
      <c r="K77" s="8" t="e">
        <f>SUM(K72:K75)</f>
        <v>#REF!</v>
      </c>
      <c r="O77" s="181" t="s">
        <v>1072</v>
      </c>
      <c r="AG77" s="181" t="s">
        <v>2175</v>
      </c>
    </row>
    <row r="78" spans="1:33" hidden="1">
      <c r="A78" s="240">
        <f t="shared" si="5"/>
        <v>66</v>
      </c>
      <c r="B78" s="181" t="s">
        <v>1366</v>
      </c>
      <c r="C78" s="8" t="e">
        <f t="shared" ref="C78:C91" si="7">AC16</f>
        <v>#REF!</v>
      </c>
      <c r="D78" s="1" t="s">
        <v>836</v>
      </c>
      <c r="E78"/>
      <c r="I78"/>
      <c r="J78" s="4"/>
      <c r="K78" s="5" t="s">
        <v>1530</v>
      </c>
      <c r="O78" s="185" t="s">
        <v>1530</v>
      </c>
      <c r="AG78" s="181" t="s">
        <v>2175</v>
      </c>
    </row>
    <row r="79" spans="1:33" hidden="1">
      <c r="A79" s="240">
        <f t="shared" si="5"/>
        <v>67</v>
      </c>
      <c r="B79" s="181" t="s">
        <v>1002</v>
      </c>
      <c r="C79" s="8" t="e">
        <f t="shared" si="7"/>
        <v>#REF!</v>
      </c>
      <c r="D79" s="1" t="s">
        <v>836</v>
      </c>
      <c r="E79"/>
      <c r="F79" s="246">
        <v>1.1000000000000001</v>
      </c>
      <c r="G79" s="187" t="s">
        <v>940</v>
      </c>
      <c r="H79" s="181" t="s">
        <v>1367</v>
      </c>
      <c r="I79"/>
      <c r="J79" s="4"/>
      <c r="K79"/>
      <c r="M79" s="188">
        <v>4600</v>
      </c>
      <c r="N79" s="181" t="s">
        <v>1368</v>
      </c>
      <c r="O79" s="181" t="s">
        <v>1072</v>
      </c>
      <c r="P79" s="188" t="e">
        <f>(C91)</f>
        <v>#REF!</v>
      </c>
      <c r="Q79" s="181" t="s">
        <v>1538</v>
      </c>
      <c r="R79" s="188" t="e">
        <f>(M79*P79)/1000</f>
        <v>#REF!</v>
      </c>
      <c r="AG79" s="181" t="s">
        <v>2175</v>
      </c>
    </row>
    <row r="80" spans="1:33" hidden="1">
      <c r="A80" s="240">
        <f t="shared" si="5"/>
        <v>68</v>
      </c>
      <c r="B80" s="181" t="s">
        <v>1423</v>
      </c>
      <c r="C80" s="8" t="e">
        <f t="shared" si="7"/>
        <v>#REF!</v>
      </c>
      <c r="D80" s="1" t="s">
        <v>1424</v>
      </c>
      <c r="E80"/>
      <c r="F80" s="247" t="s">
        <v>940</v>
      </c>
      <c r="H80" s="181" t="s">
        <v>1425</v>
      </c>
      <c r="I80"/>
      <c r="J80" s="4"/>
      <c r="K80"/>
      <c r="M80" s="188">
        <v>2.5</v>
      </c>
      <c r="N80" s="181" t="s">
        <v>836</v>
      </c>
      <c r="O80" s="181" t="s">
        <v>1571</v>
      </c>
      <c r="P80" s="188" t="e">
        <f>(K49)</f>
        <v>#REF!</v>
      </c>
      <c r="Q80" s="181" t="s">
        <v>836</v>
      </c>
      <c r="R80" s="188" t="e">
        <f>(M80*P80)</f>
        <v>#REF!</v>
      </c>
      <c r="AG80" s="181" t="s">
        <v>2175</v>
      </c>
    </row>
    <row r="81" spans="1:33" hidden="1">
      <c r="A81" s="240">
        <f t="shared" si="5"/>
        <v>69</v>
      </c>
      <c r="B81" s="181" t="s">
        <v>64</v>
      </c>
      <c r="C81" s="8" t="e">
        <f t="shared" si="7"/>
        <v>#REF!</v>
      </c>
      <c r="D81" s="1" t="s">
        <v>836</v>
      </c>
      <c r="E81"/>
      <c r="F81" s="188">
        <v>10</v>
      </c>
      <c r="G81" s="187" t="s">
        <v>836</v>
      </c>
      <c r="H81" s="181" t="s">
        <v>1138</v>
      </c>
      <c r="I81" s="8">
        <f>(C61)</f>
        <v>25</v>
      </c>
      <c r="J81" s="2" t="s">
        <v>836</v>
      </c>
      <c r="K81" s="8">
        <f>(F81*I81)</f>
        <v>250</v>
      </c>
      <c r="M81" s="188">
        <v>3.5</v>
      </c>
      <c r="N81" s="181" t="s">
        <v>835</v>
      </c>
      <c r="O81" s="181" t="s">
        <v>1938</v>
      </c>
      <c r="P81" s="188">
        <f>(C10)</f>
        <v>150</v>
      </c>
      <c r="Q81" s="181" t="s">
        <v>835</v>
      </c>
      <c r="R81" s="188">
        <f>(M81*P81)</f>
        <v>525</v>
      </c>
      <c r="AG81" s="181" t="s">
        <v>2175</v>
      </c>
    </row>
    <row r="82" spans="1:33" hidden="1">
      <c r="A82" s="240">
        <f t="shared" si="5"/>
        <v>70</v>
      </c>
      <c r="B82" s="181" t="s">
        <v>1939</v>
      </c>
      <c r="C82" s="8" t="e">
        <f t="shared" si="7"/>
        <v>#REF!</v>
      </c>
      <c r="D82" s="1" t="s">
        <v>836</v>
      </c>
      <c r="E82"/>
      <c r="F82" s="188">
        <v>10</v>
      </c>
      <c r="G82" s="187" t="s">
        <v>836</v>
      </c>
      <c r="H82" s="181" t="s">
        <v>1940</v>
      </c>
      <c r="I82" s="8">
        <f>(C61)</f>
        <v>25</v>
      </c>
      <c r="J82" s="2" t="s">
        <v>836</v>
      </c>
      <c r="K82" s="8">
        <f>(F82*I82)</f>
        <v>250</v>
      </c>
      <c r="M82" s="188">
        <v>10.6</v>
      </c>
      <c r="N82" s="181" t="s">
        <v>835</v>
      </c>
      <c r="O82" s="181" t="s">
        <v>1654</v>
      </c>
      <c r="P82" s="188">
        <f>(C11)</f>
        <v>135</v>
      </c>
      <c r="Q82" s="181" t="s">
        <v>835</v>
      </c>
      <c r="R82" s="188">
        <f>(M82*P82)</f>
        <v>1431</v>
      </c>
      <c r="AG82" s="181" t="s">
        <v>2175</v>
      </c>
    </row>
    <row r="83" spans="1:33" hidden="1">
      <c r="A83" s="240">
        <f t="shared" si="5"/>
        <v>71</v>
      </c>
      <c r="B83" s="181" t="s">
        <v>1941</v>
      </c>
      <c r="C83" s="8">
        <f t="shared" si="7"/>
        <v>4500</v>
      </c>
      <c r="D83" s="1" t="s">
        <v>1424</v>
      </c>
      <c r="E83">
        <v>3550</v>
      </c>
      <c r="F83" s="188">
        <v>10</v>
      </c>
      <c r="G83" s="187" t="s">
        <v>836</v>
      </c>
      <c r="H83" s="181" t="s">
        <v>1942</v>
      </c>
      <c r="I83" s="8">
        <f>(C26)/3</f>
        <v>2.93</v>
      </c>
      <c r="J83" s="2" t="s">
        <v>836</v>
      </c>
      <c r="K83" s="8">
        <f>(F83*I83)</f>
        <v>29.3</v>
      </c>
      <c r="M83" s="188">
        <v>7.1</v>
      </c>
      <c r="N83" s="181" t="s">
        <v>835</v>
      </c>
      <c r="O83" s="181" t="s">
        <v>1836</v>
      </c>
      <c r="P83" s="188">
        <f>(C12)</f>
        <v>95</v>
      </c>
      <c r="Q83" s="181" t="s">
        <v>835</v>
      </c>
      <c r="R83" s="188">
        <f>(M83*P83)</f>
        <v>674.5</v>
      </c>
      <c r="AG83" s="181" t="s">
        <v>2175</v>
      </c>
    </row>
    <row r="84" spans="1:33" hidden="1">
      <c r="A84" s="240">
        <f t="shared" si="5"/>
        <v>72</v>
      </c>
      <c r="B84" s="181" t="s">
        <v>1943</v>
      </c>
      <c r="C84" s="8">
        <f t="shared" si="7"/>
        <v>773</v>
      </c>
      <c r="D84" s="1" t="s">
        <v>836</v>
      </c>
      <c r="E84"/>
      <c r="G84" s="187" t="s">
        <v>419</v>
      </c>
      <c r="H84" s="181" t="s">
        <v>420</v>
      </c>
      <c r="I84"/>
      <c r="J84" s="2" t="s">
        <v>419</v>
      </c>
      <c r="K84" s="8">
        <v>0</v>
      </c>
      <c r="M84" s="188">
        <v>21.2</v>
      </c>
      <c r="N84" s="181" t="s">
        <v>835</v>
      </c>
      <c r="O84" s="181" t="s">
        <v>299</v>
      </c>
      <c r="P84" s="188">
        <f>(C13)</f>
        <v>85</v>
      </c>
      <c r="Q84" s="181" t="s">
        <v>835</v>
      </c>
      <c r="R84" s="188">
        <f>(M84*P84)</f>
        <v>1802</v>
      </c>
      <c r="AG84" s="181" t="s">
        <v>2175</v>
      </c>
    </row>
    <row r="85" spans="1:33" hidden="1">
      <c r="A85" s="240">
        <f t="shared" si="5"/>
        <v>73</v>
      </c>
      <c r="B85" s="181" t="s">
        <v>1933</v>
      </c>
      <c r="C85" s="8" t="e">
        <f t="shared" si="7"/>
        <v>#REF!</v>
      </c>
      <c r="D85" s="1" t="s">
        <v>836</v>
      </c>
      <c r="E85"/>
      <c r="I85"/>
      <c r="J85" s="4"/>
      <c r="K85" s="5" t="s">
        <v>1530</v>
      </c>
      <c r="N85" s="181" t="s">
        <v>419</v>
      </c>
      <c r="O85" s="181" t="s">
        <v>420</v>
      </c>
      <c r="Q85" s="181" t="s">
        <v>419</v>
      </c>
      <c r="R85" s="188">
        <v>0</v>
      </c>
      <c r="AG85" s="181" t="s">
        <v>2175</v>
      </c>
    </row>
    <row r="86" spans="1:33" hidden="1">
      <c r="A86" s="240">
        <f t="shared" si="5"/>
        <v>74</v>
      </c>
      <c r="B86" s="181" t="s">
        <v>1944</v>
      </c>
      <c r="C86" s="8">
        <f t="shared" si="7"/>
        <v>20605</v>
      </c>
      <c r="D86" s="1" t="s">
        <v>836</v>
      </c>
      <c r="E86"/>
      <c r="H86" s="181" t="s">
        <v>583</v>
      </c>
      <c r="I86"/>
      <c r="J86" s="4"/>
      <c r="K86" s="8">
        <f>SUM(K81:K84)</f>
        <v>529.29999999999995</v>
      </c>
      <c r="R86" s="185" t="s">
        <v>1530</v>
      </c>
      <c r="AG86" s="181" t="s">
        <v>2175</v>
      </c>
    </row>
    <row r="87" spans="1:33" hidden="1">
      <c r="A87" s="240">
        <f t="shared" si="5"/>
        <v>75</v>
      </c>
      <c r="B87" s="181" t="s">
        <v>1945</v>
      </c>
      <c r="C87" s="8">
        <f t="shared" si="7"/>
        <v>23685</v>
      </c>
      <c r="D87" s="1" t="s">
        <v>836</v>
      </c>
      <c r="E87"/>
      <c r="I87"/>
      <c r="J87" s="4"/>
      <c r="K87" s="5" t="s">
        <v>1530</v>
      </c>
      <c r="O87" s="181" t="s">
        <v>583</v>
      </c>
      <c r="R87" s="188" t="e">
        <f>SUM(R79:R85)</f>
        <v>#REF!</v>
      </c>
      <c r="AG87" s="181" t="s">
        <v>2175</v>
      </c>
    </row>
    <row r="88" spans="1:33" hidden="1">
      <c r="A88" s="240">
        <f t="shared" si="5"/>
        <v>76</v>
      </c>
      <c r="B88" s="181" t="s">
        <v>1946</v>
      </c>
      <c r="C88" s="8">
        <f t="shared" si="7"/>
        <v>65420</v>
      </c>
      <c r="D88" s="1" t="s">
        <v>836</v>
      </c>
      <c r="E88"/>
      <c r="H88" s="248" t="s">
        <v>1976</v>
      </c>
      <c r="I88" s="37" t="s">
        <v>1342</v>
      </c>
      <c r="J88" s="40"/>
      <c r="K88" s="39">
        <f>(K86/10)</f>
        <v>52.93</v>
      </c>
      <c r="R88" s="185" t="s">
        <v>1530</v>
      </c>
      <c r="AG88" s="181" t="s">
        <v>2175</v>
      </c>
    </row>
    <row r="89" spans="1:33" hidden="1">
      <c r="A89" s="240">
        <f t="shared" si="5"/>
        <v>77</v>
      </c>
      <c r="B89" s="181" t="s">
        <v>277</v>
      </c>
      <c r="C89" s="8">
        <f t="shared" si="7"/>
        <v>57165</v>
      </c>
      <c r="D89" s="1" t="s">
        <v>836</v>
      </c>
      <c r="E89"/>
      <c r="I89" s="37" t="s">
        <v>1310</v>
      </c>
      <c r="J89" s="40"/>
      <c r="K89" s="42">
        <f>ROUND(K88+C36,2)</f>
        <v>55.53</v>
      </c>
      <c r="O89" s="181" t="s">
        <v>743</v>
      </c>
      <c r="R89" s="188" t="e">
        <f>(R87/10)</f>
        <v>#REF!</v>
      </c>
      <c r="AG89" s="181" t="s">
        <v>2175</v>
      </c>
    </row>
    <row r="90" spans="1:33" ht="31.5" hidden="1">
      <c r="A90" s="240">
        <f t="shared" si="5"/>
        <v>78</v>
      </c>
      <c r="B90" s="181" t="s">
        <v>2229</v>
      </c>
      <c r="C90" s="8">
        <f t="shared" si="7"/>
        <v>63870</v>
      </c>
      <c r="D90" s="1" t="s">
        <v>836</v>
      </c>
      <c r="E90"/>
      <c r="F90" s="242" t="s">
        <v>1471</v>
      </c>
      <c r="H90" s="249" t="s">
        <v>1874</v>
      </c>
      <c r="I90" s="37" t="s">
        <v>1342</v>
      </c>
      <c r="J90" s="40"/>
      <c r="K90" s="39">
        <f>K88-K83/10</f>
        <v>50</v>
      </c>
      <c r="R90" s="185" t="s">
        <v>1980</v>
      </c>
      <c r="AG90" s="181" t="s">
        <v>2175</v>
      </c>
    </row>
    <row r="91" spans="1:33" hidden="1">
      <c r="A91" s="240">
        <f t="shared" si="5"/>
        <v>79</v>
      </c>
      <c r="B91" s="181" t="s">
        <v>2230</v>
      </c>
      <c r="C91" s="8" t="e">
        <f t="shared" si="7"/>
        <v>#REF!</v>
      </c>
      <c r="D91" s="1" t="s">
        <v>1424</v>
      </c>
      <c r="E91"/>
      <c r="I91" s="37" t="s">
        <v>1310</v>
      </c>
      <c r="J91" s="40"/>
      <c r="K91" s="42">
        <f>ROUND(K90+C36,2)</f>
        <v>52.6</v>
      </c>
      <c r="AG91" s="181" t="s">
        <v>2175</v>
      </c>
    </row>
    <row r="92" spans="1:33" hidden="1">
      <c r="C92"/>
      <c r="D92"/>
      <c r="E92"/>
      <c r="F92" s="242" t="s">
        <v>2016</v>
      </c>
      <c r="G92" s="187" t="s">
        <v>940</v>
      </c>
      <c r="H92" s="181" t="s">
        <v>475</v>
      </c>
      <c r="I92"/>
      <c r="J92" s="4"/>
      <c r="K92"/>
    </row>
    <row r="93" spans="1:33" hidden="1">
      <c r="C93"/>
      <c r="D93"/>
      <c r="E93"/>
      <c r="F93" s="247" t="s">
        <v>940</v>
      </c>
      <c r="H93" s="185" t="s">
        <v>1530</v>
      </c>
      <c r="I93"/>
      <c r="J93" s="4"/>
      <c r="K93"/>
    </row>
    <row r="94" spans="1:33" hidden="1">
      <c r="C94"/>
      <c r="D94"/>
      <c r="E94"/>
      <c r="F94" s="188">
        <v>10</v>
      </c>
      <c r="G94" s="187" t="s">
        <v>836</v>
      </c>
      <c r="H94" s="181" t="s">
        <v>356</v>
      </c>
      <c r="I94" s="8">
        <f>D61</f>
        <v>37.299999999999997</v>
      </c>
      <c r="J94" s="2" t="s">
        <v>836</v>
      </c>
      <c r="K94" s="8">
        <f>(F94*I94)</f>
        <v>373</v>
      </c>
    </row>
    <row r="95" spans="1:33" hidden="1">
      <c r="C95"/>
      <c r="D95"/>
      <c r="E95"/>
      <c r="F95" s="188">
        <v>10</v>
      </c>
      <c r="G95" s="187" t="s">
        <v>836</v>
      </c>
      <c r="H95" s="181" t="s">
        <v>1940</v>
      </c>
      <c r="I95" s="8">
        <f>D61</f>
        <v>37.299999999999997</v>
      </c>
      <c r="J95" s="2" t="s">
        <v>836</v>
      </c>
      <c r="K95" s="8">
        <f>(F95*I95)</f>
        <v>373</v>
      </c>
    </row>
    <row r="96" spans="1:33" hidden="1">
      <c r="C96"/>
      <c r="D96"/>
      <c r="E96"/>
      <c r="F96" s="188">
        <v>10</v>
      </c>
      <c r="G96" s="187" t="s">
        <v>836</v>
      </c>
      <c r="H96" s="181" t="s">
        <v>1942</v>
      </c>
      <c r="I96" s="8">
        <f>I83</f>
        <v>2.93</v>
      </c>
      <c r="J96" s="2" t="s">
        <v>836</v>
      </c>
      <c r="K96" s="8">
        <f>(F96*I96)</f>
        <v>29.3</v>
      </c>
    </row>
    <row r="97" spans="3:11" hidden="1">
      <c r="C97"/>
      <c r="D97"/>
      <c r="E97"/>
      <c r="G97" s="187" t="s">
        <v>419</v>
      </c>
      <c r="H97" s="181" t="s">
        <v>420</v>
      </c>
      <c r="I97"/>
      <c r="J97" s="2" t="s">
        <v>419</v>
      </c>
      <c r="K97" s="8">
        <v>0</v>
      </c>
    </row>
    <row r="98" spans="3:11" hidden="1">
      <c r="C98"/>
      <c r="D98"/>
      <c r="E98"/>
      <c r="I98"/>
      <c r="J98" s="4"/>
      <c r="K98" s="5" t="s">
        <v>1530</v>
      </c>
    </row>
    <row r="99" spans="3:11" hidden="1">
      <c r="C99"/>
      <c r="D99"/>
      <c r="E99"/>
      <c r="H99" s="181" t="s">
        <v>583</v>
      </c>
      <c r="I99"/>
      <c r="J99" s="4"/>
      <c r="K99" s="8">
        <f>SUM(K94:K97)</f>
        <v>775.3</v>
      </c>
    </row>
    <row r="100" spans="3:11" hidden="1">
      <c r="C100"/>
      <c r="D100"/>
      <c r="E100"/>
      <c r="I100"/>
      <c r="J100" s="4"/>
      <c r="K100" s="5" t="s">
        <v>1530</v>
      </c>
    </row>
    <row r="101" spans="3:11" hidden="1">
      <c r="C101"/>
      <c r="D101"/>
      <c r="E101"/>
      <c r="H101" s="248" t="s">
        <v>1976</v>
      </c>
      <c r="I101" s="37" t="s">
        <v>1342</v>
      </c>
      <c r="J101" s="40"/>
      <c r="K101" s="39">
        <f>(K99/10)</f>
        <v>77.53</v>
      </c>
    </row>
    <row r="102" spans="3:11" hidden="1">
      <c r="C102"/>
      <c r="D102"/>
      <c r="E102"/>
      <c r="I102" s="37" t="s">
        <v>1310</v>
      </c>
      <c r="J102" s="40"/>
      <c r="K102" s="42">
        <f>ROUND(K101+C36,2)</f>
        <v>80.13</v>
      </c>
    </row>
    <row r="103" spans="3:11" hidden="1">
      <c r="C103"/>
      <c r="D103"/>
      <c r="E103"/>
      <c r="I103" s="37"/>
      <c r="J103" s="40"/>
      <c r="K103" s="41"/>
    </row>
    <row r="104" spans="3:11" hidden="1">
      <c r="C104"/>
      <c r="D104"/>
      <c r="E104"/>
      <c r="F104" s="246">
        <v>1.7</v>
      </c>
      <c r="H104" s="249" t="s">
        <v>624</v>
      </c>
      <c r="I104" s="37" t="s">
        <v>1342</v>
      </c>
      <c r="J104" s="40"/>
      <c r="K104" s="42">
        <f>ROUND(K101-K96/10,2)</f>
        <v>74.599999999999994</v>
      </c>
    </row>
    <row r="105" spans="3:11" hidden="1">
      <c r="C105"/>
      <c r="D105"/>
      <c r="E105"/>
      <c r="I105" s="37" t="s">
        <v>1310</v>
      </c>
      <c r="J105" s="40"/>
      <c r="K105" s="42">
        <f>ROUND(K104+C36,2)</f>
        <v>77.2</v>
      </c>
    </row>
    <row r="106" spans="3:11" hidden="1">
      <c r="C106"/>
      <c r="D106"/>
      <c r="E106"/>
      <c r="I106"/>
      <c r="J106" s="4"/>
      <c r="K106" s="5"/>
    </row>
    <row r="107" spans="3:11" hidden="1">
      <c r="C107"/>
      <c r="D107"/>
      <c r="E107"/>
      <c r="I107"/>
      <c r="J107" s="4"/>
      <c r="K107" s="5"/>
    </row>
    <row r="108" spans="3:11" ht="31.5" hidden="1">
      <c r="C108"/>
      <c r="D108"/>
      <c r="E108"/>
      <c r="F108" s="246">
        <v>1.5</v>
      </c>
      <c r="G108" s="187" t="s">
        <v>940</v>
      </c>
      <c r="H108" s="250" t="s">
        <v>407</v>
      </c>
      <c r="I108"/>
      <c r="J108" s="4"/>
      <c r="K108"/>
    </row>
    <row r="109" spans="3:11" hidden="1">
      <c r="C109"/>
      <c r="D109"/>
      <c r="E109"/>
      <c r="I109"/>
      <c r="J109" s="4"/>
      <c r="K109"/>
    </row>
    <row r="110" spans="3:11" hidden="1">
      <c r="C110"/>
      <c r="D110"/>
      <c r="E110"/>
      <c r="F110" s="188">
        <v>10</v>
      </c>
      <c r="G110" s="187" t="s">
        <v>836</v>
      </c>
      <c r="H110" s="181" t="s">
        <v>1138</v>
      </c>
      <c r="I110" s="8">
        <f>C61</f>
        <v>25</v>
      </c>
      <c r="J110" s="2" t="s">
        <v>836</v>
      </c>
      <c r="K110" s="8">
        <f>(F110*I110)</f>
        <v>250</v>
      </c>
    </row>
    <row r="111" spans="3:11" hidden="1">
      <c r="C111"/>
      <c r="D111"/>
      <c r="E111"/>
      <c r="F111" s="188">
        <v>10</v>
      </c>
      <c r="G111" s="187" t="s">
        <v>836</v>
      </c>
      <c r="H111" s="181" t="s">
        <v>1942</v>
      </c>
      <c r="I111" s="8">
        <f>I83</f>
        <v>2.93</v>
      </c>
      <c r="J111" s="2" t="s">
        <v>836</v>
      </c>
      <c r="K111" s="8">
        <f>(F111*I111)</f>
        <v>29.3</v>
      </c>
    </row>
    <row r="112" spans="3:11" hidden="1">
      <c r="C112"/>
      <c r="D112"/>
      <c r="E112"/>
      <c r="G112" s="187" t="s">
        <v>419</v>
      </c>
      <c r="H112" s="181" t="s">
        <v>420</v>
      </c>
      <c r="I112"/>
      <c r="J112" s="2" t="s">
        <v>419</v>
      </c>
      <c r="K112" s="8">
        <v>0</v>
      </c>
    </row>
    <row r="113" spans="3:11" hidden="1">
      <c r="C113"/>
      <c r="D113"/>
      <c r="E113"/>
      <c r="I113"/>
      <c r="J113" s="4"/>
      <c r="K113" s="5" t="s">
        <v>1530</v>
      </c>
    </row>
    <row r="114" spans="3:11" hidden="1">
      <c r="C114"/>
      <c r="D114"/>
      <c r="E114"/>
      <c r="H114" s="181" t="s">
        <v>583</v>
      </c>
      <c r="I114"/>
      <c r="J114" s="4"/>
      <c r="K114" s="8">
        <f>SUM(K110:K112)</f>
        <v>279.3</v>
      </c>
    </row>
    <row r="115" spans="3:11" hidden="1">
      <c r="C115"/>
      <c r="D115"/>
      <c r="E115"/>
      <c r="I115"/>
      <c r="J115" s="4"/>
      <c r="K115" s="5" t="s">
        <v>1530</v>
      </c>
    </row>
    <row r="116" spans="3:11" hidden="1">
      <c r="C116"/>
      <c r="D116"/>
      <c r="E116"/>
      <c r="H116" s="181"/>
      <c r="I116"/>
      <c r="J116" s="4"/>
      <c r="K116" s="8">
        <f>(K114/10)</f>
        <v>27.93</v>
      </c>
    </row>
    <row r="117" spans="3:11" hidden="1">
      <c r="C117"/>
      <c r="D117"/>
      <c r="E117"/>
      <c r="I117"/>
      <c r="J117" s="4"/>
      <c r="K117" s="5" t="s">
        <v>1980</v>
      </c>
    </row>
    <row r="118" spans="3:11" hidden="1">
      <c r="C118"/>
      <c r="D118"/>
      <c r="E118"/>
      <c r="F118" s="242"/>
      <c r="H118" s="181" t="s">
        <v>1962</v>
      </c>
      <c r="I118" s="37" t="s">
        <v>1342</v>
      </c>
      <c r="J118" s="4"/>
      <c r="K118" s="39">
        <f>K116-K111/10</f>
        <v>25</v>
      </c>
    </row>
    <row r="119" spans="3:11" hidden="1">
      <c r="C119"/>
      <c r="D119"/>
      <c r="E119"/>
      <c r="I119" s="37" t="s">
        <v>1310</v>
      </c>
      <c r="J119" s="4"/>
      <c r="K119" s="42">
        <f>ROUND(K118+C36,2)</f>
        <v>27.6</v>
      </c>
    </row>
    <row r="120" spans="3:11" hidden="1">
      <c r="C120"/>
      <c r="D120"/>
      <c r="E120"/>
      <c r="I120"/>
      <c r="J120" s="4"/>
      <c r="K120" s="5"/>
    </row>
    <row r="121" spans="3:11" ht="31.5" hidden="1">
      <c r="C121"/>
      <c r="D121"/>
      <c r="E121"/>
      <c r="F121" s="251">
        <v>1.8</v>
      </c>
      <c r="H121" s="250" t="s">
        <v>1988</v>
      </c>
      <c r="I121"/>
      <c r="J121" s="4"/>
      <c r="K121" s="5"/>
    </row>
    <row r="122" spans="3:11" hidden="1">
      <c r="C122"/>
      <c r="D122"/>
      <c r="E122"/>
      <c r="I122"/>
      <c r="J122" s="4"/>
      <c r="K122" s="5"/>
    </row>
    <row r="123" spans="3:11" hidden="1">
      <c r="C123"/>
      <c r="D123"/>
      <c r="E123"/>
      <c r="F123" s="188">
        <v>10</v>
      </c>
      <c r="G123" s="187" t="s">
        <v>836</v>
      </c>
      <c r="H123" s="181" t="s">
        <v>356</v>
      </c>
      <c r="I123">
        <f>D61</f>
        <v>37.299999999999997</v>
      </c>
      <c r="J123" s="2" t="s">
        <v>836</v>
      </c>
      <c r="K123" s="8">
        <f>(F123*I123)</f>
        <v>373</v>
      </c>
    </row>
    <row r="124" spans="3:11" hidden="1">
      <c r="C124"/>
      <c r="D124"/>
      <c r="E124"/>
      <c r="G124" s="180" t="s">
        <v>625</v>
      </c>
      <c r="I124"/>
      <c r="J124" s="4" t="s">
        <v>625</v>
      </c>
      <c r="K124" s="8">
        <v>0</v>
      </c>
    </row>
    <row r="125" spans="3:11" hidden="1">
      <c r="C125"/>
      <c r="D125"/>
      <c r="E125"/>
      <c r="I125"/>
      <c r="J125" s="4"/>
      <c r="K125" s="5" t="s">
        <v>1530</v>
      </c>
    </row>
    <row r="126" spans="3:11" hidden="1">
      <c r="C126"/>
      <c r="D126"/>
      <c r="E126"/>
      <c r="H126" s="181" t="s">
        <v>583</v>
      </c>
      <c r="I126"/>
      <c r="J126" s="4"/>
      <c r="K126" s="8">
        <f>SUM(K123:K124)</f>
        <v>373</v>
      </c>
    </row>
    <row r="127" spans="3:11" hidden="1">
      <c r="C127"/>
      <c r="D127"/>
      <c r="E127"/>
      <c r="I127"/>
      <c r="J127" s="4"/>
      <c r="K127" s="5" t="s">
        <v>1530</v>
      </c>
    </row>
    <row r="128" spans="3:11" ht="31.5" hidden="1">
      <c r="C128"/>
      <c r="D128"/>
      <c r="E128"/>
      <c r="F128" s="252"/>
      <c r="H128" s="253" t="s">
        <v>2066</v>
      </c>
      <c r="I128" s="37" t="s">
        <v>1342</v>
      </c>
      <c r="J128" s="4"/>
      <c r="K128" s="42">
        <f>ROUND(K126/10,2)</f>
        <v>37.299999999999997</v>
      </c>
    </row>
    <row r="129" spans="1:33" hidden="1">
      <c r="C129"/>
      <c r="D129"/>
      <c r="E129"/>
      <c r="I129" s="37" t="s">
        <v>1310</v>
      </c>
      <c r="J129" s="4"/>
      <c r="K129" s="42">
        <f>ROUND(K128+C36,2)</f>
        <v>39.9</v>
      </c>
    </row>
    <row r="130" spans="1:33" hidden="1">
      <c r="C130"/>
      <c r="D130"/>
      <c r="E130"/>
      <c r="I130" s="37"/>
      <c r="J130" s="4"/>
      <c r="K130" s="5"/>
    </row>
    <row r="131" spans="1:33" hidden="1">
      <c r="C131"/>
      <c r="D131"/>
      <c r="E131"/>
      <c r="F131" s="246">
        <v>1.6</v>
      </c>
      <c r="H131" s="181" t="s">
        <v>766</v>
      </c>
      <c r="I131" s="37"/>
      <c r="J131" s="4"/>
      <c r="K131"/>
    </row>
    <row r="132" spans="1:33" hidden="1">
      <c r="C132"/>
      <c r="D132"/>
      <c r="E132"/>
      <c r="H132" s="181" t="s">
        <v>357</v>
      </c>
      <c r="I132" s="37" t="s">
        <v>1342</v>
      </c>
      <c r="J132" s="4"/>
      <c r="K132" s="39">
        <f>C61*1.5</f>
        <v>37.5</v>
      </c>
    </row>
    <row r="133" spans="1:33" hidden="1">
      <c r="C133"/>
      <c r="D133"/>
      <c r="E133"/>
      <c r="F133" s="181" t="s">
        <v>940</v>
      </c>
      <c r="H133" s="181" t="s">
        <v>358</v>
      </c>
      <c r="I133" s="37" t="s">
        <v>1310</v>
      </c>
      <c r="J133" s="4"/>
      <c r="K133" s="42">
        <f>ROUND(K132+C36,2)</f>
        <v>40.1</v>
      </c>
    </row>
    <row r="134" spans="1:33" hidden="1">
      <c r="C134"/>
      <c r="D134"/>
      <c r="E134"/>
      <c r="I134"/>
      <c r="J134" s="4"/>
      <c r="K134" s="5" t="s">
        <v>1980</v>
      </c>
    </row>
    <row r="135" spans="1:33" hidden="1">
      <c r="C135"/>
      <c r="D135"/>
      <c r="E135"/>
      <c r="I135"/>
      <c r="J135" s="4"/>
      <c r="K135"/>
    </row>
    <row r="136" spans="1:33" hidden="1">
      <c r="A136" s="240">
        <f>(A91+1)</f>
        <v>80</v>
      </c>
      <c r="B136" s="181" t="s">
        <v>1493</v>
      </c>
      <c r="C136" s="8">
        <f>AC30</f>
        <v>8240</v>
      </c>
      <c r="D136" s="8">
        <v>13.87</v>
      </c>
      <c r="E136" s="1" t="s">
        <v>940</v>
      </c>
      <c r="F136" s="236" t="s">
        <v>359</v>
      </c>
      <c r="G136" s="187" t="s">
        <v>2167</v>
      </c>
      <c r="H136" s="181" t="s">
        <v>360</v>
      </c>
      <c r="I136"/>
      <c r="J136" s="4"/>
      <c r="K136"/>
      <c r="N136" s="181" t="s">
        <v>2231</v>
      </c>
      <c r="O136" s="181" t="s">
        <v>361</v>
      </c>
      <c r="R136" s="188" t="e">
        <f>(R89+C19)</f>
        <v>#REF!</v>
      </c>
      <c r="AG136" s="181" t="s">
        <v>2175</v>
      </c>
    </row>
    <row r="137" spans="1:33" hidden="1">
      <c r="A137" s="240">
        <f t="shared" ref="A137:A142" si="8">(A136+1)</f>
        <v>81</v>
      </c>
      <c r="B137" s="181" t="s">
        <v>362</v>
      </c>
      <c r="C137" s="8">
        <f>AC33</f>
        <v>26500</v>
      </c>
      <c r="D137" s="1" t="s">
        <v>828</v>
      </c>
      <c r="E137"/>
      <c r="H137" s="181" t="s">
        <v>993</v>
      </c>
      <c r="I137"/>
      <c r="J137" s="4"/>
      <c r="K137"/>
      <c r="N137" s="181" t="s">
        <v>2232</v>
      </c>
      <c r="O137" s="181" t="s">
        <v>363</v>
      </c>
      <c r="R137" s="188" t="e">
        <f>(R136+C20)</f>
        <v>#REF!</v>
      </c>
      <c r="AG137" s="181" t="s">
        <v>2175</v>
      </c>
    </row>
    <row r="138" spans="1:33" hidden="1">
      <c r="A138" s="240">
        <f t="shared" si="8"/>
        <v>82</v>
      </c>
      <c r="B138" s="181" t="s">
        <v>1740</v>
      </c>
      <c r="C138" s="8">
        <f>AC32</f>
        <v>28000</v>
      </c>
      <c r="D138" s="1" t="s">
        <v>828</v>
      </c>
      <c r="E138"/>
      <c r="H138" s="185" t="s">
        <v>1530</v>
      </c>
      <c r="I138"/>
      <c r="J138" s="4"/>
      <c r="K138"/>
      <c r="N138" s="181" t="s">
        <v>2233</v>
      </c>
      <c r="O138" s="181" t="s">
        <v>2149</v>
      </c>
      <c r="R138" s="188" t="e">
        <f>(R137+C21)</f>
        <v>#REF!</v>
      </c>
      <c r="AG138" s="181" t="s">
        <v>2175</v>
      </c>
    </row>
    <row r="139" spans="1:33" hidden="1">
      <c r="A139" s="240">
        <f t="shared" si="8"/>
        <v>83</v>
      </c>
      <c r="B139" s="181" t="s">
        <v>353</v>
      </c>
      <c r="C139" s="8">
        <f>AC33</f>
        <v>26500</v>
      </c>
      <c r="D139" s="1" t="s">
        <v>828</v>
      </c>
      <c r="E139"/>
      <c r="F139" s="188">
        <v>1</v>
      </c>
      <c r="G139" s="187" t="s">
        <v>836</v>
      </c>
      <c r="H139" s="181" t="s">
        <v>354</v>
      </c>
      <c r="I139" s="8" t="e">
        <f>C79</f>
        <v>#REF!</v>
      </c>
      <c r="J139" s="2" t="s">
        <v>836</v>
      </c>
      <c r="K139" s="8" t="e">
        <f>(F139*I139)</f>
        <v>#REF!</v>
      </c>
      <c r="N139" s="181" t="s">
        <v>2234</v>
      </c>
      <c r="O139" s="181" t="s">
        <v>355</v>
      </c>
      <c r="R139" s="188" t="e">
        <f>(R138+C21)</f>
        <v>#REF!</v>
      </c>
      <c r="AG139" s="181" t="s">
        <v>2175</v>
      </c>
    </row>
    <row r="140" spans="1:33" hidden="1">
      <c r="A140" s="240">
        <f t="shared" si="8"/>
        <v>84</v>
      </c>
      <c r="B140" s="181" t="s">
        <v>1491</v>
      </c>
      <c r="C140" s="8">
        <f>AC38</f>
        <v>169</v>
      </c>
      <c r="D140" s="1" t="s">
        <v>836</v>
      </c>
      <c r="E140"/>
      <c r="F140" s="188">
        <v>1</v>
      </c>
      <c r="G140" s="187" t="s">
        <v>836</v>
      </c>
      <c r="H140" s="181" t="s">
        <v>1302</v>
      </c>
      <c r="I140" s="8">
        <f>C27</f>
        <v>7.8</v>
      </c>
      <c r="J140" s="2" t="s">
        <v>836</v>
      </c>
      <c r="K140" s="8">
        <f>(F140*I140)</f>
        <v>7.8</v>
      </c>
      <c r="O140" s="181" t="s">
        <v>2235</v>
      </c>
      <c r="R140" s="188" t="e">
        <f>(R139+C21)</f>
        <v>#REF!</v>
      </c>
      <c r="AG140" s="181" t="s">
        <v>2175</v>
      </c>
    </row>
    <row r="141" spans="1:33" hidden="1">
      <c r="A141" s="240">
        <f t="shared" si="8"/>
        <v>85</v>
      </c>
      <c r="B141" s="181" t="s">
        <v>185</v>
      </c>
      <c r="C141" s="8">
        <f>I255</f>
        <v>12224.58</v>
      </c>
      <c r="D141" s="1" t="s">
        <v>828</v>
      </c>
      <c r="E141"/>
      <c r="G141" s="187" t="s">
        <v>419</v>
      </c>
      <c r="H141" s="181" t="s">
        <v>420</v>
      </c>
      <c r="I141" s="1" t="s">
        <v>940</v>
      </c>
      <c r="J141" s="2" t="s">
        <v>419</v>
      </c>
      <c r="K141" s="8">
        <v>0</v>
      </c>
      <c r="N141" s="181" t="s">
        <v>2167</v>
      </c>
      <c r="O141" s="181" t="s">
        <v>2236</v>
      </c>
      <c r="AG141" s="181" t="s">
        <v>2175</v>
      </c>
    </row>
    <row r="142" spans="1:33" hidden="1">
      <c r="A142" s="240">
        <f t="shared" si="8"/>
        <v>86</v>
      </c>
      <c r="B142" s="181" t="s">
        <v>186</v>
      </c>
      <c r="C142" s="8">
        <v>30000</v>
      </c>
      <c r="D142" s="1" t="s">
        <v>828</v>
      </c>
      <c r="E142"/>
      <c r="I142"/>
      <c r="J142" s="4"/>
      <c r="K142" s="5" t="s">
        <v>1530</v>
      </c>
      <c r="O142" s="181" t="s">
        <v>1072</v>
      </c>
      <c r="AG142" s="181" t="s">
        <v>2175</v>
      </c>
    </row>
    <row r="143" spans="1:33" hidden="1">
      <c r="B143" s="181" t="s">
        <v>940</v>
      </c>
      <c r="C143"/>
      <c r="D143"/>
      <c r="E143"/>
      <c r="H143" s="181" t="s">
        <v>187</v>
      </c>
      <c r="I143"/>
      <c r="J143" s="4"/>
      <c r="K143" s="8" t="e">
        <f>SUM(K137:K141)</f>
        <v>#REF!</v>
      </c>
      <c r="O143" s="185" t="s">
        <v>1530</v>
      </c>
      <c r="AG143" s="181" t="s">
        <v>2175</v>
      </c>
    </row>
    <row r="144" spans="1:33" hidden="1">
      <c r="A144" s="240">
        <f>(A142+1)</f>
        <v>87</v>
      </c>
      <c r="B144" s="181" t="s">
        <v>188</v>
      </c>
      <c r="C144" s="8">
        <v>7.5</v>
      </c>
      <c r="D144" s="1" t="s">
        <v>419</v>
      </c>
      <c r="E144"/>
      <c r="I144"/>
      <c r="J144" s="4"/>
      <c r="K144" s="5" t="s">
        <v>1530</v>
      </c>
      <c r="M144" s="188">
        <v>4600</v>
      </c>
      <c r="N144" s="181" t="s">
        <v>1368</v>
      </c>
      <c r="O144" s="181" t="s">
        <v>1072</v>
      </c>
      <c r="P144" s="188" t="e">
        <f>(C91)</f>
        <v>#REF!</v>
      </c>
      <c r="Q144" s="181" t="s">
        <v>1538</v>
      </c>
      <c r="R144" s="188" t="e">
        <f>(M144*P144)/1000</f>
        <v>#REF!</v>
      </c>
      <c r="AG144" s="181" t="s">
        <v>2175</v>
      </c>
    </row>
    <row r="145" spans="3:11" hidden="1">
      <c r="C145"/>
      <c r="D145"/>
      <c r="E145"/>
      <c r="F145" s="236" t="s">
        <v>189</v>
      </c>
      <c r="G145" s="187" t="s">
        <v>2167</v>
      </c>
      <c r="H145" s="181" t="s">
        <v>994</v>
      </c>
      <c r="I145"/>
      <c r="J145" s="4"/>
      <c r="K145"/>
    </row>
    <row r="146" spans="3:11" hidden="1">
      <c r="C146"/>
      <c r="D146"/>
      <c r="E146"/>
      <c r="H146" s="181" t="s">
        <v>995</v>
      </c>
      <c r="I146"/>
      <c r="J146" s="4"/>
      <c r="K146"/>
    </row>
    <row r="147" spans="3:11" hidden="1">
      <c r="C147"/>
      <c r="D147"/>
      <c r="E147"/>
      <c r="H147" s="181" t="s">
        <v>452</v>
      </c>
      <c r="I147"/>
      <c r="J147" s="4"/>
      <c r="K147"/>
    </row>
    <row r="148" spans="3:11" hidden="1">
      <c r="C148"/>
      <c r="D148"/>
      <c r="E148"/>
      <c r="H148" s="181" t="s">
        <v>489</v>
      </c>
      <c r="I148"/>
      <c r="J148" s="4"/>
      <c r="K148"/>
    </row>
    <row r="149" spans="3:11" hidden="1">
      <c r="C149"/>
      <c r="D149"/>
      <c r="E149"/>
      <c r="H149" s="181" t="s">
        <v>490</v>
      </c>
      <c r="I149"/>
      <c r="J149" s="4"/>
      <c r="K149"/>
    </row>
    <row r="150" spans="3:11" hidden="1">
      <c r="C150"/>
      <c r="D150"/>
      <c r="E150"/>
      <c r="H150" s="185" t="s">
        <v>1530</v>
      </c>
      <c r="I150"/>
      <c r="J150" s="4"/>
      <c r="K150"/>
    </row>
    <row r="151" spans="3:11" hidden="1">
      <c r="C151"/>
      <c r="D151"/>
      <c r="E151"/>
      <c r="F151" s="188">
        <v>0.7</v>
      </c>
      <c r="G151" s="187" t="s">
        <v>836</v>
      </c>
      <c r="H151" s="181" t="s">
        <v>1931</v>
      </c>
      <c r="I151" s="8" t="e">
        <f>C79</f>
        <v>#REF!</v>
      </c>
      <c r="J151" s="2" t="s">
        <v>836</v>
      </c>
      <c r="K151" s="8" t="e">
        <f t="shared" ref="K151:K156" si="9">(F151*I151)</f>
        <v>#REF!</v>
      </c>
    </row>
    <row r="152" spans="3:11" hidden="1">
      <c r="C152"/>
      <c r="D152"/>
      <c r="E152"/>
      <c r="F152" s="188">
        <v>0.7</v>
      </c>
      <c r="G152" s="187" t="s">
        <v>836</v>
      </c>
      <c r="H152" s="181" t="s">
        <v>491</v>
      </c>
      <c r="I152" s="8">
        <f>C783</f>
        <v>3.05</v>
      </c>
      <c r="J152" s="2" t="s">
        <v>836</v>
      </c>
      <c r="K152" s="8">
        <f t="shared" si="9"/>
        <v>2.14</v>
      </c>
    </row>
    <row r="153" spans="3:11" hidden="1">
      <c r="C153"/>
      <c r="D153"/>
      <c r="E153"/>
      <c r="F153" s="188">
        <v>0.72</v>
      </c>
      <c r="G153" s="187" t="s">
        <v>836</v>
      </c>
      <c r="H153" s="181" t="s">
        <v>1587</v>
      </c>
      <c r="I153" s="8">
        <f>C35</f>
        <v>169</v>
      </c>
      <c r="J153" s="2" t="s">
        <v>836</v>
      </c>
      <c r="K153" s="8">
        <f t="shared" si="9"/>
        <v>121.68</v>
      </c>
    </row>
    <row r="154" spans="3:11" hidden="1">
      <c r="C154"/>
      <c r="D154"/>
      <c r="E154"/>
      <c r="F154" s="188">
        <v>0.72</v>
      </c>
      <c r="G154" s="187" t="s">
        <v>836</v>
      </c>
      <c r="H154" s="181" t="s">
        <v>491</v>
      </c>
      <c r="I154" s="8">
        <f>C783</f>
        <v>3.05</v>
      </c>
      <c r="J154" s="2" t="s">
        <v>836</v>
      </c>
      <c r="K154" s="8">
        <f t="shared" si="9"/>
        <v>2.2000000000000002</v>
      </c>
    </row>
    <row r="155" spans="3:11" hidden="1">
      <c r="C155"/>
      <c r="D155"/>
      <c r="E155"/>
      <c r="F155" s="188">
        <v>1</v>
      </c>
      <c r="G155" s="187" t="s">
        <v>836</v>
      </c>
      <c r="H155" s="181" t="s">
        <v>1730</v>
      </c>
      <c r="I155" s="8">
        <f>C18</f>
        <v>26</v>
      </c>
      <c r="J155" s="2" t="s">
        <v>836</v>
      </c>
      <c r="K155" s="8">
        <f t="shared" si="9"/>
        <v>26</v>
      </c>
    </row>
    <row r="156" spans="3:11" hidden="1">
      <c r="C156"/>
      <c r="D156"/>
      <c r="E156"/>
      <c r="F156" s="188">
        <v>1</v>
      </c>
      <c r="G156" s="187" t="s">
        <v>836</v>
      </c>
      <c r="H156" s="181" t="s">
        <v>1588</v>
      </c>
      <c r="I156" s="8">
        <v>6.05</v>
      </c>
      <c r="J156" s="2" t="s">
        <v>836</v>
      </c>
      <c r="K156" s="8">
        <f t="shared" si="9"/>
        <v>6.05</v>
      </c>
    </row>
    <row r="157" spans="3:11" hidden="1">
      <c r="C157"/>
      <c r="D157"/>
      <c r="E157"/>
      <c r="H157" s="181" t="s">
        <v>1589</v>
      </c>
      <c r="I157"/>
      <c r="J157" s="4"/>
      <c r="K157"/>
    </row>
    <row r="158" spans="3:11" hidden="1">
      <c r="C158"/>
      <c r="D158"/>
      <c r="E158"/>
      <c r="G158" s="187" t="s">
        <v>419</v>
      </c>
      <c r="H158" s="181" t="s">
        <v>420</v>
      </c>
      <c r="I158" s="1" t="s">
        <v>940</v>
      </c>
      <c r="J158" s="2" t="s">
        <v>419</v>
      </c>
      <c r="K158" s="8">
        <v>0</v>
      </c>
    </row>
    <row r="159" spans="3:11" hidden="1">
      <c r="C159"/>
      <c r="D159"/>
      <c r="E159"/>
      <c r="I159"/>
      <c r="J159" s="4"/>
      <c r="K159" s="5" t="s">
        <v>1530</v>
      </c>
    </row>
    <row r="160" spans="3:11" hidden="1">
      <c r="C160"/>
      <c r="D160"/>
      <c r="E160"/>
      <c r="H160" s="181" t="s">
        <v>187</v>
      </c>
      <c r="I160"/>
      <c r="J160" s="4"/>
      <c r="K160" s="8" t="e">
        <f>SUM(K151:K158)</f>
        <v>#REF!</v>
      </c>
    </row>
    <row r="161" spans="1:11" hidden="1">
      <c r="C161"/>
      <c r="D161"/>
      <c r="E161"/>
      <c r="I161"/>
      <c r="J161" s="4"/>
      <c r="K161" s="5" t="s">
        <v>1530</v>
      </c>
    </row>
    <row r="162" spans="1:11" hidden="1">
      <c r="C162"/>
      <c r="D162"/>
      <c r="E162"/>
      <c r="H162" s="181" t="s">
        <v>940</v>
      </c>
      <c r="I162"/>
      <c r="J162" s="4"/>
      <c r="K162" s="1" t="s">
        <v>940</v>
      </c>
    </row>
    <row r="163" spans="1:11" hidden="1">
      <c r="C163"/>
      <c r="D163"/>
      <c r="E163"/>
      <c r="I163"/>
      <c r="J163" s="4"/>
      <c r="K163" s="1" t="s">
        <v>940</v>
      </c>
    </row>
    <row r="164" spans="1:11" hidden="1">
      <c r="A164" s="254">
        <v>2.2999999999999998</v>
      </c>
      <c r="B164" s="181" t="s">
        <v>231</v>
      </c>
      <c r="C164" t="e">
        <f>AC19+I167</f>
        <v>#REF!</v>
      </c>
      <c r="D164"/>
      <c r="E164"/>
      <c r="F164" s="246">
        <v>2.6</v>
      </c>
      <c r="G164" s="187" t="s">
        <v>2167</v>
      </c>
      <c r="H164" s="181" t="s">
        <v>1132</v>
      </c>
      <c r="I164"/>
      <c r="J164" s="4"/>
      <c r="K164"/>
    </row>
    <row r="165" spans="1:11" hidden="1">
      <c r="A165" s="254">
        <v>2.4</v>
      </c>
      <c r="B165" s="181" t="s">
        <v>750</v>
      </c>
      <c r="C165" t="e">
        <f>AC20+I167</f>
        <v>#REF!</v>
      </c>
      <c r="D165"/>
      <c r="E165"/>
      <c r="H165" s="185" t="s">
        <v>1530</v>
      </c>
      <c r="I165"/>
      <c r="J165" s="4"/>
      <c r="K165"/>
    </row>
    <row r="166" spans="1:11" hidden="1">
      <c r="C166"/>
      <c r="D166"/>
      <c r="E166"/>
      <c r="F166" s="188">
        <v>1</v>
      </c>
      <c r="G166" s="187" t="s">
        <v>836</v>
      </c>
      <c r="H166" s="181" t="s">
        <v>1050</v>
      </c>
      <c r="I166" s="8" t="e">
        <f>AC15</f>
        <v>#REF!</v>
      </c>
      <c r="J166" s="2" t="s">
        <v>836</v>
      </c>
      <c r="K166" s="8" t="e">
        <f>(F166*I166)</f>
        <v>#REF!</v>
      </c>
    </row>
    <row r="167" spans="1:11" hidden="1">
      <c r="C167"/>
      <c r="D167"/>
      <c r="E167"/>
      <c r="F167" s="188">
        <v>1</v>
      </c>
      <c r="G167" s="187" t="s">
        <v>836</v>
      </c>
      <c r="H167" s="181" t="s">
        <v>1302</v>
      </c>
      <c r="I167" s="8">
        <f>C26</f>
        <v>8.8000000000000007</v>
      </c>
      <c r="J167" s="2" t="s">
        <v>836</v>
      </c>
      <c r="K167" s="8">
        <f>(F167*I167)</f>
        <v>8.8000000000000007</v>
      </c>
    </row>
    <row r="168" spans="1:11" hidden="1">
      <c r="C168"/>
      <c r="D168"/>
      <c r="E168"/>
      <c r="G168" s="187" t="s">
        <v>419</v>
      </c>
      <c r="H168" s="181" t="s">
        <v>420</v>
      </c>
      <c r="I168" s="1" t="s">
        <v>940</v>
      </c>
      <c r="J168" s="2" t="s">
        <v>419</v>
      </c>
      <c r="K168" s="8">
        <v>0</v>
      </c>
    </row>
    <row r="169" spans="1:11" hidden="1">
      <c r="C169"/>
      <c r="D169"/>
      <c r="E169"/>
      <c r="I169"/>
      <c r="J169" s="4"/>
      <c r="K169" s="5" t="s">
        <v>1530</v>
      </c>
    </row>
    <row r="170" spans="1:11" hidden="1">
      <c r="C170"/>
      <c r="D170"/>
      <c r="E170"/>
      <c r="H170" s="181" t="s">
        <v>187</v>
      </c>
      <c r="I170"/>
      <c r="J170" s="4"/>
      <c r="K170" s="8" t="e">
        <f>SUM(K165:K168)</f>
        <v>#REF!</v>
      </c>
    </row>
    <row r="171" spans="1:11" hidden="1">
      <c r="C171"/>
      <c r="D171"/>
      <c r="E171"/>
      <c r="I171"/>
      <c r="J171" s="4"/>
      <c r="K171" s="5" t="s">
        <v>1530</v>
      </c>
    </row>
    <row r="172" spans="1:11" hidden="1">
      <c r="C172"/>
      <c r="D172"/>
      <c r="E172"/>
      <c r="F172" s="246">
        <v>2.7</v>
      </c>
      <c r="G172" s="187" t="s">
        <v>2167</v>
      </c>
      <c r="H172" s="181" t="s">
        <v>1920</v>
      </c>
      <c r="I172"/>
      <c r="J172" s="4"/>
      <c r="K172"/>
    </row>
    <row r="173" spans="1:11" hidden="1">
      <c r="C173"/>
      <c r="D173"/>
      <c r="E173"/>
      <c r="H173" s="185" t="s">
        <v>1530</v>
      </c>
      <c r="I173"/>
      <c r="J173" s="4"/>
      <c r="K173"/>
    </row>
    <row r="174" spans="1:11" hidden="1">
      <c r="C174"/>
      <c r="D174"/>
      <c r="E174"/>
      <c r="F174" s="188">
        <v>1</v>
      </c>
      <c r="G174" s="187" t="s">
        <v>836</v>
      </c>
      <c r="H174" s="181" t="s">
        <v>800</v>
      </c>
      <c r="I174" s="8" t="e">
        <f>AC14</f>
        <v>#REF!</v>
      </c>
      <c r="J174" s="2" t="s">
        <v>836</v>
      </c>
      <c r="K174" s="8" t="e">
        <f>(F174*I174)</f>
        <v>#REF!</v>
      </c>
    </row>
    <row r="175" spans="1:11" hidden="1">
      <c r="C175"/>
      <c r="D175"/>
      <c r="E175"/>
      <c r="F175" s="188">
        <v>1</v>
      </c>
      <c r="G175" s="187" t="s">
        <v>836</v>
      </c>
      <c r="H175" s="181" t="s">
        <v>1302</v>
      </c>
      <c r="I175" s="8">
        <f>C26</f>
        <v>8.8000000000000007</v>
      </c>
      <c r="J175" s="2" t="s">
        <v>836</v>
      </c>
      <c r="K175" s="8">
        <f>(F175*I175)</f>
        <v>8.8000000000000007</v>
      </c>
    </row>
    <row r="176" spans="1:11" hidden="1">
      <c r="C176"/>
      <c r="D176"/>
      <c r="E176"/>
      <c r="G176" s="187" t="s">
        <v>419</v>
      </c>
      <c r="H176" s="181" t="s">
        <v>420</v>
      </c>
      <c r="I176" s="1" t="s">
        <v>940</v>
      </c>
      <c r="J176" s="2" t="s">
        <v>419</v>
      </c>
      <c r="K176" s="8">
        <v>0</v>
      </c>
    </row>
    <row r="177" spans="1:33" hidden="1">
      <c r="C177"/>
      <c r="D177"/>
      <c r="E177"/>
      <c r="I177"/>
      <c r="J177" s="4"/>
      <c r="K177" s="5" t="s">
        <v>1530</v>
      </c>
    </row>
    <row r="178" spans="1:33" hidden="1">
      <c r="C178"/>
      <c r="D178"/>
      <c r="E178"/>
      <c r="H178" s="181" t="s">
        <v>187</v>
      </c>
      <c r="I178"/>
      <c r="J178" s="4"/>
      <c r="K178" s="8" t="e">
        <f>SUM(K173:K176)</f>
        <v>#REF!</v>
      </c>
    </row>
    <row r="179" spans="1:33" hidden="1">
      <c r="A179" s="240">
        <f>(A144+1)</f>
        <v>88</v>
      </c>
      <c r="B179" s="181" t="s">
        <v>1590</v>
      </c>
      <c r="C179" s="8">
        <v>15.25</v>
      </c>
      <c r="D179" s="1" t="s">
        <v>1591</v>
      </c>
      <c r="E179"/>
      <c r="I179"/>
      <c r="J179" s="4"/>
      <c r="K179" s="5" t="s">
        <v>1530</v>
      </c>
      <c r="M179" s="188">
        <v>2.5</v>
      </c>
      <c r="N179" s="181" t="s">
        <v>836</v>
      </c>
      <c r="O179" s="181" t="s">
        <v>1577</v>
      </c>
      <c r="P179" s="188" t="e">
        <f>(K58)</f>
        <v>#REF!</v>
      </c>
      <c r="Q179" s="181" t="s">
        <v>836</v>
      </c>
      <c r="R179" s="188" t="e">
        <f>(M179*P179)</f>
        <v>#REF!</v>
      </c>
      <c r="AG179" s="181" t="s">
        <v>2175</v>
      </c>
    </row>
    <row r="180" spans="1:33" hidden="1">
      <c r="A180" s="240">
        <f>(A179+1)</f>
        <v>89</v>
      </c>
      <c r="B180" s="181" t="s">
        <v>1592</v>
      </c>
      <c r="C180" s="8">
        <v>110</v>
      </c>
      <c r="D180" s="1" t="s">
        <v>1591</v>
      </c>
      <c r="E180"/>
      <c r="H180" s="181" t="s">
        <v>940</v>
      </c>
      <c r="I180"/>
      <c r="J180" s="4"/>
      <c r="K180"/>
      <c r="M180" s="188">
        <v>3.5</v>
      </c>
      <c r="N180" s="181" t="s">
        <v>835</v>
      </c>
      <c r="O180" s="181" t="s">
        <v>1938</v>
      </c>
      <c r="P180" s="188">
        <f>(C10)</f>
        <v>150</v>
      </c>
      <c r="Q180" s="181" t="s">
        <v>835</v>
      </c>
      <c r="R180" s="188">
        <f>(M180*P180)</f>
        <v>525</v>
      </c>
      <c r="AG180" s="181" t="s">
        <v>2175</v>
      </c>
    </row>
    <row r="181" spans="1:33" hidden="1">
      <c r="C181"/>
      <c r="D181"/>
      <c r="E181"/>
      <c r="F181" s="236" t="s">
        <v>1593</v>
      </c>
      <c r="H181" s="181" t="s">
        <v>910</v>
      </c>
      <c r="I181"/>
      <c r="J181" s="4"/>
      <c r="K181"/>
    </row>
    <row r="182" spans="1:33" hidden="1">
      <c r="C182"/>
      <c r="D182"/>
      <c r="E182"/>
      <c r="I182"/>
      <c r="J182" s="4"/>
      <c r="K182"/>
    </row>
    <row r="183" spans="1:33" hidden="1">
      <c r="C183"/>
      <c r="D183"/>
      <c r="E183"/>
      <c r="F183" s="188">
        <v>1</v>
      </c>
      <c r="G183" s="187" t="s">
        <v>836</v>
      </c>
      <c r="H183" s="181" t="s">
        <v>63</v>
      </c>
      <c r="I183" s="8">
        <f>C35</f>
        <v>169</v>
      </c>
      <c r="J183" s="2" t="s">
        <v>836</v>
      </c>
      <c r="K183" s="8">
        <f>(F183*I183)</f>
        <v>169</v>
      </c>
    </row>
    <row r="184" spans="1:33" hidden="1">
      <c r="C184"/>
      <c r="D184"/>
      <c r="E184"/>
      <c r="F184" s="188">
        <v>1</v>
      </c>
      <c r="G184" s="187" t="s">
        <v>836</v>
      </c>
      <c r="H184" s="181" t="s">
        <v>491</v>
      </c>
      <c r="I184" s="8">
        <f>C783</f>
        <v>3.05</v>
      </c>
      <c r="J184" s="2" t="s">
        <v>836</v>
      </c>
      <c r="K184" s="8">
        <f>(F184*I184)</f>
        <v>3.05</v>
      </c>
    </row>
    <row r="185" spans="1:33" hidden="1">
      <c r="C185"/>
      <c r="D185"/>
      <c r="E185"/>
      <c r="F185" s="188">
        <v>1</v>
      </c>
      <c r="G185" s="187" t="s">
        <v>836</v>
      </c>
      <c r="H185" s="181" t="s">
        <v>1588</v>
      </c>
      <c r="I185" s="8">
        <v>6.05</v>
      </c>
      <c r="J185" s="2" t="s">
        <v>836</v>
      </c>
      <c r="K185" s="8">
        <f>(F185*I185)</f>
        <v>6.05</v>
      </c>
    </row>
    <row r="186" spans="1:33" hidden="1">
      <c r="C186"/>
      <c r="D186"/>
      <c r="E186"/>
      <c r="H186" s="181" t="s">
        <v>1589</v>
      </c>
      <c r="I186"/>
      <c r="J186" s="4"/>
      <c r="K186"/>
    </row>
    <row r="187" spans="1:33" hidden="1">
      <c r="C187"/>
      <c r="D187"/>
      <c r="E187"/>
      <c r="I187"/>
      <c r="J187" s="4"/>
      <c r="K187" s="5" t="s">
        <v>1530</v>
      </c>
    </row>
    <row r="188" spans="1:33" hidden="1">
      <c r="C188"/>
      <c r="D188"/>
      <c r="E188"/>
      <c r="H188" s="181" t="s">
        <v>187</v>
      </c>
      <c r="I188"/>
      <c r="J188" s="4"/>
      <c r="K188" s="8">
        <f>SUM(K181:K186)</f>
        <v>178.1</v>
      </c>
    </row>
    <row r="189" spans="1:33" hidden="1">
      <c r="C189"/>
      <c r="D189"/>
      <c r="E189"/>
      <c r="F189" s="181" t="s">
        <v>940</v>
      </c>
      <c r="I189"/>
      <c r="J189" s="4"/>
      <c r="K189" s="5" t="s">
        <v>1530</v>
      </c>
    </row>
    <row r="190" spans="1:33" hidden="1">
      <c r="C190"/>
      <c r="D190"/>
      <c r="E190"/>
      <c r="I190"/>
      <c r="J190" s="4"/>
      <c r="K190" s="1" t="s">
        <v>940</v>
      </c>
    </row>
    <row r="191" spans="1:33" hidden="1">
      <c r="A191" s="240">
        <f>(A180+1)</f>
        <v>90</v>
      </c>
      <c r="B191" s="181" t="s">
        <v>632</v>
      </c>
      <c r="C191" s="8">
        <v>65</v>
      </c>
      <c r="D191" s="1" t="s">
        <v>633</v>
      </c>
      <c r="E191"/>
      <c r="F191" s="236" t="s">
        <v>634</v>
      </c>
      <c r="G191" s="187" t="s">
        <v>2167</v>
      </c>
      <c r="H191" s="181" t="s">
        <v>635</v>
      </c>
      <c r="I191"/>
      <c r="J191" s="4"/>
      <c r="K191"/>
      <c r="M191" s="188">
        <v>10.6</v>
      </c>
      <c r="N191" s="181" t="s">
        <v>835</v>
      </c>
      <c r="O191" s="181" t="s">
        <v>1654</v>
      </c>
      <c r="P191" s="188">
        <f>(C11)</f>
        <v>135</v>
      </c>
      <c r="Q191" s="181" t="s">
        <v>835</v>
      </c>
      <c r="R191" s="188">
        <f>(M191*P191)</f>
        <v>1431</v>
      </c>
      <c r="AG191" s="181" t="s">
        <v>2175</v>
      </c>
    </row>
    <row r="192" spans="1:33" hidden="1">
      <c r="A192" s="240">
        <f t="shared" ref="A192:A207" si="10">(A191+1)</f>
        <v>91</v>
      </c>
      <c r="B192" s="181" t="s">
        <v>636</v>
      </c>
      <c r="C192" s="8">
        <v>25</v>
      </c>
      <c r="D192" s="1" t="s">
        <v>633</v>
      </c>
      <c r="E192"/>
      <c r="H192" s="181" t="s">
        <v>637</v>
      </c>
      <c r="I192"/>
      <c r="J192" s="4"/>
      <c r="K192"/>
      <c r="M192" s="188">
        <v>7.1</v>
      </c>
      <c r="N192" s="181" t="s">
        <v>835</v>
      </c>
      <c r="O192" s="181" t="s">
        <v>1836</v>
      </c>
      <c r="P192" s="188">
        <f>(C12)</f>
        <v>95</v>
      </c>
      <c r="Q192" s="181" t="s">
        <v>835</v>
      </c>
      <c r="R192" s="188">
        <f>(M192*P192)</f>
        <v>674.5</v>
      </c>
      <c r="AG192" s="181" t="s">
        <v>2175</v>
      </c>
    </row>
    <row r="193" spans="1:33" hidden="1">
      <c r="A193" s="240">
        <f t="shared" si="10"/>
        <v>92</v>
      </c>
      <c r="B193" s="181" t="s">
        <v>2237</v>
      </c>
      <c r="C193" s="8">
        <v>210</v>
      </c>
      <c r="D193" s="1" t="s">
        <v>633</v>
      </c>
      <c r="E193"/>
      <c r="H193" s="185" t="s">
        <v>1530</v>
      </c>
      <c r="I193"/>
      <c r="J193" s="4"/>
      <c r="K193"/>
      <c r="M193" s="188">
        <v>21.2</v>
      </c>
      <c r="N193" s="181" t="s">
        <v>835</v>
      </c>
      <c r="O193" s="181" t="s">
        <v>299</v>
      </c>
      <c r="P193" s="188">
        <f>(C13)</f>
        <v>85</v>
      </c>
      <c r="Q193" s="181" t="s">
        <v>835</v>
      </c>
      <c r="R193" s="188">
        <f>(M193*P193)</f>
        <v>1802</v>
      </c>
      <c r="AG193" s="181" t="s">
        <v>2175</v>
      </c>
    </row>
    <row r="194" spans="1:33" hidden="1">
      <c r="A194" s="240">
        <f t="shared" si="10"/>
        <v>93</v>
      </c>
      <c r="B194" s="181" t="s">
        <v>1583</v>
      </c>
      <c r="C194" s="8">
        <v>160</v>
      </c>
      <c r="D194" s="8">
        <v>96.11</v>
      </c>
      <c r="E194"/>
      <c r="F194" s="188">
        <v>9</v>
      </c>
      <c r="G194" s="187" t="s">
        <v>836</v>
      </c>
      <c r="H194" s="181" t="s">
        <v>1584</v>
      </c>
      <c r="I194" s="8" t="e">
        <f>(C74)</f>
        <v>#REF!</v>
      </c>
      <c r="J194" s="2" t="s">
        <v>836</v>
      </c>
      <c r="K194" s="8" t="e">
        <f>(F194*I194)</f>
        <v>#REF!</v>
      </c>
      <c r="N194" s="181" t="s">
        <v>419</v>
      </c>
      <c r="O194" s="181" t="s">
        <v>420</v>
      </c>
      <c r="Q194" s="181" t="s">
        <v>419</v>
      </c>
      <c r="R194" s="188">
        <v>0</v>
      </c>
      <c r="AG194" s="181" t="s">
        <v>2175</v>
      </c>
    </row>
    <row r="195" spans="1:33" hidden="1">
      <c r="A195" s="240">
        <f t="shared" si="10"/>
        <v>94</v>
      </c>
      <c r="B195" s="181" t="s">
        <v>804</v>
      </c>
      <c r="C195" s="8">
        <v>100</v>
      </c>
      <c r="D195" s="1" t="s">
        <v>633</v>
      </c>
      <c r="E195"/>
      <c r="F195" s="188">
        <v>4.5</v>
      </c>
      <c r="G195" s="187" t="s">
        <v>836</v>
      </c>
      <c r="H195" s="181" t="s">
        <v>1571</v>
      </c>
      <c r="I195" s="8" t="e">
        <f>(K49)</f>
        <v>#REF!</v>
      </c>
      <c r="J195" s="2" t="s">
        <v>836</v>
      </c>
      <c r="K195" s="8" t="e">
        <f>(F195*I195)</f>
        <v>#REF!</v>
      </c>
      <c r="R195" s="185" t="s">
        <v>1530</v>
      </c>
      <c r="AG195" s="181" t="s">
        <v>2175</v>
      </c>
    </row>
    <row r="196" spans="1:33" hidden="1">
      <c r="A196" s="240">
        <f t="shared" si="10"/>
        <v>95</v>
      </c>
      <c r="B196" s="181" t="s">
        <v>805</v>
      </c>
      <c r="C196" s="8">
        <v>0.25</v>
      </c>
      <c r="D196" s="1" t="s">
        <v>835</v>
      </c>
      <c r="E196"/>
      <c r="F196" s="188">
        <v>1.8</v>
      </c>
      <c r="G196" s="187" t="s">
        <v>835</v>
      </c>
      <c r="H196" s="181" t="s">
        <v>1654</v>
      </c>
      <c r="I196" s="8">
        <f>(C11)</f>
        <v>135</v>
      </c>
      <c r="J196" s="2" t="s">
        <v>835</v>
      </c>
      <c r="K196" s="8">
        <f>(F196*I196)</f>
        <v>243</v>
      </c>
      <c r="O196" s="181" t="s">
        <v>583</v>
      </c>
      <c r="R196" s="188" t="e">
        <f>SUM(R144:R194)</f>
        <v>#REF!</v>
      </c>
      <c r="AG196" s="181" t="s">
        <v>2175</v>
      </c>
    </row>
    <row r="197" spans="1:33" hidden="1">
      <c r="A197" s="240">
        <f t="shared" si="10"/>
        <v>96</v>
      </c>
      <c r="B197" s="181" t="s">
        <v>577</v>
      </c>
      <c r="C197" s="8">
        <v>22.6</v>
      </c>
      <c r="D197" s="1" t="s">
        <v>578</v>
      </c>
      <c r="E197"/>
      <c r="F197" s="188">
        <v>17.7</v>
      </c>
      <c r="G197" s="187" t="s">
        <v>835</v>
      </c>
      <c r="H197" s="181" t="s">
        <v>1836</v>
      </c>
      <c r="I197" s="8">
        <f>(C12)</f>
        <v>95</v>
      </c>
      <c r="J197" s="2" t="s">
        <v>835</v>
      </c>
      <c r="K197" s="8">
        <f>(F197*I197)</f>
        <v>1681.5</v>
      </c>
      <c r="R197" s="185" t="s">
        <v>1530</v>
      </c>
      <c r="AG197" s="181" t="s">
        <v>2175</v>
      </c>
    </row>
    <row r="198" spans="1:33" hidden="1">
      <c r="A198" s="240">
        <f t="shared" si="10"/>
        <v>97</v>
      </c>
      <c r="B198" s="181" t="s">
        <v>2429</v>
      </c>
      <c r="C198" s="8">
        <v>212</v>
      </c>
      <c r="D198" s="1" t="s">
        <v>578</v>
      </c>
      <c r="E198"/>
      <c r="F198" s="188">
        <v>14.1</v>
      </c>
      <c r="G198" s="187" t="s">
        <v>835</v>
      </c>
      <c r="H198" s="181" t="s">
        <v>299</v>
      </c>
      <c r="I198" s="8">
        <f>(C13)</f>
        <v>85</v>
      </c>
      <c r="J198" s="2" t="s">
        <v>835</v>
      </c>
      <c r="K198" s="8">
        <f>(F198*I198)</f>
        <v>1198.5</v>
      </c>
      <c r="O198" s="181" t="s">
        <v>743</v>
      </c>
      <c r="R198" s="188" t="e">
        <f>(R196/10)</f>
        <v>#REF!</v>
      </c>
      <c r="AG198" s="181" t="s">
        <v>2175</v>
      </c>
    </row>
    <row r="199" spans="1:33" hidden="1">
      <c r="A199" s="240">
        <f t="shared" si="10"/>
        <v>98</v>
      </c>
      <c r="B199" s="181" t="s">
        <v>2018</v>
      </c>
      <c r="C199" s="8">
        <v>85</v>
      </c>
      <c r="D199" s="1" t="s">
        <v>739</v>
      </c>
      <c r="E199"/>
      <c r="G199" s="187" t="s">
        <v>419</v>
      </c>
      <c r="H199" s="181" t="s">
        <v>420</v>
      </c>
      <c r="I199"/>
      <c r="J199" s="2" t="s">
        <v>419</v>
      </c>
      <c r="K199" s="8">
        <v>0</v>
      </c>
      <c r="R199" s="185" t="s">
        <v>1980</v>
      </c>
      <c r="AG199" s="181" t="s">
        <v>2175</v>
      </c>
    </row>
    <row r="200" spans="1:33" hidden="1">
      <c r="A200" s="240">
        <f t="shared" si="10"/>
        <v>99</v>
      </c>
      <c r="B200" s="181" t="s">
        <v>1109</v>
      </c>
      <c r="C200" s="8">
        <v>750</v>
      </c>
      <c r="D200" s="1" t="s">
        <v>739</v>
      </c>
      <c r="E200"/>
      <c r="I200"/>
      <c r="J200" s="4"/>
      <c r="K200" s="5" t="s">
        <v>1530</v>
      </c>
      <c r="AG200" s="181" t="s">
        <v>2175</v>
      </c>
    </row>
    <row r="201" spans="1:33" hidden="1">
      <c r="A201" s="240">
        <f t="shared" si="10"/>
        <v>100</v>
      </c>
      <c r="B201" s="181" t="s">
        <v>1110</v>
      </c>
      <c r="C201" s="8">
        <v>47.2</v>
      </c>
      <c r="D201" s="1" t="s">
        <v>739</v>
      </c>
      <c r="E201"/>
      <c r="I201"/>
      <c r="J201" s="4"/>
      <c r="K201" s="8" t="e">
        <f>SUM(K194:K199)</f>
        <v>#REF!</v>
      </c>
      <c r="N201" s="181" t="s">
        <v>3093</v>
      </c>
      <c r="O201" s="181" t="s">
        <v>361</v>
      </c>
      <c r="R201" s="188" t="e">
        <f>(R198+C19)</f>
        <v>#REF!</v>
      </c>
      <c r="AG201" s="181" t="s">
        <v>2175</v>
      </c>
    </row>
    <row r="202" spans="1:33" hidden="1">
      <c r="A202" s="240">
        <f t="shared" si="10"/>
        <v>101</v>
      </c>
      <c r="B202" s="181" t="s">
        <v>2252</v>
      </c>
      <c r="C202" s="8">
        <v>75</v>
      </c>
      <c r="D202" s="1" t="s">
        <v>739</v>
      </c>
      <c r="E202"/>
      <c r="H202" s="181" t="s">
        <v>583</v>
      </c>
      <c r="I202"/>
      <c r="J202" s="4"/>
      <c r="K202" s="5" t="s">
        <v>1530</v>
      </c>
      <c r="N202" s="181" t="s">
        <v>2253</v>
      </c>
      <c r="O202" s="181" t="s">
        <v>363</v>
      </c>
      <c r="R202" s="188" t="e">
        <f>(R201+C20)</f>
        <v>#REF!</v>
      </c>
      <c r="AG202" s="181" t="s">
        <v>300</v>
      </c>
    </row>
    <row r="203" spans="1:33" hidden="1">
      <c r="A203" s="240">
        <f t="shared" si="10"/>
        <v>102</v>
      </c>
      <c r="B203" s="181" t="s">
        <v>652</v>
      </c>
      <c r="C203" s="8">
        <v>40</v>
      </c>
      <c r="D203" s="1" t="s">
        <v>739</v>
      </c>
      <c r="E203"/>
      <c r="I203"/>
      <c r="J203" s="4"/>
      <c r="K203" s="8" t="e">
        <f>(K201/10)</f>
        <v>#REF!</v>
      </c>
      <c r="N203" s="181" t="s">
        <v>2254</v>
      </c>
      <c r="O203" s="181" t="s">
        <v>2149</v>
      </c>
      <c r="R203" s="188" t="e">
        <f>(R202+C21)</f>
        <v>#REF!</v>
      </c>
    </row>
    <row r="204" spans="1:33" hidden="1">
      <c r="A204" s="240">
        <f t="shared" si="10"/>
        <v>103</v>
      </c>
      <c r="B204" s="181" t="s">
        <v>590</v>
      </c>
      <c r="C204" s="8">
        <v>65</v>
      </c>
      <c r="D204" s="1" t="s">
        <v>739</v>
      </c>
      <c r="E204"/>
      <c r="H204" s="181" t="s">
        <v>743</v>
      </c>
      <c r="I204"/>
      <c r="J204" s="4"/>
      <c r="K204" s="5" t="s">
        <v>1980</v>
      </c>
      <c r="N204" s="181" t="s">
        <v>2255</v>
      </c>
      <c r="O204" s="181" t="s">
        <v>355</v>
      </c>
      <c r="R204" s="188" t="e">
        <f>(R203+C21)</f>
        <v>#REF!</v>
      </c>
    </row>
    <row r="205" spans="1:33" hidden="1">
      <c r="A205" s="240">
        <f t="shared" si="10"/>
        <v>104</v>
      </c>
      <c r="B205" s="181" t="s">
        <v>2256</v>
      </c>
      <c r="C205" s="8">
        <v>65</v>
      </c>
      <c r="D205" s="1" t="s">
        <v>739</v>
      </c>
      <c r="E205"/>
      <c r="I205"/>
      <c r="J205" s="4"/>
      <c r="K205"/>
      <c r="AG205" s="181" t="s">
        <v>2175</v>
      </c>
    </row>
    <row r="206" spans="1:33" hidden="1">
      <c r="A206" s="240">
        <f t="shared" si="10"/>
        <v>105</v>
      </c>
      <c r="B206" s="181" t="s">
        <v>653</v>
      </c>
      <c r="C206" s="8">
        <v>150</v>
      </c>
      <c r="D206" s="1" t="s">
        <v>654</v>
      </c>
      <c r="E206"/>
      <c r="F206" s="236" t="s">
        <v>655</v>
      </c>
      <c r="G206" s="187" t="s">
        <v>2167</v>
      </c>
      <c r="H206" s="181" t="s">
        <v>953</v>
      </c>
      <c r="I206"/>
      <c r="J206" s="4"/>
      <c r="K206"/>
    </row>
    <row r="207" spans="1:33" hidden="1">
      <c r="A207" s="240">
        <f t="shared" si="10"/>
        <v>106</v>
      </c>
      <c r="B207" s="181" t="s">
        <v>656</v>
      </c>
      <c r="C207" s="8">
        <v>100</v>
      </c>
      <c r="D207" s="1" t="s">
        <v>739</v>
      </c>
      <c r="E207"/>
      <c r="H207" s="181" t="s">
        <v>1430</v>
      </c>
      <c r="I207"/>
      <c r="J207" s="4"/>
      <c r="K207"/>
      <c r="N207" s="181" t="s">
        <v>657</v>
      </c>
      <c r="O207" s="181" t="s">
        <v>658</v>
      </c>
    </row>
    <row r="208" spans="1:33" hidden="1">
      <c r="C208"/>
      <c r="D208"/>
      <c r="E208"/>
      <c r="H208" s="185" t="s">
        <v>1530</v>
      </c>
      <c r="I208"/>
      <c r="J208" s="4"/>
      <c r="K208"/>
      <c r="O208" s="185" t="s">
        <v>1530</v>
      </c>
    </row>
    <row r="209" spans="3:18" hidden="1">
      <c r="C209"/>
      <c r="D209"/>
      <c r="E209"/>
      <c r="F209" s="188">
        <v>9</v>
      </c>
      <c r="G209" s="187" t="s">
        <v>836</v>
      </c>
      <c r="H209" s="181" t="s">
        <v>659</v>
      </c>
      <c r="I209" s="8" t="e">
        <f>C73</f>
        <v>#REF!</v>
      </c>
      <c r="J209" s="2" t="s">
        <v>836</v>
      </c>
      <c r="K209" s="8" t="e">
        <f>(F209*I209)</f>
        <v>#REF!</v>
      </c>
      <c r="M209" s="255">
        <v>1.153E-2</v>
      </c>
      <c r="N209" s="181" t="s">
        <v>836</v>
      </c>
      <c r="O209" s="181" t="s">
        <v>660</v>
      </c>
      <c r="P209" s="188">
        <f>C88</f>
        <v>65420</v>
      </c>
      <c r="Q209" s="181" t="s">
        <v>836</v>
      </c>
      <c r="R209" s="188">
        <f t="shared" ref="R209:R218" si="11">(M209*P209)</f>
        <v>754.29</v>
      </c>
    </row>
    <row r="210" spans="3:18" hidden="1">
      <c r="C210"/>
      <c r="D210"/>
      <c r="E210"/>
      <c r="F210" s="188">
        <v>4.5</v>
      </c>
      <c r="G210" s="187" t="s">
        <v>836</v>
      </c>
      <c r="H210" s="181" t="s">
        <v>117</v>
      </c>
      <c r="I210" s="8" t="e">
        <f>K23</f>
        <v>#REF!</v>
      </c>
      <c r="J210" s="2" t="s">
        <v>836</v>
      </c>
      <c r="K210" s="8" t="e">
        <f>(F210*I210)</f>
        <v>#REF!</v>
      </c>
      <c r="M210" s="255">
        <v>1.013E-2</v>
      </c>
      <c r="N210" s="181" t="s">
        <v>836</v>
      </c>
      <c r="O210" s="181" t="s">
        <v>661</v>
      </c>
      <c r="P210" s="188">
        <f>C89</f>
        <v>57165</v>
      </c>
      <c r="Q210" s="181" t="s">
        <v>836</v>
      </c>
      <c r="R210" s="188">
        <f t="shared" si="11"/>
        <v>579.08000000000004</v>
      </c>
    </row>
    <row r="211" spans="3:18" hidden="1">
      <c r="C211"/>
      <c r="D211"/>
      <c r="E211"/>
      <c r="F211" s="188">
        <v>1.8</v>
      </c>
      <c r="G211" s="187" t="s">
        <v>835</v>
      </c>
      <c r="H211" s="181" t="s">
        <v>1654</v>
      </c>
      <c r="I211" s="8">
        <f>C11</f>
        <v>135</v>
      </c>
      <c r="J211" s="2" t="s">
        <v>835</v>
      </c>
      <c r="K211" s="8">
        <f>(F211*I211)</f>
        <v>243</v>
      </c>
      <c r="M211" s="255">
        <v>0.77780000000000005</v>
      </c>
      <c r="N211" s="181" t="s">
        <v>578</v>
      </c>
      <c r="O211" s="181" t="s">
        <v>2011</v>
      </c>
      <c r="P211" s="188">
        <f>C753</f>
        <v>381.37</v>
      </c>
      <c r="Q211" s="181" t="s">
        <v>578</v>
      </c>
      <c r="R211" s="188">
        <f t="shared" si="11"/>
        <v>296.63</v>
      </c>
    </row>
    <row r="212" spans="3:18" hidden="1">
      <c r="C212"/>
      <c r="D212"/>
      <c r="E212"/>
      <c r="F212" s="188">
        <v>17.7</v>
      </c>
      <c r="G212" s="187" t="s">
        <v>835</v>
      </c>
      <c r="H212" s="181" t="s">
        <v>1836</v>
      </c>
      <c r="I212" s="8">
        <f>C12</f>
        <v>95</v>
      </c>
      <c r="J212" s="2" t="s">
        <v>835</v>
      </c>
      <c r="K212" s="8">
        <f>(F212*I212)</f>
        <v>1681.5</v>
      </c>
      <c r="M212" s="255">
        <v>1.23</v>
      </c>
      <c r="N212" s="181" t="s">
        <v>578</v>
      </c>
      <c r="O212" s="181" t="s">
        <v>2012</v>
      </c>
      <c r="P212" s="188">
        <f>D30</f>
        <v>287</v>
      </c>
      <c r="Q212" s="181" t="s">
        <v>578</v>
      </c>
      <c r="R212" s="188">
        <f t="shared" si="11"/>
        <v>353.01</v>
      </c>
    </row>
    <row r="213" spans="3:18" hidden="1">
      <c r="C213"/>
      <c r="D213"/>
      <c r="E213"/>
      <c r="F213" s="188">
        <v>14.1</v>
      </c>
      <c r="G213" s="187" t="s">
        <v>835</v>
      </c>
      <c r="H213" s="181" t="s">
        <v>299</v>
      </c>
      <c r="I213" s="8">
        <f>C13</f>
        <v>85</v>
      </c>
      <c r="J213" s="2" t="s">
        <v>835</v>
      </c>
      <c r="K213" s="8">
        <f>(F213*I213)</f>
        <v>1198.5</v>
      </c>
      <c r="M213" s="188">
        <v>2</v>
      </c>
      <c r="N213" s="181" t="s">
        <v>835</v>
      </c>
      <c r="O213" s="181" t="s">
        <v>2013</v>
      </c>
      <c r="P213" s="188">
        <f>C283</f>
        <v>30</v>
      </c>
      <c r="Q213" s="181" t="s">
        <v>835</v>
      </c>
      <c r="R213" s="188">
        <f t="shared" si="11"/>
        <v>60</v>
      </c>
    </row>
    <row r="214" spans="3:18" hidden="1">
      <c r="C214"/>
      <c r="D214"/>
      <c r="E214"/>
      <c r="G214" s="187" t="s">
        <v>419</v>
      </c>
      <c r="H214" s="181" t="s">
        <v>420</v>
      </c>
      <c r="I214"/>
      <c r="J214" s="2" t="s">
        <v>419</v>
      </c>
      <c r="K214" s="8">
        <v>0</v>
      </c>
      <c r="M214" s="188">
        <v>3</v>
      </c>
      <c r="N214" s="181" t="s">
        <v>835</v>
      </c>
      <c r="O214" s="181" t="s">
        <v>2014</v>
      </c>
      <c r="P214" s="188">
        <f>C278</f>
        <v>45</v>
      </c>
      <c r="Q214" s="181" t="s">
        <v>835</v>
      </c>
      <c r="R214" s="188">
        <f t="shared" si="11"/>
        <v>135</v>
      </c>
    </row>
    <row r="215" spans="3:18" hidden="1">
      <c r="C215"/>
      <c r="D215"/>
      <c r="E215"/>
      <c r="I215"/>
      <c r="J215" s="4"/>
      <c r="K215" s="5" t="s">
        <v>1530</v>
      </c>
      <c r="M215" s="188">
        <v>1</v>
      </c>
      <c r="N215" s="181" t="s">
        <v>835</v>
      </c>
      <c r="O215" s="181" t="s">
        <v>1910</v>
      </c>
      <c r="P215" s="188">
        <f>C285</f>
        <v>95</v>
      </c>
      <c r="Q215" s="181" t="s">
        <v>835</v>
      </c>
      <c r="R215" s="188">
        <f t="shared" si="11"/>
        <v>95</v>
      </c>
    </row>
    <row r="216" spans="3:18" hidden="1">
      <c r="C216"/>
      <c r="D216"/>
      <c r="E216"/>
      <c r="I216"/>
      <c r="J216" s="4"/>
      <c r="K216" s="8" t="e">
        <f>SUM(K209:K214)</f>
        <v>#REF!</v>
      </c>
      <c r="M216" s="188">
        <v>1</v>
      </c>
      <c r="N216" s="181" t="s">
        <v>835</v>
      </c>
      <c r="O216" s="181" t="s">
        <v>1911</v>
      </c>
      <c r="P216" s="188">
        <f>C287</f>
        <v>8</v>
      </c>
      <c r="Q216" s="181" t="s">
        <v>835</v>
      </c>
      <c r="R216" s="188">
        <f t="shared" si="11"/>
        <v>8</v>
      </c>
    </row>
    <row r="217" spans="3:18" hidden="1">
      <c r="C217"/>
      <c r="D217"/>
      <c r="E217"/>
      <c r="H217" s="181" t="s">
        <v>583</v>
      </c>
      <c r="I217"/>
      <c r="J217" s="4"/>
      <c r="K217" s="5" t="s">
        <v>1530</v>
      </c>
      <c r="M217" s="188">
        <v>1</v>
      </c>
      <c r="N217" s="181" t="s">
        <v>835</v>
      </c>
      <c r="O217" s="181" t="s">
        <v>1912</v>
      </c>
      <c r="P217" s="188">
        <f>C576</f>
        <v>30</v>
      </c>
      <c r="Q217" s="181" t="s">
        <v>835</v>
      </c>
      <c r="R217" s="188">
        <f t="shared" si="11"/>
        <v>30</v>
      </c>
    </row>
    <row r="218" spans="3:18" hidden="1">
      <c r="C218"/>
      <c r="D218"/>
      <c r="E218"/>
      <c r="I218"/>
      <c r="J218" s="4"/>
      <c r="K218" s="8" t="e">
        <f>(K216/10)</f>
        <v>#REF!</v>
      </c>
      <c r="M218" s="188">
        <v>1</v>
      </c>
      <c r="N218" s="181" t="s">
        <v>835</v>
      </c>
      <c r="O218" s="181" t="s">
        <v>1913</v>
      </c>
      <c r="P218" s="188">
        <f>D576</f>
        <v>25</v>
      </c>
      <c r="Q218" s="181" t="s">
        <v>835</v>
      </c>
      <c r="R218" s="188">
        <f t="shared" si="11"/>
        <v>25</v>
      </c>
    </row>
    <row r="219" spans="3:18" hidden="1">
      <c r="C219"/>
      <c r="D219"/>
      <c r="E219"/>
      <c r="H219" s="181" t="s">
        <v>743</v>
      </c>
      <c r="I219"/>
      <c r="J219" s="4"/>
      <c r="K219" s="5" t="s">
        <v>1980</v>
      </c>
      <c r="R219" s="185" t="s">
        <v>1530</v>
      </c>
    </row>
    <row r="220" spans="3:18" hidden="1">
      <c r="C220"/>
      <c r="D220"/>
      <c r="E220"/>
      <c r="I220"/>
      <c r="J220" s="4"/>
      <c r="K220"/>
      <c r="O220" s="236" t="s">
        <v>1914</v>
      </c>
      <c r="R220" s="188">
        <f>SUM(R209:R218)</f>
        <v>2336.0100000000002</v>
      </c>
    </row>
    <row r="221" spans="3:18" hidden="1">
      <c r="C221"/>
      <c r="D221"/>
      <c r="E221"/>
      <c r="F221" s="236" t="s">
        <v>1991</v>
      </c>
      <c r="G221" s="187" t="s">
        <v>2167</v>
      </c>
      <c r="H221" s="181" t="s">
        <v>954</v>
      </c>
      <c r="I221"/>
      <c r="J221" s="4"/>
      <c r="K221"/>
      <c r="N221" s="181" t="s">
        <v>940</v>
      </c>
      <c r="R221" s="185" t="s">
        <v>1530</v>
      </c>
    </row>
    <row r="222" spans="3:18" hidden="1">
      <c r="C222"/>
      <c r="D222"/>
      <c r="E222"/>
      <c r="H222" s="181" t="s">
        <v>1992</v>
      </c>
      <c r="I222"/>
      <c r="J222" s="4"/>
      <c r="K222"/>
      <c r="M222" s="181" t="s">
        <v>940</v>
      </c>
    </row>
    <row r="223" spans="3:18" hidden="1">
      <c r="C223"/>
      <c r="D223"/>
      <c r="E223"/>
      <c r="H223" s="185" t="s">
        <v>1530</v>
      </c>
      <c r="I223"/>
      <c r="J223" s="4"/>
      <c r="K223"/>
      <c r="O223" s="236" t="s">
        <v>521</v>
      </c>
      <c r="R223" s="188">
        <f>R220/M212</f>
        <v>1899.2</v>
      </c>
    </row>
    <row r="224" spans="3:18" hidden="1">
      <c r="C224"/>
      <c r="D224"/>
      <c r="E224"/>
      <c r="F224" s="188">
        <v>9</v>
      </c>
      <c r="G224" s="187" t="s">
        <v>836</v>
      </c>
      <c r="H224" s="181" t="s">
        <v>1746</v>
      </c>
      <c r="I224" s="8" t="e">
        <f>AC20</f>
        <v>#REF!</v>
      </c>
      <c r="J224" s="2" t="s">
        <v>836</v>
      </c>
      <c r="K224" s="8" t="e">
        <f>(F224*I224)</f>
        <v>#REF!</v>
      </c>
      <c r="M224" s="181" t="s">
        <v>300</v>
      </c>
    </row>
    <row r="225" spans="3:11" hidden="1">
      <c r="C225"/>
      <c r="D225"/>
      <c r="E225"/>
      <c r="F225" s="188">
        <v>4.5</v>
      </c>
      <c r="G225" s="187" t="s">
        <v>836</v>
      </c>
      <c r="H225" s="181" t="s">
        <v>1578</v>
      </c>
      <c r="I225" s="8" t="e">
        <f>K77</f>
        <v>#REF!</v>
      </c>
      <c r="J225" s="2" t="s">
        <v>836</v>
      </c>
      <c r="K225" s="8" t="e">
        <f>(F225*I225)</f>
        <v>#REF!</v>
      </c>
    </row>
    <row r="226" spans="3:11" hidden="1">
      <c r="C226"/>
      <c r="D226"/>
      <c r="E226"/>
      <c r="F226" s="188">
        <v>1.8</v>
      </c>
      <c r="G226" s="187" t="s">
        <v>835</v>
      </c>
      <c r="H226" s="181" t="s">
        <v>1654</v>
      </c>
      <c r="I226" s="8">
        <f>C11</f>
        <v>135</v>
      </c>
      <c r="J226" s="2" t="s">
        <v>835</v>
      </c>
      <c r="K226" s="8">
        <f>(F226*I226)</f>
        <v>243</v>
      </c>
    </row>
    <row r="227" spans="3:11" hidden="1">
      <c r="C227"/>
      <c r="D227"/>
      <c r="E227"/>
      <c r="F227" s="188">
        <v>17.7</v>
      </c>
      <c r="G227" s="187" t="s">
        <v>835</v>
      </c>
      <c r="H227" s="181" t="s">
        <v>1836</v>
      </c>
      <c r="I227" s="8">
        <f>C12</f>
        <v>95</v>
      </c>
      <c r="J227" s="2" t="s">
        <v>835</v>
      </c>
      <c r="K227" s="8">
        <f>(F227*I227)</f>
        <v>1681.5</v>
      </c>
    </row>
    <row r="228" spans="3:11" hidden="1">
      <c r="C228"/>
      <c r="D228"/>
      <c r="E228"/>
      <c r="F228" s="188">
        <v>14.1</v>
      </c>
      <c r="G228" s="187" t="s">
        <v>835</v>
      </c>
      <c r="H228" s="181" t="s">
        <v>299</v>
      </c>
      <c r="I228" s="8">
        <f>C13</f>
        <v>85</v>
      </c>
      <c r="J228" s="2" t="s">
        <v>835</v>
      </c>
      <c r="K228" s="8">
        <f>(F228*I228)</f>
        <v>1198.5</v>
      </c>
    </row>
    <row r="229" spans="3:11" hidden="1">
      <c r="C229"/>
      <c r="D229"/>
      <c r="E229"/>
      <c r="G229" s="187" t="s">
        <v>419</v>
      </c>
      <c r="H229" s="181" t="s">
        <v>420</v>
      </c>
      <c r="I229"/>
      <c r="J229" s="2" t="s">
        <v>419</v>
      </c>
      <c r="K229" s="8">
        <v>0</v>
      </c>
    </row>
    <row r="230" spans="3:11" hidden="1">
      <c r="C230"/>
      <c r="D230"/>
      <c r="E230"/>
      <c r="I230"/>
      <c r="J230" s="4"/>
      <c r="K230" s="5" t="s">
        <v>1530</v>
      </c>
    </row>
    <row r="231" spans="3:11" hidden="1">
      <c r="C231"/>
      <c r="D231"/>
      <c r="E231"/>
      <c r="I231"/>
      <c r="J231" s="4"/>
      <c r="K231" s="8" t="e">
        <f>SUM(K224:K229)</f>
        <v>#REF!</v>
      </c>
    </row>
    <row r="232" spans="3:11" hidden="1">
      <c r="C232"/>
      <c r="D232"/>
      <c r="E232"/>
      <c r="H232" s="181" t="s">
        <v>583</v>
      </c>
      <c r="I232"/>
      <c r="J232" s="4"/>
      <c r="K232" s="5" t="s">
        <v>1530</v>
      </c>
    </row>
    <row r="233" spans="3:11" hidden="1">
      <c r="C233"/>
      <c r="D233"/>
      <c r="E233"/>
      <c r="I233"/>
      <c r="J233" s="4"/>
      <c r="K233" s="8" t="e">
        <f>(K231/10)</f>
        <v>#REF!</v>
      </c>
    </row>
    <row r="234" spans="3:11" hidden="1">
      <c r="C234"/>
      <c r="D234"/>
      <c r="E234"/>
      <c r="H234" s="181" t="s">
        <v>743</v>
      </c>
      <c r="I234"/>
      <c r="J234" s="4"/>
      <c r="K234" s="5" t="s">
        <v>1980</v>
      </c>
    </row>
    <row r="235" spans="3:11" hidden="1">
      <c r="C235"/>
      <c r="D235"/>
      <c r="E235"/>
      <c r="I235"/>
      <c r="J235" s="4"/>
      <c r="K235"/>
    </row>
    <row r="236" spans="3:11" hidden="1">
      <c r="C236"/>
      <c r="D236"/>
      <c r="E236"/>
      <c r="I236"/>
      <c r="J236" s="4"/>
      <c r="K236"/>
    </row>
    <row r="237" spans="3:11" hidden="1">
      <c r="C237"/>
      <c r="D237"/>
      <c r="E237"/>
      <c r="F237" s="246">
        <v>3.6</v>
      </c>
      <c r="H237" s="181" t="s">
        <v>3</v>
      </c>
      <c r="I237"/>
      <c r="J237" s="4"/>
      <c r="K237"/>
    </row>
    <row r="238" spans="3:11" hidden="1">
      <c r="C238"/>
      <c r="D238"/>
      <c r="E238"/>
      <c r="H238" s="181" t="s">
        <v>609</v>
      </c>
      <c r="I238"/>
      <c r="J238" s="4"/>
      <c r="K238"/>
    </row>
    <row r="239" spans="3:11" hidden="1">
      <c r="C239"/>
      <c r="D239"/>
      <c r="E239"/>
      <c r="H239" s="185" t="s">
        <v>1980</v>
      </c>
      <c r="I239"/>
      <c r="J239" s="4"/>
      <c r="K239"/>
    </row>
    <row r="240" spans="3:11" hidden="1">
      <c r="C240"/>
      <c r="D240"/>
      <c r="E240"/>
      <c r="F240" s="188">
        <v>1.25</v>
      </c>
      <c r="G240" s="187" t="s">
        <v>1289</v>
      </c>
      <c r="H240" s="181" t="s">
        <v>1447</v>
      </c>
      <c r="I240" s="8">
        <f>C783</f>
        <v>3.05</v>
      </c>
      <c r="J240" s="2" t="s">
        <v>1289</v>
      </c>
      <c r="K240" s="8">
        <f>(F240*I240)</f>
        <v>3.81</v>
      </c>
    </row>
    <row r="241" spans="3:11" hidden="1">
      <c r="C241"/>
      <c r="D241"/>
      <c r="E241"/>
      <c r="F241" s="188">
        <v>0.75</v>
      </c>
      <c r="G241" s="187" t="s">
        <v>1289</v>
      </c>
      <c r="H241" s="181" t="s">
        <v>2257</v>
      </c>
      <c r="I241" s="8" t="e">
        <f>AC37</f>
        <v>#REF!</v>
      </c>
      <c r="J241" s="2" t="s">
        <v>1289</v>
      </c>
      <c r="K241" s="8" t="e">
        <f>(F241*I241)</f>
        <v>#REF!</v>
      </c>
    </row>
    <row r="242" spans="3:11" hidden="1">
      <c r="C242"/>
      <c r="D242"/>
      <c r="E242"/>
      <c r="F242" s="188">
        <v>0.5</v>
      </c>
      <c r="G242" s="187" t="s">
        <v>1289</v>
      </c>
      <c r="H242" s="181" t="s">
        <v>2019</v>
      </c>
      <c r="I242" s="8" t="e">
        <f>AC36</f>
        <v>#REF!</v>
      </c>
      <c r="J242" s="2" t="s">
        <v>1289</v>
      </c>
      <c r="K242" s="8" t="e">
        <f>(F242*I242)</f>
        <v>#REF!</v>
      </c>
    </row>
    <row r="243" spans="3:11" hidden="1">
      <c r="C243"/>
      <c r="D243"/>
      <c r="E243"/>
      <c r="F243" s="188">
        <v>0.45</v>
      </c>
      <c r="G243" s="187" t="s">
        <v>1289</v>
      </c>
      <c r="H243" s="181" t="s">
        <v>888</v>
      </c>
      <c r="I243" s="8">
        <f>AC38</f>
        <v>169</v>
      </c>
      <c r="J243" s="2" t="s">
        <v>1289</v>
      </c>
      <c r="K243" s="8">
        <f>(F243*I243)</f>
        <v>76.05</v>
      </c>
    </row>
    <row r="244" spans="3:11" hidden="1">
      <c r="C244"/>
      <c r="D244"/>
      <c r="E244"/>
      <c r="F244" s="188">
        <v>10</v>
      </c>
      <c r="G244" s="187" t="s">
        <v>222</v>
      </c>
      <c r="H244" s="181" t="s">
        <v>1848</v>
      </c>
      <c r="I244" s="8">
        <v>17.82</v>
      </c>
      <c r="J244" s="2" t="s">
        <v>222</v>
      </c>
      <c r="K244" s="8">
        <f>(F244*I244)</f>
        <v>178.2</v>
      </c>
    </row>
    <row r="245" spans="3:11" hidden="1">
      <c r="C245"/>
      <c r="D245"/>
      <c r="E245"/>
      <c r="H245" s="181" t="s">
        <v>1849</v>
      </c>
      <c r="I245"/>
      <c r="J245" s="4"/>
      <c r="K245" s="5" t="s">
        <v>1530</v>
      </c>
    </row>
    <row r="246" spans="3:11" hidden="1">
      <c r="C246"/>
      <c r="D246"/>
      <c r="E246"/>
      <c r="H246" s="181" t="s">
        <v>1850</v>
      </c>
      <c r="I246"/>
      <c r="J246" s="4"/>
      <c r="K246" s="8" t="e">
        <f>SUM(K240:K244)</f>
        <v>#REF!</v>
      </c>
    </row>
    <row r="247" spans="3:11" hidden="1">
      <c r="C247"/>
      <c r="D247"/>
      <c r="E247"/>
      <c r="I247"/>
      <c r="J247" s="4"/>
      <c r="K247" s="5" t="s">
        <v>1530</v>
      </c>
    </row>
    <row r="248" spans="3:11" hidden="1">
      <c r="C248"/>
      <c r="D248"/>
      <c r="E248"/>
      <c r="H248" s="181" t="s">
        <v>1851</v>
      </c>
      <c r="I248"/>
      <c r="J248" s="4"/>
      <c r="K248" s="8" t="e">
        <f>K246/10</f>
        <v>#REF!</v>
      </c>
    </row>
    <row r="249" spans="3:11" hidden="1">
      <c r="C249"/>
      <c r="D249"/>
      <c r="E249"/>
      <c r="I249"/>
      <c r="J249" s="4"/>
      <c r="K249" s="5" t="s">
        <v>1980</v>
      </c>
    </row>
    <row r="250" spans="3:11" hidden="1">
      <c r="C250"/>
      <c r="D250"/>
      <c r="E250"/>
      <c r="I250"/>
      <c r="J250" s="4"/>
      <c r="K250"/>
    </row>
    <row r="251" spans="3:11" hidden="1">
      <c r="C251"/>
      <c r="D251"/>
      <c r="E251"/>
      <c r="F251" s="246">
        <v>3.7</v>
      </c>
      <c r="H251" s="181" t="s">
        <v>4</v>
      </c>
      <c r="I251"/>
      <c r="J251" s="4"/>
      <c r="K251"/>
    </row>
    <row r="252" spans="3:11" hidden="1">
      <c r="C252"/>
      <c r="D252"/>
      <c r="E252"/>
      <c r="H252" s="185" t="s">
        <v>1530</v>
      </c>
      <c r="I252"/>
      <c r="J252" s="4"/>
      <c r="K252"/>
    </row>
    <row r="253" spans="3:11" hidden="1">
      <c r="C253"/>
      <c r="D253"/>
      <c r="E253"/>
      <c r="F253" s="188">
        <v>2.7</v>
      </c>
      <c r="G253" s="187" t="s">
        <v>1289</v>
      </c>
      <c r="H253" s="181" t="s">
        <v>150</v>
      </c>
      <c r="I253" s="8" t="e">
        <f>AC35</f>
        <v>#REF!</v>
      </c>
      <c r="J253" s="2" t="s">
        <v>1289</v>
      </c>
      <c r="K253" s="8" t="e">
        <f>(F253*I253)</f>
        <v>#REF!</v>
      </c>
    </row>
    <row r="254" spans="3:11" hidden="1">
      <c r="C254"/>
      <c r="D254"/>
      <c r="E254"/>
      <c r="F254" s="256">
        <v>0.14499999999999999</v>
      </c>
      <c r="G254" s="187" t="s">
        <v>1289</v>
      </c>
      <c r="H254" s="181" t="s">
        <v>875</v>
      </c>
      <c r="I254" s="8" t="e">
        <f>AC17</f>
        <v>#REF!</v>
      </c>
      <c r="J254" s="2" t="s">
        <v>1289</v>
      </c>
      <c r="K254" s="8" t="e">
        <f>(F254*I254)</f>
        <v>#REF!</v>
      </c>
    </row>
    <row r="255" spans="3:11" hidden="1">
      <c r="C255"/>
      <c r="D255"/>
      <c r="E255"/>
      <c r="F255" s="188">
        <v>218.8</v>
      </c>
      <c r="G255" s="187" t="s">
        <v>876</v>
      </c>
      <c r="H255" s="181" t="s">
        <v>877</v>
      </c>
      <c r="I255" s="8">
        <v>12224.58</v>
      </c>
      <c r="J255" s="2" t="s">
        <v>876</v>
      </c>
      <c r="K255" s="8">
        <f>(F255*I255)/1000</f>
        <v>2674.74</v>
      </c>
    </row>
    <row r="256" spans="3:11" hidden="1">
      <c r="C256"/>
      <c r="D256"/>
      <c r="E256"/>
      <c r="F256" s="188">
        <v>100</v>
      </c>
      <c r="G256" s="187" t="s">
        <v>222</v>
      </c>
      <c r="H256" s="181" t="s">
        <v>878</v>
      </c>
      <c r="I256" s="8">
        <v>14.3</v>
      </c>
      <c r="J256" s="2" t="s">
        <v>222</v>
      </c>
      <c r="K256" s="8">
        <f>(F256*I256)</f>
        <v>1430</v>
      </c>
    </row>
    <row r="257" spans="1:33" hidden="1">
      <c r="C257"/>
      <c r="D257"/>
      <c r="E257"/>
      <c r="I257"/>
      <c r="J257" s="4"/>
      <c r="K257" s="5" t="s">
        <v>1530</v>
      </c>
    </row>
    <row r="258" spans="1:33" hidden="1">
      <c r="C258"/>
      <c r="D258"/>
      <c r="E258"/>
      <c r="H258" s="181" t="s">
        <v>879</v>
      </c>
      <c r="I258"/>
      <c r="J258" s="4"/>
      <c r="K258" s="8" t="e">
        <f>SUM(K253:K256)</f>
        <v>#REF!</v>
      </c>
    </row>
    <row r="259" spans="1:33" hidden="1">
      <c r="C259"/>
      <c r="D259"/>
      <c r="E259"/>
      <c r="I259"/>
      <c r="J259" s="4"/>
      <c r="K259" s="5" t="s">
        <v>1530</v>
      </c>
    </row>
    <row r="260" spans="1:33" hidden="1">
      <c r="C260"/>
      <c r="D260"/>
      <c r="E260"/>
      <c r="H260" s="181" t="s">
        <v>1851</v>
      </c>
      <c r="I260"/>
      <c r="J260" s="4"/>
      <c r="K260" s="8" t="e">
        <f>K258/100</f>
        <v>#REF!</v>
      </c>
    </row>
    <row r="261" spans="1:33" hidden="1">
      <c r="C261"/>
      <c r="D261"/>
      <c r="E261"/>
      <c r="F261" s="181" t="s">
        <v>940</v>
      </c>
      <c r="G261" s="187" t="s">
        <v>940</v>
      </c>
      <c r="I261"/>
      <c r="J261" s="4"/>
      <c r="K261" s="5" t="s">
        <v>1980</v>
      </c>
    </row>
    <row r="262" spans="1:33" hidden="1">
      <c r="C262"/>
      <c r="D262"/>
      <c r="E262"/>
      <c r="I262"/>
      <c r="J262" s="4"/>
      <c r="K262"/>
    </row>
    <row r="263" spans="1:33" hidden="1">
      <c r="C263"/>
      <c r="D263"/>
      <c r="E263"/>
      <c r="I263"/>
      <c r="J263" s="4"/>
      <c r="K263"/>
    </row>
    <row r="264" spans="1:33" hidden="1">
      <c r="A264" s="240">
        <f>(A205+1)</f>
        <v>105</v>
      </c>
      <c r="B264" s="181" t="s">
        <v>1747</v>
      </c>
      <c r="C264" s="8">
        <v>50.5</v>
      </c>
      <c r="D264" s="1" t="s">
        <v>739</v>
      </c>
      <c r="E264"/>
      <c r="F264" s="236" t="s">
        <v>642</v>
      </c>
      <c r="H264" s="181" t="s">
        <v>1550</v>
      </c>
      <c r="I264"/>
      <c r="J264" s="4"/>
      <c r="K264"/>
      <c r="N264" s="181" t="s">
        <v>643</v>
      </c>
      <c r="O264" s="181" t="s">
        <v>802</v>
      </c>
      <c r="AG264" s="181" t="s">
        <v>2175</v>
      </c>
    </row>
    <row r="265" spans="1:33" hidden="1">
      <c r="A265" s="240">
        <f t="shared" ref="A265:A279" si="12">(A264+1)</f>
        <v>106</v>
      </c>
      <c r="B265" s="181" t="s">
        <v>803</v>
      </c>
      <c r="C265" s="8">
        <v>115</v>
      </c>
      <c r="D265" s="1" t="s">
        <v>739</v>
      </c>
      <c r="E265"/>
      <c r="H265" s="185" t="s">
        <v>1980</v>
      </c>
      <c r="I265"/>
      <c r="J265" s="4"/>
      <c r="K265"/>
      <c r="O265" s="185" t="s">
        <v>1530</v>
      </c>
      <c r="AG265" s="181" t="s">
        <v>2175</v>
      </c>
    </row>
    <row r="266" spans="1:33" hidden="1">
      <c r="A266" s="240">
        <f t="shared" si="12"/>
        <v>107</v>
      </c>
      <c r="B266" s="181" t="s">
        <v>2258</v>
      </c>
      <c r="C266" s="8">
        <v>63</v>
      </c>
      <c r="D266" s="8">
        <v>90</v>
      </c>
      <c r="E266"/>
      <c r="G266" s="187" t="s">
        <v>2167</v>
      </c>
      <c r="H266" s="181" t="s">
        <v>372</v>
      </c>
      <c r="I266"/>
      <c r="J266" s="4"/>
      <c r="K266"/>
      <c r="M266" s="188">
        <v>1.1399999999999999</v>
      </c>
      <c r="N266" s="181" t="s">
        <v>836</v>
      </c>
      <c r="O266" s="181" t="s">
        <v>2195</v>
      </c>
      <c r="P266" s="188" t="e">
        <f>(K419)</f>
        <v>#REF!</v>
      </c>
      <c r="Q266" s="181" t="s">
        <v>835</v>
      </c>
      <c r="R266" s="188" t="e">
        <f>(M266*P266)</f>
        <v>#REF!</v>
      </c>
      <c r="AG266" s="181" t="s">
        <v>2175</v>
      </c>
    </row>
    <row r="267" spans="1:33" hidden="1">
      <c r="A267" s="240">
        <f t="shared" si="12"/>
        <v>108</v>
      </c>
      <c r="B267" s="181" t="s">
        <v>2259</v>
      </c>
      <c r="C267" s="8">
        <v>10705</v>
      </c>
      <c r="D267" s="1" t="s">
        <v>836</v>
      </c>
      <c r="E267"/>
      <c r="H267" s="181" t="s">
        <v>2185</v>
      </c>
      <c r="I267"/>
      <c r="J267" s="4"/>
      <c r="K267"/>
      <c r="M267" s="188">
        <v>1</v>
      </c>
      <c r="N267" s="181" t="s">
        <v>739</v>
      </c>
      <c r="O267" s="181" t="s">
        <v>1938</v>
      </c>
      <c r="P267" s="188">
        <f>(C10)</f>
        <v>150</v>
      </c>
      <c r="Q267" s="181" t="s">
        <v>835</v>
      </c>
      <c r="R267" s="188">
        <f>(M267*P267)</f>
        <v>150</v>
      </c>
      <c r="AG267" s="181" t="s">
        <v>2175</v>
      </c>
    </row>
    <row r="268" spans="1:33" hidden="1">
      <c r="A268" s="240">
        <f t="shared" si="12"/>
        <v>109</v>
      </c>
      <c r="B268" s="181" t="s">
        <v>3094</v>
      </c>
      <c r="C268" s="8">
        <v>9395</v>
      </c>
      <c r="D268" s="1" t="s">
        <v>836</v>
      </c>
      <c r="E268"/>
      <c r="H268" s="185" t="s">
        <v>1530</v>
      </c>
      <c r="I268"/>
      <c r="J268" s="4"/>
      <c r="K268"/>
      <c r="N268" s="181" t="s">
        <v>419</v>
      </c>
      <c r="O268" s="181" t="s">
        <v>420</v>
      </c>
      <c r="P268" s="181" t="s">
        <v>940</v>
      </c>
      <c r="Q268" s="181" t="s">
        <v>419</v>
      </c>
      <c r="R268" s="188">
        <v>0.05</v>
      </c>
      <c r="AG268" s="181" t="s">
        <v>2175</v>
      </c>
    </row>
    <row r="269" spans="1:33" hidden="1">
      <c r="A269" s="240">
        <f t="shared" si="12"/>
        <v>110</v>
      </c>
      <c r="B269" s="181" t="s">
        <v>3095</v>
      </c>
      <c r="C269" s="8">
        <v>15</v>
      </c>
      <c r="D269" s="1" t="s">
        <v>739</v>
      </c>
      <c r="E269"/>
      <c r="F269" s="188">
        <v>9</v>
      </c>
      <c r="G269" s="187" t="s">
        <v>836</v>
      </c>
      <c r="H269" s="181" t="s">
        <v>409</v>
      </c>
      <c r="I269" s="8" t="e">
        <f>(C73)</f>
        <v>#REF!</v>
      </c>
      <c r="J269" s="2" t="s">
        <v>836</v>
      </c>
      <c r="K269" s="8" t="e">
        <f t="shared" ref="K269:K274" si="13">(F269*I269)</f>
        <v>#REF!</v>
      </c>
      <c r="R269" s="185" t="s">
        <v>1530</v>
      </c>
      <c r="AG269" s="181" t="s">
        <v>2175</v>
      </c>
    </row>
    <row r="270" spans="1:33" hidden="1">
      <c r="A270" s="240">
        <f t="shared" si="12"/>
        <v>111</v>
      </c>
      <c r="B270" s="181" t="s">
        <v>410</v>
      </c>
      <c r="C270" s="8">
        <v>35</v>
      </c>
      <c r="D270" s="1" t="s">
        <v>1591</v>
      </c>
      <c r="E270" s="106">
        <v>120</v>
      </c>
      <c r="F270" s="245">
        <v>3.2309999999999999</v>
      </c>
      <c r="G270" s="187" t="s">
        <v>828</v>
      </c>
      <c r="H270" s="181" t="s">
        <v>829</v>
      </c>
      <c r="I270" s="8">
        <f>(C67)</f>
        <v>3800</v>
      </c>
      <c r="J270" s="2" t="s">
        <v>828</v>
      </c>
      <c r="K270" s="8">
        <f t="shared" si="13"/>
        <v>12277.8</v>
      </c>
      <c r="O270" s="181" t="s">
        <v>411</v>
      </c>
      <c r="R270" s="188" t="e">
        <f>SUM(R266:R268)</f>
        <v>#REF!</v>
      </c>
      <c r="AG270" s="181" t="s">
        <v>2175</v>
      </c>
    </row>
    <row r="271" spans="1:33" hidden="1">
      <c r="A271" s="240">
        <f t="shared" si="12"/>
        <v>112</v>
      </c>
      <c r="B271" s="181" t="s">
        <v>2914</v>
      </c>
      <c r="C271" s="8">
        <v>160</v>
      </c>
      <c r="D271" s="8">
        <v>452.09</v>
      </c>
      <c r="E271"/>
      <c r="F271" s="188">
        <v>4.5</v>
      </c>
      <c r="G271" s="187" t="s">
        <v>836</v>
      </c>
      <c r="H271" s="181" t="s">
        <v>837</v>
      </c>
      <c r="I271" s="8" t="e">
        <f>(C78)</f>
        <v>#REF!</v>
      </c>
      <c r="J271" s="2" t="s">
        <v>836</v>
      </c>
      <c r="K271" s="8" t="e">
        <f t="shared" si="13"/>
        <v>#REF!</v>
      </c>
      <c r="R271" s="185" t="s">
        <v>1530</v>
      </c>
      <c r="AG271" s="181" t="s">
        <v>2175</v>
      </c>
    </row>
    <row r="272" spans="1:33" hidden="1">
      <c r="A272" s="240">
        <f t="shared" si="12"/>
        <v>113</v>
      </c>
      <c r="B272" s="181" t="s">
        <v>1322</v>
      </c>
      <c r="C272" s="8">
        <v>13.5</v>
      </c>
      <c r="D272" s="1" t="s">
        <v>1714</v>
      </c>
      <c r="E272"/>
      <c r="F272" s="188">
        <v>3.5</v>
      </c>
      <c r="G272" s="187" t="s">
        <v>835</v>
      </c>
      <c r="H272" s="181" t="s">
        <v>1654</v>
      </c>
      <c r="I272" s="8">
        <f>(C11)</f>
        <v>135</v>
      </c>
      <c r="J272" s="2" t="s">
        <v>835</v>
      </c>
      <c r="K272" s="8">
        <f t="shared" si="13"/>
        <v>472.5</v>
      </c>
      <c r="O272" s="181" t="s">
        <v>521</v>
      </c>
      <c r="R272" s="188" t="e">
        <f>(R270/10)</f>
        <v>#REF!</v>
      </c>
      <c r="AG272" s="181" t="s">
        <v>2175</v>
      </c>
    </row>
    <row r="273" spans="1:33" hidden="1">
      <c r="A273" s="240">
        <f t="shared" si="12"/>
        <v>114</v>
      </c>
      <c r="B273" s="181" t="s">
        <v>1323</v>
      </c>
      <c r="C273" s="8">
        <v>18.809999999999999</v>
      </c>
      <c r="D273" s="1" t="s">
        <v>739</v>
      </c>
      <c r="E273"/>
      <c r="F273" s="188">
        <v>21.2</v>
      </c>
      <c r="G273" s="187" t="s">
        <v>835</v>
      </c>
      <c r="H273" s="181" t="s">
        <v>1836</v>
      </c>
      <c r="I273" s="8">
        <f>(C12)</f>
        <v>95</v>
      </c>
      <c r="J273" s="2" t="s">
        <v>835</v>
      </c>
      <c r="K273" s="8">
        <f t="shared" si="13"/>
        <v>2014</v>
      </c>
      <c r="R273" s="185" t="s">
        <v>1980</v>
      </c>
      <c r="AG273" s="181" t="s">
        <v>2175</v>
      </c>
    </row>
    <row r="274" spans="1:33" hidden="1">
      <c r="A274" s="240">
        <f t="shared" si="12"/>
        <v>115</v>
      </c>
      <c r="B274" s="181" t="s">
        <v>1324</v>
      </c>
      <c r="C274" s="8">
        <v>14.15</v>
      </c>
      <c r="D274" s="1" t="s">
        <v>739</v>
      </c>
      <c r="E274"/>
      <c r="F274" s="188">
        <v>35.299999999999997</v>
      </c>
      <c r="G274" s="187" t="s">
        <v>835</v>
      </c>
      <c r="H274" s="181" t="s">
        <v>299</v>
      </c>
      <c r="I274" s="8">
        <f>(C13)</f>
        <v>85</v>
      </c>
      <c r="J274" s="2" t="s">
        <v>835</v>
      </c>
      <c r="K274" s="8">
        <f t="shared" si="13"/>
        <v>3000.5</v>
      </c>
      <c r="N274" s="181" t="s">
        <v>1094</v>
      </c>
      <c r="O274" s="181" t="s">
        <v>361</v>
      </c>
      <c r="R274" s="188" t="e">
        <f>(R272+C19/10*M266)</f>
        <v>#REF!</v>
      </c>
      <c r="AG274" s="181" t="s">
        <v>2175</v>
      </c>
    </row>
    <row r="275" spans="1:33" hidden="1">
      <c r="A275" s="240">
        <f t="shared" si="12"/>
        <v>116</v>
      </c>
      <c r="B275" s="181" t="s">
        <v>627</v>
      </c>
      <c r="C275" s="8">
        <v>16.440000000000001</v>
      </c>
      <c r="D275" s="1" t="s">
        <v>739</v>
      </c>
      <c r="E275"/>
      <c r="G275" s="187" t="s">
        <v>419</v>
      </c>
      <c r="H275" s="181" t="s">
        <v>420</v>
      </c>
      <c r="I275" s="1" t="s">
        <v>940</v>
      </c>
      <c r="J275" s="2" t="s">
        <v>419</v>
      </c>
      <c r="K275" s="8">
        <v>0</v>
      </c>
      <c r="N275" s="181" t="s">
        <v>628</v>
      </c>
      <c r="O275" s="181" t="s">
        <v>363</v>
      </c>
      <c r="R275" s="188" t="e">
        <f>(R274+C20/10*M266)</f>
        <v>#REF!</v>
      </c>
      <c r="AG275" s="181" t="s">
        <v>2175</v>
      </c>
    </row>
    <row r="276" spans="1:33" hidden="1">
      <c r="A276" s="240">
        <f t="shared" si="12"/>
        <v>117</v>
      </c>
      <c r="B276" s="181" t="s">
        <v>629</v>
      </c>
      <c r="C276" s="8">
        <v>8</v>
      </c>
      <c r="D276" s="8">
        <v>6.25</v>
      </c>
      <c r="E276"/>
      <c r="I276"/>
      <c r="J276" s="4"/>
      <c r="K276" s="5" t="s">
        <v>1530</v>
      </c>
      <c r="N276" s="181" t="s">
        <v>640</v>
      </c>
      <c r="O276" s="181" t="s">
        <v>2149</v>
      </c>
      <c r="R276" s="188" t="e">
        <f>(R275+C21/10*M266)</f>
        <v>#REF!</v>
      </c>
      <c r="AG276" s="181" t="s">
        <v>2175</v>
      </c>
    </row>
    <row r="277" spans="1:33" hidden="1">
      <c r="A277" s="240">
        <f t="shared" si="12"/>
        <v>118</v>
      </c>
      <c r="B277" s="181" t="s">
        <v>641</v>
      </c>
      <c r="C277" s="8">
        <v>170.39</v>
      </c>
      <c r="D277" s="1" t="s">
        <v>578</v>
      </c>
      <c r="E277"/>
      <c r="H277" s="181" t="s">
        <v>2089</v>
      </c>
      <c r="I277"/>
      <c r="J277" s="4"/>
      <c r="K277" s="8" t="e">
        <f>SUM(K269:K275)</f>
        <v>#REF!</v>
      </c>
      <c r="N277" s="181" t="s">
        <v>2090</v>
      </c>
      <c r="O277" s="181" t="s">
        <v>355</v>
      </c>
      <c r="R277" s="188" t="e">
        <f>(R276+C21/10*M266)</f>
        <v>#REF!</v>
      </c>
      <c r="AG277" s="181" t="s">
        <v>2175</v>
      </c>
    </row>
    <row r="278" spans="1:33" hidden="1">
      <c r="A278" s="240">
        <f t="shared" si="12"/>
        <v>119</v>
      </c>
      <c r="B278" s="181" t="s">
        <v>2915</v>
      </c>
      <c r="C278" s="8">
        <v>45</v>
      </c>
      <c r="D278" s="1" t="s">
        <v>739</v>
      </c>
      <c r="E278"/>
      <c r="I278"/>
      <c r="J278" s="4"/>
      <c r="K278" s="5" t="s">
        <v>1530</v>
      </c>
      <c r="AG278" s="181" t="s">
        <v>2175</v>
      </c>
    </row>
    <row r="279" spans="1:33" hidden="1">
      <c r="A279" s="240">
        <f t="shared" si="12"/>
        <v>120</v>
      </c>
      <c r="B279" s="181" t="s">
        <v>2916</v>
      </c>
      <c r="C279" s="8">
        <v>31.24</v>
      </c>
      <c r="D279" s="1" t="s">
        <v>739</v>
      </c>
      <c r="E279"/>
      <c r="H279" s="181" t="s">
        <v>743</v>
      </c>
      <c r="I279"/>
      <c r="J279" s="4"/>
      <c r="K279" s="8" t="e">
        <f>(K277/10)</f>
        <v>#REF!</v>
      </c>
      <c r="N279" s="181" t="s">
        <v>643</v>
      </c>
      <c r="O279" s="181" t="s">
        <v>2091</v>
      </c>
      <c r="R279" s="181" t="s">
        <v>940</v>
      </c>
      <c r="AG279" s="181" t="s">
        <v>2175</v>
      </c>
    </row>
    <row r="280" spans="1:33" hidden="1">
      <c r="C280"/>
      <c r="D280"/>
      <c r="E280"/>
      <c r="F280" s="181" t="s">
        <v>940</v>
      </c>
      <c r="I280"/>
      <c r="J280" s="4"/>
      <c r="K280"/>
    </row>
    <row r="281" spans="1:33" hidden="1">
      <c r="A281" s="240">
        <f>(A279+1)</f>
        <v>121</v>
      </c>
      <c r="B281" s="181" t="s">
        <v>2917</v>
      </c>
      <c r="C281" s="8">
        <v>25</v>
      </c>
      <c r="D281" s="1" t="s">
        <v>739</v>
      </c>
      <c r="E281"/>
      <c r="I281"/>
      <c r="J281" s="4"/>
      <c r="K281"/>
      <c r="O281" s="181" t="s">
        <v>1528</v>
      </c>
      <c r="AG281" s="181" t="s">
        <v>2175</v>
      </c>
    </row>
    <row r="282" spans="1:33" hidden="1">
      <c r="A282" s="240">
        <f t="shared" ref="A282:A313" si="14">(A281+1)</f>
        <v>122</v>
      </c>
      <c r="B282" s="181" t="s">
        <v>2918</v>
      </c>
      <c r="C282" s="8">
        <v>13</v>
      </c>
      <c r="D282" s="1" t="s">
        <v>739</v>
      </c>
      <c r="E282"/>
      <c r="F282" s="188">
        <v>1</v>
      </c>
      <c r="G282" s="187" t="s">
        <v>836</v>
      </c>
      <c r="H282" s="181" t="s">
        <v>43</v>
      </c>
      <c r="I282"/>
      <c r="J282" s="4"/>
      <c r="K282" s="8">
        <f>(C25)</f>
        <v>20.7</v>
      </c>
      <c r="O282" s="185" t="s">
        <v>1530</v>
      </c>
      <c r="AG282" s="181" t="s">
        <v>2175</v>
      </c>
    </row>
    <row r="283" spans="1:33" hidden="1">
      <c r="A283" s="240">
        <f t="shared" si="14"/>
        <v>123</v>
      </c>
      <c r="B283" s="181" t="s">
        <v>3083</v>
      </c>
      <c r="C283" s="8">
        <v>30</v>
      </c>
      <c r="D283" s="1" t="s">
        <v>739</v>
      </c>
      <c r="E283"/>
      <c r="I283"/>
      <c r="J283" s="4"/>
      <c r="K283" s="5" t="s">
        <v>1530</v>
      </c>
      <c r="M283" s="188">
        <v>10</v>
      </c>
      <c r="N283" s="181" t="s">
        <v>578</v>
      </c>
      <c r="O283" s="181" t="s">
        <v>44</v>
      </c>
      <c r="P283" s="188" t="e">
        <f>(K1191)</f>
        <v>#REF!</v>
      </c>
      <c r="Q283" s="181" t="s">
        <v>578</v>
      </c>
      <c r="R283" s="188" t="e">
        <f>(M283*P283)</f>
        <v>#REF!</v>
      </c>
      <c r="AG283" s="181" t="s">
        <v>2175</v>
      </c>
    </row>
    <row r="284" spans="1:33" hidden="1">
      <c r="A284" s="240">
        <f t="shared" si="14"/>
        <v>124</v>
      </c>
      <c r="B284" s="181" t="s">
        <v>3084</v>
      </c>
      <c r="C284" s="8">
        <v>20</v>
      </c>
      <c r="D284" s="1" t="s">
        <v>739</v>
      </c>
      <c r="E284" s="106">
        <v>25</v>
      </c>
      <c r="H284" s="181" t="s">
        <v>571</v>
      </c>
      <c r="I284"/>
      <c r="J284" s="4"/>
      <c r="K284" s="8" t="e">
        <f>SUM(K279:K282)</f>
        <v>#REF!</v>
      </c>
      <c r="M284" s="188">
        <v>1.1000000000000001</v>
      </c>
      <c r="N284" s="181" t="s">
        <v>835</v>
      </c>
      <c r="O284" s="181" t="s">
        <v>1654</v>
      </c>
      <c r="P284" s="188">
        <f>(C11)</f>
        <v>135</v>
      </c>
      <c r="Q284" s="181" t="s">
        <v>835</v>
      </c>
      <c r="R284" s="188">
        <f>(M284*P284)</f>
        <v>148.5</v>
      </c>
      <c r="AG284" s="181" t="s">
        <v>2175</v>
      </c>
    </row>
    <row r="285" spans="1:33" hidden="1">
      <c r="A285" s="240">
        <f t="shared" si="14"/>
        <v>125</v>
      </c>
      <c r="B285" s="181" t="s">
        <v>572</v>
      </c>
      <c r="C285" s="8">
        <v>95</v>
      </c>
      <c r="D285" s="1" t="s">
        <v>739</v>
      </c>
      <c r="E285"/>
      <c r="I285"/>
      <c r="J285" s="4"/>
      <c r="K285" s="5" t="s">
        <v>1530</v>
      </c>
      <c r="M285" s="188">
        <v>1.1000000000000001</v>
      </c>
      <c r="N285" s="181" t="s">
        <v>835</v>
      </c>
      <c r="O285" s="181" t="s">
        <v>1836</v>
      </c>
      <c r="P285" s="188">
        <f>(C12)</f>
        <v>95</v>
      </c>
      <c r="Q285" s="181" t="s">
        <v>835</v>
      </c>
      <c r="R285" s="188">
        <f>(M285*P285)</f>
        <v>104.5</v>
      </c>
      <c r="AG285" s="181" t="s">
        <v>2175</v>
      </c>
    </row>
    <row r="286" spans="1:33" hidden="1">
      <c r="A286" s="240">
        <f t="shared" si="14"/>
        <v>126</v>
      </c>
      <c r="B286" s="181" t="s">
        <v>413</v>
      </c>
      <c r="C286" s="8">
        <v>80</v>
      </c>
      <c r="D286" s="1" t="s">
        <v>739</v>
      </c>
      <c r="E286"/>
      <c r="H286" s="181" t="s">
        <v>361</v>
      </c>
      <c r="I286"/>
      <c r="J286" s="4"/>
      <c r="K286" s="8" t="e">
        <f>(K284+C22)</f>
        <v>#REF!</v>
      </c>
      <c r="M286" s="188">
        <v>1.1000000000000001</v>
      </c>
      <c r="N286" s="181" t="s">
        <v>835</v>
      </c>
      <c r="O286" s="181" t="s">
        <v>299</v>
      </c>
      <c r="P286" s="188">
        <f>(C13)</f>
        <v>85</v>
      </c>
      <c r="Q286" s="181" t="s">
        <v>835</v>
      </c>
      <c r="R286" s="188">
        <f>(M286*P286)</f>
        <v>93.5</v>
      </c>
      <c r="AG286" s="181" t="s">
        <v>2175</v>
      </c>
    </row>
    <row r="287" spans="1:33" hidden="1">
      <c r="A287" s="240">
        <f t="shared" si="14"/>
        <v>127</v>
      </c>
      <c r="B287" s="181" t="s">
        <v>1742</v>
      </c>
      <c r="C287" s="8">
        <v>8</v>
      </c>
      <c r="D287" s="1" t="s">
        <v>739</v>
      </c>
      <c r="E287"/>
      <c r="H287" s="181" t="s">
        <v>363</v>
      </c>
      <c r="I287"/>
      <c r="J287" s="4"/>
      <c r="K287" s="8" t="e">
        <f>(K286+C23)</f>
        <v>#REF!</v>
      </c>
      <c r="R287" s="185" t="s">
        <v>1530</v>
      </c>
      <c r="AG287" s="181" t="s">
        <v>2175</v>
      </c>
    </row>
    <row r="288" spans="1:33" hidden="1">
      <c r="A288" s="240">
        <f t="shared" si="14"/>
        <v>128</v>
      </c>
      <c r="B288" s="181" t="s">
        <v>1111</v>
      </c>
      <c r="C288" s="8">
        <v>8</v>
      </c>
      <c r="D288" s="1" t="s">
        <v>739</v>
      </c>
      <c r="E288"/>
      <c r="H288" s="181" t="s">
        <v>2149</v>
      </c>
      <c r="I288"/>
      <c r="J288" s="4"/>
      <c r="K288" s="8" t="e">
        <f>(K287+C24)</f>
        <v>#REF!</v>
      </c>
      <c r="O288" s="181" t="s">
        <v>411</v>
      </c>
      <c r="R288" s="188" t="e">
        <f>SUM(R283:R286)</f>
        <v>#REF!</v>
      </c>
      <c r="AG288" s="181" t="s">
        <v>2175</v>
      </c>
    </row>
    <row r="289" spans="1:33" hidden="1">
      <c r="A289" s="240">
        <f t="shared" si="14"/>
        <v>129</v>
      </c>
      <c r="B289" s="181" t="s">
        <v>1112</v>
      </c>
      <c r="C289" s="8">
        <v>2.9</v>
      </c>
      <c r="D289" s="1" t="s">
        <v>1113</v>
      </c>
      <c r="E289"/>
      <c r="H289" s="181" t="s">
        <v>355</v>
      </c>
      <c r="I289"/>
      <c r="J289" s="4"/>
      <c r="K289" s="8" t="e">
        <f>(K288+C24)</f>
        <v>#REF!</v>
      </c>
      <c r="R289" s="185" t="s">
        <v>1530</v>
      </c>
      <c r="AG289" s="181" t="s">
        <v>2175</v>
      </c>
    </row>
    <row r="290" spans="1:33" hidden="1">
      <c r="A290" s="240">
        <f t="shared" si="14"/>
        <v>130</v>
      </c>
      <c r="B290" s="181" t="s">
        <v>1114</v>
      </c>
      <c r="C290" s="8">
        <v>20.6</v>
      </c>
      <c r="D290" s="1" t="s">
        <v>1113</v>
      </c>
      <c r="E290"/>
      <c r="H290" s="181" t="s">
        <v>453</v>
      </c>
      <c r="I290"/>
      <c r="J290" s="4"/>
      <c r="K290" s="8" t="e">
        <f>(K289+C24)</f>
        <v>#REF!</v>
      </c>
      <c r="O290" s="181" t="s">
        <v>521</v>
      </c>
      <c r="R290" s="188" t="e">
        <f>(R288/10)</f>
        <v>#REF!</v>
      </c>
      <c r="AG290" s="181" t="s">
        <v>2175</v>
      </c>
    </row>
    <row r="291" spans="1:33" hidden="1">
      <c r="A291" s="240">
        <f t="shared" si="14"/>
        <v>131</v>
      </c>
      <c r="B291" s="181" t="s">
        <v>454</v>
      </c>
      <c r="C291" s="8">
        <v>15.6</v>
      </c>
      <c r="D291" s="1" t="s">
        <v>739</v>
      </c>
      <c r="E291"/>
      <c r="I291"/>
      <c r="J291" s="4"/>
      <c r="K291"/>
      <c r="R291" s="185" t="s">
        <v>1980</v>
      </c>
      <c r="AG291" s="181" t="s">
        <v>2175</v>
      </c>
    </row>
    <row r="292" spans="1:33" hidden="1">
      <c r="A292" s="240">
        <f t="shared" si="14"/>
        <v>132</v>
      </c>
      <c r="B292" s="181" t="s">
        <v>455</v>
      </c>
      <c r="C292" s="8">
        <v>12.6</v>
      </c>
      <c r="D292" s="1" t="s">
        <v>739</v>
      </c>
      <c r="E292"/>
      <c r="F292" s="236" t="s">
        <v>1455</v>
      </c>
      <c r="G292" s="187" t="s">
        <v>2167</v>
      </c>
      <c r="H292" s="181" t="s">
        <v>456</v>
      </c>
      <c r="I292"/>
      <c r="J292" s="4"/>
      <c r="K292"/>
      <c r="AG292" s="181" t="s">
        <v>2175</v>
      </c>
    </row>
    <row r="293" spans="1:33" hidden="1">
      <c r="A293" s="240">
        <f t="shared" si="14"/>
        <v>133</v>
      </c>
      <c r="B293" s="181" t="s">
        <v>457</v>
      </c>
      <c r="C293" s="8">
        <v>5.75</v>
      </c>
      <c r="D293" s="1" t="s">
        <v>739</v>
      </c>
      <c r="E293"/>
      <c r="H293" s="185" t="s">
        <v>1980</v>
      </c>
      <c r="I293"/>
      <c r="J293" s="4"/>
      <c r="K293"/>
      <c r="N293" s="181" t="s">
        <v>2167</v>
      </c>
      <c r="O293" s="181" t="s">
        <v>1085</v>
      </c>
      <c r="AG293" s="181" t="s">
        <v>2175</v>
      </c>
    </row>
    <row r="294" spans="1:33" hidden="1">
      <c r="A294" s="240">
        <f t="shared" si="14"/>
        <v>134</v>
      </c>
      <c r="B294" s="181" t="s">
        <v>1086</v>
      </c>
      <c r="C294" s="8">
        <v>8.5</v>
      </c>
      <c r="D294" s="1" t="s">
        <v>739</v>
      </c>
      <c r="E294"/>
      <c r="F294" s="188">
        <v>10</v>
      </c>
      <c r="G294" s="187" t="s">
        <v>836</v>
      </c>
      <c r="H294" s="181" t="s">
        <v>832</v>
      </c>
      <c r="I294" s="8" t="e">
        <f>(C68)</f>
        <v>#REF!</v>
      </c>
      <c r="J294" s="2" t="s">
        <v>836</v>
      </c>
      <c r="K294" s="8" t="e">
        <f t="shared" ref="K294:K300" si="15">(F294*I294)</f>
        <v>#REF!</v>
      </c>
      <c r="O294" s="185" t="s">
        <v>1530</v>
      </c>
      <c r="AG294" s="181" t="s">
        <v>2175</v>
      </c>
    </row>
    <row r="295" spans="1:33" hidden="1">
      <c r="A295" s="240">
        <f t="shared" si="14"/>
        <v>135</v>
      </c>
      <c r="B295" s="181" t="s">
        <v>1213</v>
      </c>
      <c r="C295" s="8">
        <v>10</v>
      </c>
      <c r="D295" s="1" t="s">
        <v>739</v>
      </c>
      <c r="E295"/>
      <c r="F295" s="188">
        <v>1</v>
      </c>
      <c r="G295" s="187" t="s">
        <v>836</v>
      </c>
      <c r="H295" s="181" t="s">
        <v>839</v>
      </c>
      <c r="I295" s="8" t="e">
        <f>(C69)</f>
        <v>#REF!</v>
      </c>
      <c r="J295" s="2" t="s">
        <v>836</v>
      </c>
      <c r="K295" s="8" t="e">
        <f t="shared" si="15"/>
        <v>#REF!</v>
      </c>
      <c r="M295" s="188">
        <v>0.14000000000000001</v>
      </c>
      <c r="N295" s="181" t="s">
        <v>836</v>
      </c>
      <c r="O295" s="181" t="s">
        <v>1301</v>
      </c>
      <c r="P295" s="188" t="e">
        <f>(K32)</f>
        <v>#REF!</v>
      </c>
      <c r="Q295" s="181" t="s">
        <v>836</v>
      </c>
      <c r="R295" s="188" t="e">
        <f>(M295*P295)</f>
        <v>#REF!</v>
      </c>
      <c r="AG295" s="181" t="s">
        <v>2175</v>
      </c>
    </row>
    <row r="296" spans="1:33" hidden="1">
      <c r="A296" s="240">
        <f t="shared" si="14"/>
        <v>136</v>
      </c>
      <c r="B296" s="181" t="s">
        <v>1214</v>
      </c>
      <c r="C296" s="8">
        <v>3.25</v>
      </c>
      <c r="D296" s="1" t="s">
        <v>739</v>
      </c>
      <c r="E296"/>
      <c r="F296" s="188">
        <v>3.4</v>
      </c>
      <c r="G296" s="187" t="s">
        <v>836</v>
      </c>
      <c r="H296" s="181" t="s">
        <v>1571</v>
      </c>
      <c r="I296" s="8" t="e">
        <f>(K49)</f>
        <v>#REF!</v>
      </c>
      <c r="J296" s="2" t="s">
        <v>836</v>
      </c>
      <c r="K296" s="8" t="e">
        <f t="shared" si="15"/>
        <v>#REF!</v>
      </c>
      <c r="M296" s="188">
        <v>1.1000000000000001</v>
      </c>
      <c r="N296" s="181" t="s">
        <v>835</v>
      </c>
      <c r="O296" s="181" t="s">
        <v>1938</v>
      </c>
      <c r="P296" s="188">
        <f>(C10)</f>
        <v>150</v>
      </c>
      <c r="Q296" s="181" t="s">
        <v>835</v>
      </c>
      <c r="R296" s="188">
        <f>(M296*P296)</f>
        <v>165</v>
      </c>
      <c r="AG296" s="181" t="s">
        <v>2175</v>
      </c>
    </row>
    <row r="297" spans="1:33" hidden="1">
      <c r="A297" s="240">
        <f t="shared" si="14"/>
        <v>137</v>
      </c>
      <c r="B297" s="181" t="s">
        <v>1215</v>
      </c>
      <c r="C297" s="8">
        <v>2.2000000000000002</v>
      </c>
      <c r="D297" s="1" t="s">
        <v>739</v>
      </c>
      <c r="E297"/>
      <c r="F297" s="188">
        <v>7.1</v>
      </c>
      <c r="G297" s="187" t="s">
        <v>835</v>
      </c>
      <c r="H297" s="181" t="s">
        <v>1938</v>
      </c>
      <c r="I297" s="8">
        <f>(C10)</f>
        <v>150</v>
      </c>
      <c r="J297" s="2" t="s">
        <v>835</v>
      </c>
      <c r="K297" s="8">
        <f t="shared" si="15"/>
        <v>1065</v>
      </c>
      <c r="M297" s="188">
        <v>0.5</v>
      </c>
      <c r="N297" s="181" t="s">
        <v>835</v>
      </c>
      <c r="O297" s="181" t="s">
        <v>1836</v>
      </c>
      <c r="P297" s="188">
        <f>(C12)</f>
        <v>95</v>
      </c>
      <c r="Q297" s="181" t="s">
        <v>835</v>
      </c>
      <c r="R297" s="188">
        <f>(M297*P297)</f>
        <v>47.5</v>
      </c>
      <c r="AG297" s="181" t="s">
        <v>2175</v>
      </c>
    </row>
    <row r="298" spans="1:33" hidden="1">
      <c r="A298" s="240">
        <f t="shared" si="14"/>
        <v>138</v>
      </c>
      <c r="B298" s="181" t="s">
        <v>1392</v>
      </c>
      <c r="C298" s="8">
        <v>10.5</v>
      </c>
      <c r="D298" s="1" t="s">
        <v>739</v>
      </c>
      <c r="E298"/>
      <c r="F298" s="188">
        <v>10.6</v>
      </c>
      <c r="G298" s="187" t="s">
        <v>835</v>
      </c>
      <c r="H298" s="181" t="s">
        <v>1654</v>
      </c>
      <c r="I298" s="8">
        <f>(C11)</f>
        <v>135</v>
      </c>
      <c r="J298" s="2" t="s">
        <v>835</v>
      </c>
      <c r="K298" s="8">
        <f t="shared" si="15"/>
        <v>1431</v>
      </c>
      <c r="M298" s="188">
        <v>1.1000000000000001</v>
      </c>
      <c r="N298" s="181" t="s">
        <v>835</v>
      </c>
      <c r="O298" s="181" t="s">
        <v>299</v>
      </c>
      <c r="P298" s="188">
        <f>(C13)</f>
        <v>85</v>
      </c>
      <c r="Q298" s="181" t="s">
        <v>835</v>
      </c>
      <c r="R298" s="188">
        <f>(M298*P298)</f>
        <v>93.5</v>
      </c>
      <c r="AG298" s="181" t="s">
        <v>2175</v>
      </c>
    </row>
    <row r="299" spans="1:33" hidden="1">
      <c r="A299" s="240">
        <f t="shared" si="14"/>
        <v>139</v>
      </c>
      <c r="B299" s="181" t="s">
        <v>1393</v>
      </c>
      <c r="C299" s="8">
        <v>5.5</v>
      </c>
      <c r="D299" s="1" t="s">
        <v>739</v>
      </c>
      <c r="E299"/>
      <c r="F299" s="188">
        <v>14.1</v>
      </c>
      <c r="G299" s="187" t="s">
        <v>835</v>
      </c>
      <c r="H299" s="181" t="s">
        <v>1836</v>
      </c>
      <c r="I299" s="8">
        <f>(C12)</f>
        <v>95</v>
      </c>
      <c r="J299" s="2" t="s">
        <v>835</v>
      </c>
      <c r="K299" s="8">
        <f t="shared" si="15"/>
        <v>1339.5</v>
      </c>
      <c r="N299" s="181" t="s">
        <v>419</v>
      </c>
      <c r="O299" s="181" t="s">
        <v>420</v>
      </c>
      <c r="P299" s="181" t="s">
        <v>940</v>
      </c>
      <c r="Q299" s="181" t="s">
        <v>419</v>
      </c>
      <c r="R299" s="188">
        <v>0</v>
      </c>
      <c r="AG299" s="181" t="s">
        <v>2175</v>
      </c>
    </row>
    <row r="300" spans="1:33" hidden="1">
      <c r="A300" s="240">
        <f t="shared" si="14"/>
        <v>140</v>
      </c>
      <c r="B300" s="181" t="s">
        <v>459</v>
      </c>
      <c r="C300" s="8">
        <v>21</v>
      </c>
      <c r="D300" s="1" t="s">
        <v>739</v>
      </c>
      <c r="E300"/>
      <c r="F300" s="188">
        <v>14.1</v>
      </c>
      <c r="G300" s="187" t="s">
        <v>835</v>
      </c>
      <c r="H300" s="181" t="s">
        <v>299</v>
      </c>
      <c r="I300" s="8">
        <f>(C13)</f>
        <v>85</v>
      </c>
      <c r="J300" s="2" t="s">
        <v>835</v>
      </c>
      <c r="K300" s="8">
        <f t="shared" si="15"/>
        <v>1198.5</v>
      </c>
      <c r="R300" s="185" t="s">
        <v>1530</v>
      </c>
      <c r="AG300" s="181" t="s">
        <v>2175</v>
      </c>
    </row>
    <row r="301" spans="1:33" hidden="1">
      <c r="A301" s="240">
        <f t="shared" si="14"/>
        <v>141</v>
      </c>
      <c r="B301" s="181" t="s">
        <v>460</v>
      </c>
      <c r="C301" s="8">
        <v>10</v>
      </c>
      <c r="D301" s="1" t="s">
        <v>739</v>
      </c>
      <c r="E301"/>
      <c r="G301" s="187" t="s">
        <v>419</v>
      </c>
      <c r="H301" s="181" t="s">
        <v>420</v>
      </c>
      <c r="I301"/>
      <c r="J301" s="2" t="s">
        <v>419</v>
      </c>
      <c r="K301" s="8">
        <v>0</v>
      </c>
      <c r="O301" s="181" t="s">
        <v>411</v>
      </c>
      <c r="R301" s="188" t="e">
        <f>SUM(R295:R299)</f>
        <v>#REF!</v>
      </c>
      <c r="AG301" s="181" t="s">
        <v>2175</v>
      </c>
    </row>
    <row r="302" spans="1:33" hidden="1">
      <c r="A302" s="240">
        <f t="shared" si="14"/>
        <v>142</v>
      </c>
      <c r="B302" s="181" t="s">
        <v>1742</v>
      </c>
      <c r="C302" s="8">
        <v>4</v>
      </c>
      <c r="D302" s="1" t="s">
        <v>739</v>
      </c>
      <c r="E302"/>
      <c r="I302"/>
      <c r="J302" s="4"/>
      <c r="K302" s="5" t="s">
        <v>1530</v>
      </c>
      <c r="R302" s="185" t="s">
        <v>1530</v>
      </c>
      <c r="AG302" s="181" t="s">
        <v>2175</v>
      </c>
    </row>
    <row r="303" spans="1:33" hidden="1">
      <c r="A303" s="240">
        <f t="shared" si="14"/>
        <v>143</v>
      </c>
      <c r="B303" s="181" t="s">
        <v>1111</v>
      </c>
      <c r="C303" s="8">
        <v>8</v>
      </c>
      <c r="D303" s="1" t="s">
        <v>835</v>
      </c>
      <c r="E303"/>
      <c r="H303" s="181" t="s">
        <v>583</v>
      </c>
      <c r="I303"/>
      <c r="J303" s="4"/>
      <c r="K303" s="8" t="e">
        <f>SUM(K294:K301)</f>
        <v>#REF!</v>
      </c>
      <c r="O303" s="181" t="s">
        <v>521</v>
      </c>
      <c r="R303" s="188" t="e">
        <f>(R301/10)</f>
        <v>#REF!</v>
      </c>
      <c r="AG303" s="181" t="s">
        <v>2175</v>
      </c>
    </row>
    <row r="304" spans="1:33" hidden="1">
      <c r="A304" s="240">
        <f t="shared" si="14"/>
        <v>144</v>
      </c>
      <c r="B304" s="181" t="s">
        <v>1112</v>
      </c>
      <c r="C304" s="8">
        <v>8.5</v>
      </c>
      <c r="D304" s="1" t="s">
        <v>739</v>
      </c>
      <c r="E304"/>
      <c r="I304"/>
      <c r="J304" s="4"/>
      <c r="K304" s="5" t="s">
        <v>1530</v>
      </c>
      <c r="N304" s="181" t="s">
        <v>2167</v>
      </c>
      <c r="O304" s="181" t="s">
        <v>461</v>
      </c>
      <c r="R304" s="185" t="s">
        <v>1980</v>
      </c>
      <c r="AG304" s="181" t="s">
        <v>2175</v>
      </c>
    </row>
    <row r="305" spans="1:33" hidden="1">
      <c r="A305" s="240">
        <f t="shared" si="14"/>
        <v>145</v>
      </c>
      <c r="B305" s="181" t="s">
        <v>573</v>
      </c>
      <c r="C305" s="8">
        <v>20.6</v>
      </c>
      <c r="D305" s="1" t="s">
        <v>739</v>
      </c>
      <c r="E305"/>
      <c r="H305" s="181" t="s">
        <v>743</v>
      </c>
      <c r="I305"/>
      <c r="J305" s="4"/>
      <c r="K305" s="8" t="e">
        <f>(K303/10)</f>
        <v>#REF!</v>
      </c>
      <c r="O305" s="185" t="s">
        <v>1530</v>
      </c>
      <c r="AG305" s="181" t="s">
        <v>2175</v>
      </c>
    </row>
    <row r="306" spans="1:33" hidden="1">
      <c r="A306" s="240">
        <f t="shared" si="14"/>
        <v>146</v>
      </c>
      <c r="B306" s="181" t="s">
        <v>1915</v>
      </c>
      <c r="C306" s="8">
        <v>15.6</v>
      </c>
      <c r="D306" s="1" t="s">
        <v>739</v>
      </c>
      <c r="E306"/>
      <c r="I306"/>
      <c r="J306" s="4"/>
      <c r="K306" s="5" t="s">
        <v>1980</v>
      </c>
      <c r="M306" s="188">
        <v>0.14000000000000001</v>
      </c>
      <c r="N306" s="181" t="s">
        <v>836</v>
      </c>
      <c r="O306" s="181" t="s">
        <v>117</v>
      </c>
      <c r="P306" s="188" t="e">
        <f>(K23)</f>
        <v>#REF!</v>
      </c>
      <c r="Q306" s="181" t="s">
        <v>836</v>
      </c>
      <c r="R306" s="188" t="e">
        <f>(M306*P306)</f>
        <v>#REF!</v>
      </c>
      <c r="AG306" s="181" t="s">
        <v>2175</v>
      </c>
    </row>
    <row r="307" spans="1:33" hidden="1">
      <c r="A307" s="240">
        <f t="shared" si="14"/>
        <v>147</v>
      </c>
      <c r="B307" s="181" t="s">
        <v>1916</v>
      </c>
      <c r="C307" s="8">
        <v>0.9</v>
      </c>
      <c r="D307" s="1" t="s">
        <v>739</v>
      </c>
      <c r="E307"/>
      <c r="F307" s="242">
        <v>6</v>
      </c>
      <c r="G307" s="187" t="s">
        <v>2167</v>
      </c>
      <c r="H307" s="181" t="s">
        <v>3085</v>
      </c>
      <c r="I307"/>
      <c r="J307" s="4"/>
      <c r="K307"/>
      <c r="M307" s="188">
        <v>1.1000000000000001</v>
      </c>
      <c r="N307" s="181" t="s">
        <v>835</v>
      </c>
      <c r="O307" s="181" t="s">
        <v>1938</v>
      </c>
      <c r="P307" s="188">
        <f>(C10)</f>
        <v>150</v>
      </c>
      <c r="Q307" s="181" t="s">
        <v>835</v>
      </c>
      <c r="R307" s="188">
        <f>(M307*P307)</f>
        <v>165</v>
      </c>
      <c r="AG307" s="181" t="s">
        <v>2175</v>
      </c>
    </row>
    <row r="308" spans="1:33" hidden="1">
      <c r="A308" s="240">
        <f t="shared" si="14"/>
        <v>148</v>
      </c>
      <c r="B308" s="181" t="s">
        <v>1917</v>
      </c>
      <c r="C308" s="1" t="s">
        <v>940</v>
      </c>
      <c r="D308"/>
      <c r="E308"/>
      <c r="H308" s="181" t="s">
        <v>2853</v>
      </c>
      <c r="I308"/>
      <c r="J308" s="4"/>
      <c r="K308"/>
      <c r="M308" s="188">
        <v>0.5</v>
      </c>
      <c r="N308" s="181" t="s">
        <v>835</v>
      </c>
      <c r="O308" s="181" t="s">
        <v>1836</v>
      </c>
      <c r="P308" s="188">
        <f>(C12)</f>
        <v>95</v>
      </c>
      <c r="Q308" s="181" t="s">
        <v>835</v>
      </c>
      <c r="R308" s="188">
        <f>(M308*P308)</f>
        <v>47.5</v>
      </c>
      <c r="AG308" s="181" t="s">
        <v>2175</v>
      </c>
    </row>
    <row r="309" spans="1:33" hidden="1">
      <c r="A309" s="240">
        <f t="shared" si="14"/>
        <v>149</v>
      </c>
      <c r="B309" s="181" t="s">
        <v>225</v>
      </c>
      <c r="C309" s="8">
        <v>66.44</v>
      </c>
      <c r="D309" s="1" t="s">
        <v>1714</v>
      </c>
      <c r="E309"/>
      <c r="H309" s="185" t="s">
        <v>1530</v>
      </c>
      <c r="I309"/>
      <c r="J309" s="4"/>
      <c r="K309"/>
      <c r="M309" s="188">
        <v>1.1000000000000001</v>
      </c>
      <c r="N309" s="181" t="s">
        <v>835</v>
      </c>
      <c r="O309" s="181" t="s">
        <v>299</v>
      </c>
      <c r="P309" s="188">
        <f>(C13)</f>
        <v>85</v>
      </c>
      <c r="Q309" s="181" t="s">
        <v>835</v>
      </c>
      <c r="R309" s="188">
        <f>(M309*P309)</f>
        <v>93.5</v>
      </c>
      <c r="AG309" s="181" t="s">
        <v>2175</v>
      </c>
    </row>
    <row r="310" spans="1:33" hidden="1">
      <c r="A310" s="240">
        <f t="shared" si="14"/>
        <v>150</v>
      </c>
      <c r="B310" s="181" t="s">
        <v>226</v>
      </c>
      <c r="C310" s="8">
        <v>83.5</v>
      </c>
      <c r="D310" s="1" t="s">
        <v>1714</v>
      </c>
      <c r="E310"/>
      <c r="F310" s="188">
        <v>4800</v>
      </c>
      <c r="G310" s="187" t="s">
        <v>1368</v>
      </c>
      <c r="H310" s="188" t="str">
        <f>H308</f>
        <v>Bricks of size 22x11x7 cm</v>
      </c>
      <c r="I310" s="8" t="e">
        <f>C80</f>
        <v>#REF!</v>
      </c>
      <c r="J310" s="2" t="s">
        <v>1538</v>
      </c>
      <c r="K310" s="8" t="e">
        <f>(F310*I310)/1000</f>
        <v>#REF!</v>
      </c>
      <c r="N310" s="181" t="s">
        <v>419</v>
      </c>
      <c r="O310" s="181" t="s">
        <v>420</v>
      </c>
      <c r="P310" s="181" t="s">
        <v>940</v>
      </c>
      <c r="Q310" s="181" t="s">
        <v>419</v>
      </c>
      <c r="R310" s="188">
        <v>0</v>
      </c>
      <c r="AG310" s="181" t="s">
        <v>2175</v>
      </c>
    </row>
    <row r="311" spans="1:33" hidden="1">
      <c r="A311" s="240">
        <f t="shared" si="14"/>
        <v>151</v>
      </c>
      <c r="B311" s="181" t="s">
        <v>227</v>
      </c>
      <c r="C311" s="8">
        <v>102.12</v>
      </c>
      <c r="D311" s="1" t="s">
        <v>1714</v>
      </c>
      <c r="E311"/>
      <c r="F311" s="188">
        <v>2.5</v>
      </c>
      <c r="G311" s="187" t="s">
        <v>836</v>
      </c>
      <c r="H311" s="181" t="s">
        <v>1571</v>
      </c>
      <c r="I311" s="8" t="e">
        <f>K49</f>
        <v>#REF!</v>
      </c>
      <c r="J311" s="2" t="s">
        <v>836</v>
      </c>
      <c r="K311" s="8" t="e">
        <f>(F311*I311)</f>
        <v>#REF!</v>
      </c>
      <c r="R311" s="185" t="s">
        <v>1530</v>
      </c>
      <c r="AG311" s="181" t="s">
        <v>2175</v>
      </c>
    </row>
    <row r="312" spans="1:33" hidden="1">
      <c r="A312" s="240">
        <f t="shared" si="14"/>
        <v>152</v>
      </c>
      <c r="B312" s="181" t="s">
        <v>2139</v>
      </c>
      <c r="C312" s="8">
        <v>182.52</v>
      </c>
      <c r="D312" s="1" t="s">
        <v>1714</v>
      </c>
      <c r="E312"/>
      <c r="F312" s="188">
        <v>3.5</v>
      </c>
      <c r="G312" s="187" t="s">
        <v>835</v>
      </c>
      <c r="H312" s="181" t="s">
        <v>1938</v>
      </c>
      <c r="I312" s="8">
        <f>C10</f>
        <v>150</v>
      </c>
      <c r="J312" s="2" t="s">
        <v>835</v>
      </c>
      <c r="K312" s="8">
        <f>(F312*I312)</f>
        <v>525</v>
      </c>
      <c r="O312" s="181" t="s">
        <v>411</v>
      </c>
      <c r="R312" s="188" t="e">
        <f>SUM(R306:R310)</f>
        <v>#REF!</v>
      </c>
      <c r="AG312" s="181" t="s">
        <v>2175</v>
      </c>
    </row>
    <row r="313" spans="1:33" hidden="1">
      <c r="A313" s="240">
        <f t="shared" si="14"/>
        <v>153</v>
      </c>
      <c r="B313" s="181" t="s">
        <v>2140</v>
      </c>
      <c r="C313"/>
      <c r="D313"/>
      <c r="E313"/>
      <c r="F313" s="188">
        <v>10.6</v>
      </c>
      <c r="G313" s="187" t="s">
        <v>835</v>
      </c>
      <c r="H313" s="181" t="s">
        <v>1654</v>
      </c>
      <c r="I313" s="8">
        <f>C11</f>
        <v>135</v>
      </c>
      <c r="J313" s="2" t="s">
        <v>835</v>
      </c>
      <c r="K313" s="8">
        <f>(F313*I313)</f>
        <v>1431</v>
      </c>
      <c r="R313" s="185" t="s">
        <v>1530</v>
      </c>
      <c r="AG313" s="181" t="s">
        <v>2175</v>
      </c>
    </row>
    <row r="314" spans="1:33" hidden="1">
      <c r="A314" s="240">
        <f t="shared" ref="A314:A349" si="16">(A313+1)</f>
        <v>154</v>
      </c>
      <c r="B314" s="181" t="s">
        <v>225</v>
      </c>
      <c r="C314" s="8">
        <v>26.62</v>
      </c>
      <c r="D314" s="1" t="s">
        <v>739</v>
      </c>
      <c r="E314"/>
      <c r="F314" s="188">
        <v>7.1</v>
      </c>
      <c r="G314" s="187" t="s">
        <v>835</v>
      </c>
      <c r="H314" s="181" t="s">
        <v>1836</v>
      </c>
      <c r="I314" s="8">
        <f>C12</f>
        <v>95</v>
      </c>
      <c r="J314" s="2" t="s">
        <v>835</v>
      </c>
      <c r="K314" s="8">
        <f>(F314*I314)</f>
        <v>674.5</v>
      </c>
      <c r="O314" s="181" t="s">
        <v>521</v>
      </c>
      <c r="R314" s="188" t="e">
        <f>(R312/10)</f>
        <v>#REF!</v>
      </c>
      <c r="AG314" s="181" t="s">
        <v>2175</v>
      </c>
    </row>
    <row r="315" spans="1:33" hidden="1">
      <c r="A315" s="240">
        <f t="shared" si="16"/>
        <v>155</v>
      </c>
      <c r="B315" s="181" t="s">
        <v>226</v>
      </c>
      <c r="C315" s="8">
        <v>34.869999999999997</v>
      </c>
      <c r="D315" s="1" t="s">
        <v>739</v>
      </c>
      <c r="E315"/>
      <c r="F315" s="188">
        <v>21.2</v>
      </c>
      <c r="G315" s="187" t="s">
        <v>835</v>
      </c>
      <c r="H315" s="181" t="s">
        <v>299</v>
      </c>
      <c r="I315" s="8">
        <f>C13</f>
        <v>85</v>
      </c>
      <c r="J315" s="2" t="s">
        <v>835</v>
      </c>
      <c r="K315" s="8">
        <f>(F315*I315)</f>
        <v>1802</v>
      </c>
      <c r="R315" s="185" t="s">
        <v>1980</v>
      </c>
      <c r="AG315" s="181" t="s">
        <v>2175</v>
      </c>
    </row>
    <row r="316" spans="1:33" hidden="1">
      <c r="A316" s="240">
        <f t="shared" si="16"/>
        <v>156</v>
      </c>
      <c r="B316" s="181" t="s">
        <v>227</v>
      </c>
      <c r="C316" s="8">
        <v>45</v>
      </c>
      <c r="D316" s="1" t="s">
        <v>739</v>
      </c>
      <c r="E316"/>
      <c r="G316" s="187" t="s">
        <v>419</v>
      </c>
      <c r="H316" s="181" t="s">
        <v>420</v>
      </c>
      <c r="I316"/>
      <c r="J316" s="2" t="s">
        <v>419</v>
      </c>
      <c r="K316" s="8">
        <v>0</v>
      </c>
      <c r="N316" s="181" t="s">
        <v>2167</v>
      </c>
      <c r="O316" s="181" t="s">
        <v>2141</v>
      </c>
      <c r="AG316" s="181" t="s">
        <v>2175</v>
      </c>
    </row>
    <row r="317" spans="1:33" hidden="1">
      <c r="A317" s="240">
        <f t="shared" si="16"/>
        <v>157</v>
      </c>
      <c r="B317" s="181" t="s">
        <v>2139</v>
      </c>
      <c r="C317" s="8">
        <v>99.75</v>
      </c>
      <c r="D317" s="1" t="s">
        <v>739</v>
      </c>
      <c r="E317"/>
      <c r="I317"/>
      <c r="J317" s="4"/>
      <c r="K317" s="5" t="s">
        <v>1530</v>
      </c>
      <c r="O317" s="185" t="s">
        <v>1530</v>
      </c>
      <c r="AG317" s="181" t="s">
        <v>2175</v>
      </c>
    </row>
    <row r="318" spans="1:33" hidden="1">
      <c r="A318" s="240">
        <f t="shared" si="16"/>
        <v>158</v>
      </c>
      <c r="B318" s="181" t="s">
        <v>2104</v>
      </c>
      <c r="C318"/>
      <c r="D318"/>
      <c r="E318"/>
      <c r="H318" s="181" t="s">
        <v>583</v>
      </c>
      <c r="I318"/>
      <c r="J318" s="4"/>
      <c r="K318" s="8" t="e">
        <f>SUM(K310:K316)</f>
        <v>#REF!</v>
      </c>
      <c r="M318" s="188">
        <v>0.1</v>
      </c>
      <c r="N318" s="181" t="s">
        <v>836</v>
      </c>
      <c r="O318" s="181" t="s">
        <v>117</v>
      </c>
      <c r="P318" s="188" t="e">
        <f>(K23)</f>
        <v>#REF!</v>
      </c>
      <c r="Q318" s="181" t="s">
        <v>836</v>
      </c>
      <c r="R318" s="188" t="e">
        <f>(M318*P318)</f>
        <v>#REF!</v>
      </c>
      <c r="AG318" s="181" t="s">
        <v>2175</v>
      </c>
    </row>
    <row r="319" spans="1:33" hidden="1">
      <c r="A319" s="240">
        <f t="shared" si="16"/>
        <v>159</v>
      </c>
      <c r="B319" s="181" t="s">
        <v>225</v>
      </c>
      <c r="C319" s="8">
        <v>43.47</v>
      </c>
      <c r="D319" s="1" t="s">
        <v>739</v>
      </c>
      <c r="E319"/>
      <c r="I319"/>
      <c r="J319" s="4"/>
      <c r="K319" s="5" t="s">
        <v>1530</v>
      </c>
      <c r="M319" s="188">
        <v>1.1000000000000001</v>
      </c>
      <c r="N319" s="181" t="s">
        <v>835</v>
      </c>
      <c r="O319" s="181" t="s">
        <v>1938</v>
      </c>
      <c r="P319" s="188">
        <f>(C10)</f>
        <v>150</v>
      </c>
      <c r="Q319" s="181" t="s">
        <v>835</v>
      </c>
      <c r="R319" s="188">
        <f>(M319*P319)</f>
        <v>165</v>
      </c>
      <c r="AG319" s="181" t="s">
        <v>2175</v>
      </c>
    </row>
    <row r="320" spans="1:33" hidden="1">
      <c r="A320" s="240">
        <f t="shared" si="16"/>
        <v>160</v>
      </c>
      <c r="B320" s="181" t="s">
        <v>226</v>
      </c>
      <c r="C320" s="8">
        <v>50.34</v>
      </c>
      <c r="D320" s="1" t="s">
        <v>739</v>
      </c>
      <c r="E320"/>
      <c r="H320" s="181" t="s">
        <v>743</v>
      </c>
      <c r="I320"/>
      <c r="J320" s="4"/>
      <c r="K320" s="8" t="e">
        <f>(K318/10)</f>
        <v>#REF!</v>
      </c>
      <c r="M320" s="188">
        <v>1.1000000000000001</v>
      </c>
      <c r="N320" s="181" t="s">
        <v>835</v>
      </c>
      <c r="O320" s="181" t="s">
        <v>1836</v>
      </c>
      <c r="P320" s="188">
        <f>(C12)</f>
        <v>95</v>
      </c>
      <c r="Q320" s="181" t="s">
        <v>835</v>
      </c>
      <c r="R320" s="188">
        <f>(M320*P320)</f>
        <v>104.5</v>
      </c>
      <c r="AG320" s="181" t="s">
        <v>300</v>
      </c>
    </row>
    <row r="321" spans="1:33" hidden="1">
      <c r="A321" s="240">
        <f t="shared" si="16"/>
        <v>161</v>
      </c>
      <c r="B321" s="181" t="s">
        <v>227</v>
      </c>
      <c r="C321" s="8">
        <v>65.209999999999994</v>
      </c>
      <c r="D321" s="1" t="s">
        <v>739</v>
      </c>
      <c r="E321"/>
      <c r="I321"/>
      <c r="J321" s="4"/>
      <c r="K321" s="5" t="s">
        <v>1980</v>
      </c>
      <c r="M321" s="188">
        <v>1.1000000000000001</v>
      </c>
      <c r="N321" s="181" t="s">
        <v>835</v>
      </c>
      <c r="O321" s="181" t="s">
        <v>299</v>
      </c>
      <c r="P321" s="188">
        <f>(C13)</f>
        <v>85</v>
      </c>
      <c r="Q321" s="181" t="s">
        <v>835</v>
      </c>
      <c r="R321" s="188">
        <f>(M321*P321)</f>
        <v>93.5</v>
      </c>
    </row>
    <row r="322" spans="1:33" hidden="1">
      <c r="A322" s="240">
        <f t="shared" si="16"/>
        <v>162</v>
      </c>
      <c r="B322" s="181" t="s">
        <v>2139</v>
      </c>
      <c r="C322" s="8">
        <v>145.29</v>
      </c>
      <c r="D322" s="1" t="s">
        <v>739</v>
      </c>
      <c r="E322"/>
      <c r="H322" s="181" t="s">
        <v>361</v>
      </c>
      <c r="I322"/>
      <c r="J322" s="4"/>
      <c r="K322" s="8" t="e">
        <f>(K320+C19)</f>
        <v>#REF!</v>
      </c>
      <c r="N322" s="181" t="s">
        <v>419</v>
      </c>
      <c r="O322" s="181" t="s">
        <v>420</v>
      </c>
      <c r="P322" s="181" t="s">
        <v>940</v>
      </c>
      <c r="Q322" s="181" t="s">
        <v>419</v>
      </c>
      <c r="R322" s="188">
        <v>0</v>
      </c>
    </row>
    <row r="323" spans="1:33" hidden="1">
      <c r="A323" s="240">
        <f t="shared" si="16"/>
        <v>163</v>
      </c>
      <c r="B323" s="181" t="s">
        <v>2105</v>
      </c>
      <c r="C323"/>
      <c r="D323"/>
      <c r="E323"/>
      <c r="H323" s="181" t="s">
        <v>363</v>
      </c>
      <c r="I323"/>
      <c r="J323" s="4"/>
      <c r="K323" s="8" t="e">
        <f>(K322+C20)</f>
        <v>#REF!</v>
      </c>
      <c r="R323" s="185" t="s">
        <v>1530</v>
      </c>
      <c r="AG323" s="181" t="s">
        <v>2175</v>
      </c>
    </row>
    <row r="324" spans="1:33" hidden="1">
      <c r="A324" s="240">
        <f t="shared" si="16"/>
        <v>164</v>
      </c>
      <c r="B324" s="181" t="s">
        <v>225</v>
      </c>
      <c r="C324" s="8">
        <v>14.91</v>
      </c>
      <c r="D324" s="1" t="s">
        <v>1714</v>
      </c>
      <c r="E324"/>
      <c r="H324" s="181" t="s">
        <v>2149</v>
      </c>
      <c r="I324"/>
      <c r="J324" s="4"/>
      <c r="K324" s="8" t="e">
        <f>(K323+C21)</f>
        <v>#REF!</v>
      </c>
      <c r="O324" s="181" t="s">
        <v>411</v>
      </c>
      <c r="R324" s="188" t="e">
        <f>SUM(R318:R322)</f>
        <v>#REF!</v>
      </c>
      <c r="AG324" s="181" t="s">
        <v>2175</v>
      </c>
    </row>
    <row r="325" spans="1:33" hidden="1">
      <c r="A325" s="240">
        <f t="shared" si="16"/>
        <v>165</v>
      </c>
      <c r="B325" s="181" t="s">
        <v>226</v>
      </c>
      <c r="C325" s="8">
        <v>19.41</v>
      </c>
      <c r="D325" s="1" t="s">
        <v>1714</v>
      </c>
      <c r="E325"/>
      <c r="H325" s="181" t="s">
        <v>355</v>
      </c>
      <c r="I325"/>
      <c r="J325" s="4"/>
      <c r="K325" s="8" t="e">
        <f>(K324+C21)</f>
        <v>#REF!</v>
      </c>
      <c r="R325" s="185" t="s">
        <v>1530</v>
      </c>
      <c r="AG325" s="181" t="s">
        <v>2175</v>
      </c>
    </row>
    <row r="326" spans="1:33" hidden="1">
      <c r="A326" s="240">
        <f t="shared" si="16"/>
        <v>166</v>
      </c>
      <c r="B326" s="181" t="s">
        <v>227</v>
      </c>
      <c r="C326" s="8">
        <v>22.22</v>
      </c>
      <c r="D326" s="1" t="s">
        <v>1714</v>
      </c>
      <c r="E326"/>
      <c r="H326" s="181" t="s">
        <v>453</v>
      </c>
      <c r="I326"/>
      <c r="J326" s="4"/>
      <c r="K326" s="8" t="e">
        <f>(K325+C21)</f>
        <v>#REF!</v>
      </c>
      <c r="O326" s="181" t="s">
        <v>521</v>
      </c>
      <c r="R326" s="188" t="e">
        <f>(R324/10)</f>
        <v>#REF!</v>
      </c>
      <c r="AG326" s="181" t="s">
        <v>2175</v>
      </c>
    </row>
    <row r="327" spans="1:33" hidden="1">
      <c r="A327" s="240"/>
      <c r="B327" s="181"/>
      <c r="C327" s="8"/>
      <c r="D327" s="1"/>
      <c r="E327"/>
      <c r="H327" s="181"/>
      <c r="I327"/>
      <c r="J327" s="4"/>
      <c r="K327" s="8"/>
      <c r="O327" s="181"/>
      <c r="R327" s="188"/>
      <c r="AG327" s="181"/>
    </row>
    <row r="328" spans="1:33" hidden="1">
      <c r="A328" s="240"/>
      <c r="B328" s="181"/>
      <c r="C328" s="8"/>
      <c r="D328" s="1"/>
      <c r="E328"/>
      <c r="F328" s="236" t="s">
        <v>607</v>
      </c>
      <c r="H328" s="181" t="s">
        <v>1551</v>
      </c>
      <c r="I328"/>
      <c r="J328" s="4"/>
      <c r="K328" s="1" t="s">
        <v>2854</v>
      </c>
      <c r="O328" s="181"/>
      <c r="R328" s="188"/>
      <c r="AG328" s="181"/>
    </row>
    <row r="329" spans="1:33" hidden="1">
      <c r="A329" s="240"/>
      <c r="B329" s="181"/>
      <c r="C329" s="8"/>
      <c r="D329" s="1"/>
      <c r="E329"/>
      <c r="H329" s="181" t="s">
        <v>608</v>
      </c>
      <c r="I329"/>
      <c r="J329" s="4"/>
      <c r="K329" s="5" t="s">
        <v>1980</v>
      </c>
      <c r="O329" s="181"/>
      <c r="R329" s="188"/>
      <c r="AG329" s="181"/>
    </row>
    <row r="330" spans="1:33" hidden="1">
      <c r="A330" s="240"/>
      <c r="B330" s="181"/>
      <c r="C330" s="8"/>
      <c r="D330" s="1"/>
      <c r="E330"/>
      <c r="H330" s="181"/>
      <c r="I330"/>
      <c r="J330" s="4"/>
      <c r="K330" s="8"/>
      <c r="O330" s="181"/>
      <c r="R330" s="188"/>
      <c r="AG330" s="181"/>
    </row>
    <row r="331" spans="1:33" hidden="1">
      <c r="A331" s="240">
        <f>(A326+1)</f>
        <v>167</v>
      </c>
      <c r="B331" s="181" t="s">
        <v>2139</v>
      </c>
      <c r="C331" s="8">
        <v>46.42</v>
      </c>
      <c r="D331" s="1" t="s">
        <v>1714</v>
      </c>
      <c r="E331"/>
      <c r="F331" s="242">
        <v>9</v>
      </c>
      <c r="G331" s="187" t="s">
        <v>2167</v>
      </c>
      <c r="H331" s="181" t="s">
        <v>3044</v>
      </c>
      <c r="I331"/>
      <c r="J331" s="4"/>
      <c r="K331"/>
      <c r="R331" s="185" t="s">
        <v>1980</v>
      </c>
      <c r="AG331" s="181" t="s">
        <v>2175</v>
      </c>
    </row>
    <row r="332" spans="1:33" hidden="1">
      <c r="A332" s="240">
        <f t="shared" si="16"/>
        <v>168</v>
      </c>
      <c r="B332" s="181" t="s">
        <v>2106</v>
      </c>
      <c r="C332"/>
      <c r="D332"/>
      <c r="E332"/>
      <c r="H332" s="188" t="str">
        <f>H308</f>
        <v>Bricks of size 22x11x7 cm</v>
      </c>
      <c r="I332"/>
      <c r="J332" s="4"/>
      <c r="K332"/>
      <c r="AG332" s="181" t="s">
        <v>2175</v>
      </c>
    </row>
    <row r="333" spans="1:33" hidden="1">
      <c r="A333" s="240">
        <f t="shared" si="16"/>
        <v>169</v>
      </c>
      <c r="B333" s="181" t="s">
        <v>225</v>
      </c>
      <c r="C333" s="8">
        <v>8.58</v>
      </c>
      <c r="D333" s="1" t="s">
        <v>739</v>
      </c>
      <c r="E333"/>
      <c r="H333" s="185" t="s">
        <v>1530</v>
      </c>
      <c r="I333"/>
      <c r="J333" s="4"/>
      <c r="K333"/>
      <c r="N333" s="181" t="s">
        <v>2167</v>
      </c>
      <c r="O333" s="181" t="s">
        <v>2107</v>
      </c>
      <c r="AG333" s="181" t="s">
        <v>2175</v>
      </c>
    </row>
    <row r="334" spans="1:33" hidden="1">
      <c r="A334" s="240">
        <f t="shared" si="16"/>
        <v>170</v>
      </c>
      <c r="B334" s="181" t="s">
        <v>226</v>
      </c>
      <c r="C334" s="8">
        <v>12.26</v>
      </c>
      <c r="D334" s="1" t="s">
        <v>739</v>
      </c>
      <c r="E334"/>
      <c r="F334" s="188">
        <f>F310</f>
        <v>4800</v>
      </c>
      <c r="G334" s="187" t="s">
        <v>1368</v>
      </c>
      <c r="H334" s="188" t="str">
        <f>H308</f>
        <v>Bricks of size 22x11x7 cm</v>
      </c>
      <c r="I334" s="8" t="e">
        <f>C80</f>
        <v>#REF!</v>
      </c>
      <c r="J334" s="2" t="s">
        <v>1538</v>
      </c>
      <c r="K334" s="8" t="e">
        <f>(F334*I334)/1000</f>
        <v>#REF!</v>
      </c>
      <c r="O334" s="185" t="s">
        <v>1530</v>
      </c>
      <c r="AG334" s="181" t="s">
        <v>2175</v>
      </c>
    </row>
    <row r="335" spans="1:33" hidden="1">
      <c r="A335" s="240">
        <f t="shared" si="16"/>
        <v>171</v>
      </c>
      <c r="B335" s="181" t="s">
        <v>227</v>
      </c>
      <c r="C335" s="8">
        <v>13.89</v>
      </c>
      <c r="D335" s="1" t="s">
        <v>739</v>
      </c>
      <c r="E335"/>
      <c r="F335" s="188">
        <f>F311</f>
        <v>2.5</v>
      </c>
      <c r="G335" s="187" t="s">
        <v>836</v>
      </c>
      <c r="H335" s="181" t="s">
        <v>1577</v>
      </c>
      <c r="I335" s="8" t="e">
        <f>K58</f>
        <v>#REF!</v>
      </c>
      <c r="J335" s="2" t="s">
        <v>836</v>
      </c>
      <c r="K335" s="8" t="e">
        <f>(F335*I335)</f>
        <v>#REF!</v>
      </c>
      <c r="M335" s="188">
        <v>0.22</v>
      </c>
      <c r="N335" s="181" t="s">
        <v>836</v>
      </c>
      <c r="O335" s="181" t="s">
        <v>1571</v>
      </c>
      <c r="P335" s="188" t="e">
        <f>(K49)</f>
        <v>#REF!</v>
      </c>
      <c r="Q335" s="181" t="s">
        <v>836</v>
      </c>
      <c r="R335" s="188" t="e">
        <f>(M335*P335)</f>
        <v>#REF!</v>
      </c>
      <c r="AG335" s="181" t="s">
        <v>2175</v>
      </c>
    </row>
    <row r="336" spans="1:33" hidden="1">
      <c r="A336" s="240">
        <f t="shared" si="16"/>
        <v>172</v>
      </c>
      <c r="B336" s="181" t="s">
        <v>2139</v>
      </c>
      <c r="C336" s="8">
        <v>36.25</v>
      </c>
      <c r="D336" s="1" t="s">
        <v>739</v>
      </c>
      <c r="E336"/>
      <c r="F336" s="188">
        <v>3.5</v>
      </c>
      <c r="G336" s="187" t="s">
        <v>835</v>
      </c>
      <c r="H336" s="181" t="s">
        <v>1938</v>
      </c>
      <c r="I336" s="8">
        <f>C10</f>
        <v>150</v>
      </c>
      <c r="J336" s="2" t="s">
        <v>835</v>
      </c>
      <c r="K336" s="8">
        <f>(F336*I336)</f>
        <v>525</v>
      </c>
      <c r="M336" s="188">
        <v>2.2000000000000002</v>
      </c>
      <c r="N336" s="181" t="s">
        <v>835</v>
      </c>
      <c r="O336" s="181" t="s">
        <v>1938</v>
      </c>
      <c r="P336" s="188">
        <f>(C10)</f>
        <v>150</v>
      </c>
      <c r="Q336" s="181" t="s">
        <v>835</v>
      </c>
      <c r="R336" s="188">
        <f>(M336*P336)</f>
        <v>330</v>
      </c>
      <c r="AG336" s="181" t="s">
        <v>2175</v>
      </c>
    </row>
    <row r="337" spans="1:33" hidden="1">
      <c r="A337" s="240">
        <f t="shared" si="16"/>
        <v>173</v>
      </c>
      <c r="B337" s="181" t="s">
        <v>2108</v>
      </c>
      <c r="C337"/>
      <c r="D337"/>
      <c r="E337"/>
      <c r="F337" s="188">
        <v>10.6</v>
      </c>
      <c r="G337" s="187" t="s">
        <v>835</v>
      </c>
      <c r="H337" s="181" t="s">
        <v>1654</v>
      </c>
      <c r="I337" s="8">
        <f>C11</f>
        <v>135</v>
      </c>
      <c r="J337" s="2" t="s">
        <v>835</v>
      </c>
      <c r="K337" s="8">
        <f>(F337*I337)</f>
        <v>1431</v>
      </c>
      <c r="M337" s="188">
        <v>0.5</v>
      </c>
      <c r="N337" s="181" t="s">
        <v>835</v>
      </c>
      <c r="O337" s="181" t="s">
        <v>1836</v>
      </c>
      <c r="P337" s="188">
        <f>(C12)</f>
        <v>95</v>
      </c>
      <c r="Q337" s="181" t="s">
        <v>835</v>
      </c>
      <c r="R337" s="188">
        <f>(M337*P337)</f>
        <v>47.5</v>
      </c>
      <c r="AG337" s="181" t="s">
        <v>2175</v>
      </c>
    </row>
    <row r="338" spans="1:33" hidden="1">
      <c r="A338" s="240">
        <f t="shared" si="16"/>
        <v>174</v>
      </c>
      <c r="B338" s="181" t="s">
        <v>225</v>
      </c>
      <c r="C338" s="8">
        <v>15.7</v>
      </c>
      <c r="D338" s="1" t="s">
        <v>739</v>
      </c>
      <c r="E338"/>
      <c r="F338" s="188">
        <v>7.1</v>
      </c>
      <c r="G338" s="187" t="s">
        <v>835</v>
      </c>
      <c r="H338" s="181" t="s">
        <v>1836</v>
      </c>
      <c r="I338" s="8">
        <f>C12</f>
        <v>95</v>
      </c>
      <c r="J338" s="2" t="s">
        <v>835</v>
      </c>
      <c r="K338" s="8">
        <f>(F338*I338)</f>
        <v>674.5</v>
      </c>
      <c r="M338" s="188">
        <v>3.2</v>
      </c>
      <c r="N338" s="181" t="s">
        <v>835</v>
      </c>
      <c r="O338" s="181" t="s">
        <v>299</v>
      </c>
      <c r="P338" s="188">
        <f>(C13)</f>
        <v>85</v>
      </c>
      <c r="Q338" s="181" t="s">
        <v>835</v>
      </c>
      <c r="R338" s="188">
        <f>(M338*P338)</f>
        <v>272</v>
      </c>
      <c r="AG338" s="181" t="s">
        <v>2175</v>
      </c>
    </row>
    <row r="339" spans="1:33" hidden="1">
      <c r="A339" s="240">
        <f t="shared" si="16"/>
        <v>175</v>
      </c>
      <c r="B339" s="181" t="s">
        <v>226</v>
      </c>
      <c r="C339" s="8">
        <v>22.31</v>
      </c>
      <c r="D339" s="1" t="s">
        <v>739</v>
      </c>
      <c r="E339"/>
      <c r="F339" s="188">
        <v>21.2</v>
      </c>
      <c r="G339" s="187" t="s">
        <v>835</v>
      </c>
      <c r="H339" s="181" t="s">
        <v>299</v>
      </c>
      <c r="I339" s="8">
        <f>C13</f>
        <v>85</v>
      </c>
      <c r="J339" s="2" t="s">
        <v>835</v>
      </c>
      <c r="K339" s="8">
        <f>(F339*I339)</f>
        <v>1802</v>
      </c>
      <c r="N339" s="181" t="s">
        <v>419</v>
      </c>
      <c r="O339" s="181" t="s">
        <v>420</v>
      </c>
      <c r="P339" s="181" t="s">
        <v>940</v>
      </c>
      <c r="Q339" s="181" t="s">
        <v>419</v>
      </c>
      <c r="R339" s="188">
        <v>0</v>
      </c>
      <c r="AG339" s="181" t="s">
        <v>2175</v>
      </c>
    </row>
    <row r="340" spans="1:33" hidden="1">
      <c r="A340" s="240">
        <f t="shared" si="16"/>
        <v>176</v>
      </c>
      <c r="B340" s="181" t="s">
        <v>227</v>
      </c>
      <c r="C340" s="8">
        <v>25.24</v>
      </c>
      <c r="D340" s="1" t="s">
        <v>739</v>
      </c>
      <c r="E340"/>
      <c r="G340" s="187" t="s">
        <v>419</v>
      </c>
      <c r="H340" s="181" t="s">
        <v>420</v>
      </c>
      <c r="I340"/>
      <c r="J340" s="2" t="s">
        <v>419</v>
      </c>
      <c r="K340" s="8">
        <v>0</v>
      </c>
      <c r="R340" s="185" t="s">
        <v>1530</v>
      </c>
      <c r="AG340" s="181" t="s">
        <v>2175</v>
      </c>
    </row>
    <row r="341" spans="1:33" hidden="1">
      <c r="A341" s="240">
        <f t="shared" si="16"/>
        <v>177</v>
      </c>
      <c r="B341" s="181" t="s">
        <v>2139</v>
      </c>
      <c r="C341" s="8">
        <v>52.34</v>
      </c>
      <c r="D341" s="1" t="s">
        <v>739</v>
      </c>
      <c r="E341"/>
      <c r="I341"/>
      <c r="J341" s="4"/>
      <c r="K341" s="5" t="s">
        <v>1530</v>
      </c>
      <c r="O341" s="181" t="s">
        <v>411</v>
      </c>
      <c r="R341" s="188" t="e">
        <f>SUM(R335:R339)</f>
        <v>#REF!</v>
      </c>
      <c r="AG341" s="181" t="s">
        <v>2175</v>
      </c>
    </row>
    <row r="342" spans="1:33" hidden="1">
      <c r="A342" s="240">
        <f t="shared" si="16"/>
        <v>178</v>
      </c>
      <c r="B342" s="181" t="s">
        <v>1008</v>
      </c>
      <c r="C342"/>
      <c r="D342"/>
      <c r="E342"/>
      <c r="H342" s="181" t="s">
        <v>583</v>
      </c>
      <c r="I342"/>
      <c r="J342" s="4"/>
      <c r="K342" s="8" t="e">
        <f>SUM(K334:K340)</f>
        <v>#REF!</v>
      </c>
      <c r="R342" s="185" t="s">
        <v>1530</v>
      </c>
      <c r="AG342" s="181" t="s">
        <v>2175</v>
      </c>
    </row>
    <row r="343" spans="1:33" hidden="1">
      <c r="A343" s="240">
        <f t="shared" si="16"/>
        <v>179</v>
      </c>
      <c r="B343" s="181" t="s">
        <v>225</v>
      </c>
      <c r="C343" s="8">
        <v>13.73</v>
      </c>
      <c r="D343" s="1" t="s">
        <v>739</v>
      </c>
      <c r="E343"/>
      <c r="I343"/>
      <c r="J343" s="4"/>
      <c r="K343" s="5" t="s">
        <v>1530</v>
      </c>
      <c r="O343" s="181" t="s">
        <v>521</v>
      </c>
      <c r="R343" s="188" t="e">
        <f>(R341/10)</f>
        <v>#REF!</v>
      </c>
      <c r="AG343" s="181" t="s">
        <v>2175</v>
      </c>
    </row>
    <row r="344" spans="1:33" hidden="1">
      <c r="A344" s="240">
        <f t="shared" si="16"/>
        <v>180</v>
      </c>
      <c r="B344" s="181" t="s">
        <v>226</v>
      </c>
      <c r="C344" s="8">
        <v>20.16</v>
      </c>
      <c r="D344" s="1" t="s">
        <v>739</v>
      </c>
      <c r="E344"/>
      <c r="H344" s="181" t="s">
        <v>743</v>
      </c>
      <c r="I344"/>
      <c r="J344" s="4"/>
      <c r="K344" s="8" t="e">
        <f>(K342/10)</f>
        <v>#REF!</v>
      </c>
      <c r="R344" s="185" t="s">
        <v>1980</v>
      </c>
      <c r="AG344" s="181" t="s">
        <v>2175</v>
      </c>
    </row>
    <row r="345" spans="1:33" hidden="1">
      <c r="A345" s="240">
        <f t="shared" si="16"/>
        <v>181</v>
      </c>
      <c r="B345" s="181" t="s">
        <v>227</v>
      </c>
      <c r="C345" s="8">
        <v>22.73</v>
      </c>
      <c r="D345" s="1" t="s">
        <v>739</v>
      </c>
      <c r="E345"/>
      <c r="I345"/>
      <c r="J345" s="4"/>
      <c r="K345" s="5" t="s">
        <v>1980</v>
      </c>
      <c r="N345" s="181" t="s">
        <v>2167</v>
      </c>
      <c r="O345" s="181" t="s">
        <v>1009</v>
      </c>
      <c r="AG345" s="181" t="s">
        <v>2175</v>
      </c>
    </row>
    <row r="346" spans="1:33" hidden="1">
      <c r="A346" s="240">
        <f t="shared" si="16"/>
        <v>182</v>
      </c>
      <c r="B346" s="181" t="s">
        <v>2139</v>
      </c>
      <c r="C346" s="8">
        <v>46.98</v>
      </c>
      <c r="D346" s="1" t="s">
        <v>940</v>
      </c>
      <c r="E346"/>
      <c r="H346" s="181" t="s">
        <v>361</v>
      </c>
      <c r="I346"/>
      <c r="J346" s="4"/>
      <c r="K346" s="8" t="e">
        <f>(K344+C19)</f>
        <v>#REF!</v>
      </c>
      <c r="O346" s="185" t="s">
        <v>1530</v>
      </c>
      <c r="AG346" s="181" t="s">
        <v>2175</v>
      </c>
    </row>
    <row r="347" spans="1:33" hidden="1">
      <c r="A347" s="240">
        <f t="shared" si="16"/>
        <v>183</v>
      </c>
      <c r="B347" s="181" t="s">
        <v>1010</v>
      </c>
      <c r="C347"/>
      <c r="D347"/>
      <c r="E347"/>
      <c r="H347" s="181" t="s">
        <v>363</v>
      </c>
      <c r="I347"/>
      <c r="J347" s="4"/>
      <c r="K347" s="8" t="e">
        <f>(K346+C20)</f>
        <v>#REF!</v>
      </c>
      <c r="M347" s="188">
        <v>0.22</v>
      </c>
      <c r="N347" s="181" t="s">
        <v>836</v>
      </c>
      <c r="O347" s="181" t="s">
        <v>1301</v>
      </c>
      <c r="P347" s="188" t="e">
        <f>(K32)</f>
        <v>#REF!</v>
      </c>
      <c r="Q347" s="181" t="s">
        <v>836</v>
      </c>
      <c r="R347" s="188" t="e">
        <f>(M347*P347)</f>
        <v>#REF!</v>
      </c>
      <c r="AG347" s="181" t="s">
        <v>2175</v>
      </c>
    </row>
    <row r="348" spans="1:33" hidden="1">
      <c r="A348" s="240">
        <f t="shared" si="16"/>
        <v>184</v>
      </c>
      <c r="B348" s="181" t="s">
        <v>225</v>
      </c>
      <c r="C348" s="8">
        <v>19.3</v>
      </c>
      <c r="D348" s="1" t="s">
        <v>739</v>
      </c>
      <c r="E348"/>
      <c r="H348" s="181" t="s">
        <v>2149</v>
      </c>
      <c r="I348"/>
      <c r="J348" s="4"/>
      <c r="K348" s="8" t="e">
        <f>(K347+C21)</f>
        <v>#REF!</v>
      </c>
      <c r="M348" s="188">
        <v>2.2000000000000002</v>
      </c>
      <c r="N348" s="181" t="s">
        <v>835</v>
      </c>
      <c r="O348" s="181" t="s">
        <v>1938</v>
      </c>
      <c r="P348" s="188">
        <f>(C10)</f>
        <v>150</v>
      </c>
      <c r="Q348" s="181" t="s">
        <v>835</v>
      </c>
      <c r="R348" s="188">
        <f>(M348*P348)</f>
        <v>330</v>
      </c>
      <c r="AG348" s="181" t="s">
        <v>2175</v>
      </c>
    </row>
    <row r="349" spans="1:33" hidden="1">
      <c r="A349" s="240">
        <f t="shared" si="16"/>
        <v>185</v>
      </c>
      <c r="B349" s="181" t="s">
        <v>227</v>
      </c>
      <c r="C349" s="8">
        <v>33.46</v>
      </c>
      <c r="D349" s="1" t="s">
        <v>739</v>
      </c>
      <c r="E349"/>
      <c r="H349" s="181" t="s">
        <v>355</v>
      </c>
      <c r="I349"/>
      <c r="J349" s="4"/>
      <c r="K349" s="8" t="e">
        <f>(K348+C21)</f>
        <v>#REF!</v>
      </c>
      <c r="M349" s="188">
        <v>0.5</v>
      </c>
      <c r="N349" s="181" t="s">
        <v>835</v>
      </c>
      <c r="O349" s="181" t="s">
        <v>1836</v>
      </c>
      <c r="P349" s="188">
        <f>(C12)</f>
        <v>95</v>
      </c>
      <c r="Q349" s="181" t="s">
        <v>835</v>
      </c>
      <c r="R349" s="188">
        <f>(M349*P349)</f>
        <v>47.5</v>
      </c>
      <c r="AG349" s="181" t="s">
        <v>2175</v>
      </c>
    </row>
    <row r="350" spans="1:33" hidden="1">
      <c r="A350" s="240">
        <f>(A349+1)</f>
        <v>186</v>
      </c>
      <c r="B350" s="181" t="s">
        <v>2139</v>
      </c>
      <c r="C350" s="8">
        <v>53.62</v>
      </c>
      <c r="D350" s="1" t="s">
        <v>739</v>
      </c>
      <c r="E350"/>
      <c r="F350" s="181" t="s">
        <v>940</v>
      </c>
      <c r="H350" s="181" t="s">
        <v>453</v>
      </c>
      <c r="I350"/>
      <c r="J350" s="4"/>
      <c r="K350" s="8" t="e">
        <f>(K349+C21)</f>
        <v>#REF!</v>
      </c>
      <c r="M350" s="188">
        <v>3.2</v>
      </c>
      <c r="N350" s="181" t="s">
        <v>835</v>
      </c>
      <c r="O350" s="181" t="s">
        <v>299</v>
      </c>
      <c r="P350" s="188">
        <f>(C13)</f>
        <v>85</v>
      </c>
      <c r="Q350" s="181" t="s">
        <v>835</v>
      </c>
      <c r="R350" s="188">
        <f>(M350*P350)</f>
        <v>272</v>
      </c>
      <c r="AG350" s="181" t="s">
        <v>2175</v>
      </c>
    </row>
    <row r="351" spans="1:33" hidden="1">
      <c r="A351" s="240">
        <f>(A350+1)</f>
        <v>187</v>
      </c>
      <c r="B351" s="181" t="s">
        <v>125</v>
      </c>
      <c r="C351"/>
      <c r="D351"/>
      <c r="E351"/>
      <c r="F351" s="242">
        <v>27</v>
      </c>
      <c r="G351" s="187" t="s">
        <v>2167</v>
      </c>
      <c r="H351" s="181" t="s">
        <v>3045</v>
      </c>
      <c r="I351"/>
      <c r="J351" s="4"/>
      <c r="K351"/>
      <c r="N351" s="181" t="s">
        <v>419</v>
      </c>
      <c r="O351" s="181" t="s">
        <v>420</v>
      </c>
      <c r="P351" s="181" t="s">
        <v>940</v>
      </c>
      <c r="Q351" s="181" t="s">
        <v>419</v>
      </c>
      <c r="R351" s="188">
        <v>0</v>
      </c>
      <c r="AG351" s="181" t="s">
        <v>2175</v>
      </c>
    </row>
    <row r="352" spans="1:33" hidden="1">
      <c r="A352" s="240">
        <f t="shared" ref="A352:A383" si="17">(A351+1)</f>
        <v>188</v>
      </c>
      <c r="B352" s="181" t="s">
        <v>225</v>
      </c>
      <c r="C352" s="8">
        <v>13.73</v>
      </c>
      <c r="D352" s="1" t="s">
        <v>739</v>
      </c>
      <c r="E352"/>
      <c r="H352" s="188" t="str">
        <f>H308</f>
        <v>Bricks of size 22x11x7 cm</v>
      </c>
      <c r="I352"/>
      <c r="J352" s="4"/>
      <c r="K352"/>
      <c r="R352" s="185" t="s">
        <v>1530</v>
      </c>
      <c r="AG352" s="181" t="s">
        <v>2175</v>
      </c>
    </row>
    <row r="353" spans="1:33" hidden="1">
      <c r="A353" s="240">
        <f t="shared" si="17"/>
        <v>189</v>
      </c>
      <c r="B353" s="181" t="s">
        <v>226</v>
      </c>
      <c r="C353" s="8">
        <v>20.16</v>
      </c>
      <c r="D353" s="1" t="s">
        <v>739</v>
      </c>
      <c r="E353"/>
      <c r="H353" s="185" t="s">
        <v>1530</v>
      </c>
      <c r="I353"/>
      <c r="J353" s="4"/>
      <c r="K353"/>
      <c r="O353" s="181" t="s">
        <v>411</v>
      </c>
      <c r="R353" s="188" t="e">
        <f>SUM(R347:R351)</f>
        <v>#REF!</v>
      </c>
      <c r="AG353" s="181" t="s">
        <v>2175</v>
      </c>
    </row>
    <row r="354" spans="1:33" hidden="1">
      <c r="A354" s="240">
        <f t="shared" si="17"/>
        <v>190</v>
      </c>
      <c r="B354" s="181" t="s">
        <v>227</v>
      </c>
      <c r="C354" s="8">
        <v>22.73</v>
      </c>
      <c r="D354" s="1" t="s">
        <v>739</v>
      </c>
      <c r="E354"/>
      <c r="F354" s="188">
        <f>F310</f>
        <v>4800</v>
      </c>
      <c r="G354" s="187" t="s">
        <v>1368</v>
      </c>
      <c r="H354" s="188" t="str">
        <f>H308</f>
        <v>Bricks of size 22x11x7 cm</v>
      </c>
      <c r="I354" s="8" t="e">
        <f>C80</f>
        <v>#REF!</v>
      </c>
      <c r="J354" s="2" t="s">
        <v>1538</v>
      </c>
      <c r="K354" s="8" t="e">
        <f>(F354*I354)/1000</f>
        <v>#REF!</v>
      </c>
      <c r="R354" s="185" t="s">
        <v>1530</v>
      </c>
      <c r="AG354" s="181" t="s">
        <v>2175</v>
      </c>
    </row>
    <row r="355" spans="1:33" hidden="1">
      <c r="A355" s="240">
        <f t="shared" si="17"/>
        <v>191</v>
      </c>
      <c r="B355" s="181" t="s">
        <v>2139</v>
      </c>
      <c r="C355" s="8">
        <v>46.98</v>
      </c>
      <c r="D355" s="1" t="s">
        <v>739</v>
      </c>
      <c r="E355"/>
      <c r="F355" s="188">
        <f>F311</f>
        <v>2.5</v>
      </c>
      <c r="G355" s="187" t="s">
        <v>836</v>
      </c>
      <c r="H355" s="181" t="s">
        <v>1258</v>
      </c>
      <c r="I355" s="8" t="e">
        <f>K40</f>
        <v>#REF!</v>
      </c>
      <c r="J355" s="2" t="s">
        <v>836</v>
      </c>
      <c r="K355" s="8" t="e">
        <f>(F355*I355)</f>
        <v>#REF!</v>
      </c>
      <c r="O355" s="181" t="s">
        <v>521</v>
      </c>
      <c r="R355" s="188" t="e">
        <f>(R353/10)</f>
        <v>#REF!</v>
      </c>
      <c r="AG355" s="181" t="s">
        <v>2175</v>
      </c>
    </row>
    <row r="356" spans="1:33" hidden="1">
      <c r="A356" s="240">
        <f t="shared" si="17"/>
        <v>192</v>
      </c>
      <c r="B356" s="181" t="s">
        <v>780</v>
      </c>
      <c r="C356"/>
      <c r="D356"/>
      <c r="E356"/>
      <c r="F356" s="188">
        <v>3.5</v>
      </c>
      <c r="G356" s="187" t="s">
        <v>835</v>
      </c>
      <c r="H356" s="181" t="s">
        <v>1938</v>
      </c>
      <c r="I356" s="8">
        <f>(C10)</f>
        <v>150</v>
      </c>
      <c r="J356" s="2" t="s">
        <v>835</v>
      </c>
      <c r="K356" s="8">
        <f>(F356*I356)</f>
        <v>525</v>
      </c>
      <c r="R356" s="185" t="s">
        <v>1980</v>
      </c>
      <c r="AG356" s="181" t="s">
        <v>2175</v>
      </c>
    </row>
    <row r="357" spans="1:33" hidden="1">
      <c r="A357" s="240">
        <f t="shared" si="17"/>
        <v>193</v>
      </c>
      <c r="B357" s="181" t="s">
        <v>225</v>
      </c>
      <c r="C357" s="8">
        <v>19.3</v>
      </c>
      <c r="D357" s="1" t="s">
        <v>739</v>
      </c>
      <c r="E357"/>
      <c r="F357" s="188">
        <v>10.6</v>
      </c>
      <c r="G357" s="187" t="s">
        <v>835</v>
      </c>
      <c r="H357" s="181" t="s">
        <v>1654</v>
      </c>
      <c r="I357" s="8">
        <f>(C11)</f>
        <v>135</v>
      </c>
      <c r="J357" s="2" t="s">
        <v>835</v>
      </c>
      <c r="K357" s="8">
        <f>(F357*I357)</f>
        <v>1431</v>
      </c>
      <c r="N357" s="181" t="s">
        <v>2167</v>
      </c>
      <c r="O357" s="181" t="s">
        <v>781</v>
      </c>
      <c r="AG357" s="181" t="s">
        <v>2175</v>
      </c>
    </row>
    <row r="358" spans="1:33" hidden="1">
      <c r="A358" s="240">
        <f t="shared" si="17"/>
        <v>194</v>
      </c>
      <c r="B358" s="181" t="s">
        <v>226</v>
      </c>
      <c r="C358" s="8">
        <v>25.74</v>
      </c>
      <c r="D358" s="1" t="s">
        <v>739</v>
      </c>
      <c r="E358"/>
      <c r="F358" s="188">
        <v>7.1</v>
      </c>
      <c r="G358" s="187" t="s">
        <v>835</v>
      </c>
      <c r="H358" s="181" t="s">
        <v>1836</v>
      </c>
      <c r="I358" s="8">
        <f>(C12)</f>
        <v>95</v>
      </c>
      <c r="J358" s="2" t="s">
        <v>835</v>
      </c>
      <c r="K358" s="8">
        <f>(F358*I358)</f>
        <v>674.5</v>
      </c>
      <c r="O358" s="181" t="s">
        <v>782</v>
      </c>
      <c r="AG358" s="181" t="s">
        <v>2175</v>
      </c>
    </row>
    <row r="359" spans="1:33" hidden="1">
      <c r="A359" s="240">
        <f t="shared" si="17"/>
        <v>195</v>
      </c>
      <c r="B359" s="181" t="s">
        <v>227</v>
      </c>
      <c r="C359" s="8">
        <v>33.46</v>
      </c>
      <c r="D359" s="1" t="s">
        <v>739</v>
      </c>
      <c r="E359"/>
      <c r="F359" s="188">
        <v>21.2</v>
      </c>
      <c r="G359" s="187" t="s">
        <v>835</v>
      </c>
      <c r="H359" s="181" t="s">
        <v>299</v>
      </c>
      <c r="I359" s="8">
        <f>(C13)</f>
        <v>85</v>
      </c>
      <c r="J359" s="2" t="s">
        <v>835</v>
      </c>
      <c r="K359" s="8">
        <f>(F359*I359)</f>
        <v>1802</v>
      </c>
      <c r="O359" s="181" t="s">
        <v>783</v>
      </c>
      <c r="AG359" s="181" t="s">
        <v>2175</v>
      </c>
    </row>
    <row r="360" spans="1:33" hidden="1">
      <c r="A360" s="240">
        <f t="shared" si="17"/>
        <v>196</v>
      </c>
      <c r="B360" s="181" t="s">
        <v>2139</v>
      </c>
      <c r="C360" s="8">
        <v>53.62</v>
      </c>
      <c r="D360" s="1" t="s">
        <v>940</v>
      </c>
      <c r="E360"/>
      <c r="G360" s="187" t="s">
        <v>419</v>
      </c>
      <c r="H360" s="181" t="s">
        <v>420</v>
      </c>
      <c r="I360"/>
      <c r="J360" s="2" t="s">
        <v>419</v>
      </c>
      <c r="K360" s="8">
        <v>0</v>
      </c>
      <c r="O360" s="185" t="s">
        <v>1530</v>
      </c>
      <c r="AG360" s="181" t="s">
        <v>2175</v>
      </c>
    </row>
    <row r="361" spans="1:33" hidden="1">
      <c r="A361" s="240">
        <f t="shared" si="17"/>
        <v>197</v>
      </c>
      <c r="B361" s="181" t="s">
        <v>934</v>
      </c>
      <c r="C361"/>
      <c r="D361"/>
      <c r="E361"/>
      <c r="I361"/>
      <c r="J361" s="4"/>
      <c r="K361" s="5" t="s">
        <v>1530</v>
      </c>
      <c r="M361" s="188">
        <v>0.22</v>
      </c>
      <c r="N361" s="181" t="s">
        <v>836</v>
      </c>
      <c r="O361" s="181" t="s">
        <v>1258</v>
      </c>
      <c r="P361" s="188" t="e">
        <f>(K40)</f>
        <v>#REF!</v>
      </c>
      <c r="Q361" s="181" t="s">
        <v>836</v>
      </c>
      <c r="R361" s="188" t="e">
        <f t="shared" ref="R361:R366" si="18">(M361*P361)</f>
        <v>#REF!</v>
      </c>
      <c r="AG361" s="181" t="s">
        <v>2175</v>
      </c>
    </row>
    <row r="362" spans="1:33" hidden="1">
      <c r="A362" s="240">
        <f t="shared" si="17"/>
        <v>198</v>
      </c>
      <c r="B362" s="181" t="s">
        <v>225</v>
      </c>
      <c r="C362" s="8">
        <v>26.16</v>
      </c>
      <c r="D362" s="1" t="s">
        <v>739</v>
      </c>
      <c r="E362"/>
      <c r="H362" s="181" t="s">
        <v>583</v>
      </c>
      <c r="I362"/>
      <c r="J362" s="4"/>
      <c r="K362" s="8" t="e">
        <f>SUM(K354:K360)</f>
        <v>#REF!</v>
      </c>
      <c r="M362" s="188">
        <v>2.2000000000000002</v>
      </c>
      <c r="N362" s="181" t="s">
        <v>835</v>
      </c>
      <c r="O362" s="181" t="s">
        <v>1938</v>
      </c>
      <c r="P362" s="188">
        <f>(C10)</f>
        <v>150</v>
      </c>
      <c r="Q362" s="181" t="s">
        <v>835</v>
      </c>
      <c r="R362" s="188">
        <f t="shared" si="18"/>
        <v>330</v>
      </c>
      <c r="AG362" s="181" t="s">
        <v>2175</v>
      </c>
    </row>
    <row r="363" spans="1:33" hidden="1">
      <c r="A363" s="240">
        <f t="shared" si="17"/>
        <v>199</v>
      </c>
      <c r="B363" s="181" t="s">
        <v>226</v>
      </c>
      <c r="C363" s="8">
        <v>34.32</v>
      </c>
      <c r="D363" s="1" t="s">
        <v>739</v>
      </c>
      <c r="E363"/>
      <c r="I363"/>
      <c r="J363" s="4"/>
      <c r="K363" s="5" t="s">
        <v>1530</v>
      </c>
      <c r="M363" s="188">
        <v>0.5</v>
      </c>
      <c r="N363" s="181" t="s">
        <v>835</v>
      </c>
      <c r="O363" s="181" t="s">
        <v>1836</v>
      </c>
      <c r="P363" s="188">
        <f>(C12)</f>
        <v>95</v>
      </c>
      <c r="Q363" s="181" t="s">
        <v>835</v>
      </c>
      <c r="R363" s="188">
        <f t="shared" si="18"/>
        <v>47.5</v>
      </c>
      <c r="AG363" s="181" t="s">
        <v>2175</v>
      </c>
    </row>
    <row r="364" spans="1:33" hidden="1">
      <c r="A364" s="240">
        <f t="shared" si="17"/>
        <v>200</v>
      </c>
      <c r="B364" s="181" t="s">
        <v>227</v>
      </c>
      <c r="C364" s="8">
        <v>40.33</v>
      </c>
      <c r="D364" s="1" t="s">
        <v>739</v>
      </c>
      <c r="E364"/>
      <c r="H364" s="181" t="s">
        <v>743</v>
      </c>
      <c r="I364"/>
      <c r="J364" s="4"/>
      <c r="K364" s="8" t="e">
        <f>(K362/10)</f>
        <v>#REF!</v>
      </c>
      <c r="M364" s="188">
        <v>1.1000000000000001</v>
      </c>
      <c r="N364" s="181" t="s">
        <v>935</v>
      </c>
      <c r="O364" s="181" t="s">
        <v>936</v>
      </c>
      <c r="P364" s="188">
        <f>(C10)</f>
        <v>150</v>
      </c>
      <c r="Q364" s="181" t="s">
        <v>835</v>
      </c>
      <c r="R364" s="188">
        <f t="shared" si="18"/>
        <v>165</v>
      </c>
      <c r="AG364" s="181" t="s">
        <v>2175</v>
      </c>
    </row>
    <row r="365" spans="1:33" hidden="1">
      <c r="A365" s="240">
        <f t="shared" si="17"/>
        <v>201</v>
      </c>
      <c r="B365" s="181" t="s">
        <v>937</v>
      </c>
      <c r="C365"/>
      <c r="D365" s="1" t="s">
        <v>940</v>
      </c>
      <c r="E365"/>
      <c r="I365"/>
      <c r="J365" s="4"/>
      <c r="K365" s="5" t="s">
        <v>1980</v>
      </c>
      <c r="M365" s="188">
        <v>3.2</v>
      </c>
      <c r="N365" s="181" t="s">
        <v>835</v>
      </c>
      <c r="O365" s="181" t="s">
        <v>299</v>
      </c>
      <c r="P365" s="188">
        <f>(C13)</f>
        <v>85</v>
      </c>
      <c r="Q365" s="181" t="s">
        <v>835</v>
      </c>
      <c r="R365" s="188">
        <f t="shared" si="18"/>
        <v>272</v>
      </c>
      <c r="AG365" s="181" t="s">
        <v>2175</v>
      </c>
    </row>
    <row r="366" spans="1:33" hidden="1">
      <c r="A366" s="240">
        <f t="shared" si="17"/>
        <v>202</v>
      </c>
      <c r="B366" s="181" t="s">
        <v>225</v>
      </c>
      <c r="C366" s="8">
        <v>20.329999999999998</v>
      </c>
      <c r="D366" s="1" t="s">
        <v>739</v>
      </c>
      <c r="E366"/>
      <c r="H366" s="181" t="s">
        <v>361</v>
      </c>
      <c r="I366"/>
      <c r="J366" s="4"/>
      <c r="K366" s="8" t="e">
        <f>(K364+C19)</f>
        <v>#REF!</v>
      </c>
      <c r="M366" s="188">
        <v>9.8000000000000007</v>
      </c>
      <c r="N366" s="181" t="s">
        <v>1591</v>
      </c>
      <c r="O366" s="181" t="s">
        <v>1592</v>
      </c>
      <c r="P366" s="188">
        <f>(C180)</f>
        <v>110</v>
      </c>
      <c r="Q366" s="181" t="s">
        <v>1591</v>
      </c>
      <c r="R366" s="188">
        <f t="shared" si="18"/>
        <v>1078</v>
      </c>
      <c r="AG366" s="181" t="s">
        <v>2175</v>
      </c>
    </row>
    <row r="367" spans="1:33" hidden="1">
      <c r="A367" s="240">
        <f t="shared" si="17"/>
        <v>203</v>
      </c>
      <c r="B367" s="181" t="s">
        <v>226</v>
      </c>
      <c r="C367" s="8">
        <v>26.6</v>
      </c>
      <c r="D367" s="1" t="s">
        <v>739</v>
      </c>
      <c r="E367"/>
      <c r="H367" s="181" t="s">
        <v>363</v>
      </c>
      <c r="I367"/>
      <c r="J367" s="4"/>
      <c r="K367" s="8" t="e">
        <f>(K366+C20)</f>
        <v>#REF!</v>
      </c>
      <c r="N367" s="181" t="s">
        <v>419</v>
      </c>
      <c r="O367" s="181" t="s">
        <v>420</v>
      </c>
      <c r="P367" s="181" t="s">
        <v>940</v>
      </c>
      <c r="Q367" s="181" t="s">
        <v>419</v>
      </c>
      <c r="R367" s="188">
        <v>0</v>
      </c>
      <c r="AG367" s="181" t="s">
        <v>2175</v>
      </c>
    </row>
    <row r="368" spans="1:33" hidden="1">
      <c r="A368" s="240">
        <f t="shared" si="17"/>
        <v>204</v>
      </c>
      <c r="B368" s="181" t="s">
        <v>227</v>
      </c>
      <c r="C368" s="8">
        <v>33.89</v>
      </c>
      <c r="D368" s="1" t="s">
        <v>739</v>
      </c>
      <c r="E368"/>
      <c r="H368" s="181" t="s">
        <v>2149</v>
      </c>
      <c r="I368"/>
      <c r="J368" s="4"/>
      <c r="K368" s="8" t="e">
        <f>(K367+C21)</f>
        <v>#REF!</v>
      </c>
      <c r="R368" s="185" t="s">
        <v>1530</v>
      </c>
      <c r="AG368" s="181" t="s">
        <v>2175</v>
      </c>
    </row>
    <row r="369" spans="1:33" hidden="1">
      <c r="A369" s="240">
        <f t="shared" si="17"/>
        <v>205</v>
      </c>
      <c r="B369" s="181" t="s">
        <v>938</v>
      </c>
      <c r="C369"/>
      <c r="D369"/>
      <c r="E369"/>
      <c r="H369" s="181" t="s">
        <v>355</v>
      </c>
      <c r="I369"/>
      <c r="J369" s="4"/>
      <c r="K369" s="8" t="e">
        <f>(K368+C21)</f>
        <v>#REF!</v>
      </c>
      <c r="O369" s="181" t="s">
        <v>411</v>
      </c>
      <c r="R369" s="188" t="e">
        <f>SUM(R361:R367)</f>
        <v>#REF!</v>
      </c>
      <c r="AG369" s="181" t="s">
        <v>2175</v>
      </c>
    </row>
    <row r="370" spans="1:33" hidden="1">
      <c r="A370" s="240">
        <f t="shared" si="17"/>
        <v>206</v>
      </c>
      <c r="B370" s="181" t="s">
        <v>225</v>
      </c>
      <c r="C370" s="8">
        <v>13.29</v>
      </c>
      <c r="D370" s="1" t="s">
        <v>739</v>
      </c>
      <c r="E370"/>
      <c r="H370" s="181" t="s">
        <v>453</v>
      </c>
      <c r="I370"/>
      <c r="J370" s="4"/>
      <c r="K370" s="8" t="e">
        <f>(K369+C21)</f>
        <v>#REF!</v>
      </c>
      <c r="R370" s="185" t="s">
        <v>1530</v>
      </c>
      <c r="AG370" s="181" t="s">
        <v>2175</v>
      </c>
    </row>
    <row r="371" spans="1:33" hidden="1">
      <c r="A371" s="240">
        <f t="shared" si="17"/>
        <v>207</v>
      </c>
      <c r="B371" s="181" t="s">
        <v>226</v>
      </c>
      <c r="C371" s="8">
        <v>18.02</v>
      </c>
      <c r="D371" s="1" t="s">
        <v>739</v>
      </c>
      <c r="E371"/>
      <c r="H371" s="181" t="s">
        <v>1766</v>
      </c>
      <c r="I371"/>
      <c r="J371" s="4"/>
      <c r="K371" s="8" t="e">
        <f>(K366+K367+K368)/3</f>
        <v>#REF!</v>
      </c>
      <c r="O371" s="181" t="s">
        <v>521</v>
      </c>
      <c r="R371" s="188" t="e">
        <f>(R369/10)</f>
        <v>#REF!</v>
      </c>
      <c r="AG371" s="181" t="s">
        <v>2175</v>
      </c>
    </row>
    <row r="372" spans="1:33" hidden="1">
      <c r="A372" s="240">
        <f t="shared" si="17"/>
        <v>208</v>
      </c>
      <c r="B372" s="181" t="s">
        <v>227</v>
      </c>
      <c r="C372" s="8">
        <v>23.17</v>
      </c>
      <c r="D372" s="1" t="s">
        <v>739</v>
      </c>
      <c r="E372"/>
      <c r="I372"/>
      <c r="J372" s="4"/>
      <c r="K372"/>
      <c r="R372" s="185" t="s">
        <v>1980</v>
      </c>
      <c r="AG372" s="181" t="s">
        <v>2175</v>
      </c>
    </row>
    <row r="373" spans="1:33" hidden="1">
      <c r="A373" s="240">
        <f t="shared" si="17"/>
        <v>209</v>
      </c>
      <c r="B373" s="181" t="s">
        <v>1767</v>
      </c>
      <c r="C373"/>
      <c r="D373" s="1" t="s">
        <v>940</v>
      </c>
      <c r="E373"/>
      <c r="H373" s="236" t="s">
        <v>1768</v>
      </c>
      <c r="I373"/>
      <c r="J373" s="4"/>
      <c r="K373"/>
      <c r="N373" s="181" t="s">
        <v>2167</v>
      </c>
      <c r="O373" s="181" t="s">
        <v>1769</v>
      </c>
      <c r="AG373" s="181" t="s">
        <v>2175</v>
      </c>
    </row>
    <row r="374" spans="1:33" hidden="1">
      <c r="A374" s="240">
        <f t="shared" si="17"/>
        <v>210</v>
      </c>
      <c r="B374" s="181" t="s">
        <v>225</v>
      </c>
      <c r="C374" s="8">
        <v>9</v>
      </c>
      <c r="D374" s="1" t="s">
        <v>739</v>
      </c>
      <c r="E374"/>
      <c r="H374" s="185" t="s">
        <v>1530</v>
      </c>
      <c r="I374"/>
      <c r="J374" s="4"/>
      <c r="K374"/>
      <c r="O374" s="185" t="s">
        <v>1530</v>
      </c>
      <c r="AG374" s="181" t="s">
        <v>2175</v>
      </c>
    </row>
    <row r="375" spans="1:33" hidden="1">
      <c r="A375" s="240">
        <f t="shared" si="17"/>
        <v>211</v>
      </c>
      <c r="B375" s="181" t="s">
        <v>226</v>
      </c>
      <c r="C375" s="8">
        <v>11.58</v>
      </c>
      <c r="D375" s="1" t="s">
        <v>739</v>
      </c>
      <c r="E375"/>
      <c r="F375" s="242">
        <v>10</v>
      </c>
      <c r="G375" s="187" t="s">
        <v>2167</v>
      </c>
      <c r="H375" s="181" t="s">
        <v>3045</v>
      </c>
      <c r="I375"/>
      <c r="J375" s="4"/>
      <c r="K375"/>
      <c r="M375" s="188">
        <v>0.05</v>
      </c>
      <c r="N375" s="181" t="s">
        <v>836</v>
      </c>
      <c r="O375" s="181" t="s">
        <v>1933</v>
      </c>
      <c r="P375" s="188">
        <f>(C84)</f>
        <v>773</v>
      </c>
      <c r="Q375" s="181" t="s">
        <v>836</v>
      </c>
      <c r="R375" s="188">
        <f>(M375*P375)</f>
        <v>38.65</v>
      </c>
      <c r="AG375" s="181" t="s">
        <v>2175</v>
      </c>
    </row>
    <row r="376" spans="1:33" hidden="1">
      <c r="A376" s="240">
        <f t="shared" si="17"/>
        <v>212</v>
      </c>
      <c r="B376" s="181" t="s">
        <v>227</v>
      </c>
      <c r="C376" s="8">
        <v>14.15</v>
      </c>
      <c r="D376" s="1" t="s">
        <v>739</v>
      </c>
      <c r="E376"/>
      <c r="H376" s="188" t="str">
        <f>H308</f>
        <v>Bricks of size 22x11x7 cm</v>
      </c>
      <c r="I376"/>
      <c r="J376" s="4"/>
      <c r="K376"/>
      <c r="M376" s="188">
        <v>1.1000000000000001</v>
      </c>
      <c r="N376" s="181" t="s">
        <v>835</v>
      </c>
      <c r="O376" s="181" t="s">
        <v>1654</v>
      </c>
      <c r="P376" s="188">
        <f>(C11)</f>
        <v>135</v>
      </c>
      <c r="Q376" s="181" t="s">
        <v>835</v>
      </c>
      <c r="R376" s="188">
        <f>(M376*P376)</f>
        <v>148.5</v>
      </c>
      <c r="AG376" s="181" t="s">
        <v>2175</v>
      </c>
    </row>
    <row r="377" spans="1:33" hidden="1">
      <c r="A377" s="240">
        <f t="shared" si="17"/>
        <v>213</v>
      </c>
      <c r="B377" s="181" t="s">
        <v>1770</v>
      </c>
      <c r="C377"/>
      <c r="D377"/>
      <c r="E377"/>
      <c r="H377" s="185" t="s">
        <v>1530</v>
      </c>
      <c r="I377"/>
      <c r="J377" s="4"/>
      <c r="K377"/>
      <c r="M377" s="188">
        <v>0.3</v>
      </c>
      <c r="N377" s="181" t="s">
        <v>835</v>
      </c>
      <c r="O377" s="181" t="s">
        <v>1836</v>
      </c>
      <c r="P377" s="188">
        <f>(C12)</f>
        <v>95</v>
      </c>
      <c r="Q377" s="181" t="s">
        <v>835</v>
      </c>
      <c r="R377" s="188">
        <f>(M377*P377)</f>
        <v>28.5</v>
      </c>
      <c r="AG377" s="181" t="s">
        <v>2175</v>
      </c>
    </row>
    <row r="378" spans="1:33" hidden="1">
      <c r="A378" s="240">
        <f t="shared" si="17"/>
        <v>214</v>
      </c>
      <c r="B378" s="181" t="s">
        <v>225</v>
      </c>
      <c r="C378" s="8">
        <v>4.29</v>
      </c>
      <c r="D378" s="1" t="s">
        <v>739</v>
      </c>
      <c r="E378"/>
      <c r="F378" s="188">
        <f>F310</f>
        <v>4800</v>
      </c>
      <c r="G378" s="187" t="s">
        <v>1368</v>
      </c>
      <c r="H378" s="188" t="str">
        <f>H308</f>
        <v>Bricks of size 22x11x7 cm</v>
      </c>
      <c r="I378" s="8" t="e">
        <f>(C80)</f>
        <v>#REF!</v>
      </c>
      <c r="J378" s="2" t="s">
        <v>1538</v>
      </c>
      <c r="K378" s="8" t="e">
        <f>(F378*I378)/1000</f>
        <v>#REF!</v>
      </c>
      <c r="M378" s="188">
        <v>1.9</v>
      </c>
      <c r="N378" s="181" t="s">
        <v>835</v>
      </c>
      <c r="O378" s="181" t="s">
        <v>299</v>
      </c>
      <c r="P378" s="188">
        <f>(C13)</f>
        <v>85</v>
      </c>
      <c r="Q378" s="181" t="s">
        <v>835</v>
      </c>
      <c r="R378" s="188">
        <f>(M378*P378)</f>
        <v>161.5</v>
      </c>
      <c r="AG378" s="181" t="s">
        <v>2175</v>
      </c>
    </row>
    <row r="379" spans="1:33" hidden="1">
      <c r="A379" s="240">
        <f t="shared" si="17"/>
        <v>215</v>
      </c>
      <c r="B379" s="181" t="s">
        <v>226</v>
      </c>
      <c r="C379" s="8">
        <v>6.01</v>
      </c>
      <c r="D379" s="1" t="s">
        <v>739</v>
      </c>
      <c r="E379"/>
      <c r="F379" s="188">
        <v>1.59</v>
      </c>
      <c r="G379" s="187" t="s">
        <v>836</v>
      </c>
      <c r="H379" s="181" t="s">
        <v>1258</v>
      </c>
      <c r="I379" s="8" t="e">
        <f>(K40)</f>
        <v>#REF!</v>
      </c>
      <c r="J379" s="2" t="s">
        <v>836</v>
      </c>
      <c r="K379" s="8" t="e">
        <f>(F379*I379)</f>
        <v>#REF!</v>
      </c>
      <c r="N379" s="181" t="s">
        <v>419</v>
      </c>
      <c r="O379" s="181" t="s">
        <v>1771</v>
      </c>
      <c r="P379" s="181" t="s">
        <v>940</v>
      </c>
      <c r="Q379" s="181" t="s">
        <v>419</v>
      </c>
      <c r="R379" s="188">
        <v>1.46</v>
      </c>
      <c r="AG379" s="181" t="s">
        <v>2175</v>
      </c>
    </row>
    <row r="380" spans="1:33" hidden="1">
      <c r="A380" s="240">
        <f t="shared" si="17"/>
        <v>216</v>
      </c>
      <c r="B380" s="181" t="s">
        <v>227</v>
      </c>
      <c r="C380" s="8">
        <v>6.86</v>
      </c>
      <c r="D380" s="1" t="s">
        <v>739</v>
      </c>
      <c r="E380"/>
      <c r="F380" s="188">
        <v>7</v>
      </c>
      <c r="G380" s="187" t="s">
        <v>835</v>
      </c>
      <c r="H380" s="181" t="s">
        <v>1938</v>
      </c>
      <c r="I380" s="8">
        <f>(C10)</f>
        <v>150</v>
      </c>
      <c r="J380" s="2" t="s">
        <v>835</v>
      </c>
      <c r="K380" s="8">
        <f>(F380*I380)</f>
        <v>1050</v>
      </c>
      <c r="R380" s="185" t="s">
        <v>1530</v>
      </c>
      <c r="AG380" s="181" t="s">
        <v>2175</v>
      </c>
    </row>
    <row r="381" spans="1:33" hidden="1">
      <c r="A381" s="240">
        <f t="shared" si="17"/>
        <v>217</v>
      </c>
      <c r="B381" s="181" t="s">
        <v>1772</v>
      </c>
      <c r="C381"/>
      <c r="D381" s="1" t="s">
        <v>940</v>
      </c>
      <c r="E381"/>
      <c r="F381" s="188">
        <v>7.1</v>
      </c>
      <c r="G381" s="187" t="s">
        <v>835</v>
      </c>
      <c r="H381" s="181" t="s">
        <v>1654</v>
      </c>
      <c r="I381" s="8">
        <f>(C11)</f>
        <v>135</v>
      </c>
      <c r="J381" s="2" t="s">
        <v>835</v>
      </c>
      <c r="K381" s="8">
        <f>(F381*I381)</f>
        <v>958.5</v>
      </c>
      <c r="O381" s="181" t="s">
        <v>1773</v>
      </c>
      <c r="R381" s="188">
        <f>SUM(R374:R379)</f>
        <v>378.61</v>
      </c>
      <c r="AG381" s="181" t="s">
        <v>2175</v>
      </c>
    </row>
    <row r="382" spans="1:33" hidden="1">
      <c r="A382" s="240">
        <f t="shared" si="17"/>
        <v>218</v>
      </c>
      <c r="B382" s="181" t="s">
        <v>225</v>
      </c>
      <c r="C382" s="8">
        <v>14.91</v>
      </c>
      <c r="D382" s="1" t="s">
        <v>739</v>
      </c>
      <c r="E382"/>
      <c r="F382" s="188">
        <v>7.1</v>
      </c>
      <c r="G382" s="187" t="s">
        <v>835</v>
      </c>
      <c r="H382" s="181" t="s">
        <v>1836</v>
      </c>
      <c r="I382" s="8">
        <f>(C12)</f>
        <v>95</v>
      </c>
      <c r="J382" s="2" t="s">
        <v>835</v>
      </c>
      <c r="K382" s="8">
        <f>(F382*I382)</f>
        <v>674.5</v>
      </c>
      <c r="R382" s="185" t="s">
        <v>1530</v>
      </c>
      <c r="AG382" s="181" t="s">
        <v>2175</v>
      </c>
    </row>
    <row r="383" spans="1:33" hidden="1">
      <c r="A383" s="240">
        <f t="shared" si="17"/>
        <v>219</v>
      </c>
      <c r="B383" s="181" t="s">
        <v>226</v>
      </c>
      <c r="C383" s="8">
        <v>17.579999999999998</v>
      </c>
      <c r="D383" s="1" t="s">
        <v>739</v>
      </c>
      <c r="E383"/>
      <c r="F383" s="188">
        <v>21.2</v>
      </c>
      <c r="G383" s="187" t="s">
        <v>835</v>
      </c>
      <c r="H383" s="181" t="s">
        <v>299</v>
      </c>
      <c r="I383" s="8">
        <f>(C13)</f>
        <v>85</v>
      </c>
      <c r="J383" s="2" t="s">
        <v>835</v>
      </c>
      <c r="K383" s="8">
        <f>(F383*I383)</f>
        <v>1802</v>
      </c>
      <c r="O383" s="181" t="s">
        <v>521</v>
      </c>
      <c r="R383" s="188">
        <f>(R381/100)</f>
        <v>3.79</v>
      </c>
      <c r="AG383" s="181" t="s">
        <v>2175</v>
      </c>
    </row>
    <row r="384" spans="1:33" hidden="1">
      <c r="A384" s="240">
        <f t="shared" ref="A384:A420" si="19">(A383+1)</f>
        <v>220</v>
      </c>
      <c r="B384" s="181" t="s">
        <v>227</v>
      </c>
      <c r="C384" s="8">
        <v>19.3</v>
      </c>
      <c r="D384" s="1" t="s">
        <v>739</v>
      </c>
      <c r="E384"/>
      <c r="G384" s="187" t="s">
        <v>419</v>
      </c>
      <c r="H384" s="181" t="s">
        <v>420</v>
      </c>
      <c r="I384" s="1" t="s">
        <v>940</v>
      </c>
      <c r="J384" s="2" t="s">
        <v>419</v>
      </c>
      <c r="K384" s="8">
        <v>0</v>
      </c>
      <c r="R384" s="185" t="s">
        <v>1980</v>
      </c>
      <c r="AG384" s="181" t="s">
        <v>2175</v>
      </c>
    </row>
    <row r="385" spans="1:33" hidden="1">
      <c r="A385" s="240">
        <f t="shared" si="19"/>
        <v>221</v>
      </c>
      <c r="B385" s="181" t="s">
        <v>1073</v>
      </c>
      <c r="C385"/>
      <c r="D385"/>
      <c r="E385"/>
      <c r="I385"/>
      <c r="J385" s="4"/>
      <c r="K385" s="5" t="s">
        <v>1530</v>
      </c>
      <c r="AG385" s="181" t="s">
        <v>300</v>
      </c>
    </row>
    <row r="386" spans="1:33" hidden="1">
      <c r="A386" s="240">
        <f t="shared" si="19"/>
        <v>222</v>
      </c>
      <c r="B386" s="181" t="s">
        <v>225</v>
      </c>
      <c r="C386" s="8">
        <v>15.87</v>
      </c>
      <c r="D386" s="1" t="s">
        <v>739</v>
      </c>
      <c r="E386"/>
      <c r="H386" s="181" t="s">
        <v>583</v>
      </c>
      <c r="I386"/>
      <c r="J386" s="4"/>
      <c r="K386" s="8" t="e">
        <f>SUM(K378:K384)</f>
        <v>#REF!</v>
      </c>
    </row>
    <row r="387" spans="1:33" hidden="1">
      <c r="A387" s="240">
        <f t="shared" si="19"/>
        <v>223</v>
      </c>
      <c r="B387" s="181" t="s">
        <v>226</v>
      </c>
      <c r="C387" s="8">
        <v>20.16</v>
      </c>
      <c r="D387" s="1" t="s">
        <v>739</v>
      </c>
      <c r="E387"/>
      <c r="I387"/>
      <c r="J387" s="4"/>
      <c r="K387" s="5" t="s">
        <v>1530</v>
      </c>
      <c r="N387" s="181" t="s">
        <v>643</v>
      </c>
      <c r="O387" s="181" t="s">
        <v>1074</v>
      </c>
    </row>
    <row r="388" spans="1:33" hidden="1">
      <c r="A388" s="240">
        <f t="shared" si="19"/>
        <v>224</v>
      </c>
      <c r="B388" s="181" t="s">
        <v>227</v>
      </c>
      <c r="C388" s="8">
        <v>22.31</v>
      </c>
      <c r="D388" s="1" t="s">
        <v>739</v>
      </c>
      <c r="E388"/>
      <c r="H388" s="181" t="s">
        <v>743</v>
      </c>
      <c r="I388"/>
      <c r="J388" s="4"/>
      <c r="K388" s="8" t="e">
        <f>(K386/10)</f>
        <v>#REF!</v>
      </c>
      <c r="O388" s="185" t="s">
        <v>1530</v>
      </c>
      <c r="AG388" s="181" t="s">
        <v>2175</v>
      </c>
    </row>
    <row r="389" spans="1:33" hidden="1">
      <c r="A389" s="240">
        <f t="shared" si="19"/>
        <v>225</v>
      </c>
      <c r="B389" s="181" t="s">
        <v>3046</v>
      </c>
      <c r="C389"/>
      <c r="D389" s="1" t="s">
        <v>940</v>
      </c>
      <c r="E389"/>
      <c r="I389"/>
      <c r="J389" s="4"/>
      <c r="K389" s="5" t="s">
        <v>1980</v>
      </c>
      <c r="M389" s="188">
        <v>7.0000000000000007E-2</v>
      </c>
      <c r="N389" s="181" t="s">
        <v>836</v>
      </c>
      <c r="O389" s="181" t="s">
        <v>1933</v>
      </c>
      <c r="P389" s="188">
        <f>(C84)</f>
        <v>773</v>
      </c>
      <c r="Q389" s="181" t="s">
        <v>836</v>
      </c>
      <c r="R389" s="188">
        <f>(M389*P389)</f>
        <v>54.11</v>
      </c>
      <c r="AG389" s="181" t="s">
        <v>2175</v>
      </c>
    </row>
    <row r="390" spans="1:33" hidden="1">
      <c r="A390" s="240">
        <f t="shared" si="19"/>
        <v>226</v>
      </c>
      <c r="B390" s="181" t="s">
        <v>1075</v>
      </c>
      <c r="C390" s="8">
        <v>26.4</v>
      </c>
      <c r="D390" s="1" t="s">
        <v>1714</v>
      </c>
      <c r="E390"/>
      <c r="I390"/>
      <c r="J390" s="4"/>
      <c r="K390"/>
      <c r="M390" s="188">
        <v>1.6</v>
      </c>
      <c r="N390" s="181" t="s">
        <v>835</v>
      </c>
      <c r="O390" s="181" t="s">
        <v>1654</v>
      </c>
      <c r="P390" s="188">
        <f>(C11)</f>
        <v>135</v>
      </c>
      <c r="Q390" s="181" t="s">
        <v>835</v>
      </c>
      <c r="R390" s="188">
        <f>(M390*P390)</f>
        <v>216</v>
      </c>
      <c r="AG390" s="181" t="s">
        <v>2175</v>
      </c>
    </row>
    <row r="391" spans="1:33" hidden="1">
      <c r="A391" s="240">
        <f t="shared" si="19"/>
        <v>227</v>
      </c>
      <c r="B391" s="181" t="s">
        <v>1076</v>
      </c>
      <c r="C391" s="8">
        <v>35.26</v>
      </c>
      <c r="D391" s="1" t="s">
        <v>1714</v>
      </c>
      <c r="E391"/>
      <c r="G391" s="187" t="s">
        <v>643</v>
      </c>
      <c r="H391" s="181" t="s">
        <v>2856</v>
      </c>
      <c r="I391"/>
      <c r="J391" s="4"/>
      <c r="K391"/>
      <c r="M391" s="188">
        <v>0.5</v>
      </c>
      <c r="N391" s="181" t="s">
        <v>835</v>
      </c>
      <c r="O391" s="181" t="s">
        <v>1836</v>
      </c>
      <c r="P391" s="188">
        <f>(C12)</f>
        <v>95</v>
      </c>
      <c r="Q391" s="181" t="s">
        <v>835</v>
      </c>
      <c r="R391" s="188">
        <f>(M391*P391)</f>
        <v>47.5</v>
      </c>
      <c r="AG391" s="181" t="s">
        <v>2175</v>
      </c>
    </row>
    <row r="392" spans="1:33" hidden="1">
      <c r="A392" s="240">
        <f t="shared" si="19"/>
        <v>228</v>
      </c>
      <c r="B392" s="181" t="s">
        <v>1077</v>
      </c>
      <c r="C392" s="8">
        <v>48.71</v>
      </c>
      <c r="D392" s="1" t="s">
        <v>1714</v>
      </c>
      <c r="E392"/>
      <c r="H392" s="185" t="s">
        <v>1530</v>
      </c>
      <c r="I392"/>
      <c r="J392" s="4"/>
      <c r="K392"/>
      <c r="M392" s="188">
        <v>2.7</v>
      </c>
      <c r="N392" s="181" t="s">
        <v>835</v>
      </c>
      <c r="O392" s="181" t="s">
        <v>299</v>
      </c>
      <c r="P392" s="188">
        <f>(C13)</f>
        <v>85</v>
      </c>
      <c r="Q392" s="181" t="s">
        <v>835</v>
      </c>
      <c r="R392" s="188">
        <f>(M392*P392)</f>
        <v>229.5</v>
      </c>
      <c r="AG392" s="181" t="s">
        <v>2175</v>
      </c>
    </row>
    <row r="393" spans="1:33" hidden="1">
      <c r="A393" s="240">
        <f t="shared" si="19"/>
        <v>229</v>
      </c>
      <c r="B393" s="181" t="s">
        <v>1078</v>
      </c>
      <c r="C393" s="8">
        <v>58.75</v>
      </c>
      <c r="D393" s="1" t="s">
        <v>1714</v>
      </c>
      <c r="E393"/>
      <c r="F393" s="188">
        <v>1.1000000000000001</v>
      </c>
      <c r="G393" s="187" t="s">
        <v>836</v>
      </c>
      <c r="H393" s="181" t="s">
        <v>1079</v>
      </c>
      <c r="I393" s="8" t="e">
        <f>(K388)</f>
        <v>#REF!</v>
      </c>
      <c r="J393" s="2" t="s">
        <v>835</v>
      </c>
      <c r="K393" s="8" t="e">
        <f>(F393*I393)</f>
        <v>#REF!</v>
      </c>
      <c r="N393" s="181" t="s">
        <v>419</v>
      </c>
      <c r="O393" s="181" t="s">
        <v>1771</v>
      </c>
      <c r="P393" s="181" t="s">
        <v>940</v>
      </c>
      <c r="Q393" s="181" t="s">
        <v>419</v>
      </c>
      <c r="R393" s="188">
        <v>2.09</v>
      </c>
      <c r="AG393" s="181" t="s">
        <v>2175</v>
      </c>
    </row>
    <row r="394" spans="1:33" hidden="1">
      <c r="A394" s="240">
        <f t="shared" si="19"/>
        <v>230</v>
      </c>
      <c r="B394" s="181" t="s">
        <v>1080</v>
      </c>
      <c r="C394" s="8">
        <v>70.2</v>
      </c>
      <c r="D394" s="1" t="s">
        <v>1714</v>
      </c>
      <c r="E394"/>
      <c r="F394" s="188">
        <v>1</v>
      </c>
      <c r="G394" s="187" t="s">
        <v>739</v>
      </c>
      <c r="H394" s="181" t="s">
        <v>1938</v>
      </c>
      <c r="I394" s="8">
        <f>(C10)</f>
        <v>150</v>
      </c>
      <c r="J394" s="2" t="s">
        <v>835</v>
      </c>
      <c r="K394" s="8">
        <f>(F394*I394)</f>
        <v>150</v>
      </c>
      <c r="R394" s="185" t="s">
        <v>1530</v>
      </c>
      <c r="AG394" s="181" t="s">
        <v>2175</v>
      </c>
    </row>
    <row r="395" spans="1:33" hidden="1">
      <c r="A395" s="240">
        <f t="shared" si="19"/>
        <v>231</v>
      </c>
      <c r="B395" s="181" t="s">
        <v>225</v>
      </c>
      <c r="C395" s="8">
        <v>91.85</v>
      </c>
      <c r="D395" s="1" t="s">
        <v>1714</v>
      </c>
      <c r="E395"/>
      <c r="G395" s="187" t="s">
        <v>419</v>
      </c>
      <c r="H395" s="181" t="s">
        <v>420</v>
      </c>
      <c r="I395" s="1" t="s">
        <v>940</v>
      </c>
      <c r="J395" s="2" t="s">
        <v>419</v>
      </c>
      <c r="K395" s="8">
        <v>0</v>
      </c>
      <c r="O395" s="181" t="s">
        <v>1773</v>
      </c>
      <c r="R395" s="188">
        <f>SUM(R388:R393)</f>
        <v>549.20000000000005</v>
      </c>
      <c r="AG395" s="181" t="s">
        <v>2175</v>
      </c>
    </row>
    <row r="396" spans="1:33" hidden="1">
      <c r="A396" s="240">
        <f t="shared" si="19"/>
        <v>232</v>
      </c>
      <c r="B396" s="181" t="s">
        <v>1081</v>
      </c>
      <c r="C396" s="8">
        <v>128</v>
      </c>
      <c r="D396" s="1" t="s">
        <v>1714</v>
      </c>
      <c r="E396"/>
      <c r="I396"/>
      <c r="J396" s="4"/>
      <c r="K396" s="5" t="s">
        <v>1530</v>
      </c>
      <c r="R396" s="185" t="s">
        <v>1530</v>
      </c>
      <c r="AG396" s="181" t="s">
        <v>2175</v>
      </c>
    </row>
    <row r="397" spans="1:33" hidden="1">
      <c r="A397" s="240">
        <f t="shared" si="19"/>
        <v>233</v>
      </c>
      <c r="B397" s="181" t="s">
        <v>1989</v>
      </c>
      <c r="C397"/>
      <c r="D397"/>
      <c r="E397"/>
      <c r="H397" s="181" t="s">
        <v>411</v>
      </c>
      <c r="I397"/>
      <c r="J397" s="4"/>
      <c r="K397" s="8" t="e">
        <f>SUM(K393:K395)</f>
        <v>#REF!</v>
      </c>
      <c r="O397" s="181" t="s">
        <v>521</v>
      </c>
      <c r="R397" s="188">
        <f>(R395/100)</f>
        <v>5.49</v>
      </c>
      <c r="AG397" s="181" t="s">
        <v>2175</v>
      </c>
    </row>
    <row r="398" spans="1:33" hidden="1">
      <c r="A398" s="240">
        <f t="shared" si="19"/>
        <v>234</v>
      </c>
      <c r="B398" s="181" t="s">
        <v>1075</v>
      </c>
      <c r="C398" s="8">
        <v>9</v>
      </c>
      <c r="D398" s="1" t="s">
        <v>835</v>
      </c>
      <c r="E398"/>
      <c r="I398"/>
      <c r="J398" s="4"/>
      <c r="K398" s="5" t="s">
        <v>1530</v>
      </c>
      <c r="R398" s="185" t="s">
        <v>1980</v>
      </c>
      <c r="AG398" s="181" t="s">
        <v>2175</v>
      </c>
    </row>
    <row r="399" spans="1:33" hidden="1">
      <c r="A399" s="240">
        <f t="shared" si="19"/>
        <v>235</v>
      </c>
      <c r="B399" s="181" t="s">
        <v>1076</v>
      </c>
      <c r="C399" s="8">
        <v>11</v>
      </c>
      <c r="D399" s="1" t="s">
        <v>835</v>
      </c>
      <c r="E399"/>
      <c r="H399" s="181" t="s">
        <v>521</v>
      </c>
      <c r="I399"/>
      <c r="J399" s="4"/>
      <c r="K399" s="8" t="e">
        <f>(K397/10)</f>
        <v>#REF!</v>
      </c>
      <c r="N399" s="181" t="s">
        <v>643</v>
      </c>
      <c r="O399" s="181" t="s">
        <v>327</v>
      </c>
      <c r="AG399" s="181" t="s">
        <v>2175</v>
      </c>
    </row>
    <row r="400" spans="1:33" hidden="1">
      <c r="A400" s="240">
        <f t="shared" si="19"/>
        <v>236</v>
      </c>
      <c r="B400" s="181" t="s">
        <v>1077</v>
      </c>
      <c r="C400" s="8">
        <v>18</v>
      </c>
      <c r="D400" s="1" t="s">
        <v>835</v>
      </c>
      <c r="E400"/>
      <c r="I400"/>
      <c r="J400" s="4"/>
      <c r="K400" s="5" t="s">
        <v>1980</v>
      </c>
      <c r="O400" s="185" t="s">
        <v>1530</v>
      </c>
      <c r="AG400" s="181" t="s">
        <v>2175</v>
      </c>
    </row>
    <row r="401" spans="1:33" hidden="1">
      <c r="A401" s="240">
        <f t="shared" si="19"/>
        <v>237</v>
      </c>
      <c r="B401" s="181" t="s">
        <v>1078</v>
      </c>
      <c r="C401" s="8">
        <v>24.6</v>
      </c>
      <c r="D401" s="1" t="s">
        <v>835</v>
      </c>
      <c r="E401"/>
      <c r="H401" s="181" t="s">
        <v>361</v>
      </c>
      <c r="I401"/>
      <c r="J401" s="4"/>
      <c r="K401" s="8" t="e">
        <f>(K399+C19/10*F393)</f>
        <v>#REF!</v>
      </c>
      <c r="M401" s="188">
        <v>10</v>
      </c>
      <c r="N401" s="181" t="s">
        <v>578</v>
      </c>
      <c r="O401" s="181" t="s">
        <v>1074</v>
      </c>
      <c r="P401" s="188">
        <f>(R397)</f>
        <v>5.49</v>
      </c>
      <c r="Q401" s="181" t="s">
        <v>578</v>
      </c>
      <c r="R401" s="188">
        <f>(M401*P401)</f>
        <v>54.9</v>
      </c>
      <c r="AG401" s="181" t="s">
        <v>2175</v>
      </c>
    </row>
    <row r="402" spans="1:33" hidden="1">
      <c r="A402" s="240">
        <f t="shared" si="19"/>
        <v>238</v>
      </c>
      <c r="B402" s="181" t="s">
        <v>1080</v>
      </c>
      <c r="C402" s="8">
        <v>31.46</v>
      </c>
      <c r="D402" s="1" t="s">
        <v>835</v>
      </c>
      <c r="E402"/>
      <c r="H402" s="181" t="s">
        <v>363</v>
      </c>
      <c r="I402"/>
      <c r="J402" s="4"/>
      <c r="K402" s="8" t="e">
        <f>(K401+C20/10*F393)</f>
        <v>#REF!</v>
      </c>
      <c r="M402" s="188">
        <v>10</v>
      </c>
      <c r="N402" s="181" t="s">
        <v>578</v>
      </c>
      <c r="O402" s="181" t="s">
        <v>1474</v>
      </c>
      <c r="P402" s="188">
        <f>(R397/2)</f>
        <v>2.75</v>
      </c>
      <c r="Q402" s="181" t="s">
        <v>578</v>
      </c>
      <c r="R402" s="188">
        <f>(M402*P402)</f>
        <v>27.5</v>
      </c>
      <c r="AG402" s="181" t="s">
        <v>2175</v>
      </c>
    </row>
    <row r="403" spans="1:33" hidden="1">
      <c r="A403" s="240">
        <f t="shared" si="19"/>
        <v>239</v>
      </c>
      <c r="B403" s="181" t="s">
        <v>225</v>
      </c>
      <c r="C403" s="8">
        <v>53.2</v>
      </c>
      <c r="D403" s="1" t="s">
        <v>835</v>
      </c>
      <c r="E403"/>
      <c r="H403" s="181" t="s">
        <v>2149</v>
      </c>
      <c r="I403"/>
      <c r="J403" s="4"/>
      <c r="K403" s="8" t="e">
        <f>(K402+C21/10*F393)</f>
        <v>#REF!</v>
      </c>
      <c r="O403" s="181" t="s">
        <v>1475</v>
      </c>
      <c r="R403" s="185" t="s">
        <v>1530</v>
      </c>
      <c r="AG403" s="181" t="s">
        <v>2175</v>
      </c>
    </row>
    <row r="404" spans="1:33" hidden="1">
      <c r="A404" s="240">
        <f t="shared" si="19"/>
        <v>240</v>
      </c>
      <c r="B404" s="181" t="s">
        <v>1081</v>
      </c>
      <c r="C404" s="8">
        <v>76.36</v>
      </c>
      <c r="D404" s="1" t="s">
        <v>835</v>
      </c>
      <c r="E404"/>
      <c r="H404" s="181" t="s">
        <v>355</v>
      </c>
      <c r="I404"/>
      <c r="J404" s="4"/>
      <c r="K404" s="8" t="e">
        <f>(K403+C21/10*F393)</f>
        <v>#REF!</v>
      </c>
      <c r="R404" s="188">
        <f>SUM(R401:R402)</f>
        <v>82.4</v>
      </c>
      <c r="AG404" s="181" t="s">
        <v>2175</v>
      </c>
    </row>
    <row r="405" spans="1:33" hidden="1">
      <c r="A405" s="240">
        <f t="shared" si="19"/>
        <v>241</v>
      </c>
      <c r="B405" s="181" t="s">
        <v>1476</v>
      </c>
      <c r="C405"/>
      <c r="D405" s="1" t="s">
        <v>940</v>
      </c>
      <c r="E405"/>
      <c r="H405" s="181" t="s">
        <v>1477</v>
      </c>
      <c r="I405"/>
      <c r="J405" s="4"/>
      <c r="K405" s="8" t="e">
        <f>(K404+C21/10*F393)</f>
        <v>#REF!</v>
      </c>
      <c r="O405" s="181" t="s">
        <v>411</v>
      </c>
      <c r="R405" s="185" t="s">
        <v>1530</v>
      </c>
      <c r="AG405" s="181" t="s">
        <v>2175</v>
      </c>
    </row>
    <row r="406" spans="1:33" hidden="1">
      <c r="A406" s="240">
        <f t="shared" si="19"/>
        <v>242</v>
      </c>
      <c r="B406" s="181" t="s">
        <v>1075</v>
      </c>
      <c r="C406" s="8">
        <v>5.5</v>
      </c>
      <c r="D406" s="1" t="s">
        <v>835</v>
      </c>
      <c r="E406"/>
      <c r="F406" s="242">
        <v>11</v>
      </c>
      <c r="G406" s="187" t="s">
        <v>2167</v>
      </c>
      <c r="H406" s="181" t="s">
        <v>3045</v>
      </c>
      <c r="I406"/>
      <c r="J406" s="4"/>
      <c r="K406"/>
      <c r="R406" s="188">
        <f>(R404/10)</f>
        <v>8.24</v>
      </c>
      <c r="AG406" s="181" t="s">
        <v>2175</v>
      </c>
    </row>
    <row r="407" spans="1:33" hidden="1">
      <c r="A407" s="240">
        <f t="shared" si="19"/>
        <v>243</v>
      </c>
      <c r="B407" s="181" t="s">
        <v>1076</v>
      </c>
      <c r="C407" s="8">
        <v>8</v>
      </c>
      <c r="D407" s="1" t="s">
        <v>835</v>
      </c>
      <c r="E407"/>
      <c r="H407" s="188" t="str">
        <f>H308</f>
        <v>Bricks of size 22x11x7 cm</v>
      </c>
      <c r="I407"/>
      <c r="J407" s="4"/>
      <c r="K407"/>
      <c r="O407" s="181" t="s">
        <v>521</v>
      </c>
      <c r="R407" s="185" t="s">
        <v>1980</v>
      </c>
      <c r="AG407" s="181" t="s">
        <v>2175</v>
      </c>
    </row>
    <row r="408" spans="1:33" hidden="1">
      <c r="A408" s="240">
        <f t="shared" si="19"/>
        <v>244</v>
      </c>
      <c r="B408" s="181" t="s">
        <v>1077</v>
      </c>
      <c r="C408" s="8">
        <v>10.4</v>
      </c>
      <c r="D408" s="1" t="s">
        <v>835</v>
      </c>
      <c r="E408"/>
      <c r="H408" s="185" t="s">
        <v>1530</v>
      </c>
      <c r="I408"/>
      <c r="J408" s="4"/>
      <c r="K408"/>
      <c r="AG408" s="181" t="s">
        <v>2175</v>
      </c>
    </row>
    <row r="409" spans="1:33" hidden="1">
      <c r="A409" s="240">
        <f t="shared" si="19"/>
        <v>245</v>
      </c>
      <c r="B409" s="181" t="s">
        <v>1078</v>
      </c>
      <c r="C409" s="8">
        <v>22.06</v>
      </c>
      <c r="D409" s="1" t="s">
        <v>835</v>
      </c>
      <c r="E409"/>
      <c r="F409" s="188">
        <f>F310</f>
        <v>4800</v>
      </c>
      <c r="G409" s="187" t="s">
        <v>1368</v>
      </c>
      <c r="H409" s="188" t="str">
        <f>H308</f>
        <v>Bricks of size 22x11x7 cm</v>
      </c>
      <c r="I409" s="8" t="e">
        <f>(C80)</f>
        <v>#REF!</v>
      </c>
      <c r="J409" s="2" t="s">
        <v>1478</v>
      </c>
      <c r="K409" s="8" t="e">
        <f>(F409*I409)/1000</f>
        <v>#REF!</v>
      </c>
      <c r="N409" s="181" t="s">
        <v>2167</v>
      </c>
      <c r="O409" s="181" t="s">
        <v>1479</v>
      </c>
      <c r="AG409" s="181" t="s">
        <v>2175</v>
      </c>
    </row>
    <row r="410" spans="1:33" hidden="1">
      <c r="A410" s="240">
        <f t="shared" si="19"/>
        <v>246</v>
      </c>
      <c r="B410" s="181" t="s">
        <v>1080</v>
      </c>
      <c r="C410" s="8">
        <v>27.91</v>
      </c>
      <c r="D410" s="1" t="s">
        <v>835</v>
      </c>
      <c r="E410"/>
      <c r="F410" s="188">
        <v>1.59</v>
      </c>
      <c r="G410" s="187" t="s">
        <v>836</v>
      </c>
      <c r="H410" s="181" t="s">
        <v>1258</v>
      </c>
      <c r="I410" s="8" t="e">
        <f>(K40)</f>
        <v>#REF!</v>
      </c>
      <c r="J410" s="2" t="s">
        <v>836</v>
      </c>
      <c r="K410" s="8" t="e">
        <f>(F410*I410)</f>
        <v>#REF!</v>
      </c>
      <c r="O410" s="181" t="s">
        <v>1480</v>
      </c>
      <c r="AG410" s="181" t="s">
        <v>2175</v>
      </c>
    </row>
    <row r="411" spans="1:33" hidden="1">
      <c r="A411" s="240">
        <f t="shared" si="19"/>
        <v>247</v>
      </c>
      <c r="B411" s="181" t="s">
        <v>225</v>
      </c>
      <c r="C411" s="8">
        <v>49.42</v>
      </c>
      <c r="D411" s="1" t="s">
        <v>835</v>
      </c>
      <c r="E411"/>
      <c r="F411" s="188">
        <v>7</v>
      </c>
      <c r="G411" s="187" t="s">
        <v>835</v>
      </c>
      <c r="H411" s="181" t="s">
        <v>1938</v>
      </c>
      <c r="I411" s="8">
        <f>(C10)</f>
        <v>150</v>
      </c>
      <c r="J411" s="2" t="s">
        <v>835</v>
      </c>
      <c r="K411" s="8">
        <f>(F411*I411)</f>
        <v>1050</v>
      </c>
      <c r="O411" s="185" t="s">
        <v>1530</v>
      </c>
      <c r="AG411" s="181" t="s">
        <v>2175</v>
      </c>
    </row>
    <row r="412" spans="1:33" hidden="1">
      <c r="A412" s="240">
        <f t="shared" si="19"/>
        <v>248</v>
      </c>
      <c r="B412" s="181" t="s">
        <v>1081</v>
      </c>
      <c r="C412" s="8">
        <v>86.94</v>
      </c>
      <c r="D412" s="1" t="s">
        <v>835</v>
      </c>
      <c r="E412"/>
      <c r="F412" s="188">
        <v>7.1</v>
      </c>
      <c r="G412" s="187" t="s">
        <v>835</v>
      </c>
      <c r="H412" s="181" t="s">
        <v>1654</v>
      </c>
      <c r="I412" s="8">
        <f>(C11)</f>
        <v>135</v>
      </c>
      <c r="J412" s="2" t="s">
        <v>835</v>
      </c>
      <c r="K412" s="8">
        <f>(F412*I412)</f>
        <v>958.5</v>
      </c>
      <c r="M412" s="188">
        <v>10</v>
      </c>
      <c r="N412" s="181" t="s">
        <v>578</v>
      </c>
      <c r="O412" s="181" t="s">
        <v>1769</v>
      </c>
      <c r="P412" s="188">
        <f>(R383)</f>
        <v>3.79</v>
      </c>
      <c r="Q412" s="181" t="s">
        <v>578</v>
      </c>
      <c r="R412" s="188">
        <f>(M412*P412)</f>
        <v>37.9</v>
      </c>
      <c r="AG412" s="181" t="s">
        <v>2175</v>
      </c>
    </row>
    <row r="413" spans="1:33" hidden="1">
      <c r="A413" s="240">
        <f t="shared" si="19"/>
        <v>249</v>
      </c>
      <c r="B413" s="181" t="s">
        <v>1481</v>
      </c>
      <c r="C413"/>
      <c r="D413" s="1" t="s">
        <v>940</v>
      </c>
      <c r="E413"/>
      <c r="F413" s="188">
        <v>7.1</v>
      </c>
      <c r="G413" s="187" t="s">
        <v>835</v>
      </c>
      <c r="H413" s="181" t="s">
        <v>1836</v>
      </c>
      <c r="I413" s="8">
        <f>(C12)</f>
        <v>95</v>
      </c>
      <c r="J413" s="2" t="s">
        <v>835</v>
      </c>
      <c r="K413" s="8">
        <f>(F413*I413)</f>
        <v>674.5</v>
      </c>
      <c r="M413" s="188">
        <v>10</v>
      </c>
      <c r="N413" s="181" t="s">
        <v>578</v>
      </c>
      <c r="O413" s="181" t="s">
        <v>327</v>
      </c>
      <c r="P413" s="188">
        <f>(R406)</f>
        <v>8.24</v>
      </c>
      <c r="Q413" s="181" t="s">
        <v>578</v>
      </c>
      <c r="R413" s="188">
        <f>(M413*P413)</f>
        <v>82.4</v>
      </c>
      <c r="AG413" s="181" t="s">
        <v>2175</v>
      </c>
    </row>
    <row r="414" spans="1:33" hidden="1">
      <c r="A414" s="240">
        <f t="shared" si="19"/>
        <v>250</v>
      </c>
      <c r="B414" s="181" t="s">
        <v>1075</v>
      </c>
      <c r="C414" s="8">
        <v>5.75</v>
      </c>
      <c r="D414" s="1" t="s">
        <v>835</v>
      </c>
      <c r="E414"/>
      <c r="F414" s="188">
        <v>21.2</v>
      </c>
      <c r="G414" s="187" t="s">
        <v>835</v>
      </c>
      <c r="H414" s="181" t="s">
        <v>299</v>
      </c>
      <c r="I414" s="8">
        <f>(C13)</f>
        <v>85</v>
      </c>
      <c r="J414" s="2" t="s">
        <v>835</v>
      </c>
      <c r="K414" s="8">
        <f>(F414*I414)</f>
        <v>1802</v>
      </c>
      <c r="O414" s="181" t="s">
        <v>940</v>
      </c>
      <c r="R414" s="185" t="s">
        <v>1530</v>
      </c>
      <c r="AG414" s="181" t="s">
        <v>2175</v>
      </c>
    </row>
    <row r="415" spans="1:33" hidden="1">
      <c r="A415" s="240">
        <f t="shared" si="19"/>
        <v>251</v>
      </c>
      <c r="B415" s="181" t="s">
        <v>1076</v>
      </c>
      <c r="C415" s="8">
        <v>8.5</v>
      </c>
      <c r="D415" s="1" t="s">
        <v>835</v>
      </c>
      <c r="E415"/>
      <c r="G415" s="187" t="s">
        <v>419</v>
      </c>
      <c r="H415" s="181" t="s">
        <v>420</v>
      </c>
      <c r="I415" s="1" t="s">
        <v>940</v>
      </c>
      <c r="J415" s="2" t="s">
        <v>419</v>
      </c>
      <c r="K415" s="8">
        <v>0</v>
      </c>
      <c r="R415" s="188">
        <f>SUM(R412:R413)</f>
        <v>120.3</v>
      </c>
      <c r="AG415" s="181" t="s">
        <v>2175</v>
      </c>
    </row>
    <row r="416" spans="1:33" hidden="1">
      <c r="A416" s="240">
        <f t="shared" si="19"/>
        <v>252</v>
      </c>
      <c r="B416" s="181" t="s">
        <v>1077</v>
      </c>
      <c r="C416" s="8">
        <v>14</v>
      </c>
      <c r="D416" s="1" t="s">
        <v>835</v>
      </c>
      <c r="E416"/>
      <c r="I416"/>
      <c r="J416" s="4"/>
      <c r="K416" s="5" t="s">
        <v>1530</v>
      </c>
      <c r="O416" s="181" t="s">
        <v>411</v>
      </c>
      <c r="R416" s="185" t="s">
        <v>1530</v>
      </c>
      <c r="AG416" s="181" t="s">
        <v>2175</v>
      </c>
    </row>
    <row r="417" spans="1:33" hidden="1">
      <c r="A417" s="240">
        <f t="shared" si="19"/>
        <v>253</v>
      </c>
      <c r="B417" s="181" t="s">
        <v>1078</v>
      </c>
      <c r="C417" s="8">
        <v>30.11</v>
      </c>
      <c r="D417" s="1" t="s">
        <v>835</v>
      </c>
      <c r="E417"/>
      <c r="H417" s="181" t="s">
        <v>583</v>
      </c>
      <c r="I417"/>
      <c r="J417" s="4"/>
      <c r="K417" s="8" t="e">
        <f>SUM(K409:K415)</f>
        <v>#REF!</v>
      </c>
      <c r="R417" s="188">
        <f>(R415/10)</f>
        <v>12.03</v>
      </c>
      <c r="AG417" s="181" t="s">
        <v>2175</v>
      </c>
    </row>
    <row r="418" spans="1:33" hidden="1">
      <c r="A418" s="240">
        <f t="shared" si="19"/>
        <v>254</v>
      </c>
      <c r="B418" s="181" t="s">
        <v>1080</v>
      </c>
      <c r="C418" s="8">
        <v>47.25</v>
      </c>
      <c r="D418" s="1" t="s">
        <v>835</v>
      </c>
      <c r="E418"/>
      <c r="I418"/>
      <c r="J418" s="4"/>
      <c r="K418" s="5" t="s">
        <v>1530</v>
      </c>
      <c r="O418" s="181" t="s">
        <v>521</v>
      </c>
      <c r="R418" s="185" t="s">
        <v>1980</v>
      </c>
      <c r="AG418" s="181" t="s">
        <v>2175</v>
      </c>
    </row>
    <row r="419" spans="1:33" hidden="1">
      <c r="A419" s="240">
        <f t="shared" si="19"/>
        <v>255</v>
      </c>
      <c r="B419" s="181" t="s">
        <v>225</v>
      </c>
      <c r="C419" s="8">
        <v>71.16</v>
      </c>
      <c r="D419" s="1" t="s">
        <v>835</v>
      </c>
      <c r="E419"/>
      <c r="H419" s="181" t="s">
        <v>743</v>
      </c>
      <c r="I419"/>
      <c r="J419" s="4"/>
      <c r="K419" s="8" t="e">
        <f>(K417/10)</f>
        <v>#REF!</v>
      </c>
      <c r="AG419" s="181" t="s">
        <v>2175</v>
      </c>
    </row>
    <row r="420" spans="1:33" hidden="1">
      <c r="A420" s="240">
        <f t="shared" si="19"/>
        <v>256</v>
      </c>
      <c r="B420" s="181" t="s">
        <v>1081</v>
      </c>
      <c r="C420" s="8">
        <v>125.84</v>
      </c>
      <c r="D420" s="1" t="s">
        <v>835</v>
      </c>
      <c r="E420"/>
      <c r="I420"/>
      <c r="J420" s="4"/>
      <c r="K420" s="5" t="s">
        <v>1980</v>
      </c>
      <c r="AG420" s="181" t="s">
        <v>2175</v>
      </c>
    </row>
    <row r="421" spans="1:33" hidden="1">
      <c r="C421"/>
      <c r="D421"/>
      <c r="E421"/>
      <c r="F421" s="181" t="s">
        <v>234</v>
      </c>
      <c r="I421"/>
      <c r="J421" s="4"/>
      <c r="K421"/>
    </row>
    <row r="422" spans="1:33" hidden="1">
      <c r="A422" s="240">
        <f>(A420+1)</f>
        <v>257</v>
      </c>
      <c r="B422" s="181" t="s">
        <v>1482</v>
      </c>
      <c r="C422"/>
      <c r="D422" s="1" t="s">
        <v>940</v>
      </c>
      <c r="E422"/>
      <c r="I422"/>
      <c r="J422" s="4"/>
      <c r="K422"/>
      <c r="O422" s="236" t="s">
        <v>1483</v>
      </c>
      <c r="AG422" s="181" t="s">
        <v>2175</v>
      </c>
    </row>
    <row r="423" spans="1:33" hidden="1">
      <c r="A423" s="240">
        <f t="shared" ref="A423:A455" si="20">(A422+1)</f>
        <v>258</v>
      </c>
      <c r="B423" s="181" t="s">
        <v>1075</v>
      </c>
      <c r="C423" s="8">
        <v>17</v>
      </c>
      <c r="D423" s="1" t="s">
        <v>835</v>
      </c>
      <c r="E423"/>
      <c r="G423" s="187" t="s">
        <v>1484</v>
      </c>
      <c r="H423" s="181" t="s">
        <v>400</v>
      </c>
      <c r="I423"/>
      <c r="J423" s="4"/>
      <c r="K423"/>
      <c r="O423" s="185" t="s">
        <v>1530</v>
      </c>
      <c r="AG423" s="181" t="s">
        <v>2175</v>
      </c>
    </row>
    <row r="424" spans="1:33" hidden="1">
      <c r="A424" s="240">
        <f t="shared" si="20"/>
        <v>259</v>
      </c>
      <c r="B424" s="181" t="s">
        <v>1076</v>
      </c>
      <c r="C424" s="8">
        <v>23.4</v>
      </c>
      <c r="D424" s="1" t="s">
        <v>835</v>
      </c>
      <c r="E424"/>
      <c r="H424" s="185" t="s">
        <v>1530</v>
      </c>
      <c r="I424"/>
      <c r="J424" s="4"/>
      <c r="K424"/>
      <c r="N424" s="181" t="s">
        <v>2167</v>
      </c>
      <c r="O424" s="181" t="s">
        <v>1974</v>
      </c>
      <c r="AG424" s="181" t="s">
        <v>2175</v>
      </c>
    </row>
    <row r="425" spans="1:33" hidden="1">
      <c r="A425" s="240">
        <f t="shared" si="20"/>
        <v>260</v>
      </c>
      <c r="B425" s="181" t="s">
        <v>1077</v>
      </c>
      <c r="C425" s="8">
        <v>33</v>
      </c>
      <c r="D425" s="1" t="s">
        <v>835</v>
      </c>
      <c r="E425"/>
      <c r="F425" s="188">
        <v>0.7</v>
      </c>
      <c r="G425" s="187" t="s">
        <v>836</v>
      </c>
      <c r="H425" s="181" t="s">
        <v>2195</v>
      </c>
      <c r="I425" s="8" t="e">
        <f>(K419)</f>
        <v>#REF!</v>
      </c>
      <c r="J425" s="2" t="s">
        <v>835</v>
      </c>
      <c r="K425" s="8" t="e">
        <f>(F425*I425)</f>
        <v>#REF!</v>
      </c>
      <c r="O425" s="181" t="s">
        <v>1975</v>
      </c>
      <c r="AG425" s="181" t="s">
        <v>2175</v>
      </c>
    </row>
    <row r="426" spans="1:33" hidden="1">
      <c r="A426" s="240">
        <f t="shared" si="20"/>
        <v>261</v>
      </c>
      <c r="B426" s="181" t="s">
        <v>1078</v>
      </c>
      <c r="C426" s="8">
        <v>34.22</v>
      </c>
      <c r="D426" s="1" t="s">
        <v>835</v>
      </c>
      <c r="E426"/>
      <c r="F426" s="188">
        <v>1</v>
      </c>
      <c r="G426" s="187" t="s">
        <v>739</v>
      </c>
      <c r="H426" s="181" t="s">
        <v>1938</v>
      </c>
      <c r="I426" s="8">
        <f>(C10)</f>
        <v>150</v>
      </c>
      <c r="J426" s="2" t="s">
        <v>835</v>
      </c>
      <c r="K426" s="8">
        <f>(F426*I426)</f>
        <v>150</v>
      </c>
      <c r="O426" s="181" t="s">
        <v>151</v>
      </c>
      <c r="AG426" s="181" t="s">
        <v>2175</v>
      </c>
    </row>
    <row r="427" spans="1:33" hidden="1">
      <c r="A427" s="240">
        <f t="shared" si="20"/>
        <v>262</v>
      </c>
      <c r="B427" s="181" t="s">
        <v>1080</v>
      </c>
      <c r="C427" s="8">
        <v>75.28</v>
      </c>
      <c r="D427" s="1" t="s">
        <v>835</v>
      </c>
      <c r="E427"/>
      <c r="G427" s="187" t="s">
        <v>419</v>
      </c>
      <c r="H427" s="181" t="s">
        <v>420</v>
      </c>
      <c r="I427" s="1" t="s">
        <v>940</v>
      </c>
      <c r="J427" s="2" t="s">
        <v>419</v>
      </c>
      <c r="K427" s="8">
        <v>0</v>
      </c>
      <c r="O427" s="185" t="s">
        <v>1530</v>
      </c>
      <c r="AG427" s="181" t="s">
        <v>2175</v>
      </c>
    </row>
    <row r="428" spans="1:33" hidden="1">
      <c r="A428" s="240">
        <f t="shared" si="20"/>
        <v>263</v>
      </c>
      <c r="B428" s="181" t="s">
        <v>225</v>
      </c>
      <c r="C428" s="8">
        <v>92.66</v>
      </c>
      <c r="D428" s="1" t="s">
        <v>835</v>
      </c>
      <c r="E428"/>
      <c r="I428"/>
      <c r="J428" s="4"/>
      <c r="K428" s="5" t="s">
        <v>1530</v>
      </c>
      <c r="N428" s="181" t="s">
        <v>152</v>
      </c>
      <c r="O428" s="236" t="s">
        <v>153</v>
      </c>
      <c r="AG428" s="181" t="s">
        <v>2175</v>
      </c>
    </row>
    <row r="429" spans="1:33" hidden="1">
      <c r="A429" s="240">
        <f t="shared" si="20"/>
        <v>264</v>
      </c>
      <c r="B429" s="181" t="s">
        <v>1081</v>
      </c>
      <c r="C429" s="8">
        <v>141.86000000000001</v>
      </c>
      <c r="D429" s="1" t="s">
        <v>835</v>
      </c>
      <c r="E429"/>
      <c r="H429" s="181" t="s">
        <v>411</v>
      </c>
      <c r="I429"/>
      <c r="J429" s="4"/>
      <c r="K429" s="8" t="e">
        <f>SUM(K425:K427)</f>
        <v>#REF!</v>
      </c>
      <c r="O429" s="185" t="s">
        <v>1530</v>
      </c>
      <c r="AG429" s="181" t="s">
        <v>2175</v>
      </c>
    </row>
    <row r="430" spans="1:33" hidden="1">
      <c r="A430" s="240">
        <f t="shared" si="20"/>
        <v>265</v>
      </c>
      <c r="B430" s="181" t="s">
        <v>154</v>
      </c>
      <c r="C430"/>
      <c r="D430" s="1" t="s">
        <v>940</v>
      </c>
      <c r="E430"/>
      <c r="I430"/>
      <c r="J430" s="4"/>
      <c r="K430" s="5" t="s">
        <v>1530</v>
      </c>
      <c r="M430" s="188">
        <v>8.1</v>
      </c>
      <c r="N430" s="181" t="s">
        <v>836</v>
      </c>
      <c r="O430" s="181" t="s">
        <v>586</v>
      </c>
      <c r="P430" s="188">
        <f>(C61)*2</f>
        <v>50</v>
      </c>
      <c r="Q430" s="181" t="s">
        <v>836</v>
      </c>
      <c r="R430" s="188">
        <f>(M430*P430)</f>
        <v>405</v>
      </c>
      <c r="AG430" s="181" t="s">
        <v>2175</v>
      </c>
    </row>
    <row r="431" spans="1:33" hidden="1">
      <c r="A431" s="240">
        <f t="shared" si="20"/>
        <v>266</v>
      </c>
      <c r="B431" s="181" t="s">
        <v>1075</v>
      </c>
      <c r="C431" s="8">
        <v>1.8</v>
      </c>
      <c r="D431" s="1" t="s">
        <v>835</v>
      </c>
      <c r="E431"/>
      <c r="H431" s="181" t="s">
        <v>521</v>
      </c>
      <c r="I431"/>
      <c r="J431" s="4"/>
      <c r="K431" s="8" t="e">
        <f>(K429/10)</f>
        <v>#REF!</v>
      </c>
      <c r="M431" s="188">
        <v>8.1</v>
      </c>
      <c r="N431" s="181" t="s">
        <v>836</v>
      </c>
      <c r="O431" s="181" t="s">
        <v>2076</v>
      </c>
      <c r="P431" s="188">
        <f>(C26)</f>
        <v>8.8000000000000007</v>
      </c>
      <c r="Q431" s="181" t="s">
        <v>836</v>
      </c>
      <c r="R431" s="188">
        <f>(M431*P431)</f>
        <v>71.28</v>
      </c>
      <c r="AG431" s="181" t="s">
        <v>2175</v>
      </c>
    </row>
    <row r="432" spans="1:33" hidden="1">
      <c r="A432" s="240">
        <f t="shared" si="20"/>
        <v>267</v>
      </c>
      <c r="B432" s="181" t="s">
        <v>1076</v>
      </c>
      <c r="C432" s="8">
        <v>2.9</v>
      </c>
      <c r="D432" s="1" t="s">
        <v>835</v>
      </c>
      <c r="E432"/>
      <c r="I432"/>
      <c r="J432" s="4"/>
      <c r="K432" s="5" t="s">
        <v>1980</v>
      </c>
      <c r="M432" s="188">
        <v>30</v>
      </c>
      <c r="N432" s="181" t="s">
        <v>1714</v>
      </c>
      <c r="O432" s="181" t="s">
        <v>2077</v>
      </c>
      <c r="P432" s="188">
        <f>(C42)</f>
        <v>1.75</v>
      </c>
      <c r="Q432" s="181" t="s">
        <v>1714</v>
      </c>
      <c r="R432" s="188">
        <f>(M432*P432)</f>
        <v>52.5</v>
      </c>
      <c r="AG432" s="181" t="s">
        <v>2175</v>
      </c>
    </row>
    <row r="433" spans="1:33" hidden="1">
      <c r="A433" s="240">
        <f t="shared" si="20"/>
        <v>268</v>
      </c>
      <c r="B433" s="181" t="s">
        <v>1077</v>
      </c>
      <c r="C433" s="8">
        <v>4</v>
      </c>
      <c r="D433" s="1" t="s">
        <v>835</v>
      </c>
      <c r="E433"/>
      <c r="H433" s="181" t="s">
        <v>361</v>
      </c>
      <c r="I433"/>
      <c r="J433" s="4"/>
      <c r="K433" s="8" t="e">
        <f>(K431+C19/10*F425)</f>
        <v>#REF!</v>
      </c>
      <c r="O433" s="181" t="s">
        <v>2078</v>
      </c>
      <c r="AG433" s="181" t="s">
        <v>2175</v>
      </c>
    </row>
    <row r="434" spans="1:33" hidden="1">
      <c r="A434" s="240">
        <f t="shared" si="20"/>
        <v>269</v>
      </c>
      <c r="B434" s="181" t="s">
        <v>1078</v>
      </c>
      <c r="C434" s="8">
        <v>6.86</v>
      </c>
      <c r="D434" s="1" t="s">
        <v>835</v>
      </c>
      <c r="E434"/>
      <c r="H434" s="181" t="s">
        <v>363</v>
      </c>
      <c r="I434"/>
      <c r="J434" s="4"/>
      <c r="K434" s="8" t="e">
        <f>(K433+C20/10*F425)</f>
        <v>#REF!</v>
      </c>
      <c r="O434" s="181" t="s">
        <v>2079</v>
      </c>
      <c r="AG434" s="181" t="s">
        <v>2175</v>
      </c>
    </row>
    <row r="435" spans="1:33" hidden="1">
      <c r="A435" s="240">
        <f t="shared" si="20"/>
        <v>270</v>
      </c>
      <c r="B435" s="181" t="s">
        <v>1080</v>
      </c>
      <c r="C435" s="8">
        <v>9.15</v>
      </c>
      <c r="D435" s="1" t="s">
        <v>835</v>
      </c>
      <c r="E435"/>
      <c r="H435" s="181" t="s">
        <v>2149</v>
      </c>
      <c r="I435"/>
      <c r="J435" s="4"/>
      <c r="K435" s="8" t="e">
        <f>(K434+C21/10*F425)</f>
        <v>#REF!</v>
      </c>
      <c r="O435" s="181" t="s">
        <v>2080</v>
      </c>
      <c r="AG435" s="181" t="s">
        <v>2175</v>
      </c>
    </row>
    <row r="436" spans="1:33" hidden="1">
      <c r="A436" s="240">
        <f t="shared" si="20"/>
        <v>271</v>
      </c>
      <c r="B436" s="181" t="s">
        <v>225</v>
      </c>
      <c r="C436" s="8">
        <v>14.59</v>
      </c>
      <c r="D436" s="1" t="s">
        <v>835</v>
      </c>
      <c r="E436"/>
      <c r="H436" s="181" t="s">
        <v>355</v>
      </c>
      <c r="I436"/>
      <c r="J436" s="4"/>
      <c r="K436" s="8" t="e">
        <f>(K435+C21/10*F425)</f>
        <v>#REF!</v>
      </c>
      <c r="O436" s="181" t="s">
        <v>2083</v>
      </c>
      <c r="AG436" s="181" t="s">
        <v>2175</v>
      </c>
    </row>
    <row r="437" spans="1:33" hidden="1">
      <c r="A437" s="240"/>
      <c r="B437" s="181"/>
      <c r="C437" s="8"/>
      <c r="D437" s="1"/>
      <c r="E437"/>
      <c r="H437" s="181" t="s">
        <v>801</v>
      </c>
      <c r="I437"/>
      <c r="J437" s="4"/>
      <c r="K437" s="8" t="e">
        <f>(K436+C22/10*F426)</f>
        <v>#REF!</v>
      </c>
      <c r="O437" s="181"/>
      <c r="AG437" s="181"/>
    </row>
    <row r="438" spans="1:33" hidden="1">
      <c r="A438" s="240">
        <f>(A436+1)</f>
        <v>272</v>
      </c>
      <c r="B438" s="181" t="s">
        <v>1081</v>
      </c>
      <c r="C438" s="8">
        <v>21.74</v>
      </c>
      <c r="D438" s="1" t="s">
        <v>835</v>
      </c>
      <c r="E438"/>
      <c r="H438" s="236" t="s">
        <v>2061</v>
      </c>
      <c r="I438"/>
      <c r="J438" s="4"/>
      <c r="K438"/>
      <c r="M438" s="188">
        <v>8</v>
      </c>
      <c r="N438" s="181" t="s">
        <v>739</v>
      </c>
      <c r="O438" s="181" t="s">
        <v>2062</v>
      </c>
      <c r="P438" s="188">
        <f>(C43)</f>
        <v>2.2000000000000002</v>
      </c>
      <c r="Q438" s="181" t="s">
        <v>739</v>
      </c>
      <c r="R438" s="188">
        <f>(M438*P438)</f>
        <v>17.600000000000001</v>
      </c>
      <c r="AG438" s="181" t="s">
        <v>2175</v>
      </c>
    </row>
    <row r="439" spans="1:33" hidden="1">
      <c r="A439" s="240">
        <f t="shared" si="20"/>
        <v>273</v>
      </c>
      <c r="B439" s="181" t="s">
        <v>2063</v>
      </c>
      <c r="C439"/>
      <c r="D439" s="1" t="s">
        <v>940</v>
      </c>
      <c r="E439"/>
      <c r="H439" s="236" t="s">
        <v>2040</v>
      </c>
      <c r="I439"/>
      <c r="J439" s="4"/>
      <c r="K439"/>
      <c r="M439" s="188">
        <v>8</v>
      </c>
      <c r="N439" s="181" t="s">
        <v>739</v>
      </c>
      <c r="O439" s="181" t="s">
        <v>437</v>
      </c>
      <c r="P439" s="188">
        <f>(C50)</f>
        <v>3.2</v>
      </c>
      <c r="Q439" s="181" t="s">
        <v>739</v>
      </c>
      <c r="R439" s="188">
        <f>(M439*P439)</f>
        <v>25.6</v>
      </c>
      <c r="AG439" s="181" t="s">
        <v>2175</v>
      </c>
    </row>
    <row r="440" spans="1:33" hidden="1">
      <c r="A440" s="240">
        <f t="shared" si="20"/>
        <v>274</v>
      </c>
      <c r="B440" s="181" t="s">
        <v>1075</v>
      </c>
      <c r="C440" s="8">
        <v>8.85</v>
      </c>
      <c r="D440" s="1" t="s">
        <v>835</v>
      </c>
      <c r="E440"/>
      <c r="F440" s="242">
        <v>12</v>
      </c>
      <c r="G440" s="187" t="s">
        <v>2167</v>
      </c>
      <c r="H440" s="181" t="s">
        <v>438</v>
      </c>
      <c r="I440"/>
      <c r="J440" s="4"/>
      <c r="K440"/>
      <c r="M440" s="188">
        <v>1</v>
      </c>
      <c r="N440" s="181" t="s">
        <v>419</v>
      </c>
      <c r="O440" s="181" t="s">
        <v>1630</v>
      </c>
      <c r="P440" s="188">
        <f>(C56)</f>
        <v>12.1</v>
      </c>
      <c r="Q440" s="181" t="s">
        <v>419</v>
      </c>
      <c r="R440" s="188">
        <f>(M440*P440)</f>
        <v>12.1</v>
      </c>
      <c r="AG440" s="181" t="s">
        <v>2175</v>
      </c>
    </row>
    <row r="441" spans="1:33" hidden="1">
      <c r="A441" s="240">
        <f t="shared" si="20"/>
        <v>275</v>
      </c>
      <c r="B441" s="181" t="s">
        <v>1076</v>
      </c>
      <c r="C441" s="8">
        <v>14</v>
      </c>
      <c r="D441" s="1" t="s">
        <v>835</v>
      </c>
      <c r="E441"/>
      <c r="H441" s="181" t="s">
        <v>1072</v>
      </c>
      <c r="I441"/>
      <c r="J441" s="4"/>
      <c r="K441"/>
      <c r="M441" s="188">
        <v>1</v>
      </c>
      <c r="N441" s="181" t="s">
        <v>419</v>
      </c>
      <c r="O441" s="181" t="s">
        <v>420</v>
      </c>
      <c r="Q441" s="181" t="s">
        <v>419</v>
      </c>
      <c r="R441" s="188">
        <v>0</v>
      </c>
      <c r="AG441" s="181" t="s">
        <v>2175</v>
      </c>
    </row>
    <row r="442" spans="1:33" hidden="1">
      <c r="A442" s="240">
        <f t="shared" si="20"/>
        <v>276</v>
      </c>
      <c r="B442" s="181" t="s">
        <v>1077</v>
      </c>
      <c r="C442" s="8">
        <v>20.7</v>
      </c>
      <c r="D442" s="1" t="s">
        <v>835</v>
      </c>
      <c r="E442"/>
      <c r="H442" s="185" t="s">
        <v>1530</v>
      </c>
      <c r="I442"/>
      <c r="J442" s="4"/>
      <c r="K442"/>
      <c r="R442" s="185" t="s">
        <v>1530</v>
      </c>
      <c r="AG442" s="181" t="s">
        <v>2175</v>
      </c>
    </row>
    <row r="443" spans="1:33" hidden="1">
      <c r="A443" s="240">
        <f t="shared" si="20"/>
        <v>277</v>
      </c>
      <c r="B443" s="181" t="s">
        <v>1078</v>
      </c>
      <c r="C443" s="8">
        <v>41.82</v>
      </c>
      <c r="D443" s="1" t="s">
        <v>835</v>
      </c>
      <c r="E443"/>
      <c r="F443" s="188">
        <v>6570</v>
      </c>
      <c r="G443" s="187" t="s">
        <v>1368</v>
      </c>
      <c r="H443" s="181" t="s">
        <v>1512</v>
      </c>
      <c r="I443" s="8" t="e">
        <f>(C77)</f>
        <v>#REF!</v>
      </c>
      <c r="J443" s="2" t="s">
        <v>1538</v>
      </c>
      <c r="K443" s="8" t="e">
        <f>(F443*I443)/1000</f>
        <v>#REF!</v>
      </c>
      <c r="O443" s="181" t="s">
        <v>1489</v>
      </c>
      <c r="R443" s="188">
        <f>SUM(R430:R441)</f>
        <v>584.08000000000004</v>
      </c>
      <c r="AG443" s="181" t="s">
        <v>300</v>
      </c>
    </row>
    <row r="444" spans="1:33" hidden="1">
      <c r="A444" s="240">
        <f t="shared" si="20"/>
        <v>278</v>
      </c>
      <c r="B444" s="181" t="s">
        <v>1080</v>
      </c>
      <c r="C444" s="8">
        <v>61.78</v>
      </c>
      <c r="D444" s="1" t="s">
        <v>835</v>
      </c>
      <c r="E444"/>
      <c r="F444" s="188">
        <v>1.91</v>
      </c>
      <c r="G444" s="187" t="s">
        <v>836</v>
      </c>
      <c r="H444" s="181" t="s">
        <v>1258</v>
      </c>
      <c r="I444" s="8" t="e">
        <f>(K40)</f>
        <v>#REF!</v>
      </c>
      <c r="J444" s="2" t="s">
        <v>836</v>
      </c>
      <c r="K444" s="8" t="e">
        <f>(F444*I444)</f>
        <v>#REF!</v>
      </c>
      <c r="R444" s="185" t="s">
        <v>1530</v>
      </c>
    </row>
    <row r="445" spans="1:33" hidden="1">
      <c r="A445" s="240">
        <f t="shared" si="20"/>
        <v>279</v>
      </c>
      <c r="B445" s="181" t="s">
        <v>225</v>
      </c>
      <c r="C445" s="8">
        <v>97.93</v>
      </c>
      <c r="D445" s="1" t="s">
        <v>835</v>
      </c>
      <c r="E445"/>
      <c r="F445" s="188">
        <v>7</v>
      </c>
      <c r="G445" s="187" t="s">
        <v>835</v>
      </c>
      <c r="H445" s="181" t="s">
        <v>1938</v>
      </c>
      <c r="I445" s="8">
        <f>(C10)</f>
        <v>150</v>
      </c>
      <c r="J445" s="2" t="s">
        <v>835</v>
      </c>
      <c r="K445" s="8">
        <f>(F445*I445)</f>
        <v>1050</v>
      </c>
      <c r="O445" s="181" t="s">
        <v>1490</v>
      </c>
      <c r="R445" s="188">
        <f>(R443/30)</f>
        <v>19.47</v>
      </c>
    </row>
    <row r="446" spans="1:33" hidden="1">
      <c r="A446" s="240">
        <f t="shared" si="20"/>
        <v>280</v>
      </c>
      <c r="B446" s="181" t="s">
        <v>1081</v>
      </c>
      <c r="C446" s="8">
        <v>156.5</v>
      </c>
      <c r="D446" s="1" t="s">
        <v>835</v>
      </c>
      <c r="E446"/>
      <c r="F446" s="188">
        <v>3.6</v>
      </c>
      <c r="G446" s="187" t="s">
        <v>835</v>
      </c>
      <c r="H446" s="181" t="s">
        <v>1654</v>
      </c>
      <c r="I446" s="8">
        <f>(C11)</f>
        <v>135</v>
      </c>
      <c r="J446" s="2" t="s">
        <v>835</v>
      </c>
      <c r="K446" s="8">
        <f>(F446*I446)</f>
        <v>486</v>
      </c>
      <c r="R446" s="185" t="s">
        <v>1530</v>
      </c>
      <c r="AG446" s="181" t="s">
        <v>2175</v>
      </c>
    </row>
    <row r="447" spans="1:33" hidden="1">
      <c r="A447" s="240">
        <f t="shared" si="20"/>
        <v>281</v>
      </c>
      <c r="B447" s="181" t="s">
        <v>1499</v>
      </c>
      <c r="C447"/>
      <c r="D447" s="1" t="s">
        <v>940</v>
      </c>
      <c r="E447"/>
      <c r="F447" s="188">
        <v>7.1</v>
      </c>
      <c r="G447" s="187" t="s">
        <v>835</v>
      </c>
      <c r="H447" s="181" t="s">
        <v>1836</v>
      </c>
      <c r="I447" s="8">
        <f>(C12)</f>
        <v>95</v>
      </c>
      <c r="J447" s="2" t="s">
        <v>835</v>
      </c>
      <c r="K447" s="8">
        <f>(F447*I447)</f>
        <v>674.5</v>
      </c>
      <c r="N447" s="181" t="s">
        <v>1500</v>
      </c>
      <c r="O447" s="236" t="s">
        <v>980</v>
      </c>
      <c r="AG447" s="181" t="s">
        <v>2175</v>
      </c>
    </row>
    <row r="448" spans="1:33" hidden="1">
      <c r="A448" s="240">
        <f t="shared" si="20"/>
        <v>282</v>
      </c>
      <c r="B448" s="181" t="s">
        <v>1075</v>
      </c>
      <c r="C448" s="8">
        <v>3.2</v>
      </c>
      <c r="D448" s="1" t="s">
        <v>835</v>
      </c>
      <c r="E448"/>
      <c r="F448" s="188">
        <v>14.1</v>
      </c>
      <c r="G448" s="187" t="s">
        <v>835</v>
      </c>
      <c r="H448" s="181" t="s">
        <v>299</v>
      </c>
      <c r="I448" s="8">
        <f>(C13)</f>
        <v>85</v>
      </c>
      <c r="J448" s="2" t="s">
        <v>835</v>
      </c>
      <c r="K448" s="8">
        <f>(F448*I448)</f>
        <v>1198.5</v>
      </c>
      <c r="O448" s="185" t="s">
        <v>1530</v>
      </c>
      <c r="AG448" s="181" t="s">
        <v>2175</v>
      </c>
    </row>
    <row r="449" spans="1:33" hidden="1">
      <c r="A449" s="240">
        <f t="shared" si="20"/>
        <v>283</v>
      </c>
      <c r="B449" s="181" t="s">
        <v>1076</v>
      </c>
      <c r="C449" s="8">
        <v>4.7</v>
      </c>
      <c r="D449" s="1" t="s">
        <v>835</v>
      </c>
      <c r="E449"/>
      <c r="G449" s="187" t="s">
        <v>419</v>
      </c>
      <c r="H449" s="181" t="s">
        <v>420</v>
      </c>
      <c r="I449" s="1" t="s">
        <v>940</v>
      </c>
      <c r="J449" s="2" t="s">
        <v>419</v>
      </c>
      <c r="K449" s="8">
        <v>0</v>
      </c>
      <c r="M449" s="188">
        <v>8.1</v>
      </c>
      <c r="N449" s="181" t="s">
        <v>836</v>
      </c>
      <c r="O449" s="181" t="s">
        <v>586</v>
      </c>
      <c r="P449" s="188">
        <f>(C61)*2</f>
        <v>50</v>
      </c>
      <c r="Q449" s="181" t="s">
        <v>836</v>
      </c>
      <c r="R449" s="188">
        <f>(M449*P449)</f>
        <v>405</v>
      </c>
      <c r="AG449" s="181" t="s">
        <v>2175</v>
      </c>
    </row>
    <row r="450" spans="1:33" hidden="1">
      <c r="A450" s="240">
        <f t="shared" si="20"/>
        <v>284</v>
      </c>
      <c r="B450" s="181" t="s">
        <v>1077</v>
      </c>
      <c r="C450" s="8">
        <v>7.65</v>
      </c>
      <c r="D450" s="1" t="s">
        <v>835</v>
      </c>
      <c r="E450"/>
      <c r="I450"/>
      <c r="J450" s="4"/>
      <c r="K450" s="5" t="s">
        <v>1530</v>
      </c>
      <c r="M450" s="188">
        <v>8.1</v>
      </c>
      <c r="N450" s="181" t="s">
        <v>836</v>
      </c>
      <c r="O450" s="181" t="s">
        <v>2076</v>
      </c>
      <c r="P450" s="188">
        <f>(C26)</f>
        <v>8.8000000000000007</v>
      </c>
      <c r="Q450" s="181" t="s">
        <v>836</v>
      </c>
      <c r="R450" s="188">
        <f>(M450*P450)</f>
        <v>71.28</v>
      </c>
      <c r="AG450" s="181" t="s">
        <v>2175</v>
      </c>
    </row>
    <row r="451" spans="1:33" hidden="1">
      <c r="A451" s="240">
        <f t="shared" si="20"/>
        <v>285</v>
      </c>
      <c r="B451" s="181" t="s">
        <v>1078</v>
      </c>
      <c r="C451" s="8">
        <v>30.93</v>
      </c>
      <c r="D451" s="1" t="s">
        <v>835</v>
      </c>
      <c r="E451"/>
      <c r="H451" s="181" t="s">
        <v>583</v>
      </c>
      <c r="I451"/>
      <c r="J451" s="4"/>
      <c r="K451" s="8" t="e">
        <f>SUM(K443:K449)</f>
        <v>#REF!</v>
      </c>
      <c r="M451" s="188">
        <v>30</v>
      </c>
      <c r="N451" s="181" t="s">
        <v>1714</v>
      </c>
      <c r="O451" s="181" t="s">
        <v>2077</v>
      </c>
      <c r="P451" s="188">
        <f>(C42)</f>
        <v>1.75</v>
      </c>
      <c r="Q451" s="181" t="s">
        <v>1714</v>
      </c>
      <c r="R451" s="188">
        <f>(M451*P451)</f>
        <v>52.5</v>
      </c>
      <c r="AG451" s="181" t="s">
        <v>2175</v>
      </c>
    </row>
    <row r="452" spans="1:33" hidden="1">
      <c r="A452" s="240">
        <f t="shared" si="20"/>
        <v>286</v>
      </c>
      <c r="B452" s="181" t="s">
        <v>1080</v>
      </c>
      <c r="C452" s="8">
        <v>39.630000000000003</v>
      </c>
      <c r="D452" s="1" t="s">
        <v>835</v>
      </c>
      <c r="E452"/>
      <c r="I452"/>
      <c r="J452" s="4"/>
      <c r="K452" s="5" t="s">
        <v>1530</v>
      </c>
      <c r="O452" s="181" t="s">
        <v>2078</v>
      </c>
      <c r="AG452" s="181" t="s">
        <v>2175</v>
      </c>
    </row>
    <row r="453" spans="1:33" hidden="1">
      <c r="A453" s="240">
        <f t="shared" si="20"/>
        <v>287</v>
      </c>
      <c r="B453" s="181" t="s">
        <v>225</v>
      </c>
      <c r="C453" s="8">
        <v>70.47</v>
      </c>
      <c r="D453" s="1" t="s">
        <v>835</v>
      </c>
      <c r="E453"/>
      <c r="H453" s="181" t="s">
        <v>743</v>
      </c>
      <c r="I453"/>
      <c r="J453" s="4"/>
      <c r="K453" s="8" t="e">
        <f>(K451/10)</f>
        <v>#REF!</v>
      </c>
      <c r="O453" s="181" t="s">
        <v>2079</v>
      </c>
      <c r="AG453" s="181" t="s">
        <v>2175</v>
      </c>
    </row>
    <row r="454" spans="1:33" hidden="1">
      <c r="A454" s="240">
        <f t="shared" si="20"/>
        <v>288</v>
      </c>
      <c r="B454" s="181" t="s">
        <v>1081</v>
      </c>
      <c r="C454" s="8">
        <v>70.47</v>
      </c>
      <c r="D454" s="1" t="s">
        <v>835</v>
      </c>
      <c r="E454"/>
      <c r="I454"/>
      <c r="J454" s="4"/>
      <c r="K454" s="5" t="s">
        <v>1980</v>
      </c>
      <c r="O454" s="181" t="s">
        <v>2080</v>
      </c>
      <c r="AG454" s="181" t="s">
        <v>2175</v>
      </c>
    </row>
    <row r="455" spans="1:33" hidden="1">
      <c r="A455" s="240">
        <f t="shared" si="20"/>
        <v>289</v>
      </c>
      <c r="B455" s="181" t="s">
        <v>2204</v>
      </c>
      <c r="C455"/>
      <c r="D455" s="1" t="s">
        <v>940</v>
      </c>
      <c r="E455"/>
      <c r="I455"/>
      <c r="J455" s="4"/>
      <c r="K455"/>
      <c r="O455" s="181" t="s">
        <v>2083</v>
      </c>
      <c r="AG455" s="181" t="s">
        <v>2175</v>
      </c>
    </row>
    <row r="456" spans="1:33" hidden="1">
      <c r="A456" s="240">
        <f t="shared" ref="A456:A489" si="21">(A455+1)</f>
        <v>290</v>
      </c>
      <c r="B456" s="181" t="s">
        <v>1075</v>
      </c>
      <c r="C456" s="8">
        <v>158.91999999999999</v>
      </c>
      <c r="D456" s="1" t="s">
        <v>835</v>
      </c>
      <c r="E456"/>
      <c r="G456" s="187" t="s">
        <v>2167</v>
      </c>
      <c r="H456" s="181" t="s">
        <v>149</v>
      </c>
      <c r="I456"/>
      <c r="J456" s="4"/>
      <c r="K456"/>
      <c r="M456" s="188">
        <v>8</v>
      </c>
      <c r="N456" s="181" t="s">
        <v>739</v>
      </c>
      <c r="O456" s="181" t="s">
        <v>2062</v>
      </c>
      <c r="P456" s="188">
        <f>(C44)</f>
        <v>2.2000000000000002</v>
      </c>
      <c r="Q456" s="181" t="s">
        <v>739</v>
      </c>
      <c r="R456" s="188">
        <f>(M456*P456)</f>
        <v>17.600000000000001</v>
      </c>
      <c r="AG456" s="181" t="s">
        <v>2175</v>
      </c>
    </row>
    <row r="457" spans="1:33" hidden="1">
      <c r="A457" s="240">
        <f t="shared" si="21"/>
        <v>291</v>
      </c>
      <c r="B457" s="181" t="s">
        <v>1076</v>
      </c>
      <c r="C457" s="8">
        <v>263.04000000000002</v>
      </c>
      <c r="D457" s="1" t="s">
        <v>835</v>
      </c>
      <c r="E457"/>
      <c r="H457" s="185" t="s">
        <v>1530</v>
      </c>
      <c r="I457"/>
      <c r="J457" s="4"/>
      <c r="K457"/>
      <c r="M457" s="188">
        <v>8</v>
      </c>
      <c r="N457" s="181" t="s">
        <v>739</v>
      </c>
      <c r="O457" s="181" t="s">
        <v>437</v>
      </c>
      <c r="P457" s="188">
        <f>(C51)</f>
        <v>3.2</v>
      </c>
      <c r="Q457" s="181" t="s">
        <v>739</v>
      </c>
      <c r="R457" s="188">
        <f>(M457*P457)</f>
        <v>25.6</v>
      </c>
      <c r="AG457" s="181" t="s">
        <v>2175</v>
      </c>
    </row>
    <row r="458" spans="1:33" hidden="1">
      <c r="A458" s="240">
        <f t="shared" si="21"/>
        <v>292</v>
      </c>
      <c r="B458" s="181" t="s">
        <v>1077</v>
      </c>
      <c r="C458"/>
      <c r="D458" s="1" t="s">
        <v>940</v>
      </c>
      <c r="E458"/>
      <c r="F458" s="188">
        <v>0.5</v>
      </c>
      <c r="G458" s="187" t="s">
        <v>836</v>
      </c>
      <c r="H458" s="181" t="s">
        <v>2195</v>
      </c>
      <c r="I458" s="8" t="e">
        <f>(K453)</f>
        <v>#REF!</v>
      </c>
      <c r="J458" s="2" t="s">
        <v>835</v>
      </c>
      <c r="K458" s="8" t="e">
        <f>(F458*I458)</f>
        <v>#REF!</v>
      </c>
      <c r="M458" s="188">
        <v>1</v>
      </c>
      <c r="N458" s="181" t="s">
        <v>419</v>
      </c>
      <c r="O458" s="181" t="s">
        <v>1630</v>
      </c>
      <c r="P458" s="188">
        <f>(C56)</f>
        <v>12.1</v>
      </c>
      <c r="Q458" s="181" t="s">
        <v>419</v>
      </c>
      <c r="R458" s="188">
        <f>(M458*P458)</f>
        <v>12.1</v>
      </c>
      <c r="AG458" s="181" t="s">
        <v>2175</v>
      </c>
    </row>
    <row r="459" spans="1:33" hidden="1">
      <c r="A459" s="240">
        <f t="shared" si="21"/>
        <v>293</v>
      </c>
      <c r="B459" s="181" t="s">
        <v>1134</v>
      </c>
      <c r="C459" s="8">
        <v>1.2</v>
      </c>
      <c r="D459" s="1" t="s">
        <v>835</v>
      </c>
      <c r="E459"/>
      <c r="F459" s="188">
        <v>1</v>
      </c>
      <c r="G459" s="187" t="s">
        <v>739</v>
      </c>
      <c r="H459" s="181" t="s">
        <v>1938</v>
      </c>
      <c r="I459" s="8">
        <f>(C10)</f>
        <v>150</v>
      </c>
      <c r="J459" s="2" t="s">
        <v>835</v>
      </c>
      <c r="K459" s="8">
        <f>(F459*I459)</f>
        <v>150</v>
      </c>
      <c r="M459" s="188">
        <v>1</v>
      </c>
      <c r="N459" s="181" t="s">
        <v>419</v>
      </c>
      <c r="O459" s="181" t="s">
        <v>420</v>
      </c>
      <c r="Q459" s="181" t="s">
        <v>419</v>
      </c>
      <c r="R459" s="188">
        <v>0</v>
      </c>
      <c r="AG459" s="181" t="s">
        <v>2175</v>
      </c>
    </row>
    <row r="460" spans="1:33" hidden="1">
      <c r="A460" s="240">
        <f t="shared" si="21"/>
        <v>294</v>
      </c>
      <c r="B460" s="181" t="s">
        <v>1041</v>
      </c>
      <c r="C460" s="8">
        <v>0.85</v>
      </c>
      <c r="D460" s="1" t="s">
        <v>835</v>
      </c>
      <c r="E460"/>
      <c r="G460" s="187" t="s">
        <v>419</v>
      </c>
      <c r="H460" s="181" t="s">
        <v>420</v>
      </c>
      <c r="I460" s="1" t="s">
        <v>940</v>
      </c>
      <c r="J460" s="2" t="s">
        <v>419</v>
      </c>
      <c r="K460" s="8">
        <v>0</v>
      </c>
      <c r="R460" s="185" t="s">
        <v>1530</v>
      </c>
      <c r="AG460" s="181" t="s">
        <v>2175</v>
      </c>
    </row>
    <row r="461" spans="1:33" hidden="1">
      <c r="A461" s="240">
        <f t="shared" si="21"/>
        <v>295</v>
      </c>
      <c r="B461" s="181" t="s">
        <v>1042</v>
      </c>
      <c r="C461" s="8">
        <v>350</v>
      </c>
      <c r="D461" s="8">
        <v>375</v>
      </c>
      <c r="E461"/>
      <c r="I461"/>
      <c r="J461" s="4"/>
      <c r="K461" s="5" t="s">
        <v>1530</v>
      </c>
      <c r="O461" s="181" t="s">
        <v>1489</v>
      </c>
      <c r="R461" s="188">
        <f>SUM(R449:R459)</f>
        <v>584.08000000000004</v>
      </c>
      <c r="AG461" s="181" t="s">
        <v>2175</v>
      </c>
    </row>
    <row r="462" spans="1:33" hidden="1">
      <c r="A462" s="240">
        <f t="shared" si="21"/>
        <v>296</v>
      </c>
      <c r="B462" s="181" t="s">
        <v>2017</v>
      </c>
      <c r="C462" s="8">
        <v>400</v>
      </c>
      <c r="D462" s="8">
        <v>425</v>
      </c>
      <c r="E462"/>
      <c r="H462" s="181" t="s">
        <v>411</v>
      </c>
      <c r="I462"/>
      <c r="J462" s="4"/>
      <c r="K462" s="8" t="e">
        <f>SUM(K458:K460)</f>
        <v>#REF!</v>
      </c>
      <c r="R462" s="185" t="s">
        <v>1530</v>
      </c>
      <c r="AG462" s="181" t="s">
        <v>2175</v>
      </c>
    </row>
    <row r="463" spans="1:33" hidden="1">
      <c r="A463" s="240">
        <f t="shared" si="21"/>
        <v>297</v>
      </c>
      <c r="B463" s="181" t="s">
        <v>1020</v>
      </c>
      <c r="C463" s="8">
        <v>450</v>
      </c>
      <c r="D463" s="8">
        <v>500</v>
      </c>
      <c r="E463"/>
      <c r="I463"/>
      <c r="J463" s="4"/>
      <c r="K463" s="5" t="s">
        <v>1530</v>
      </c>
      <c r="O463" s="181" t="s">
        <v>1490</v>
      </c>
      <c r="R463" s="188">
        <f>(R461/30)</f>
        <v>19.47</v>
      </c>
      <c r="AG463" s="181" t="s">
        <v>2175</v>
      </c>
    </row>
    <row r="464" spans="1:33" hidden="1">
      <c r="A464" s="240">
        <f t="shared" si="21"/>
        <v>298</v>
      </c>
      <c r="B464" s="181" t="s">
        <v>1885</v>
      </c>
      <c r="C464" s="8">
        <v>77.819999999999993</v>
      </c>
      <c r="D464" s="1" t="s">
        <v>835</v>
      </c>
      <c r="E464"/>
      <c r="H464" s="181" t="s">
        <v>521</v>
      </c>
      <c r="I464"/>
      <c r="J464" s="4"/>
      <c r="K464" s="8" t="e">
        <f>(K462/10)</f>
        <v>#REF!</v>
      </c>
      <c r="R464" s="185" t="s">
        <v>1530</v>
      </c>
      <c r="AG464" s="181" t="s">
        <v>2175</v>
      </c>
    </row>
    <row r="465" spans="1:33" hidden="1">
      <c r="A465" s="240">
        <f t="shared" si="21"/>
        <v>299</v>
      </c>
      <c r="B465" s="181" t="s">
        <v>1886</v>
      </c>
      <c r="C465" s="8">
        <v>99.74</v>
      </c>
      <c r="D465" s="1" t="s">
        <v>835</v>
      </c>
      <c r="E465"/>
      <c r="I465"/>
      <c r="J465" s="4"/>
      <c r="K465" s="5" t="s">
        <v>1980</v>
      </c>
      <c r="N465" s="181" t="s">
        <v>1887</v>
      </c>
      <c r="O465" s="236" t="s">
        <v>1888</v>
      </c>
      <c r="AG465" s="181" t="s">
        <v>2175</v>
      </c>
    </row>
    <row r="466" spans="1:33" hidden="1">
      <c r="A466" s="240">
        <f t="shared" si="21"/>
        <v>300</v>
      </c>
      <c r="B466" s="181" t="s">
        <v>1077</v>
      </c>
      <c r="C466" s="8">
        <v>165</v>
      </c>
      <c r="D466" s="1" t="s">
        <v>835</v>
      </c>
      <c r="E466"/>
      <c r="H466" s="181" t="s">
        <v>361</v>
      </c>
      <c r="I466"/>
      <c r="J466" s="4"/>
      <c r="K466" s="8" t="e">
        <f>(K464+C19/10*F458)</f>
        <v>#REF!</v>
      </c>
      <c r="O466" s="185" t="s">
        <v>1530</v>
      </c>
      <c r="AG466" s="181" t="s">
        <v>2175</v>
      </c>
    </row>
    <row r="467" spans="1:33" hidden="1">
      <c r="A467" s="240">
        <f t="shared" si="21"/>
        <v>301</v>
      </c>
      <c r="B467" s="181" t="s">
        <v>1078</v>
      </c>
      <c r="C467" s="8">
        <v>258</v>
      </c>
      <c r="D467" s="1" t="s">
        <v>835</v>
      </c>
      <c r="E467"/>
      <c r="H467" s="181" t="s">
        <v>363</v>
      </c>
      <c r="I467"/>
      <c r="J467" s="4"/>
      <c r="K467" s="8" t="e">
        <f>(K466+C20/10*F458)</f>
        <v>#REF!</v>
      </c>
      <c r="M467" s="188">
        <v>8.1</v>
      </c>
      <c r="N467" s="181" t="s">
        <v>836</v>
      </c>
      <c r="O467" s="181" t="s">
        <v>586</v>
      </c>
      <c r="P467" s="188">
        <f>(C61)*2</f>
        <v>50</v>
      </c>
      <c r="Q467" s="181" t="s">
        <v>836</v>
      </c>
      <c r="R467" s="188">
        <f>(M467*P467)</f>
        <v>405</v>
      </c>
      <c r="AG467" s="181" t="s">
        <v>2175</v>
      </c>
    </row>
    <row r="468" spans="1:33" hidden="1">
      <c r="A468" s="240">
        <f t="shared" si="21"/>
        <v>302</v>
      </c>
      <c r="B468" s="181" t="s">
        <v>1080</v>
      </c>
      <c r="C468" s="8">
        <v>298</v>
      </c>
      <c r="D468" s="1" t="s">
        <v>835</v>
      </c>
      <c r="E468"/>
      <c r="H468" s="181" t="s">
        <v>2149</v>
      </c>
      <c r="I468"/>
      <c r="J468" s="4"/>
      <c r="K468" s="8" t="e">
        <f>(K467+C21/10*F458)</f>
        <v>#REF!</v>
      </c>
      <c r="M468" s="188">
        <v>8.1</v>
      </c>
      <c r="N468" s="181" t="s">
        <v>836</v>
      </c>
      <c r="O468" s="181" t="s">
        <v>2076</v>
      </c>
      <c r="P468" s="188">
        <f>(C26)</f>
        <v>8.8000000000000007</v>
      </c>
      <c r="Q468" s="181" t="s">
        <v>836</v>
      </c>
      <c r="R468" s="188">
        <f>(M468*P468)</f>
        <v>71.28</v>
      </c>
      <c r="AG468" s="181" t="s">
        <v>2175</v>
      </c>
    </row>
    <row r="469" spans="1:33" hidden="1">
      <c r="A469" s="240">
        <f t="shared" si="21"/>
        <v>303</v>
      </c>
      <c r="B469" s="181" t="s">
        <v>225</v>
      </c>
      <c r="C469" s="8">
        <v>398</v>
      </c>
      <c r="D469" s="1" t="s">
        <v>835</v>
      </c>
      <c r="E469"/>
      <c r="H469" s="181" t="s">
        <v>355</v>
      </c>
      <c r="I469"/>
      <c r="J469" s="4"/>
      <c r="K469" s="8" t="e">
        <f>(K468+C21/10*F458)</f>
        <v>#REF!</v>
      </c>
      <c r="M469" s="188">
        <v>30</v>
      </c>
      <c r="N469" s="181" t="s">
        <v>1714</v>
      </c>
      <c r="O469" s="181" t="s">
        <v>2077</v>
      </c>
      <c r="P469" s="188">
        <f>(C42)</f>
        <v>1.75</v>
      </c>
      <c r="Q469" s="181" t="s">
        <v>1714</v>
      </c>
      <c r="R469" s="188">
        <f>(M469*P469)</f>
        <v>52.5</v>
      </c>
      <c r="AG469" s="181" t="s">
        <v>2175</v>
      </c>
    </row>
    <row r="470" spans="1:33" hidden="1">
      <c r="A470" s="240">
        <f t="shared" si="21"/>
        <v>304</v>
      </c>
      <c r="B470" s="181" t="s">
        <v>1081</v>
      </c>
      <c r="C470"/>
      <c r="D470" s="1" t="s">
        <v>835</v>
      </c>
      <c r="E470"/>
      <c r="H470" s="181" t="s">
        <v>1477</v>
      </c>
      <c r="I470"/>
      <c r="J470" s="4"/>
      <c r="K470" s="8" t="e">
        <f>(K469+C22/10*F459)</f>
        <v>#REF!</v>
      </c>
      <c r="O470" s="181" t="s">
        <v>2078</v>
      </c>
      <c r="AG470" s="181" t="s">
        <v>2175</v>
      </c>
    </row>
    <row r="471" spans="1:33" hidden="1">
      <c r="A471" s="240">
        <f t="shared" si="21"/>
        <v>305</v>
      </c>
      <c r="B471" s="181" t="s">
        <v>2857</v>
      </c>
      <c r="C471"/>
      <c r="D471" s="1" t="s">
        <v>835</v>
      </c>
      <c r="E471"/>
      <c r="F471" s="236" t="s">
        <v>1889</v>
      </c>
      <c r="G471" s="187" t="s">
        <v>2167</v>
      </c>
      <c r="H471" s="181" t="s">
        <v>1890</v>
      </c>
      <c r="I471"/>
      <c r="J471" s="4"/>
      <c r="K471"/>
      <c r="O471" s="181" t="s">
        <v>2079</v>
      </c>
      <c r="AG471" s="181" t="s">
        <v>2175</v>
      </c>
    </row>
    <row r="472" spans="1:33" hidden="1">
      <c r="A472" s="240">
        <f t="shared" si="21"/>
        <v>306</v>
      </c>
      <c r="B472" s="181" t="s">
        <v>1075</v>
      </c>
      <c r="C472" s="8">
        <v>130</v>
      </c>
      <c r="D472" s="1" t="s">
        <v>835</v>
      </c>
      <c r="E472"/>
      <c r="H472" s="181" t="s">
        <v>2154</v>
      </c>
      <c r="I472"/>
      <c r="J472" s="4"/>
      <c r="K472"/>
      <c r="O472" s="181" t="s">
        <v>2080</v>
      </c>
      <c r="AG472" s="181" t="s">
        <v>2175</v>
      </c>
    </row>
    <row r="473" spans="1:33" hidden="1">
      <c r="A473" s="240">
        <f t="shared" si="21"/>
        <v>307</v>
      </c>
      <c r="B473" s="181" t="s">
        <v>1076</v>
      </c>
      <c r="C473" s="8">
        <v>178</v>
      </c>
      <c r="D473" s="1" t="s">
        <v>835</v>
      </c>
      <c r="E473"/>
      <c r="H473" s="185" t="s">
        <v>1530</v>
      </c>
      <c r="I473"/>
      <c r="J473" s="4"/>
      <c r="K473"/>
      <c r="O473" s="181" t="s">
        <v>2083</v>
      </c>
      <c r="AG473" s="181" t="s">
        <v>2175</v>
      </c>
    </row>
    <row r="474" spans="1:33" hidden="1">
      <c r="A474" s="240">
        <f t="shared" si="21"/>
        <v>308</v>
      </c>
      <c r="B474" s="181" t="s">
        <v>1077</v>
      </c>
      <c r="C474" s="8">
        <v>279</v>
      </c>
      <c r="D474" s="1" t="s">
        <v>835</v>
      </c>
      <c r="E474"/>
      <c r="F474" s="188">
        <v>1</v>
      </c>
      <c r="G474" s="187" t="s">
        <v>836</v>
      </c>
      <c r="H474" s="181" t="s">
        <v>2155</v>
      </c>
      <c r="I474" s="8">
        <f>(C26)</f>
        <v>8.8000000000000007</v>
      </c>
      <c r="J474" s="2" t="s">
        <v>836</v>
      </c>
      <c r="K474" s="8">
        <f>(F474*I474)</f>
        <v>8.8000000000000007</v>
      </c>
      <c r="M474" s="188">
        <v>8</v>
      </c>
      <c r="N474" s="181" t="s">
        <v>739</v>
      </c>
      <c r="O474" s="181" t="s">
        <v>2062</v>
      </c>
      <c r="P474" s="188">
        <f>(C45)</f>
        <v>2.7</v>
      </c>
      <c r="Q474" s="181" t="s">
        <v>739</v>
      </c>
      <c r="R474" s="188">
        <f>(M474*P474)</f>
        <v>21.6</v>
      </c>
      <c r="AG474" s="181" t="s">
        <v>2175</v>
      </c>
    </row>
    <row r="475" spans="1:33" hidden="1">
      <c r="A475" s="240">
        <f t="shared" si="21"/>
        <v>309</v>
      </c>
      <c r="B475" s="181" t="s">
        <v>1078</v>
      </c>
      <c r="C475" s="8">
        <v>394</v>
      </c>
      <c r="D475" s="1" t="s">
        <v>835</v>
      </c>
      <c r="E475"/>
      <c r="I475"/>
      <c r="J475" s="4"/>
      <c r="K475" s="5" t="s">
        <v>1980</v>
      </c>
      <c r="M475" s="188">
        <v>8</v>
      </c>
      <c r="N475" s="181" t="s">
        <v>739</v>
      </c>
      <c r="O475" s="181" t="s">
        <v>437</v>
      </c>
      <c r="P475" s="188">
        <f>(C52)</f>
        <v>6.4</v>
      </c>
      <c r="Q475" s="181" t="s">
        <v>739</v>
      </c>
      <c r="R475" s="188">
        <f>(M475*P475)</f>
        <v>51.2</v>
      </c>
      <c r="AG475" s="181" t="s">
        <v>2175</v>
      </c>
    </row>
    <row r="476" spans="1:33" hidden="1">
      <c r="A476" s="240">
        <f t="shared" si="21"/>
        <v>310</v>
      </c>
      <c r="B476" s="181" t="s">
        <v>1080</v>
      </c>
      <c r="C476" s="8">
        <v>508</v>
      </c>
      <c r="D476" s="1" t="s">
        <v>835</v>
      </c>
      <c r="E476"/>
      <c r="F476" s="246">
        <v>7.3</v>
      </c>
      <c r="G476" s="187" t="s">
        <v>2167</v>
      </c>
      <c r="H476" s="181" t="s">
        <v>2156</v>
      </c>
      <c r="I476"/>
      <c r="J476" s="4"/>
      <c r="K476"/>
      <c r="M476" s="188">
        <v>1</v>
      </c>
      <c r="N476" s="181" t="s">
        <v>419</v>
      </c>
      <c r="O476" s="181" t="s">
        <v>1630</v>
      </c>
      <c r="P476" s="188">
        <f>(C56)</f>
        <v>12.1</v>
      </c>
      <c r="Q476" s="181" t="s">
        <v>419</v>
      </c>
      <c r="R476" s="188">
        <f>(M476*P476)</f>
        <v>12.1</v>
      </c>
      <c r="AG476" s="181" t="s">
        <v>2175</v>
      </c>
    </row>
    <row r="477" spans="1:33" hidden="1">
      <c r="A477" s="240">
        <f t="shared" si="21"/>
        <v>311</v>
      </c>
      <c r="B477" s="181" t="s">
        <v>225</v>
      </c>
      <c r="C477" s="8">
        <v>709</v>
      </c>
      <c r="D477" s="1" t="s">
        <v>835</v>
      </c>
      <c r="E477"/>
      <c r="F477" s="181" t="s">
        <v>940</v>
      </c>
      <c r="H477" s="181" t="s">
        <v>928</v>
      </c>
      <c r="I477"/>
      <c r="J477" s="4"/>
      <c r="K477"/>
      <c r="M477" s="188">
        <v>1</v>
      </c>
      <c r="N477" s="181" t="s">
        <v>419</v>
      </c>
      <c r="O477" s="181" t="s">
        <v>420</v>
      </c>
      <c r="Q477" s="181" t="s">
        <v>419</v>
      </c>
      <c r="R477" s="188">
        <v>0</v>
      </c>
      <c r="AG477" s="181" t="s">
        <v>2175</v>
      </c>
    </row>
    <row r="478" spans="1:33" hidden="1">
      <c r="A478" s="240">
        <f t="shared" si="21"/>
        <v>312</v>
      </c>
      <c r="B478" s="181" t="s">
        <v>1081</v>
      </c>
      <c r="C478"/>
      <c r="D478" s="1" t="s">
        <v>835</v>
      </c>
      <c r="E478"/>
      <c r="F478" s="181" t="s">
        <v>940</v>
      </c>
      <c r="H478" s="185" t="s">
        <v>1530</v>
      </c>
      <c r="I478"/>
      <c r="J478" s="4"/>
      <c r="K478"/>
      <c r="R478" s="185" t="s">
        <v>1530</v>
      </c>
      <c r="AG478" s="181" t="s">
        <v>2175</v>
      </c>
    </row>
    <row r="479" spans="1:33" hidden="1">
      <c r="A479" s="240">
        <f t="shared" si="21"/>
        <v>313</v>
      </c>
      <c r="B479" s="181" t="s">
        <v>2858</v>
      </c>
      <c r="C479"/>
      <c r="D479" s="1" t="s">
        <v>835</v>
      </c>
      <c r="E479"/>
      <c r="F479" s="188">
        <v>0.13</v>
      </c>
      <c r="G479" s="187" t="s">
        <v>836</v>
      </c>
      <c r="H479" s="181" t="s">
        <v>1258</v>
      </c>
      <c r="I479" s="8" t="e">
        <f>(K40)</f>
        <v>#REF!</v>
      </c>
      <c r="J479" s="2" t="s">
        <v>836</v>
      </c>
      <c r="K479" s="8" t="e">
        <f t="shared" ref="K479:K484" si="22">(F479*I479)</f>
        <v>#REF!</v>
      </c>
      <c r="O479" s="181" t="s">
        <v>1489</v>
      </c>
      <c r="R479" s="188">
        <f>SUM(R467:R477)</f>
        <v>613.67999999999995</v>
      </c>
      <c r="AG479" s="181" t="s">
        <v>2175</v>
      </c>
    </row>
    <row r="480" spans="1:33" hidden="1">
      <c r="A480" s="240">
        <f t="shared" si="21"/>
        <v>314</v>
      </c>
      <c r="B480" s="181" t="s">
        <v>1075</v>
      </c>
      <c r="C480" s="8">
        <v>77</v>
      </c>
      <c r="D480" s="1" t="s">
        <v>835</v>
      </c>
      <c r="E480"/>
      <c r="F480" s="188">
        <v>0.7</v>
      </c>
      <c r="G480" s="187" t="s">
        <v>739</v>
      </c>
      <c r="H480" s="181" t="s">
        <v>1938</v>
      </c>
      <c r="I480" s="8">
        <f>(C10)</f>
        <v>150</v>
      </c>
      <c r="J480" s="2" t="s">
        <v>739</v>
      </c>
      <c r="K480" s="8">
        <f t="shared" si="22"/>
        <v>105</v>
      </c>
      <c r="R480" s="185" t="s">
        <v>1530</v>
      </c>
      <c r="AG480" s="181" t="s">
        <v>2175</v>
      </c>
    </row>
    <row r="481" spans="1:33" hidden="1">
      <c r="A481" s="240">
        <f t="shared" si="21"/>
        <v>315</v>
      </c>
      <c r="B481" s="181" t="s">
        <v>1076</v>
      </c>
      <c r="C481" s="8">
        <v>119</v>
      </c>
      <c r="D481" s="1" t="s">
        <v>835</v>
      </c>
      <c r="E481"/>
      <c r="F481" s="188">
        <v>0.7</v>
      </c>
      <c r="G481" s="187" t="s">
        <v>739</v>
      </c>
      <c r="H481" s="181" t="s">
        <v>1654</v>
      </c>
      <c r="I481" s="8">
        <f>(C11)</f>
        <v>135</v>
      </c>
      <c r="J481" s="2" t="s">
        <v>739</v>
      </c>
      <c r="K481" s="8">
        <f t="shared" si="22"/>
        <v>94.5</v>
      </c>
      <c r="O481" s="181" t="s">
        <v>1490</v>
      </c>
      <c r="R481" s="188">
        <f>(R479/30)</f>
        <v>20.46</v>
      </c>
      <c r="AG481" s="181" t="s">
        <v>2175</v>
      </c>
    </row>
    <row r="482" spans="1:33" hidden="1">
      <c r="A482" s="240">
        <f t="shared" si="21"/>
        <v>316</v>
      </c>
      <c r="B482" s="181" t="s">
        <v>1077</v>
      </c>
      <c r="C482" s="8">
        <v>175</v>
      </c>
      <c r="D482" s="1" t="s">
        <v>835</v>
      </c>
      <c r="E482"/>
      <c r="F482" s="188">
        <v>1.5</v>
      </c>
      <c r="G482" s="187" t="s">
        <v>739</v>
      </c>
      <c r="H482" s="181" t="s">
        <v>1836</v>
      </c>
      <c r="I482" s="8">
        <f>(C12)</f>
        <v>95</v>
      </c>
      <c r="J482" s="2" t="s">
        <v>739</v>
      </c>
      <c r="K482" s="8">
        <f t="shared" si="22"/>
        <v>142.5</v>
      </c>
      <c r="R482" s="185" t="s">
        <v>1530</v>
      </c>
      <c r="AG482" s="181" t="s">
        <v>2175</v>
      </c>
    </row>
    <row r="483" spans="1:33" hidden="1">
      <c r="A483" s="240">
        <f t="shared" si="21"/>
        <v>317</v>
      </c>
      <c r="B483" s="181" t="s">
        <v>1078</v>
      </c>
      <c r="C483" s="8">
        <v>277</v>
      </c>
      <c r="D483" s="1" t="s">
        <v>835</v>
      </c>
      <c r="E483"/>
      <c r="F483" s="188">
        <v>0.5</v>
      </c>
      <c r="G483" s="187" t="s">
        <v>739</v>
      </c>
      <c r="H483" s="181" t="s">
        <v>299</v>
      </c>
      <c r="I483" s="8">
        <f>(C13)</f>
        <v>85</v>
      </c>
      <c r="J483" s="2" t="s">
        <v>739</v>
      </c>
      <c r="K483" s="8">
        <f t="shared" si="22"/>
        <v>42.5</v>
      </c>
      <c r="M483" s="181" t="s">
        <v>940</v>
      </c>
      <c r="AG483" s="181" t="s">
        <v>2175</v>
      </c>
    </row>
    <row r="484" spans="1:33" hidden="1">
      <c r="A484" s="240">
        <f t="shared" si="21"/>
        <v>318</v>
      </c>
      <c r="B484" s="181" t="s">
        <v>1080</v>
      </c>
      <c r="C484" s="8">
        <v>353</v>
      </c>
      <c r="D484" s="1" t="s">
        <v>835</v>
      </c>
      <c r="E484"/>
      <c r="F484" s="188">
        <v>0.94</v>
      </c>
      <c r="G484" s="187" t="s">
        <v>1591</v>
      </c>
      <c r="H484" s="181" t="s">
        <v>874</v>
      </c>
      <c r="I484" s="8">
        <f>C631</f>
        <v>30</v>
      </c>
      <c r="J484" s="2" t="s">
        <v>1591</v>
      </c>
      <c r="K484" s="8">
        <f t="shared" si="22"/>
        <v>28.2</v>
      </c>
      <c r="N484" s="181" t="s">
        <v>2167</v>
      </c>
      <c r="O484" s="181" t="s">
        <v>1974</v>
      </c>
      <c r="AG484" s="181" t="s">
        <v>2175</v>
      </c>
    </row>
    <row r="485" spans="1:33" hidden="1">
      <c r="A485" s="240">
        <f t="shared" si="21"/>
        <v>319</v>
      </c>
      <c r="B485" s="181" t="s">
        <v>225</v>
      </c>
      <c r="C485" s="8">
        <v>584</v>
      </c>
      <c r="D485" s="1" t="s">
        <v>835</v>
      </c>
      <c r="E485"/>
      <c r="H485" s="181" t="s">
        <v>420</v>
      </c>
      <c r="I485" s="1" t="s">
        <v>940</v>
      </c>
      <c r="J485" s="2" t="s">
        <v>419</v>
      </c>
      <c r="K485" s="8">
        <v>0</v>
      </c>
      <c r="O485" s="181" t="s">
        <v>1975</v>
      </c>
      <c r="AG485" s="181" t="s">
        <v>2175</v>
      </c>
    </row>
    <row r="486" spans="1:33" hidden="1">
      <c r="A486" s="240">
        <f t="shared" si="21"/>
        <v>320</v>
      </c>
      <c r="B486" s="181" t="s">
        <v>1081</v>
      </c>
      <c r="C486"/>
      <c r="D486" s="1" t="s">
        <v>835</v>
      </c>
      <c r="E486"/>
      <c r="I486"/>
      <c r="J486" s="4"/>
      <c r="K486" s="5" t="s">
        <v>1530</v>
      </c>
      <c r="O486" s="181" t="s">
        <v>913</v>
      </c>
      <c r="AG486" s="181" t="s">
        <v>2175</v>
      </c>
    </row>
    <row r="487" spans="1:33" hidden="1">
      <c r="A487" s="240">
        <f t="shared" si="21"/>
        <v>321</v>
      </c>
      <c r="B487" s="181" t="s">
        <v>914</v>
      </c>
      <c r="C487"/>
      <c r="D487" s="1" t="s">
        <v>835</v>
      </c>
      <c r="E487"/>
      <c r="H487" s="181" t="s">
        <v>583</v>
      </c>
      <c r="I487"/>
      <c r="J487" s="4"/>
      <c r="K487" s="8" t="e">
        <f>SUM(K478:K485)</f>
        <v>#REF!</v>
      </c>
      <c r="O487" s="185" t="s">
        <v>1530</v>
      </c>
      <c r="AG487" s="181" t="s">
        <v>2175</v>
      </c>
    </row>
    <row r="488" spans="1:33" hidden="1">
      <c r="A488" s="240">
        <f t="shared" si="21"/>
        <v>322</v>
      </c>
      <c r="B488" s="181" t="s">
        <v>917</v>
      </c>
      <c r="C488" s="8">
        <v>8.75</v>
      </c>
      <c r="D488" s="1" t="s">
        <v>835</v>
      </c>
      <c r="E488"/>
      <c r="I488"/>
      <c r="J488" s="4"/>
      <c r="K488" s="5" t="s">
        <v>1530</v>
      </c>
      <c r="N488" s="181" t="s">
        <v>152</v>
      </c>
      <c r="O488" s="236" t="s">
        <v>918</v>
      </c>
      <c r="AG488" s="181" t="s">
        <v>2175</v>
      </c>
    </row>
    <row r="489" spans="1:33" hidden="1">
      <c r="A489" s="240">
        <f t="shared" si="21"/>
        <v>323</v>
      </c>
      <c r="B489" s="181" t="s">
        <v>713</v>
      </c>
      <c r="C489" s="8">
        <v>11.5</v>
      </c>
      <c r="D489" s="1" t="s">
        <v>835</v>
      </c>
      <c r="E489"/>
      <c r="H489" s="181" t="s">
        <v>743</v>
      </c>
      <c r="I489"/>
      <c r="J489" s="4"/>
      <c r="K489" s="8" t="e">
        <f>(K487/10)</f>
        <v>#REF!</v>
      </c>
      <c r="O489" s="185" t="s">
        <v>1530</v>
      </c>
      <c r="AG489" s="181" t="s">
        <v>2175</v>
      </c>
    </row>
    <row r="490" spans="1:33" hidden="1">
      <c r="C490"/>
      <c r="D490"/>
      <c r="E490"/>
      <c r="F490" s="181" t="s">
        <v>940</v>
      </c>
      <c r="I490"/>
      <c r="J490" s="4"/>
      <c r="K490"/>
    </row>
    <row r="491" spans="1:33" hidden="1">
      <c r="A491" s="240">
        <f>(A489+1)</f>
        <v>324</v>
      </c>
      <c r="B491" s="181" t="s">
        <v>1609</v>
      </c>
      <c r="C491" s="8">
        <v>11.5</v>
      </c>
      <c r="D491" s="1" t="s">
        <v>835</v>
      </c>
      <c r="E491"/>
      <c r="I491"/>
      <c r="J491" s="4"/>
      <c r="K491" s="5" t="s">
        <v>1980</v>
      </c>
      <c r="M491" s="188">
        <v>30</v>
      </c>
      <c r="N491" s="181" t="s">
        <v>1714</v>
      </c>
      <c r="O491" s="181" t="s">
        <v>1610</v>
      </c>
      <c r="P491" s="188">
        <f>(C42)</f>
        <v>1.75</v>
      </c>
      <c r="Q491" s="181" t="s">
        <v>1714</v>
      </c>
      <c r="R491" s="188">
        <f>(M491*P491)</f>
        <v>52.5</v>
      </c>
      <c r="AG491" s="181" t="s">
        <v>2175</v>
      </c>
    </row>
    <row r="492" spans="1:33" hidden="1">
      <c r="A492" s="240">
        <f t="shared" ref="A492:A523" si="23">(A491+1)</f>
        <v>325</v>
      </c>
      <c r="B492" s="181" t="s">
        <v>1611</v>
      </c>
      <c r="C492" s="8">
        <v>56.74</v>
      </c>
      <c r="D492" s="1" t="s">
        <v>835</v>
      </c>
      <c r="E492"/>
      <c r="F492" s="236"/>
      <c r="G492" s="187" t="s">
        <v>2167</v>
      </c>
      <c r="H492" s="181" t="s">
        <v>1612</v>
      </c>
      <c r="I492"/>
      <c r="J492" s="4"/>
      <c r="K492"/>
      <c r="M492" s="181" t="s">
        <v>940</v>
      </c>
      <c r="O492" s="181" t="s">
        <v>1613</v>
      </c>
      <c r="P492" s="181" t="s">
        <v>940</v>
      </c>
      <c r="R492" s="181" t="s">
        <v>940</v>
      </c>
      <c r="AG492" s="181" t="s">
        <v>2175</v>
      </c>
    </row>
    <row r="493" spans="1:33" hidden="1">
      <c r="A493" s="240">
        <f t="shared" si="23"/>
        <v>326</v>
      </c>
      <c r="B493" s="181" t="s">
        <v>1614</v>
      </c>
      <c r="C493" s="8">
        <v>56.74</v>
      </c>
      <c r="D493" s="1" t="s">
        <v>835</v>
      </c>
      <c r="E493"/>
      <c r="H493" s="181" t="s">
        <v>2185</v>
      </c>
      <c r="I493"/>
      <c r="J493" s="4"/>
      <c r="K493"/>
      <c r="M493" s="188">
        <v>8</v>
      </c>
      <c r="N493" s="181" t="s">
        <v>835</v>
      </c>
      <c r="O493" s="181" t="s">
        <v>2062</v>
      </c>
      <c r="P493" s="188">
        <f>(C43)</f>
        <v>2.2000000000000002</v>
      </c>
      <c r="Q493" s="181" t="s">
        <v>835</v>
      </c>
      <c r="R493" s="188">
        <f t="shared" ref="R493:R498" si="24">(M493*P493)</f>
        <v>17.600000000000001</v>
      </c>
      <c r="AG493" s="181" t="s">
        <v>2175</v>
      </c>
    </row>
    <row r="494" spans="1:33" hidden="1">
      <c r="A494" s="240">
        <f t="shared" si="23"/>
        <v>327</v>
      </c>
      <c r="B494" s="181" t="s">
        <v>1615</v>
      </c>
      <c r="C494"/>
      <c r="D494" s="1" t="s">
        <v>940</v>
      </c>
      <c r="E494"/>
      <c r="H494" s="185" t="s">
        <v>1530</v>
      </c>
      <c r="I494"/>
      <c r="J494" s="4"/>
      <c r="K494"/>
      <c r="M494" s="188">
        <v>8</v>
      </c>
      <c r="N494" s="181" t="s">
        <v>835</v>
      </c>
      <c r="O494" s="181" t="s">
        <v>437</v>
      </c>
      <c r="P494" s="188">
        <f>(C50)</f>
        <v>3.2</v>
      </c>
      <c r="Q494" s="181" t="s">
        <v>835</v>
      </c>
      <c r="R494" s="188">
        <f t="shared" si="24"/>
        <v>25.6</v>
      </c>
      <c r="AG494" s="181" t="s">
        <v>2175</v>
      </c>
    </row>
    <row r="495" spans="1:33" hidden="1">
      <c r="A495" s="240">
        <f t="shared" si="23"/>
        <v>328</v>
      </c>
      <c r="B495" s="181" t="s">
        <v>917</v>
      </c>
      <c r="C495" s="8">
        <v>15.6</v>
      </c>
      <c r="D495" s="1" t="s">
        <v>835</v>
      </c>
      <c r="E495"/>
      <c r="F495" s="188">
        <v>9</v>
      </c>
      <c r="G495" s="187" t="s">
        <v>836</v>
      </c>
      <c r="H495" s="181" t="s">
        <v>1616</v>
      </c>
      <c r="I495" s="8" t="e">
        <f>(C70)</f>
        <v>#REF!</v>
      </c>
      <c r="J495" s="2" t="s">
        <v>836</v>
      </c>
      <c r="K495" s="8" t="e">
        <f t="shared" ref="K495:K500" si="25">(F495*I495)</f>
        <v>#REF!</v>
      </c>
      <c r="M495" s="188">
        <v>3</v>
      </c>
      <c r="N495" s="181" t="s">
        <v>835</v>
      </c>
      <c r="O495" s="181" t="s">
        <v>1779</v>
      </c>
      <c r="P495" s="188">
        <f>(C41)</f>
        <v>110</v>
      </c>
      <c r="Q495" s="181" t="s">
        <v>835</v>
      </c>
      <c r="R495" s="188">
        <f t="shared" si="24"/>
        <v>330</v>
      </c>
      <c r="AG495" s="181" t="s">
        <v>2175</v>
      </c>
    </row>
    <row r="496" spans="1:33" hidden="1">
      <c r="A496" s="240">
        <f t="shared" si="23"/>
        <v>329</v>
      </c>
      <c r="B496" s="181" t="s">
        <v>713</v>
      </c>
      <c r="C496" s="8">
        <v>15.6</v>
      </c>
      <c r="D496" s="1" t="s">
        <v>835</v>
      </c>
      <c r="E496"/>
      <c r="F496" s="245">
        <v>3.2309999999999999</v>
      </c>
      <c r="G496" s="187" t="s">
        <v>828</v>
      </c>
      <c r="H496" s="181" t="s">
        <v>829</v>
      </c>
      <c r="I496" s="8">
        <f>(C67)</f>
        <v>3800</v>
      </c>
      <c r="J496" s="2" t="s">
        <v>828</v>
      </c>
      <c r="K496" s="8">
        <f t="shared" si="25"/>
        <v>12277.8</v>
      </c>
      <c r="M496" s="188">
        <v>1</v>
      </c>
      <c r="N496" s="181" t="s">
        <v>835</v>
      </c>
      <c r="O496" s="181" t="s">
        <v>1780</v>
      </c>
      <c r="P496" s="188">
        <f>(C10)</f>
        <v>150</v>
      </c>
      <c r="Q496" s="181" t="s">
        <v>835</v>
      </c>
      <c r="R496" s="188">
        <f t="shared" si="24"/>
        <v>150</v>
      </c>
      <c r="AG496" s="181" t="s">
        <v>2175</v>
      </c>
    </row>
    <row r="497" spans="1:33" hidden="1">
      <c r="A497" s="240">
        <f t="shared" si="23"/>
        <v>330</v>
      </c>
      <c r="B497" s="181" t="s">
        <v>1609</v>
      </c>
      <c r="C497" s="8">
        <v>15.6</v>
      </c>
      <c r="D497" s="1" t="s">
        <v>835</v>
      </c>
      <c r="E497"/>
      <c r="F497" s="188">
        <v>4.5</v>
      </c>
      <c r="G497" s="187" t="s">
        <v>836</v>
      </c>
      <c r="H497" s="181" t="s">
        <v>837</v>
      </c>
      <c r="I497" s="8" t="e">
        <f>(C78)</f>
        <v>#REF!</v>
      </c>
      <c r="J497" s="2" t="s">
        <v>836</v>
      </c>
      <c r="K497" s="8" t="e">
        <f t="shared" si="25"/>
        <v>#REF!</v>
      </c>
      <c r="M497" s="188">
        <v>2</v>
      </c>
      <c r="N497" s="181" t="s">
        <v>835</v>
      </c>
      <c r="O497" s="181" t="s">
        <v>1836</v>
      </c>
      <c r="P497" s="188">
        <f>(C12)</f>
        <v>95</v>
      </c>
      <c r="Q497" s="181" t="s">
        <v>835</v>
      </c>
      <c r="R497" s="188">
        <f t="shared" si="24"/>
        <v>190</v>
      </c>
      <c r="AG497" s="181" t="s">
        <v>2175</v>
      </c>
    </row>
    <row r="498" spans="1:33" hidden="1">
      <c r="A498" s="240">
        <f t="shared" si="23"/>
        <v>331</v>
      </c>
      <c r="B498" s="181" t="s">
        <v>1611</v>
      </c>
      <c r="C498" s="8">
        <v>100.3</v>
      </c>
      <c r="D498" s="1" t="s">
        <v>835</v>
      </c>
      <c r="E498"/>
      <c r="F498" s="188">
        <v>3.5</v>
      </c>
      <c r="G498" s="187" t="s">
        <v>835</v>
      </c>
      <c r="H498" s="181" t="s">
        <v>1654</v>
      </c>
      <c r="I498" s="8">
        <f>(C11)</f>
        <v>135</v>
      </c>
      <c r="J498" s="2" t="s">
        <v>835</v>
      </c>
      <c r="K498" s="8">
        <f t="shared" si="25"/>
        <v>472.5</v>
      </c>
      <c r="M498" s="188">
        <v>1</v>
      </c>
      <c r="N498" s="181" t="s">
        <v>835</v>
      </c>
      <c r="O498" s="181" t="s">
        <v>299</v>
      </c>
      <c r="P498" s="188">
        <f>(C13)</f>
        <v>85</v>
      </c>
      <c r="Q498" s="181" t="s">
        <v>835</v>
      </c>
      <c r="R498" s="188">
        <f t="shared" si="24"/>
        <v>85</v>
      </c>
      <c r="AG498" s="181" t="s">
        <v>300</v>
      </c>
    </row>
    <row r="499" spans="1:33" hidden="1">
      <c r="A499" s="240">
        <f t="shared" si="23"/>
        <v>332</v>
      </c>
      <c r="B499" s="181" t="s">
        <v>1614</v>
      </c>
      <c r="C499" s="8">
        <v>100.3</v>
      </c>
      <c r="D499" s="1" t="s">
        <v>835</v>
      </c>
      <c r="E499"/>
      <c r="F499" s="188">
        <v>21.2</v>
      </c>
      <c r="G499" s="187" t="s">
        <v>835</v>
      </c>
      <c r="H499" s="181" t="s">
        <v>1836</v>
      </c>
      <c r="I499" s="8">
        <f>(C12)</f>
        <v>95</v>
      </c>
      <c r="J499" s="2" t="s">
        <v>835</v>
      </c>
      <c r="K499" s="8">
        <f t="shared" si="25"/>
        <v>2014</v>
      </c>
      <c r="N499" s="181" t="s">
        <v>419</v>
      </c>
      <c r="O499" s="181" t="s">
        <v>1781</v>
      </c>
      <c r="P499" s="181" t="s">
        <v>940</v>
      </c>
      <c r="Q499" s="181" t="s">
        <v>419</v>
      </c>
      <c r="R499" s="188">
        <f>(C56)</f>
        <v>12.1</v>
      </c>
    </row>
    <row r="500" spans="1:33" hidden="1">
      <c r="A500" s="240">
        <f t="shared" si="23"/>
        <v>333</v>
      </c>
      <c r="B500" s="181" t="s">
        <v>1782</v>
      </c>
      <c r="C500"/>
      <c r="D500" s="1" t="s">
        <v>940</v>
      </c>
      <c r="E500"/>
      <c r="F500" s="188">
        <v>35.299999999999997</v>
      </c>
      <c r="G500" s="187" t="s">
        <v>835</v>
      </c>
      <c r="H500" s="181" t="s">
        <v>299</v>
      </c>
      <c r="I500" s="8">
        <f>(C13)</f>
        <v>85</v>
      </c>
      <c r="J500" s="2" t="s">
        <v>835</v>
      </c>
      <c r="K500" s="8">
        <f t="shared" si="25"/>
        <v>3000.5</v>
      </c>
      <c r="O500" s="181" t="s">
        <v>1783</v>
      </c>
      <c r="P500" s="181" t="s">
        <v>940</v>
      </c>
      <c r="R500" s="181" t="s">
        <v>940</v>
      </c>
    </row>
    <row r="501" spans="1:33" hidden="1">
      <c r="A501" s="240">
        <f t="shared" si="23"/>
        <v>334</v>
      </c>
      <c r="B501" s="181" t="s">
        <v>917</v>
      </c>
      <c r="C501" s="8">
        <v>9.4499999999999993</v>
      </c>
      <c r="D501" s="1" t="s">
        <v>835</v>
      </c>
      <c r="E501"/>
      <c r="G501" s="187" t="s">
        <v>419</v>
      </c>
      <c r="H501" s="181" t="s">
        <v>420</v>
      </c>
      <c r="I501" s="1" t="s">
        <v>940</v>
      </c>
      <c r="J501" s="2" t="s">
        <v>419</v>
      </c>
      <c r="K501" s="8">
        <v>0</v>
      </c>
      <c r="N501" s="181" t="s">
        <v>419</v>
      </c>
      <c r="O501" s="181" t="s">
        <v>420</v>
      </c>
      <c r="Q501" s="181" t="s">
        <v>419</v>
      </c>
      <c r="R501" s="188">
        <v>0</v>
      </c>
      <c r="AG501" s="181" t="s">
        <v>2175</v>
      </c>
    </row>
    <row r="502" spans="1:33" hidden="1">
      <c r="A502" s="240">
        <f t="shared" si="23"/>
        <v>335</v>
      </c>
      <c r="B502" s="181" t="s">
        <v>713</v>
      </c>
      <c r="C502" s="8">
        <v>15.6</v>
      </c>
      <c r="D502" s="1" t="s">
        <v>835</v>
      </c>
      <c r="E502"/>
      <c r="I502"/>
      <c r="J502" s="4"/>
      <c r="K502" s="5" t="s">
        <v>1530</v>
      </c>
      <c r="R502" s="185" t="s">
        <v>1530</v>
      </c>
      <c r="AG502" s="181" t="s">
        <v>2175</v>
      </c>
    </row>
    <row r="503" spans="1:33" hidden="1">
      <c r="A503" s="240">
        <f t="shared" si="23"/>
        <v>336</v>
      </c>
      <c r="B503" s="181" t="s">
        <v>1609</v>
      </c>
      <c r="C503" s="8">
        <v>15.6</v>
      </c>
      <c r="D503" s="1" t="s">
        <v>835</v>
      </c>
      <c r="E503"/>
      <c r="H503" s="181" t="s">
        <v>2089</v>
      </c>
      <c r="I503"/>
      <c r="J503" s="4"/>
      <c r="K503" s="8" t="e">
        <f>SUM(K495:K501)</f>
        <v>#REF!</v>
      </c>
      <c r="O503" s="181" t="s">
        <v>1784</v>
      </c>
      <c r="R503" s="188">
        <f>SUM(R491:R501)</f>
        <v>862.8</v>
      </c>
      <c r="AG503" s="181" t="s">
        <v>2175</v>
      </c>
    </row>
    <row r="504" spans="1:33" hidden="1">
      <c r="A504" s="240">
        <f t="shared" si="23"/>
        <v>337</v>
      </c>
      <c r="B504" s="181" t="s">
        <v>1785</v>
      </c>
      <c r="C504" s="8">
        <v>36.61</v>
      </c>
      <c r="D504" s="1" t="s">
        <v>835</v>
      </c>
      <c r="E504"/>
      <c r="I504"/>
      <c r="J504" s="4"/>
      <c r="K504" s="5" t="s">
        <v>1530</v>
      </c>
      <c r="R504" s="185" t="s">
        <v>1530</v>
      </c>
      <c r="AG504" s="181" t="s">
        <v>2175</v>
      </c>
    </row>
    <row r="505" spans="1:33" hidden="1">
      <c r="A505" s="240">
        <f t="shared" si="23"/>
        <v>338</v>
      </c>
      <c r="B505" s="181" t="s">
        <v>1611</v>
      </c>
      <c r="C505" s="8">
        <v>78.709999999999994</v>
      </c>
      <c r="D505" s="1" t="s">
        <v>835</v>
      </c>
      <c r="E505"/>
      <c r="H505" s="181" t="s">
        <v>743</v>
      </c>
      <c r="I505"/>
      <c r="J505" s="4"/>
      <c r="K505" s="8" t="e">
        <f>(K503/10)</f>
        <v>#REF!</v>
      </c>
      <c r="O505" s="181" t="s">
        <v>1490</v>
      </c>
      <c r="R505" s="188">
        <f>(R503/30)</f>
        <v>28.76</v>
      </c>
      <c r="AG505" s="181" t="s">
        <v>2175</v>
      </c>
    </row>
    <row r="506" spans="1:33" hidden="1">
      <c r="A506" s="240">
        <f t="shared" si="23"/>
        <v>339</v>
      </c>
      <c r="B506" s="181" t="s">
        <v>1614</v>
      </c>
      <c r="C506" s="8">
        <v>78.709999999999994</v>
      </c>
      <c r="D506" s="1" t="s">
        <v>835</v>
      </c>
      <c r="E506"/>
      <c r="I506"/>
      <c r="J506" s="4"/>
      <c r="K506"/>
      <c r="R506" s="185" t="s">
        <v>1530</v>
      </c>
      <c r="AG506" s="181" t="s">
        <v>2175</v>
      </c>
    </row>
    <row r="507" spans="1:33" hidden="1">
      <c r="A507" s="240">
        <f t="shared" si="23"/>
        <v>340</v>
      </c>
      <c r="B507" s="181" t="s">
        <v>1786</v>
      </c>
      <c r="C507"/>
      <c r="D507" s="1" t="s">
        <v>210</v>
      </c>
      <c r="E507"/>
      <c r="F507" s="188">
        <v>1</v>
      </c>
      <c r="G507" s="187" t="s">
        <v>836</v>
      </c>
      <c r="H507" s="181" t="s">
        <v>43</v>
      </c>
      <c r="I507"/>
      <c r="J507" s="4"/>
      <c r="K507" s="8">
        <f>(C25)</f>
        <v>20.7</v>
      </c>
      <c r="N507" s="181" t="s">
        <v>1500</v>
      </c>
      <c r="O507" s="236" t="s">
        <v>211</v>
      </c>
      <c r="AG507" s="181" t="s">
        <v>2175</v>
      </c>
    </row>
    <row r="508" spans="1:33" hidden="1">
      <c r="A508" s="240">
        <f t="shared" si="23"/>
        <v>341</v>
      </c>
      <c r="B508" s="181" t="s">
        <v>1030</v>
      </c>
      <c r="C508" s="8">
        <v>20.55</v>
      </c>
      <c r="D508" s="1" t="s">
        <v>1714</v>
      </c>
      <c r="E508"/>
      <c r="I508"/>
      <c r="J508" s="4"/>
      <c r="K508" s="5" t="s">
        <v>1530</v>
      </c>
      <c r="O508" s="185" t="s">
        <v>1530</v>
      </c>
      <c r="AG508" s="181" t="s">
        <v>2175</v>
      </c>
    </row>
    <row r="509" spans="1:33" hidden="1">
      <c r="A509" s="240">
        <f t="shared" si="23"/>
        <v>342</v>
      </c>
      <c r="B509" s="181" t="s">
        <v>1193</v>
      </c>
      <c r="C509" s="8">
        <v>32.9</v>
      </c>
      <c r="D509" s="1" t="s">
        <v>1714</v>
      </c>
      <c r="E509">
        <v>70</v>
      </c>
      <c r="H509" s="181" t="s">
        <v>1194</v>
      </c>
      <c r="I509"/>
      <c r="J509" s="4"/>
      <c r="K509" s="8" t="e">
        <f>SUM(K505:K507)</f>
        <v>#REF!</v>
      </c>
      <c r="M509" s="188">
        <v>30</v>
      </c>
      <c r="N509" s="181" t="s">
        <v>1714</v>
      </c>
      <c r="O509" s="181" t="s">
        <v>1610</v>
      </c>
      <c r="P509" s="188">
        <f>(C42)</f>
        <v>1.75</v>
      </c>
      <c r="Q509" s="181" t="s">
        <v>1714</v>
      </c>
      <c r="R509" s="188">
        <f>(M509*P509)</f>
        <v>52.5</v>
      </c>
      <c r="AG509" s="181" t="s">
        <v>2175</v>
      </c>
    </row>
    <row r="510" spans="1:33" hidden="1">
      <c r="A510" s="240">
        <f t="shared" si="23"/>
        <v>343</v>
      </c>
      <c r="B510" s="181" t="s">
        <v>1195</v>
      </c>
      <c r="C510" s="8">
        <v>48.8</v>
      </c>
      <c r="D510" s="1" t="s">
        <v>1714</v>
      </c>
      <c r="E510"/>
      <c r="I510"/>
      <c r="J510" s="4"/>
      <c r="K510" s="5" t="s">
        <v>1530</v>
      </c>
      <c r="M510" s="181" t="s">
        <v>940</v>
      </c>
      <c r="O510" s="181" t="s">
        <v>1613</v>
      </c>
      <c r="P510" s="181" t="s">
        <v>940</v>
      </c>
      <c r="R510" s="181" t="s">
        <v>940</v>
      </c>
      <c r="AG510" s="181" t="s">
        <v>2175</v>
      </c>
    </row>
    <row r="511" spans="1:33" hidden="1">
      <c r="A511" s="240">
        <f t="shared" si="23"/>
        <v>344</v>
      </c>
      <c r="B511" s="181" t="s">
        <v>1196</v>
      </c>
      <c r="C511" s="8">
        <v>65.7</v>
      </c>
      <c r="D511" s="1" t="s">
        <v>1714</v>
      </c>
      <c r="E511"/>
      <c r="G511" s="187" t="s">
        <v>1197</v>
      </c>
      <c r="H511" s="181" t="s">
        <v>361</v>
      </c>
      <c r="I511"/>
      <c r="J511" s="4"/>
      <c r="K511" s="8" t="e">
        <f>(K509+C22)</f>
        <v>#REF!</v>
      </c>
      <c r="M511" s="188">
        <v>8</v>
      </c>
      <c r="N511" s="181" t="s">
        <v>835</v>
      </c>
      <c r="O511" s="181" t="s">
        <v>2062</v>
      </c>
      <c r="P511" s="188">
        <f>(C44)</f>
        <v>2.2000000000000002</v>
      </c>
      <c r="Q511" s="181" t="s">
        <v>835</v>
      </c>
      <c r="R511" s="188">
        <f t="shared" ref="R511:R516" si="26">(M511*P511)</f>
        <v>17.600000000000001</v>
      </c>
      <c r="AG511" s="181" t="s">
        <v>2175</v>
      </c>
    </row>
    <row r="512" spans="1:33" hidden="1">
      <c r="A512" s="240">
        <f t="shared" si="23"/>
        <v>345</v>
      </c>
      <c r="B512" s="181" t="s">
        <v>1198</v>
      </c>
      <c r="C512" s="8">
        <v>69.099999999999994</v>
      </c>
      <c r="D512" s="8">
        <v>21</v>
      </c>
      <c r="E512"/>
      <c r="G512" s="187" t="s">
        <v>1199</v>
      </c>
      <c r="H512" s="181" t="s">
        <v>363</v>
      </c>
      <c r="I512"/>
      <c r="J512" s="4"/>
      <c r="K512" s="8" t="e">
        <f>(K511+C23)</f>
        <v>#REF!</v>
      </c>
      <c r="M512" s="188">
        <v>8</v>
      </c>
      <c r="N512" s="181" t="s">
        <v>835</v>
      </c>
      <c r="O512" s="181" t="s">
        <v>437</v>
      </c>
      <c r="P512" s="188">
        <f>(C51)</f>
        <v>3.2</v>
      </c>
      <c r="Q512" s="181" t="s">
        <v>835</v>
      </c>
      <c r="R512" s="188">
        <f t="shared" si="26"/>
        <v>25.6</v>
      </c>
      <c r="AG512" s="181" t="s">
        <v>2175</v>
      </c>
    </row>
    <row r="513" spans="1:33" hidden="1">
      <c r="A513" s="240">
        <f t="shared" si="23"/>
        <v>346</v>
      </c>
      <c r="B513" s="181" t="s">
        <v>351</v>
      </c>
      <c r="C513" s="8">
        <v>94.12</v>
      </c>
      <c r="D513" s="8">
        <v>37.15</v>
      </c>
      <c r="E513"/>
      <c r="G513" s="187" t="s">
        <v>395</v>
      </c>
      <c r="H513" s="181" t="s">
        <v>2149</v>
      </c>
      <c r="I513"/>
      <c r="J513" s="4"/>
      <c r="K513" s="8" t="e">
        <f>(K512+C24)</f>
        <v>#REF!</v>
      </c>
      <c r="M513" s="188">
        <v>3</v>
      </c>
      <c r="N513" s="181" t="s">
        <v>835</v>
      </c>
      <c r="O513" s="181" t="s">
        <v>1779</v>
      </c>
      <c r="P513" s="188">
        <f>(C41)</f>
        <v>110</v>
      </c>
      <c r="Q513" s="181" t="s">
        <v>835</v>
      </c>
      <c r="R513" s="188">
        <f t="shared" si="26"/>
        <v>330</v>
      </c>
      <c r="AG513" s="181" t="s">
        <v>2175</v>
      </c>
    </row>
    <row r="514" spans="1:33" hidden="1">
      <c r="A514" s="240">
        <f t="shared" si="23"/>
        <v>347</v>
      </c>
      <c r="B514" s="181" t="s">
        <v>959</v>
      </c>
      <c r="C514"/>
      <c r="D514" s="1" t="s">
        <v>940</v>
      </c>
      <c r="E514"/>
      <c r="G514" s="187" t="s">
        <v>960</v>
      </c>
      <c r="H514" s="181" t="s">
        <v>355</v>
      </c>
      <c r="I514"/>
      <c r="J514" s="4"/>
      <c r="K514" s="8" t="e">
        <f>(K513+C24)</f>
        <v>#REF!</v>
      </c>
      <c r="M514" s="188">
        <v>1</v>
      </c>
      <c r="N514" s="181" t="s">
        <v>835</v>
      </c>
      <c r="O514" s="181" t="s">
        <v>1780</v>
      </c>
      <c r="P514" s="188">
        <f>(C10)</f>
        <v>150</v>
      </c>
      <c r="Q514" s="181" t="s">
        <v>835</v>
      </c>
      <c r="R514" s="188">
        <f t="shared" si="26"/>
        <v>150</v>
      </c>
      <c r="AG514" s="181" t="s">
        <v>2175</v>
      </c>
    </row>
    <row r="515" spans="1:33" hidden="1">
      <c r="A515" s="240">
        <f t="shared" si="23"/>
        <v>348</v>
      </c>
      <c r="B515" s="181" t="s">
        <v>1075</v>
      </c>
      <c r="C515" s="8">
        <v>4.1900000000000004</v>
      </c>
      <c r="D515" s="1" t="s">
        <v>835</v>
      </c>
      <c r="E515"/>
      <c r="I515"/>
      <c r="J515" s="4"/>
      <c r="K515"/>
      <c r="M515" s="188">
        <v>2</v>
      </c>
      <c r="N515" s="181" t="s">
        <v>835</v>
      </c>
      <c r="O515" s="181" t="s">
        <v>1836</v>
      </c>
      <c r="P515" s="188">
        <f>(C12)</f>
        <v>95</v>
      </c>
      <c r="Q515" s="181" t="s">
        <v>835</v>
      </c>
      <c r="R515" s="188">
        <f t="shared" si="26"/>
        <v>190</v>
      </c>
      <c r="AG515" s="181" t="s">
        <v>2175</v>
      </c>
    </row>
    <row r="516" spans="1:33" hidden="1">
      <c r="A516" s="240">
        <f t="shared" si="23"/>
        <v>349</v>
      </c>
      <c r="B516" s="181" t="s">
        <v>1076</v>
      </c>
      <c r="C516" s="8">
        <v>5</v>
      </c>
      <c r="D516" s="1" t="s">
        <v>835</v>
      </c>
      <c r="E516"/>
      <c r="F516" s="236" t="s">
        <v>961</v>
      </c>
      <c r="G516" s="187" t="s">
        <v>2167</v>
      </c>
      <c r="H516" s="181" t="s">
        <v>962</v>
      </c>
      <c r="I516"/>
      <c r="J516" s="4"/>
      <c r="K516"/>
      <c r="M516" s="188">
        <v>1</v>
      </c>
      <c r="N516" s="181" t="s">
        <v>835</v>
      </c>
      <c r="O516" s="181" t="s">
        <v>299</v>
      </c>
      <c r="P516" s="188">
        <f>(C13)</f>
        <v>85</v>
      </c>
      <c r="Q516" s="181" t="s">
        <v>835</v>
      </c>
      <c r="R516" s="188">
        <f t="shared" si="26"/>
        <v>85</v>
      </c>
      <c r="AG516" s="181" t="s">
        <v>2175</v>
      </c>
    </row>
    <row r="517" spans="1:33" hidden="1">
      <c r="A517" s="240">
        <f t="shared" si="23"/>
        <v>350</v>
      </c>
      <c r="B517" s="181" t="s">
        <v>1077</v>
      </c>
      <c r="C517" s="8">
        <v>8.06</v>
      </c>
      <c r="D517" s="1" t="s">
        <v>835</v>
      </c>
      <c r="E517"/>
      <c r="H517" s="185" t="s">
        <v>1530</v>
      </c>
      <c r="I517"/>
      <c r="J517" s="4"/>
      <c r="K517"/>
      <c r="N517" s="181" t="s">
        <v>419</v>
      </c>
      <c r="O517" s="181" t="s">
        <v>1781</v>
      </c>
      <c r="P517" s="181" t="s">
        <v>940</v>
      </c>
      <c r="Q517" s="181" t="s">
        <v>419</v>
      </c>
      <c r="R517" s="188">
        <f>(C56)</f>
        <v>12.1</v>
      </c>
      <c r="AG517" s="181" t="s">
        <v>2175</v>
      </c>
    </row>
    <row r="518" spans="1:33" hidden="1">
      <c r="A518" s="240">
        <f t="shared" si="23"/>
        <v>351</v>
      </c>
      <c r="B518" s="181" t="s">
        <v>1078</v>
      </c>
      <c r="C518" s="8">
        <v>11.86</v>
      </c>
      <c r="D518" s="1" t="s">
        <v>835</v>
      </c>
      <c r="E518"/>
      <c r="F518" s="245">
        <v>1.4999999999999999E-2</v>
      </c>
      <c r="G518" s="187" t="s">
        <v>836</v>
      </c>
      <c r="H518" s="181" t="s">
        <v>963</v>
      </c>
      <c r="I518" s="8" t="e">
        <f>(K505)</f>
        <v>#REF!</v>
      </c>
      <c r="J518" s="2" t="s">
        <v>836</v>
      </c>
      <c r="K518" s="8" t="e">
        <f>(F518*I518)</f>
        <v>#REF!</v>
      </c>
      <c r="O518" s="181" t="s">
        <v>1783</v>
      </c>
      <c r="P518" s="181" t="s">
        <v>940</v>
      </c>
      <c r="R518" s="181" t="s">
        <v>940</v>
      </c>
      <c r="AG518" s="181" t="s">
        <v>2175</v>
      </c>
    </row>
    <row r="519" spans="1:33" hidden="1">
      <c r="A519" s="240">
        <f t="shared" si="23"/>
        <v>352</v>
      </c>
      <c r="B519" s="181" t="s">
        <v>1080</v>
      </c>
      <c r="C519" s="8">
        <v>18.88</v>
      </c>
      <c r="D519" s="1" t="s">
        <v>835</v>
      </c>
      <c r="E519"/>
      <c r="F519" s="188">
        <v>0.5</v>
      </c>
      <c r="G519" s="187" t="s">
        <v>739</v>
      </c>
      <c r="H519" s="181" t="s">
        <v>1938</v>
      </c>
      <c r="I519" s="8">
        <f>(C10)</f>
        <v>150</v>
      </c>
      <c r="J519" s="2" t="s">
        <v>739</v>
      </c>
      <c r="K519" s="8">
        <f>(F519*I519)</f>
        <v>75</v>
      </c>
      <c r="N519" s="181" t="s">
        <v>419</v>
      </c>
      <c r="O519" s="181" t="s">
        <v>420</v>
      </c>
      <c r="Q519" s="181" t="s">
        <v>419</v>
      </c>
      <c r="R519" s="188">
        <v>0</v>
      </c>
      <c r="AG519" s="181" t="s">
        <v>2175</v>
      </c>
    </row>
    <row r="520" spans="1:33" hidden="1">
      <c r="A520" s="240">
        <f t="shared" si="23"/>
        <v>353</v>
      </c>
      <c r="B520" s="181" t="s">
        <v>225</v>
      </c>
      <c r="C520" s="8">
        <v>26</v>
      </c>
      <c r="D520" s="1" t="s">
        <v>835</v>
      </c>
      <c r="E520"/>
      <c r="F520" s="188">
        <v>0.75</v>
      </c>
      <c r="G520" s="187" t="s">
        <v>739</v>
      </c>
      <c r="H520" s="181" t="s">
        <v>1836</v>
      </c>
      <c r="I520" s="8">
        <f>(C12)</f>
        <v>95</v>
      </c>
      <c r="J520" s="2" t="s">
        <v>739</v>
      </c>
      <c r="K520" s="8">
        <f>(F520*I520)</f>
        <v>71.25</v>
      </c>
      <c r="R520" s="185" t="s">
        <v>1530</v>
      </c>
      <c r="AG520" s="181" t="s">
        <v>2175</v>
      </c>
    </row>
    <row r="521" spans="1:33" hidden="1">
      <c r="A521" s="240">
        <f t="shared" si="23"/>
        <v>354</v>
      </c>
      <c r="B521" s="181" t="s">
        <v>650</v>
      </c>
      <c r="C521"/>
      <c r="D521" s="1" t="s">
        <v>940</v>
      </c>
      <c r="E521"/>
      <c r="G521" s="187" t="s">
        <v>419</v>
      </c>
      <c r="H521" s="181" t="s">
        <v>420</v>
      </c>
      <c r="I521"/>
      <c r="J521" s="2" t="s">
        <v>419</v>
      </c>
      <c r="K521" s="8">
        <v>0</v>
      </c>
      <c r="O521" s="181" t="s">
        <v>1784</v>
      </c>
      <c r="R521" s="188">
        <f>SUM(R509:R519)</f>
        <v>862.8</v>
      </c>
      <c r="AG521" s="181" t="s">
        <v>2175</v>
      </c>
    </row>
    <row r="522" spans="1:33" hidden="1">
      <c r="A522" s="240">
        <f t="shared" si="23"/>
        <v>355</v>
      </c>
      <c r="B522" s="181" t="s">
        <v>1075</v>
      </c>
      <c r="C522" s="8">
        <v>4.62</v>
      </c>
      <c r="D522" s="1" t="s">
        <v>835</v>
      </c>
      <c r="E522"/>
      <c r="I522"/>
      <c r="J522" s="4"/>
      <c r="K522" s="5" t="s">
        <v>1530</v>
      </c>
      <c r="R522" s="185" t="s">
        <v>1530</v>
      </c>
      <c r="AG522" s="181" t="s">
        <v>2175</v>
      </c>
    </row>
    <row r="523" spans="1:33" hidden="1">
      <c r="A523" s="240">
        <f t="shared" si="23"/>
        <v>356</v>
      </c>
      <c r="B523" s="181" t="s">
        <v>1076</v>
      </c>
      <c r="C523" s="8">
        <v>7.83</v>
      </c>
      <c r="D523" s="1" t="s">
        <v>835</v>
      </c>
      <c r="E523"/>
      <c r="H523" s="181" t="s">
        <v>1691</v>
      </c>
      <c r="I523"/>
      <c r="J523" s="4"/>
      <c r="K523" s="8" t="e">
        <f>SUM(K518:K521)</f>
        <v>#REF!</v>
      </c>
      <c r="O523" s="181" t="s">
        <v>1490</v>
      </c>
      <c r="R523" s="188">
        <f>(R521/30)</f>
        <v>28.76</v>
      </c>
      <c r="AG523" s="181" t="s">
        <v>2175</v>
      </c>
    </row>
    <row r="524" spans="1:33" hidden="1">
      <c r="A524" s="240">
        <f t="shared" ref="A524:A546" si="27">(A523+1)</f>
        <v>357</v>
      </c>
      <c r="B524" s="181" t="s">
        <v>1077</v>
      </c>
      <c r="C524" s="8">
        <v>11.38</v>
      </c>
      <c r="D524" s="1" t="s">
        <v>835</v>
      </c>
      <c r="E524"/>
      <c r="I524"/>
      <c r="J524" s="4"/>
      <c r="K524" s="5" t="s">
        <v>1530</v>
      </c>
      <c r="R524" s="185" t="s">
        <v>1530</v>
      </c>
      <c r="AG524" s="181" t="s">
        <v>2175</v>
      </c>
    </row>
    <row r="525" spans="1:33" hidden="1">
      <c r="A525" s="240">
        <f t="shared" si="27"/>
        <v>358</v>
      </c>
      <c r="B525" s="181" t="s">
        <v>1078</v>
      </c>
      <c r="C525" s="8">
        <v>18.75</v>
      </c>
      <c r="D525" s="1" t="s">
        <v>835</v>
      </c>
      <c r="E525"/>
      <c r="H525" s="181" t="s">
        <v>521</v>
      </c>
      <c r="I525"/>
      <c r="J525" s="4"/>
      <c r="K525" s="8" t="e">
        <f>(K523/0.743)</f>
        <v>#REF!</v>
      </c>
      <c r="AG525" s="181" t="s">
        <v>2175</v>
      </c>
    </row>
    <row r="526" spans="1:33" hidden="1">
      <c r="A526" s="240">
        <f t="shared" si="27"/>
        <v>359</v>
      </c>
      <c r="B526" s="181" t="s">
        <v>1080</v>
      </c>
      <c r="C526" s="8">
        <v>35.1</v>
      </c>
      <c r="D526" s="1" t="s">
        <v>835</v>
      </c>
      <c r="E526"/>
      <c r="I526"/>
      <c r="J526" s="4"/>
      <c r="K526" s="5" t="s">
        <v>1980</v>
      </c>
      <c r="AG526" s="181" t="s">
        <v>2175</v>
      </c>
    </row>
    <row r="527" spans="1:33" hidden="1">
      <c r="A527" s="240">
        <f t="shared" si="27"/>
        <v>360</v>
      </c>
      <c r="B527" s="181" t="s">
        <v>225</v>
      </c>
      <c r="C527" s="8">
        <v>45.57</v>
      </c>
      <c r="D527" s="1" t="s">
        <v>835</v>
      </c>
      <c r="E527"/>
      <c r="H527" s="181" t="s">
        <v>361</v>
      </c>
      <c r="I527" s="8" t="e">
        <f>K525</f>
        <v>#REF!</v>
      </c>
      <c r="J527" s="2">
        <f>C22*0.02</f>
        <v>0.53</v>
      </c>
      <c r="K527" s="8" t="e">
        <f>I527+J527</f>
        <v>#REF!</v>
      </c>
      <c r="N527" s="181" t="s">
        <v>1887</v>
      </c>
      <c r="O527" s="236" t="s">
        <v>1225</v>
      </c>
      <c r="AG527" s="181" t="s">
        <v>2175</v>
      </c>
    </row>
    <row r="528" spans="1:33" hidden="1">
      <c r="A528" s="240">
        <f t="shared" si="27"/>
        <v>361</v>
      </c>
      <c r="B528" s="181" t="s">
        <v>1087</v>
      </c>
      <c r="C528"/>
      <c r="D528" s="1" t="s">
        <v>940</v>
      </c>
      <c r="E528"/>
      <c r="H528" s="181" t="s">
        <v>363</v>
      </c>
      <c r="I528" s="8" t="e">
        <f>K527</f>
        <v>#REF!</v>
      </c>
      <c r="J528" s="2">
        <f>C23*0.02</f>
        <v>1.06</v>
      </c>
      <c r="K528" s="8" t="e">
        <f>I528+J528</f>
        <v>#REF!</v>
      </c>
      <c r="O528" s="185" t="s">
        <v>1530</v>
      </c>
      <c r="AG528" s="181" t="s">
        <v>2175</v>
      </c>
    </row>
    <row r="529" spans="1:33" hidden="1">
      <c r="A529" s="240">
        <f t="shared" si="27"/>
        <v>362</v>
      </c>
      <c r="B529" s="181" t="s">
        <v>1075</v>
      </c>
      <c r="C529" s="8">
        <v>7.8</v>
      </c>
      <c r="D529" s="1" t="s">
        <v>835</v>
      </c>
      <c r="E529"/>
      <c r="H529" s="181" t="s">
        <v>2149</v>
      </c>
      <c r="I529" s="8" t="e">
        <f>K528</f>
        <v>#REF!</v>
      </c>
      <c r="J529" s="2">
        <f>C23*0.02</f>
        <v>1.06</v>
      </c>
      <c r="K529" s="8" t="e">
        <f>I529+J529</f>
        <v>#REF!</v>
      </c>
      <c r="M529" s="188">
        <v>30</v>
      </c>
      <c r="N529" s="181" t="s">
        <v>1714</v>
      </c>
      <c r="O529" s="181" t="s">
        <v>1610</v>
      </c>
      <c r="P529" s="188">
        <f>(C42)</f>
        <v>1.75</v>
      </c>
      <c r="Q529" s="181" t="s">
        <v>1714</v>
      </c>
      <c r="R529" s="188">
        <f>(M529*P529)</f>
        <v>52.5</v>
      </c>
      <c r="AG529" s="181" t="s">
        <v>2175</v>
      </c>
    </row>
    <row r="530" spans="1:33" hidden="1">
      <c r="A530" s="240">
        <f t="shared" si="27"/>
        <v>363</v>
      </c>
      <c r="B530" s="181" t="s">
        <v>1076</v>
      </c>
      <c r="C530" s="8">
        <v>9.49</v>
      </c>
      <c r="D530" s="1" t="s">
        <v>835</v>
      </c>
      <c r="E530"/>
      <c r="H530" s="181" t="s">
        <v>355</v>
      </c>
      <c r="I530" s="8" t="e">
        <f>K529</f>
        <v>#REF!</v>
      </c>
      <c r="J530" s="2">
        <f>C23*0.02</f>
        <v>1.06</v>
      </c>
      <c r="K530" s="8" t="e">
        <f>I530+J530</f>
        <v>#REF!</v>
      </c>
      <c r="M530" s="181" t="s">
        <v>940</v>
      </c>
      <c r="O530" s="181" t="s">
        <v>1613</v>
      </c>
      <c r="P530" s="181" t="s">
        <v>940</v>
      </c>
      <c r="R530" s="181" t="s">
        <v>940</v>
      </c>
      <c r="AG530" s="181" t="s">
        <v>2175</v>
      </c>
    </row>
    <row r="531" spans="1:33" hidden="1">
      <c r="A531" s="240">
        <f t="shared" si="27"/>
        <v>364</v>
      </c>
      <c r="B531" s="181" t="s">
        <v>1077</v>
      </c>
      <c r="C531" s="8">
        <v>13.91</v>
      </c>
      <c r="D531" s="1" t="s">
        <v>835</v>
      </c>
      <c r="E531"/>
      <c r="H531" s="181" t="s">
        <v>363</v>
      </c>
      <c r="I531" s="8" t="e">
        <f>K530</f>
        <v>#REF!</v>
      </c>
      <c r="J531" s="2">
        <f>C24*0.02</f>
        <v>1.06</v>
      </c>
      <c r="K531" s="8" t="e">
        <f>I531+J531</f>
        <v>#REF!</v>
      </c>
      <c r="M531" s="188">
        <v>8</v>
      </c>
      <c r="N531" s="181" t="s">
        <v>835</v>
      </c>
      <c r="O531" s="181" t="s">
        <v>2062</v>
      </c>
      <c r="P531" s="188">
        <f>(C45)</f>
        <v>2.7</v>
      </c>
      <c r="Q531" s="181" t="s">
        <v>835</v>
      </c>
      <c r="R531" s="188">
        <f t="shared" ref="R531:R536" si="28">(M531*P531)</f>
        <v>21.6</v>
      </c>
      <c r="AG531" s="181" t="s">
        <v>2175</v>
      </c>
    </row>
    <row r="532" spans="1:33" hidden="1">
      <c r="A532" s="240">
        <f t="shared" si="27"/>
        <v>365</v>
      </c>
      <c r="B532" s="181" t="s">
        <v>1078</v>
      </c>
      <c r="C532" s="8">
        <v>26.59</v>
      </c>
      <c r="D532" s="1" t="s">
        <v>835</v>
      </c>
      <c r="E532"/>
      <c r="F532" s="236" t="s">
        <v>1088</v>
      </c>
      <c r="G532" s="187" t="s">
        <v>2167</v>
      </c>
      <c r="H532" s="181" t="s">
        <v>242</v>
      </c>
      <c r="I532"/>
      <c r="J532" s="4"/>
      <c r="K532"/>
      <c r="M532" s="188">
        <v>8</v>
      </c>
      <c r="N532" s="181" t="s">
        <v>835</v>
      </c>
      <c r="O532" s="181" t="s">
        <v>437</v>
      </c>
      <c r="P532" s="188">
        <f>(C52)</f>
        <v>6.4</v>
      </c>
      <c r="Q532" s="181" t="s">
        <v>835</v>
      </c>
      <c r="R532" s="188">
        <f t="shared" si="28"/>
        <v>51.2</v>
      </c>
      <c r="AG532" s="181" t="s">
        <v>2175</v>
      </c>
    </row>
    <row r="533" spans="1:33" hidden="1">
      <c r="A533" s="240">
        <f t="shared" si="27"/>
        <v>366</v>
      </c>
      <c r="B533" s="181" t="s">
        <v>1080</v>
      </c>
      <c r="C533" s="8">
        <v>39.909999999999997</v>
      </c>
      <c r="D533" s="1" t="s">
        <v>835</v>
      </c>
      <c r="E533"/>
      <c r="H533" s="185" t="s">
        <v>1530</v>
      </c>
      <c r="I533"/>
      <c r="J533" s="4"/>
      <c r="K533"/>
      <c r="M533" s="188">
        <v>3</v>
      </c>
      <c r="N533" s="181" t="s">
        <v>835</v>
      </c>
      <c r="O533" s="181" t="s">
        <v>1779</v>
      </c>
      <c r="P533" s="188">
        <f>(C41)</f>
        <v>110</v>
      </c>
      <c r="Q533" s="181" t="s">
        <v>835</v>
      </c>
      <c r="R533" s="188">
        <f t="shared" si="28"/>
        <v>330</v>
      </c>
      <c r="AG533" s="181" t="s">
        <v>2175</v>
      </c>
    </row>
    <row r="534" spans="1:33" hidden="1">
      <c r="A534" s="240">
        <f t="shared" si="27"/>
        <v>367</v>
      </c>
      <c r="B534" s="181" t="s">
        <v>225</v>
      </c>
      <c r="C534" s="8">
        <v>66</v>
      </c>
      <c r="D534" s="1" t="s">
        <v>835</v>
      </c>
      <c r="E534"/>
      <c r="F534" s="188">
        <v>0.03</v>
      </c>
      <c r="G534" s="187" t="s">
        <v>836</v>
      </c>
      <c r="H534" s="181" t="s">
        <v>963</v>
      </c>
      <c r="I534" s="8" t="e">
        <f>(K505)</f>
        <v>#REF!</v>
      </c>
      <c r="J534" s="2" t="s">
        <v>836</v>
      </c>
      <c r="K534" s="8" t="e">
        <f>(F534*I534)</f>
        <v>#REF!</v>
      </c>
      <c r="M534" s="188">
        <v>1</v>
      </c>
      <c r="N534" s="181" t="s">
        <v>835</v>
      </c>
      <c r="O534" s="181" t="s">
        <v>1780</v>
      </c>
      <c r="P534" s="188">
        <f>(C10)</f>
        <v>150</v>
      </c>
      <c r="Q534" s="181" t="s">
        <v>835</v>
      </c>
      <c r="R534" s="188">
        <f t="shared" si="28"/>
        <v>150</v>
      </c>
      <c r="AG534" s="181" t="s">
        <v>2175</v>
      </c>
    </row>
    <row r="535" spans="1:33" hidden="1">
      <c r="A535" s="240">
        <f t="shared" si="27"/>
        <v>368</v>
      </c>
      <c r="B535" s="181" t="s">
        <v>1089</v>
      </c>
      <c r="C535"/>
      <c r="D535" s="1" t="s">
        <v>940</v>
      </c>
      <c r="E535"/>
      <c r="F535" s="188">
        <v>0.5</v>
      </c>
      <c r="G535" s="187" t="s">
        <v>739</v>
      </c>
      <c r="H535" s="181" t="s">
        <v>1938</v>
      </c>
      <c r="I535" s="8">
        <f>(C10)</f>
        <v>150</v>
      </c>
      <c r="J535" s="2" t="s">
        <v>739</v>
      </c>
      <c r="K535" s="8">
        <f>(F535*I535)</f>
        <v>75</v>
      </c>
      <c r="M535" s="188">
        <v>2</v>
      </c>
      <c r="N535" s="181" t="s">
        <v>835</v>
      </c>
      <c r="O535" s="181" t="s">
        <v>1836</v>
      </c>
      <c r="P535" s="188">
        <f>(C12)</f>
        <v>95</v>
      </c>
      <c r="Q535" s="181" t="s">
        <v>835</v>
      </c>
      <c r="R535" s="188">
        <f t="shared" si="28"/>
        <v>190</v>
      </c>
      <c r="AG535" s="181" t="s">
        <v>2175</v>
      </c>
    </row>
    <row r="536" spans="1:33" hidden="1">
      <c r="A536" s="240">
        <f t="shared" si="27"/>
        <v>369</v>
      </c>
      <c r="B536" s="181" t="s">
        <v>917</v>
      </c>
      <c r="C536" s="8">
        <v>4.75</v>
      </c>
      <c r="D536" s="1" t="s">
        <v>835</v>
      </c>
      <c r="E536"/>
      <c r="F536" s="188">
        <v>0.75</v>
      </c>
      <c r="G536" s="187" t="s">
        <v>739</v>
      </c>
      <c r="H536" s="181" t="s">
        <v>1836</v>
      </c>
      <c r="I536" s="8">
        <f>(C12)</f>
        <v>95</v>
      </c>
      <c r="J536" s="2" t="s">
        <v>739</v>
      </c>
      <c r="K536" s="8">
        <f>(F536*I536)</f>
        <v>71.25</v>
      </c>
      <c r="M536" s="188">
        <v>1</v>
      </c>
      <c r="N536" s="181" t="s">
        <v>835</v>
      </c>
      <c r="O536" s="181" t="s">
        <v>299</v>
      </c>
      <c r="P536" s="188">
        <f>(C13)</f>
        <v>85</v>
      </c>
      <c r="Q536" s="181" t="s">
        <v>835</v>
      </c>
      <c r="R536" s="188">
        <f t="shared" si="28"/>
        <v>85</v>
      </c>
      <c r="AG536" s="181" t="s">
        <v>2175</v>
      </c>
    </row>
    <row r="537" spans="1:33" hidden="1">
      <c r="A537" s="240">
        <f t="shared" si="27"/>
        <v>370</v>
      </c>
      <c r="B537" s="181" t="s">
        <v>713</v>
      </c>
      <c r="C537" s="8">
        <v>6.89</v>
      </c>
      <c r="D537" s="1" t="s">
        <v>835</v>
      </c>
      <c r="E537"/>
      <c r="G537" s="187" t="s">
        <v>419</v>
      </c>
      <c r="H537" s="181" t="s">
        <v>420</v>
      </c>
      <c r="I537"/>
      <c r="J537" s="2" t="s">
        <v>419</v>
      </c>
      <c r="K537" s="8">
        <v>0</v>
      </c>
      <c r="N537" s="181" t="s">
        <v>419</v>
      </c>
      <c r="O537" s="181" t="s">
        <v>1781</v>
      </c>
      <c r="P537" s="181" t="s">
        <v>940</v>
      </c>
      <c r="Q537" s="181" t="s">
        <v>419</v>
      </c>
      <c r="R537" s="188">
        <f>(C56)</f>
        <v>12.1</v>
      </c>
      <c r="AG537" s="181" t="s">
        <v>2175</v>
      </c>
    </row>
    <row r="538" spans="1:33" hidden="1">
      <c r="A538" s="240">
        <f t="shared" si="27"/>
        <v>371</v>
      </c>
      <c r="B538" s="181" t="s">
        <v>1609</v>
      </c>
      <c r="C538" s="8">
        <v>6.18</v>
      </c>
      <c r="D538" s="1" t="s">
        <v>835</v>
      </c>
      <c r="E538"/>
      <c r="I538"/>
      <c r="J538" s="4"/>
      <c r="K538" s="5" t="s">
        <v>1530</v>
      </c>
      <c r="O538" s="181" t="s">
        <v>1783</v>
      </c>
      <c r="P538" s="181" t="s">
        <v>940</v>
      </c>
      <c r="R538" s="181" t="s">
        <v>940</v>
      </c>
      <c r="AG538" s="181" t="s">
        <v>2175</v>
      </c>
    </row>
    <row r="539" spans="1:33" hidden="1">
      <c r="A539" s="240">
        <f t="shared" si="27"/>
        <v>372</v>
      </c>
      <c r="B539" s="181" t="s">
        <v>1090</v>
      </c>
      <c r="C539" s="8">
        <v>13.29</v>
      </c>
      <c r="D539" s="1" t="s">
        <v>835</v>
      </c>
      <c r="E539"/>
      <c r="H539" s="181" t="s">
        <v>1691</v>
      </c>
      <c r="I539"/>
      <c r="J539" s="4"/>
      <c r="K539" s="8" t="e">
        <f>SUM(K534:K537)</f>
        <v>#REF!</v>
      </c>
      <c r="N539" s="181" t="s">
        <v>419</v>
      </c>
      <c r="O539" s="181" t="s">
        <v>420</v>
      </c>
      <c r="Q539" s="181" t="s">
        <v>419</v>
      </c>
      <c r="R539" s="188">
        <v>0</v>
      </c>
      <c r="AG539" s="181" t="s">
        <v>2175</v>
      </c>
    </row>
    <row r="540" spans="1:33" hidden="1">
      <c r="A540" s="240">
        <f t="shared" si="27"/>
        <v>373</v>
      </c>
      <c r="B540" s="181" t="s">
        <v>1091</v>
      </c>
      <c r="C540" s="8">
        <v>14.11</v>
      </c>
      <c r="D540" s="1" t="s">
        <v>835</v>
      </c>
      <c r="E540"/>
      <c r="I540"/>
      <c r="J540" s="4"/>
      <c r="K540" s="5" t="s">
        <v>1530</v>
      </c>
      <c r="R540" s="185" t="s">
        <v>1530</v>
      </c>
      <c r="AG540" s="181" t="s">
        <v>2175</v>
      </c>
    </row>
    <row r="541" spans="1:33" hidden="1">
      <c r="A541" s="240">
        <f t="shared" si="27"/>
        <v>374</v>
      </c>
      <c r="B541" s="181" t="s">
        <v>1092</v>
      </c>
      <c r="C541" s="8">
        <v>14.69</v>
      </c>
      <c r="D541" s="1" t="s">
        <v>835</v>
      </c>
      <c r="E541"/>
      <c r="H541" s="181" t="s">
        <v>521</v>
      </c>
      <c r="I541"/>
      <c r="J541" s="4"/>
      <c r="K541" s="8" t="e">
        <f>(K539/0.743)</f>
        <v>#REF!</v>
      </c>
      <c r="O541" s="181" t="s">
        <v>1784</v>
      </c>
      <c r="R541" s="188">
        <f>SUM(R529:R539)</f>
        <v>892.4</v>
      </c>
      <c r="AG541" s="181" t="s">
        <v>2175</v>
      </c>
    </row>
    <row r="542" spans="1:33" hidden="1">
      <c r="A542" s="240">
        <f t="shared" si="27"/>
        <v>375</v>
      </c>
      <c r="B542" s="181" t="s">
        <v>1798</v>
      </c>
      <c r="C542"/>
      <c r="D542" s="1" t="s">
        <v>940</v>
      </c>
      <c r="E542"/>
      <c r="I542"/>
      <c r="J542" s="4"/>
      <c r="K542" s="5" t="s">
        <v>1980</v>
      </c>
      <c r="R542" s="185" t="s">
        <v>1530</v>
      </c>
      <c r="AG542" s="181" t="s">
        <v>2175</v>
      </c>
    </row>
    <row r="543" spans="1:33" hidden="1">
      <c r="A543" s="240">
        <f t="shared" si="27"/>
        <v>376</v>
      </c>
      <c r="B543" s="181" t="s">
        <v>917</v>
      </c>
      <c r="C543" s="8">
        <v>10.3</v>
      </c>
      <c r="D543" s="1" t="s">
        <v>835</v>
      </c>
      <c r="E543"/>
      <c r="H543" s="181" t="s">
        <v>361</v>
      </c>
      <c r="I543" s="8" t="e">
        <f>K541</f>
        <v>#REF!</v>
      </c>
      <c r="J543" s="2">
        <f>C22*0.04</f>
        <v>1.06</v>
      </c>
      <c r="K543" s="8" t="e">
        <f>I543+J543</f>
        <v>#REF!</v>
      </c>
      <c r="O543" s="181" t="s">
        <v>1490</v>
      </c>
      <c r="R543" s="188">
        <f>(R541/30)</f>
        <v>29.75</v>
      </c>
      <c r="AG543" s="181" t="s">
        <v>2175</v>
      </c>
    </row>
    <row r="544" spans="1:33" hidden="1">
      <c r="A544" s="240">
        <f t="shared" si="27"/>
        <v>377</v>
      </c>
      <c r="B544" s="181" t="s">
        <v>713</v>
      </c>
      <c r="C544" s="8">
        <v>19.05</v>
      </c>
      <c r="D544" s="1" t="s">
        <v>835</v>
      </c>
      <c r="E544"/>
      <c r="H544" s="181" t="s">
        <v>363</v>
      </c>
      <c r="I544" s="8" t="e">
        <f>K543</f>
        <v>#REF!</v>
      </c>
      <c r="J544" s="2">
        <f>C23*0.04</f>
        <v>2.11</v>
      </c>
      <c r="K544" s="8" t="e">
        <f>I544+J544</f>
        <v>#REF!</v>
      </c>
      <c r="R544" s="185" t="s">
        <v>1530</v>
      </c>
      <c r="AG544" s="181" t="s">
        <v>2175</v>
      </c>
    </row>
    <row r="545" spans="1:33" hidden="1">
      <c r="A545" s="240">
        <f t="shared" si="27"/>
        <v>378</v>
      </c>
      <c r="B545" s="181" t="s">
        <v>1609</v>
      </c>
      <c r="C545" s="8">
        <v>15.34</v>
      </c>
      <c r="D545" s="1" t="s">
        <v>835</v>
      </c>
      <c r="E545"/>
      <c r="H545" s="181" t="s">
        <v>2149</v>
      </c>
      <c r="I545" s="8" t="e">
        <f>K544</f>
        <v>#REF!</v>
      </c>
      <c r="J545" s="2">
        <f>C23*0.04</f>
        <v>2.11</v>
      </c>
      <c r="K545" s="8" t="e">
        <f>I545+J545</f>
        <v>#REF!</v>
      </c>
      <c r="N545" s="181" t="s">
        <v>2167</v>
      </c>
      <c r="O545" s="181" t="s">
        <v>1974</v>
      </c>
      <c r="AG545" s="181" t="s">
        <v>2175</v>
      </c>
    </row>
    <row r="546" spans="1:33" hidden="1">
      <c r="A546" s="240">
        <f t="shared" si="27"/>
        <v>379</v>
      </c>
      <c r="B546" s="181" t="s">
        <v>1799</v>
      </c>
      <c r="C546" s="8">
        <v>29.41</v>
      </c>
      <c r="D546" s="1" t="s">
        <v>835</v>
      </c>
      <c r="E546"/>
      <c r="H546" s="181" t="s">
        <v>355</v>
      </c>
      <c r="I546" s="8" t="e">
        <f>K545</f>
        <v>#REF!</v>
      </c>
      <c r="J546" s="2">
        <f>C23*0.04</f>
        <v>2.11</v>
      </c>
      <c r="K546" s="8" t="e">
        <f>I546+J546</f>
        <v>#REF!</v>
      </c>
      <c r="O546" s="181" t="s">
        <v>1800</v>
      </c>
      <c r="AG546" s="181" t="s">
        <v>2175</v>
      </c>
    </row>
    <row r="547" spans="1:33" hidden="1">
      <c r="C547"/>
      <c r="D547"/>
      <c r="E547"/>
      <c r="F547" s="181" t="s">
        <v>940</v>
      </c>
      <c r="H547" s="181" t="s">
        <v>363</v>
      </c>
      <c r="I547" s="8" t="e">
        <f>K546</f>
        <v>#REF!</v>
      </c>
      <c r="J547" s="2">
        <f>C24*0.04</f>
        <v>2.11</v>
      </c>
      <c r="K547" s="8" t="e">
        <f>I547+J547</f>
        <v>#REF!</v>
      </c>
    </row>
    <row r="548" spans="1:33" hidden="1">
      <c r="A548" s="240">
        <f>(A546+1)</f>
        <v>380</v>
      </c>
      <c r="B548" s="181" t="s">
        <v>1091</v>
      </c>
      <c r="C548" s="8">
        <v>38.35</v>
      </c>
      <c r="D548" s="1" t="s">
        <v>835</v>
      </c>
      <c r="E548"/>
      <c r="I548"/>
      <c r="J548" s="4"/>
      <c r="K548"/>
      <c r="O548" s="181" t="s">
        <v>151</v>
      </c>
      <c r="AG548" s="181" t="s">
        <v>2175</v>
      </c>
    </row>
    <row r="549" spans="1:33" hidden="1">
      <c r="A549" s="240">
        <f t="shared" ref="A549:A564" si="29">(A548+1)</f>
        <v>381</v>
      </c>
      <c r="B549" s="181" t="s">
        <v>1092</v>
      </c>
      <c r="C549" s="8">
        <v>37.96</v>
      </c>
      <c r="D549" s="1" t="s">
        <v>835</v>
      </c>
      <c r="E549"/>
      <c r="F549" s="246"/>
      <c r="G549" s="187" t="s">
        <v>940</v>
      </c>
      <c r="H549" s="181" t="s">
        <v>131</v>
      </c>
      <c r="I549"/>
      <c r="J549" s="4"/>
      <c r="K549"/>
      <c r="O549" s="185" t="s">
        <v>1530</v>
      </c>
      <c r="AG549" s="181" t="s">
        <v>2175</v>
      </c>
    </row>
    <row r="550" spans="1:33" hidden="1">
      <c r="A550" s="240">
        <f t="shared" si="29"/>
        <v>382</v>
      </c>
      <c r="B550" s="181" t="s">
        <v>132</v>
      </c>
      <c r="C550"/>
      <c r="D550" s="1" t="s">
        <v>940</v>
      </c>
      <c r="E550"/>
      <c r="H550" s="181" t="s">
        <v>1218</v>
      </c>
      <c r="I550"/>
      <c r="J550" s="4"/>
      <c r="K550"/>
      <c r="AG550" s="181" t="s">
        <v>2175</v>
      </c>
    </row>
    <row r="551" spans="1:33" hidden="1">
      <c r="A551" s="240">
        <f t="shared" si="29"/>
        <v>383</v>
      </c>
      <c r="B551" s="181" t="s">
        <v>917</v>
      </c>
      <c r="C551" s="8">
        <v>6.68</v>
      </c>
      <c r="D551" s="1" t="s">
        <v>835</v>
      </c>
      <c r="E551"/>
      <c r="H551" s="181" t="s">
        <v>1219</v>
      </c>
      <c r="I551"/>
      <c r="J551" s="4"/>
      <c r="K551"/>
      <c r="N551" s="181" t="s">
        <v>152</v>
      </c>
      <c r="O551" s="181" t="s">
        <v>989</v>
      </c>
      <c r="AG551" s="181" t="s">
        <v>2175</v>
      </c>
    </row>
    <row r="552" spans="1:33" hidden="1">
      <c r="A552" s="240">
        <f t="shared" si="29"/>
        <v>384</v>
      </c>
      <c r="B552" s="181" t="s">
        <v>713</v>
      </c>
      <c r="C552" s="8">
        <v>9.4499999999999993</v>
      </c>
      <c r="D552" s="1" t="s">
        <v>835</v>
      </c>
      <c r="E552"/>
      <c r="H552" s="181" t="s">
        <v>990</v>
      </c>
      <c r="I552"/>
      <c r="J552" s="4"/>
      <c r="K552"/>
      <c r="O552" s="185" t="s">
        <v>1530</v>
      </c>
      <c r="AG552" s="181" t="s">
        <v>2175</v>
      </c>
    </row>
    <row r="553" spans="1:33" hidden="1">
      <c r="A553" s="240">
        <f t="shared" si="29"/>
        <v>385</v>
      </c>
      <c r="B553" s="181" t="s">
        <v>1609</v>
      </c>
      <c r="C553" s="8">
        <v>33.04</v>
      </c>
      <c r="D553" s="1" t="s">
        <v>835</v>
      </c>
      <c r="E553"/>
      <c r="H553" s="181" t="s">
        <v>991</v>
      </c>
      <c r="I553"/>
      <c r="J553" s="4"/>
      <c r="K553"/>
      <c r="M553" s="188">
        <v>8.1</v>
      </c>
      <c r="N553" s="181" t="s">
        <v>836</v>
      </c>
      <c r="O553" s="181" t="s">
        <v>586</v>
      </c>
      <c r="P553" s="188">
        <f>(C61)*2</f>
        <v>50</v>
      </c>
      <c r="Q553" s="181" t="s">
        <v>836</v>
      </c>
      <c r="R553" s="188">
        <f>(M553*P553)</f>
        <v>405</v>
      </c>
      <c r="AG553" s="181" t="s">
        <v>2175</v>
      </c>
    </row>
    <row r="554" spans="1:33" hidden="1">
      <c r="A554" s="240">
        <f t="shared" si="29"/>
        <v>386</v>
      </c>
      <c r="B554" s="181" t="s">
        <v>1799</v>
      </c>
      <c r="C554" s="8">
        <v>33.04</v>
      </c>
      <c r="D554" s="1" t="s">
        <v>835</v>
      </c>
      <c r="E554"/>
      <c r="H554" s="181" t="s">
        <v>1201</v>
      </c>
      <c r="I554"/>
      <c r="J554" s="4"/>
      <c r="K554"/>
      <c r="M554" s="188">
        <v>8.1</v>
      </c>
      <c r="N554" s="181" t="s">
        <v>836</v>
      </c>
      <c r="O554" s="181" t="s">
        <v>2076</v>
      </c>
      <c r="P554" s="188">
        <f>(C26)</f>
        <v>8.8000000000000007</v>
      </c>
      <c r="Q554" s="181" t="s">
        <v>836</v>
      </c>
      <c r="R554" s="188">
        <f>(M554*P554)</f>
        <v>71.28</v>
      </c>
      <c r="AG554" s="181" t="s">
        <v>2175</v>
      </c>
    </row>
    <row r="555" spans="1:33" hidden="1">
      <c r="A555" s="240">
        <f t="shared" si="29"/>
        <v>387</v>
      </c>
      <c r="B555" s="181" t="s">
        <v>1202</v>
      </c>
      <c r="C555" s="8">
        <v>33.04</v>
      </c>
      <c r="D555" s="1" t="s">
        <v>835</v>
      </c>
      <c r="E555"/>
      <c r="H555" s="181" t="s">
        <v>2340</v>
      </c>
      <c r="I555"/>
      <c r="J555" s="4"/>
      <c r="K555"/>
      <c r="M555" s="188">
        <v>30</v>
      </c>
      <c r="N555" s="181" t="s">
        <v>1714</v>
      </c>
      <c r="O555" s="181" t="s">
        <v>2077</v>
      </c>
      <c r="P555" s="188">
        <f>(C639)</f>
        <v>3</v>
      </c>
      <c r="Q555" s="181" t="s">
        <v>1714</v>
      </c>
      <c r="R555" s="188">
        <f>(M555*P555)</f>
        <v>90</v>
      </c>
      <c r="AG555" s="181" t="s">
        <v>300</v>
      </c>
    </row>
    <row r="556" spans="1:33" hidden="1">
      <c r="A556" s="240">
        <f t="shared" si="29"/>
        <v>388</v>
      </c>
      <c r="B556" s="181" t="s">
        <v>1203</v>
      </c>
      <c r="C556" s="8">
        <v>33.04</v>
      </c>
      <c r="D556" s="1" t="s">
        <v>835</v>
      </c>
      <c r="E556"/>
      <c r="H556" s="185" t="s">
        <v>1530</v>
      </c>
      <c r="I556" s="5" t="s">
        <v>1530</v>
      </c>
      <c r="J556" s="4"/>
      <c r="K556"/>
      <c r="O556" s="181" t="s">
        <v>1204</v>
      </c>
    </row>
    <row r="557" spans="1:33" hidden="1">
      <c r="A557" s="240">
        <f t="shared" si="29"/>
        <v>389</v>
      </c>
      <c r="B557" s="181" t="s">
        <v>579</v>
      </c>
      <c r="C557" s="8">
        <v>538</v>
      </c>
      <c r="D557" s="1" t="s">
        <v>835</v>
      </c>
      <c r="E557"/>
      <c r="G557" s="187" t="s">
        <v>657</v>
      </c>
      <c r="H557" s="181" t="s">
        <v>580</v>
      </c>
      <c r="I557"/>
      <c r="J557" s="4"/>
      <c r="K557"/>
      <c r="O557" s="181" t="s">
        <v>2079</v>
      </c>
    </row>
    <row r="558" spans="1:33" hidden="1">
      <c r="A558" s="240">
        <f t="shared" si="29"/>
        <v>390</v>
      </c>
      <c r="B558" s="181" t="s">
        <v>2196</v>
      </c>
      <c r="C558" s="8">
        <v>340</v>
      </c>
      <c r="D558" s="1" t="s">
        <v>835</v>
      </c>
      <c r="E558"/>
      <c r="H558" s="181" t="s">
        <v>2197</v>
      </c>
      <c r="I558"/>
      <c r="J558" s="4"/>
      <c r="K558"/>
      <c r="O558" s="181" t="s">
        <v>2080</v>
      </c>
      <c r="AG558" s="181" t="s">
        <v>2175</v>
      </c>
    </row>
    <row r="559" spans="1:33" hidden="1">
      <c r="A559" s="240">
        <f t="shared" si="29"/>
        <v>391</v>
      </c>
      <c r="B559" s="181" t="s">
        <v>2198</v>
      </c>
      <c r="C559" s="8">
        <v>1039</v>
      </c>
      <c r="D559" s="1" t="s">
        <v>835</v>
      </c>
      <c r="E559"/>
      <c r="F559" s="188">
        <v>10</v>
      </c>
      <c r="G559" s="187" t="s">
        <v>2199</v>
      </c>
      <c r="H559" s="181" t="s">
        <v>527</v>
      </c>
      <c r="I559" s="8">
        <f>C721</f>
        <v>227</v>
      </c>
      <c r="J559" s="2" t="s">
        <v>2199</v>
      </c>
      <c r="K559" s="8">
        <f>(F559*I559)</f>
        <v>2270</v>
      </c>
      <c r="O559" s="181" t="s">
        <v>2083</v>
      </c>
      <c r="AG559" s="181" t="s">
        <v>2175</v>
      </c>
    </row>
    <row r="560" spans="1:33" hidden="1">
      <c r="A560" s="240">
        <f t="shared" si="29"/>
        <v>392</v>
      </c>
      <c r="B560" s="181" t="s">
        <v>528</v>
      </c>
      <c r="C560" s="8">
        <v>100.44</v>
      </c>
      <c r="D560" s="1" t="s">
        <v>835</v>
      </c>
      <c r="E560"/>
      <c r="F560" s="188">
        <v>1</v>
      </c>
      <c r="G560" s="187" t="s">
        <v>529</v>
      </c>
      <c r="H560" s="181" t="s">
        <v>530</v>
      </c>
      <c r="I560" s="8">
        <f>C10</f>
        <v>150</v>
      </c>
      <c r="J560" s="2" t="s">
        <v>1341</v>
      </c>
      <c r="K560" s="8">
        <f>(F560*I560)</f>
        <v>150</v>
      </c>
      <c r="M560" s="188">
        <v>8</v>
      </c>
      <c r="N560" s="181" t="s">
        <v>739</v>
      </c>
      <c r="O560" s="181" t="s">
        <v>2062</v>
      </c>
      <c r="P560" s="188">
        <f>(C641)</f>
        <v>2.2000000000000002</v>
      </c>
      <c r="Q560" s="181" t="s">
        <v>739</v>
      </c>
      <c r="R560" s="188">
        <f>(M560*P560)</f>
        <v>17.600000000000001</v>
      </c>
      <c r="AG560" s="181" t="s">
        <v>2175</v>
      </c>
    </row>
    <row r="561" spans="1:33" hidden="1">
      <c r="A561" s="240">
        <f t="shared" si="29"/>
        <v>393</v>
      </c>
      <c r="B561" s="181" t="s">
        <v>791</v>
      </c>
      <c r="C561" s="8">
        <v>31</v>
      </c>
      <c r="D561" s="1" t="s">
        <v>1113</v>
      </c>
      <c r="E561"/>
      <c r="F561" s="188">
        <v>1</v>
      </c>
      <c r="G561" s="187" t="s">
        <v>529</v>
      </c>
      <c r="H561" s="181" t="s">
        <v>792</v>
      </c>
      <c r="I561" s="8">
        <f>C12</f>
        <v>95</v>
      </c>
      <c r="J561" s="2" t="s">
        <v>1341</v>
      </c>
      <c r="K561" s="8">
        <f>(F561*I561)</f>
        <v>95</v>
      </c>
      <c r="M561" s="188">
        <v>8</v>
      </c>
      <c r="N561" s="181" t="s">
        <v>739</v>
      </c>
      <c r="O561" s="181" t="s">
        <v>437</v>
      </c>
      <c r="P561" s="188">
        <f>(C642)</f>
        <v>3.2</v>
      </c>
      <c r="Q561" s="181" t="s">
        <v>739</v>
      </c>
      <c r="R561" s="188">
        <f>(M561*P561)</f>
        <v>25.6</v>
      </c>
      <c r="AG561" s="181" t="s">
        <v>2175</v>
      </c>
    </row>
    <row r="562" spans="1:33" hidden="1">
      <c r="A562" s="240">
        <f t="shared" si="29"/>
        <v>394</v>
      </c>
      <c r="B562" s="181" t="s">
        <v>2859</v>
      </c>
      <c r="C562" s="8">
        <v>71.239999999999995</v>
      </c>
      <c r="D562" s="1" t="s">
        <v>835</v>
      </c>
      <c r="E562"/>
      <c r="G562" s="187" t="s">
        <v>419</v>
      </c>
      <c r="H562" s="181" t="s">
        <v>58</v>
      </c>
      <c r="I562"/>
      <c r="J562" s="2" t="s">
        <v>419</v>
      </c>
      <c r="K562" s="8">
        <v>120</v>
      </c>
      <c r="M562" s="188">
        <v>1</v>
      </c>
      <c r="N562" s="181" t="s">
        <v>419</v>
      </c>
      <c r="O562" s="181" t="s">
        <v>1630</v>
      </c>
      <c r="P562" s="188">
        <f>(C643)</f>
        <v>4</v>
      </c>
      <c r="Q562" s="181" t="s">
        <v>419</v>
      </c>
      <c r="R562" s="188">
        <f>(M562*P562)</f>
        <v>4</v>
      </c>
      <c r="AG562" s="181" t="s">
        <v>2175</v>
      </c>
    </row>
    <row r="563" spans="1:33" hidden="1">
      <c r="A563" s="240">
        <f t="shared" si="29"/>
        <v>395</v>
      </c>
      <c r="B563" s="181" t="s">
        <v>59</v>
      </c>
      <c r="C563" s="8">
        <v>82.2</v>
      </c>
      <c r="D563" s="1" t="s">
        <v>835</v>
      </c>
      <c r="E563"/>
      <c r="H563" s="181" t="s">
        <v>894</v>
      </c>
      <c r="I563"/>
      <c r="J563" s="4"/>
      <c r="K563" s="5" t="s">
        <v>1530</v>
      </c>
      <c r="M563" s="188">
        <v>1</v>
      </c>
      <c r="N563" s="181" t="s">
        <v>419</v>
      </c>
      <c r="O563" s="181" t="s">
        <v>420</v>
      </c>
      <c r="Q563" s="181" t="s">
        <v>419</v>
      </c>
      <c r="R563" s="188">
        <v>0</v>
      </c>
      <c r="AG563" s="181" t="s">
        <v>2175</v>
      </c>
    </row>
    <row r="564" spans="1:33" hidden="1">
      <c r="A564" s="240">
        <f t="shared" si="29"/>
        <v>396</v>
      </c>
      <c r="B564" s="181" t="s">
        <v>1021</v>
      </c>
      <c r="C564" s="8">
        <v>57.51</v>
      </c>
      <c r="D564" s="1" t="s">
        <v>835</v>
      </c>
      <c r="E564"/>
      <c r="H564" s="236" t="s">
        <v>1022</v>
      </c>
      <c r="I564"/>
      <c r="J564" s="4"/>
      <c r="K564" s="8">
        <f>SUM(K559:K562)</f>
        <v>2635</v>
      </c>
      <c r="R564" s="185" t="s">
        <v>1530</v>
      </c>
      <c r="AG564" s="181" t="s">
        <v>2175</v>
      </c>
    </row>
    <row r="565" spans="1:33" hidden="1">
      <c r="C565"/>
      <c r="D565"/>
      <c r="E565"/>
      <c r="F565" s="181" t="s">
        <v>940</v>
      </c>
      <c r="I565"/>
      <c r="J565" s="4"/>
      <c r="K565"/>
    </row>
    <row r="566" spans="1:33" hidden="1">
      <c r="A566" s="240">
        <f>(A564+1)</f>
        <v>397</v>
      </c>
      <c r="B566" s="181" t="s">
        <v>880</v>
      </c>
      <c r="C566" s="8">
        <v>28.5</v>
      </c>
      <c r="D566" s="1" t="s">
        <v>835</v>
      </c>
      <c r="E566"/>
      <c r="I566"/>
      <c r="J566" s="4"/>
      <c r="K566" s="5" t="s">
        <v>1530</v>
      </c>
      <c r="O566" s="181" t="s">
        <v>1489</v>
      </c>
      <c r="R566" s="188">
        <f>SUM(R553:R563)</f>
        <v>613.48</v>
      </c>
      <c r="AG566" s="181" t="s">
        <v>2175</v>
      </c>
    </row>
    <row r="567" spans="1:33" hidden="1">
      <c r="A567" s="240">
        <f t="shared" ref="A567:A614" si="30">(A566+1)</f>
        <v>398</v>
      </c>
      <c r="B567" s="181" t="s">
        <v>467</v>
      </c>
      <c r="C567" s="8">
        <v>57.51</v>
      </c>
      <c r="D567" s="1" t="s">
        <v>835</v>
      </c>
      <c r="E567"/>
      <c r="H567" s="236" t="s">
        <v>468</v>
      </c>
      <c r="I567"/>
      <c r="J567" s="4"/>
      <c r="K567" s="8">
        <f>K564/10</f>
        <v>263.5</v>
      </c>
      <c r="R567" s="185" t="s">
        <v>1530</v>
      </c>
      <c r="AG567" s="181" t="s">
        <v>2175</v>
      </c>
    </row>
    <row r="568" spans="1:33" hidden="1">
      <c r="A568" s="240">
        <f t="shared" si="30"/>
        <v>399</v>
      </c>
      <c r="B568" s="181" t="s">
        <v>1842</v>
      </c>
      <c r="C568" s="8">
        <v>20</v>
      </c>
      <c r="D568" s="1" t="s">
        <v>835</v>
      </c>
      <c r="E568"/>
      <c r="H568" s="181" t="s">
        <v>361</v>
      </c>
      <c r="I568" s="8">
        <f>K567</f>
        <v>263.5</v>
      </c>
      <c r="J568" s="2">
        <f>C22*0.02</f>
        <v>0.53</v>
      </c>
      <c r="K568" s="8">
        <f>I568+J568</f>
        <v>264.02999999999997</v>
      </c>
      <c r="O568" s="181" t="s">
        <v>1490</v>
      </c>
      <c r="R568" s="188">
        <f>(R566/30)</f>
        <v>20.45</v>
      </c>
      <c r="AG568" s="181" t="s">
        <v>2175</v>
      </c>
    </row>
    <row r="569" spans="1:33" hidden="1">
      <c r="A569" s="240">
        <f t="shared" si="30"/>
        <v>400</v>
      </c>
      <c r="B569" s="181" t="s">
        <v>1843</v>
      </c>
      <c r="C569" s="8">
        <v>21.92</v>
      </c>
      <c r="D569" s="1" t="s">
        <v>835</v>
      </c>
      <c r="E569"/>
      <c r="H569" s="181" t="s">
        <v>363</v>
      </c>
      <c r="I569" s="8">
        <f>K568</f>
        <v>264.02999999999997</v>
      </c>
      <c r="J569" s="2">
        <f>C23*0.02</f>
        <v>1.06</v>
      </c>
      <c r="K569" s="8">
        <f>I569+J569</f>
        <v>265.08999999999997</v>
      </c>
      <c r="N569" s="181" t="s">
        <v>2167</v>
      </c>
      <c r="O569" s="181" t="s">
        <v>1844</v>
      </c>
      <c r="AG569" s="181" t="s">
        <v>2175</v>
      </c>
    </row>
    <row r="570" spans="1:33" hidden="1">
      <c r="A570" s="240">
        <f t="shared" si="30"/>
        <v>401</v>
      </c>
      <c r="B570" s="181" t="s">
        <v>223</v>
      </c>
      <c r="C570" s="8">
        <v>28.5</v>
      </c>
      <c r="D570" s="1" t="s">
        <v>835</v>
      </c>
      <c r="E570"/>
      <c r="H570" s="181" t="s">
        <v>2149</v>
      </c>
      <c r="I570" s="8">
        <f>K569</f>
        <v>265.08999999999997</v>
      </c>
      <c r="J570" s="2">
        <f>C23*0.02</f>
        <v>1.06</v>
      </c>
      <c r="K570" s="8">
        <f>I570+J570</f>
        <v>266.14999999999998</v>
      </c>
      <c r="O570" s="181" t="s">
        <v>224</v>
      </c>
      <c r="AG570" s="181" t="s">
        <v>2175</v>
      </c>
    </row>
    <row r="571" spans="1:33" hidden="1">
      <c r="A571" s="240">
        <f t="shared" si="30"/>
        <v>402</v>
      </c>
      <c r="B571" s="181" t="s">
        <v>1987</v>
      </c>
      <c r="C571" s="8">
        <v>535</v>
      </c>
      <c r="D571" s="1" t="s">
        <v>835</v>
      </c>
      <c r="E571"/>
      <c r="H571" s="181" t="s">
        <v>355</v>
      </c>
      <c r="I571" s="8">
        <f>K570</f>
        <v>266.14999999999998</v>
      </c>
      <c r="J571" s="2">
        <f>C23*0.02</f>
        <v>1.06</v>
      </c>
      <c r="K571" s="8">
        <f>I571+J571</f>
        <v>267.20999999999998</v>
      </c>
      <c r="O571" s="185" t="s">
        <v>1530</v>
      </c>
      <c r="AG571" s="181" t="s">
        <v>2175</v>
      </c>
    </row>
    <row r="572" spans="1:33" hidden="1">
      <c r="A572" s="240"/>
      <c r="B572" s="181"/>
      <c r="C572" s="8"/>
      <c r="D572" s="1"/>
      <c r="E572"/>
      <c r="H572" s="181" t="s">
        <v>1312</v>
      </c>
      <c r="I572" s="8">
        <f>K571</f>
        <v>267.20999999999998</v>
      </c>
      <c r="J572" s="2">
        <f>C24*0.02</f>
        <v>1.06</v>
      </c>
      <c r="K572" s="8">
        <f>I572+J572</f>
        <v>268.27</v>
      </c>
      <c r="O572" s="185"/>
      <c r="AG572" s="181"/>
    </row>
    <row r="573" spans="1:33" hidden="1">
      <c r="A573" s="240">
        <f>(A571+1)</f>
        <v>403</v>
      </c>
      <c r="B573" s="181" t="s">
        <v>511</v>
      </c>
      <c r="C573" s="8">
        <v>21</v>
      </c>
      <c r="D573" s="1" t="s">
        <v>835</v>
      </c>
      <c r="E573"/>
      <c r="F573" s="246">
        <v>15.2</v>
      </c>
      <c r="G573" s="187" t="s">
        <v>657</v>
      </c>
      <c r="H573" s="181" t="s">
        <v>756</v>
      </c>
      <c r="I573"/>
      <c r="J573" s="4"/>
      <c r="K573"/>
      <c r="M573" s="188">
        <v>1.08</v>
      </c>
      <c r="N573" s="181" t="s">
        <v>836</v>
      </c>
      <c r="O573" s="181" t="s">
        <v>757</v>
      </c>
      <c r="P573" s="188">
        <f>(K88)</f>
        <v>52.93</v>
      </c>
      <c r="Q573" s="181" t="s">
        <v>836</v>
      </c>
      <c r="R573" s="188">
        <f>(M573*P573)</f>
        <v>57.16</v>
      </c>
      <c r="AG573" s="181" t="s">
        <v>2175</v>
      </c>
    </row>
    <row r="574" spans="1:33" hidden="1">
      <c r="A574" s="240">
        <f t="shared" si="30"/>
        <v>404</v>
      </c>
      <c r="B574" s="181" t="s">
        <v>758</v>
      </c>
      <c r="C574" s="8">
        <v>150</v>
      </c>
      <c r="D574" s="1" t="s">
        <v>835</v>
      </c>
      <c r="E574"/>
      <c r="H574" s="181" t="s">
        <v>2197</v>
      </c>
      <c r="I574"/>
      <c r="J574" s="4"/>
      <c r="K574"/>
      <c r="M574" s="245">
        <v>0.216</v>
      </c>
      <c r="N574" s="181" t="s">
        <v>836</v>
      </c>
      <c r="O574" s="181" t="s">
        <v>759</v>
      </c>
      <c r="P574" s="188" t="e">
        <f>(R60)</f>
        <v>#REF!</v>
      </c>
      <c r="Q574" s="181" t="s">
        <v>836</v>
      </c>
      <c r="R574" s="188" t="e">
        <f>(M574*P574)</f>
        <v>#REF!</v>
      </c>
      <c r="AG574" s="181" t="s">
        <v>2175</v>
      </c>
    </row>
    <row r="575" spans="1:33" hidden="1">
      <c r="A575" s="240">
        <f t="shared" si="30"/>
        <v>405</v>
      </c>
      <c r="B575" s="181" t="s">
        <v>1906</v>
      </c>
      <c r="C575" s="8">
        <v>16.440000000000001</v>
      </c>
      <c r="D575" s="1" t="s">
        <v>835</v>
      </c>
      <c r="E575"/>
      <c r="F575" s="188">
        <v>1</v>
      </c>
      <c r="G575" s="187" t="s">
        <v>2199</v>
      </c>
      <c r="H575" s="181" t="s">
        <v>527</v>
      </c>
      <c r="I575" s="8">
        <f>D721</f>
        <v>247</v>
      </c>
      <c r="J575" s="2" t="s">
        <v>2199</v>
      </c>
      <c r="K575" s="8">
        <f>(F575*I575)</f>
        <v>247</v>
      </c>
      <c r="M575" s="245">
        <v>0.48699999999999999</v>
      </c>
      <c r="N575" s="181" t="s">
        <v>836</v>
      </c>
      <c r="O575" s="181" t="s">
        <v>1907</v>
      </c>
      <c r="P575" s="188" t="e">
        <f>(R89)</f>
        <v>#REF!</v>
      </c>
      <c r="Q575" s="181" t="s">
        <v>836</v>
      </c>
      <c r="R575" s="188" t="e">
        <f>(M575*P575)</f>
        <v>#REF!</v>
      </c>
      <c r="AG575" s="181" t="s">
        <v>2175</v>
      </c>
    </row>
    <row r="576" spans="1:33" hidden="1">
      <c r="A576" s="240">
        <f t="shared" si="30"/>
        <v>406</v>
      </c>
      <c r="B576" s="181" t="s">
        <v>2860</v>
      </c>
      <c r="C576" s="8">
        <v>30</v>
      </c>
      <c r="D576" s="8">
        <v>25</v>
      </c>
      <c r="E576"/>
      <c r="F576" s="188">
        <v>0.75</v>
      </c>
      <c r="G576" s="187" t="s">
        <v>529</v>
      </c>
      <c r="H576" s="181" t="s">
        <v>530</v>
      </c>
      <c r="I576" s="8">
        <f>C10</f>
        <v>150</v>
      </c>
      <c r="J576" s="2" t="s">
        <v>1341</v>
      </c>
      <c r="K576" s="8">
        <f>(F576*I576)</f>
        <v>112.5</v>
      </c>
      <c r="M576" s="245">
        <v>5.36</v>
      </c>
      <c r="N576" s="181" t="s">
        <v>578</v>
      </c>
      <c r="O576" s="181" t="s">
        <v>1908</v>
      </c>
      <c r="P576" s="188" t="e">
        <f>(R303)</f>
        <v>#REF!</v>
      </c>
      <c r="Q576" s="181" t="s">
        <v>578</v>
      </c>
      <c r="R576" s="188" t="e">
        <f>(M576*P576)</f>
        <v>#REF!</v>
      </c>
      <c r="AG576" s="181" t="s">
        <v>2175</v>
      </c>
    </row>
    <row r="577" spans="1:33" hidden="1">
      <c r="A577" s="240">
        <f t="shared" si="30"/>
        <v>407</v>
      </c>
      <c r="B577" s="181" t="s">
        <v>393</v>
      </c>
      <c r="C577" s="8">
        <v>208.5</v>
      </c>
      <c r="D577" s="1" t="s">
        <v>835</v>
      </c>
      <c r="E577"/>
      <c r="F577" s="188">
        <v>0.75</v>
      </c>
      <c r="G577" s="187" t="s">
        <v>529</v>
      </c>
      <c r="H577" s="181" t="s">
        <v>792</v>
      </c>
      <c r="I577" s="8">
        <f>C12</f>
        <v>95</v>
      </c>
      <c r="J577" s="2" t="s">
        <v>1341</v>
      </c>
      <c r="K577" s="8">
        <f>(F577*I577)</f>
        <v>71.25</v>
      </c>
      <c r="M577" s="245">
        <v>3.2000000000000001E-2</v>
      </c>
      <c r="N577" s="181" t="s">
        <v>836</v>
      </c>
      <c r="O577" s="181" t="s">
        <v>749</v>
      </c>
      <c r="P577" s="188" t="e">
        <f>(K614)</f>
        <v>#REF!</v>
      </c>
      <c r="Q577" s="181" t="s">
        <v>836</v>
      </c>
      <c r="R577" s="188" t="e">
        <f>(M577*P577)</f>
        <v>#REF!</v>
      </c>
      <c r="AG577" s="181" t="s">
        <v>2175</v>
      </c>
    </row>
    <row r="578" spans="1:33" hidden="1">
      <c r="A578" s="240">
        <f t="shared" si="30"/>
        <v>408</v>
      </c>
      <c r="B578" s="181" t="s">
        <v>1968</v>
      </c>
      <c r="C578" s="8">
        <v>95</v>
      </c>
      <c r="D578" s="1" t="s">
        <v>835</v>
      </c>
      <c r="E578"/>
      <c r="F578" s="188">
        <v>0.5</v>
      </c>
      <c r="G578" s="187" t="s">
        <v>529</v>
      </c>
      <c r="H578" s="181" t="s">
        <v>1969</v>
      </c>
      <c r="I578" s="8">
        <f>C41</f>
        <v>110</v>
      </c>
      <c r="J578" s="2" t="s">
        <v>1341</v>
      </c>
      <c r="K578" s="8">
        <f>(F578*I578)</f>
        <v>55</v>
      </c>
      <c r="O578" s="181" t="s">
        <v>270</v>
      </c>
      <c r="R578" s="181" t="s">
        <v>940</v>
      </c>
      <c r="AG578" s="181" t="s">
        <v>2175</v>
      </c>
    </row>
    <row r="579" spans="1:33" hidden="1">
      <c r="A579" s="240">
        <f t="shared" si="30"/>
        <v>409</v>
      </c>
      <c r="B579" s="181" t="s">
        <v>2861</v>
      </c>
      <c r="C579" s="6">
        <v>301</v>
      </c>
      <c r="D579" s="1" t="s">
        <v>578</v>
      </c>
      <c r="E579"/>
      <c r="G579" s="187" t="s">
        <v>419</v>
      </c>
      <c r="H579" s="181" t="s">
        <v>58</v>
      </c>
      <c r="I579"/>
      <c r="J579" s="2" t="s">
        <v>419</v>
      </c>
      <c r="K579" s="8">
        <v>53.5</v>
      </c>
      <c r="N579" s="181" t="s">
        <v>419</v>
      </c>
      <c r="O579" s="181" t="s">
        <v>319</v>
      </c>
      <c r="Q579" s="181" t="s">
        <v>419</v>
      </c>
      <c r="R579" s="188">
        <v>2.92</v>
      </c>
      <c r="AG579" s="181" t="s">
        <v>2175</v>
      </c>
    </row>
    <row r="580" spans="1:33" hidden="1">
      <c r="A580" s="240">
        <f t="shared" si="30"/>
        <v>410</v>
      </c>
      <c r="B580" s="181" t="s">
        <v>2862</v>
      </c>
      <c r="C580" s="8">
        <v>325</v>
      </c>
      <c r="D580" s="1" t="s">
        <v>578</v>
      </c>
      <c r="E580" s="1" t="s">
        <v>940</v>
      </c>
      <c r="H580" s="181" t="s">
        <v>894</v>
      </c>
      <c r="I580"/>
      <c r="J580" s="4"/>
      <c r="K580" s="5" t="s">
        <v>1530</v>
      </c>
      <c r="R580" s="185" t="s">
        <v>1530</v>
      </c>
      <c r="AG580" s="181" t="s">
        <v>2175</v>
      </c>
    </row>
    <row r="581" spans="1:33" hidden="1">
      <c r="A581" s="240">
        <f t="shared" si="30"/>
        <v>411</v>
      </c>
      <c r="B581" s="181" t="s">
        <v>320</v>
      </c>
      <c r="C581" s="8">
        <v>75</v>
      </c>
      <c r="D581" s="1" t="s">
        <v>835</v>
      </c>
      <c r="E581"/>
      <c r="H581" s="236" t="s">
        <v>1693</v>
      </c>
      <c r="I581"/>
      <c r="J581" s="4"/>
      <c r="K581" s="8">
        <f>SUM(K575:K579)</f>
        <v>539.25</v>
      </c>
      <c r="O581" s="181" t="s">
        <v>1694</v>
      </c>
      <c r="R581" s="188" t="e">
        <f>SUM(R573:R579)</f>
        <v>#REF!</v>
      </c>
      <c r="AG581" s="181" t="s">
        <v>2175</v>
      </c>
    </row>
    <row r="582" spans="1:33" hidden="1">
      <c r="A582" s="240">
        <f t="shared" si="30"/>
        <v>412</v>
      </c>
      <c r="B582" s="181" t="s">
        <v>1695</v>
      </c>
      <c r="C582" s="8">
        <v>125</v>
      </c>
      <c r="D582" s="1" t="s">
        <v>835</v>
      </c>
      <c r="E582"/>
      <c r="I582"/>
      <c r="J582" s="4"/>
      <c r="K582" s="5" t="s">
        <v>1530</v>
      </c>
      <c r="R582" s="185" t="s">
        <v>1530</v>
      </c>
      <c r="AG582" s="181" t="s">
        <v>2175</v>
      </c>
    </row>
    <row r="583" spans="1:33" hidden="1">
      <c r="A583" s="240">
        <f t="shared" si="30"/>
        <v>413</v>
      </c>
      <c r="B583" s="181" t="s">
        <v>1696</v>
      </c>
      <c r="C583" s="8">
        <v>190</v>
      </c>
      <c r="D583" s="1" t="s">
        <v>835</v>
      </c>
      <c r="E583"/>
      <c r="H583" s="181" t="s">
        <v>361</v>
      </c>
      <c r="I583" s="8">
        <f>K581</f>
        <v>539.25</v>
      </c>
      <c r="J583" s="2">
        <f>C22*0.04</f>
        <v>1.06</v>
      </c>
      <c r="K583" s="8">
        <f>(K581+C22*0.04)</f>
        <v>540.30999999999995</v>
      </c>
      <c r="N583" s="181" t="s">
        <v>2167</v>
      </c>
      <c r="O583" s="181" t="s">
        <v>1844</v>
      </c>
      <c r="AG583" s="181" t="s">
        <v>2175</v>
      </c>
    </row>
    <row r="584" spans="1:33" hidden="1">
      <c r="A584" s="240">
        <f t="shared" si="30"/>
        <v>414</v>
      </c>
      <c r="B584" s="181" t="s">
        <v>1697</v>
      </c>
      <c r="C584" s="8">
        <v>16</v>
      </c>
      <c r="D584" s="1" t="s">
        <v>835</v>
      </c>
      <c r="E584"/>
      <c r="H584" s="181" t="s">
        <v>363</v>
      </c>
      <c r="I584" s="8">
        <f>K583</f>
        <v>540.30999999999995</v>
      </c>
      <c r="J584" s="2">
        <f>C23*0.04</f>
        <v>2.11</v>
      </c>
      <c r="K584" s="8">
        <f>(K583+C23*0.04)</f>
        <v>542.41999999999996</v>
      </c>
      <c r="O584" s="181" t="s">
        <v>1698</v>
      </c>
      <c r="AG584" s="181" t="s">
        <v>2175</v>
      </c>
    </row>
    <row r="585" spans="1:33" hidden="1">
      <c r="A585" s="240">
        <f t="shared" si="30"/>
        <v>415</v>
      </c>
      <c r="B585" s="181" t="s">
        <v>1699</v>
      </c>
      <c r="C585" s="8">
        <v>7</v>
      </c>
      <c r="D585" s="1" t="s">
        <v>1591</v>
      </c>
      <c r="E585"/>
      <c r="H585" s="181" t="s">
        <v>2149</v>
      </c>
      <c r="I585" s="8">
        <f>K584</f>
        <v>542.41999999999996</v>
      </c>
      <c r="J585" s="2">
        <f>C23*0.04</f>
        <v>2.11</v>
      </c>
      <c r="K585" s="8">
        <f>(K584+C24*0.04)</f>
        <v>544.53</v>
      </c>
      <c r="O585" s="185" t="s">
        <v>1530</v>
      </c>
      <c r="AG585" s="181" t="s">
        <v>2175</v>
      </c>
    </row>
    <row r="586" spans="1:33" hidden="1">
      <c r="A586" s="240">
        <f t="shared" si="30"/>
        <v>416</v>
      </c>
      <c r="B586" s="181" t="s">
        <v>2863</v>
      </c>
      <c r="C586" s="8">
        <v>19</v>
      </c>
      <c r="D586" s="1" t="s">
        <v>1591</v>
      </c>
      <c r="E586"/>
      <c r="H586" s="181" t="s">
        <v>355</v>
      </c>
      <c r="I586" s="8">
        <f>K585</f>
        <v>544.53</v>
      </c>
      <c r="J586" s="2">
        <f>C23*0.04</f>
        <v>2.11</v>
      </c>
      <c r="K586" s="8">
        <f>(K585+C24*0.04)</f>
        <v>546.64</v>
      </c>
      <c r="M586" s="188">
        <v>1.3</v>
      </c>
      <c r="N586" s="181" t="s">
        <v>836</v>
      </c>
      <c r="O586" s="181" t="s">
        <v>757</v>
      </c>
      <c r="P586" s="188">
        <f>(K88)</f>
        <v>52.93</v>
      </c>
      <c r="Q586" s="181" t="s">
        <v>836</v>
      </c>
      <c r="R586" s="188">
        <f>(M586*P586)</f>
        <v>68.81</v>
      </c>
      <c r="AG586" s="181" t="s">
        <v>2175</v>
      </c>
    </row>
    <row r="587" spans="1:33" hidden="1">
      <c r="A587" s="240"/>
      <c r="B587" s="181"/>
      <c r="C587" s="8"/>
      <c r="D587" s="1"/>
      <c r="E587"/>
      <c r="H587" s="181" t="s">
        <v>1312</v>
      </c>
      <c r="I587" s="8">
        <f>K586</f>
        <v>546.64</v>
      </c>
      <c r="J587" s="2">
        <f>C24*0.04</f>
        <v>2.11</v>
      </c>
      <c r="K587" s="8">
        <f>(K586+C25*0.04)</f>
        <v>547.47</v>
      </c>
      <c r="M587" s="188"/>
      <c r="N587" s="181"/>
      <c r="O587" s="181"/>
      <c r="P587" s="188"/>
      <c r="Q587" s="181"/>
      <c r="R587" s="188"/>
      <c r="AG587" s="181"/>
    </row>
    <row r="588" spans="1:33" hidden="1">
      <c r="A588" s="240">
        <f>(A586+1)</f>
        <v>417</v>
      </c>
      <c r="B588" s="181" t="s">
        <v>2864</v>
      </c>
      <c r="C588" s="8">
        <v>20</v>
      </c>
      <c r="D588" s="1" t="s">
        <v>1591</v>
      </c>
      <c r="E588"/>
      <c r="F588" s="257">
        <v>15.1</v>
      </c>
      <c r="G588" s="187" t="s">
        <v>1700</v>
      </c>
      <c r="H588" s="181" t="s">
        <v>1552</v>
      </c>
      <c r="I588"/>
      <c r="J588" s="4"/>
      <c r="K588"/>
      <c r="M588" s="245">
        <v>0.216</v>
      </c>
      <c r="N588" s="181" t="s">
        <v>836</v>
      </c>
      <c r="O588" s="181" t="s">
        <v>759</v>
      </c>
      <c r="P588" s="188" t="e">
        <f>(R60)</f>
        <v>#REF!</v>
      </c>
      <c r="Q588" s="181" t="s">
        <v>836</v>
      </c>
      <c r="R588" s="188" t="e">
        <f>(M588*P588)</f>
        <v>#REF!</v>
      </c>
      <c r="AG588" s="181" t="s">
        <v>2175</v>
      </c>
    </row>
    <row r="589" spans="1:33" hidden="1">
      <c r="A589" s="240">
        <f t="shared" si="30"/>
        <v>418</v>
      </c>
      <c r="B589" s="181" t="s">
        <v>1701</v>
      </c>
      <c r="C589" s="8">
        <v>7.5</v>
      </c>
      <c r="D589" s="1" t="s">
        <v>739</v>
      </c>
      <c r="E589"/>
      <c r="H589" s="181" t="s">
        <v>2197</v>
      </c>
      <c r="I589"/>
      <c r="J589" s="4"/>
      <c r="K589"/>
      <c r="M589" s="245">
        <v>0.60099999999999998</v>
      </c>
      <c r="N589" s="181" t="s">
        <v>836</v>
      </c>
      <c r="O589" s="181" t="s">
        <v>1907</v>
      </c>
      <c r="P589" s="188" t="e">
        <f>(R89)</f>
        <v>#REF!</v>
      </c>
      <c r="Q589" s="181" t="s">
        <v>836</v>
      </c>
      <c r="R589" s="188" t="e">
        <f>(M589*P589)</f>
        <v>#REF!</v>
      </c>
      <c r="AG589" s="181" t="s">
        <v>2175</v>
      </c>
    </row>
    <row r="590" spans="1:33" hidden="1">
      <c r="A590" s="240">
        <f t="shared" si="30"/>
        <v>419</v>
      </c>
      <c r="B590" s="181" t="s">
        <v>751</v>
      </c>
      <c r="C590" s="8">
        <v>16</v>
      </c>
      <c r="D590" s="1" t="s">
        <v>739</v>
      </c>
      <c r="E590" t="s">
        <v>1505</v>
      </c>
      <c r="F590" s="188">
        <v>10</v>
      </c>
      <c r="G590" s="187" t="s">
        <v>2199</v>
      </c>
      <c r="H590" s="181" t="s">
        <v>527</v>
      </c>
      <c r="I590" s="8">
        <f>C721</f>
        <v>227</v>
      </c>
      <c r="J590" s="2" t="s">
        <v>2199</v>
      </c>
      <c r="K590" s="8">
        <f>(F590*I590)</f>
        <v>2270</v>
      </c>
      <c r="M590" s="245">
        <v>6.35</v>
      </c>
      <c r="N590" s="181" t="s">
        <v>578</v>
      </c>
      <c r="O590" s="181" t="s">
        <v>1908</v>
      </c>
      <c r="P590" s="188" t="e">
        <f>(R303)</f>
        <v>#REF!</v>
      </c>
      <c r="Q590" s="181" t="s">
        <v>578</v>
      </c>
      <c r="R590" s="188" t="e">
        <f>(M590*P590)</f>
        <v>#REF!</v>
      </c>
      <c r="AG590" s="181" t="s">
        <v>2175</v>
      </c>
    </row>
    <row r="591" spans="1:33" hidden="1">
      <c r="A591" s="240">
        <f t="shared" si="30"/>
        <v>420</v>
      </c>
      <c r="B591" s="181" t="s">
        <v>752</v>
      </c>
      <c r="C591" s="8">
        <v>1700</v>
      </c>
      <c r="D591" s="1" t="s">
        <v>753</v>
      </c>
      <c r="E591">
        <v>2000</v>
      </c>
      <c r="F591" s="188">
        <v>0.12</v>
      </c>
      <c r="G591" s="187" t="s">
        <v>836</v>
      </c>
      <c r="H591" s="181" t="s">
        <v>754</v>
      </c>
      <c r="I591" s="8" t="e">
        <f>K32</f>
        <v>#REF!</v>
      </c>
      <c r="J591" s="2" t="s">
        <v>836</v>
      </c>
      <c r="K591" s="8" t="e">
        <f>(F591*I591)</f>
        <v>#REF!</v>
      </c>
      <c r="M591" s="245">
        <v>3.2000000000000001E-2</v>
      </c>
      <c r="N591" s="181" t="s">
        <v>836</v>
      </c>
      <c r="O591" s="181" t="s">
        <v>749</v>
      </c>
      <c r="P591" s="188" t="e">
        <f>(K614)</f>
        <v>#REF!</v>
      </c>
      <c r="Q591" s="181" t="s">
        <v>836</v>
      </c>
      <c r="R591" s="188" t="e">
        <f>(M591*P591)</f>
        <v>#REF!</v>
      </c>
      <c r="AG591" s="181" t="s">
        <v>2175</v>
      </c>
    </row>
    <row r="592" spans="1:33" hidden="1">
      <c r="A592" s="240">
        <f t="shared" si="30"/>
        <v>421</v>
      </c>
      <c r="B592" s="181" t="s">
        <v>755</v>
      </c>
      <c r="C592" s="8">
        <v>805</v>
      </c>
      <c r="D592" s="1" t="s">
        <v>753</v>
      </c>
      <c r="E592"/>
      <c r="F592" s="188">
        <v>1</v>
      </c>
      <c r="G592" s="187" t="s">
        <v>529</v>
      </c>
      <c r="H592" s="181" t="s">
        <v>530</v>
      </c>
      <c r="I592" s="8">
        <f>C10</f>
        <v>150</v>
      </c>
      <c r="J592" s="2" t="s">
        <v>1341</v>
      </c>
      <c r="K592" s="8">
        <f>(F592*I592)</f>
        <v>150</v>
      </c>
      <c r="O592" s="181" t="s">
        <v>270</v>
      </c>
      <c r="R592" s="181" t="s">
        <v>940</v>
      </c>
      <c r="AG592" s="181" t="s">
        <v>2175</v>
      </c>
    </row>
    <row r="593" spans="1:33" hidden="1">
      <c r="A593" s="240">
        <f t="shared" si="30"/>
        <v>422</v>
      </c>
      <c r="B593" s="181" t="s">
        <v>1986</v>
      </c>
      <c r="C593" s="8">
        <f>204+53</f>
        <v>257</v>
      </c>
      <c r="D593" s="1" t="s">
        <v>753</v>
      </c>
      <c r="E593"/>
      <c r="F593" s="188">
        <v>1</v>
      </c>
      <c r="G593" s="187" t="s">
        <v>529</v>
      </c>
      <c r="H593" s="181" t="s">
        <v>792</v>
      </c>
      <c r="I593" s="8">
        <f>C12</f>
        <v>95</v>
      </c>
      <c r="J593" s="2" t="s">
        <v>1341</v>
      </c>
      <c r="K593" s="8">
        <f>(F593*I593)</f>
        <v>95</v>
      </c>
      <c r="N593" s="181" t="s">
        <v>419</v>
      </c>
      <c r="O593" s="181" t="s">
        <v>319</v>
      </c>
      <c r="Q593" s="181" t="s">
        <v>419</v>
      </c>
      <c r="R593" s="188">
        <v>2.1</v>
      </c>
      <c r="AG593" s="181" t="s">
        <v>2175</v>
      </c>
    </row>
    <row r="594" spans="1:33" hidden="1">
      <c r="A594" s="240">
        <f t="shared" si="30"/>
        <v>423</v>
      </c>
      <c r="B594" s="181" t="s">
        <v>2865</v>
      </c>
      <c r="C594" s="8">
        <v>53</v>
      </c>
      <c r="D594" s="1" t="s">
        <v>739</v>
      </c>
      <c r="E594"/>
      <c r="G594" s="187" t="s">
        <v>419</v>
      </c>
      <c r="H594" s="181" t="s">
        <v>58</v>
      </c>
      <c r="I594"/>
      <c r="J594" s="2" t="s">
        <v>419</v>
      </c>
      <c r="K594" s="8">
        <v>0.33</v>
      </c>
      <c r="R594" s="185" t="s">
        <v>1530</v>
      </c>
      <c r="AG594" s="181" t="s">
        <v>2175</v>
      </c>
    </row>
    <row r="595" spans="1:33" hidden="1">
      <c r="A595" s="240">
        <f t="shared" si="30"/>
        <v>424</v>
      </c>
      <c r="B595" s="181" t="s">
        <v>285</v>
      </c>
      <c r="C595" s="8">
        <v>1050</v>
      </c>
      <c r="D595" s="1" t="s">
        <v>739</v>
      </c>
      <c r="E595"/>
      <c r="H595" s="181" t="s">
        <v>894</v>
      </c>
      <c r="I595"/>
      <c r="J595" s="4"/>
      <c r="K595" s="5" t="s">
        <v>1530</v>
      </c>
      <c r="O595" s="181" t="s">
        <v>1694</v>
      </c>
      <c r="R595" s="188" t="e">
        <f>SUM(R586:R593)</f>
        <v>#REF!</v>
      </c>
      <c r="AG595" s="181" t="s">
        <v>2175</v>
      </c>
    </row>
    <row r="596" spans="1:33" hidden="1">
      <c r="A596" s="240">
        <f t="shared" si="30"/>
        <v>425</v>
      </c>
      <c r="B596" s="181" t="s">
        <v>377</v>
      </c>
      <c r="C596" s="8">
        <v>196</v>
      </c>
      <c r="D596" s="1" t="s">
        <v>739</v>
      </c>
      <c r="E596"/>
      <c r="H596" s="236" t="s">
        <v>378</v>
      </c>
      <c r="I596"/>
      <c r="J596" s="4"/>
      <c r="K596" s="8" t="e">
        <f>SUM(K590:K594)</f>
        <v>#REF!</v>
      </c>
      <c r="R596" s="185" t="s">
        <v>1530</v>
      </c>
      <c r="AG596" s="181" t="s">
        <v>2175</v>
      </c>
    </row>
    <row r="597" spans="1:33" hidden="1">
      <c r="A597" s="240">
        <f t="shared" si="30"/>
        <v>426</v>
      </c>
      <c r="B597" s="181" t="s">
        <v>379</v>
      </c>
      <c r="C597" s="8">
        <v>206.9</v>
      </c>
      <c r="D597" s="1" t="s">
        <v>739</v>
      </c>
      <c r="E597"/>
      <c r="I597"/>
      <c r="J597" s="4"/>
      <c r="K597" s="5" t="s">
        <v>1530</v>
      </c>
      <c r="N597" s="181" t="s">
        <v>2167</v>
      </c>
      <c r="O597" s="181" t="s">
        <v>380</v>
      </c>
      <c r="AG597" s="181" t="s">
        <v>2175</v>
      </c>
    </row>
    <row r="598" spans="1:33" hidden="1">
      <c r="A598" s="240">
        <f t="shared" si="30"/>
        <v>427</v>
      </c>
      <c r="B598" s="181" t="s">
        <v>381</v>
      </c>
      <c r="C598" s="8">
        <v>120</v>
      </c>
      <c r="D598" s="1" t="s">
        <v>1714</v>
      </c>
      <c r="E598"/>
      <c r="H598" s="236" t="s">
        <v>382</v>
      </c>
      <c r="I598"/>
      <c r="J598" s="4"/>
      <c r="K598" s="8" t="e">
        <f>K596/10</f>
        <v>#REF!</v>
      </c>
      <c r="O598" s="181" t="s">
        <v>383</v>
      </c>
      <c r="AG598" s="181" t="s">
        <v>2175</v>
      </c>
    </row>
    <row r="599" spans="1:33" hidden="1">
      <c r="A599" s="240">
        <f t="shared" si="30"/>
        <v>428</v>
      </c>
      <c r="B599" s="181" t="s">
        <v>384</v>
      </c>
      <c r="C599" s="8">
        <v>80</v>
      </c>
      <c r="D599" s="1" t="s">
        <v>1714</v>
      </c>
      <c r="E599"/>
      <c r="H599" s="181" t="s">
        <v>361</v>
      </c>
      <c r="I599"/>
      <c r="J599" s="4"/>
      <c r="K599" s="8" t="e">
        <f>(K598+C22*0.02)</f>
        <v>#REF!</v>
      </c>
      <c r="O599" s="185" t="s">
        <v>1530</v>
      </c>
      <c r="AG599" s="181" t="s">
        <v>2175</v>
      </c>
    </row>
    <row r="600" spans="1:33" hidden="1">
      <c r="A600" s="240">
        <f t="shared" si="30"/>
        <v>429</v>
      </c>
      <c r="B600" s="181" t="s">
        <v>385</v>
      </c>
      <c r="C600"/>
      <c r="D600" s="1" t="s">
        <v>1714</v>
      </c>
      <c r="E600"/>
      <c r="H600" s="181" t="s">
        <v>363</v>
      </c>
      <c r="I600"/>
      <c r="J600" s="4"/>
      <c r="K600" s="8" t="e">
        <f>(K599+C24*0.02)</f>
        <v>#REF!</v>
      </c>
      <c r="M600" s="188">
        <v>10.37</v>
      </c>
      <c r="N600" s="181" t="s">
        <v>836</v>
      </c>
      <c r="O600" s="181" t="s">
        <v>386</v>
      </c>
      <c r="P600" s="188">
        <f>(C61*2)</f>
        <v>50</v>
      </c>
      <c r="Q600" s="181" t="s">
        <v>836</v>
      </c>
      <c r="R600" s="188">
        <f t="shared" ref="R600:R608" si="31">(M600*P600)</f>
        <v>518.5</v>
      </c>
      <c r="AG600" s="181" t="s">
        <v>2175</v>
      </c>
    </row>
    <row r="601" spans="1:33" hidden="1">
      <c r="A601" s="240">
        <f t="shared" si="30"/>
        <v>430</v>
      </c>
      <c r="B601" s="181" t="s">
        <v>1984</v>
      </c>
      <c r="C601" s="8">
        <v>65</v>
      </c>
      <c r="D601" s="1" t="s">
        <v>835</v>
      </c>
      <c r="E601"/>
      <c r="H601" s="181" t="s">
        <v>2149</v>
      </c>
      <c r="I601"/>
      <c r="J601" s="4"/>
      <c r="K601" s="8" t="e">
        <f>(K600+C24*0.02)</f>
        <v>#REF!</v>
      </c>
      <c r="M601" s="188">
        <v>0.65</v>
      </c>
      <c r="N601" s="181" t="s">
        <v>836</v>
      </c>
      <c r="O601" s="181" t="s">
        <v>1985</v>
      </c>
      <c r="P601" s="188" t="e">
        <f>R60</f>
        <v>#REF!</v>
      </c>
      <c r="Q601" s="181" t="s">
        <v>836</v>
      </c>
      <c r="R601" s="188" t="e">
        <f t="shared" si="31"/>
        <v>#REF!</v>
      </c>
      <c r="AG601" s="181" t="s">
        <v>2175</v>
      </c>
    </row>
    <row r="602" spans="1:33" hidden="1">
      <c r="A602" s="240">
        <f t="shared" si="30"/>
        <v>431</v>
      </c>
      <c r="B602" s="181" t="s">
        <v>1725</v>
      </c>
      <c r="C602" s="8">
        <v>40</v>
      </c>
      <c r="D602" s="1" t="s">
        <v>835</v>
      </c>
      <c r="E602"/>
      <c r="H602" s="181" t="s">
        <v>355</v>
      </c>
      <c r="I602"/>
      <c r="J602" s="4"/>
      <c r="K602" s="8" t="e">
        <f>(K601+C24*0.02)</f>
        <v>#REF!</v>
      </c>
      <c r="M602" s="188">
        <v>1.1399999999999999</v>
      </c>
      <c r="N602" s="181" t="s">
        <v>836</v>
      </c>
      <c r="O602" s="181" t="s">
        <v>305</v>
      </c>
      <c r="P602" s="188" t="e">
        <f>K320</f>
        <v>#REF!</v>
      </c>
      <c r="Q602" s="181" t="s">
        <v>836</v>
      </c>
      <c r="R602" s="188" t="e">
        <f t="shared" si="31"/>
        <v>#REF!</v>
      </c>
      <c r="AG602" s="181" t="s">
        <v>2175</v>
      </c>
    </row>
    <row r="603" spans="1:33" hidden="1">
      <c r="A603" s="240">
        <f t="shared" si="30"/>
        <v>432</v>
      </c>
      <c r="B603" s="181" t="s">
        <v>307</v>
      </c>
      <c r="C603"/>
      <c r="D603" s="1" t="s">
        <v>835</v>
      </c>
      <c r="E603"/>
      <c r="H603" s="181" t="s">
        <v>1312</v>
      </c>
      <c r="I603"/>
      <c r="J603" s="4"/>
      <c r="K603" s="8" t="e">
        <f>(K602+C25*0.02)</f>
        <v>#REF!</v>
      </c>
      <c r="M603" s="188">
        <v>0.85</v>
      </c>
      <c r="N603" s="181" t="s">
        <v>836</v>
      </c>
      <c r="O603" s="181" t="s">
        <v>1554</v>
      </c>
      <c r="P603" s="188" t="e">
        <f>K320-K311/10</f>
        <v>#REF!</v>
      </c>
      <c r="Q603" s="181" t="s">
        <v>836</v>
      </c>
      <c r="R603" s="188" t="e">
        <f t="shared" si="31"/>
        <v>#REF!</v>
      </c>
      <c r="AG603" s="181" t="s">
        <v>2175</v>
      </c>
    </row>
    <row r="604" spans="1:33" hidden="1">
      <c r="A604" s="240">
        <f t="shared" si="30"/>
        <v>433</v>
      </c>
      <c r="B604" s="181" t="s">
        <v>1555</v>
      </c>
      <c r="C604" s="8">
        <v>45</v>
      </c>
      <c r="D604" s="1" t="s">
        <v>835</v>
      </c>
      <c r="E604"/>
      <c r="F604" s="236" t="s">
        <v>1556</v>
      </c>
      <c r="G604" s="187" t="s">
        <v>2167</v>
      </c>
      <c r="H604" s="181" t="s">
        <v>849</v>
      </c>
      <c r="I604"/>
      <c r="J604" s="4"/>
      <c r="K604"/>
      <c r="M604" s="188">
        <v>0.98</v>
      </c>
      <c r="N604" s="181" t="s">
        <v>836</v>
      </c>
      <c r="O604" s="181" t="s">
        <v>2136</v>
      </c>
      <c r="P604" s="188" t="e">
        <f>(C73)</f>
        <v>#REF!</v>
      </c>
      <c r="Q604" s="181" t="s">
        <v>836</v>
      </c>
      <c r="R604" s="188" t="e">
        <f t="shared" si="31"/>
        <v>#REF!</v>
      </c>
      <c r="AG604" s="181" t="s">
        <v>2175</v>
      </c>
    </row>
    <row r="605" spans="1:33" hidden="1">
      <c r="A605" s="240">
        <f t="shared" si="30"/>
        <v>434</v>
      </c>
      <c r="B605" s="181" t="s">
        <v>1054</v>
      </c>
      <c r="C605" s="8">
        <v>36.520000000000003</v>
      </c>
      <c r="D605" s="1" t="s">
        <v>835</v>
      </c>
      <c r="E605"/>
      <c r="H605" s="181" t="s">
        <v>1055</v>
      </c>
      <c r="I605"/>
      <c r="J605" s="4"/>
      <c r="K605"/>
      <c r="M605" s="188">
        <v>2.68</v>
      </c>
      <c r="N605" s="181" t="s">
        <v>836</v>
      </c>
      <c r="O605" s="181" t="s">
        <v>1002</v>
      </c>
      <c r="P605" s="188" t="e">
        <f>(C79)</f>
        <v>#REF!</v>
      </c>
      <c r="Q605" s="181" t="s">
        <v>836</v>
      </c>
      <c r="R605" s="188" t="e">
        <f t="shared" si="31"/>
        <v>#REF!</v>
      </c>
      <c r="AG605" s="181" t="s">
        <v>2175</v>
      </c>
    </row>
    <row r="606" spans="1:33" hidden="1">
      <c r="A606" s="240">
        <f t="shared" si="30"/>
        <v>435</v>
      </c>
      <c r="B606" s="181" t="s">
        <v>1557</v>
      </c>
      <c r="C606"/>
      <c r="D606" s="1" t="s">
        <v>835</v>
      </c>
      <c r="E606"/>
      <c r="H606" s="181" t="s">
        <v>1558</v>
      </c>
      <c r="I606"/>
      <c r="J606" s="4"/>
      <c r="K606"/>
      <c r="M606" s="188">
        <v>7.24</v>
      </c>
      <c r="N606" s="181" t="s">
        <v>578</v>
      </c>
      <c r="O606" s="181" t="s">
        <v>1559</v>
      </c>
      <c r="P606" s="188" t="e">
        <f>(K1332)</f>
        <v>#REF!</v>
      </c>
      <c r="Q606" s="181" t="s">
        <v>578</v>
      </c>
      <c r="R606" s="188" t="e">
        <f t="shared" si="31"/>
        <v>#REF!</v>
      </c>
      <c r="AG606" s="181" t="s">
        <v>2175</v>
      </c>
    </row>
    <row r="607" spans="1:33" hidden="1">
      <c r="A607" s="240">
        <f t="shared" si="30"/>
        <v>436</v>
      </c>
      <c r="B607" s="181" t="s">
        <v>1418</v>
      </c>
      <c r="C607" s="8">
        <v>73.48</v>
      </c>
      <c r="D607" s="8">
        <v>93.72</v>
      </c>
      <c r="E607"/>
      <c r="H607" s="185" t="s">
        <v>1530</v>
      </c>
      <c r="I607"/>
      <c r="J607" s="4"/>
      <c r="K607"/>
      <c r="M607" s="188">
        <v>1</v>
      </c>
      <c r="N607" s="181" t="s">
        <v>835</v>
      </c>
      <c r="O607" s="181" t="s">
        <v>1419</v>
      </c>
      <c r="P607" s="188">
        <f>(C202)</f>
        <v>75</v>
      </c>
      <c r="Q607" s="181" t="s">
        <v>835</v>
      </c>
      <c r="R607" s="188">
        <f t="shared" si="31"/>
        <v>75</v>
      </c>
      <c r="AG607" s="181" t="s">
        <v>2175</v>
      </c>
    </row>
    <row r="608" spans="1:33" hidden="1">
      <c r="A608" s="240">
        <f t="shared" si="30"/>
        <v>437</v>
      </c>
      <c r="B608" s="181" t="s">
        <v>1420</v>
      </c>
      <c r="C608" s="8">
        <v>43.12</v>
      </c>
      <c r="D608" s="1" t="s">
        <v>835</v>
      </c>
      <c r="E608"/>
      <c r="F608" s="188">
        <v>0.01</v>
      </c>
      <c r="G608" s="187" t="s">
        <v>836</v>
      </c>
      <c r="H608" s="181" t="s">
        <v>1421</v>
      </c>
      <c r="I608" s="8" t="e">
        <f>(K279)</f>
        <v>#REF!</v>
      </c>
      <c r="J608" s="2" t="s">
        <v>836</v>
      </c>
      <c r="K608" s="8" t="e">
        <f>(F608*I608)</f>
        <v>#REF!</v>
      </c>
      <c r="M608" s="245">
        <v>0.13600000000000001</v>
      </c>
      <c r="N608" s="181" t="s">
        <v>836</v>
      </c>
      <c r="O608" s="181" t="s">
        <v>947</v>
      </c>
      <c r="P608" s="188" t="e">
        <f>(K614)</f>
        <v>#REF!</v>
      </c>
      <c r="Q608" s="181" t="s">
        <v>836</v>
      </c>
      <c r="R608" s="188" t="e">
        <f t="shared" si="31"/>
        <v>#REF!</v>
      </c>
      <c r="AG608" s="181" t="s">
        <v>2175</v>
      </c>
    </row>
    <row r="609" spans="1:33" hidden="1">
      <c r="A609" s="240">
        <f t="shared" si="30"/>
        <v>438</v>
      </c>
      <c r="B609" s="181" t="s">
        <v>948</v>
      </c>
      <c r="C609"/>
      <c r="D609" s="1" t="s">
        <v>835</v>
      </c>
      <c r="E609"/>
      <c r="F609" s="188">
        <v>0.01</v>
      </c>
      <c r="G609" s="187" t="s">
        <v>836</v>
      </c>
      <c r="H609" s="181" t="s">
        <v>949</v>
      </c>
      <c r="I609"/>
      <c r="J609" s="2" t="s">
        <v>419</v>
      </c>
      <c r="K609" s="8">
        <v>1.1499999999999999</v>
      </c>
      <c r="O609" s="181" t="s">
        <v>126</v>
      </c>
      <c r="AG609" s="181" t="s">
        <v>2175</v>
      </c>
    </row>
    <row r="610" spans="1:33" hidden="1">
      <c r="A610" s="240">
        <f t="shared" si="30"/>
        <v>439</v>
      </c>
      <c r="B610" s="181" t="s">
        <v>127</v>
      </c>
      <c r="C610" s="8">
        <v>121.88</v>
      </c>
      <c r="D610" s="1" t="s">
        <v>835</v>
      </c>
      <c r="E610"/>
      <c r="H610" s="181" t="s">
        <v>128</v>
      </c>
      <c r="I610"/>
      <c r="J610" s="4"/>
      <c r="K610"/>
      <c r="N610" s="181" t="s">
        <v>419</v>
      </c>
      <c r="O610" s="181" t="s">
        <v>319</v>
      </c>
      <c r="Q610" s="181" t="s">
        <v>419</v>
      </c>
      <c r="R610" s="188">
        <v>1.5</v>
      </c>
      <c r="AG610" s="181" t="s">
        <v>2175</v>
      </c>
    </row>
    <row r="611" spans="1:33" hidden="1">
      <c r="A611" s="240">
        <f t="shared" si="30"/>
        <v>440</v>
      </c>
      <c r="B611" s="181" t="s">
        <v>1427</v>
      </c>
      <c r="C611" s="8">
        <v>66</v>
      </c>
      <c r="D611" s="1" t="s">
        <v>835</v>
      </c>
      <c r="E611"/>
      <c r="I611"/>
      <c r="J611" s="4"/>
      <c r="K611" s="5" t="s">
        <v>1530</v>
      </c>
      <c r="R611" s="185" t="s">
        <v>1530</v>
      </c>
      <c r="AG611" s="181" t="s">
        <v>2175</v>
      </c>
    </row>
    <row r="612" spans="1:33" hidden="1">
      <c r="A612" s="240">
        <f t="shared" si="30"/>
        <v>441</v>
      </c>
      <c r="B612" s="181" t="s">
        <v>1428</v>
      </c>
      <c r="C612"/>
      <c r="D612" s="1" t="s">
        <v>835</v>
      </c>
      <c r="E612"/>
      <c r="H612" s="181" t="s">
        <v>1429</v>
      </c>
      <c r="I612"/>
      <c r="J612" s="4"/>
      <c r="K612" s="8" t="e">
        <f>SUM(K608:K610)</f>
        <v>#REF!</v>
      </c>
      <c r="O612" s="181" t="s">
        <v>1694</v>
      </c>
      <c r="R612" s="188" t="e">
        <f>SUM(R600:R610)</f>
        <v>#REF!</v>
      </c>
      <c r="AG612" s="181" t="s">
        <v>300</v>
      </c>
    </row>
    <row r="613" spans="1:33" hidden="1">
      <c r="A613" s="240">
        <f t="shared" si="30"/>
        <v>442</v>
      </c>
      <c r="B613" s="181" t="s">
        <v>403</v>
      </c>
      <c r="C613" s="8">
        <v>149.16</v>
      </c>
      <c r="D613" s="1" t="s">
        <v>835</v>
      </c>
      <c r="E613"/>
      <c r="I613"/>
      <c r="J613" s="4"/>
      <c r="K613" s="5" t="s">
        <v>1530</v>
      </c>
      <c r="R613" s="185" t="s">
        <v>1530</v>
      </c>
    </row>
    <row r="614" spans="1:33" hidden="1">
      <c r="A614" s="240">
        <f t="shared" si="30"/>
        <v>443</v>
      </c>
      <c r="B614" s="181" t="s">
        <v>404</v>
      </c>
      <c r="C614" s="8">
        <v>84.92</v>
      </c>
      <c r="D614" s="1" t="s">
        <v>835</v>
      </c>
      <c r="E614"/>
      <c r="H614" s="181" t="s">
        <v>743</v>
      </c>
      <c r="I614"/>
      <c r="J614" s="4"/>
      <c r="K614" s="8" t="e">
        <f>ROUND(K612*100,0)</f>
        <v>#REF!</v>
      </c>
      <c r="N614" s="181" t="s">
        <v>2167</v>
      </c>
      <c r="O614" s="181" t="s">
        <v>405</v>
      </c>
    </row>
    <row r="615" spans="1:33" hidden="1">
      <c r="C615"/>
      <c r="D615"/>
      <c r="E615"/>
      <c r="F615" s="181" t="s">
        <v>940</v>
      </c>
      <c r="I615"/>
      <c r="J615" s="4"/>
      <c r="K615"/>
    </row>
    <row r="616" spans="1:33" hidden="1">
      <c r="A616" s="240">
        <f>(A614+1)</f>
        <v>444</v>
      </c>
      <c r="B616" s="181" t="s">
        <v>1059</v>
      </c>
      <c r="C616"/>
      <c r="D616" s="1" t="s">
        <v>835</v>
      </c>
      <c r="E616"/>
      <c r="I616"/>
      <c r="J616" s="4"/>
      <c r="K616" s="5" t="s">
        <v>1980</v>
      </c>
      <c r="O616" s="181" t="s">
        <v>1060</v>
      </c>
      <c r="AG616" s="181" t="s">
        <v>2175</v>
      </c>
    </row>
    <row r="617" spans="1:33" hidden="1">
      <c r="A617" s="240">
        <f t="shared" ref="A617:A648" si="32">(A616+1)</f>
        <v>445</v>
      </c>
      <c r="B617" s="181" t="s">
        <v>955</v>
      </c>
      <c r="C617" s="8">
        <v>195.36</v>
      </c>
      <c r="D617" s="1" t="s">
        <v>835</v>
      </c>
      <c r="E617"/>
      <c r="G617" s="187" t="s">
        <v>643</v>
      </c>
      <c r="H617" s="181" t="s">
        <v>956</v>
      </c>
      <c r="I617"/>
      <c r="J617" s="4"/>
      <c r="K617"/>
      <c r="O617" s="185" t="s">
        <v>1530</v>
      </c>
      <c r="AG617" s="181" t="s">
        <v>2175</v>
      </c>
    </row>
    <row r="618" spans="1:33" hidden="1">
      <c r="A618" s="240">
        <f t="shared" si="32"/>
        <v>446</v>
      </c>
      <c r="B618" s="181" t="s">
        <v>1598</v>
      </c>
      <c r="C618" s="8">
        <v>137.28</v>
      </c>
      <c r="D618" s="1" t="s">
        <v>835</v>
      </c>
      <c r="E618"/>
      <c r="H618" s="181" t="s">
        <v>1599</v>
      </c>
      <c r="I618"/>
      <c r="J618" s="4"/>
      <c r="K618"/>
      <c r="M618" s="188">
        <v>3</v>
      </c>
      <c r="N618" s="181" t="s">
        <v>836</v>
      </c>
      <c r="O618" s="181" t="s">
        <v>1600</v>
      </c>
      <c r="P618" s="188">
        <f>(C61*2)</f>
        <v>50</v>
      </c>
      <c r="Q618" s="181" t="s">
        <v>836</v>
      </c>
      <c r="R618" s="188">
        <f>(M618*P618)</f>
        <v>150</v>
      </c>
      <c r="AG618" s="181" t="s">
        <v>2175</v>
      </c>
    </row>
    <row r="619" spans="1:33" hidden="1">
      <c r="A619" s="240">
        <f t="shared" si="32"/>
        <v>447</v>
      </c>
      <c r="B619" s="181" t="s">
        <v>591</v>
      </c>
      <c r="C619"/>
      <c r="D619" s="1" t="s">
        <v>835</v>
      </c>
      <c r="E619"/>
      <c r="H619" s="185" t="s">
        <v>1530</v>
      </c>
      <c r="I619"/>
      <c r="J619" s="4"/>
      <c r="K619"/>
      <c r="M619" s="188">
        <v>2.4</v>
      </c>
      <c r="N619" s="181" t="s">
        <v>836</v>
      </c>
      <c r="O619" s="181" t="s">
        <v>1579</v>
      </c>
      <c r="P619" s="188" t="e">
        <f>(C81)</f>
        <v>#REF!</v>
      </c>
      <c r="Q619" s="181" t="s">
        <v>836</v>
      </c>
      <c r="R619" s="188" t="e">
        <f>(M619*P619)</f>
        <v>#REF!</v>
      </c>
      <c r="AG619" s="181" t="s">
        <v>2175</v>
      </c>
    </row>
    <row r="620" spans="1:33" hidden="1">
      <c r="A620" s="240">
        <f t="shared" si="32"/>
        <v>448</v>
      </c>
      <c r="B620" s="181" t="s">
        <v>1379</v>
      </c>
      <c r="C620" s="8">
        <v>97.68</v>
      </c>
      <c r="D620" s="1" t="s">
        <v>835</v>
      </c>
      <c r="E620"/>
      <c r="F620" s="245">
        <v>1.4E-2</v>
      </c>
      <c r="G620" s="187" t="s">
        <v>836</v>
      </c>
      <c r="H620" s="181" t="s">
        <v>1275</v>
      </c>
      <c r="I620" s="8" t="e">
        <f>(K614)</f>
        <v>#REF!</v>
      </c>
      <c r="J620" s="2" t="s">
        <v>836</v>
      </c>
      <c r="K620" s="8" t="e">
        <f>(F620*I620)</f>
        <v>#REF!</v>
      </c>
      <c r="M620" s="188">
        <v>5</v>
      </c>
      <c r="N620" s="181" t="s">
        <v>835</v>
      </c>
      <c r="O620" s="181" t="s">
        <v>576</v>
      </c>
      <c r="P620" s="188">
        <f>(C203)</f>
        <v>40</v>
      </c>
      <c r="Q620" s="181" t="s">
        <v>835</v>
      </c>
      <c r="R620" s="188">
        <f>(M620*P620)</f>
        <v>200</v>
      </c>
      <c r="AG620" s="181" t="s">
        <v>2175</v>
      </c>
    </row>
    <row r="621" spans="1:33" hidden="1">
      <c r="A621" s="240">
        <f t="shared" si="32"/>
        <v>449</v>
      </c>
      <c r="B621" s="181" t="s">
        <v>1716</v>
      </c>
      <c r="C621" s="8">
        <v>54.12</v>
      </c>
      <c r="D621" s="1" t="s">
        <v>835</v>
      </c>
      <c r="E621"/>
      <c r="F621" s="245"/>
      <c r="H621" s="181" t="s">
        <v>1717</v>
      </c>
      <c r="I621"/>
      <c r="J621" s="4"/>
      <c r="K621" s="1" t="s">
        <v>940</v>
      </c>
      <c r="O621" s="181" t="s">
        <v>420</v>
      </c>
      <c r="Q621" s="181" t="s">
        <v>419</v>
      </c>
      <c r="R621" s="188">
        <v>0.08</v>
      </c>
      <c r="AG621" s="181" t="s">
        <v>2175</v>
      </c>
    </row>
    <row r="622" spans="1:33" hidden="1">
      <c r="A622" s="240">
        <f t="shared" si="32"/>
        <v>450</v>
      </c>
      <c r="B622" s="181" t="s">
        <v>1718</v>
      </c>
      <c r="C622"/>
      <c r="D622" s="1" t="s">
        <v>835</v>
      </c>
      <c r="E622"/>
      <c r="F622" s="188">
        <v>0.5</v>
      </c>
      <c r="G622" s="187" t="s">
        <v>739</v>
      </c>
      <c r="H622" s="181" t="s">
        <v>1938</v>
      </c>
      <c r="I622" s="8">
        <f>(C10)</f>
        <v>150</v>
      </c>
      <c r="J622" s="2" t="s">
        <v>739</v>
      </c>
      <c r="K622" s="8">
        <f>(F622*I622)</f>
        <v>75</v>
      </c>
      <c r="R622" s="185" t="s">
        <v>1530</v>
      </c>
      <c r="S622" s="181" t="s">
        <v>940</v>
      </c>
      <c r="AG622" s="181" t="s">
        <v>2175</v>
      </c>
    </row>
    <row r="623" spans="1:33" hidden="1">
      <c r="A623" s="240">
        <f t="shared" si="32"/>
        <v>451</v>
      </c>
      <c r="B623" s="181" t="s">
        <v>1580</v>
      </c>
      <c r="C623" s="8">
        <v>110</v>
      </c>
      <c r="D623" s="1" t="s">
        <v>835</v>
      </c>
      <c r="E623"/>
      <c r="F623" s="188">
        <v>0.75</v>
      </c>
      <c r="G623" s="187" t="s">
        <v>739</v>
      </c>
      <c r="H623" s="181" t="s">
        <v>1836</v>
      </c>
      <c r="I623" s="8">
        <f>(C12)</f>
        <v>95</v>
      </c>
      <c r="J623" s="2" t="s">
        <v>739</v>
      </c>
      <c r="K623" s="8">
        <f>(F623*I623)</f>
        <v>71.25</v>
      </c>
      <c r="O623" s="181" t="s">
        <v>1694</v>
      </c>
      <c r="R623" s="188" t="e">
        <f>SUM(R618:R621)</f>
        <v>#REF!</v>
      </c>
      <c r="AG623" s="181" t="s">
        <v>2175</v>
      </c>
    </row>
    <row r="624" spans="1:33" hidden="1">
      <c r="A624" s="240">
        <f t="shared" si="32"/>
        <v>452</v>
      </c>
      <c r="B624" s="181" t="s">
        <v>1581</v>
      </c>
      <c r="C624" s="8">
        <v>70</v>
      </c>
      <c r="D624" s="1" t="s">
        <v>835</v>
      </c>
      <c r="E624"/>
      <c r="G624" s="187" t="s">
        <v>419</v>
      </c>
      <c r="H624" s="181" t="s">
        <v>420</v>
      </c>
      <c r="I624"/>
      <c r="J624" s="2" t="s">
        <v>419</v>
      </c>
      <c r="K624" s="8">
        <v>0</v>
      </c>
      <c r="R624" s="185" t="s">
        <v>1530</v>
      </c>
      <c r="AG624" s="181" t="s">
        <v>2175</v>
      </c>
    </row>
    <row r="625" spans="1:33" hidden="1">
      <c r="A625" s="240">
        <f t="shared" si="32"/>
        <v>453</v>
      </c>
      <c r="B625" s="181" t="s">
        <v>1582</v>
      </c>
      <c r="C625"/>
      <c r="D625" s="1" t="s">
        <v>835</v>
      </c>
      <c r="E625"/>
      <c r="I625"/>
      <c r="J625" s="4"/>
      <c r="K625" s="5" t="s">
        <v>1530</v>
      </c>
      <c r="AG625" s="181" t="s">
        <v>2175</v>
      </c>
    </row>
    <row r="626" spans="1:33" hidden="1">
      <c r="A626" s="240">
        <f t="shared" si="32"/>
        <v>454</v>
      </c>
      <c r="B626" s="181" t="s">
        <v>99</v>
      </c>
      <c r="C626" s="8">
        <v>12</v>
      </c>
      <c r="D626" s="1" t="s">
        <v>835</v>
      </c>
      <c r="E626"/>
      <c r="H626" s="181" t="s">
        <v>100</v>
      </c>
      <c r="I626"/>
      <c r="J626" s="4"/>
      <c r="K626" s="8" t="e">
        <f>SUM(K620:K624)</f>
        <v>#REF!</v>
      </c>
      <c r="N626" s="181" t="s">
        <v>2167</v>
      </c>
      <c r="O626" s="181" t="s">
        <v>60</v>
      </c>
      <c r="AG626" s="181" t="s">
        <v>2175</v>
      </c>
    </row>
    <row r="627" spans="1:33" hidden="1">
      <c r="A627" s="240">
        <f t="shared" si="32"/>
        <v>455</v>
      </c>
      <c r="B627" s="181" t="s">
        <v>1892</v>
      </c>
      <c r="C627" s="8">
        <v>7.5</v>
      </c>
      <c r="D627" s="1" t="s">
        <v>835</v>
      </c>
      <c r="E627"/>
      <c r="I627"/>
      <c r="J627" s="4"/>
      <c r="K627" s="5" t="s">
        <v>1530</v>
      </c>
      <c r="O627" s="181" t="s">
        <v>1893</v>
      </c>
      <c r="AG627" s="181" t="s">
        <v>2175</v>
      </c>
    </row>
    <row r="628" spans="1:33" hidden="1">
      <c r="A628" s="240">
        <f t="shared" si="32"/>
        <v>456</v>
      </c>
      <c r="B628" s="181" t="s">
        <v>1894</v>
      </c>
      <c r="C628"/>
      <c r="D628" s="1" t="s">
        <v>835</v>
      </c>
      <c r="E628"/>
      <c r="H628" s="181" t="s">
        <v>521</v>
      </c>
      <c r="I628"/>
      <c r="J628" s="4"/>
      <c r="K628" s="8" t="e">
        <f>(K626/0.372)</f>
        <v>#REF!</v>
      </c>
      <c r="O628" s="181" t="s">
        <v>1895</v>
      </c>
      <c r="AG628" s="181" t="s">
        <v>2175</v>
      </c>
    </row>
    <row r="629" spans="1:33" hidden="1">
      <c r="A629" s="240">
        <f t="shared" si="32"/>
        <v>457</v>
      </c>
      <c r="B629" s="181" t="s">
        <v>1896</v>
      </c>
      <c r="C629" s="8">
        <v>155.32</v>
      </c>
      <c r="D629" s="1" t="s">
        <v>835</v>
      </c>
      <c r="E629"/>
      <c r="I629"/>
      <c r="J629" s="4"/>
      <c r="K629" s="5" t="s">
        <v>1980</v>
      </c>
      <c r="O629" s="185" t="s">
        <v>1530</v>
      </c>
      <c r="AG629" s="181" t="s">
        <v>2175</v>
      </c>
    </row>
    <row r="630" spans="1:33" hidden="1">
      <c r="A630" s="240">
        <f t="shared" si="32"/>
        <v>458</v>
      </c>
      <c r="B630" s="181" t="s">
        <v>1710</v>
      </c>
      <c r="C630" s="8">
        <v>91.08</v>
      </c>
      <c r="D630" s="1" t="s">
        <v>835</v>
      </c>
      <c r="E630"/>
      <c r="H630" s="181" t="s">
        <v>361</v>
      </c>
      <c r="I630"/>
      <c r="J630" s="4"/>
      <c r="K630" s="8" t="e">
        <f>(K628+C22*0.014/0.372)</f>
        <v>#REF!</v>
      </c>
      <c r="M630" s="188">
        <v>9.5</v>
      </c>
      <c r="N630" s="181" t="s">
        <v>836</v>
      </c>
      <c r="O630" s="181" t="s">
        <v>1600</v>
      </c>
      <c r="P630" s="188">
        <f>(C61*2)</f>
        <v>50</v>
      </c>
      <c r="Q630" s="181" t="s">
        <v>836</v>
      </c>
      <c r="R630" s="188">
        <f t="shared" ref="R630:R638" si="33">(M630*P630)</f>
        <v>475</v>
      </c>
      <c r="AG630" s="181" t="s">
        <v>2175</v>
      </c>
    </row>
    <row r="631" spans="1:33" hidden="1">
      <c r="A631" s="240">
        <f t="shared" si="32"/>
        <v>459</v>
      </c>
      <c r="B631" s="181" t="s">
        <v>2866</v>
      </c>
      <c r="C631" s="8">
        <v>30</v>
      </c>
      <c r="D631" s="1" t="s">
        <v>1591</v>
      </c>
      <c r="E631"/>
      <c r="H631" s="181" t="s">
        <v>363</v>
      </c>
      <c r="I631"/>
      <c r="J631" s="4"/>
      <c r="K631" s="8" t="e">
        <f>(K630+C23*0.014/0.372)</f>
        <v>#REF!</v>
      </c>
      <c r="M631" s="188">
        <v>0.47</v>
      </c>
      <c r="N631" s="181" t="s">
        <v>836</v>
      </c>
      <c r="O631" s="181" t="s">
        <v>321</v>
      </c>
      <c r="P631" s="188" t="e">
        <f>(R74)</f>
        <v>#REF!</v>
      </c>
      <c r="Q631" s="181" t="s">
        <v>836</v>
      </c>
      <c r="R631" s="188" t="e">
        <f t="shared" si="33"/>
        <v>#REF!</v>
      </c>
      <c r="AG631" s="181" t="s">
        <v>2175</v>
      </c>
    </row>
    <row r="632" spans="1:33" hidden="1">
      <c r="A632" s="240">
        <f t="shared" si="32"/>
        <v>460</v>
      </c>
      <c r="B632" s="181" t="s">
        <v>1777</v>
      </c>
      <c r="C632" s="8">
        <v>0.3</v>
      </c>
      <c r="D632" s="1" t="s">
        <v>835</v>
      </c>
      <c r="E632"/>
      <c r="H632" s="181" t="s">
        <v>2149</v>
      </c>
      <c r="I632"/>
      <c r="J632" s="4"/>
      <c r="K632" s="8" t="e">
        <f>(K631+C24*0.014/0.372)</f>
        <v>#REF!</v>
      </c>
      <c r="M632" s="188">
        <v>1.62</v>
      </c>
      <c r="N632" s="181" t="s">
        <v>836</v>
      </c>
      <c r="O632" s="181" t="s">
        <v>1907</v>
      </c>
      <c r="P632" s="188" t="e">
        <f>(R89)</f>
        <v>#REF!</v>
      </c>
      <c r="Q632" s="181" t="s">
        <v>836</v>
      </c>
      <c r="R632" s="188" t="e">
        <f t="shared" si="33"/>
        <v>#REF!</v>
      </c>
      <c r="AG632" s="181" t="s">
        <v>2175</v>
      </c>
    </row>
    <row r="633" spans="1:33" hidden="1">
      <c r="A633" s="240">
        <f t="shared" si="32"/>
        <v>461</v>
      </c>
      <c r="B633" s="181" t="s">
        <v>2867</v>
      </c>
      <c r="C633" s="8">
        <v>99</v>
      </c>
      <c r="D633" s="1" t="s">
        <v>578</v>
      </c>
      <c r="E633"/>
      <c r="H633" s="181" t="s">
        <v>355</v>
      </c>
      <c r="I633"/>
      <c r="J633" s="4"/>
      <c r="K633" s="8" t="e">
        <f>(K632+C24*0.014/0.372)</f>
        <v>#REF!</v>
      </c>
      <c r="M633" s="188">
        <v>15.22</v>
      </c>
      <c r="N633" s="181" t="s">
        <v>578</v>
      </c>
      <c r="O633" s="181" t="s">
        <v>2054</v>
      </c>
      <c r="P633" s="188" t="e">
        <f>(R303)</f>
        <v>#REF!</v>
      </c>
      <c r="Q633" s="181" t="s">
        <v>578</v>
      </c>
      <c r="R633" s="188" t="e">
        <f t="shared" si="33"/>
        <v>#REF!</v>
      </c>
      <c r="AG633" s="181" t="s">
        <v>2175</v>
      </c>
    </row>
    <row r="634" spans="1:33" hidden="1">
      <c r="A634" s="240">
        <f t="shared" si="32"/>
        <v>462</v>
      </c>
      <c r="B634" s="181" t="s">
        <v>1947</v>
      </c>
      <c r="C634" s="8">
        <v>97.31</v>
      </c>
      <c r="D634" s="1" t="s">
        <v>578</v>
      </c>
      <c r="E634"/>
      <c r="H634" s="181" t="s">
        <v>1312</v>
      </c>
      <c r="I634"/>
      <c r="J634" s="4"/>
      <c r="K634" s="8" t="e">
        <f>(K633+C25*0.014/0.372)</f>
        <v>#REF!</v>
      </c>
      <c r="M634" s="188">
        <v>0.18</v>
      </c>
      <c r="N634" s="181" t="s">
        <v>836</v>
      </c>
      <c r="O634" s="181" t="s">
        <v>1281</v>
      </c>
      <c r="P634" s="188" t="e">
        <f>(K279)</f>
        <v>#REF!</v>
      </c>
      <c r="Q634" s="181" t="s">
        <v>836</v>
      </c>
      <c r="R634" s="188" t="e">
        <f t="shared" si="33"/>
        <v>#REF!</v>
      </c>
      <c r="AG634" s="181" t="s">
        <v>2175</v>
      </c>
    </row>
    <row r="635" spans="1:33" hidden="1">
      <c r="A635" s="240">
        <f t="shared" si="32"/>
        <v>463</v>
      </c>
      <c r="B635" s="181" t="s">
        <v>2868</v>
      </c>
      <c r="C635" s="8">
        <v>105.28</v>
      </c>
      <c r="D635" s="1" t="s">
        <v>1113</v>
      </c>
      <c r="E635"/>
      <c r="F635" s="236" t="s">
        <v>1282</v>
      </c>
      <c r="H635" s="181" t="s">
        <v>729</v>
      </c>
      <c r="I635"/>
      <c r="J635" s="4"/>
      <c r="K635"/>
      <c r="M635" s="188">
        <v>0.36</v>
      </c>
      <c r="N635" s="181" t="s">
        <v>578</v>
      </c>
      <c r="O635" s="181" t="s">
        <v>730</v>
      </c>
      <c r="P635" s="188" t="e">
        <f>(K466)</f>
        <v>#REF!</v>
      </c>
      <c r="Q635" s="181" t="s">
        <v>578</v>
      </c>
      <c r="R635" s="188" t="e">
        <f t="shared" si="33"/>
        <v>#REF!</v>
      </c>
      <c r="AG635" s="181" t="s">
        <v>2175</v>
      </c>
    </row>
    <row r="636" spans="1:33" hidden="1">
      <c r="A636" s="240">
        <f t="shared" si="32"/>
        <v>464</v>
      </c>
      <c r="B636" s="181" t="s">
        <v>2869</v>
      </c>
      <c r="C636" s="8">
        <v>106.75</v>
      </c>
      <c r="D636" s="1" t="s">
        <v>1113</v>
      </c>
      <c r="E636"/>
      <c r="H636" s="181" t="s">
        <v>1352</v>
      </c>
      <c r="I636"/>
      <c r="J636" s="4"/>
      <c r="K636"/>
      <c r="M636" s="188">
        <v>1</v>
      </c>
      <c r="N636" s="181" t="s">
        <v>835</v>
      </c>
      <c r="O636" s="181" t="s">
        <v>1125</v>
      </c>
      <c r="P636" s="188">
        <f>(C202)</f>
        <v>75</v>
      </c>
      <c r="Q636" s="181" t="s">
        <v>835</v>
      </c>
      <c r="R636" s="188">
        <f t="shared" si="33"/>
        <v>75</v>
      </c>
      <c r="AG636" s="181" t="s">
        <v>2175</v>
      </c>
    </row>
    <row r="637" spans="1:33" hidden="1">
      <c r="A637" s="240">
        <f t="shared" si="32"/>
        <v>465</v>
      </c>
      <c r="B637" s="181" t="s">
        <v>1126</v>
      </c>
      <c r="C637" s="8">
        <v>1</v>
      </c>
      <c r="D637" s="1" t="s">
        <v>835</v>
      </c>
      <c r="E637" t="s">
        <v>146</v>
      </c>
      <c r="H637" s="181" t="s">
        <v>313</v>
      </c>
      <c r="I637"/>
      <c r="J637" s="4"/>
      <c r="K637"/>
      <c r="M637" s="188">
        <v>1.8</v>
      </c>
      <c r="N637" s="181" t="s">
        <v>314</v>
      </c>
      <c r="O637" s="181" t="s">
        <v>315</v>
      </c>
      <c r="P637" s="188">
        <f>(C324)</f>
        <v>14.91</v>
      </c>
      <c r="Q637" s="181" t="s">
        <v>314</v>
      </c>
      <c r="R637" s="188">
        <f t="shared" si="33"/>
        <v>26.84</v>
      </c>
      <c r="AG637" s="181" t="s">
        <v>2175</v>
      </c>
    </row>
    <row r="638" spans="1:33" hidden="1">
      <c r="A638" s="240">
        <f t="shared" si="32"/>
        <v>466</v>
      </c>
      <c r="B638" s="181" t="s">
        <v>2870</v>
      </c>
      <c r="C638" s="8">
        <v>37</v>
      </c>
      <c r="D638" s="1" t="s">
        <v>1591</v>
      </c>
      <c r="E638"/>
      <c r="H638" s="181" t="s">
        <v>1446</v>
      </c>
      <c r="I638"/>
      <c r="J638" s="4"/>
      <c r="K638"/>
      <c r="M638" s="188">
        <v>1</v>
      </c>
      <c r="N638" s="181" t="s">
        <v>835</v>
      </c>
      <c r="O638" s="181" t="s">
        <v>1846</v>
      </c>
      <c r="P638" s="188">
        <f>(C370)</f>
        <v>13.29</v>
      </c>
      <c r="Q638" s="181" t="s">
        <v>835</v>
      </c>
      <c r="R638" s="188">
        <f t="shared" si="33"/>
        <v>13.29</v>
      </c>
      <c r="AG638" s="181" t="s">
        <v>2175</v>
      </c>
    </row>
    <row r="639" spans="1:33" hidden="1">
      <c r="A639" s="240">
        <f t="shared" si="32"/>
        <v>467</v>
      </c>
      <c r="B639" s="258" t="s">
        <v>1847</v>
      </c>
      <c r="C639" s="8">
        <v>3</v>
      </c>
      <c r="D639" s="1" t="s">
        <v>1714</v>
      </c>
      <c r="E639">
        <v>5</v>
      </c>
      <c r="H639" s="181" t="s">
        <v>165</v>
      </c>
      <c r="I639"/>
      <c r="J639" s="4"/>
      <c r="K639"/>
      <c r="N639" s="181" t="s">
        <v>419</v>
      </c>
      <c r="O639" s="181" t="s">
        <v>319</v>
      </c>
      <c r="Q639" s="181" t="s">
        <v>419</v>
      </c>
      <c r="R639" s="188">
        <v>1.6</v>
      </c>
      <c r="AG639" s="181" t="s">
        <v>2175</v>
      </c>
    </row>
    <row r="640" spans="1:33" hidden="1">
      <c r="A640" s="240">
        <f t="shared" si="32"/>
        <v>468</v>
      </c>
      <c r="B640" s="258" t="s">
        <v>166</v>
      </c>
      <c r="C640" s="8">
        <v>2.2000000000000002</v>
      </c>
      <c r="D640" s="1" t="s">
        <v>1714</v>
      </c>
      <c r="E640"/>
      <c r="H640" s="181" t="s">
        <v>167</v>
      </c>
      <c r="I640"/>
      <c r="J640" s="4"/>
      <c r="K640"/>
      <c r="R640" s="181" t="s">
        <v>940</v>
      </c>
      <c r="AG640" s="181" t="s">
        <v>2175</v>
      </c>
    </row>
    <row r="641" spans="1:33" hidden="1">
      <c r="A641" s="240">
        <f t="shared" si="32"/>
        <v>469</v>
      </c>
      <c r="B641" s="181" t="s">
        <v>2871</v>
      </c>
      <c r="C641" s="8">
        <v>2.2000000000000002</v>
      </c>
      <c r="D641" s="1">
        <v>2.7</v>
      </c>
      <c r="E641">
        <v>2</v>
      </c>
      <c r="H641" s="181" t="s">
        <v>168</v>
      </c>
      <c r="I641"/>
      <c r="J641" s="4"/>
      <c r="K641"/>
      <c r="R641" s="185" t="s">
        <v>1530</v>
      </c>
      <c r="AG641" s="181" t="s">
        <v>2175</v>
      </c>
    </row>
    <row r="642" spans="1:33" hidden="1">
      <c r="A642" s="240">
        <f t="shared" si="32"/>
        <v>470</v>
      </c>
      <c r="B642" s="181" t="s">
        <v>169</v>
      </c>
      <c r="C642" s="8">
        <v>3.2</v>
      </c>
      <c r="D642" s="8">
        <v>3.2</v>
      </c>
      <c r="E642"/>
      <c r="H642" s="185" t="s">
        <v>1530</v>
      </c>
      <c r="I642" s="5" t="s">
        <v>1530</v>
      </c>
      <c r="J642" s="4"/>
      <c r="K642"/>
      <c r="O642" s="181" t="s">
        <v>1694</v>
      </c>
      <c r="R642" s="188" t="e">
        <f>SUM(R630:R640)</f>
        <v>#REF!</v>
      </c>
      <c r="AG642" s="181" t="s">
        <v>2175</v>
      </c>
    </row>
    <row r="643" spans="1:33" hidden="1">
      <c r="A643" s="240">
        <f t="shared" si="32"/>
        <v>471</v>
      </c>
      <c r="B643" s="181" t="s">
        <v>170</v>
      </c>
      <c r="C643" s="8">
        <v>4</v>
      </c>
      <c r="D643" s="1" t="s">
        <v>419</v>
      </c>
      <c r="E643"/>
      <c r="F643" s="188">
        <v>1</v>
      </c>
      <c r="G643" s="187" t="s">
        <v>578</v>
      </c>
      <c r="H643" s="181" t="s">
        <v>171</v>
      </c>
      <c r="I643" s="8">
        <f>D76</f>
        <v>240</v>
      </c>
      <c r="J643" s="2" t="s">
        <v>578</v>
      </c>
      <c r="K643" s="8">
        <f>(F643*I643)</f>
        <v>240</v>
      </c>
      <c r="R643" s="185" t="s">
        <v>1530</v>
      </c>
      <c r="AG643" s="181" t="s">
        <v>2175</v>
      </c>
    </row>
    <row r="644" spans="1:33" hidden="1">
      <c r="A644" s="240">
        <f t="shared" si="32"/>
        <v>472</v>
      </c>
      <c r="B644" s="181" t="s">
        <v>389</v>
      </c>
      <c r="C644" s="8">
        <v>5</v>
      </c>
      <c r="D644" s="1" t="s">
        <v>419</v>
      </c>
      <c r="E644"/>
      <c r="F644" s="188">
        <v>1</v>
      </c>
      <c r="G644" s="187" t="s">
        <v>578</v>
      </c>
      <c r="H644" s="181" t="s">
        <v>1380</v>
      </c>
      <c r="I644" s="8">
        <f>C75</f>
        <v>20</v>
      </c>
      <c r="J644" s="2" t="s">
        <v>578</v>
      </c>
      <c r="K644" s="8">
        <f>(F644*I644)</f>
        <v>20</v>
      </c>
      <c r="O644" s="181" t="s">
        <v>1381</v>
      </c>
      <c r="AG644" s="181" t="s">
        <v>2175</v>
      </c>
    </row>
    <row r="645" spans="1:33" hidden="1">
      <c r="A645" s="240">
        <f t="shared" si="32"/>
        <v>473</v>
      </c>
      <c r="B645" s="181" t="s">
        <v>1542</v>
      </c>
      <c r="C645" s="8">
        <v>96</v>
      </c>
      <c r="D645" s="1" t="s">
        <v>835</v>
      </c>
      <c r="E645"/>
      <c r="F645" s="188">
        <v>1</v>
      </c>
      <c r="G645" s="187" t="s">
        <v>419</v>
      </c>
      <c r="H645" s="181" t="s">
        <v>1543</v>
      </c>
      <c r="I645" s="8">
        <v>15</v>
      </c>
      <c r="J645" s="2" t="s">
        <v>419</v>
      </c>
      <c r="K645" s="8">
        <f>(F645*I645)</f>
        <v>15</v>
      </c>
      <c r="N645" s="181" t="s">
        <v>2167</v>
      </c>
      <c r="O645" s="181" t="s">
        <v>1544</v>
      </c>
      <c r="AG645" s="181" t="s">
        <v>2175</v>
      </c>
    </row>
    <row r="646" spans="1:33" hidden="1">
      <c r="A646" s="240">
        <f t="shared" si="32"/>
        <v>474</v>
      </c>
      <c r="B646" s="181" t="s">
        <v>1545</v>
      </c>
      <c r="C646" s="8">
        <v>75</v>
      </c>
      <c r="D646" s="1" t="s">
        <v>835</v>
      </c>
      <c r="E646"/>
      <c r="I646"/>
      <c r="J646" s="4"/>
      <c r="K646" s="5" t="s">
        <v>1530</v>
      </c>
      <c r="O646" s="181" t="s">
        <v>1546</v>
      </c>
      <c r="AG646" s="181" t="s">
        <v>2175</v>
      </c>
    </row>
    <row r="647" spans="1:33" hidden="1">
      <c r="A647" s="240">
        <f t="shared" si="32"/>
        <v>475</v>
      </c>
      <c r="B647" s="181" t="s">
        <v>1547</v>
      </c>
      <c r="C647" s="8">
        <v>6.4</v>
      </c>
      <c r="D647" s="8">
        <v>12.65</v>
      </c>
      <c r="E647">
        <v>3</v>
      </c>
      <c r="H647" s="181" t="s">
        <v>521</v>
      </c>
      <c r="I647"/>
      <c r="J647" s="4"/>
      <c r="K647" s="8">
        <f>SUM(K641:K645)</f>
        <v>275</v>
      </c>
      <c r="O647" s="185" t="s">
        <v>1530</v>
      </c>
      <c r="AG647" s="181" t="s">
        <v>2175</v>
      </c>
    </row>
    <row r="648" spans="1:33" hidden="1">
      <c r="A648" s="240">
        <f t="shared" si="32"/>
        <v>476</v>
      </c>
      <c r="B648" s="181" t="s">
        <v>1525</v>
      </c>
      <c r="C648" s="8">
        <v>80</v>
      </c>
      <c r="D648" s="1" t="s">
        <v>835</v>
      </c>
      <c r="E648"/>
      <c r="H648" s="181" t="s">
        <v>1526</v>
      </c>
      <c r="I648"/>
      <c r="J648" s="4"/>
      <c r="K648" s="5" t="s">
        <v>1980</v>
      </c>
      <c r="M648" s="188">
        <v>1</v>
      </c>
      <c r="N648" s="181" t="s">
        <v>835</v>
      </c>
      <c r="O648" s="181" t="s">
        <v>1527</v>
      </c>
      <c r="P648" s="188">
        <f>(C382)</f>
        <v>14.91</v>
      </c>
      <c r="Q648" s="181" t="s">
        <v>835</v>
      </c>
      <c r="R648" s="188">
        <f>(M648*P648)</f>
        <v>14.91</v>
      </c>
      <c r="AG648" s="181" t="s">
        <v>2175</v>
      </c>
    </row>
    <row r="649" spans="1:33" hidden="1">
      <c r="A649" s="240">
        <f t="shared" ref="A649:A673" si="34">(A648+1)</f>
        <v>477</v>
      </c>
      <c r="B649" s="181" t="s">
        <v>133</v>
      </c>
      <c r="C649" s="8">
        <v>64</v>
      </c>
      <c r="D649" s="1" t="s">
        <v>835</v>
      </c>
      <c r="E649"/>
      <c r="H649" s="181" t="s">
        <v>361</v>
      </c>
      <c r="I649"/>
      <c r="J649" s="4"/>
      <c r="K649" s="8">
        <f>(K647+C19*0.05)</f>
        <v>275.88</v>
      </c>
      <c r="N649" s="181" t="s">
        <v>419</v>
      </c>
      <c r="O649" s="181" t="s">
        <v>134</v>
      </c>
      <c r="Q649" s="181" t="s">
        <v>419</v>
      </c>
      <c r="R649" s="188">
        <v>2.09</v>
      </c>
      <c r="AG649" s="181" t="s">
        <v>2175</v>
      </c>
    </row>
    <row r="650" spans="1:33" hidden="1">
      <c r="A650" s="240">
        <f t="shared" si="34"/>
        <v>478</v>
      </c>
      <c r="B650" s="181" t="s">
        <v>135</v>
      </c>
      <c r="C650" s="8">
        <v>40.5</v>
      </c>
      <c r="D650" s="1" t="s">
        <v>835</v>
      </c>
      <c r="E650"/>
      <c r="H650" s="181" t="s">
        <v>363</v>
      </c>
      <c r="I650"/>
      <c r="J650" s="4"/>
      <c r="K650" s="8">
        <f>(K649+C20*0.05)</f>
        <v>277.64</v>
      </c>
      <c r="O650" s="181" t="s">
        <v>136</v>
      </c>
      <c r="R650" s="181" t="s">
        <v>940</v>
      </c>
      <c r="AG650" s="181" t="s">
        <v>2175</v>
      </c>
    </row>
    <row r="651" spans="1:33" hidden="1">
      <c r="A651" s="240">
        <f t="shared" si="34"/>
        <v>479</v>
      </c>
      <c r="B651" s="181" t="s">
        <v>1404</v>
      </c>
      <c r="C651" s="8">
        <v>92</v>
      </c>
      <c r="D651" s="1" t="s">
        <v>835</v>
      </c>
      <c r="E651"/>
      <c r="H651" s="181" t="s">
        <v>2149</v>
      </c>
      <c r="I651"/>
      <c r="J651" s="4"/>
      <c r="K651" s="8">
        <f>(K650+C21*0.05)</f>
        <v>279.39999999999998</v>
      </c>
      <c r="R651" s="185" t="s">
        <v>1530</v>
      </c>
      <c r="AG651" s="181" t="s">
        <v>2175</v>
      </c>
    </row>
    <row r="652" spans="1:33" hidden="1">
      <c r="A652" s="240">
        <f t="shared" si="34"/>
        <v>480</v>
      </c>
      <c r="B652" s="181" t="s">
        <v>1510</v>
      </c>
      <c r="C652" s="8">
        <v>60</v>
      </c>
      <c r="D652" s="1" t="s">
        <v>835</v>
      </c>
      <c r="E652"/>
      <c r="H652" s="181" t="s">
        <v>355</v>
      </c>
      <c r="I652"/>
      <c r="J652" s="4"/>
      <c r="K652" s="8">
        <f>(K651+C21*0.05)</f>
        <v>281.16000000000003</v>
      </c>
      <c r="O652" s="181" t="s">
        <v>1511</v>
      </c>
      <c r="R652" s="188">
        <f>SUM(R648:R650)</f>
        <v>17</v>
      </c>
      <c r="AG652" s="181" t="s">
        <v>2175</v>
      </c>
    </row>
    <row r="653" spans="1:33" hidden="1">
      <c r="A653" s="240">
        <f t="shared" si="34"/>
        <v>481</v>
      </c>
      <c r="B653" s="181" t="s">
        <v>1311</v>
      </c>
      <c r="C653" s="8">
        <v>49.87</v>
      </c>
      <c r="D653" s="1" t="s">
        <v>835</v>
      </c>
      <c r="E653"/>
      <c r="H653" s="181" t="s">
        <v>1312</v>
      </c>
      <c r="I653"/>
      <c r="J653" s="4"/>
      <c r="K653" s="8">
        <f>(K652+C21*0.05)</f>
        <v>282.92</v>
      </c>
      <c r="R653" s="185" t="s">
        <v>1530</v>
      </c>
      <c r="AG653" s="181" t="s">
        <v>2175</v>
      </c>
    </row>
    <row r="654" spans="1:33" hidden="1">
      <c r="A654" s="240">
        <f t="shared" si="34"/>
        <v>482</v>
      </c>
      <c r="B654" s="181" t="s">
        <v>1751</v>
      </c>
      <c r="C654" s="8">
        <v>80</v>
      </c>
      <c r="D654" s="1" t="s">
        <v>835</v>
      </c>
      <c r="E654"/>
      <c r="F654" s="236" t="s">
        <v>1752</v>
      </c>
      <c r="H654" s="181" t="s">
        <v>729</v>
      </c>
      <c r="I654"/>
      <c r="J654" s="4"/>
      <c r="K654"/>
      <c r="AG654" s="181" t="s">
        <v>2175</v>
      </c>
    </row>
    <row r="655" spans="1:33" hidden="1">
      <c r="A655" s="240">
        <f t="shared" si="34"/>
        <v>483</v>
      </c>
      <c r="B655" s="181" t="s">
        <v>1753</v>
      </c>
      <c r="C655" s="8">
        <v>52</v>
      </c>
      <c r="D655" s="1" t="s">
        <v>835</v>
      </c>
      <c r="E655"/>
      <c r="H655" s="181" t="s">
        <v>1754</v>
      </c>
      <c r="I655"/>
      <c r="J655" s="4"/>
      <c r="K655"/>
      <c r="N655" s="181" t="s">
        <v>2167</v>
      </c>
      <c r="O655" s="181" t="s">
        <v>861</v>
      </c>
      <c r="AG655" s="181" t="s">
        <v>2175</v>
      </c>
    </row>
    <row r="656" spans="1:33" hidden="1">
      <c r="A656" s="240">
        <f t="shared" si="34"/>
        <v>484</v>
      </c>
      <c r="B656" s="181" t="s">
        <v>1143</v>
      </c>
      <c r="C656" s="8">
        <v>39</v>
      </c>
      <c r="D656" s="1" t="s">
        <v>835</v>
      </c>
      <c r="E656"/>
      <c r="H656" s="181" t="s">
        <v>313</v>
      </c>
      <c r="I656"/>
      <c r="J656" s="4"/>
      <c r="K656"/>
      <c r="O656" s="181" t="s">
        <v>1546</v>
      </c>
      <c r="AG656" s="181" t="s">
        <v>2175</v>
      </c>
    </row>
    <row r="657" spans="1:33" hidden="1">
      <c r="A657" s="240">
        <f t="shared" si="34"/>
        <v>485</v>
      </c>
      <c r="B657" s="181" t="s">
        <v>1206</v>
      </c>
      <c r="C657" s="8">
        <v>90</v>
      </c>
      <c r="D657" s="1" t="s">
        <v>835</v>
      </c>
      <c r="E657"/>
      <c r="H657" s="181" t="s">
        <v>1446</v>
      </c>
      <c r="I657"/>
      <c r="J657" s="4"/>
      <c r="K657"/>
      <c r="O657" s="185" t="s">
        <v>1530</v>
      </c>
      <c r="AG657" s="181" t="s">
        <v>2175</v>
      </c>
    </row>
    <row r="658" spans="1:33" hidden="1">
      <c r="A658" s="240">
        <f t="shared" si="34"/>
        <v>486</v>
      </c>
      <c r="B658" s="181" t="s">
        <v>1207</v>
      </c>
      <c r="C658" s="8">
        <v>60</v>
      </c>
      <c r="D658" s="1" t="s">
        <v>835</v>
      </c>
      <c r="E658"/>
      <c r="H658" s="181" t="s">
        <v>165</v>
      </c>
      <c r="I658"/>
      <c r="J658" s="4"/>
      <c r="K658"/>
      <c r="M658" s="188">
        <v>1</v>
      </c>
      <c r="N658" s="181" t="s">
        <v>835</v>
      </c>
      <c r="O658" s="181" t="s">
        <v>1045</v>
      </c>
      <c r="P658" s="188">
        <f>(C383)</f>
        <v>17.579999999999998</v>
      </c>
      <c r="Q658" s="181" t="s">
        <v>835</v>
      </c>
      <c r="R658" s="188">
        <f>(M658*P658)</f>
        <v>17.579999999999998</v>
      </c>
      <c r="AG658" s="181" t="s">
        <v>2175</v>
      </c>
    </row>
    <row r="659" spans="1:33" hidden="1">
      <c r="A659" s="240">
        <f t="shared" si="34"/>
        <v>487</v>
      </c>
      <c r="B659" s="181" t="s">
        <v>1046</v>
      </c>
      <c r="C659" s="8">
        <v>43.5</v>
      </c>
      <c r="D659" s="1" t="s">
        <v>835</v>
      </c>
      <c r="E659"/>
      <c r="H659" s="181" t="s">
        <v>167</v>
      </c>
      <c r="I659"/>
      <c r="J659" s="4"/>
      <c r="K659"/>
      <c r="N659" s="181" t="s">
        <v>419</v>
      </c>
      <c r="O659" s="181" t="s">
        <v>134</v>
      </c>
      <c r="Q659" s="181" t="s">
        <v>419</v>
      </c>
      <c r="R659" s="188">
        <v>2.09</v>
      </c>
      <c r="AG659" s="181" t="s">
        <v>2175</v>
      </c>
    </row>
    <row r="660" spans="1:33" hidden="1">
      <c r="A660" s="240">
        <f t="shared" si="34"/>
        <v>488</v>
      </c>
      <c r="B660" s="181" t="s">
        <v>232</v>
      </c>
      <c r="C660" s="8">
        <v>75</v>
      </c>
      <c r="D660" s="1" t="s">
        <v>835</v>
      </c>
      <c r="E660"/>
      <c r="H660" s="181" t="s">
        <v>1990</v>
      </c>
      <c r="I660"/>
      <c r="J660" s="4"/>
      <c r="K660"/>
      <c r="O660" s="181" t="s">
        <v>136</v>
      </c>
      <c r="R660" s="181" t="s">
        <v>940</v>
      </c>
      <c r="AG660" s="181" t="s">
        <v>2175</v>
      </c>
    </row>
    <row r="661" spans="1:33" hidden="1">
      <c r="A661" s="240">
        <f t="shared" si="34"/>
        <v>489</v>
      </c>
      <c r="B661" s="181" t="s">
        <v>1953</v>
      </c>
      <c r="C661" s="8">
        <v>52</v>
      </c>
      <c r="D661" s="1" t="s">
        <v>835</v>
      </c>
      <c r="E661"/>
      <c r="H661" s="185" t="s">
        <v>1530</v>
      </c>
      <c r="I661" s="5" t="s">
        <v>1530</v>
      </c>
      <c r="J661" s="4"/>
      <c r="K661"/>
      <c r="R661" s="185" t="s">
        <v>1530</v>
      </c>
      <c r="AG661" s="181" t="s">
        <v>2175</v>
      </c>
    </row>
    <row r="662" spans="1:33" hidden="1">
      <c r="A662" s="240">
        <f t="shared" si="34"/>
        <v>490</v>
      </c>
      <c r="B662" s="181" t="s">
        <v>1143</v>
      </c>
      <c r="C662" s="8">
        <v>35.25</v>
      </c>
      <c r="D662" s="1" t="s">
        <v>835</v>
      </c>
      <c r="E662"/>
      <c r="F662" s="188">
        <v>1</v>
      </c>
      <c r="G662" s="187" t="s">
        <v>578</v>
      </c>
      <c r="H662" s="181" t="s">
        <v>889</v>
      </c>
      <c r="I662" s="8">
        <f>C76</f>
        <v>514.62</v>
      </c>
      <c r="J662" s="2" t="s">
        <v>578</v>
      </c>
      <c r="K662" s="8">
        <f>(F662*I662)</f>
        <v>514.62</v>
      </c>
      <c r="O662" s="181" t="s">
        <v>1511</v>
      </c>
      <c r="R662" s="188">
        <f>SUM(R658:R660)</f>
        <v>19.670000000000002</v>
      </c>
      <c r="AG662" s="181" t="s">
        <v>2175</v>
      </c>
    </row>
    <row r="663" spans="1:33" hidden="1">
      <c r="A663" s="240">
        <f t="shared" si="34"/>
        <v>491</v>
      </c>
      <c r="B663" s="181" t="s">
        <v>890</v>
      </c>
      <c r="C663" s="8">
        <v>37.5</v>
      </c>
      <c r="D663" s="1" t="s">
        <v>835</v>
      </c>
      <c r="E663"/>
      <c r="F663" s="188">
        <v>1</v>
      </c>
      <c r="G663" s="187" t="s">
        <v>578</v>
      </c>
      <c r="H663" s="181" t="s">
        <v>1380</v>
      </c>
      <c r="I663" s="8">
        <f>C75</f>
        <v>20</v>
      </c>
      <c r="J663" s="2" t="s">
        <v>578</v>
      </c>
      <c r="K663" s="8">
        <f>(F663*I663)</f>
        <v>20</v>
      </c>
      <c r="R663" s="185" t="s">
        <v>1530</v>
      </c>
      <c r="AG663" s="181" t="s">
        <v>2175</v>
      </c>
    </row>
    <row r="664" spans="1:33" hidden="1">
      <c r="A664" s="240">
        <f t="shared" si="34"/>
        <v>492</v>
      </c>
      <c r="B664" s="181" t="s">
        <v>891</v>
      </c>
      <c r="C664" s="8">
        <v>24</v>
      </c>
      <c r="D664" s="1" t="s">
        <v>835</v>
      </c>
      <c r="E664"/>
      <c r="F664" s="188">
        <v>1</v>
      </c>
      <c r="G664" s="187" t="s">
        <v>419</v>
      </c>
      <c r="H664" s="181" t="s">
        <v>1543</v>
      </c>
      <c r="I664" s="8">
        <v>15</v>
      </c>
      <c r="J664" s="2" t="s">
        <v>419</v>
      </c>
      <c r="K664" s="8">
        <f>(F664*I664)</f>
        <v>15</v>
      </c>
      <c r="AG664" s="181" t="s">
        <v>2175</v>
      </c>
    </row>
    <row r="665" spans="1:33" hidden="1">
      <c r="A665" s="240">
        <f t="shared" si="34"/>
        <v>493</v>
      </c>
      <c r="B665" s="181" t="s">
        <v>892</v>
      </c>
      <c r="C665" s="8">
        <v>16</v>
      </c>
      <c r="D665" s="1" t="s">
        <v>835</v>
      </c>
      <c r="E665"/>
      <c r="H665" s="181" t="s">
        <v>420</v>
      </c>
      <c r="I665"/>
      <c r="J665" s="2" t="s">
        <v>419</v>
      </c>
      <c r="K665" s="8">
        <v>0</v>
      </c>
      <c r="N665" s="181" t="s">
        <v>2167</v>
      </c>
      <c r="O665" s="181" t="s">
        <v>446</v>
      </c>
      <c r="AG665" s="181" t="s">
        <v>2175</v>
      </c>
    </row>
    <row r="666" spans="1:33" hidden="1">
      <c r="A666" s="240">
        <f t="shared" si="34"/>
        <v>494</v>
      </c>
      <c r="B666" s="181" t="s">
        <v>447</v>
      </c>
      <c r="C666" s="8">
        <v>18</v>
      </c>
      <c r="D666" s="1" t="s">
        <v>835</v>
      </c>
      <c r="E666"/>
      <c r="I666"/>
      <c r="J666" s="4"/>
      <c r="K666" s="5" t="s">
        <v>1530</v>
      </c>
      <c r="O666" s="181" t="s">
        <v>1546</v>
      </c>
      <c r="AG666" s="181" t="s">
        <v>2175</v>
      </c>
    </row>
    <row r="667" spans="1:33" hidden="1">
      <c r="A667" s="240">
        <f t="shared" si="34"/>
        <v>495</v>
      </c>
      <c r="B667" s="181" t="s">
        <v>448</v>
      </c>
      <c r="C667" s="8">
        <v>6</v>
      </c>
      <c r="D667" s="1" t="s">
        <v>835</v>
      </c>
      <c r="E667"/>
      <c r="H667" s="181" t="s">
        <v>521</v>
      </c>
      <c r="I667"/>
      <c r="J667" s="4"/>
      <c r="K667" s="8">
        <f>SUM(K662:K665)</f>
        <v>549.62</v>
      </c>
      <c r="O667" s="185" t="s">
        <v>1530</v>
      </c>
      <c r="AG667" s="181" t="s">
        <v>2175</v>
      </c>
    </row>
    <row r="668" spans="1:33" hidden="1">
      <c r="A668" s="240">
        <f t="shared" si="34"/>
        <v>496</v>
      </c>
      <c r="B668" s="181" t="s">
        <v>449</v>
      </c>
      <c r="C668" s="8">
        <v>152.5</v>
      </c>
      <c r="D668" s="1" t="s">
        <v>1714</v>
      </c>
      <c r="E668"/>
      <c r="H668" s="181" t="s">
        <v>1526</v>
      </c>
      <c r="I668"/>
      <c r="J668" s="4"/>
      <c r="K668" s="5" t="s">
        <v>1980</v>
      </c>
      <c r="M668" s="188">
        <v>1</v>
      </c>
      <c r="N668" s="181" t="s">
        <v>835</v>
      </c>
      <c r="O668" s="181" t="s">
        <v>450</v>
      </c>
      <c r="P668" s="188">
        <f>(C384)</f>
        <v>19.3</v>
      </c>
      <c r="Q668" s="181" t="s">
        <v>835</v>
      </c>
      <c r="R668" s="188">
        <f>(M668*P668)</f>
        <v>19.3</v>
      </c>
      <c r="AG668" s="181" t="s">
        <v>2175</v>
      </c>
    </row>
    <row r="669" spans="1:33" hidden="1">
      <c r="A669" s="240">
        <f t="shared" si="34"/>
        <v>497</v>
      </c>
      <c r="B669" s="181" t="s">
        <v>974</v>
      </c>
      <c r="C669" s="8">
        <v>108.68</v>
      </c>
      <c r="D669" s="1" t="s">
        <v>835</v>
      </c>
      <c r="E669"/>
      <c r="H669" s="181" t="s">
        <v>361</v>
      </c>
      <c r="I669"/>
      <c r="J669" s="2" t="s">
        <v>940</v>
      </c>
      <c r="K669" s="8">
        <f>(K667+C19*0.11)</f>
        <v>551.55999999999995</v>
      </c>
      <c r="N669" s="181" t="s">
        <v>419</v>
      </c>
      <c r="O669" s="181" t="s">
        <v>134</v>
      </c>
      <c r="Q669" s="181" t="s">
        <v>419</v>
      </c>
      <c r="R669" s="188">
        <v>2.09</v>
      </c>
      <c r="AG669" s="181" t="s">
        <v>2175</v>
      </c>
    </row>
    <row r="670" spans="1:33" hidden="1">
      <c r="A670" s="240">
        <f t="shared" si="34"/>
        <v>498</v>
      </c>
      <c r="B670" s="181" t="s">
        <v>517</v>
      </c>
      <c r="C670" s="8">
        <v>119.89</v>
      </c>
      <c r="D670" s="1" t="s">
        <v>835</v>
      </c>
      <c r="E670"/>
      <c r="H670" s="181" t="s">
        <v>363</v>
      </c>
      <c r="I670"/>
      <c r="J670" s="4"/>
      <c r="K670" s="8">
        <f>(K669+C20*0.11)</f>
        <v>555.42999999999995</v>
      </c>
      <c r="O670" s="181" t="s">
        <v>136</v>
      </c>
      <c r="R670" s="181" t="s">
        <v>940</v>
      </c>
      <c r="AG670" s="181" t="s">
        <v>2175</v>
      </c>
    </row>
    <row r="671" spans="1:33" hidden="1">
      <c r="A671" s="240">
        <f t="shared" si="34"/>
        <v>499</v>
      </c>
      <c r="B671" s="181" t="s">
        <v>518</v>
      </c>
      <c r="C671" s="8">
        <v>297.44</v>
      </c>
      <c r="D671" s="1" t="s">
        <v>835</v>
      </c>
      <c r="E671"/>
      <c r="H671" s="181" t="s">
        <v>2149</v>
      </c>
      <c r="I671"/>
      <c r="J671" s="4"/>
      <c r="K671" s="8">
        <f>(K670+C21*0.11)</f>
        <v>559.29999999999995</v>
      </c>
      <c r="R671" s="185" t="s">
        <v>1530</v>
      </c>
      <c r="AG671" s="181" t="s">
        <v>300</v>
      </c>
    </row>
    <row r="672" spans="1:33" hidden="1">
      <c r="A672" s="240">
        <f t="shared" si="34"/>
        <v>500</v>
      </c>
      <c r="B672" s="181" t="s">
        <v>519</v>
      </c>
      <c r="C672" s="8">
        <v>28.6</v>
      </c>
      <c r="D672" s="1" t="s">
        <v>835</v>
      </c>
      <c r="E672"/>
      <c r="H672" s="181" t="s">
        <v>355</v>
      </c>
      <c r="I672"/>
      <c r="J672" s="4"/>
      <c r="K672" s="8">
        <f>(K671+C21*0.11)</f>
        <v>563.16999999999996</v>
      </c>
      <c r="O672" s="181" t="s">
        <v>1511</v>
      </c>
      <c r="R672" s="188">
        <f>SUM(R668:R670)</f>
        <v>21.39</v>
      </c>
    </row>
    <row r="673" spans="1:33" hidden="1">
      <c r="A673" s="240">
        <f t="shared" si="34"/>
        <v>501</v>
      </c>
      <c r="B673" s="181" t="s">
        <v>180</v>
      </c>
      <c r="C673" s="8">
        <v>228.86</v>
      </c>
      <c r="D673" s="1" t="s">
        <v>835</v>
      </c>
      <c r="E673"/>
      <c r="H673" s="181" t="s">
        <v>1312</v>
      </c>
      <c r="I673"/>
      <c r="J673" s="4"/>
      <c r="K673" s="8">
        <f>(K672+C21*0.11)</f>
        <v>567.04</v>
      </c>
      <c r="R673" s="185" t="s">
        <v>1530</v>
      </c>
    </row>
    <row r="674" spans="1:33" hidden="1">
      <c r="C674"/>
      <c r="D674"/>
      <c r="E674"/>
      <c r="F674" s="181" t="s">
        <v>940</v>
      </c>
      <c r="I674"/>
      <c r="J674" s="4"/>
      <c r="K674"/>
    </row>
    <row r="675" spans="1:33" hidden="1">
      <c r="A675" s="240">
        <f>(A673+1)</f>
        <v>502</v>
      </c>
      <c r="B675" s="181" t="s">
        <v>181</v>
      </c>
      <c r="C675" s="8">
        <v>70.47</v>
      </c>
      <c r="D675" s="1" t="s">
        <v>835</v>
      </c>
      <c r="E675"/>
      <c r="I675"/>
      <c r="J675" s="4"/>
      <c r="K675"/>
      <c r="AG675" s="181" t="s">
        <v>2175</v>
      </c>
    </row>
    <row r="676" spans="1:33" hidden="1">
      <c r="A676" s="240">
        <f t="shared" ref="A676:A707" si="35">(A675+1)</f>
        <v>503</v>
      </c>
      <c r="B676" s="181" t="s">
        <v>182</v>
      </c>
      <c r="C676" s="8">
        <v>133.62</v>
      </c>
      <c r="D676" s="1" t="s">
        <v>835</v>
      </c>
      <c r="E676"/>
      <c r="F676" s="236" t="s">
        <v>1303</v>
      </c>
      <c r="H676" s="181" t="s">
        <v>183</v>
      </c>
      <c r="I676"/>
      <c r="J676" s="4"/>
      <c r="K676"/>
      <c r="N676" s="181" t="s">
        <v>2167</v>
      </c>
      <c r="O676" s="181" t="s">
        <v>1395</v>
      </c>
      <c r="AG676" s="181" t="s">
        <v>2175</v>
      </c>
    </row>
    <row r="677" spans="1:33" hidden="1">
      <c r="A677" s="240">
        <f t="shared" si="35"/>
        <v>504</v>
      </c>
      <c r="B677" s="181" t="s">
        <v>1396</v>
      </c>
      <c r="C677" s="8">
        <v>133.62</v>
      </c>
      <c r="D677" s="1" t="s">
        <v>835</v>
      </c>
      <c r="E677"/>
      <c r="H677" s="181" t="s">
        <v>1397</v>
      </c>
      <c r="I677"/>
      <c r="J677" s="4"/>
      <c r="K677"/>
      <c r="O677" s="181" t="s">
        <v>1398</v>
      </c>
      <c r="AG677" s="181" t="s">
        <v>2175</v>
      </c>
    </row>
    <row r="678" spans="1:33" hidden="1">
      <c r="A678" s="240">
        <f t="shared" si="35"/>
        <v>505</v>
      </c>
      <c r="B678" s="181" t="s">
        <v>1399</v>
      </c>
      <c r="C678" s="8">
        <v>215</v>
      </c>
      <c r="D678" s="1" t="s">
        <v>835</v>
      </c>
      <c r="E678"/>
      <c r="H678" s="181" t="s">
        <v>1400</v>
      </c>
      <c r="I678"/>
      <c r="J678" s="4"/>
      <c r="K678"/>
      <c r="O678" s="185" t="s">
        <v>1530</v>
      </c>
      <c r="AG678" s="181" t="s">
        <v>2175</v>
      </c>
    </row>
    <row r="679" spans="1:33" hidden="1">
      <c r="A679" s="240">
        <f t="shared" si="35"/>
        <v>506</v>
      </c>
      <c r="B679" s="181" t="s">
        <v>1170</v>
      </c>
      <c r="C679" s="8">
        <v>215</v>
      </c>
      <c r="D679" s="1" t="s">
        <v>835</v>
      </c>
      <c r="E679"/>
      <c r="H679" s="185" t="s">
        <v>1530</v>
      </c>
      <c r="I679"/>
      <c r="J679" s="4"/>
      <c r="K679"/>
      <c r="M679" s="188">
        <v>1</v>
      </c>
      <c r="N679" s="181" t="s">
        <v>835</v>
      </c>
      <c r="O679" s="181" t="s">
        <v>1171</v>
      </c>
      <c r="P679" s="188">
        <f>(C392/1*0.3)</f>
        <v>14.61</v>
      </c>
      <c r="Q679" s="181" t="s">
        <v>835</v>
      </c>
      <c r="R679" s="188">
        <f>(M679*P679)</f>
        <v>14.61</v>
      </c>
      <c r="AG679" s="181" t="s">
        <v>2175</v>
      </c>
    </row>
    <row r="680" spans="1:33" hidden="1">
      <c r="A680" s="240">
        <f t="shared" si="35"/>
        <v>507</v>
      </c>
      <c r="B680" s="181" t="s">
        <v>1172</v>
      </c>
      <c r="C680" s="8">
        <v>107.64</v>
      </c>
      <c r="D680" s="1" t="s">
        <v>578</v>
      </c>
      <c r="E680"/>
      <c r="F680" s="188">
        <v>0.4</v>
      </c>
      <c r="G680" s="187" t="s">
        <v>836</v>
      </c>
      <c r="H680" s="181" t="s">
        <v>1173</v>
      </c>
      <c r="I680" s="8">
        <f>(C267)</f>
        <v>10705</v>
      </c>
      <c r="J680" s="2" t="s">
        <v>836</v>
      </c>
      <c r="K680" s="8">
        <f>(F680*I680)</f>
        <v>4282</v>
      </c>
      <c r="N680" s="181" t="s">
        <v>419</v>
      </c>
      <c r="O680" s="181" t="s">
        <v>134</v>
      </c>
      <c r="Q680" s="181" t="s">
        <v>419</v>
      </c>
      <c r="R680" s="188">
        <v>1.65</v>
      </c>
      <c r="AG680" s="181" t="s">
        <v>2175</v>
      </c>
    </row>
    <row r="681" spans="1:33" hidden="1">
      <c r="A681" s="240">
        <f t="shared" si="35"/>
        <v>508</v>
      </c>
      <c r="B681" s="181" t="s">
        <v>1174</v>
      </c>
      <c r="C681"/>
      <c r="D681"/>
      <c r="E681"/>
      <c r="F681" s="188">
        <v>0.12</v>
      </c>
      <c r="G681" s="187" t="s">
        <v>836</v>
      </c>
      <c r="H681" s="181" t="s">
        <v>1135</v>
      </c>
      <c r="I681" s="8">
        <f>(C268)</f>
        <v>9395</v>
      </c>
      <c r="J681" s="2" t="s">
        <v>836</v>
      </c>
      <c r="K681" s="8">
        <f>(F681*I681)</f>
        <v>1127.4000000000001</v>
      </c>
      <c r="O681" s="181" t="s">
        <v>136</v>
      </c>
      <c r="R681" s="181" t="s">
        <v>940</v>
      </c>
      <c r="AG681" s="181" t="s">
        <v>2175</v>
      </c>
    </row>
    <row r="682" spans="1:33" hidden="1">
      <c r="A682" s="240">
        <f t="shared" si="35"/>
        <v>509</v>
      </c>
      <c r="B682" s="181" t="s">
        <v>2038</v>
      </c>
      <c r="C682" s="8">
        <v>11.55</v>
      </c>
      <c r="D682" s="1" t="s">
        <v>835</v>
      </c>
      <c r="E682"/>
      <c r="H682" s="181" t="s">
        <v>2039</v>
      </c>
      <c r="I682" s="1" t="s">
        <v>940</v>
      </c>
      <c r="J682" s="4"/>
      <c r="K682" s="1" t="s">
        <v>940</v>
      </c>
      <c r="R682" s="185" t="s">
        <v>1530</v>
      </c>
      <c r="AG682" s="181" t="s">
        <v>2175</v>
      </c>
    </row>
    <row r="683" spans="1:33" hidden="1">
      <c r="A683" s="240">
        <f t="shared" si="35"/>
        <v>510</v>
      </c>
      <c r="B683" s="181" t="s">
        <v>1076</v>
      </c>
      <c r="C683" s="8">
        <v>16.399999999999999</v>
      </c>
      <c r="D683" s="1" t="s">
        <v>835</v>
      </c>
      <c r="E683"/>
      <c r="F683" s="188">
        <v>98.5</v>
      </c>
      <c r="G683" s="187" t="s">
        <v>1714</v>
      </c>
      <c r="H683" s="181" t="s">
        <v>1369</v>
      </c>
      <c r="I683" s="8">
        <f>(C269)</f>
        <v>15</v>
      </c>
      <c r="J683" s="2" t="s">
        <v>1714</v>
      </c>
      <c r="K683" s="8">
        <f>(F683*I683)</f>
        <v>1477.5</v>
      </c>
      <c r="O683" s="181" t="s">
        <v>1511</v>
      </c>
      <c r="R683" s="188">
        <f>SUM(R679:R681)</f>
        <v>16.260000000000002</v>
      </c>
      <c r="AG683" s="181" t="s">
        <v>2175</v>
      </c>
    </row>
    <row r="684" spans="1:33" hidden="1">
      <c r="A684" s="240">
        <f t="shared" si="35"/>
        <v>511</v>
      </c>
      <c r="B684" s="181" t="s">
        <v>1077</v>
      </c>
      <c r="C684" s="8">
        <v>27.85</v>
      </c>
      <c r="D684" s="1" t="s">
        <v>835</v>
      </c>
      <c r="E684"/>
      <c r="H684" s="181" t="s">
        <v>290</v>
      </c>
      <c r="I684" s="1" t="s">
        <v>940</v>
      </c>
      <c r="J684" s="4"/>
      <c r="K684" s="1" t="s">
        <v>234</v>
      </c>
      <c r="R684" s="185" t="s">
        <v>1530</v>
      </c>
      <c r="AG684" s="181" t="s">
        <v>2175</v>
      </c>
    </row>
    <row r="685" spans="1:33" hidden="1">
      <c r="A685" s="240">
        <f t="shared" si="35"/>
        <v>512</v>
      </c>
      <c r="B685" s="181" t="s">
        <v>1078</v>
      </c>
      <c r="C685" s="8">
        <v>49.9</v>
      </c>
      <c r="D685" s="1" t="s">
        <v>835</v>
      </c>
      <c r="E685"/>
      <c r="I685"/>
      <c r="J685" s="4"/>
      <c r="K685" s="5" t="s">
        <v>1530</v>
      </c>
      <c r="O685" s="236" t="s">
        <v>630</v>
      </c>
      <c r="R685" s="181" t="s">
        <v>940</v>
      </c>
      <c r="AG685" s="181" t="s">
        <v>2175</v>
      </c>
    </row>
    <row r="686" spans="1:33" hidden="1">
      <c r="A686" s="240">
        <f t="shared" si="35"/>
        <v>513</v>
      </c>
      <c r="B686" s="181" t="s">
        <v>1080</v>
      </c>
      <c r="C686" s="8">
        <v>69.25</v>
      </c>
      <c r="D686" s="1" t="s">
        <v>835</v>
      </c>
      <c r="E686"/>
      <c r="H686" s="181" t="s">
        <v>631</v>
      </c>
      <c r="I686"/>
      <c r="J686" s="4"/>
      <c r="K686" s="8">
        <f>SUM(K680:K684)</f>
        <v>6886.9</v>
      </c>
      <c r="M686" s="256"/>
      <c r="O686" s="236" t="s">
        <v>2004</v>
      </c>
      <c r="AG686" s="181" t="s">
        <v>2175</v>
      </c>
    </row>
    <row r="687" spans="1:33" hidden="1">
      <c r="A687" s="240">
        <f t="shared" si="35"/>
        <v>514</v>
      </c>
      <c r="B687" s="181" t="s">
        <v>1839</v>
      </c>
      <c r="C687"/>
      <c r="D687" s="1" t="s">
        <v>940</v>
      </c>
      <c r="E687"/>
      <c r="H687" s="181" t="s">
        <v>940</v>
      </c>
      <c r="I687"/>
      <c r="J687" s="4"/>
      <c r="K687" s="5" t="s">
        <v>1530</v>
      </c>
      <c r="M687" s="236" t="s">
        <v>1484</v>
      </c>
      <c r="N687" s="181" t="s">
        <v>1840</v>
      </c>
      <c r="O687" s="181" t="s">
        <v>2872</v>
      </c>
      <c r="AG687" s="181" t="s">
        <v>2175</v>
      </c>
    </row>
    <row r="688" spans="1:33" hidden="1">
      <c r="A688" s="240">
        <f t="shared" si="35"/>
        <v>515</v>
      </c>
      <c r="B688" s="181" t="s">
        <v>226</v>
      </c>
      <c r="C688" s="8">
        <v>20</v>
      </c>
      <c r="D688" s="1" t="s">
        <v>835</v>
      </c>
      <c r="E688"/>
      <c r="F688" s="188">
        <v>10</v>
      </c>
      <c r="G688" s="187" t="s">
        <v>578</v>
      </c>
      <c r="H688" s="181" t="s">
        <v>464</v>
      </c>
      <c r="I688" s="8">
        <f>(K686/50)</f>
        <v>137.74</v>
      </c>
      <c r="J688" s="2" t="s">
        <v>578</v>
      </c>
      <c r="K688" s="8">
        <f>(F688*I688)</f>
        <v>1377.4</v>
      </c>
      <c r="O688" s="185" t="s">
        <v>1530</v>
      </c>
      <c r="AG688" s="181" t="s">
        <v>2175</v>
      </c>
    </row>
    <row r="689" spans="1:33" hidden="1">
      <c r="A689" s="240">
        <f t="shared" si="35"/>
        <v>516</v>
      </c>
      <c r="B689" s="181" t="s">
        <v>465</v>
      </c>
      <c r="C689" s="8">
        <v>45</v>
      </c>
      <c r="D689" s="1" t="s">
        <v>835</v>
      </c>
      <c r="E689"/>
      <c r="F689" s="188">
        <v>3.8</v>
      </c>
      <c r="G689" s="187" t="s">
        <v>739</v>
      </c>
      <c r="H689" s="181" t="s">
        <v>466</v>
      </c>
      <c r="I689" s="8">
        <f>(C16)</f>
        <v>150</v>
      </c>
      <c r="J689" s="2" t="s">
        <v>739</v>
      </c>
      <c r="K689" s="8">
        <f>(F689*I689)</f>
        <v>570</v>
      </c>
      <c r="M689" s="256">
        <v>2.69E-2</v>
      </c>
      <c r="N689" s="181" t="s">
        <v>836</v>
      </c>
      <c r="O689" s="181" t="s">
        <v>1264</v>
      </c>
      <c r="P689" s="188">
        <f>C86+2500</f>
        <v>23105</v>
      </c>
      <c r="Q689" s="181" t="s">
        <v>836</v>
      </c>
      <c r="R689" s="188">
        <f t="shared" ref="R689:R695" si="36">M689*P689</f>
        <v>621.52</v>
      </c>
      <c r="AG689" s="181" t="s">
        <v>2175</v>
      </c>
    </row>
    <row r="690" spans="1:33" hidden="1">
      <c r="A690" s="240">
        <f t="shared" si="35"/>
        <v>517</v>
      </c>
      <c r="B690" s="181" t="s">
        <v>1265</v>
      </c>
      <c r="C690"/>
      <c r="D690" s="1" t="s">
        <v>234</v>
      </c>
      <c r="E690"/>
      <c r="F690" s="188">
        <v>5.4</v>
      </c>
      <c r="G690" s="187" t="s">
        <v>739</v>
      </c>
      <c r="H690" s="181" t="s">
        <v>1836</v>
      </c>
      <c r="I690" s="8">
        <f>(C12)</f>
        <v>95</v>
      </c>
      <c r="J690" s="2" t="s">
        <v>739</v>
      </c>
      <c r="K690" s="8">
        <f>(F690*I690)</f>
        <v>513</v>
      </c>
      <c r="M690" s="256">
        <v>1.2949999999999999</v>
      </c>
      <c r="N690" s="181" t="s">
        <v>578</v>
      </c>
      <c r="O690" s="181" t="s">
        <v>1249</v>
      </c>
      <c r="P690" s="188">
        <f>C753</f>
        <v>381.37</v>
      </c>
      <c r="Q690" s="181" t="s">
        <v>578</v>
      </c>
      <c r="R690" s="188">
        <f t="shared" si="36"/>
        <v>493.87</v>
      </c>
      <c r="AG690" s="181" t="s">
        <v>2175</v>
      </c>
    </row>
    <row r="691" spans="1:33" hidden="1">
      <c r="A691" s="240">
        <f t="shared" si="35"/>
        <v>518</v>
      </c>
      <c r="B691" s="181" t="s">
        <v>226</v>
      </c>
      <c r="C691" s="8">
        <v>19.09</v>
      </c>
      <c r="D691" s="1" t="s">
        <v>835</v>
      </c>
      <c r="E691"/>
      <c r="G691" s="187" t="s">
        <v>419</v>
      </c>
      <c r="H691" s="181" t="s">
        <v>1250</v>
      </c>
      <c r="I691"/>
      <c r="J691" s="2" t="s">
        <v>419</v>
      </c>
      <c r="K691" s="8">
        <v>5</v>
      </c>
      <c r="M691" s="256">
        <v>1.8149999999999999</v>
      </c>
      <c r="N691" s="181" t="s">
        <v>578</v>
      </c>
      <c r="O691" s="181" t="s">
        <v>2012</v>
      </c>
      <c r="P691" s="188">
        <f>C31</f>
        <v>342</v>
      </c>
      <c r="Q691" s="181" t="s">
        <v>578</v>
      </c>
      <c r="R691" s="188">
        <f t="shared" si="36"/>
        <v>620.73</v>
      </c>
      <c r="AG691" s="181" t="s">
        <v>2175</v>
      </c>
    </row>
    <row r="692" spans="1:33" hidden="1">
      <c r="A692" s="240">
        <f t="shared" si="35"/>
        <v>519</v>
      </c>
      <c r="B692" s="181" t="s">
        <v>465</v>
      </c>
      <c r="C692" s="8">
        <v>50.66</v>
      </c>
      <c r="D692" s="1" t="s">
        <v>835</v>
      </c>
      <c r="E692"/>
      <c r="I692"/>
      <c r="J692" s="4"/>
      <c r="K692" s="5" t="s">
        <v>1530</v>
      </c>
      <c r="M692" s="188">
        <v>2</v>
      </c>
      <c r="N692" s="181" t="s">
        <v>835</v>
      </c>
      <c r="O692" s="181" t="s">
        <v>1664</v>
      </c>
      <c r="P692" s="188">
        <f>C298</f>
        <v>10.5</v>
      </c>
      <c r="Q692" s="181" t="s">
        <v>835</v>
      </c>
      <c r="R692" s="188">
        <f t="shared" si="36"/>
        <v>21</v>
      </c>
      <c r="AG692" s="181" t="s">
        <v>2175</v>
      </c>
    </row>
    <row r="693" spans="1:33" hidden="1">
      <c r="A693" s="240">
        <f t="shared" si="35"/>
        <v>520</v>
      </c>
      <c r="B693" s="181" t="s">
        <v>1563</v>
      </c>
      <c r="C693" s="8">
        <v>1183.82</v>
      </c>
      <c r="D693" s="1" t="s">
        <v>578</v>
      </c>
      <c r="E693"/>
      <c r="H693" s="181" t="s">
        <v>411</v>
      </c>
      <c r="I693"/>
      <c r="J693" s="4"/>
      <c r="K693" s="8">
        <f>SUM(K688:K691)</f>
        <v>2465.4</v>
      </c>
      <c r="M693" s="188">
        <v>3</v>
      </c>
      <c r="N693" s="181" t="s">
        <v>835</v>
      </c>
      <c r="O693" s="181" t="s">
        <v>1564</v>
      </c>
      <c r="P693" s="188">
        <f>C294</f>
        <v>8.5</v>
      </c>
      <c r="Q693" s="181" t="s">
        <v>835</v>
      </c>
      <c r="R693" s="188">
        <f t="shared" si="36"/>
        <v>25.5</v>
      </c>
      <c r="AG693" s="181" t="s">
        <v>2175</v>
      </c>
    </row>
    <row r="694" spans="1:33" hidden="1">
      <c r="A694" s="240">
        <f t="shared" si="35"/>
        <v>521</v>
      </c>
      <c r="B694" s="181" t="s">
        <v>1565</v>
      </c>
      <c r="C694" s="8">
        <v>1605</v>
      </c>
      <c r="D694" s="1" t="s">
        <v>578</v>
      </c>
      <c r="E694"/>
      <c r="I694"/>
      <c r="J694" s="4"/>
      <c r="K694" s="5" t="s">
        <v>1530</v>
      </c>
      <c r="M694" s="188">
        <v>1</v>
      </c>
      <c r="N694" s="181" t="s">
        <v>835</v>
      </c>
      <c r="O694" s="181" t="s">
        <v>1649</v>
      </c>
      <c r="P694" s="188">
        <f>C300</f>
        <v>21</v>
      </c>
      <c r="Q694" s="181" t="s">
        <v>835</v>
      </c>
      <c r="R694" s="188">
        <f t="shared" si="36"/>
        <v>21</v>
      </c>
      <c r="AG694" s="181" t="s">
        <v>2175</v>
      </c>
    </row>
    <row r="695" spans="1:33" hidden="1">
      <c r="A695" s="240">
        <f t="shared" si="35"/>
        <v>522</v>
      </c>
      <c r="B695" s="181" t="s">
        <v>1657</v>
      </c>
      <c r="C695" s="1" t="s">
        <v>2873</v>
      </c>
      <c r="D695" s="1" t="s">
        <v>1658</v>
      </c>
      <c r="E695"/>
      <c r="H695" s="181" t="s">
        <v>521</v>
      </c>
      <c r="I695"/>
      <c r="J695" s="4"/>
      <c r="K695" s="8">
        <f>(K693/10)</f>
        <v>246.54</v>
      </c>
      <c r="M695" s="188">
        <v>1</v>
      </c>
      <c r="N695" s="181" t="s">
        <v>835</v>
      </c>
      <c r="O695" s="181" t="s">
        <v>1911</v>
      </c>
      <c r="P695" s="188">
        <f>C302</f>
        <v>4</v>
      </c>
      <c r="Q695" s="181" t="s">
        <v>835</v>
      </c>
      <c r="R695" s="188">
        <f t="shared" si="36"/>
        <v>4</v>
      </c>
      <c r="AG695" s="181" t="s">
        <v>2175</v>
      </c>
    </row>
    <row r="696" spans="1:33" hidden="1">
      <c r="A696" s="240">
        <f t="shared" si="35"/>
        <v>523</v>
      </c>
      <c r="B696" s="181" t="s">
        <v>1659</v>
      </c>
      <c r="C696" s="8">
        <v>147.6</v>
      </c>
      <c r="D696" s="1" t="s">
        <v>1714</v>
      </c>
      <c r="E696"/>
      <c r="I696"/>
      <c r="J696" s="4"/>
      <c r="K696" s="5" t="s">
        <v>1980</v>
      </c>
      <c r="N696" s="181" t="s">
        <v>419</v>
      </c>
      <c r="O696" s="181" t="s">
        <v>420</v>
      </c>
      <c r="Q696" s="181" t="s">
        <v>419</v>
      </c>
      <c r="R696" s="188">
        <v>0</v>
      </c>
      <c r="AG696" s="181" t="s">
        <v>2175</v>
      </c>
    </row>
    <row r="697" spans="1:33" hidden="1">
      <c r="A697" s="240">
        <f t="shared" si="35"/>
        <v>524</v>
      </c>
      <c r="B697" s="181" t="s">
        <v>1660</v>
      </c>
      <c r="C697" s="8">
        <v>147.6</v>
      </c>
      <c r="D697" s="1" t="s">
        <v>1714</v>
      </c>
      <c r="E697"/>
      <c r="I697"/>
      <c r="J697" s="4"/>
      <c r="K697"/>
      <c r="R697" s="185" t="s">
        <v>1530</v>
      </c>
      <c r="AG697" s="181" t="s">
        <v>2175</v>
      </c>
    </row>
    <row r="698" spans="1:33" hidden="1">
      <c r="A698" s="240">
        <f t="shared" si="35"/>
        <v>525</v>
      </c>
      <c r="B698" s="181" t="s">
        <v>1661</v>
      </c>
      <c r="C698" s="8">
        <v>147.6</v>
      </c>
      <c r="D698" s="1" t="s">
        <v>1714</v>
      </c>
      <c r="E698"/>
      <c r="F698" s="236" t="s">
        <v>1971</v>
      </c>
      <c r="G698" s="187" t="s">
        <v>2167</v>
      </c>
      <c r="H698" s="181" t="s">
        <v>10</v>
      </c>
      <c r="I698"/>
      <c r="J698" s="4"/>
      <c r="K698"/>
      <c r="O698" s="236" t="s">
        <v>11</v>
      </c>
      <c r="R698" s="188">
        <f>SUM(R689:R696)</f>
        <v>1807.62</v>
      </c>
      <c r="AG698" s="181" t="s">
        <v>2175</v>
      </c>
    </row>
    <row r="699" spans="1:33" hidden="1">
      <c r="A699" s="240">
        <f t="shared" si="35"/>
        <v>526</v>
      </c>
      <c r="B699" s="181" t="s">
        <v>616</v>
      </c>
      <c r="C699" s="8">
        <v>1250</v>
      </c>
      <c r="D699" s="1" t="s">
        <v>578</v>
      </c>
      <c r="E699"/>
      <c r="H699" s="181" t="s">
        <v>617</v>
      </c>
      <c r="I699"/>
      <c r="J699" s="4"/>
      <c r="K699"/>
      <c r="R699" s="185" t="s">
        <v>1530</v>
      </c>
      <c r="AG699" s="181" t="s">
        <v>2175</v>
      </c>
    </row>
    <row r="700" spans="1:33" hidden="1">
      <c r="A700" s="240">
        <f t="shared" si="35"/>
        <v>527</v>
      </c>
      <c r="B700" s="181" t="s">
        <v>618</v>
      </c>
      <c r="C700" s="8">
        <v>1250</v>
      </c>
      <c r="D700" s="1" t="s">
        <v>578</v>
      </c>
      <c r="E700"/>
      <c r="H700" s="181" t="s">
        <v>619</v>
      </c>
      <c r="I700"/>
      <c r="J700" s="4"/>
      <c r="K700"/>
      <c r="N700" s="181" t="s">
        <v>940</v>
      </c>
      <c r="O700" s="236" t="s">
        <v>521</v>
      </c>
      <c r="R700" s="188">
        <f>R698/M690</f>
        <v>1395.85</v>
      </c>
      <c r="AG700" s="181" t="s">
        <v>2175</v>
      </c>
    </row>
    <row r="701" spans="1:33" hidden="1">
      <c r="A701" s="240">
        <f t="shared" si="35"/>
        <v>528</v>
      </c>
      <c r="B701" s="181" t="s">
        <v>1189</v>
      </c>
      <c r="C701" s="8">
        <v>1250</v>
      </c>
      <c r="D701" s="1" t="s">
        <v>578</v>
      </c>
      <c r="E701"/>
      <c r="H701" s="181" t="s">
        <v>483</v>
      </c>
      <c r="I701"/>
      <c r="J701" s="4"/>
      <c r="K701"/>
      <c r="R701" s="185" t="s">
        <v>1980</v>
      </c>
      <c r="AG701" s="181" t="s">
        <v>2175</v>
      </c>
    </row>
    <row r="702" spans="1:33" hidden="1">
      <c r="A702" s="240">
        <f t="shared" si="35"/>
        <v>529</v>
      </c>
      <c r="B702" s="181" t="s">
        <v>484</v>
      </c>
      <c r="C702" s="8">
        <v>1250</v>
      </c>
      <c r="D702" s="1" t="s">
        <v>578</v>
      </c>
      <c r="E702"/>
      <c r="H702" s="181" t="s">
        <v>485</v>
      </c>
      <c r="I702"/>
      <c r="J702" s="4"/>
      <c r="K702"/>
      <c r="M702" s="236" t="s">
        <v>1484</v>
      </c>
      <c r="N702" s="181" t="s">
        <v>486</v>
      </c>
      <c r="O702" s="181" t="s">
        <v>487</v>
      </c>
      <c r="AG702" s="181" t="s">
        <v>2175</v>
      </c>
    </row>
    <row r="703" spans="1:33" hidden="1">
      <c r="A703" s="240">
        <f t="shared" si="35"/>
        <v>530</v>
      </c>
      <c r="B703" s="181" t="s">
        <v>488</v>
      </c>
      <c r="C703" s="8">
        <v>1250</v>
      </c>
      <c r="D703" s="1" t="s">
        <v>578</v>
      </c>
      <c r="E703"/>
      <c r="H703" s="181" t="s">
        <v>1</v>
      </c>
      <c r="I703"/>
      <c r="J703" s="4"/>
      <c r="K703"/>
      <c r="O703" s="185" t="s">
        <v>1530</v>
      </c>
      <c r="AG703" s="181" t="s">
        <v>2175</v>
      </c>
    </row>
    <row r="704" spans="1:33" hidden="1">
      <c r="A704" s="240">
        <f t="shared" si="35"/>
        <v>531</v>
      </c>
      <c r="B704" s="181" t="s">
        <v>731</v>
      </c>
      <c r="C704" s="8">
        <v>1250</v>
      </c>
      <c r="D704" s="1" t="s">
        <v>578</v>
      </c>
      <c r="E704"/>
      <c r="H704" s="181" t="s">
        <v>1180</v>
      </c>
      <c r="I704"/>
      <c r="J704" s="4"/>
      <c r="K704"/>
      <c r="M704" s="256">
        <v>2.5499999999999998E-2</v>
      </c>
      <c r="N704" s="181" t="s">
        <v>836</v>
      </c>
      <c r="O704" s="181" t="s">
        <v>1264</v>
      </c>
      <c r="P704" s="188">
        <f>C86+2500</f>
        <v>23105</v>
      </c>
      <c r="Q704" s="181" t="s">
        <v>836</v>
      </c>
      <c r="R704" s="188">
        <f t="shared" ref="R704:R710" si="37">M704*P704</f>
        <v>589.17999999999995</v>
      </c>
      <c r="AG704" s="181" t="s">
        <v>2175</v>
      </c>
    </row>
    <row r="705" spans="1:33" hidden="1">
      <c r="A705" s="240">
        <f t="shared" si="35"/>
        <v>532</v>
      </c>
      <c r="B705" s="181" t="s">
        <v>1181</v>
      </c>
      <c r="C705" s="8">
        <v>1250</v>
      </c>
      <c r="D705" s="1" t="s">
        <v>578</v>
      </c>
      <c r="E705"/>
      <c r="H705" s="185" t="s">
        <v>1530</v>
      </c>
      <c r="I705" s="5" t="s">
        <v>1530</v>
      </c>
      <c r="J705" s="2" t="s">
        <v>1530</v>
      </c>
      <c r="K705"/>
      <c r="M705" s="256">
        <v>1.1299999999999999</v>
      </c>
      <c r="N705" s="181" t="s">
        <v>578</v>
      </c>
      <c r="O705" s="181" t="s">
        <v>1249</v>
      </c>
      <c r="P705" s="188">
        <f>C753</f>
        <v>381.37</v>
      </c>
      <c r="Q705" s="181" t="s">
        <v>578</v>
      </c>
      <c r="R705" s="188">
        <f t="shared" si="37"/>
        <v>430.95</v>
      </c>
      <c r="AG705" s="181" t="s">
        <v>2175</v>
      </c>
    </row>
    <row r="706" spans="1:33" hidden="1">
      <c r="A706" s="240">
        <f t="shared" si="35"/>
        <v>533</v>
      </c>
      <c r="B706" s="181" t="s">
        <v>1182</v>
      </c>
      <c r="C706" s="8">
        <v>1250</v>
      </c>
      <c r="D706" s="1" t="s">
        <v>578</v>
      </c>
      <c r="E706"/>
      <c r="F706" s="188">
        <v>13.46</v>
      </c>
      <c r="G706" s="187" t="s">
        <v>254</v>
      </c>
      <c r="H706" s="181" t="s">
        <v>255</v>
      </c>
      <c r="I706" s="8">
        <f>C34/1000</f>
        <v>30</v>
      </c>
      <c r="J706" s="2" t="s">
        <v>254</v>
      </c>
      <c r="K706" s="8">
        <f>(F706*I706)</f>
        <v>403.8</v>
      </c>
      <c r="M706" s="256">
        <v>1.6191</v>
      </c>
      <c r="N706" s="181" t="s">
        <v>578</v>
      </c>
      <c r="O706" s="181" t="s">
        <v>2012</v>
      </c>
      <c r="P706" s="188">
        <f>C31</f>
        <v>342</v>
      </c>
      <c r="Q706" s="181" t="s">
        <v>578</v>
      </c>
      <c r="R706" s="188">
        <f t="shared" si="37"/>
        <v>553.73</v>
      </c>
      <c r="AG706" s="181" t="s">
        <v>2175</v>
      </c>
    </row>
    <row r="707" spans="1:33" hidden="1">
      <c r="A707" s="240">
        <f t="shared" si="35"/>
        <v>534</v>
      </c>
      <c r="B707" s="181" t="s">
        <v>943</v>
      </c>
      <c r="C707" s="8">
        <v>1250</v>
      </c>
      <c r="D707" s="1" t="s">
        <v>578</v>
      </c>
      <c r="E707"/>
      <c r="H707" s="181" t="s">
        <v>944</v>
      </c>
      <c r="I707"/>
      <c r="J707" s="4"/>
      <c r="K707"/>
      <c r="M707" s="188">
        <v>2</v>
      </c>
      <c r="N707" s="181" t="s">
        <v>835</v>
      </c>
      <c r="O707" s="181" t="s">
        <v>1664</v>
      </c>
      <c r="P707" s="188">
        <f>C298</f>
        <v>10.5</v>
      </c>
      <c r="Q707" s="181" t="s">
        <v>835</v>
      </c>
      <c r="R707" s="188">
        <f t="shared" si="37"/>
        <v>21</v>
      </c>
      <c r="AG707" s="181" t="s">
        <v>2175</v>
      </c>
    </row>
    <row r="708" spans="1:33" hidden="1">
      <c r="A708" s="240">
        <f t="shared" ref="A708:A733" si="38">(A707+1)</f>
        <v>535</v>
      </c>
      <c r="B708" s="181" t="s">
        <v>945</v>
      </c>
      <c r="C708" s="8">
        <v>1250</v>
      </c>
      <c r="D708" s="1" t="s">
        <v>578</v>
      </c>
      <c r="E708"/>
      <c r="F708" s="188">
        <v>4</v>
      </c>
      <c r="G708" s="187" t="s">
        <v>254</v>
      </c>
      <c r="H708" s="181" t="s">
        <v>946</v>
      </c>
      <c r="I708" s="8">
        <f>D34/1000</f>
        <v>30</v>
      </c>
      <c r="J708" s="2" t="s">
        <v>254</v>
      </c>
      <c r="K708" s="8">
        <f>(F708*I708)</f>
        <v>120</v>
      </c>
      <c r="M708" s="188">
        <v>3</v>
      </c>
      <c r="N708" s="181" t="s">
        <v>835</v>
      </c>
      <c r="O708" s="181" t="s">
        <v>1564</v>
      </c>
      <c r="P708" s="188">
        <f>C294</f>
        <v>8.5</v>
      </c>
      <c r="Q708" s="181" t="s">
        <v>835</v>
      </c>
      <c r="R708" s="188">
        <f t="shared" si="37"/>
        <v>25.5</v>
      </c>
      <c r="AG708" s="181" t="s">
        <v>2175</v>
      </c>
    </row>
    <row r="709" spans="1:33" hidden="1">
      <c r="A709" s="240">
        <f t="shared" si="38"/>
        <v>536</v>
      </c>
      <c r="B709" s="181" t="s">
        <v>907</v>
      </c>
      <c r="C709" s="8">
        <v>1250</v>
      </c>
      <c r="D709" s="1" t="s">
        <v>578</v>
      </c>
      <c r="E709"/>
      <c r="H709" s="181" t="s">
        <v>997</v>
      </c>
      <c r="I709"/>
      <c r="J709" s="4"/>
      <c r="K709"/>
      <c r="M709" s="188">
        <v>1</v>
      </c>
      <c r="N709" s="181" t="s">
        <v>835</v>
      </c>
      <c r="O709" s="181" t="s">
        <v>1649</v>
      </c>
      <c r="P709" s="188">
        <f>C300</f>
        <v>21</v>
      </c>
      <c r="Q709" s="181" t="s">
        <v>835</v>
      </c>
      <c r="R709" s="188">
        <f t="shared" si="37"/>
        <v>21</v>
      </c>
      <c r="AG709" s="181" t="s">
        <v>2175</v>
      </c>
    </row>
    <row r="710" spans="1:33" hidden="1">
      <c r="A710" s="240">
        <f t="shared" si="38"/>
        <v>537</v>
      </c>
      <c r="B710" s="181" t="s">
        <v>1181</v>
      </c>
      <c r="C710" s="8">
        <v>1250</v>
      </c>
      <c r="D710" s="1" t="s">
        <v>578</v>
      </c>
      <c r="E710"/>
      <c r="F710" s="188"/>
      <c r="G710" s="187" t="s">
        <v>419</v>
      </c>
      <c r="H710" s="181" t="s">
        <v>1602</v>
      </c>
      <c r="I710"/>
      <c r="J710" s="2" t="s">
        <v>419</v>
      </c>
      <c r="K710" s="8">
        <v>40</v>
      </c>
      <c r="M710" s="188">
        <v>1</v>
      </c>
      <c r="N710" s="181" t="s">
        <v>835</v>
      </c>
      <c r="O710" s="181" t="s">
        <v>1911</v>
      </c>
      <c r="P710" s="188">
        <f>C302</f>
        <v>4</v>
      </c>
      <c r="Q710" s="181" t="s">
        <v>835</v>
      </c>
      <c r="R710" s="188">
        <f t="shared" si="37"/>
        <v>4</v>
      </c>
      <c r="AG710" s="181" t="s">
        <v>2175</v>
      </c>
    </row>
    <row r="711" spans="1:33" hidden="1">
      <c r="A711" s="240">
        <f t="shared" si="38"/>
        <v>538</v>
      </c>
      <c r="B711" s="181" t="s">
        <v>1603</v>
      </c>
      <c r="C711"/>
      <c r="D711" s="1" t="s">
        <v>940</v>
      </c>
      <c r="E711"/>
      <c r="H711" s="181" t="s">
        <v>1604</v>
      </c>
      <c r="I711"/>
      <c r="J711" s="4"/>
      <c r="K711" s="5" t="s">
        <v>1530</v>
      </c>
      <c r="N711" s="181" t="s">
        <v>419</v>
      </c>
      <c r="O711" s="181" t="s">
        <v>420</v>
      </c>
      <c r="Q711" s="181" t="s">
        <v>419</v>
      </c>
      <c r="R711" s="188">
        <v>0</v>
      </c>
      <c r="AG711" s="181" t="s">
        <v>2175</v>
      </c>
    </row>
    <row r="712" spans="1:33" hidden="1">
      <c r="A712" s="240">
        <f t="shared" si="38"/>
        <v>539</v>
      </c>
      <c r="B712" s="181" t="s">
        <v>1605</v>
      </c>
      <c r="C712" s="8">
        <v>65</v>
      </c>
      <c r="D712" s="1" t="s">
        <v>1658</v>
      </c>
      <c r="E712"/>
      <c r="H712" s="236" t="s">
        <v>24</v>
      </c>
      <c r="I712"/>
      <c r="J712" s="4"/>
      <c r="K712" s="8">
        <f>SUM(K706:K710)</f>
        <v>563.79999999999995</v>
      </c>
      <c r="R712" s="185" t="s">
        <v>1530</v>
      </c>
      <c r="AG712" s="181" t="s">
        <v>2175</v>
      </c>
    </row>
    <row r="713" spans="1:33" hidden="1">
      <c r="A713" s="240">
        <f t="shared" si="38"/>
        <v>540</v>
      </c>
      <c r="B713" s="181" t="s">
        <v>25</v>
      </c>
      <c r="C713" s="8">
        <v>64.55</v>
      </c>
      <c r="D713" s="1" t="s">
        <v>1658</v>
      </c>
      <c r="E713"/>
      <c r="I713"/>
      <c r="J713" s="4"/>
      <c r="K713" s="5" t="s">
        <v>1530</v>
      </c>
      <c r="O713" s="236" t="s">
        <v>26</v>
      </c>
      <c r="R713" s="188">
        <f>SUM(R704:R711)</f>
        <v>1645.36</v>
      </c>
      <c r="AG713" s="181" t="s">
        <v>2175</v>
      </c>
    </row>
    <row r="714" spans="1:33" hidden="1">
      <c r="A714" s="240">
        <f t="shared" si="38"/>
        <v>541</v>
      </c>
      <c r="B714" s="181" t="s">
        <v>27</v>
      </c>
      <c r="C714" s="8">
        <v>110.95</v>
      </c>
      <c r="D714" s="1" t="s">
        <v>1658</v>
      </c>
      <c r="E714"/>
      <c r="H714" s="236" t="s">
        <v>28</v>
      </c>
      <c r="I714"/>
      <c r="J714" s="4"/>
      <c r="K714" s="8">
        <f>K712/40</f>
        <v>14.1</v>
      </c>
      <c r="R714" s="185" t="s">
        <v>1530</v>
      </c>
      <c r="AG714" s="181" t="s">
        <v>2175</v>
      </c>
    </row>
    <row r="715" spans="1:33" hidden="1">
      <c r="A715" s="240">
        <f t="shared" si="38"/>
        <v>542</v>
      </c>
      <c r="B715" s="181" t="s">
        <v>984</v>
      </c>
      <c r="C715" s="8">
        <v>399</v>
      </c>
      <c r="D715" s="1" t="s">
        <v>1658</v>
      </c>
      <c r="E715"/>
      <c r="I715"/>
      <c r="J715" s="4"/>
      <c r="K715" s="5" t="s">
        <v>1530</v>
      </c>
      <c r="O715" s="236" t="s">
        <v>521</v>
      </c>
      <c r="R715" s="188">
        <f>R713/M706</f>
        <v>1016.22</v>
      </c>
      <c r="AG715" s="181" t="s">
        <v>2175</v>
      </c>
    </row>
    <row r="716" spans="1:33" hidden="1">
      <c r="A716" s="240">
        <f t="shared" si="38"/>
        <v>543</v>
      </c>
      <c r="B716" s="181" t="s">
        <v>863</v>
      </c>
      <c r="C716" s="8">
        <v>92</v>
      </c>
      <c r="D716" s="1" t="s">
        <v>1658</v>
      </c>
      <c r="E716"/>
      <c r="H716" s="181" t="s">
        <v>864</v>
      </c>
      <c r="I716"/>
      <c r="J716" s="4"/>
      <c r="K716"/>
      <c r="R716" s="185" t="s">
        <v>1980</v>
      </c>
      <c r="AG716" s="181" t="s">
        <v>2175</v>
      </c>
    </row>
    <row r="717" spans="1:33" hidden="1">
      <c r="A717" s="240">
        <f t="shared" si="38"/>
        <v>544</v>
      </c>
      <c r="B717" s="181" t="s">
        <v>291</v>
      </c>
      <c r="C717" s="8">
        <v>174.24</v>
      </c>
      <c r="D717" s="1" t="s">
        <v>1658</v>
      </c>
      <c r="E717"/>
      <c r="H717" s="181" t="s">
        <v>292</v>
      </c>
      <c r="I717"/>
      <c r="J717" s="4"/>
      <c r="K717"/>
      <c r="AG717" s="181" t="s">
        <v>2175</v>
      </c>
    </row>
    <row r="718" spans="1:33" hidden="1">
      <c r="A718" s="240">
        <f t="shared" si="38"/>
        <v>545</v>
      </c>
      <c r="B718" s="181" t="s">
        <v>293</v>
      </c>
      <c r="C718" s="8">
        <v>215.06</v>
      </c>
      <c r="D718" s="1" t="s">
        <v>1658</v>
      </c>
      <c r="E718"/>
      <c r="H718" s="181" t="s">
        <v>294</v>
      </c>
      <c r="I718"/>
      <c r="J718" s="4"/>
      <c r="K718"/>
      <c r="M718" s="236" t="s">
        <v>1484</v>
      </c>
      <c r="N718" s="181" t="s">
        <v>295</v>
      </c>
      <c r="O718" s="181" t="s">
        <v>1566</v>
      </c>
      <c r="AG718" s="181" t="s">
        <v>2175</v>
      </c>
    </row>
    <row r="719" spans="1:33" hidden="1">
      <c r="A719" s="240">
        <f t="shared" si="38"/>
        <v>546</v>
      </c>
      <c r="B719" s="181" t="s">
        <v>1567</v>
      </c>
      <c r="C719" s="8">
        <v>97.24</v>
      </c>
      <c r="D719" s="1" t="s">
        <v>1658</v>
      </c>
      <c r="E719"/>
      <c r="I719"/>
      <c r="J719" s="4"/>
      <c r="K719"/>
      <c r="O719" s="185" t="s">
        <v>1530</v>
      </c>
      <c r="AG719" s="181" t="s">
        <v>2175</v>
      </c>
    </row>
    <row r="720" spans="1:33" hidden="1">
      <c r="A720" s="240">
        <f t="shared" si="38"/>
        <v>547</v>
      </c>
      <c r="B720" s="181" t="s">
        <v>1374</v>
      </c>
      <c r="C720" s="8">
        <v>168.96</v>
      </c>
      <c r="D720" s="1" t="s">
        <v>1658</v>
      </c>
      <c r="E720"/>
      <c r="F720" s="188">
        <v>19</v>
      </c>
      <c r="G720" s="187" t="s">
        <v>1375</v>
      </c>
      <c r="H720" s="181" t="s">
        <v>67</v>
      </c>
      <c r="I720" s="8">
        <f>K714</f>
        <v>14.1</v>
      </c>
      <c r="J720" s="2" t="s">
        <v>245</v>
      </c>
      <c r="K720" s="8">
        <f>(F720*I720)</f>
        <v>267.89999999999998</v>
      </c>
      <c r="M720" s="256">
        <v>2.35E-2</v>
      </c>
      <c r="N720" s="181" t="s">
        <v>836</v>
      </c>
      <c r="O720" s="181" t="s">
        <v>1264</v>
      </c>
      <c r="P720" s="188">
        <f>C86+2500</f>
        <v>23105</v>
      </c>
      <c r="Q720" s="181" t="s">
        <v>836</v>
      </c>
      <c r="R720" s="188">
        <f t="shared" ref="R720:R726" si="39">M720*P720</f>
        <v>542.97</v>
      </c>
      <c r="AG720" s="181" t="s">
        <v>2175</v>
      </c>
    </row>
    <row r="721" spans="1:33" hidden="1">
      <c r="A721" s="240">
        <f t="shared" si="38"/>
        <v>548</v>
      </c>
      <c r="B721" s="181" t="s">
        <v>2874</v>
      </c>
      <c r="C721" s="8">
        <v>227</v>
      </c>
      <c r="D721" s="8">
        <v>247</v>
      </c>
      <c r="E721"/>
      <c r="H721" s="181" t="s">
        <v>1606</v>
      </c>
      <c r="I721"/>
      <c r="J721" s="4"/>
      <c r="K721"/>
      <c r="M721" s="256">
        <v>0.872</v>
      </c>
      <c r="N721" s="181" t="s">
        <v>578</v>
      </c>
      <c r="O721" s="181" t="s">
        <v>1249</v>
      </c>
      <c r="P721" s="188">
        <f>C753</f>
        <v>381.37</v>
      </c>
      <c r="Q721" s="181" t="s">
        <v>578</v>
      </c>
      <c r="R721" s="188">
        <f t="shared" si="39"/>
        <v>332.55</v>
      </c>
      <c r="AG721" s="181" t="s">
        <v>2175</v>
      </c>
    </row>
    <row r="722" spans="1:33" hidden="1">
      <c r="A722" s="240">
        <f t="shared" si="38"/>
        <v>549</v>
      </c>
      <c r="B722" s="181" t="s">
        <v>2069</v>
      </c>
      <c r="C722" s="8">
        <v>250</v>
      </c>
      <c r="D722" s="1" t="s">
        <v>1658</v>
      </c>
      <c r="E722"/>
      <c r="F722" s="188">
        <v>0.12</v>
      </c>
      <c r="G722" s="187" t="s">
        <v>2070</v>
      </c>
      <c r="H722" s="181" t="s">
        <v>2875</v>
      </c>
      <c r="I722" s="8">
        <f>C268/5</f>
        <v>1879</v>
      </c>
      <c r="J722" s="2" t="s">
        <v>245</v>
      </c>
      <c r="K722" s="8">
        <f t="shared" ref="K722:K729" si="40">(F722*I722)</f>
        <v>225.48</v>
      </c>
      <c r="M722" s="256">
        <v>1.3247</v>
      </c>
      <c r="N722" s="181" t="s">
        <v>578</v>
      </c>
      <c r="O722" s="181" t="s">
        <v>2012</v>
      </c>
      <c r="P722" s="188">
        <f>C31</f>
        <v>342</v>
      </c>
      <c r="Q722" s="181" t="s">
        <v>578</v>
      </c>
      <c r="R722" s="188">
        <f t="shared" si="39"/>
        <v>453.05</v>
      </c>
      <c r="AG722" s="181" t="s">
        <v>2175</v>
      </c>
    </row>
    <row r="723" spans="1:33" hidden="1">
      <c r="A723" s="240">
        <f t="shared" si="38"/>
        <v>550</v>
      </c>
      <c r="B723" s="181" t="s">
        <v>793</v>
      </c>
      <c r="C723" s="8">
        <v>210</v>
      </c>
      <c r="D723" s="1" t="s">
        <v>1658</v>
      </c>
      <c r="E723"/>
      <c r="F723" s="188">
        <v>98.5</v>
      </c>
      <c r="G723" s="187" t="s">
        <v>794</v>
      </c>
      <c r="H723" s="181" t="s">
        <v>795</v>
      </c>
      <c r="I723" s="8">
        <f>C269/5</f>
        <v>3</v>
      </c>
      <c r="J723" s="2" t="s">
        <v>245</v>
      </c>
      <c r="K723" s="8">
        <f t="shared" si="40"/>
        <v>295.5</v>
      </c>
      <c r="M723" s="188">
        <v>1</v>
      </c>
      <c r="N723" s="181" t="s">
        <v>835</v>
      </c>
      <c r="O723" s="181" t="s">
        <v>1664</v>
      </c>
      <c r="P723" s="188">
        <f>C298</f>
        <v>10.5</v>
      </c>
      <c r="Q723" s="181" t="s">
        <v>835</v>
      </c>
      <c r="R723" s="188">
        <f t="shared" si="39"/>
        <v>10.5</v>
      </c>
      <c r="AG723" s="181" t="s">
        <v>2175</v>
      </c>
    </row>
    <row r="724" spans="1:33" hidden="1">
      <c r="A724" s="240">
        <f t="shared" si="38"/>
        <v>551</v>
      </c>
      <c r="B724" s="181" t="s">
        <v>2876</v>
      </c>
      <c r="C724" s="8">
        <v>1022.58</v>
      </c>
      <c r="D724" s="1" t="s">
        <v>578</v>
      </c>
      <c r="E724"/>
      <c r="F724" s="188">
        <v>1</v>
      </c>
      <c r="G724" s="187" t="s">
        <v>419</v>
      </c>
      <c r="H724" s="181" t="s">
        <v>1334</v>
      </c>
      <c r="I724" s="8">
        <v>11</v>
      </c>
      <c r="J724" s="2" t="s">
        <v>419</v>
      </c>
      <c r="K724" s="8">
        <f t="shared" si="40"/>
        <v>11</v>
      </c>
      <c r="M724" s="188">
        <v>3</v>
      </c>
      <c r="N724" s="181" t="s">
        <v>835</v>
      </c>
      <c r="O724" s="181" t="s">
        <v>1335</v>
      </c>
      <c r="P724" s="188">
        <f>C293</f>
        <v>5.75</v>
      </c>
      <c r="Q724" s="181" t="s">
        <v>835</v>
      </c>
      <c r="R724" s="188">
        <f t="shared" si="39"/>
        <v>17.25</v>
      </c>
      <c r="AG724" s="181" t="s">
        <v>2175</v>
      </c>
    </row>
    <row r="725" spans="1:33" hidden="1">
      <c r="A725" s="240">
        <f t="shared" si="38"/>
        <v>552</v>
      </c>
      <c r="B725" s="181" t="s">
        <v>1336</v>
      </c>
      <c r="C725"/>
      <c r="D725" s="1" t="s">
        <v>940</v>
      </c>
      <c r="E725"/>
      <c r="F725" s="188">
        <v>3.8</v>
      </c>
      <c r="G725" s="187" t="s">
        <v>1337</v>
      </c>
      <c r="H725" s="181" t="s">
        <v>1338</v>
      </c>
      <c r="I725" s="8">
        <f>C16</f>
        <v>150</v>
      </c>
      <c r="J725" s="2" t="s">
        <v>1341</v>
      </c>
      <c r="K725" s="8">
        <f t="shared" si="40"/>
        <v>570</v>
      </c>
      <c r="M725" s="188">
        <v>1</v>
      </c>
      <c r="N725" s="181" t="s">
        <v>835</v>
      </c>
      <c r="O725" s="181" t="s">
        <v>1339</v>
      </c>
      <c r="P725" s="188">
        <f>C301</f>
        <v>10</v>
      </c>
      <c r="Q725" s="181" t="s">
        <v>835</v>
      </c>
      <c r="R725" s="188">
        <f t="shared" si="39"/>
        <v>10</v>
      </c>
      <c r="AG725" s="181" t="s">
        <v>2175</v>
      </c>
    </row>
    <row r="726" spans="1:33" hidden="1">
      <c r="A726" s="240">
        <f t="shared" si="38"/>
        <v>553</v>
      </c>
      <c r="B726" s="181" t="s">
        <v>1340</v>
      </c>
      <c r="C726"/>
      <c r="D726"/>
      <c r="E726"/>
      <c r="F726" s="188">
        <v>5.4</v>
      </c>
      <c r="G726" s="187" t="s">
        <v>1337</v>
      </c>
      <c r="H726" s="181" t="s">
        <v>792</v>
      </c>
      <c r="I726" s="8">
        <f>C12</f>
        <v>95</v>
      </c>
      <c r="J726" s="2" t="s">
        <v>1341</v>
      </c>
      <c r="K726" s="8">
        <f t="shared" si="40"/>
        <v>513</v>
      </c>
      <c r="M726" s="188">
        <v>1</v>
      </c>
      <c r="N726" s="181" t="s">
        <v>835</v>
      </c>
      <c r="O726" s="181" t="s">
        <v>1911</v>
      </c>
      <c r="P726" s="188">
        <f>C302</f>
        <v>4</v>
      </c>
      <c r="Q726" s="181" t="s">
        <v>835</v>
      </c>
      <c r="R726" s="188">
        <f t="shared" si="39"/>
        <v>4</v>
      </c>
      <c r="AG726" s="181" t="s">
        <v>2175</v>
      </c>
    </row>
    <row r="727" spans="1:33" hidden="1">
      <c r="A727" s="240">
        <f t="shared" si="38"/>
        <v>554</v>
      </c>
      <c r="B727" s="181" t="s">
        <v>2096</v>
      </c>
      <c r="C727" s="8">
        <v>300</v>
      </c>
      <c r="D727" s="1" t="s">
        <v>2201</v>
      </c>
      <c r="E727"/>
      <c r="F727" s="188">
        <v>1</v>
      </c>
      <c r="G727" s="187" t="s">
        <v>1337</v>
      </c>
      <c r="H727" s="181" t="s">
        <v>2202</v>
      </c>
      <c r="I727" s="8">
        <f>C66</f>
        <v>120</v>
      </c>
      <c r="J727" s="2" t="s">
        <v>1341</v>
      </c>
      <c r="K727" s="8">
        <f t="shared" si="40"/>
        <v>120</v>
      </c>
      <c r="N727" s="181" t="s">
        <v>419</v>
      </c>
      <c r="O727" s="181" t="s">
        <v>420</v>
      </c>
      <c r="Q727" s="181" t="s">
        <v>419</v>
      </c>
      <c r="R727" s="188">
        <v>0</v>
      </c>
      <c r="AG727" s="181" t="s">
        <v>2175</v>
      </c>
    </row>
    <row r="728" spans="1:33" hidden="1">
      <c r="A728" s="240">
        <f t="shared" si="38"/>
        <v>555</v>
      </c>
      <c r="B728" s="236" t="s">
        <v>744</v>
      </c>
      <c r="C728" s="8">
        <v>302</v>
      </c>
      <c r="D728" s="1" t="s">
        <v>2201</v>
      </c>
      <c r="E728"/>
      <c r="F728" s="188">
        <v>1</v>
      </c>
      <c r="G728" s="187" t="s">
        <v>419</v>
      </c>
      <c r="H728" s="181" t="s">
        <v>745</v>
      </c>
      <c r="I728" s="8">
        <v>10</v>
      </c>
      <c r="J728" s="2" t="s">
        <v>419</v>
      </c>
      <c r="K728" s="8">
        <f t="shared" si="40"/>
        <v>10</v>
      </c>
      <c r="R728" s="185" t="s">
        <v>1530</v>
      </c>
      <c r="AG728" s="181" t="s">
        <v>2175</v>
      </c>
    </row>
    <row r="729" spans="1:33" hidden="1">
      <c r="A729" s="240">
        <f t="shared" si="38"/>
        <v>556</v>
      </c>
      <c r="B729" s="181" t="s">
        <v>746</v>
      </c>
      <c r="C729" s="8">
        <v>382</v>
      </c>
      <c r="D729" s="1" t="s">
        <v>2201</v>
      </c>
      <c r="E729"/>
      <c r="F729" s="188">
        <v>19</v>
      </c>
      <c r="G729" s="187" t="s">
        <v>1375</v>
      </c>
      <c r="H729" s="181" t="s">
        <v>747</v>
      </c>
      <c r="I729" s="8">
        <v>2</v>
      </c>
      <c r="J729" s="2" t="s">
        <v>1375</v>
      </c>
      <c r="K729" s="8">
        <f t="shared" si="40"/>
        <v>38</v>
      </c>
      <c r="O729" s="236" t="s">
        <v>714</v>
      </c>
      <c r="R729" s="188">
        <f>SUM(R720:R727)</f>
        <v>1370.32</v>
      </c>
      <c r="AG729" s="181" t="s">
        <v>2175</v>
      </c>
    </row>
    <row r="730" spans="1:33" hidden="1">
      <c r="A730" s="240">
        <f t="shared" si="38"/>
        <v>557</v>
      </c>
      <c r="B730" s="181" t="s">
        <v>539</v>
      </c>
      <c r="C730" s="8">
        <v>140</v>
      </c>
      <c r="D730" s="1" t="s">
        <v>2201</v>
      </c>
      <c r="E730"/>
      <c r="H730" s="181" t="s">
        <v>469</v>
      </c>
      <c r="I730"/>
      <c r="J730" s="4"/>
      <c r="K730" s="5" t="s">
        <v>1530</v>
      </c>
      <c r="R730" s="185" t="s">
        <v>1530</v>
      </c>
      <c r="AG730" s="181" t="s">
        <v>300</v>
      </c>
    </row>
    <row r="731" spans="1:33" hidden="1">
      <c r="A731" s="240">
        <f t="shared" si="38"/>
        <v>558</v>
      </c>
      <c r="B731" s="181" t="s">
        <v>806</v>
      </c>
      <c r="C731" s="8">
        <v>222</v>
      </c>
      <c r="D731" s="1" t="s">
        <v>2201</v>
      </c>
      <c r="E731"/>
      <c r="H731" s="236" t="s">
        <v>411</v>
      </c>
      <c r="I731"/>
      <c r="J731" s="4"/>
      <c r="K731" s="8">
        <f>SUM(K720:K729)</f>
        <v>2050.88</v>
      </c>
      <c r="O731" s="236" t="s">
        <v>521</v>
      </c>
      <c r="R731" s="188">
        <f>R729/1.3247</f>
        <v>1034.44</v>
      </c>
    </row>
    <row r="732" spans="1:33" hidden="1">
      <c r="A732" s="240">
        <f t="shared" si="38"/>
        <v>559</v>
      </c>
      <c r="B732" s="181" t="s">
        <v>581</v>
      </c>
      <c r="C732" s="8">
        <v>505</v>
      </c>
      <c r="D732" s="1" t="s">
        <v>2201</v>
      </c>
      <c r="E732"/>
      <c r="I732"/>
      <c r="J732" s="4"/>
      <c r="K732" s="5" t="s">
        <v>1530</v>
      </c>
      <c r="R732" s="185" t="s">
        <v>1980</v>
      </c>
    </row>
    <row r="733" spans="1:33" hidden="1">
      <c r="A733" s="240">
        <f t="shared" si="38"/>
        <v>560</v>
      </c>
      <c r="B733" s="181" t="s">
        <v>707</v>
      </c>
      <c r="C733" s="8">
        <v>75</v>
      </c>
      <c r="D733" s="1" t="s">
        <v>1658</v>
      </c>
      <c r="E733"/>
      <c r="H733" s="236" t="s">
        <v>521</v>
      </c>
      <c r="I733"/>
      <c r="J733" s="4"/>
      <c r="K733" s="8">
        <f>(K731/10)</f>
        <v>205.09</v>
      </c>
      <c r="N733" s="181" t="s">
        <v>2167</v>
      </c>
      <c r="O733" s="181" t="s">
        <v>2200</v>
      </c>
      <c r="AG733" s="181" t="s">
        <v>2175</v>
      </c>
    </row>
    <row r="734" spans="1:33" hidden="1">
      <c r="C734"/>
      <c r="D734"/>
      <c r="E734"/>
      <c r="F734" s="181" t="s">
        <v>940</v>
      </c>
      <c r="I734"/>
      <c r="J734" s="4"/>
      <c r="K734"/>
    </row>
    <row r="735" spans="1:33" hidden="1">
      <c r="A735" s="240">
        <f>(A733+1)</f>
        <v>561</v>
      </c>
      <c r="B735" s="181" t="s">
        <v>98</v>
      </c>
      <c r="C735" s="8">
        <v>43.3</v>
      </c>
      <c r="D735" s="1" t="s">
        <v>1714</v>
      </c>
      <c r="E735"/>
      <c r="I735"/>
      <c r="J735" s="4"/>
      <c r="K735" s="5" t="s">
        <v>1980</v>
      </c>
      <c r="O735" s="181" t="s">
        <v>2034</v>
      </c>
      <c r="AG735" s="181" t="s">
        <v>2175</v>
      </c>
    </row>
    <row r="736" spans="1:33" hidden="1">
      <c r="A736" s="240">
        <f t="shared" ref="A736:A753" si="41">(A735+1)</f>
        <v>562</v>
      </c>
      <c r="B736" s="181" t="s">
        <v>2035</v>
      </c>
      <c r="C736" s="8">
        <v>218</v>
      </c>
      <c r="D736" s="1" t="s">
        <v>1658</v>
      </c>
      <c r="E736"/>
      <c r="F736" s="236" t="s">
        <v>1433</v>
      </c>
      <c r="G736" s="187" t="s">
        <v>2167</v>
      </c>
      <c r="H736" s="181" t="s">
        <v>683</v>
      </c>
      <c r="I736"/>
      <c r="J736" s="4"/>
      <c r="K736"/>
      <c r="O736" s="181" t="s">
        <v>684</v>
      </c>
      <c r="AG736" s="181" t="s">
        <v>2175</v>
      </c>
    </row>
    <row r="737" spans="1:33" hidden="1">
      <c r="A737" s="240">
        <f t="shared" si="41"/>
        <v>563</v>
      </c>
      <c r="B737" s="181" t="s">
        <v>685</v>
      </c>
      <c r="C737" s="8">
        <v>926</v>
      </c>
      <c r="D737" s="1" t="s">
        <v>1658</v>
      </c>
      <c r="E737"/>
      <c r="H737" s="181" t="s">
        <v>686</v>
      </c>
      <c r="I737"/>
      <c r="J737" s="4"/>
      <c r="K737"/>
      <c r="O737" s="181" t="s">
        <v>85</v>
      </c>
      <c r="AG737" s="181" t="s">
        <v>2175</v>
      </c>
    </row>
    <row r="738" spans="1:33" hidden="1">
      <c r="A738" s="240">
        <f t="shared" si="41"/>
        <v>564</v>
      </c>
      <c r="B738" s="181" t="s">
        <v>86</v>
      </c>
      <c r="C738" s="8">
        <v>5.15</v>
      </c>
      <c r="D738" s="1" t="s">
        <v>1714</v>
      </c>
      <c r="E738"/>
      <c r="H738" s="181" t="s">
        <v>2189</v>
      </c>
      <c r="I738"/>
      <c r="J738" s="4"/>
      <c r="K738"/>
      <c r="O738" s="185" t="s">
        <v>1530</v>
      </c>
      <c r="AG738" s="181" t="s">
        <v>2175</v>
      </c>
    </row>
    <row r="739" spans="1:33" hidden="1">
      <c r="A739" s="240">
        <f t="shared" si="41"/>
        <v>565</v>
      </c>
      <c r="B739" s="181" t="s">
        <v>536</v>
      </c>
      <c r="C739" s="8">
        <v>550</v>
      </c>
      <c r="D739" s="1" t="s">
        <v>1658</v>
      </c>
      <c r="E739"/>
      <c r="H739" s="185" t="s">
        <v>1530</v>
      </c>
      <c r="I739"/>
      <c r="J739" s="4"/>
      <c r="K739"/>
      <c r="AG739" s="181" t="s">
        <v>2175</v>
      </c>
    </row>
    <row r="740" spans="1:33" hidden="1">
      <c r="A740" s="240">
        <f t="shared" si="41"/>
        <v>566</v>
      </c>
      <c r="B740" s="181" t="s">
        <v>942</v>
      </c>
      <c r="C740" s="8">
        <v>286</v>
      </c>
      <c r="D740" s="1" t="s">
        <v>1658</v>
      </c>
      <c r="E740"/>
      <c r="F740" s="188">
        <v>10</v>
      </c>
      <c r="G740" s="187" t="s">
        <v>578</v>
      </c>
      <c r="H740" s="181" t="s">
        <v>865</v>
      </c>
      <c r="I740" s="8">
        <f>(K720)*1.2</f>
        <v>321.48</v>
      </c>
      <c r="J740" s="2" t="s">
        <v>245</v>
      </c>
      <c r="K740" s="8">
        <f>(F740*I740)/10</f>
        <v>321.48</v>
      </c>
      <c r="O740" s="181" t="s">
        <v>866</v>
      </c>
      <c r="R740" s="188">
        <f>(C693)</f>
        <v>1183.82</v>
      </c>
      <c r="AG740" s="181" t="s">
        <v>2175</v>
      </c>
    </row>
    <row r="741" spans="1:33" hidden="1">
      <c r="A741" s="240">
        <f t="shared" si="41"/>
        <v>567</v>
      </c>
      <c r="B741" s="181" t="s">
        <v>867</v>
      </c>
      <c r="C741" s="8">
        <v>96.3</v>
      </c>
      <c r="D741" s="1" t="s">
        <v>1714</v>
      </c>
      <c r="E741"/>
      <c r="H741" s="181" t="s">
        <v>868</v>
      </c>
      <c r="I741"/>
      <c r="J741" s="4"/>
      <c r="K741"/>
      <c r="R741" s="185" t="s">
        <v>1980</v>
      </c>
      <c r="AG741" s="181" t="s">
        <v>2175</v>
      </c>
    </row>
    <row r="742" spans="1:33" hidden="1">
      <c r="A742" s="240">
        <f t="shared" si="41"/>
        <v>568</v>
      </c>
      <c r="B742" s="181" t="s">
        <v>807</v>
      </c>
      <c r="C742" s="8">
        <v>51</v>
      </c>
      <c r="D742" s="1" t="s">
        <v>1658</v>
      </c>
      <c r="E742"/>
      <c r="H742" s="181" t="s">
        <v>808</v>
      </c>
      <c r="I742"/>
      <c r="J742" s="4"/>
      <c r="K742"/>
      <c r="AG742" s="181" t="s">
        <v>2175</v>
      </c>
    </row>
    <row r="743" spans="1:33" hidden="1">
      <c r="A743" s="240">
        <f t="shared" si="41"/>
        <v>569</v>
      </c>
      <c r="B743" s="181" t="s">
        <v>523</v>
      </c>
      <c r="C743" s="8">
        <v>181</v>
      </c>
      <c r="D743" s="1" t="s">
        <v>753</v>
      </c>
      <c r="E743"/>
      <c r="F743" s="188">
        <v>10</v>
      </c>
      <c r="G743" s="187" t="s">
        <v>578</v>
      </c>
      <c r="H743" s="181" t="s">
        <v>524</v>
      </c>
      <c r="I743" s="8">
        <f>K722*1.2</f>
        <v>270.58</v>
      </c>
      <c r="J743" s="2" t="s">
        <v>245</v>
      </c>
      <c r="K743" s="8">
        <f>(F743*I743)/10</f>
        <v>270.58</v>
      </c>
      <c r="N743" s="181" t="s">
        <v>2167</v>
      </c>
      <c r="O743" s="181" t="s">
        <v>525</v>
      </c>
      <c r="AG743" s="181" t="s">
        <v>2175</v>
      </c>
    </row>
    <row r="744" spans="1:33" hidden="1">
      <c r="A744" s="240">
        <f t="shared" si="41"/>
        <v>570</v>
      </c>
      <c r="B744" s="181" t="s">
        <v>526</v>
      </c>
      <c r="C744" s="8">
        <v>36.200000000000003</v>
      </c>
      <c r="D744" s="1" t="s">
        <v>1714</v>
      </c>
      <c r="E744"/>
      <c r="H744" s="181" t="s">
        <v>967</v>
      </c>
      <c r="I744"/>
      <c r="J744" s="4"/>
      <c r="K744"/>
      <c r="O744" s="185" t="s">
        <v>1980</v>
      </c>
      <c r="P744" s="185" t="s">
        <v>1980</v>
      </c>
      <c r="Q744" s="185" t="s">
        <v>1980</v>
      </c>
      <c r="R744" s="181" t="s">
        <v>968</v>
      </c>
      <c r="AG744" s="181" t="s">
        <v>2175</v>
      </c>
    </row>
    <row r="745" spans="1:33" hidden="1">
      <c r="A745" s="240">
        <f t="shared" si="41"/>
        <v>571</v>
      </c>
      <c r="B745" s="181" t="s">
        <v>626</v>
      </c>
      <c r="C745" s="8">
        <v>98</v>
      </c>
      <c r="D745" s="1" t="s">
        <v>1658</v>
      </c>
      <c r="E745"/>
      <c r="H745" s="181" t="s">
        <v>786</v>
      </c>
      <c r="I745"/>
      <c r="J745" s="4"/>
      <c r="K745"/>
      <c r="O745" s="181" t="s">
        <v>1377</v>
      </c>
      <c r="Q745" s="236" t="s">
        <v>794</v>
      </c>
      <c r="R745" s="188">
        <f>(C696)</f>
        <v>147.6</v>
      </c>
      <c r="AG745" s="181" t="s">
        <v>2175</v>
      </c>
    </row>
    <row r="746" spans="1:33" hidden="1">
      <c r="A746" s="240">
        <f t="shared" si="41"/>
        <v>572</v>
      </c>
      <c r="B746" s="181" t="s">
        <v>1891</v>
      </c>
      <c r="C746" s="8">
        <v>92</v>
      </c>
      <c r="D746" s="1" t="s">
        <v>1714</v>
      </c>
      <c r="E746"/>
      <c r="F746" s="188">
        <v>98.5</v>
      </c>
      <c r="G746" s="187" t="s">
        <v>794</v>
      </c>
      <c r="H746" s="181" t="s">
        <v>795</v>
      </c>
      <c r="I746" s="8">
        <f>C269/5</f>
        <v>3</v>
      </c>
      <c r="J746" s="2" t="s">
        <v>245</v>
      </c>
      <c r="K746" s="8">
        <f t="shared" ref="K746:K752" si="42">(F746*I746)</f>
        <v>295.5</v>
      </c>
      <c r="O746" s="181" t="s">
        <v>2003</v>
      </c>
      <c r="AG746" s="181" t="s">
        <v>2175</v>
      </c>
    </row>
    <row r="747" spans="1:33" hidden="1">
      <c r="A747" s="240">
        <f t="shared" si="41"/>
        <v>573</v>
      </c>
      <c r="B747" s="181" t="s">
        <v>303</v>
      </c>
      <c r="C747" s="8">
        <v>49.42</v>
      </c>
      <c r="D747" s="1" t="s">
        <v>1658</v>
      </c>
      <c r="E747"/>
      <c r="F747" s="188">
        <v>3.8</v>
      </c>
      <c r="G747" s="187" t="s">
        <v>739</v>
      </c>
      <c r="H747" s="181" t="s">
        <v>466</v>
      </c>
      <c r="I747" s="8">
        <f>(C16)</f>
        <v>150</v>
      </c>
      <c r="J747" s="2" t="s">
        <v>739</v>
      </c>
      <c r="K747" s="8">
        <f t="shared" si="42"/>
        <v>570</v>
      </c>
      <c r="O747" s="181" t="s">
        <v>304</v>
      </c>
      <c r="AG747" s="181" t="s">
        <v>2175</v>
      </c>
    </row>
    <row r="748" spans="1:33" hidden="1">
      <c r="A748" s="240">
        <f t="shared" si="41"/>
        <v>574</v>
      </c>
      <c r="B748" s="181" t="s">
        <v>682</v>
      </c>
      <c r="C748" s="8">
        <v>53.2</v>
      </c>
      <c r="D748" s="1" t="s">
        <v>1658</v>
      </c>
      <c r="E748"/>
      <c r="F748" s="188">
        <v>5.4</v>
      </c>
      <c r="G748" s="187" t="s">
        <v>739</v>
      </c>
      <c r="H748" s="181" t="s">
        <v>1836</v>
      </c>
      <c r="I748" s="8">
        <f>(C12)</f>
        <v>95</v>
      </c>
      <c r="J748" s="2" t="s">
        <v>739</v>
      </c>
      <c r="K748" s="8">
        <f t="shared" si="42"/>
        <v>513</v>
      </c>
      <c r="O748" s="181" t="s">
        <v>1011</v>
      </c>
      <c r="AG748" s="181" t="s">
        <v>2175</v>
      </c>
    </row>
    <row r="749" spans="1:33" hidden="1">
      <c r="A749" s="240">
        <f t="shared" si="41"/>
        <v>575</v>
      </c>
      <c r="B749" s="181" t="s">
        <v>1012</v>
      </c>
      <c r="C749" s="8">
        <v>59</v>
      </c>
      <c r="D749" s="1" t="s">
        <v>1658</v>
      </c>
      <c r="E749"/>
      <c r="F749" s="188">
        <v>1</v>
      </c>
      <c r="G749" s="187" t="s">
        <v>739</v>
      </c>
      <c r="H749" s="181" t="s">
        <v>2202</v>
      </c>
      <c r="I749" s="8">
        <f>C66</f>
        <v>120</v>
      </c>
      <c r="J749" s="2" t="s">
        <v>1341</v>
      </c>
      <c r="K749" s="8">
        <f t="shared" si="42"/>
        <v>120</v>
      </c>
      <c r="O749" s="181" t="s">
        <v>1061</v>
      </c>
      <c r="AG749" s="181" t="s">
        <v>2175</v>
      </c>
    </row>
    <row r="750" spans="1:33" hidden="1">
      <c r="A750" s="240">
        <f t="shared" si="41"/>
        <v>576</v>
      </c>
      <c r="B750" s="181" t="s">
        <v>926</v>
      </c>
      <c r="C750" s="8">
        <v>100</v>
      </c>
      <c r="D750" s="1" t="s">
        <v>1658</v>
      </c>
      <c r="E750"/>
      <c r="F750" s="188">
        <v>1</v>
      </c>
      <c r="G750" s="187" t="s">
        <v>419</v>
      </c>
      <c r="H750" s="181" t="s">
        <v>927</v>
      </c>
      <c r="I750" s="8">
        <v>11</v>
      </c>
      <c r="J750" s="2" t="s">
        <v>1341</v>
      </c>
      <c r="K750" s="8">
        <f t="shared" si="42"/>
        <v>11</v>
      </c>
      <c r="O750" s="181" t="s">
        <v>1070</v>
      </c>
      <c r="R750" s="181" t="s">
        <v>940</v>
      </c>
      <c r="AG750" s="181" t="s">
        <v>2175</v>
      </c>
    </row>
    <row r="751" spans="1:33" hidden="1">
      <c r="A751" s="240">
        <f t="shared" si="41"/>
        <v>577</v>
      </c>
      <c r="B751" s="181" t="s">
        <v>1071</v>
      </c>
      <c r="C751" s="8">
        <v>49.52</v>
      </c>
      <c r="D751" s="1" t="s">
        <v>1714</v>
      </c>
      <c r="E751"/>
      <c r="F751" s="188">
        <v>1</v>
      </c>
      <c r="G751" s="187" t="s">
        <v>419</v>
      </c>
      <c r="H751" s="181" t="s">
        <v>1250</v>
      </c>
      <c r="I751" s="8">
        <v>10</v>
      </c>
      <c r="J751" s="2" t="s">
        <v>419</v>
      </c>
      <c r="K751" s="8">
        <f t="shared" si="42"/>
        <v>10</v>
      </c>
      <c r="O751" s="181" t="s">
        <v>940</v>
      </c>
      <c r="AG751" s="181" t="s">
        <v>2175</v>
      </c>
    </row>
    <row r="752" spans="1:33" hidden="1">
      <c r="A752" s="240">
        <f t="shared" si="41"/>
        <v>578</v>
      </c>
      <c r="B752" s="181" t="s">
        <v>2047</v>
      </c>
      <c r="C752" s="8">
        <v>1080</v>
      </c>
      <c r="D752" s="1" t="s">
        <v>1658</v>
      </c>
      <c r="E752"/>
      <c r="F752" s="188">
        <v>19</v>
      </c>
      <c r="G752" s="187" t="s">
        <v>1375</v>
      </c>
      <c r="H752" s="181" t="s">
        <v>2048</v>
      </c>
      <c r="I752" s="8">
        <v>2</v>
      </c>
      <c r="J752" s="4" t="s">
        <v>1375</v>
      </c>
      <c r="K752" s="8">
        <f t="shared" si="42"/>
        <v>38</v>
      </c>
      <c r="AG752" s="181" t="s">
        <v>2175</v>
      </c>
    </row>
    <row r="753" spans="1:33" hidden="1">
      <c r="A753" s="240">
        <f t="shared" si="41"/>
        <v>579</v>
      </c>
      <c r="B753" s="181" t="s">
        <v>2877</v>
      </c>
      <c r="C753" s="8">
        <v>381.37</v>
      </c>
      <c r="D753" s="1" t="s">
        <v>578</v>
      </c>
      <c r="E753"/>
      <c r="H753" s="181" t="s">
        <v>74</v>
      </c>
      <c r="I753"/>
      <c r="J753" s="4"/>
      <c r="K753"/>
      <c r="N753" s="181" t="s">
        <v>2167</v>
      </c>
      <c r="O753" s="181" t="s">
        <v>2049</v>
      </c>
      <c r="Q753" s="236" t="s">
        <v>2199</v>
      </c>
      <c r="R753" s="188">
        <f>(C700)</f>
        <v>1250</v>
      </c>
      <c r="AG753" s="181" t="s">
        <v>2175</v>
      </c>
    </row>
    <row r="754" spans="1:33" hidden="1">
      <c r="A754" s="240" t="e">
        <f>(#REF!+1)</f>
        <v>#REF!</v>
      </c>
      <c r="B754" s="181" t="s">
        <v>1340</v>
      </c>
      <c r="C754"/>
      <c r="D754"/>
      <c r="E754"/>
      <c r="I754"/>
      <c r="J754" s="4"/>
      <c r="K754" s="5" t="s">
        <v>1530</v>
      </c>
      <c r="O754" s="181" t="s">
        <v>1629</v>
      </c>
      <c r="AG754" s="181" t="s">
        <v>2175</v>
      </c>
    </row>
    <row r="755" spans="1:33" hidden="1">
      <c r="A755" s="240"/>
      <c r="B755" s="181" t="s">
        <v>2096</v>
      </c>
      <c r="C755" s="8">
        <v>300</v>
      </c>
      <c r="D755"/>
      <c r="E755"/>
      <c r="H755" s="181" t="s">
        <v>411</v>
      </c>
      <c r="I755"/>
      <c r="J755" s="4"/>
      <c r="K755" s="8">
        <f>SUM(K740:K753)</f>
        <v>2149.56</v>
      </c>
      <c r="O755" s="181" t="s">
        <v>296</v>
      </c>
      <c r="AG755" s="181" t="s">
        <v>2175</v>
      </c>
    </row>
    <row r="756" spans="1:33" hidden="1">
      <c r="A756" s="240"/>
      <c r="B756" s="236" t="s">
        <v>744</v>
      </c>
      <c r="C756" s="8">
        <v>302</v>
      </c>
      <c r="D756"/>
      <c r="E756"/>
      <c r="I756"/>
      <c r="J756" s="4"/>
      <c r="K756" s="5" t="s">
        <v>1530</v>
      </c>
      <c r="O756" s="181" t="s">
        <v>1220</v>
      </c>
      <c r="AG756" s="181" t="s">
        <v>2175</v>
      </c>
    </row>
    <row r="757" spans="1:33" hidden="1">
      <c r="A757" s="240"/>
      <c r="B757" s="181" t="s">
        <v>1221</v>
      </c>
      <c r="C757" s="8">
        <v>324</v>
      </c>
      <c r="D757"/>
      <c r="E757"/>
      <c r="H757" s="181" t="s">
        <v>521</v>
      </c>
      <c r="I757"/>
      <c r="J757" s="4"/>
      <c r="K757" s="8">
        <f>(K755/10)</f>
        <v>214.96</v>
      </c>
      <c r="AG757" s="181" t="s">
        <v>2175</v>
      </c>
    </row>
    <row r="758" spans="1:33" hidden="1">
      <c r="A758" s="240"/>
      <c r="B758" s="181" t="s">
        <v>746</v>
      </c>
      <c r="C758" s="8">
        <v>382</v>
      </c>
      <c r="D758"/>
      <c r="E758"/>
      <c r="I758"/>
      <c r="J758" s="4"/>
      <c r="K758" s="5" t="s">
        <v>1980</v>
      </c>
      <c r="N758" s="181" t="s">
        <v>2167</v>
      </c>
      <c r="O758" s="181" t="s">
        <v>563</v>
      </c>
      <c r="AG758" s="181" t="s">
        <v>2175</v>
      </c>
    </row>
    <row r="759" spans="1:33" hidden="1">
      <c r="A759" s="240"/>
      <c r="B759" s="181" t="s">
        <v>581</v>
      </c>
      <c r="C759" s="8">
        <v>505</v>
      </c>
      <c r="D759"/>
      <c r="E759"/>
      <c r="I759"/>
      <c r="J759" s="4"/>
      <c r="K759"/>
      <c r="O759" s="181" t="s">
        <v>2009</v>
      </c>
      <c r="R759" s="181" t="s">
        <v>940</v>
      </c>
      <c r="AG759" s="181" t="s">
        <v>2175</v>
      </c>
    </row>
    <row r="760" spans="1:33" hidden="1">
      <c r="A760" s="240"/>
      <c r="B760" s="181" t="s">
        <v>539</v>
      </c>
      <c r="C760" s="8">
        <v>140</v>
      </c>
      <c r="D760"/>
      <c r="E760"/>
      <c r="F760" s="236" t="s">
        <v>852</v>
      </c>
      <c r="G760" s="187" t="s">
        <v>2167</v>
      </c>
      <c r="H760" s="181" t="s">
        <v>683</v>
      </c>
      <c r="I760"/>
      <c r="J760" s="4"/>
      <c r="K760"/>
      <c r="O760" s="181" t="s">
        <v>2010</v>
      </c>
      <c r="AG760" s="181" t="s">
        <v>2175</v>
      </c>
    </row>
    <row r="761" spans="1:33" hidden="1">
      <c r="A761" s="240"/>
      <c r="B761" s="181" t="s">
        <v>806</v>
      </c>
      <c r="C761" s="8">
        <v>222</v>
      </c>
      <c r="D761"/>
      <c r="E761"/>
      <c r="H761" s="181" t="s">
        <v>686</v>
      </c>
      <c r="I761"/>
      <c r="J761" s="4"/>
      <c r="K761"/>
      <c r="O761" s="185" t="s">
        <v>1530</v>
      </c>
      <c r="AG761" s="181" t="s">
        <v>2175</v>
      </c>
    </row>
    <row r="762" spans="1:33" hidden="1">
      <c r="A762" s="240"/>
      <c r="B762" s="181" t="s">
        <v>699</v>
      </c>
      <c r="C762" s="8">
        <v>100</v>
      </c>
      <c r="D762"/>
      <c r="E762"/>
      <c r="H762" s="181" t="s">
        <v>260</v>
      </c>
      <c r="I762"/>
      <c r="J762" s="4"/>
      <c r="K762"/>
      <c r="N762" s="181" t="s">
        <v>222</v>
      </c>
      <c r="O762" s="181" t="s">
        <v>462</v>
      </c>
      <c r="P762" s="188">
        <f>(C271)</f>
        <v>160</v>
      </c>
      <c r="Q762" s="181" t="s">
        <v>222</v>
      </c>
      <c r="R762" s="188" t="e">
        <f>(#VALUE!*P762)</f>
        <v>#VALUE!</v>
      </c>
      <c r="AG762" s="181" t="s">
        <v>2175</v>
      </c>
    </row>
    <row r="763" spans="1:33" hidden="1">
      <c r="A763" s="240"/>
      <c r="B763" s="181" t="s">
        <v>463</v>
      </c>
      <c r="C763" s="8">
        <v>75</v>
      </c>
      <c r="D763"/>
      <c r="E763"/>
      <c r="H763" s="185" t="s">
        <v>1530</v>
      </c>
      <c r="I763"/>
      <c r="J763" s="4"/>
      <c r="K763"/>
      <c r="AG763" s="181" t="s">
        <v>2175</v>
      </c>
    </row>
    <row r="764" spans="1:33" hidden="1">
      <c r="A764" s="240"/>
      <c r="B764" s="181" t="s">
        <v>1117</v>
      </c>
      <c r="C764" s="8">
        <v>218</v>
      </c>
      <c r="D764"/>
      <c r="E764"/>
      <c r="H764" s="181" t="s">
        <v>1118</v>
      </c>
      <c r="I764"/>
      <c r="J764" s="4"/>
      <c r="K764" s="8">
        <f>(K695/2)</f>
        <v>123.27</v>
      </c>
      <c r="N764" s="181" t="s">
        <v>1119</v>
      </c>
      <c r="O764" s="181" t="s">
        <v>257</v>
      </c>
      <c r="P764" s="188">
        <f>(C16)</f>
        <v>150</v>
      </c>
      <c r="Q764" s="181" t="s">
        <v>1119</v>
      </c>
      <c r="R764" s="188" t="e">
        <f>(#VALUE!*P764)</f>
        <v>#VALUE!</v>
      </c>
      <c r="AG764" s="181" t="s">
        <v>2175</v>
      </c>
    </row>
    <row r="765" spans="1:33" hidden="1">
      <c r="A765" s="240"/>
      <c r="B765" s="181" t="s">
        <v>258</v>
      </c>
      <c r="C765" s="8">
        <v>1854</v>
      </c>
      <c r="D765"/>
      <c r="E765"/>
      <c r="H765" s="181" t="s">
        <v>259</v>
      </c>
      <c r="I765"/>
      <c r="J765" s="4"/>
      <c r="K765" s="5" t="s">
        <v>1980</v>
      </c>
      <c r="AG765" s="181" t="s">
        <v>2175</v>
      </c>
    </row>
    <row r="766" spans="1:33" hidden="1">
      <c r="C766"/>
      <c r="D766"/>
      <c r="E766"/>
      <c r="I766"/>
      <c r="J766" s="4"/>
      <c r="K766"/>
    </row>
    <row r="767" spans="1:33" hidden="1">
      <c r="A767" s="240"/>
      <c r="B767" s="181" t="s">
        <v>160</v>
      </c>
      <c r="C767" s="8">
        <v>51</v>
      </c>
      <c r="D767"/>
      <c r="E767"/>
      <c r="F767" s="236" t="s">
        <v>161</v>
      </c>
      <c r="G767" s="187" t="s">
        <v>2167</v>
      </c>
      <c r="H767" s="181" t="s">
        <v>162</v>
      </c>
      <c r="I767"/>
      <c r="J767" s="4"/>
      <c r="K767"/>
      <c r="O767" s="181" t="s">
        <v>1276</v>
      </c>
      <c r="P767" s="189" t="s">
        <v>419</v>
      </c>
      <c r="R767" s="188">
        <v>0.64</v>
      </c>
      <c r="AG767" s="181" t="s">
        <v>2175</v>
      </c>
    </row>
    <row r="768" spans="1:33" hidden="1">
      <c r="A768" s="240"/>
      <c r="B768" s="181" t="s">
        <v>1327</v>
      </c>
      <c r="C768" s="8">
        <v>915</v>
      </c>
      <c r="D768"/>
      <c r="E768"/>
      <c r="H768" s="181" t="s">
        <v>1328</v>
      </c>
      <c r="I768"/>
      <c r="J768" s="4"/>
      <c r="K768"/>
      <c r="R768" s="185" t="s">
        <v>1530</v>
      </c>
      <c r="AG768" s="181" t="s">
        <v>2175</v>
      </c>
    </row>
    <row r="769" spans="1:33" hidden="1">
      <c r="A769" s="240"/>
      <c r="B769" s="181" t="s">
        <v>129</v>
      </c>
      <c r="C769" s="8">
        <v>890</v>
      </c>
      <c r="D769"/>
      <c r="E769"/>
      <c r="H769" s="181" t="s">
        <v>130</v>
      </c>
      <c r="I769"/>
      <c r="J769" s="4"/>
      <c r="K769"/>
      <c r="O769" s="181" t="s">
        <v>1863</v>
      </c>
      <c r="R769" s="188" t="e">
        <f>SUM(R762:R767)</f>
        <v>#VALUE!</v>
      </c>
      <c r="AG769" s="181" t="s">
        <v>2175</v>
      </c>
    </row>
    <row r="770" spans="1:33" hidden="1">
      <c r="A770" s="240"/>
      <c r="B770" s="181" t="s">
        <v>1864</v>
      </c>
      <c r="C770" s="8">
        <v>5.15</v>
      </c>
      <c r="D770"/>
      <c r="E770"/>
      <c r="H770" s="185" t="s">
        <v>1530</v>
      </c>
      <c r="I770"/>
      <c r="J770" s="4"/>
      <c r="K770"/>
      <c r="R770" s="185" t="s">
        <v>1530</v>
      </c>
      <c r="AG770" s="181" t="s">
        <v>2175</v>
      </c>
    </row>
    <row r="771" spans="1:33" hidden="1">
      <c r="A771" s="240"/>
      <c r="B771" s="181" t="s">
        <v>1353</v>
      </c>
      <c r="C771" s="8">
        <v>43.3</v>
      </c>
      <c r="D771"/>
      <c r="E771"/>
      <c r="F771" s="245">
        <v>9</v>
      </c>
      <c r="G771" s="187" t="s">
        <v>836</v>
      </c>
      <c r="H771" s="181" t="s">
        <v>1354</v>
      </c>
      <c r="I771" s="8" t="e">
        <f>C73</f>
        <v>#REF!</v>
      </c>
      <c r="J771" s="2" t="s">
        <v>836</v>
      </c>
      <c r="K771" s="8" t="e">
        <f t="shared" ref="K771:K776" si="43">F771*I771</f>
        <v>#REF!</v>
      </c>
      <c r="O771" s="181" t="s">
        <v>1355</v>
      </c>
      <c r="R771" s="188" t="e">
        <f>(R769/0.4)</f>
        <v>#VALUE!</v>
      </c>
      <c r="AG771" s="181" t="s">
        <v>2175</v>
      </c>
    </row>
    <row r="772" spans="1:33" hidden="1">
      <c r="A772" s="240"/>
      <c r="B772" s="181" t="s">
        <v>78</v>
      </c>
      <c r="C772" s="8">
        <v>920</v>
      </c>
      <c r="D772"/>
      <c r="E772"/>
      <c r="F772" s="245">
        <v>4.3079999999999998</v>
      </c>
      <c r="G772" s="187" t="s">
        <v>828</v>
      </c>
      <c r="H772" s="181" t="s">
        <v>829</v>
      </c>
      <c r="I772" s="8">
        <f>C67</f>
        <v>3800</v>
      </c>
      <c r="J772" s="2" t="s">
        <v>828</v>
      </c>
      <c r="K772" s="8">
        <f t="shared" si="43"/>
        <v>16370.4</v>
      </c>
      <c r="R772" s="185" t="s">
        <v>1980</v>
      </c>
      <c r="AG772" s="181" t="s">
        <v>2175</v>
      </c>
    </row>
    <row r="773" spans="1:33" hidden="1">
      <c r="A773" s="240"/>
      <c r="B773" s="181" t="s">
        <v>79</v>
      </c>
      <c r="C773" s="8">
        <v>98</v>
      </c>
      <c r="D773"/>
      <c r="E773"/>
      <c r="F773" s="245">
        <v>4.5</v>
      </c>
      <c r="G773" s="187" t="s">
        <v>836</v>
      </c>
      <c r="H773" s="181" t="s">
        <v>837</v>
      </c>
      <c r="I773" s="8" t="e">
        <f>C78</f>
        <v>#REF!</v>
      </c>
      <c r="J773" s="2" t="s">
        <v>836</v>
      </c>
      <c r="K773" s="8" t="e">
        <f t="shared" si="43"/>
        <v>#REF!</v>
      </c>
      <c r="N773" s="181" t="s">
        <v>2167</v>
      </c>
      <c r="O773" s="181" t="s">
        <v>2036</v>
      </c>
      <c r="AG773" s="181" t="s">
        <v>2175</v>
      </c>
    </row>
    <row r="774" spans="1:33" hidden="1">
      <c r="A774" s="240"/>
      <c r="B774" s="181" t="s">
        <v>2037</v>
      </c>
      <c r="C774" s="8">
        <v>181</v>
      </c>
      <c r="D774"/>
      <c r="E774"/>
      <c r="F774" s="245">
        <v>3.5</v>
      </c>
      <c r="G774" s="187" t="s">
        <v>835</v>
      </c>
      <c r="H774" s="181" t="s">
        <v>1654</v>
      </c>
      <c r="I774" s="8">
        <f>C11</f>
        <v>135</v>
      </c>
      <c r="J774" s="2" t="s">
        <v>835</v>
      </c>
      <c r="K774" s="8">
        <f t="shared" si="43"/>
        <v>472.5</v>
      </c>
      <c r="O774" s="181" t="s">
        <v>678</v>
      </c>
      <c r="AG774" s="181" t="s">
        <v>2175</v>
      </c>
    </row>
    <row r="775" spans="1:33" hidden="1">
      <c r="A775" s="240"/>
      <c r="B775" s="181" t="s">
        <v>89</v>
      </c>
      <c r="C775" s="8">
        <v>1148.76</v>
      </c>
      <c r="D775"/>
      <c r="E775"/>
      <c r="F775" s="245">
        <v>21.2</v>
      </c>
      <c r="G775" s="187" t="s">
        <v>835</v>
      </c>
      <c r="H775" s="181" t="s">
        <v>1836</v>
      </c>
      <c r="I775" s="8">
        <f>C12</f>
        <v>95</v>
      </c>
      <c r="J775" s="2" t="s">
        <v>835</v>
      </c>
      <c r="K775" s="8">
        <f t="shared" si="43"/>
        <v>2014</v>
      </c>
      <c r="O775" s="181" t="s">
        <v>90</v>
      </c>
      <c r="AG775" s="181" t="s">
        <v>2175</v>
      </c>
    </row>
    <row r="776" spans="1:33" hidden="1">
      <c r="A776" s="240"/>
      <c r="B776" s="181" t="s">
        <v>1494</v>
      </c>
      <c r="C776" s="8">
        <v>967</v>
      </c>
      <c r="D776"/>
      <c r="E776"/>
      <c r="F776" s="245">
        <v>35.299999999999997</v>
      </c>
      <c r="G776" s="187" t="s">
        <v>835</v>
      </c>
      <c r="H776" s="181" t="s">
        <v>299</v>
      </c>
      <c r="I776" s="8">
        <f>C13</f>
        <v>85</v>
      </c>
      <c r="J776" s="2" t="s">
        <v>835</v>
      </c>
      <c r="K776" s="8">
        <f t="shared" si="43"/>
        <v>3000.5</v>
      </c>
      <c r="O776" s="185" t="s">
        <v>1530</v>
      </c>
      <c r="AG776" s="181" t="s">
        <v>2175</v>
      </c>
    </row>
    <row r="777" spans="1:33" hidden="1">
      <c r="A777" s="240"/>
      <c r="B777" s="181" t="s">
        <v>1982</v>
      </c>
      <c r="C777" s="8">
        <v>30</v>
      </c>
      <c r="D777"/>
      <c r="E777"/>
      <c r="F777" s="189" t="s">
        <v>419</v>
      </c>
      <c r="H777" s="181" t="s">
        <v>420</v>
      </c>
      <c r="I777"/>
      <c r="J777" s="2" t="s">
        <v>419</v>
      </c>
      <c r="K777" s="8">
        <v>0</v>
      </c>
      <c r="N777" s="189" t="s">
        <v>1840</v>
      </c>
      <c r="O777" s="181" t="s">
        <v>822</v>
      </c>
      <c r="AG777" s="181" t="s">
        <v>2175</v>
      </c>
    </row>
    <row r="778" spans="1:33" hidden="1">
      <c r="A778" s="240"/>
      <c r="B778" s="181" t="s">
        <v>1705</v>
      </c>
      <c r="C778" s="8">
        <v>2107</v>
      </c>
      <c r="D778"/>
      <c r="E778"/>
      <c r="I778"/>
      <c r="J778" s="4"/>
      <c r="K778" s="5" t="s">
        <v>1530</v>
      </c>
      <c r="O778" s="181" t="s">
        <v>1706</v>
      </c>
      <c r="AG778" s="181" t="s">
        <v>2175</v>
      </c>
    </row>
    <row r="779" spans="1:33" hidden="1">
      <c r="A779" s="240"/>
      <c r="B779" s="181" t="s">
        <v>1707</v>
      </c>
      <c r="C779" s="8">
        <v>650</v>
      </c>
      <c r="D779"/>
      <c r="E779"/>
      <c r="H779" s="236" t="s">
        <v>583</v>
      </c>
      <c r="I779"/>
      <c r="J779" s="4"/>
      <c r="K779" s="8" t="e">
        <f>SUM(K771:K777)</f>
        <v>#REF!</v>
      </c>
      <c r="N779" s="181" t="s">
        <v>254</v>
      </c>
      <c r="O779" s="181" t="s">
        <v>1708</v>
      </c>
      <c r="P779" s="188">
        <v>43</v>
      </c>
      <c r="R779" s="188" t="e">
        <f>(#VALUE!*P779)</f>
        <v>#VALUE!</v>
      </c>
      <c r="AG779" s="181" t="s">
        <v>2175</v>
      </c>
    </row>
    <row r="780" spans="1:33" hidden="1">
      <c r="A780" s="240"/>
      <c r="B780" s="181" t="s">
        <v>1236</v>
      </c>
      <c r="C780" s="52">
        <v>160</v>
      </c>
      <c r="D780"/>
      <c r="E780"/>
      <c r="I780"/>
      <c r="J780" s="4"/>
      <c r="K780" s="5" t="s">
        <v>1980</v>
      </c>
      <c r="O780" s="181" t="s">
        <v>1853</v>
      </c>
      <c r="AG780" s="181" t="s">
        <v>2175</v>
      </c>
    </row>
    <row r="781" spans="1:33" hidden="1">
      <c r="A781" s="240"/>
      <c r="B781" s="181" t="s">
        <v>1237</v>
      </c>
      <c r="C781" s="52">
        <v>110</v>
      </c>
      <c r="D781"/>
      <c r="E781"/>
      <c r="H781" s="181" t="s">
        <v>743</v>
      </c>
      <c r="I781"/>
      <c r="J781" s="4"/>
      <c r="K781" s="8" t="e">
        <f>K779/10</f>
        <v>#REF!</v>
      </c>
      <c r="O781" s="181" t="s">
        <v>950</v>
      </c>
      <c r="AG781" s="181" t="s">
        <v>2175</v>
      </c>
    </row>
    <row r="782" spans="1:33" hidden="1">
      <c r="A782" s="240"/>
      <c r="C782"/>
      <c r="D782"/>
      <c r="E782"/>
      <c r="I782"/>
      <c r="J782" s="4"/>
      <c r="K782"/>
      <c r="N782" s="181" t="s">
        <v>578</v>
      </c>
      <c r="O782" s="181" t="s">
        <v>951</v>
      </c>
      <c r="P782" s="188">
        <f>C271</f>
        <v>160</v>
      </c>
      <c r="R782" s="188" t="e">
        <f t="shared" ref="R782:R789" si="44">(#VALUE!*P782)</f>
        <v>#VALUE!</v>
      </c>
      <c r="AG782" s="181" t="s">
        <v>2175</v>
      </c>
    </row>
    <row r="783" spans="1:33" hidden="1">
      <c r="A783" s="240"/>
      <c r="C783">
        <v>3.05</v>
      </c>
      <c r="D783"/>
      <c r="E783"/>
      <c r="F783" s="188">
        <v>1</v>
      </c>
      <c r="G783" s="187" t="s">
        <v>836</v>
      </c>
      <c r="H783" s="181" t="s">
        <v>43</v>
      </c>
      <c r="I783" s="8">
        <f>C25</f>
        <v>20.7</v>
      </c>
      <c r="J783" s="4"/>
      <c r="K783" s="8">
        <f>F783*I783</f>
        <v>20.7</v>
      </c>
      <c r="N783" s="181" t="s">
        <v>835</v>
      </c>
      <c r="O783" s="181" t="s">
        <v>147</v>
      </c>
      <c r="P783" s="188">
        <v>5</v>
      </c>
      <c r="R783" s="188" t="e">
        <f t="shared" si="44"/>
        <v>#VALUE!</v>
      </c>
      <c r="AG783" s="181" t="s">
        <v>2175</v>
      </c>
    </row>
    <row r="784" spans="1:33" hidden="1">
      <c r="A784" s="240"/>
      <c r="C784">
        <v>30</v>
      </c>
      <c r="D784"/>
      <c r="E784"/>
      <c r="I784"/>
      <c r="J784" s="4"/>
      <c r="K784" s="5" t="s">
        <v>1530</v>
      </c>
      <c r="N784" s="181" t="s">
        <v>835</v>
      </c>
      <c r="O784" s="181" t="s">
        <v>148</v>
      </c>
      <c r="P784" s="188">
        <v>10</v>
      </c>
      <c r="R784" s="188" t="e">
        <f t="shared" si="44"/>
        <v>#VALUE!</v>
      </c>
      <c r="AG784" s="181" t="s">
        <v>2175</v>
      </c>
    </row>
    <row r="785" spans="1:33" hidden="1">
      <c r="A785" s="240"/>
      <c r="C785">
        <v>35</v>
      </c>
      <c r="D785"/>
      <c r="E785"/>
      <c r="I785"/>
      <c r="J785" s="4"/>
      <c r="K785" s="8" t="e">
        <f>SUM(K781:K783)</f>
        <v>#REF!</v>
      </c>
      <c r="N785" s="181" t="s">
        <v>835</v>
      </c>
      <c r="O785" s="181" t="s">
        <v>1690</v>
      </c>
      <c r="P785" s="188">
        <v>8</v>
      </c>
      <c r="R785" s="188" t="e">
        <f t="shared" si="44"/>
        <v>#VALUE!</v>
      </c>
      <c r="AG785" s="181" t="s">
        <v>2175</v>
      </c>
    </row>
    <row r="786" spans="1:33" hidden="1">
      <c r="A786" s="240"/>
      <c r="C786">
        <v>125</v>
      </c>
      <c r="D786"/>
      <c r="E786"/>
      <c r="I786"/>
      <c r="J786" s="4"/>
      <c r="K786" s="5" t="s">
        <v>1530</v>
      </c>
      <c r="N786" s="181" t="s">
        <v>794</v>
      </c>
      <c r="O786" s="181" t="s">
        <v>1442</v>
      </c>
      <c r="P786" s="188">
        <v>13.66</v>
      </c>
      <c r="R786" s="188" t="e">
        <f t="shared" si="44"/>
        <v>#VALUE!</v>
      </c>
      <c r="AG786" s="181" t="s">
        <v>2175</v>
      </c>
    </row>
    <row r="787" spans="1:33" hidden="1">
      <c r="A787" s="240"/>
      <c r="B787" s="182" t="s">
        <v>2878</v>
      </c>
      <c r="C787" s="106">
        <v>162</v>
      </c>
      <c r="D787" s="106">
        <v>179</v>
      </c>
      <c r="E787"/>
      <c r="I787"/>
      <c r="J787" s="4"/>
      <c r="K787" s="5"/>
      <c r="N787" s="181"/>
      <c r="O787" s="181"/>
      <c r="P787" s="188"/>
      <c r="R787" s="188"/>
      <c r="AG787" s="181"/>
    </row>
    <row r="788" spans="1:33" hidden="1">
      <c r="A788" s="240"/>
      <c r="B788" s="182" t="s">
        <v>2879</v>
      </c>
      <c r="C788" s="166">
        <v>185</v>
      </c>
      <c r="D788"/>
      <c r="E788"/>
      <c r="H788" s="181" t="s">
        <v>361</v>
      </c>
      <c r="I788"/>
      <c r="J788" s="4"/>
      <c r="K788" s="8" t="e">
        <f>(K785+C22)</f>
        <v>#REF!</v>
      </c>
      <c r="N788" s="181" t="s">
        <v>578</v>
      </c>
      <c r="O788" s="181" t="s">
        <v>1443</v>
      </c>
      <c r="P788" s="188">
        <v>25.46</v>
      </c>
      <c r="R788" s="188" t="e">
        <f t="shared" si="44"/>
        <v>#VALUE!</v>
      </c>
      <c r="AG788" s="181" t="s">
        <v>2175</v>
      </c>
    </row>
    <row r="789" spans="1:33" hidden="1">
      <c r="A789" s="240"/>
      <c r="B789" s="182" t="s">
        <v>2880</v>
      </c>
      <c r="C789" s="166">
        <v>170</v>
      </c>
      <c r="D789"/>
      <c r="E789"/>
      <c r="H789" s="181" t="s">
        <v>363</v>
      </c>
      <c r="I789"/>
      <c r="J789" s="4"/>
      <c r="K789" s="8" t="e">
        <f>(K788+C23)</f>
        <v>#REF!</v>
      </c>
      <c r="N789" s="181" t="s">
        <v>835</v>
      </c>
      <c r="O789" s="181" t="s">
        <v>1269</v>
      </c>
      <c r="P789" s="188">
        <v>0.5</v>
      </c>
      <c r="R789" s="188" t="e">
        <f t="shared" si="44"/>
        <v>#VALUE!</v>
      </c>
      <c r="AG789" s="181" t="s">
        <v>2175</v>
      </c>
    </row>
    <row r="790" spans="1:33" hidden="1">
      <c r="A790" s="240"/>
      <c r="B790" s="182" t="s">
        <v>2881</v>
      </c>
      <c r="C790" s="166">
        <v>160</v>
      </c>
      <c r="D790"/>
      <c r="E790"/>
      <c r="H790" s="181" t="s">
        <v>2149</v>
      </c>
      <c r="I790"/>
      <c r="J790" s="4"/>
      <c r="K790" s="8" t="e">
        <f>(K789+C24)</f>
        <v>#REF!</v>
      </c>
      <c r="R790" s="188">
        <v>0.54</v>
      </c>
      <c r="AG790" s="181" t="s">
        <v>300</v>
      </c>
    </row>
    <row r="791" spans="1:33" hidden="1">
      <c r="A791" s="240"/>
      <c r="B791" s="154" t="s">
        <v>1237</v>
      </c>
      <c r="C791" s="166">
        <v>121</v>
      </c>
      <c r="D791"/>
      <c r="E791"/>
      <c r="H791" s="181" t="s">
        <v>355</v>
      </c>
      <c r="I791"/>
      <c r="J791" s="4"/>
      <c r="K791" s="8" t="e">
        <f>(K790+C24)</f>
        <v>#REF!</v>
      </c>
      <c r="R791" s="185" t="s">
        <v>1530</v>
      </c>
    </row>
    <row r="792" spans="1:33" hidden="1">
      <c r="A792" s="240"/>
      <c r="B792" s="154" t="s">
        <v>2882</v>
      </c>
      <c r="C792" s="106">
        <v>120</v>
      </c>
      <c r="D792"/>
      <c r="E792"/>
      <c r="H792" s="181" t="s">
        <v>1477</v>
      </c>
      <c r="I792"/>
      <c r="J792" s="4"/>
      <c r="K792" s="8" t="e">
        <f>(K791+C24)</f>
        <v>#REF!</v>
      </c>
      <c r="O792" s="236" t="s">
        <v>1270</v>
      </c>
      <c r="R792" s="188" t="e">
        <f>SUM(R779:R790)</f>
        <v>#VALUE!</v>
      </c>
    </row>
    <row r="793" spans="1:33" hidden="1">
      <c r="B793" s="154" t="s">
        <v>2883</v>
      </c>
      <c r="C793" s="106">
        <v>70</v>
      </c>
      <c r="D793"/>
      <c r="E793"/>
      <c r="F793" s="181" t="s">
        <v>940</v>
      </c>
      <c r="I793"/>
      <c r="J793" s="4"/>
      <c r="K793"/>
    </row>
    <row r="794" spans="1:33" hidden="1">
      <c r="A794" s="240"/>
      <c r="B794" s="154" t="s">
        <v>2884</v>
      </c>
      <c r="C794">
        <v>35</v>
      </c>
      <c r="D794"/>
      <c r="E794"/>
      <c r="F794" s="181" t="s">
        <v>940</v>
      </c>
      <c r="G794" s="187" t="s">
        <v>2167</v>
      </c>
      <c r="H794" s="236" t="s">
        <v>1271</v>
      </c>
      <c r="I794"/>
      <c r="J794" s="4"/>
      <c r="K794"/>
      <c r="R794" s="185" t="s">
        <v>1530</v>
      </c>
      <c r="AG794" s="181" t="s">
        <v>2175</v>
      </c>
    </row>
    <row r="795" spans="1:33" hidden="1">
      <c r="A795" s="240"/>
      <c r="B795" s="154" t="s">
        <v>2885</v>
      </c>
      <c r="C795">
        <v>90</v>
      </c>
      <c r="D795"/>
      <c r="E795"/>
      <c r="H795" s="185" t="s">
        <v>1980</v>
      </c>
      <c r="I795"/>
      <c r="J795" s="4"/>
      <c r="K795"/>
      <c r="AG795" s="181" t="s">
        <v>2175</v>
      </c>
    </row>
    <row r="796" spans="1:33" hidden="1">
      <c r="A796" s="240"/>
      <c r="B796" s="154" t="s">
        <v>2890</v>
      </c>
      <c r="C796" s="106">
        <v>140</v>
      </c>
      <c r="D796"/>
      <c r="E796"/>
      <c r="I796"/>
      <c r="J796" s="4"/>
      <c r="K796"/>
      <c r="N796" s="181" t="s">
        <v>486</v>
      </c>
      <c r="O796" s="181" t="s">
        <v>1272</v>
      </c>
      <c r="AG796" s="181" t="s">
        <v>2175</v>
      </c>
    </row>
    <row r="797" spans="1:33" ht="31.5" hidden="1">
      <c r="A797" s="259">
        <v>1</v>
      </c>
      <c r="B797" s="260" t="s">
        <v>3099</v>
      </c>
      <c r="C797"/>
      <c r="D797"/>
      <c r="E797"/>
      <c r="F797" s="236" t="s">
        <v>1273</v>
      </c>
      <c r="G797" s="187" t="s">
        <v>2167</v>
      </c>
      <c r="H797" s="181" t="s">
        <v>1958</v>
      </c>
      <c r="I797"/>
      <c r="J797" s="4"/>
      <c r="K797"/>
      <c r="O797" s="181" t="s">
        <v>1706</v>
      </c>
      <c r="AG797" s="181" t="s">
        <v>2175</v>
      </c>
    </row>
    <row r="798" spans="1:33" hidden="1">
      <c r="A798" s="259"/>
      <c r="B798" s="154" t="s">
        <v>3100</v>
      </c>
      <c r="C798" s="163">
        <v>11</v>
      </c>
      <c r="D798"/>
      <c r="E798"/>
      <c r="H798" s="181" t="s">
        <v>1959</v>
      </c>
      <c r="I798"/>
      <c r="J798" s="4"/>
      <c r="K798"/>
      <c r="N798" s="181" t="s">
        <v>254</v>
      </c>
      <c r="O798" s="181" t="s">
        <v>1708</v>
      </c>
      <c r="P798" s="188">
        <v>43</v>
      </c>
      <c r="R798" s="188" t="e">
        <f>(#VALUE!*P798)</f>
        <v>#VALUE!</v>
      </c>
      <c r="AG798" s="181" t="s">
        <v>2175</v>
      </c>
    </row>
    <row r="799" spans="1:33" hidden="1">
      <c r="A799" s="261"/>
      <c r="B799" s="154" t="s">
        <v>3101</v>
      </c>
      <c r="C799" s="163">
        <v>11</v>
      </c>
      <c r="D799"/>
      <c r="E799"/>
      <c r="H799" s="181" t="s">
        <v>1960</v>
      </c>
      <c r="I799"/>
      <c r="J799" s="4"/>
      <c r="K799"/>
      <c r="O799" s="181" t="s">
        <v>1853</v>
      </c>
      <c r="AG799" s="181" t="s">
        <v>2175</v>
      </c>
    </row>
    <row r="800" spans="1:33" hidden="1">
      <c r="A800" s="259"/>
      <c r="B800" s="154" t="s">
        <v>3102</v>
      </c>
      <c r="C800" s="163">
        <v>11</v>
      </c>
      <c r="D800"/>
      <c r="E800"/>
      <c r="H800" s="181" t="s">
        <v>858</v>
      </c>
      <c r="I800"/>
      <c r="J800" s="4"/>
      <c r="K800"/>
      <c r="O800" s="181" t="s">
        <v>950</v>
      </c>
      <c r="AG800" s="181" t="s">
        <v>2175</v>
      </c>
    </row>
    <row r="801" spans="1:33" hidden="1">
      <c r="A801" s="261"/>
      <c r="B801" s="154" t="s">
        <v>3103</v>
      </c>
      <c r="C801" s="163">
        <v>11</v>
      </c>
      <c r="D801"/>
      <c r="E801"/>
      <c r="H801" s="181" t="s">
        <v>859</v>
      </c>
      <c r="I801"/>
      <c r="J801" s="4"/>
      <c r="K801"/>
      <c r="N801" s="181" t="s">
        <v>578</v>
      </c>
      <c r="O801" s="181" t="s">
        <v>951</v>
      </c>
      <c r="P801" s="188">
        <f>C271</f>
        <v>160</v>
      </c>
      <c r="R801" s="188" t="e">
        <f t="shared" ref="R801:R807" si="45">(#VALUE!*P801)</f>
        <v>#VALUE!</v>
      </c>
      <c r="AG801" s="181" t="s">
        <v>2175</v>
      </c>
    </row>
    <row r="802" spans="1:33" hidden="1">
      <c r="A802" s="259"/>
      <c r="B802" s="154" t="s">
        <v>3104</v>
      </c>
      <c r="C802" s="163">
        <v>12</v>
      </c>
      <c r="D802"/>
      <c r="E802"/>
      <c r="H802" s="181" t="s">
        <v>1662</v>
      </c>
      <c r="I802"/>
      <c r="J802" s="4"/>
      <c r="K802"/>
      <c r="N802" s="181" t="s">
        <v>835</v>
      </c>
      <c r="O802" s="181" t="s">
        <v>147</v>
      </c>
      <c r="P802" s="188">
        <v>5</v>
      </c>
      <c r="R802" s="188" t="e">
        <f t="shared" si="45"/>
        <v>#VALUE!</v>
      </c>
      <c r="AG802" s="181" t="s">
        <v>2175</v>
      </c>
    </row>
    <row r="803" spans="1:33" hidden="1">
      <c r="A803" s="261"/>
      <c r="B803" s="154" t="s">
        <v>3105</v>
      </c>
      <c r="C803" s="33" t="s">
        <v>3106</v>
      </c>
      <c r="D803"/>
      <c r="E803"/>
      <c r="H803" s="181" t="s">
        <v>91</v>
      </c>
      <c r="I803"/>
      <c r="J803" s="4"/>
      <c r="K803"/>
      <c r="N803" s="181" t="s">
        <v>835</v>
      </c>
      <c r="O803" s="181" t="s">
        <v>148</v>
      </c>
      <c r="P803" s="188">
        <v>10</v>
      </c>
      <c r="R803" s="188" t="e">
        <f t="shared" si="45"/>
        <v>#VALUE!</v>
      </c>
      <c r="AG803" s="181" t="s">
        <v>2175</v>
      </c>
    </row>
    <row r="804" spans="1:33" hidden="1">
      <c r="A804" s="259"/>
      <c r="B804" s="154" t="s">
        <v>3107</v>
      </c>
      <c r="C804" s="106">
        <v>25</v>
      </c>
      <c r="D804"/>
      <c r="E804"/>
      <c r="H804" s="181" t="s">
        <v>92</v>
      </c>
      <c r="I804"/>
      <c r="J804" s="4"/>
      <c r="K804"/>
      <c r="N804" s="181" t="s">
        <v>835</v>
      </c>
      <c r="O804" s="181" t="s">
        <v>1690</v>
      </c>
      <c r="P804" s="188">
        <v>8</v>
      </c>
      <c r="R804" s="188" t="e">
        <f t="shared" si="45"/>
        <v>#VALUE!</v>
      </c>
      <c r="AG804" s="181" t="s">
        <v>2175</v>
      </c>
    </row>
    <row r="805" spans="1:33" hidden="1">
      <c r="A805" s="261"/>
      <c r="B805" s="154" t="s">
        <v>3108</v>
      </c>
      <c r="C805" s="33" t="s">
        <v>3106</v>
      </c>
      <c r="D805"/>
      <c r="E805"/>
      <c r="H805" s="181" t="s">
        <v>93</v>
      </c>
      <c r="I805"/>
      <c r="J805" s="4"/>
      <c r="K805"/>
      <c r="N805" s="181" t="s">
        <v>794</v>
      </c>
      <c r="O805" s="181" t="s">
        <v>1442</v>
      </c>
      <c r="P805" s="188">
        <v>13.66</v>
      </c>
      <c r="R805" s="188" t="e">
        <f t="shared" si="45"/>
        <v>#VALUE!</v>
      </c>
      <c r="AG805" s="181" t="s">
        <v>2175</v>
      </c>
    </row>
    <row r="806" spans="1:33" hidden="1">
      <c r="A806" s="259"/>
      <c r="B806" s="154" t="s">
        <v>3109</v>
      </c>
      <c r="C806" s="33" t="s">
        <v>3106</v>
      </c>
      <c r="D806"/>
      <c r="E806"/>
      <c r="H806" s="181" t="s">
        <v>94</v>
      </c>
      <c r="I806"/>
      <c r="J806" s="4"/>
      <c r="K806"/>
      <c r="N806" s="181" t="s">
        <v>578</v>
      </c>
      <c r="O806" s="181" t="s">
        <v>1443</v>
      </c>
      <c r="P806" s="188">
        <v>25.46</v>
      </c>
      <c r="R806" s="188" t="e">
        <f t="shared" si="45"/>
        <v>#VALUE!</v>
      </c>
      <c r="AG806" s="181" t="s">
        <v>2175</v>
      </c>
    </row>
    <row r="807" spans="1:33" hidden="1">
      <c r="A807" s="261"/>
      <c r="B807" s="154" t="s">
        <v>3110</v>
      </c>
      <c r="C807" s="33" t="s">
        <v>3106</v>
      </c>
      <c r="D807"/>
      <c r="E807"/>
      <c r="H807" s="181" t="s">
        <v>1978</v>
      </c>
      <c r="I807"/>
      <c r="J807" s="4"/>
      <c r="K807"/>
      <c r="N807" s="181" t="s">
        <v>835</v>
      </c>
      <c r="O807" s="181" t="s">
        <v>1269</v>
      </c>
      <c r="P807" s="188">
        <v>0.5</v>
      </c>
      <c r="R807" s="188" t="e">
        <f t="shared" si="45"/>
        <v>#VALUE!</v>
      </c>
      <c r="AG807" s="181" t="s">
        <v>2175</v>
      </c>
    </row>
    <row r="808" spans="1:33" ht="31.5" hidden="1">
      <c r="A808" s="259">
        <v>2</v>
      </c>
      <c r="B808" s="260" t="s">
        <v>3111</v>
      </c>
      <c r="C808"/>
      <c r="D808"/>
      <c r="E808"/>
      <c r="H808" s="181" t="s">
        <v>996</v>
      </c>
      <c r="I808"/>
      <c r="J808" s="4"/>
      <c r="K808"/>
      <c r="R808" s="188">
        <v>0.7</v>
      </c>
      <c r="AG808" s="181" t="s">
        <v>2175</v>
      </c>
    </row>
    <row r="809" spans="1:33" hidden="1">
      <c r="A809" s="261"/>
      <c r="B809" s="154" t="s">
        <v>3112</v>
      </c>
      <c r="C809" s="163">
        <v>12.5</v>
      </c>
      <c r="D809"/>
      <c r="E809"/>
      <c r="H809" s="181" t="s">
        <v>1721</v>
      </c>
      <c r="I809"/>
      <c r="J809" s="4"/>
      <c r="K809"/>
      <c r="R809" s="185" t="s">
        <v>1530</v>
      </c>
      <c r="AG809" s="181" t="s">
        <v>2175</v>
      </c>
    </row>
    <row r="810" spans="1:33" hidden="1">
      <c r="A810" s="259">
        <v>3</v>
      </c>
      <c r="B810" s="154" t="s">
        <v>3113</v>
      </c>
      <c r="C810" s="106">
        <v>242</v>
      </c>
      <c r="D810"/>
      <c r="E810"/>
      <c r="H810" s="181" t="s">
        <v>1722</v>
      </c>
      <c r="I810"/>
      <c r="J810" s="4"/>
      <c r="K810"/>
      <c r="O810" s="236" t="s">
        <v>1270</v>
      </c>
      <c r="R810" s="188" t="e">
        <f>SUM(R798:R808)</f>
        <v>#VALUE!</v>
      </c>
      <c r="AG810" s="181" t="s">
        <v>2175</v>
      </c>
    </row>
    <row r="811" spans="1:33" hidden="1">
      <c r="A811" s="261" t="s">
        <v>3114</v>
      </c>
      <c r="B811" s="262" t="s">
        <v>3115</v>
      </c>
      <c r="C811"/>
      <c r="D811"/>
      <c r="E811"/>
      <c r="I811"/>
      <c r="J811" s="4"/>
      <c r="K811"/>
      <c r="R811" s="185" t="s">
        <v>1530</v>
      </c>
      <c r="AG811" s="181" t="s">
        <v>2175</v>
      </c>
    </row>
    <row r="812" spans="1:33" hidden="1">
      <c r="A812" s="259"/>
      <c r="B812" s="154" t="s">
        <v>2465</v>
      </c>
      <c r="C812" s="263">
        <v>75</v>
      </c>
      <c r="D812"/>
      <c r="E812"/>
      <c r="I812"/>
      <c r="J812" s="4"/>
      <c r="K812"/>
      <c r="R812" s="185"/>
      <c r="AG812" s="181"/>
    </row>
    <row r="813" spans="1:33" hidden="1">
      <c r="A813" s="261"/>
      <c r="B813" s="264" t="s">
        <v>2466</v>
      </c>
      <c r="C813" s="263">
        <v>80</v>
      </c>
      <c r="D813"/>
      <c r="E813"/>
      <c r="G813" s="187" t="s">
        <v>295</v>
      </c>
      <c r="H813" s="236" t="s">
        <v>1719</v>
      </c>
      <c r="I813"/>
      <c r="J813" s="4"/>
      <c r="K813"/>
      <c r="R813" s="185"/>
      <c r="AG813" s="181"/>
    </row>
    <row r="814" spans="1:33" ht="31.5" hidden="1">
      <c r="A814" s="259">
        <v>4</v>
      </c>
      <c r="B814" s="260" t="s">
        <v>2498</v>
      </c>
      <c r="C814"/>
      <c r="D814"/>
      <c r="E814"/>
      <c r="H814" s="236" t="s">
        <v>1724</v>
      </c>
      <c r="I814"/>
      <c r="J814" s="4"/>
      <c r="K814"/>
      <c r="R814" s="185"/>
      <c r="AG814" s="181"/>
    </row>
    <row r="815" spans="1:33" hidden="1">
      <c r="A815" s="261"/>
      <c r="B815" s="154" t="s">
        <v>2499</v>
      </c>
      <c r="C815" s="106">
        <v>42</v>
      </c>
      <c r="D815"/>
      <c r="E815"/>
      <c r="F815" s="255">
        <v>3.8800000000000001E-2</v>
      </c>
      <c r="G815" s="187" t="s">
        <v>836</v>
      </c>
      <c r="H815" s="181" t="s">
        <v>1993</v>
      </c>
      <c r="I815" s="8" t="e">
        <f>K781</f>
        <v>#REF!</v>
      </c>
      <c r="J815" s="2" t="s">
        <v>836</v>
      </c>
      <c r="K815" s="8" t="e">
        <f>F815*I815</f>
        <v>#REF!</v>
      </c>
      <c r="R815" s="185"/>
      <c r="AG815" s="181"/>
    </row>
    <row r="816" spans="1:33" hidden="1">
      <c r="A816" s="259"/>
      <c r="B816" s="154" t="s">
        <v>2500</v>
      </c>
      <c r="C816" s="106">
        <v>46</v>
      </c>
      <c r="D816"/>
      <c r="E816"/>
      <c r="F816" s="188">
        <v>5.01</v>
      </c>
      <c r="G816" s="187" t="s">
        <v>1591</v>
      </c>
      <c r="H816" s="181" t="s">
        <v>1994</v>
      </c>
      <c r="I816" s="8">
        <f>K1513</f>
        <v>33174.400000000001</v>
      </c>
      <c r="J816" s="2" t="s">
        <v>828</v>
      </c>
      <c r="K816" s="8">
        <f>F816*I816/1000</f>
        <v>166.2</v>
      </c>
      <c r="R816" s="185"/>
      <c r="AG816" s="181"/>
    </row>
    <row r="817" spans="1:33" hidden="1">
      <c r="A817" s="261"/>
      <c r="B817" s="154" t="s">
        <v>2965</v>
      </c>
      <c r="C817" s="106">
        <v>42</v>
      </c>
      <c r="D817"/>
      <c r="E817"/>
      <c r="F817" s="188">
        <v>3</v>
      </c>
      <c r="G817" s="187" t="s">
        <v>835</v>
      </c>
      <c r="H817" s="181" t="s">
        <v>1145</v>
      </c>
      <c r="I817" s="8">
        <v>16.5</v>
      </c>
      <c r="J817" s="2" t="s">
        <v>835</v>
      </c>
      <c r="K817" s="8">
        <f t="shared" ref="K817:K824" si="46">F817*I817</f>
        <v>49.5</v>
      </c>
      <c r="R817" s="185"/>
      <c r="AG817" s="181"/>
    </row>
    <row r="818" spans="1:33" ht="31.5" hidden="1">
      <c r="A818" s="259">
        <v>5</v>
      </c>
      <c r="B818" s="260" t="s">
        <v>2966</v>
      </c>
      <c r="C818"/>
      <c r="D818"/>
      <c r="E818"/>
      <c r="F818" s="188">
        <v>12</v>
      </c>
      <c r="G818" s="187" t="s">
        <v>835</v>
      </c>
      <c r="H818" s="181" t="s">
        <v>1146</v>
      </c>
      <c r="I818" s="8">
        <v>3.85</v>
      </c>
      <c r="J818" s="2" t="s">
        <v>835</v>
      </c>
      <c r="K818" s="8">
        <f t="shared" si="46"/>
        <v>46.2</v>
      </c>
      <c r="R818" s="185"/>
      <c r="AG818" s="181"/>
    </row>
    <row r="819" spans="1:33" hidden="1">
      <c r="A819" s="261"/>
      <c r="B819" s="154" t="s">
        <v>2967</v>
      </c>
      <c r="C819" s="106">
        <v>174</v>
      </c>
      <c r="D819"/>
      <c r="E819"/>
      <c r="F819" s="188">
        <v>2</v>
      </c>
      <c r="G819" s="187" t="s">
        <v>835</v>
      </c>
      <c r="H819" s="181" t="s">
        <v>1147</v>
      </c>
      <c r="I819" s="8">
        <v>5</v>
      </c>
      <c r="J819" s="2" t="s">
        <v>835</v>
      </c>
      <c r="K819" s="8">
        <f t="shared" si="46"/>
        <v>10</v>
      </c>
      <c r="R819" s="185"/>
      <c r="AG819" s="181"/>
    </row>
    <row r="820" spans="1:33" hidden="1">
      <c r="A820" s="259"/>
      <c r="B820" s="154" t="s">
        <v>2968</v>
      </c>
      <c r="C820" s="106">
        <v>182</v>
      </c>
      <c r="D820"/>
      <c r="E820"/>
      <c r="F820" s="188">
        <v>6</v>
      </c>
      <c r="G820" s="187" t="s">
        <v>835</v>
      </c>
      <c r="H820" s="181" t="s">
        <v>2138</v>
      </c>
      <c r="I820" s="8">
        <v>3.85</v>
      </c>
      <c r="J820" s="2" t="s">
        <v>835</v>
      </c>
      <c r="K820" s="8">
        <f t="shared" si="46"/>
        <v>23.1</v>
      </c>
      <c r="R820" s="185"/>
      <c r="AG820" s="181"/>
    </row>
    <row r="821" spans="1:33" hidden="1">
      <c r="A821" s="261"/>
      <c r="B821" s="154" t="s">
        <v>2969</v>
      </c>
      <c r="C821" s="106">
        <v>444</v>
      </c>
      <c r="D821"/>
      <c r="E821"/>
      <c r="F821" s="188">
        <v>1</v>
      </c>
      <c r="G821" s="187" t="s">
        <v>835</v>
      </c>
      <c r="H821" s="181" t="s">
        <v>1149</v>
      </c>
      <c r="I821" s="8">
        <f>C10</f>
        <v>150</v>
      </c>
      <c r="J821" s="2" t="s">
        <v>835</v>
      </c>
      <c r="K821" s="8">
        <f t="shared" si="46"/>
        <v>150</v>
      </c>
      <c r="R821" s="185"/>
      <c r="AG821" s="181"/>
    </row>
    <row r="822" spans="1:33" hidden="1">
      <c r="A822" s="259"/>
      <c r="B822" s="154" t="s">
        <v>2970</v>
      </c>
      <c r="C822" s="106">
        <v>626</v>
      </c>
      <c r="D822"/>
      <c r="E822"/>
      <c r="F822" s="188">
        <v>1</v>
      </c>
      <c r="G822" s="187" t="s">
        <v>835</v>
      </c>
      <c r="H822" s="181" t="s">
        <v>1150</v>
      </c>
      <c r="I822" s="8">
        <f>C12</f>
        <v>95</v>
      </c>
      <c r="J822" s="2" t="s">
        <v>835</v>
      </c>
      <c r="K822" s="8">
        <f t="shared" si="46"/>
        <v>95</v>
      </c>
      <c r="R822" s="185"/>
      <c r="AG822" s="181"/>
    </row>
    <row r="823" spans="1:33" ht="47.25" hidden="1">
      <c r="A823" s="261">
        <v>6</v>
      </c>
      <c r="B823" s="260" t="s">
        <v>2971</v>
      </c>
      <c r="C823"/>
      <c r="D823"/>
      <c r="E823"/>
      <c r="F823" s="188">
        <v>1</v>
      </c>
      <c r="G823" s="187" t="s">
        <v>835</v>
      </c>
      <c r="H823" s="181" t="s">
        <v>1151</v>
      </c>
      <c r="I823" s="8">
        <v>25</v>
      </c>
      <c r="J823" s="2" t="s">
        <v>835</v>
      </c>
      <c r="K823" s="8">
        <f t="shared" si="46"/>
        <v>25</v>
      </c>
      <c r="R823" s="185"/>
      <c r="AG823" s="181"/>
    </row>
    <row r="824" spans="1:33" hidden="1">
      <c r="A824" s="259"/>
      <c r="B824" s="154" t="s">
        <v>2972</v>
      </c>
      <c r="C824" s="33" t="s">
        <v>3106</v>
      </c>
      <c r="D824"/>
      <c r="E824"/>
      <c r="F824" s="188">
        <v>0.5</v>
      </c>
      <c r="G824" s="187" t="s">
        <v>835</v>
      </c>
      <c r="H824" s="181" t="s">
        <v>1152</v>
      </c>
      <c r="I824" s="8">
        <f>C13</f>
        <v>85</v>
      </c>
      <c r="J824" s="2" t="s">
        <v>835</v>
      </c>
      <c r="K824" s="8">
        <f t="shared" si="46"/>
        <v>42.5</v>
      </c>
      <c r="R824" s="185"/>
      <c r="AG824" s="181"/>
    </row>
    <row r="825" spans="1:33" hidden="1">
      <c r="A825" s="261"/>
      <c r="B825" s="154" t="s">
        <v>2973</v>
      </c>
      <c r="C825" s="106">
        <v>306</v>
      </c>
      <c r="D825"/>
      <c r="E825"/>
      <c r="G825" s="187" t="s">
        <v>419</v>
      </c>
      <c r="H825" s="181" t="s">
        <v>2058</v>
      </c>
      <c r="I825"/>
      <c r="J825" s="2" t="s">
        <v>419</v>
      </c>
      <c r="K825" s="8">
        <v>0.5</v>
      </c>
      <c r="R825" s="185"/>
      <c r="AG825" s="181"/>
    </row>
    <row r="826" spans="1:33" ht="31.5" hidden="1">
      <c r="A826" s="259"/>
      <c r="B826" s="265" t="s">
        <v>2974</v>
      </c>
      <c r="C826" s="106">
        <v>450</v>
      </c>
      <c r="D826"/>
      <c r="E826"/>
      <c r="I826"/>
      <c r="J826" s="4"/>
      <c r="K826" s="5" t="s">
        <v>1530</v>
      </c>
      <c r="R826" s="185"/>
      <c r="AG826" s="181"/>
    </row>
    <row r="827" spans="1:33" ht="47.25" hidden="1">
      <c r="A827" s="261">
        <v>7</v>
      </c>
      <c r="B827" s="260" t="s">
        <v>2480</v>
      </c>
      <c r="C827"/>
      <c r="D827"/>
      <c r="E827"/>
      <c r="H827" s="236" t="s">
        <v>266</v>
      </c>
      <c r="I827"/>
      <c r="J827" s="4"/>
      <c r="K827" s="8" t="e">
        <f>SUM(K815:K825)</f>
        <v>#REF!</v>
      </c>
      <c r="R827" s="185"/>
      <c r="AG827" s="181"/>
    </row>
    <row r="828" spans="1:33" hidden="1">
      <c r="A828" s="259"/>
      <c r="B828" s="154" t="s">
        <v>2973</v>
      </c>
      <c r="C828" s="106">
        <v>575</v>
      </c>
      <c r="D828"/>
      <c r="E828"/>
      <c r="I828"/>
      <c r="J828" s="4"/>
      <c r="K828" s="5" t="s">
        <v>1530</v>
      </c>
      <c r="R828" s="185"/>
      <c r="AG828" s="181"/>
    </row>
    <row r="829" spans="1:33" ht="31.5" hidden="1">
      <c r="A829" s="261"/>
      <c r="B829" s="265" t="s">
        <v>2974</v>
      </c>
      <c r="C829" s="106">
        <v>750</v>
      </c>
      <c r="D829"/>
      <c r="E829"/>
      <c r="I829"/>
      <c r="J829" s="4"/>
      <c r="K829"/>
      <c r="R829" s="185"/>
      <c r="AG829" s="181"/>
    </row>
    <row r="830" spans="1:33" ht="47.25" hidden="1">
      <c r="A830" s="259">
        <v>8</v>
      </c>
      <c r="B830" s="260" t="s">
        <v>2481</v>
      </c>
      <c r="C830"/>
      <c r="D830"/>
      <c r="E830"/>
      <c r="I830"/>
      <c r="J830" s="4"/>
      <c r="K830"/>
      <c r="R830" s="185"/>
      <c r="AG830" s="181"/>
    </row>
    <row r="831" spans="1:33" hidden="1">
      <c r="A831" s="261"/>
      <c r="B831" s="182" t="s">
        <v>3409</v>
      </c>
      <c r="C831" s="106">
        <v>850</v>
      </c>
      <c r="D831"/>
      <c r="E831"/>
      <c r="G831" s="187" t="s">
        <v>1840</v>
      </c>
      <c r="H831" s="236" t="s">
        <v>1723</v>
      </c>
      <c r="I831"/>
      <c r="J831" s="4"/>
      <c r="K831"/>
      <c r="R831" s="181" t="s">
        <v>940</v>
      </c>
      <c r="AG831" s="181" t="s">
        <v>2175</v>
      </c>
    </row>
    <row r="832" spans="1:33" hidden="1">
      <c r="A832" s="259"/>
      <c r="B832" s="182" t="s">
        <v>2491</v>
      </c>
      <c r="C832" s="106">
        <v>1050</v>
      </c>
      <c r="D832"/>
      <c r="E832"/>
      <c r="H832" s="236" t="s">
        <v>1724</v>
      </c>
      <c r="I832"/>
      <c r="J832" s="4"/>
      <c r="K832"/>
      <c r="N832" s="181" t="s">
        <v>295</v>
      </c>
      <c r="O832" s="181" t="s">
        <v>37</v>
      </c>
      <c r="AG832" s="181" t="s">
        <v>2175</v>
      </c>
    </row>
    <row r="833" spans="1:33" ht="69" hidden="1" customHeight="1">
      <c r="A833" s="261">
        <v>9</v>
      </c>
      <c r="B833" s="260" t="s">
        <v>2492</v>
      </c>
      <c r="C833"/>
      <c r="D833"/>
      <c r="E833"/>
      <c r="F833" s="255">
        <v>3.7600000000000001E-2</v>
      </c>
      <c r="G833" s="187" t="s">
        <v>836</v>
      </c>
      <c r="H833" s="181" t="s">
        <v>1993</v>
      </c>
      <c r="I833" s="8" t="e">
        <f>K781</f>
        <v>#REF!</v>
      </c>
      <c r="J833" s="2" t="s">
        <v>836</v>
      </c>
      <c r="K833" s="8" t="e">
        <f>F833*I833</f>
        <v>#REF!</v>
      </c>
      <c r="O833" s="181" t="s">
        <v>1706</v>
      </c>
      <c r="AG833" s="181" t="s">
        <v>2175</v>
      </c>
    </row>
    <row r="834" spans="1:33" hidden="1">
      <c r="A834" s="259"/>
      <c r="B834" s="182" t="s">
        <v>2493</v>
      </c>
      <c r="C834" s="33" t="s">
        <v>3106</v>
      </c>
      <c r="D834"/>
      <c r="E834"/>
      <c r="F834" s="188">
        <v>4.87</v>
      </c>
      <c r="G834" s="187" t="s">
        <v>1591</v>
      </c>
      <c r="H834" s="181" t="s">
        <v>1994</v>
      </c>
      <c r="I834" s="8">
        <f>K1513</f>
        <v>33174.400000000001</v>
      </c>
      <c r="J834" s="2" t="s">
        <v>828</v>
      </c>
      <c r="K834" s="8">
        <f>F834*I834/1000</f>
        <v>161.56</v>
      </c>
      <c r="N834" s="181" t="s">
        <v>254</v>
      </c>
      <c r="O834" s="181" t="s">
        <v>1708</v>
      </c>
      <c r="P834" s="188">
        <v>43</v>
      </c>
      <c r="R834" s="188" t="e">
        <f>(#VALUE!*P834)</f>
        <v>#VALUE!</v>
      </c>
      <c r="AG834" s="181" t="s">
        <v>2175</v>
      </c>
    </row>
    <row r="835" spans="1:33" hidden="1">
      <c r="A835" s="261"/>
      <c r="B835" s="154" t="s">
        <v>2494</v>
      </c>
      <c r="C835" s="263" t="s">
        <v>3106</v>
      </c>
      <c r="D835"/>
      <c r="E835"/>
      <c r="F835" s="188">
        <v>3</v>
      </c>
      <c r="G835" s="187" t="s">
        <v>835</v>
      </c>
      <c r="H835" s="181" t="s">
        <v>1145</v>
      </c>
      <c r="I835" s="8">
        <v>16.5</v>
      </c>
      <c r="J835" s="2" t="s">
        <v>835</v>
      </c>
      <c r="K835" s="8">
        <f t="shared" ref="K835:K843" si="47">F835*I835</f>
        <v>49.5</v>
      </c>
      <c r="O835" s="181" t="s">
        <v>1853</v>
      </c>
      <c r="AG835" s="181" t="s">
        <v>2175</v>
      </c>
    </row>
    <row r="836" spans="1:33" ht="70.5" hidden="1" customHeight="1">
      <c r="A836" s="259">
        <v>10</v>
      </c>
      <c r="B836" s="260" t="s">
        <v>2975</v>
      </c>
      <c r="C836"/>
      <c r="D836"/>
      <c r="E836"/>
      <c r="F836" s="188">
        <v>12</v>
      </c>
      <c r="G836" s="187" t="s">
        <v>835</v>
      </c>
      <c r="H836" s="181" t="s">
        <v>1146</v>
      </c>
      <c r="I836" s="8">
        <v>3.85</v>
      </c>
      <c r="J836" s="2" t="s">
        <v>835</v>
      </c>
      <c r="K836" s="8">
        <f t="shared" si="47"/>
        <v>46.2</v>
      </c>
      <c r="O836" s="181" t="s">
        <v>950</v>
      </c>
      <c r="AG836" s="181" t="s">
        <v>2175</v>
      </c>
    </row>
    <row r="837" spans="1:33" hidden="1">
      <c r="A837" s="261"/>
      <c r="B837" s="154" t="s">
        <v>2976</v>
      </c>
      <c r="C837" s="106" t="s">
        <v>3106</v>
      </c>
      <c r="D837"/>
      <c r="E837"/>
      <c r="F837" s="188">
        <v>2</v>
      </c>
      <c r="G837" s="187" t="s">
        <v>835</v>
      </c>
      <c r="H837" s="181" t="s">
        <v>1147</v>
      </c>
      <c r="I837" s="8">
        <v>5</v>
      </c>
      <c r="J837" s="2" t="s">
        <v>835</v>
      </c>
      <c r="K837" s="8">
        <f t="shared" si="47"/>
        <v>10</v>
      </c>
      <c r="N837" s="181" t="s">
        <v>578</v>
      </c>
      <c r="O837" s="181" t="s">
        <v>951</v>
      </c>
      <c r="P837" s="188">
        <f>C271</f>
        <v>160</v>
      </c>
      <c r="R837" s="188" t="e">
        <f t="shared" ref="R837:R844" si="48">(#VALUE!*P837)</f>
        <v>#VALUE!</v>
      </c>
      <c r="AG837" s="181" t="s">
        <v>2175</v>
      </c>
    </row>
    <row r="838" spans="1:33" hidden="1">
      <c r="A838" s="259"/>
      <c r="B838" s="154" t="s">
        <v>2494</v>
      </c>
      <c r="C838" s="106" t="s">
        <v>3106</v>
      </c>
      <c r="D838"/>
      <c r="E838"/>
      <c r="F838" s="188">
        <v>6</v>
      </c>
      <c r="G838" s="187" t="s">
        <v>835</v>
      </c>
      <c r="H838" s="181" t="s">
        <v>2138</v>
      </c>
      <c r="I838" s="8">
        <v>3.85</v>
      </c>
      <c r="J838" s="2" t="s">
        <v>835</v>
      </c>
      <c r="K838" s="8">
        <f t="shared" si="47"/>
        <v>23.1</v>
      </c>
      <c r="N838" s="181" t="s">
        <v>835</v>
      </c>
      <c r="O838" s="181" t="s">
        <v>147</v>
      </c>
      <c r="P838" s="188">
        <v>5</v>
      </c>
      <c r="R838" s="188" t="e">
        <f t="shared" si="48"/>
        <v>#VALUE!</v>
      </c>
      <c r="AG838" s="181" t="s">
        <v>2175</v>
      </c>
    </row>
    <row r="839" spans="1:33" hidden="1">
      <c r="A839" s="261"/>
      <c r="B839" s="154" t="s">
        <v>2977</v>
      </c>
      <c r="C839" s="106" t="s">
        <v>3106</v>
      </c>
      <c r="D839"/>
      <c r="E839"/>
      <c r="F839" s="188">
        <v>1</v>
      </c>
      <c r="G839" s="187" t="s">
        <v>835</v>
      </c>
      <c r="H839" s="181" t="s">
        <v>1149</v>
      </c>
      <c r="I839" s="8">
        <f>C10</f>
        <v>150</v>
      </c>
      <c r="J839" s="2" t="s">
        <v>835</v>
      </c>
      <c r="K839" s="8">
        <f t="shared" si="47"/>
        <v>150</v>
      </c>
      <c r="N839" s="181" t="s">
        <v>835</v>
      </c>
      <c r="O839" s="181" t="s">
        <v>148</v>
      </c>
      <c r="P839" s="188">
        <v>10</v>
      </c>
      <c r="R839" s="188" t="e">
        <f t="shared" si="48"/>
        <v>#VALUE!</v>
      </c>
      <c r="AG839" s="181" t="s">
        <v>2175</v>
      </c>
    </row>
    <row r="840" spans="1:33" hidden="1">
      <c r="A840" s="259"/>
      <c r="B840" s="154" t="s">
        <v>2978</v>
      </c>
      <c r="C840" s="33" t="s">
        <v>3106</v>
      </c>
      <c r="D840"/>
      <c r="E840"/>
      <c r="F840" s="188">
        <v>1</v>
      </c>
      <c r="G840" s="187" t="s">
        <v>835</v>
      </c>
      <c r="H840" s="181" t="s">
        <v>1150</v>
      </c>
      <c r="I840" s="8">
        <f>C12</f>
        <v>95</v>
      </c>
      <c r="J840" s="2" t="s">
        <v>835</v>
      </c>
      <c r="K840" s="8">
        <f t="shared" si="47"/>
        <v>95</v>
      </c>
      <c r="N840" s="181" t="s">
        <v>835</v>
      </c>
      <c r="O840" s="181" t="s">
        <v>1690</v>
      </c>
      <c r="P840" s="188">
        <v>8</v>
      </c>
      <c r="R840" s="188" t="e">
        <f t="shared" si="48"/>
        <v>#VALUE!</v>
      </c>
      <c r="AG840" s="181" t="s">
        <v>2175</v>
      </c>
    </row>
    <row r="841" spans="1:33" hidden="1">
      <c r="A841" s="261"/>
      <c r="B841" s="154" t="s">
        <v>2979</v>
      </c>
      <c r="C841" s="106">
        <v>1459</v>
      </c>
      <c r="D841"/>
      <c r="E841"/>
      <c r="F841" s="188">
        <v>1</v>
      </c>
      <c r="G841" s="187" t="s">
        <v>835</v>
      </c>
      <c r="H841" s="181" t="s">
        <v>1151</v>
      </c>
      <c r="I841" s="8">
        <v>25</v>
      </c>
      <c r="J841" s="2" t="s">
        <v>835</v>
      </c>
      <c r="K841" s="8">
        <f t="shared" si="47"/>
        <v>25</v>
      </c>
      <c r="N841" s="181" t="s">
        <v>794</v>
      </c>
      <c r="O841" s="181" t="s">
        <v>1442</v>
      </c>
      <c r="P841" s="188">
        <v>13.66</v>
      </c>
      <c r="R841" s="188" t="e">
        <f t="shared" si="48"/>
        <v>#VALUE!</v>
      </c>
      <c r="AG841" s="181" t="s">
        <v>2175</v>
      </c>
    </row>
    <row r="842" spans="1:33" ht="33" hidden="1" customHeight="1">
      <c r="A842" s="261"/>
      <c r="B842" s="265" t="s">
        <v>2980</v>
      </c>
      <c r="C842" s="106">
        <v>1930</v>
      </c>
      <c r="D842"/>
      <c r="E842"/>
      <c r="F842" s="188"/>
      <c r="G842" s="187"/>
      <c r="H842" s="181"/>
      <c r="I842" s="8"/>
      <c r="J842" s="2"/>
      <c r="K842" s="8"/>
      <c r="N842" s="181"/>
      <c r="O842" s="181"/>
      <c r="P842" s="188"/>
      <c r="R842" s="188"/>
      <c r="AG842" s="181"/>
    </row>
    <row r="843" spans="1:33" ht="37.5" hidden="1" customHeight="1">
      <c r="A843" s="259"/>
      <c r="B843" s="266" t="s">
        <v>2785</v>
      </c>
      <c r="C843" s="106">
        <v>2630</v>
      </c>
      <c r="D843"/>
      <c r="E843"/>
      <c r="F843" s="188">
        <v>0.5</v>
      </c>
      <c r="G843" s="187" t="s">
        <v>835</v>
      </c>
      <c r="H843" s="181" t="s">
        <v>1152</v>
      </c>
      <c r="I843" s="8">
        <f>C13</f>
        <v>85</v>
      </c>
      <c r="J843" s="2" t="s">
        <v>835</v>
      </c>
      <c r="K843" s="8">
        <f t="shared" si="47"/>
        <v>42.5</v>
      </c>
      <c r="N843" s="181" t="s">
        <v>578</v>
      </c>
      <c r="O843" s="181" t="s">
        <v>1443</v>
      </c>
      <c r="P843" s="188">
        <v>25.46</v>
      </c>
      <c r="R843" s="188" t="e">
        <f t="shared" si="48"/>
        <v>#VALUE!</v>
      </c>
      <c r="AG843" s="181" t="s">
        <v>2175</v>
      </c>
    </row>
    <row r="844" spans="1:33" ht="70.5" hidden="1" customHeight="1">
      <c r="A844" s="261">
        <v>11</v>
      </c>
      <c r="B844" s="260" t="s">
        <v>2605</v>
      </c>
      <c r="C844"/>
      <c r="D844"/>
      <c r="E844"/>
      <c r="G844" s="187" t="s">
        <v>419</v>
      </c>
      <c r="H844" s="181" t="s">
        <v>2058</v>
      </c>
      <c r="I844"/>
      <c r="J844" s="2" t="s">
        <v>419</v>
      </c>
      <c r="K844" s="8">
        <v>0.5</v>
      </c>
      <c r="N844" s="181" t="s">
        <v>835</v>
      </c>
      <c r="O844" s="181" t="s">
        <v>1269</v>
      </c>
      <c r="P844" s="188">
        <v>0.5</v>
      </c>
      <c r="R844" s="188" t="e">
        <f t="shared" si="48"/>
        <v>#VALUE!</v>
      </c>
      <c r="AG844" s="181" t="s">
        <v>2175</v>
      </c>
    </row>
    <row r="845" spans="1:33" hidden="1">
      <c r="A845" s="259"/>
      <c r="B845" s="154" t="s">
        <v>2606</v>
      </c>
      <c r="C845" s="106">
        <v>642</v>
      </c>
      <c r="D845"/>
      <c r="E845"/>
      <c r="I845"/>
      <c r="J845" s="4"/>
      <c r="K845" s="5" t="s">
        <v>1530</v>
      </c>
      <c r="R845" s="188">
        <v>0.97</v>
      </c>
      <c r="AG845" s="181" t="s">
        <v>2175</v>
      </c>
    </row>
    <row r="846" spans="1:33" ht="70.5" hidden="1" customHeight="1">
      <c r="A846" s="261">
        <v>12</v>
      </c>
      <c r="B846" s="260" t="s">
        <v>2607</v>
      </c>
      <c r="C846"/>
      <c r="D846"/>
      <c r="E846"/>
      <c r="H846" s="236" t="s">
        <v>266</v>
      </c>
      <c r="I846"/>
      <c r="J846" s="4"/>
      <c r="K846" s="8" t="e">
        <f>SUM(K833:K844)</f>
        <v>#REF!</v>
      </c>
      <c r="R846" s="185" t="s">
        <v>1530</v>
      </c>
      <c r="AG846" s="181" t="s">
        <v>2175</v>
      </c>
    </row>
    <row r="847" spans="1:33" hidden="1">
      <c r="A847" s="259"/>
      <c r="B847" s="154" t="s">
        <v>2606</v>
      </c>
      <c r="C847" s="106">
        <v>864</v>
      </c>
      <c r="D847"/>
      <c r="E847"/>
      <c r="I847"/>
      <c r="J847" s="4"/>
      <c r="K847" s="5" t="s">
        <v>1530</v>
      </c>
      <c r="O847" s="236" t="s">
        <v>1270</v>
      </c>
      <c r="R847" s="188" t="e">
        <f>SUM(R834:R845)</f>
        <v>#VALUE!</v>
      </c>
      <c r="AG847" s="181" t="s">
        <v>2175</v>
      </c>
    </row>
    <row r="848" spans="1:33" ht="97.5" hidden="1" customHeight="1">
      <c r="A848" s="261">
        <v>13</v>
      </c>
      <c r="B848" s="260" t="s">
        <v>2608</v>
      </c>
      <c r="C848"/>
      <c r="D848"/>
      <c r="E848"/>
      <c r="F848" s="236"/>
      <c r="G848" s="187" t="s">
        <v>486</v>
      </c>
      <c r="H848" s="236" t="s">
        <v>532</v>
      </c>
      <c r="I848"/>
      <c r="J848" s="4"/>
      <c r="K848"/>
      <c r="R848" s="185" t="s">
        <v>1530</v>
      </c>
      <c r="AG848" s="181" t="s">
        <v>2175</v>
      </c>
    </row>
    <row r="849" spans="1:18" hidden="1">
      <c r="A849" s="259"/>
      <c r="B849" s="154" t="s">
        <v>2609</v>
      </c>
      <c r="C849" s="106">
        <v>3100</v>
      </c>
      <c r="D849"/>
      <c r="E849"/>
      <c r="H849" s="236" t="s">
        <v>1724</v>
      </c>
      <c r="I849"/>
      <c r="J849" s="4"/>
      <c r="K849"/>
    </row>
    <row r="850" spans="1:18" hidden="1">
      <c r="A850" s="261"/>
      <c r="B850" s="264" t="s">
        <v>2610</v>
      </c>
      <c r="C850" s="106">
        <v>3267</v>
      </c>
      <c r="D850"/>
      <c r="E850"/>
      <c r="F850" s="255">
        <v>3.5299999999999998E-2</v>
      </c>
      <c r="G850" s="187" t="s">
        <v>836</v>
      </c>
      <c r="H850" s="181" t="s">
        <v>1993</v>
      </c>
      <c r="I850" s="8" t="e">
        <f>K781</f>
        <v>#REF!</v>
      </c>
      <c r="J850" s="2" t="s">
        <v>836</v>
      </c>
      <c r="K850" s="8" t="e">
        <f>F850*I850</f>
        <v>#REF!</v>
      </c>
      <c r="M850" s="236" t="s">
        <v>1065</v>
      </c>
      <c r="N850" s="181" t="s">
        <v>2167</v>
      </c>
      <c r="O850" s="181" t="s">
        <v>1066</v>
      </c>
    </row>
    <row r="851" spans="1:18" ht="33" hidden="1" customHeight="1">
      <c r="A851" s="259"/>
      <c r="B851" s="266" t="s">
        <v>2611</v>
      </c>
      <c r="C851" s="106">
        <v>1790</v>
      </c>
      <c r="D851"/>
      <c r="E851"/>
      <c r="F851" s="188">
        <v>4.59</v>
      </c>
      <c r="G851" s="187" t="s">
        <v>1591</v>
      </c>
      <c r="H851" s="181" t="s">
        <v>1994</v>
      </c>
      <c r="I851" s="8">
        <f>K1513</f>
        <v>33174.400000000001</v>
      </c>
      <c r="J851" s="2" t="s">
        <v>828</v>
      </c>
      <c r="K851" s="8">
        <f>F851*I851/1000</f>
        <v>152.27000000000001</v>
      </c>
      <c r="O851" s="181" t="s">
        <v>549</v>
      </c>
    </row>
    <row r="852" spans="1:18" ht="33" hidden="1" customHeight="1">
      <c r="A852" s="261">
        <v>14</v>
      </c>
      <c r="B852" s="267" t="s">
        <v>2781</v>
      </c>
      <c r="C852"/>
      <c r="D852"/>
      <c r="E852"/>
      <c r="F852" s="188"/>
      <c r="G852" s="187"/>
      <c r="H852" s="181"/>
      <c r="I852" s="8"/>
      <c r="J852" s="2"/>
      <c r="K852" s="8"/>
      <c r="O852" s="181"/>
    </row>
    <row r="853" spans="1:18" hidden="1">
      <c r="A853" s="259"/>
      <c r="B853" s="264" t="s">
        <v>2782</v>
      </c>
      <c r="C853" s="33" t="s">
        <v>3106</v>
      </c>
      <c r="D853"/>
      <c r="E853"/>
      <c r="F853" s="188">
        <v>3</v>
      </c>
      <c r="G853" s="187" t="s">
        <v>835</v>
      </c>
      <c r="H853" s="181" t="s">
        <v>1145</v>
      </c>
      <c r="I853" s="8">
        <v>16.5</v>
      </c>
      <c r="J853" s="2" t="s">
        <v>835</v>
      </c>
      <c r="K853" s="8">
        <f t="shared" ref="K853:K860" si="49">F853*I853</f>
        <v>49.5</v>
      </c>
      <c r="O853" s="185" t="s">
        <v>1530</v>
      </c>
      <c r="P853" s="185" t="s">
        <v>1530</v>
      </c>
    </row>
    <row r="854" spans="1:18" hidden="1">
      <c r="A854" s="261"/>
      <c r="B854" s="182" t="s">
        <v>2392</v>
      </c>
      <c r="C854" s="33" t="s">
        <v>3106</v>
      </c>
      <c r="D854"/>
      <c r="E854"/>
      <c r="F854" s="188">
        <v>12</v>
      </c>
      <c r="G854" s="187" t="s">
        <v>835</v>
      </c>
      <c r="H854" s="181" t="s">
        <v>1146</v>
      </c>
      <c r="I854" s="8">
        <v>3.85</v>
      </c>
      <c r="J854" s="2" t="s">
        <v>835</v>
      </c>
      <c r="K854" s="8">
        <f t="shared" si="49"/>
        <v>46.2</v>
      </c>
      <c r="O854" s="181" t="s">
        <v>550</v>
      </c>
    </row>
    <row r="855" spans="1:18" hidden="1">
      <c r="A855" s="259"/>
      <c r="B855" s="182" t="s">
        <v>2393</v>
      </c>
      <c r="C855" s="33" t="s">
        <v>3106</v>
      </c>
      <c r="D855"/>
      <c r="E855"/>
      <c r="F855" s="188">
        <v>2</v>
      </c>
      <c r="G855" s="187" t="s">
        <v>835</v>
      </c>
      <c r="H855" s="188" t="str">
        <f>H837</f>
        <v>TOWER BOLT RECEIVER</v>
      </c>
      <c r="I855" s="8">
        <v>5</v>
      </c>
      <c r="J855" s="2" t="s">
        <v>835</v>
      </c>
      <c r="K855" s="8">
        <f t="shared" si="49"/>
        <v>10</v>
      </c>
      <c r="M855" s="188">
        <v>0.5</v>
      </c>
      <c r="N855" s="236" t="s">
        <v>739</v>
      </c>
      <c r="O855" s="181" t="s">
        <v>73</v>
      </c>
      <c r="P855" s="188">
        <f>C16</f>
        <v>150</v>
      </c>
      <c r="Q855" s="236" t="s">
        <v>1658</v>
      </c>
      <c r="R855" s="188">
        <f>(M855*P855)</f>
        <v>75</v>
      </c>
    </row>
    <row r="856" spans="1:18" ht="52.5" hidden="1" customHeight="1">
      <c r="A856" s="261">
        <v>15</v>
      </c>
      <c r="B856" s="267" t="s">
        <v>2394</v>
      </c>
      <c r="C856" s="33"/>
      <c r="D856"/>
      <c r="E856"/>
      <c r="F856" s="188">
        <v>6</v>
      </c>
      <c r="G856" s="187" t="s">
        <v>835</v>
      </c>
      <c r="H856" s="181" t="s">
        <v>2138</v>
      </c>
      <c r="I856" s="8">
        <v>3.85</v>
      </c>
      <c r="J856" s="2" t="s">
        <v>835</v>
      </c>
      <c r="K856" s="8">
        <f t="shared" si="49"/>
        <v>23.1</v>
      </c>
      <c r="M856" s="188">
        <v>0.25</v>
      </c>
      <c r="N856" s="236" t="s">
        <v>739</v>
      </c>
      <c r="O856" s="181" t="s">
        <v>845</v>
      </c>
      <c r="P856" s="188">
        <f>C13</f>
        <v>85</v>
      </c>
      <c r="Q856" s="236" t="s">
        <v>1658</v>
      </c>
      <c r="R856" s="188">
        <f>(M856*P856)</f>
        <v>21.25</v>
      </c>
    </row>
    <row r="857" spans="1:18" hidden="1">
      <c r="A857" s="259"/>
      <c r="B857" s="182" t="s">
        <v>2395</v>
      </c>
      <c r="C857" s="33" t="s">
        <v>3106</v>
      </c>
      <c r="D857"/>
      <c r="E857"/>
      <c r="F857" s="188">
        <v>1</v>
      </c>
      <c r="G857" s="187" t="s">
        <v>835</v>
      </c>
      <c r="H857" s="181" t="s">
        <v>1149</v>
      </c>
      <c r="I857" s="8">
        <f>C10</f>
        <v>150</v>
      </c>
      <c r="J857" s="2" t="s">
        <v>835</v>
      </c>
      <c r="K857" s="8">
        <f t="shared" si="49"/>
        <v>150</v>
      </c>
      <c r="R857" s="185" t="s">
        <v>1530</v>
      </c>
    </row>
    <row r="858" spans="1:18" hidden="1">
      <c r="A858" s="261"/>
      <c r="B858" s="182" t="s">
        <v>2396</v>
      </c>
      <c r="C858" s="33" t="s">
        <v>3106</v>
      </c>
      <c r="D858"/>
      <c r="E858"/>
      <c r="F858" s="188">
        <v>1</v>
      </c>
      <c r="G858" s="187" t="s">
        <v>835</v>
      </c>
      <c r="H858" s="181" t="s">
        <v>1150</v>
      </c>
      <c r="I858" s="8">
        <f>C12</f>
        <v>95</v>
      </c>
      <c r="J858" s="2" t="s">
        <v>835</v>
      </c>
      <c r="K858" s="8">
        <f t="shared" si="49"/>
        <v>95</v>
      </c>
      <c r="O858" s="236" t="s">
        <v>1123</v>
      </c>
      <c r="R858" s="188">
        <f>SUM(R855:R856)</f>
        <v>96.25</v>
      </c>
    </row>
    <row r="859" spans="1:18" hidden="1">
      <c r="A859" s="259"/>
      <c r="B859" s="264" t="s">
        <v>2397</v>
      </c>
      <c r="C859" s="33" t="s">
        <v>3106</v>
      </c>
      <c r="D859"/>
      <c r="E859"/>
      <c r="F859" s="188">
        <v>1</v>
      </c>
      <c r="G859" s="187" t="s">
        <v>835</v>
      </c>
      <c r="H859" s="188" t="str">
        <f>H841</f>
        <v>MOULDING CHARGES</v>
      </c>
      <c r="I859" s="8">
        <v>25</v>
      </c>
      <c r="J859" s="2" t="s">
        <v>835</v>
      </c>
      <c r="K859" s="8">
        <f t="shared" si="49"/>
        <v>25</v>
      </c>
      <c r="R859" s="185" t="s">
        <v>1530</v>
      </c>
    </row>
    <row r="860" spans="1:18" hidden="1">
      <c r="A860" s="261">
        <v>16</v>
      </c>
      <c r="B860" s="267" t="s">
        <v>2398</v>
      </c>
      <c r="C860"/>
      <c r="D860"/>
      <c r="E860"/>
      <c r="F860" s="188">
        <v>0.5</v>
      </c>
      <c r="G860" s="187" t="s">
        <v>835</v>
      </c>
      <c r="H860" s="181" t="s">
        <v>1152</v>
      </c>
      <c r="I860" s="8">
        <f>C13</f>
        <v>85</v>
      </c>
      <c r="J860" s="2" t="s">
        <v>835</v>
      </c>
      <c r="K860" s="8">
        <f t="shared" si="49"/>
        <v>42.5</v>
      </c>
      <c r="O860" s="236" t="s">
        <v>1124</v>
      </c>
      <c r="R860" s="188">
        <f>R858/0.0283</f>
        <v>3401.06</v>
      </c>
    </row>
    <row r="861" spans="1:18" hidden="1">
      <c r="A861" s="268"/>
      <c r="B861" s="154" t="s">
        <v>2312</v>
      </c>
      <c r="C861" s="106">
        <v>10</v>
      </c>
      <c r="D861"/>
      <c r="E861"/>
      <c r="G861" s="187" t="s">
        <v>419</v>
      </c>
      <c r="H861" s="181" t="s">
        <v>2058</v>
      </c>
      <c r="I861"/>
      <c r="J861" s="2" t="s">
        <v>419</v>
      </c>
      <c r="K861" s="8">
        <v>0.5</v>
      </c>
      <c r="R861" s="185" t="s">
        <v>1530</v>
      </c>
    </row>
    <row r="862" spans="1:18" hidden="1">
      <c r="A862" s="268"/>
      <c r="B862" s="154" t="s">
        <v>2313</v>
      </c>
      <c r="C862" s="106">
        <v>10</v>
      </c>
      <c r="D862"/>
      <c r="E862"/>
      <c r="I862"/>
      <c r="J862" s="4"/>
      <c r="K862" s="5" t="s">
        <v>1530</v>
      </c>
    </row>
    <row r="863" spans="1:18" ht="31.5" hidden="1">
      <c r="A863" s="261">
        <v>17</v>
      </c>
      <c r="B863" s="267" t="s">
        <v>2314</v>
      </c>
      <c r="C863"/>
      <c r="D863"/>
      <c r="E863"/>
      <c r="H863" s="236" t="s">
        <v>266</v>
      </c>
      <c r="I863"/>
      <c r="J863" s="4"/>
      <c r="K863" s="8" t="e">
        <f>SUM(K850:K861)</f>
        <v>#REF!</v>
      </c>
    </row>
    <row r="864" spans="1:18" hidden="1">
      <c r="A864" s="261"/>
      <c r="B864" s="182" t="s">
        <v>2315</v>
      </c>
      <c r="C864" s="106">
        <v>170</v>
      </c>
      <c r="D864"/>
      <c r="E864"/>
      <c r="I864"/>
      <c r="J864" s="4"/>
      <c r="K864" s="5" t="s">
        <v>1530</v>
      </c>
    </row>
    <row r="865" spans="1:33" hidden="1">
      <c r="A865" s="261"/>
      <c r="B865" s="154" t="s">
        <v>2316</v>
      </c>
      <c r="C865" s="106">
        <v>170</v>
      </c>
      <c r="D865"/>
      <c r="E865"/>
      <c r="I865"/>
      <c r="J865" s="4"/>
      <c r="K865"/>
    </row>
    <row r="866" spans="1:33" hidden="1">
      <c r="A866" s="261"/>
      <c r="B866" s="154" t="s">
        <v>3178</v>
      </c>
      <c r="C866" s="106">
        <v>295</v>
      </c>
      <c r="D866"/>
      <c r="E866"/>
      <c r="I866"/>
      <c r="J866" s="4"/>
      <c r="K866"/>
    </row>
    <row r="867" spans="1:33" ht="31.5" hidden="1">
      <c r="A867" s="261"/>
      <c r="B867" s="265" t="s">
        <v>3179</v>
      </c>
      <c r="C867" s="106">
        <v>240</v>
      </c>
      <c r="D867"/>
      <c r="E867"/>
      <c r="I867"/>
      <c r="J867" s="4"/>
      <c r="K867"/>
    </row>
    <row r="868" spans="1:33" ht="142.5" hidden="1" customHeight="1">
      <c r="A868" s="261"/>
      <c r="C868"/>
      <c r="D868"/>
      <c r="E868"/>
      <c r="F868" s="269">
        <v>21.3</v>
      </c>
      <c r="G868" s="187" t="s">
        <v>2167</v>
      </c>
      <c r="H868" s="270" t="s">
        <v>1668</v>
      </c>
      <c r="I868"/>
      <c r="J868" s="4"/>
      <c r="K868"/>
      <c r="AG868" s="181" t="s">
        <v>2175</v>
      </c>
    </row>
    <row r="869" spans="1:33" hidden="1">
      <c r="A869" s="261"/>
      <c r="B869" s="154" t="s">
        <v>3180</v>
      </c>
      <c r="C869" s="33" t="s">
        <v>3181</v>
      </c>
      <c r="D869"/>
      <c r="E869"/>
      <c r="H869" s="181" t="s">
        <v>2176</v>
      </c>
      <c r="I869"/>
      <c r="J869" s="4"/>
      <c r="K869"/>
      <c r="M869" s="188">
        <v>11.64</v>
      </c>
      <c r="N869" s="181" t="s">
        <v>794</v>
      </c>
      <c r="O869" s="181" t="s">
        <v>1442</v>
      </c>
      <c r="P869" s="188">
        <v>13.66</v>
      </c>
      <c r="R869" s="188">
        <f>(M869*P869)</f>
        <v>159</v>
      </c>
      <c r="AG869" s="181" t="s">
        <v>2175</v>
      </c>
    </row>
    <row r="870" spans="1:33" hidden="1">
      <c r="A870" s="261"/>
      <c r="B870" s="154" t="s">
        <v>3182</v>
      </c>
      <c r="C870" s="33" t="s">
        <v>3181</v>
      </c>
      <c r="D870"/>
      <c r="E870"/>
      <c r="H870" s="185" t="s">
        <v>1530</v>
      </c>
      <c r="I870"/>
      <c r="J870" s="4"/>
      <c r="K870"/>
      <c r="M870" s="256">
        <v>1.62</v>
      </c>
      <c r="N870" s="181" t="s">
        <v>578</v>
      </c>
      <c r="O870" s="181" t="s">
        <v>1443</v>
      </c>
      <c r="P870" s="188">
        <v>25.46</v>
      </c>
      <c r="R870" s="188">
        <f>(M870*P870)</f>
        <v>41.25</v>
      </c>
      <c r="AG870" s="181" t="s">
        <v>2175</v>
      </c>
    </row>
    <row r="871" spans="1:33" hidden="1">
      <c r="A871" s="261"/>
      <c r="B871" s="154" t="s">
        <v>3183</v>
      </c>
      <c r="C871" s="33" t="s">
        <v>3181</v>
      </c>
      <c r="D871"/>
      <c r="E871"/>
      <c r="I871"/>
      <c r="J871" s="4"/>
      <c r="K871"/>
      <c r="M871" s="188">
        <v>48</v>
      </c>
      <c r="N871" s="181" t="s">
        <v>835</v>
      </c>
      <c r="O871" s="181" t="s">
        <v>1269</v>
      </c>
      <c r="P871" s="188">
        <v>0.5</v>
      </c>
      <c r="R871" s="188">
        <f>(M871*P871)</f>
        <v>24</v>
      </c>
      <c r="AG871" s="181" t="s">
        <v>2175</v>
      </c>
    </row>
    <row r="872" spans="1:33" hidden="1">
      <c r="A872" s="261"/>
      <c r="B872" s="154" t="s">
        <v>3184</v>
      </c>
      <c r="C872" s="33" t="s">
        <v>3181</v>
      </c>
      <c r="D872"/>
      <c r="E872"/>
      <c r="H872" s="181" t="s">
        <v>2176</v>
      </c>
      <c r="I872"/>
      <c r="J872" s="2" t="s">
        <v>578</v>
      </c>
      <c r="K872" s="8">
        <v>1450</v>
      </c>
      <c r="R872" s="188">
        <v>0.23</v>
      </c>
      <c r="AG872" s="181" t="s">
        <v>2175</v>
      </c>
    </row>
    <row r="873" spans="1:33" hidden="1">
      <c r="A873" s="261">
        <v>18</v>
      </c>
      <c r="B873" s="262" t="s">
        <v>3185</v>
      </c>
      <c r="C873"/>
      <c r="D873"/>
      <c r="E873"/>
      <c r="F873" s="181" t="s">
        <v>940</v>
      </c>
      <c r="I873"/>
      <c r="J873" s="4"/>
      <c r="K873"/>
    </row>
    <row r="874" spans="1:33" hidden="1">
      <c r="A874" s="261"/>
      <c r="B874" s="154" t="s">
        <v>3186</v>
      </c>
      <c r="C874" s="106">
        <v>113</v>
      </c>
      <c r="D874"/>
      <c r="E874"/>
      <c r="H874" s="236" t="s">
        <v>2177</v>
      </c>
      <c r="I874"/>
      <c r="J874" s="4"/>
      <c r="K874" s="5" t="s">
        <v>1980</v>
      </c>
      <c r="R874" s="185" t="s">
        <v>1530</v>
      </c>
      <c r="AG874" s="181" t="s">
        <v>2175</v>
      </c>
    </row>
    <row r="875" spans="1:33" hidden="1">
      <c r="A875" s="261"/>
      <c r="B875" s="154" t="s">
        <v>3187</v>
      </c>
      <c r="C875" s="106">
        <v>135</v>
      </c>
      <c r="D875"/>
      <c r="E875"/>
      <c r="H875" s="236" t="s">
        <v>1313</v>
      </c>
      <c r="I875"/>
      <c r="J875" s="4"/>
      <c r="K875"/>
      <c r="O875" s="236" t="s">
        <v>1270</v>
      </c>
      <c r="R875" s="188">
        <f>SUM(R869:R872)</f>
        <v>224.48</v>
      </c>
      <c r="AG875" s="181" t="s">
        <v>2175</v>
      </c>
    </row>
    <row r="876" spans="1:33" hidden="1">
      <c r="A876" s="261"/>
      <c r="B876" s="154" t="s">
        <v>3188</v>
      </c>
      <c r="C876" s="106">
        <v>180</v>
      </c>
      <c r="D876"/>
      <c r="E876"/>
      <c r="F876" s="257">
        <v>21.2</v>
      </c>
      <c r="H876" s="191" t="s">
        <v>1669</v>
      </c>
      <c r="I876"/>
      <c r="J876" s="4"/>
      <c r="K876"/>
      <c r="AG876" s="181" t="s">
        <v>2175</v>
      </c>
    </row>
    <row r="877" spans="1:33" hidden="1">
      <c r="A877" s="261"/>
      <c r="B877" s="154" t="s">
        <v>3189</v>
      </c>
      <c r="C877" s="106">
        <v>248</v>
      </c>
      <c r="D877"/>
      <c r="E877"/>
      <c r="F877" s="257"/>
      <c r="H877" s="185" t="s">
        <v>1530</v>
      </c>
      <c r="I877"/>
      <c r="J877" s="4"/>
      <c r="K877"/>
      <c r="AG877" s="181"/>
    </row>
    <row r="878" spans="1:33" hidden="1">
      <c r="A878" s="261">
        <v>19</v>
      </c>
      <c r="B878" s="154" t="s">
        <v>3190</v>
      </c>
      <c r="C878" s="33" t="s">
        <v>3181</v>
      </c>
      <c r="D878"/>
      <c r="E878"/>
      <c r="G878" s="187" t="s">
        <v>152</v>
      </c>
      <c r="H878" s="181" t="s">
        <v>1314</v>
      </c>
      <c r="I878"/>
      <c r="J878" s="4"/>
      <c r="K878" s="1" t="s">
        <v>940</v>
      </c>
      <c r="AG878" s="181" t="s">
        <v>2175</v>
      </c>
    </row>
    <row r="879" spans="1:33" hidden="1">
      <c r="A879" s="261"/>
      <c r="B879" s="154" t="s">
        <v>3191</v>
      </c>
      <c r="C879" s="33" t="s">
        <v>3181</v>
      </c>
      <c r="D879"/>
      <c r="E879"/>
      <c r="H879" s="185" t="s">
        <v>1530</v>
      </c>
      <c r="I879"/>
      <c r="J879" s="4"/>
      <c r="K879" s="1" t="s">
        <v>940</v>
      </c>
      <c r="AG879" s="181" t="s">
        <v>2175</v>
      </c>
    </row>
    <row r="880" spans="1:33" hidden="1">
      <c r="A880" s="261">
        <v>20</v>
      </c>
      <c r="B880" s="154" t="s">
        <v>2612</v>
      </c>
      <c r="C880" s="33" t="s">
        <v>3181</v>
      </c>
      <c r="D880"/>
      <c r="E880"/>
      <c r="F880" s="188">
        <v>1</v>
      </c>
      <c r="G880" s="187" t="s">
        <v>836</v>
      </c>
      <c r="H880" s="181" t="s">
        <v>1514</v>
      </c>
      <c r="I880" s="8">
        <f>C30</f>
        <v>3035</v>
      </c>
      <c r="J880" s="2" t="s">
        <v>836</v>
      </c>
      <c r="K880" s="8">
        <f>(F880*I880)</f>
        <v>3035</v>
      </c>
      <c r="AG880" s="181" t="s">
        <v>2175</v>
      </c>
    </row>
    <row r="881" spans="1:33" hidden="1">
      <c r="A881" s="261">
        <v>21</v>
      </c>
      <c r="B881" s="154" t="s">
        <v>2613</v>
      </c>
      <c r="C881" s="263" t="s">
        <v>3181</v>
      </c>
      <c r="D881"/>
      <c r="E881"/>
      <c r="F881" s="188">
        <v>1</v>
      </c>
      <c r="G881" s="187" t="s">
        <v>836</v>
      </c>
      <c r="H881" s="181" t="s">
        <v>1314</v>
      </c>
      <c r="I881" s="8">
        <f>C88</f>
        <v>65420</v>
      </c>
      <c r="J881" s="2" t="s">
        <v>836</v>
      </c>
      <c r="K881" s="8">
        <f>(F881*I881)</f>
        <v>65420</v>
      </c>
      <c r="AG881" s="181" t="s">
        <v>2175</v>
      </c>
    </row>
    <row r="882" spans="1:33" hidden="1">
      <c r="A882" s="261">
        <v>22</v>
      </c>
      <c r="B882" s="154" t="s">
        <v>2614</v>
      </c>
      <c r="C882" s="263" t="s">
        <v>3181</v>
      </c>
      <c r="D882"/>
      <c r="E882"/>
      <c r="I882"/>
      <c r="J882" s="4"/>
      <c r="K882" s="5" t="s">
        <v>1980</v>
      </c>
      <c r="AG882" s="181" t="s">
        <v>2175</v>
      </c>
    </row>
    <row r="883" spans="1:33" hidden="1">
      <c r="A883" s="261">
        <v>23</v>
      </c>
      <c r="B883" s="262" t="s">
        <v>2615</v>
      </c>
      <c r="C883"/>
      <c r="D883"/>
      <c r="E883"/>
      <c r="H883" s="181" t="s">
        <v>1515</v>
      </c>
      <c r="I883"/>
      <c r="J883" s="4"/>
      <c r="K883" s="8">
        <f>SUM(K880:K881)</f>
        <v>68455</v>
      </c>
      <c r="AG883" s="181" t="s">
        <v>2175</v>
      </c>
    </row>
    <row r="884" spans="1:33" hidden="1">
      <c r="A884" s="261"/>
      <c r="B884" s="154" t="s">
        <v>2616</v>
      </c>
      <c r="C884" s="33" t="s">
        <v>3181</v>
      </c>
      <c r="D884"/>
      <c r="E884"/>
      <c r="I884"/>
      <c r="J884" s="4"/>
      <c r="K884" s="5" t="s">
        <v>1980</v>
      </c>
      <c r="AG884" s="181" t="s">
        <v>2175</v>
      </c>
    </row>
    <row r="885" spans="1:33" hidden="1">
      <c r="A885" s="261"/>
      <c r="B885" s="154" t="s">
        <v>2617</v>
      </c>
      <c r="C885" s="33" t="s">
        <v>3181</v>
      </c>
      <c r="D885"/>
      <c r="E885"/>
      <c r="G885" s="187" t="s">
        <v>1500</v>
      </c>
      <c r="H885" s="181" t="s">
        <v>1516</v>
      </c>
      <c r="I885"/>
      <c r="J885" s="4"/>
      <c r="K885" s="1" t="s">
        <v>940</v>
      </c>
      <c r="AG885" s="181" t="s">
        <v>2175</v>
      </c>
    </row>
    <row r="886" spans="1:33" hidden="1">
      <c r="A886" s="261">
        <v>24</v>
      </c>
      <c r="B886" s="262" t="s">
        <v>2618</v>
      </c>
      <c r="C886" s="106">
        <v>18</v>
      </c>
      <c r="D886"/>
      <c r="E886"/>
      <c r="H886" s="185" t="s">
        <v>1530</v>
      </c>
      <c r="I886"/>
      <c r="J886" s="4"/>
      <c r="K886"/>
      <c r="AG886" s="181" t="s">
        <v>2175</v>
      </c>
    </row>
    <row r="887" spans="1:33" ht="51" hidden="1" customHeight="1">
      <c r="A887" s="261">
        <v>25</v>
      </c>
      <c r="B887" s="266" t="s">
        <v>2619</v>
      </c>
      <c r="C887" s="106">
        <v>300</v>
      </c>
      <c r="D887"/>
      <c r="E887"/>
      <c r="F887" s="188">
        <v>1</v>
      </c>
      <c r="G887" s="187" t="s">
        <v>836</v>
      </c>
      <c r="H887" s="181" t="s">
        <v>1514</v>
      </c>
      <c r="I887" s="8">
        <f>C30</f>
        <v>3035</v>
      </c>
      <c r="J887" s="2" t="s">
        <v>836</v>
      </c>
      <c r="K887" s="8">
        <f>(F887*I887)</f>
        <v>3035</v>
      </c>
      <c r="AG887" s="181" t="s">
        <v>2175</v>
      </c>
    </row>
    <row r="888" spans="1:33" hidden="1">
      <c r="A888" s="261">
        <v>26</v>
      </c>
      <c r="B888" s="182" t="s">
        <v>2620</v>
      </c>
      <c r="C888" s="106">
        <v>15</v>
      </c>
      <c r="D888"/>
      <c r="E888"/>
      <c r="F888" s="188">
        <v>1</v>
      </c>
      <c r="G888" s="187" t="s">
        <v>836</v>
      </c>
      <c r="H888" s="181" t="s">
        <v>1314</v>
      </c>
      <c r="I888" s="8">
        <f>C89</f>
        <v>57165</v>
      </c>
      <c r="J888" s="2" t="s">
        <v>836</v>
      </c>
      <c r="K888" s="8">
        <f>(F888*I888)</f>
        <v>57165</v>
      </c>
      <c r="AG888" s="181" t="s">
        <v>2175</v>
      </c>
    </row>
    <row r="889" spans="1:33" ht="36" hidden="1" customHeight="1">
      <c r="A889" s="261">
        <v>27</v>
      </c>
      <c r="B889" s="266" t="s">
        <v>2621</v>
      </c>
      <c r="C889" s="106">
        <v>178</v>
      </c>
      <c r="D889"/>
      <c r="E889"/>
      <c r="I889"/>
      <c r="J889" s="4"/>
      <c r="K889" s="5" t="s">
        <v>1980</v>
      </c>
      <c r="AG889" s="181" t="s">
        <v>2175</v>
      </c>
    </row>
    <row r="890" spans="1:33" ht="41.25" hidden="1" customHeight="1">
      <c r="A890" s="261"/>
      <c r="B890" s="266" t="s">
        <v>2622</v>
      </c>
      <c r="C890" s="106">
        <v>1120</v>
      </c>
      <c r="D890"/>
      <c r="E890"/>
      <c r="H890" s="181" t="s">
        <v>1517</v>
      </c>
      <c r="I890"/>
      <c r="J890" s="4"/>
      <c r="K890" s="8">
        <f>SUM(K887:K888)</f>
        <v>60200</v>
      </c>
      <c r="AG890" s="181" t="s">
        <v>2175</v>
      </c>
    </row>
    <row r="891" spans="1:33" ht="39" hidden="1" customHeight="1">
      <c r="A891" s="261"/>
      <c r="B891" s="267" t="s">
        <v>2623</v>
      </c>
      <c r="C891"/>
      <c r="D891"/>
      <c r="E891"/>
      <c r="I891"/>
      <c r="J891" s="4"/>
      <c r="K891" s="5" t="s">
        <v>1980</v>
      </c>
      <c r="AG891" s="181" t="s">
        <v>2175</v>
      </c>
    </row>
    <row r="892" spans="1:33" hidden="1">
      <c r="A892" s="261"/>
      <c r="B892" s="266" t="s">
        <v>3365</v>
      </c>
      <c r="C892" s="33" t="s">
        <v>3181</v>
      </c>
      <c r="D892"/>
      <c r="E892"/>
      <c r="I892"/>
      <c r="J892" s="4"/>
      <c r="K892"/>
      <c r="AG892" s="181" t="s">
        <v>2175</v>
      </c>
    </row>
    <row r="893" spans="1:33" hidden="1">
      <c r="A893" s="261"/>
      <c r="B893" s="266" t="s">
        <v>2482</v>
      </c>
      <c r="C893" s="33" t="s">
        <v>3181</v>
      </c>
      <c r="D893"/>
      <c r="E893"/>
      <c r="F893" s="236" t="s">
        <v>533</v>
      </c>
      <c r="G893" s="187" t="s">
        <v>2167</v>
      </c>
      <c r="H893" s="181" t="s">
        <v>240</v>
      </c>
      <c r="I893"/>
      <c r="J893" s="4"/>
      <c r="K893"/>
      <c r="AG893" s="181" t="s">
        <v>2175</v>
      </c>
    </row>
    <row r="894" spans="1:33" hidden="1">
      <c r="A894" s="261"/>
      <c r="B894" s="266" t="s">
        <v>2483</v>
      </c>
      <c r="C894" s="33" t="s">
        <v>3181</v>
      </c>
      <c r="D894"/>
      <c r="E894"/>
      <c r="H894" s="181" t="s">
        <v>241</v>
      </c>
      <c r="I894"/>
      <c r="J894" s="4"/>
      <c r="K894"/>
      <c r="AG894" s="181" t="s">
        <v>2175</v>
      </c>
    </row>
    <row r="895" spans="1:33" ht="31.5" hidden="1">
      <c r="A895" s="261"/>
      <c r="B895" s="266" t="s">
        <v>2484</v>
      </c>
      <c r="C895" s="106">
        <v>120</v>
      </c>
      <c r="D895"/>
      <c r="E895"/>
      <c r="H895" s="181" t="s">
        <v>1413</v>
      </c>
      <c r="I895"/>
      <c r="J895" s="4"/>
      <c r="K895"/>
      <c r="AG895" s="181" t="s">
        <v>2175</v>
      </c>
    </row>
    <row r="896" spans="1:33" hidden="1">
      <c r="A896" s="261"/>
      <c r="B896" s="267" t="s">
        <v>2485</v>
      </c>
      <c r="C896"/>
      <c r="D896"/>
      <c r="E896"/>
      <c r="H896" s="185" t="s">
        <v>1530</v>
      </c>
      <c r="I896"/>
      <c r="J896" s="4"/>
      <c r="K896"/>
      <c r="AG896" s="181" t="s">
        <v>2175</v>
      </c>
    </row>
    <row r="897" spans="1:33" hidden="1">
      <c r="A897" s="261"/>
      <c r="B897" s="266" t="s">
        <v>2486</v>
      </c>
      <c r="C897" s="106">
        <v>45</v>
      </c>
      <c r="D897"/>
      <c r="E897"/>
      <c r="H897" s="181" t="s">
        <v>87</v>
      </c>
      <c r="I897"/>
      <c r="J897" s="4"/>
      <c r="K897"/>
    </row>
    <row r="898" spans="1:33" hidden="1">
      <c r="A898" s="261"/>
      <c r="B898" s="266" t="s">
        <v>2487</v>
      </c>
      <c r="C898" s="106">
        <v>18</v>
      </c>
      <c r="D898"/>
      <c r="E898"/>
      <c r="H898" s="181" t="s">
        <v>88</v>
      </c>
      <c r="I898"/>
      <c r="J898" s="4"/>
      <c r="K898"/>
    </row>
    <row r="899" spans="1:33" hidden="1">
      <c r="A899" s="261"/>
      <c r="B899" s="266" t="s">
        <v>2488</v>
      </c>
      <c r="C899" s="106">
        <v>450</v>
      </c>
      <c r="D899"/>
      <c r="E899"/>
      <c r="I899"/>
      <c r="J899" s="2" t="s">
        <v>1530</v>
      </c>
      <c r="K899"/>
    </row>
    <row r="900" spans="1:33" hidden="1">
      <c r="A900" s="261"/>
      <c r="B900" s="266" t="s">
        <v>2489</v>
      </c>
      <c r="C900" s="106">
        <v>650</v>
      </c>
      <c r="D900"/>
      <c r="E900"/>
      <c r="H900" s="181" t="s">
        <v>1133</v>
      </c>
      <c r="I900"/>
      <c r="J900" s="4"/>
      <c r="K900"/>
    </row>
    <row r="901" spans="1:33" ht="47.25" hidden="1">
      <c r="A901" s="261"/>
      <c r="B901" s="266" t="s">
        <v>2490</v>
      </c>
      <c r="C901" s="106">
        <v>5000</v>
      </c>
      <c r="D901"/>
      <c r="E901"/>
      <c r="H901" s="181" t="s">
        <v>1935</v>
      </c>
      <c r="I901"/>
      <c r="J901" s="4"/>
      <c r="K901" s="15">
        <v>2.4299999999999999E-2</v>
      </c>
    </row>
    <row r="902" spans="1:33" ht="63" hidden="1">
      <c r="A902" s="261"/>
      <c r="B902" s="266" t="s">
        <v>2509</v>
      </c>
      <c r="C902" s="106">
        <v>6750</v>
      </c>
      <c r="D902"/>
      <c r="E902"/>
      <c r="I902"/>
      <c r="J902" s="2" t="s">
        <v>940</v>
      </c>
      <c r="K902" s="5" t="s">
        <v>1530</v>
      </c>
    </row>
    <row r="903" spans="1:33" ht="47.25" hidden="1">
      <c r="A903" s="261"/>
      <c r="B903" s="266" t="s">
        <v>2389</v>
      </c>
      <c r="C903" s="106">
        <v>5800</v>
      </c>
      <c r="D903"/>
      <c r="E903"/>
      <c r="H903" s="181" t="s">
        <v>1936</v>
      </c>
      <c r="I903"/>
      <c r="J903" s="271" t="s">
        <v>940</v>
      </c>
      <c r="K903" s="15">
        <v>1.47E-2</v>
      </c>
    </row>
    <row r="904" spans="1:33" hidden="1">
      <c r="A904" s="261"/>
      <c r="B904" s="266" t="s">
        <v>2390</v>
      </c>
      <c r="C904"/>
      <c r="D904"/>
      <c r="E904"/>
      <c r="H904" s="181" t="s">
        <v>1709</v>
      </c>
      <c r="I904"/>
      <c r="J904" s="2" t="s">
        <v>940</v>
      </c>
      <c r="K904" s="15">
        <v>4.5999999999999999E-3</v>
      </c>
    </row>
    <row r="905" spans="1:33" ht="47.25" hidden="1">
      <c r="A905" s="261"/>
      <c r="B905" s="266" t="s">
        <v>2391</v>
      </c>
      <c r="C905"/>
      <c r="D905"/>
      <c r="E905"/>
      <c r="I905"/>
      <c r="J905" s="4"/>
      <c r="K905" s="5" t="s">
        <v>1530</v>
      </c>
    </row>
    <row r="906" spans="1:33" ht="47.25" hidden="1">
      <c r="A906" s="261"/>
      <c r="B906" s="266" t="s">
        <v>2391</v>
      </c>
      <c r="C906"/>
      <c r="D906"/>
      <c r="E906"/>
      <c r="I906"/>
      <c r="J906" s="4"/>
      <c r="K906" s="15">
        <v>1.9300000000000001E-2</v>
      </c>
    </row>
    <row r="907" spans="1:33" ht="47.25" hidden="1">
      <c r="A907" s="261"/>
      <c r="B907" s="266" t="s">
        <v>2404</v>
      </c>
      <c r="C907"/>
      <c r="D907"/>
      <c r="E907"/>
      <c r="I907"/>
      <c r="J907" s="4"/>
      <c r="K907" s="5" t="s">
        <v>1530</v>
      </c>
    </row>
    <row r="908" spans="1:33" hidden="1">
      <c r="A908" s="261"/>
      <c r="B908" s="266" t="s">
        <v>2405</v>
      </c>
      <c r="C908"/>
      <c r="D908"/>
      <c r="E908"/>
      <c r="I908"/>
      <c r="J908" s="4"/>
      <c r="K908"/>
    </row>
    <row r="909" spans="1:33" hidden="1">
      <c r="A909" s="261"/>
      <c r="B909" s="266" t="s">
        <v>2453</v>
      </c>
      <c r="C909"/>
      <c r="D909"/>
      <c r="E909"/>
      <c r="I909"/>
      <c r="J909" s="4"/>
      <c r="K909"/>
    </row>
    <row r="910" spans="1:33" hidden="1">
      <c r="A910" s="261"/>
      <c r="B910" s="266" t="s">
        <v>3381</v>
      </c>
      <c r="C910"/>
      <c r="D910"/>
      <c r="E910"/>
      <c r="F910" s="255">
        <v>1.14E-2</v>
      </c>
      <c r="G910" s="187" t="s">
        <v>836</v>
      </c>
      <c r="H910" s="181" t="s">
        <v>287</v>
      </c>
      <c r="I910" s="8">
        <f>C88</f>
        <v>65420</v>
      </c>
      <c r="J910" s="2" t="s">
        <v>836</v>
      </c>
      <c r="K910" s="8">
        <f>(F910*I910)</f>
        <v>745.79</v>
      </c>
      <c r="AG910" s="181" t="s">
        <v>2175</v>
      </c>
    </row>
    <row r="911" spans="1:33" hidden="1">
      <c r="A911" s="261"/>
      <c r="B911" s="266" t="s">
        <v>2467</v>
      </c>
      <c r="C911"/>
      <c r="D911"/>
      <c r="E911"/>
      <c r="F911" s="255">
        <v>2.4299999999999999E-2</v>
      </c>
      <c r="G911" s="187" t="s">
        <v>836</v>
      </c>
      <c r="H911" s="181" t="s">
        <v>288</v>
      </c>
      <c r="I911" s="8">
        <f>C89</f>
        <v>57165</v>
      </c>
      <c r="J911" s="2" t="s">
        <v>836</v>
      </c>
      <c r="K911" s="8">
        <f>(F911*I911)</f>
        <v>1389.11</v>
      </c>
      <c r="AG911" s="181" t="s">
        <v>2175</v>
      </c>
    </row>
    <row r="912" spans="1:33" hidden="1">
      <c r="A912" s="261"/>
      <c r="B912" s="266" t="s">
        <v>2468</v>
      </c>
      <c r="C912"/>
      <c r="D912"/>
      <c r="E912"/>
      <c r="F912" s="255">
        <v>1.9300000000000001E-2</v>
      </c>
      <c r="G912" s="187" t="s">
        <v>836</v>
      </c>
      <c r="H912" s="181" t="s">
        <v>289</v>
      </c>
      <c r="I912" s="8">
        <f>C90</f>
        <v>63870</v>
      </c>
      <c r="J912" s="2" t="s">
        <v>836</v>
      </c>
      <c r="K912" s="8">
        <f>(F912*I912)</f>
        <v>1232.69</v>
      </c>
      <c r="AG912" s="181" t="s">
        <v>2175</v>
      </c>
    </row>
    <row r="913" spans="1:33" hidden="1">
      <c r="A913" s="261"/>
      <c r="B913" s="266" t="s">
        <v>2469</v>
      </c>
      <c r="C913"/>
      <c r="D913"/>
      <c r="E913"/>
      <c r="F913" s="256"/>
      <c r="H913" s="181" t="s">
        <v>416</v>
      </c>
      <c r="I913" s="1" t="s">
        <v>940</v>
      </c>
      <c r="J913" s="4"/>
      <c r="K913" s="1" t="s">
        <v>940</v>
      </c>
      <c r="AG913" s="181" t="s">
        <v>2175</v>
      </c>
    </row>
    <row r="914" spans="1:33" hidden="1">
      <c r="A914" s="261"/>
      <c r="B914" s="266" t="s">
        <v>2470</v>
      </c>
      <c r="C914"/>
      <c r="D914"/>
      <c r="E914"/>
      <c r="F914" s="256">
        <v>1.823</v>
      </c>
      <c r="G914" s="187" t="s">
        <v>578</v>
      </c>
      <c r="H914" s="181" t="s">
        <v>417</v>
      </c>
      <c r="I914" s="8">
        <f>C31</f>
        <v>342</v>
      </c>
      <c r="J914" s="2" t="s">
        <v>578</v>
      </c>
      <c r="K914" s="8">
        <f t="shared" ref="K914:K920" si="50">(F914*I914)</f>
        <v>623.47</v>
      </c>
      <c r="AG914" s="181" t="s">
        <v>2175</v>
      </c>
    </row>
    <row r="915" spans="1:33" hidden="1">
      <c r="A915" s="261"/>
      <c r="B915" s="266" t="s">
        <v>2471</v>
      </c>
      <c r="C915"/>
      <c r="D915"/>
      <c r="E915"/>
      <c r="F915" s="188">
        <v>1</v>
      </c>
      <c r="G915" s="187" t="s">
        <v>739</v>
      </c>
      <c r="H915" s="181" t="s">
        <v>1406</v>
      </c>
      <c r="I915" s="8">
        <f>C576</f>
        <v>30</v>
      </c>
      <c r="J915" s="2" t="s">
        <v>835</v>
      </c>
      <c r="K915" s="8">
        <f t="shared" si="50"/>
        <v>30</v>
      </c>
      <c r="AG915" s="181" t="s">
        <v>2175</v>
      </c>
    </row>
    <row r="916" spans="1:33" ht="31.5" hidden="1">
      <c r="A916" s="261"/>
      <c r="B916" s="266" t="s">
        <v>2472</v>
      </c>
      <c r="C916"/>
      <c r="D916"/>
      <c r="E916"/>
      <c r="F916" s="188">
        <v>3</v>
      </c>
      <c r="G916" s="187" t="s">
        <v>835</v>
      </c>
      <c r="H916" s="181" t="s">
        <v>1407</v>
      </c>
      <c r="I916" s="8">
        <f>C278</f>
        <v>45</v>
      </c>
      <c r="J916" s="2" t="s">
        <v>835</v>
      </c>
      <c r="K916" s="8">
        <f t="shared" si="50"/>
        <v>135</v>
      </c>
      <c r="AG916" s="181" t="s">
        <v>2175</v>
      </c>
    </row>
    <row r="917" spans="1:33" ht="31.5" hidden="1">
      <c r="A917" s="261"/>
      <c r="B917" s="266" t="s">
        <v>2473</v>
      </c>
      <c r="C917"/>
      <c r="D917"/>
      <c r="E917"/>
      <c r="F917" s="188">
        <v>2</v>
      </c>
      <c r="G917" s="187" t="s">
        <v>835</v>
      </c>
      <c r="H917" s="181" t="s">
        <v>1408</v>
      </c>
      <c r="I917" s="8">
        <f>C283</f>
        <v>30</v>
      </c>
      <c r="J917" s="2" t="s">
        <v>835</v>
      </c>
      <c r="K917" s="8">
        <f t="shared" si="50"/>
        <v>60</v>
      </c>
      <c r="AG917" s="181" t="s">
        <v>2175</v>
      </c>
    </row>
    <row r="918" spans="1:33" ht="31.5" hidden="1">
      <c r="A918" s="261"/>
      <c r="B918" s="266" t="s">
        <v>2474</v>
      </c>
      <c r="C918"/>
      <c r="D918"/>
      <c r="E918"/>
      <c r="F918" s="188">
        <v>1</v>
      </c>
      <c r="G918" s="187" t="s">
        <v>835</v>
      </c>
      <c r="H918" s="181" t="s">
        <v>1409</v>
      </c>
      <c r="I918" s="8">
        <f>C285</f>
        <v>95</v>
      </c>
      <c r="J918" s="2" t="s">
        <v>835</v>
      </c>
      <c r="K918" s="8">
        <f t="shared" si="50"/>
        <v>95</v>
      </c>
      <c r="AG918" s="181" t="s">
        <v>2175</v>
      </c>
    </row>
    <row r="919" spans="1:33" hidden="1">
      <c r="A919" s="261"/>
      <c r="B919" s="266" t="s">
        <v>2475</v>
      </c>
      <c r="C919"/>
      <c r="D919"/>
      <c r="E919"/>
      <c r="F919" s="188">
        <v>1</v>
      </c>
      <c r="G919" s="187" t="s">
        <v>835</v>
      </c>
      <c r="H919" s="181" t="s">
        <v>1410</v>
      </c>
      <c r="I919" s="8">
        <f>C287</f>
        <v>8</v>
      </c>
      <c r="J919" s="2" t="s">
        <v>835</v>
      </c>
      <c r="K919" s="8">
        <f t="shared" si="50"/>
        <v>8</v>
      </c>
      <c r="AG919" s="181" t="s">
        <v>2175</v>
      </c>
    </row>
    <row r="920" spans="1:33" hidden="1">
      <c r="A920" s="261"/>
      <c r="B920" s="266" t="s">
        <v>2504</v>
      </c>
      <c r="C920"/>
      <c r="D920"/>
      <c r="E920"/>
      <c r="F920" s="188">
        <v>1</v>
      </c>
      <c r="G920" s="187" t="s">
        <v>835</v>
      </c>
      <c r="H920" s="181" t="s">
        <v>1913</v>
      </c>
      <c r="I920" s="8">
        <f>D576</f>
        <v>25</v>
      </c>
      <c r="J920" s="2" t="s">
        <v>835</v>
      </c>
      <c r="K920" s="8">
        <f t="shared" si="50"/>
        <v>25</v>
      </c>
      <c r="AG920" s="181" t="s">
        <v>2175</v>
      </c>
    </row>
    <row r="921" spans="1:33" hidden="1">
      <c r="A921" s="261"/>
      <c r="B921" s="266" t="s">
        <v>2505</v>
      </c>
      <c r="C921"/>
      <c r="D921"/>
      <c r="E921"/>
      <c r="I921"/>
      <c r="J921" s="4"/>
      <c r="K921" s="5" t="s">
        <v>1530</v>
      </c>
      <c r="AG921" s="181" t="s">
        <v>2175</v>
      </c>
    </row>
    <row r="922" spans="1:33" ht="31.5" hidden="1">
      <c r="A922" s="261"/>
      <c r="B922" s="266" t="s">
        <v>2506</v>
      </c>
      <c r="C922"/>
      <c r="D922"/>
      <c r="E922"/>
      <c r="H922" s="181" t="s">
        <v>1411</v>
      </c>
      <c r="I922"/>
      <c r="J922" s="4"/>
      <c r="K922" s="8">
        <f>SUM(K910:K920)</f>
        <v>4344.0600000000004</v>
      </c>
      <c r="AG922" s="181" t="s">
        <v>2175</v>
      </c>
    </row>
    <row r="923" spans="1:33" hidden="1">
      <c r="A923" s="261"/>
      <c r="B923" s="266" t="s">
        <v>2923</v>
      </c>
      <c r="C923"/>
      <c r="D923"/>
      <c r="E923"/>
      <c r="I923"/>
      <c r="J923" s="4"/>
      <c r="K923" s="5" t="s">
        <v>1530</v>
      </c>
      <c r="AG923" s="181" t="s">
        <v>2175</v>
      </c>
    </row>
    <row r="924" spans="1:33" hidden="1">
      <c r="A924" s="261"/>
      <c r="B924" s="266" t="s">
        <v>2924</v>
      </c>
      <c r="C924"/>
      <c r="D924"/>
      <c r="E924"/>
      <c r="H924" s="181" t="s">
        <v>521</v>
      </c>
      <c r="I924"/>
      <c r="J924" s="4"/>
      <c r="K924" s="8">
        <f>K922/F914</f>
        <v>2382.92</v>
      </c>
      <c r="AG924" s="181" t="s">
        <v>2175</v>
      </c>
    </row>
    <row r="925" spans="1:33" hidden="1">
      <c r="A925" s="261"/>
      <c r="B925" s="266" t="s">
        <v>2925</v>
      </c>
      <c r="C925"/>
      <c r="D925"/>
      <c r="E925"/>
      <c r="F925" s="181" t="s">
        <v>940</v>
      </c>
      <c r="I925"/>
      <c r="J925" s="4"/>
      <c r="K925"/>
    </row>
    <row r="926" spans="1:33" hidden="1">
      <c r="A926" s="261"/>
      <c r="B926" s="266" t="s">
        <v>2926</v>
      </c>
      <c r="C926"/>
      <c r="D926"/>
      <c r="E926"/>
      <c r="I926"/>
      <c r="J926" s="4"/>
      <c r="K926" s="5" t="s">
        <v>1980</v>
      </c>
      <c r="AG926" s="181" t="s">
        <v>2175</v>
      </c>
    </row>
    <row r="927" spans="1:33" hidden="1">
      <c r="A927" s="261"/>
      <c r="B927" s="266" t="s">
        <v>2927</v>
      </c>
      <c r="C927"/>
      <c r="D927"/>
      <c r="E927"/>
      <c r="I927"/>
      <c r="J927" s="4"/>
      <c r="K927"/>
    </row>
    <row r="928" spans="1:33" hidden="1">
      <c r="A928" s="261"/>
      <c r="B928" s="266" t="s">
        <v>2928</v>
      </c>
      <c r="C928"/>
      <c r="D928"/>
      <c r="E928"/>
      <c r="I928"/>
      <c r="J928" s="4"/>
      <c r="K928"/>
    </row>
    <row r="929" spans="1:33" hidden="1">
      <c r="A929" s="261"/>
      <c r="B929" s="266" t="s">
        <v>2929</v>
      </c>
      <c r="C929"/>
      <c r="D929"/>
      <c r="E929"/>
      <c r="F929" s="236" t="s">
        <v>1286</v>
      </c>
      <c r="G929" s="187" t="s">
        <v>2167</v>
      </c>
      <c r="H929" s="181" t="s">
        <v>240</v>
      </c>
      <c r="I929"/>
      <c r="J929" s="4"/>
      <c r="K929"/>
      <c r="AG929" s="181" t="s">
        <v>2175</v>
      </c>
    </row>
    <row r="930" spans="1:33" ht="16.5" hidden="1" customHeight="1">
      <c r="A930" s="261"/>
      <c r="B930" s="266" t="s">
        <v>2930</v>
      </c>
      <c r="C930"/>
      <c r="D930"/>
      <c r="E930"/>
      <c r="H930" s="181" t="s">
        <v>241</v>
      </c>
      <c r="I930"/>
      <c r="J930" s="4"/>
      <c r="K930"/>
      <c r="AG930" s="181" t="s">
        <v>2175</v>
      </c>
    </row>
    <row r="931" spans="1:33" ht="15.75" hidden="1" customHeight="1">
      <c r="A931" s="261"/>
      <c r="B931" s="266" t="s">
        <v>2931</v>
      </c>
      <c r="C931"/>
      <c r="D931"/>
      <c r="E931"/>
      <c r="H931" s="181" t="s">
        <v>1414</v>
      </c>
      <c r="I931"/>
      <c r="J931" s="4"/>
      <c r="K931"/>
      <c r="AG931" s="181" t="s">
        <v>2175</v>
      </c>
    </row>
    <row r="932" spans="1:33" hidden="1">
      <c r="A932" s="261"/>
      <c r="B932" s="266" t="s">
        <v>2932</v>
      </c>
      <c r="C932"/>
      <c r="D932"/>
      <c r="E932"/>
      <c r="H932" s="185" t="s">
        <v>1530</v>
      </c>
      <c r="I932"/>
      <c r="J932" s="4"/>
      <c r="K932"/>
      <c r="AG932" s="181" t="s">
        <v>2175</v>
      </c>
    </row>
    <row r="933" spans="1:33" hidden="1">
      <c r="A933" s="261"/>
      <c r="B933" s="266" t="s">
        <v>2933</v>
      </c>
      <c r="C933"/>
      <c r="D933"/>
      <c r="E933"/>
      <c r="I933"/>
      <c r="J933" s="4"/>
      <c r="K933"/>
    </row>
    <row r="934" spans="1:33" ht="20.25" hidden="1" customHeight="1">
      <c r="A934" s="261"/>
      <c r="B934" s="266" t="s">
        <v>2934</v>
      </c>
      <c r="C934"/>
      <c r="D934"/>
      <c r="E934"/>
      <c r="H934" s="181" t="s">
        <v>612</v>
      </c>
      <c r="I934"/>
      <c r="J934" s="4"/>
      <c r="K934"/>
    </row>
    <row r="935" spans="1:33" hidden="1">
      <c r="A935" s="261"/>
      <c r="B935" s="266" t="s">
        <v>2540</v>
      </c>
      <c r="C935"/>
      <c r="D935"/>
      <c r="E935"/>
      <c r="H935" s="181" t="s">
        <v>613</v>
      </c>
      <c r="I935"/>
      <c r="J935" s="4"/>
      <c r="K935"/>
    </row>
    <row r="936" spans="1:33" hidden="1">
      <c r="A936" s="261"/>
      <c r="B936" s="266" t="s">
        <v>2541</v>
      </c>
      <c r="C936"/>
      <c r="D936"/>
      <c r="E936"/>
      <c r="I936"/>
      <c r="J936" s="2" t="s">
        <v>1530</v>
      </c>
      <c r="K936"/>
    </row>
    <row r="937" spans="1:33" hidden="1">
      <c r="A937" s="261"/>
      <c r="B937" s="266" t="s">
        <v>2542</v>
      </c>
      <c r="C937"/>
      <c r="D937"/>
      <c r="E937"/>
      <c r="H937" s="181" t="s">
        <v>614</v>
      </c>
      <c r="I937"/>
      <c r="J937" s="4"/>
      <c r="K937"/>
    </row>
    <row r="938" spans="1:33" hidden="1">
      <c r="A938" s="261"/>
      <c r="B938" s="266" t="s">
        <v>2543</v>
      </c>
      <c r="C938"/>
      <c r="D938"/>
      <c r="E938"/>
      <c r="H938" s="181" t="s">
        <v>615</v>
      </c>
      <c r="I938"/>
      <c r="J938" s="4"/>
      <c r="K938" s="15">
        <v>2.1999999999999999E-2</v>
      </c>
    </row>
    <row r="939" spans="1:33" hidden="1">
      <c r="A939" s="261"/>
      <c r="B939" s="266" t="s">
        <v>2544</v>
      </c>
      <c r="C939"/>
      <c r="D939"/>
      <c r="E939"/>
      <c r="I939"/>
      <c r="J939" s="2" t="s">
        <v>940</v>
      </c>
      <c r="K939" s="5" t="s">
        <v>1530</v>
      </c>
    </row>
    <row r="940" spans="1:33" ht="31.5" hidden="1">
      <c r="A940" s="261"/>
      <c r="B940" s="266" t="s">
        <v>2604</v>
      </c>
      <c r="C940"/>
      <c r="D940"/>
      <c r="E940"/>
      <c r="H940" s="181" t="s">
        <v>826</v>
      </c>
      <c r="I940"/>
      <c r="J940" s="271" t="s">
        <v>940</v>
      </c>
      <c r="K940" s="15">
        <v>1.3100000000000001E-2</v>
      </c>
    </row>
    <row r="941" spans="1:33" ht="31.5" hidden="1">
      <c r="A941" s="261"/>
      <c r="B941" s="266" t="s">
        <v>3074</v>
      </c>
      <c r="C941"/>
      <c r="D941"/>
      <c r="E941"/>
      <c r="H941" s="181" t="s">
        <v>2071</v>
      </c>
      <c r="I941"/>
      <c r="J941" s="2" t="s">
        <v>940</v>
      </c>
      <c r="K941" s="15">
        <v>3.3999999999999998E-3</v>
      </c>
    </row>
    <row r="942" spans="1:33" ht="31.5" hidden="1">
      <c r="A942" s="261"/>
      <c r="B942" s="266" t="s">
        <v>2903</v>
      </c>
      <c r="C942"/>
      <c r="D942"/>
      <c r="E942"/>
      <c r="I942"/>
      <c r="J942" s="4"/>
      <c r="K942" s="5" t="s">
        <v>1530</v>
      </c>
    </row>
    <row r="943" spans="1:33" ht="31.5" hidden="1">
      <c r="A943" s="261"/>
      <c r="B943" s="266" t="s">
        <v>2904</v>
      </c>
      <c r="C943"/>
      <c r="D943"/>
      <c r="E943"/>
      <c r="I943"/>
      <c r="J943" s="4"/>
      <c r="K943" s="15">
        <v>1.6500000000000001E-2</v>
      </c>
    </row>
    <row r="944" spans="1:33" hidden="1">
      <c r="A944" s="261"/>
      <c r="B944" s="266" t="s">
        <v>2905</v>
      </c>
      <c r="C944"/>
      <c r="D944"/>
      <c r="E944"/>
      <c r="I944"/>
      <c r="J944" s="4"/>
      <c r="K944" s="5" t="s">
        <v>1530</v>
      </c>
    </row>
    <row r="945" spans="1:33" hidden="1">
      <c r="A945" s="261"/>
      <c r="B945" s="266" t="s">
        <v>2906</v>
      </c>
      <c r="C945"/>
      <c r="D945"/>
      <c r="E945"/>
      <c r="F945" s="255">
        <v>1.15E-2</v>
      </c>
      <c r="G945" s="187" t="s">
        <v>836</v>
      </c>
      <c r="H945" s="181" t="s">
        <v>287</v>
      </c>
      <c r="I945" s="8">
        <f>C88</f>
        <v>65420</v>
      </c>
      <c r="J945" s="2" t="s">
        <v>836</v>
      </c>
      <c r="K945" s="8">
        <f>(F945*I945)</f>
        <v>752.33</v>
      </c>
      <c r="AG945" s="181" t="s">
        <v>2175</v>
      </c>
    </row>
    <row r="946" spans="1:33" hidden="1">
      <c r="A946" s="261"/>
      <c r="B946" s="266" t="s">
        <v>2907</v>
      </c>
      <c r="C946"/>
      <c r="D946"/>
      <c r="E946"/>
      <c r="F946" s="255">
        <v>2.1999999999999999E-2</v>
      </c>
      <c r="G946" s="187" t="s">
        <v>836</v>
      </c>
      <c r="H946" s="181" t="s">
        <v>288</v>
      </c>
      <c r="I946" s="8">
        <f>C89</f>
        <v>57165</v>
      </c>
      <c r="J946" s="2" t="s">
        <v>836</v>
      </c>
      <c r="K946" s="8">
        <f>(F946*I946)</f>
        <v>1257.6300000000001</v>
      </c>
      <c r="AG946" s="181" t="s">
        <v>2175</v>
      </c>
    </row>
    <row r="947" spans="1:33" hidden="1">
      <c r="A947" s="261"/>
      <c r="B947" s="266" t="s">
        <v>2908</v>
      </c>
      <c r="C947"/>
      <c r="D947"/>
      <c r="E947"/>
      <c r="F947" s="255">
        <v>1.6500000000000001E-2</v>
      </c>
      <c r="G947" s="187" t="s">
        <v>836</v>
      </c>
      <c r="H947" s="181" t="s">
        <v>289</v>
      </c>
      <c r="I947" s="8">
        <f>C90</f>
        <v>63870</v>
      </c>
      <c r="J947" s="2" t="s">
        <v>836</v>
      </c>
      <c r="K947" s="8">
        <f>(F947*I947)</f>
        <v>1053.8599999999999</v>
      </c>
      <c r="AG947" s="181" t="s">
        <v>2175</v>
      </c>
    </row>
    <row r="948" spans="1:33" ht="31.5" hidden="1">
      <c r="A948" s="261"/>
      <c r="B948" s="266" t="s">
        <v>2337</v>
      </c>
      <c r="C948"/>
      <c r="D948"/>
      <c r="E948"/>
      <c r="F948" s="255"/>
      <c r="H948" s="181" t="s">
        <v>416</v>
      </c>
      <c r="I948" s="1" t="s">
        <v>940</v>
      </c>
      <c r="J948" s="4"/>
      <c r="K948" s="1" t="s">
        <v>940</v>
      </c>
      <c r="AG948" s="181" t="s">
        <v>2175</v>
      </c>
    </row>
    <row r="949" spans="1:33" ht="31.5" hidden="1">
      <c r="A949" s="261"/>
      <c r="B949" s="266" t="s">
        <v>2338</v>
      </c>
      <c r="C949"/>
      <c r="D949"/>
      <c r="E949"/>
      <c r="F949" s="255">
        <v>1.64</v>
      </c>
      <c r="G949" s="187" t="s">
        <v>578</v>
      </c>
      <c r="H949" s="181" t="s">
        <v>417</v>
      </c>
      <c r="I949" s="8">
        <f>C31</f>
        <v>342</v>
      </c>
      <c r="J949" s="2" t="s">
        <v>578</v>
      </c>
      <c r="K949" s="8">
        <f t="shared" ref="K949:K955" si="51">(F949*I949)</f>
        <v>560.88</v>
      </c>
      <c r="AG949" s="181" t="s">
        <v>2175</v>
      </c>
    </row>
    <row r="950" spans="1:33" ht="31.5" hidden="1">
      <c r="A950" s="261"/>
      <c r="B950" s="266" t="s">
        <v>3075</v>
      </c>
      <c r="C950"/>
      <c r="D950"/>
      <c r="E950"/>
      <c r="F950" s="188">
        <v>1</v>
      </c>
      <c r="G950" s="187" t="s">
        <v>739</v>
      </c>
      <c r="H950" s="181" t="s">
        <v>1406</v>
      </c>
      <c r="I950" s="8">
        <f>C576</f>
        <v>30</v>
      </c>
      <c r="J950" s="2" t="s">
        <v>835</v>
      </c>
      <c r="K950" s="8">
        <f t="shared" si="51"/>
        <v>30</v>
      </c>
      <c r="AG950" s="181" t="s">
        <v>2175</v>
      </c>
    </row>
    <row r="951" spans="1:33" ht="31.5" hidden="1">
      <c r="A951" s="261"/>
      <c r="B951" s="266" t="s">
        <v>3076</v>
      </c>
      <c r="C951"/>
      <c r="D951"/>
      <c r="E951"/>
      <c r="F951" s="188">
        <v>3</v>
      </c>
      <c r="G951" s="187" t="s">
        <v>835</v>
      </c>
      <c r="H951" s="181" t="s">
        <v>1407</v>
      </c>
      <c r="I951" s="8">
        <f>C278</f>
        <v>45</v>
      </c>
      <c r="J951" s="2" t="s">
        <v>835</v>
      </c>
      <c r="K951" s="8">
        <f t="shared" si="51"/>
        <v>135</v>
      </c>
      <c r="AG951" s="181" t="s">
        <v>2175</v>
      </c>
    </row>
    <row r="952" spans="1:33" ht="31.5" hidden="1">
      <c r="A952" s="261"/>
      <c r="B952" s="266" t="s">
        <v>3086</v>
      </c>
      <c r="C952"/>
      <c r="D952"/>
      <c r="E952"/>
      <c r="F952" s="188">
        <v>2</v>
      </c>
      <c r="G952" s="187" t="s">
        <v>835</v>
      </c>
      <c r="H952" s="181" t="s">
        <v>1408</v>
      </c>
      <c r="I952" s="8">
        <f>C283</f>
        <v>30</v>
      </c>
      <c r="J952" s="2" t="s">
        <v>835</v>
      </c>
      <c r="K952" s="8">
        <f t="shared" si="51"/>
        <v>60</v>
      </c>
      <c r="AG952" s="181" t="s">
        <v>300</v>
      </c>
    </row>
    <row r="953" spans="1:33" ht="31.5" hidden="1">
      <c r="A953" s="261"/>
      <c r="B953" s="266" t="s">
        <v>3087</v>
      </c>
      <c r="C953"/>
      <c r="D953"/>
      <c r="E953"/>
      <c r="F953" s="188">
        <v>1</v>
      </c>
      <c r="G953" s="187" t="s">
        <v>835</v>
      </c>
      <c r="H953" s="181" t="s">
        <v>1409</v>
      </c>
      <c r="I953" s="8">
        <f>C285</f>
        <v>95</v>
      </c>
      <c r="J953" s="2" t="s">
        <v>835</v>
      </c>
      <c r="K953" s="8">
        <f t="shared" si="51"/>
        <v>95</v>
      </c>
    </row>
    <row r="954" spans="1:33" ht="31.5" hidden="1">
      <c r="A954" s="261"/>
      <c r="B954" s="266" t="s">
        <v>3088</v>
      </c>
      <c r="C954"/>
      <c r="D954"/>
      <c r="E954"/>
      <c r="F954" s="188">
        <v>1</v>
      </c>
      <c r="G954" s="187" t="s">
        <v>835</v>
      </c>
      <c r="H954" s="181" t="s">
        <v>1410</v>
      </c>
      <c r="I954" s="8">
        <f>C287</f>
        <v>8</v>
      </c>
      <c r="J954" s="2" t="s">
        <v>835</v>
      </c>
      <c r="K954" s="8">
        <f t="shared" si="51"/>
        <v>8</v>
      </c>
    </row>
    <row r="955" spans="1:33" ht="31.5" hidden="1">
      <c r="A955" s="261"/>
      <c r="B955" s="266" t="s">
        <v>3089</v>
      </c>
      <c r="C955"/>
      <c r="D955"/>
      <c r="E955"/>
      <c r="F955" s="188">
        <v>1</v>
      </c>
      <c r="G955" s="187" t="s">
        <v>835</v>
      </c>
      <c r="H955" s="181" t="s">
        <v>1913</v>
      </c>
      <c r="I955" s="8">
        <f>D576</f>
        <v>25</v>
      </c>
      <c r="J955" s="2" t="s">
        <v>835</v>
      </c>
      <c r="K955" s="8">
        <f t="shared" si="51"/>
        <v>25</v>
      </c>
      <c r="AG955" s="181" t="s">
        <v>2175</v>
      </c>
    </row>
    <row r="956" spans="1:33" ht="31.5" hidden="1">
      <c r="A956" s="261"/>
      <c r="B956" s="266" t="s">
        <v>3090</v>
      </c>
      <c r="C956"/>
      <c r="D956"/>
      <c r="E956"/>
      <c r="I956"/>
      <c r="J956" s="4"/>
      <c r="K956" s="5" t="s">
        <v>1530</v>
      </c>
      <c r="AG956" s="181" t="s">
        <v>2175</v>
      </c>
    </row>
    <row r="957" spans="1:33" ht="31.5" hidden="1">
      <c r="A957" s="261"/>
      <c r="B957" s="266" t="s">
        <v>3091</v>
      </c>
      <c r="C957"/>
      <c r="D957"/>
      <c r="E957"/>
      <c r="H957" s="181" t="s">
        <v>2072</v>
      </c>
      <c r="I957"/>
      <c r="J957" s="4"/>
      <c r="K957" s="8">
        <f>SUM(K945:K955)</f>
        <v>3977.7</v>
      </c>
      <c r="AG957" s="181" t="s">
        <v>2175</v>
      </c>
    </row>
    <row r="958" spans="1:33" ht="31.5" hidden="1">
      <c r="A958" s="261"/>
      <c r="B958" s="266" t="s">
        <v>3092</v>
      </c>
      <c r="C958"/>
      <c r="D958"/>
      <c r="E958"/>
      <c r="I958"/>
      <c r="J958" s="4"/>
      <c r="K958" s="5" t="s">
        <v>1530</v>
      </c>
      <c r="AG958" s="181" t="s">
        <v>2175</v>
      </c>
    </row>
    <row r="959" spans="1:33" ht="31.5" hidden="1">
      <c r="A959" s="261"/>
      <c r="B959" s="266" t="s">
        <v>3142</v>
      </c>
      <c r="C959"/>
      <c r="D959"/>
      <c r="E959"/>
      <c r="H959" s="181" t="s">
        <v>521</v>
      </c>
      <c r="I959"/>
      <c r="J959" s="4"/>
      <c r="K959" s="8">
        <f>K957/F949</f>
        <v>2425.4299999999998</v>
      </c>
      <c r="AG959" s="181" t="s">
        <v>2175</v>
      </c>
    </row>
    <row r="960" spans="1:33" ht="31.5" hidden="1">
      <c r="A960" s="261"/>
      <c r="B960" s="266" t="s">
        <v>3143</v>
      </c>
      <c r="C960"/>
      <c r="D960"/>
      <c r="E960"/>
      <c r="I960"/>
      <c r="J960" s="4"/>
      <c r="K960" s="5" t="s">
        <v>1980</v>
      </c>
      <c r="AG960" s="181" t="s">
        <v>2175</v>
      </c>
    </row>
    <row r="961" spans="1:11" ht="31.5" hidden="1">
      <c r="A961" s="261"/>
      <c r="B961" s="266" t="s">
        <v>3144</v>
      </c>
      <c r="C961"/>
      <c r="D961"/>
      <c r="E961"/>
      <c r="F961" s="236" t="s">
        <v>1285</v>
      </c>
      <c r="G961" s="187" t="s">
        <v>2167</v>
      </c>
      <c r="H961" s="181" t="s">
        <v>240</v>
      </c>
      <c r="I961"/>
      <c r="J961" s="4"/>
      <c r="K961"/>
    </row>
    <row r="962" spans="1:11" ht="31.5" hidden="1">
      <c r="A962" s="261"/>
      <c r="B962" s="266" t="s">
        <v>2898</v>
      </c>
      <c r="C962"/>
      <c r="D962"/>
      <c r="E962"/>
      <c r="H962" s="181" t="s">
        <v>241</v>
      </c>
      <c r="I962"/>
      <c r="J962" s="4"/>
      <c r="K962"/>
    </row>
    <row r="963" spans="1:11" hidden="1">
      <c r="A963" s="261"/>
      <c r="B963" s="266" t="s">
        <v>2899</v>
      </c>
      <c r="C963"/>
      <c r="D963"/>
      <c r="E963"/>
      <c r="H963" s="181" t="s">
        <v>1415</v>
      </c>
      <c r="I963"/>
      <c r="J963" s="4"/>
      <c r="K963"/>
    </row>
    <row r="964" spans="1:11" hidden="1">
      <c r="A964" s="261"/>
      <c r="B964" s="266" t="s">
        <v>2900</v>
      </c>
      <c r="C964"/>
      <c r="D964"/>
      <c r="E964"/>
      <c r="H964" s="185" t="s">
        <v>1530</v>
      </c>
      <c r="I964"/>
      <c r="J964" s="4"/>
      <c r="K964"/>
    </row>
    <row r="965" spans="1:11" hidden="1">
      <c r="A965" s="261"/>
      <c r="B965" s="266" t="s">
        <v>2901</v>
      </c>
      <c r="C965"/>
      <c r="D965"/>
      <c r="E965"/>
      <c r="H965" s="181" t="s">
        <v>2073</v>
      </c>
      <c r="I965"/>
      <c r="J965" s="4"/>
      <c r="K965"/>
    </row>
    <row r="966" spans="1:11" hidden="1">
      <c r="A966" s="261"/>
      <c r="B966" s="266" t="s">
        <v>2902</v>
      </c>
      <c r="C966"/>
      <c r="D966"/>
      <c r="E966"/>
      <c r="H966" s="181" t="s">
        <v>88</v>
      </c>
      <c r="I966"/>
      <c r="J966" s="4"/>
      <c r="K966"/>
    </row>
    <row r="967" spans="1:11" hidden="1">
      <c r="A967" s="261"/>
      <c r="B967" s="266" t="s">
        <v>3117</v>
      </c>
      <c r="C967"/>
      <c r="D967"/>
      <c r="E967"/>
      <c r="I967"/>
      <c r="J967" s="2" t="s">
        <v>1530</v>
      </c>
      <c r="K967"/>
    </row>
    <row r="968" spans="1:11" hidden="1">
      <c r="A968" s="261"/>
      <c r="B968" s="266" t="s">
        <v>3118</v>
      </c>
      <c r="C968"/>
      <c r="D968"/>
      <c r="E968"/>
      <c r="H968" s="181" t="s">
        <v>2074</v>
      </c>
      <c r="I968"/>
      <c r="J968" s="4"/>
      <c r="K968"/>
    </row>
    <row r="969" spans="1:11" hidden="1">
      <c r="A969" s="261"/>
      <c r="B969" s="266" t="s">
        <v>3119</v>
      </c>
      <c r="C969"/>
      <c r="D969"/>
      <c r="E969"/>
      <c r="H969" s="181" t="s">
        <v>429</v>
      </c>
      <c r="I969"/>
      <c r="J969" s="4"/>
      <c r="K969" s="15">
        <v>1.1900000000000001E-2</v>
      </c>
    </row>
    <row r="970" spans="1:11" ht="31.5" hidden="1">
      <c r="A970" s="261"/>
      <c r="B970" s="266" t="s">
        <v>3120</v>
      </c>
      <c r="C970"/>
      <c r="D970"/>
      <c r="E970"/>
      <c r="I970"/>
      <c r="J970" s="2" t="s">
        <v>940</v>
      </c>
      <c r="K970" s="5" t="s">
        <v>1530</v>
      </c>
    </row>
    <row r="971" spans="1:11" ht="31.5" hidden="1">
      <c r="A971" s="261"/>
      <c r="B971" s="266" t="s">
        <v>2684</v>
      </c>
      <c r="C971"/>
      <c r="D971"/>
      <c r="E971"/>
      <c r="H971" s="181" t="s">
        <v>430</v>
      </c>
      <c r="I971"/>
      <c r="J971" s="271" t="s">
        <v>940</v>
      </c>
      <c r="K971" s="15">
        <v>1.18E-2</v>
      </c>
    </row>
    <row r="972" spans="1:11" ht="31.5" hidden="1">
      <c r="A972" s="261"/>
      <c r="B972" s="266" t="s">
        <v>2685</v>
      </c>
      <c r="C972"/>
      <c r="D972"/>
      <c r="E972"/>
      <c r="H972" s="181" t="s">
        <v>234</v>
      </c>
      <c r="I972"/>
      <c r="J972" s="2" t="s">
        <v>940</v>
      </c>
      <c r="K972" s="17" t="s">
        <v>1530</v>
      </c>
    </row>
    <row r="973" spans="1:11" hidden="1">
      <c r="A973" s="261"/>
      <c r="B973" s="266" t="s">
        <v>3047</v>
      </c>
      <c r="C973"/>
      <c r="D973"/>
      <c r="E973"/>
      <c r="I973"/>
      <c r="J973" s="4"/>
      <c r="K973"/>
    </row>
    <row r="974" spans="1:11" hidden="1">
      <c r="A974" s="261"/>
      <c r="B974" s="266" t="s">
        <v>3048</v>
      </c>
      <c r="C974"/>
      <c r="D974"/>
      <c r="E974"/>
      <c r="F974" s="255">
        <v>1.14E-2</v>
      </c>
      <c r="G974" s="187" t="s">
        <v>836</v>
      </c>
      <c r="H974" s="181" t="s">
        <v>287</v>
      </c>
      <c r="I974" s="8">
        <f>C88</f>
        <v>65420</v>
      </c>
      <c r="J974" s="2" t="s">
        <v>836</v>
      </c>
      <c r="K974" s="8">
        <f>(F974*I974)</f>
        <v>745.79</v>
      </c>
    </row>
    <row r="975" spans="1:11" hidden="1">
      <c r="A975" s="261"/>
      <c r="B975" s="266" t="s">
        <v>3049</v>
      </c>
      <c r="C975"/>
      <c r="D975"/>
      <c r="E975"/>
      <c r="F975" s="255">
        <v>1.1900000000000001E-2</v>
      </c>
      <c r="G975" s="187" t="s">
        <v>836</v>
      </c>
      <c r="H975" s="181" t="s">
        <v>288</v>
      </c>
      <c r="I975" s="8">
        <f>C89</f>
        <v>57165</v>
      </c>
      <c r="J975" s="2" t="s">
        <v>836</v>
      </c>
      <c r="K975" s="8">
        <f>(F975*I975)</f>
        <v>680.26</v>
      </c>
    </row>
    <row r="976" spans="1:11" hidden="1">
      <c r="A976" s="261"/>
      <c r="B976" s="266" t="s">
        <v>3306</v>
      </c>
      <c r="C976"/>
      <c r="D976"/>
      <c r="E976"/>
      <c r="F976" s="255">
        <v>1.18E-2</v>
      </c>
      <c r="G976" s="187" t="s">
        <v>836</v>
      </c>
      <c r="H976" s="181" t="s">
        <v>289</v>
      </c>
      <c r="I976" s="8">
        <f>C90</f>
        <v>63870</v>
      </c>
      <c r="J976" s="2" t="s">
        <v>836</v>
      </c>
      <c r="K976" s="8">
        <f>(F976*I976)</f>
        <v>753.67</v>
      </c>
    </row>
    <row r="977" spans="1:33" hidden="1">
      <c r="A977" s="261"/>
      <c r="B977" s="266" t="s">
        <v>3307</v>
      </c>
      <c r="C977"/>
      <c r="D977"/>
      <c r="E977"/>
      <c r="F977" s="255"/>
      <c r="H977" s="181" t="s">
        <v>416</v>
      </c>
      <c r="I977" s="1" t="s">
        <v>940</v>
      </c>
      <c r="J977" s="4"/>
      <c r="K977" s="1" t="s">
        <v>940</v>
      </c>
    </row>
    <row r="978" spans="1:33" hidden="1">
      <c r="A978" s="261"/>
      <c r="B978" s="266" t="s">
        <v>2269</v>
      </c>
      <c r="C978"/>
      <c r="D978"/>
      <c r="E978"/>
      <c r="F978" s="255">
        <v>1.2150000000000001</v>
      </c>
      <c r="G978" s="187" t="s">
        <v>578</v>
      </c>
      <c r="H978" s="181" t="s">
        <v>417</v>
      </c>
      <c r="I978" s="8">
        <f>C31</f>
        <v>342</v>
      </c>
      <c r="J978" s="2" t="s">
        <v>578</v>
      </c>
      <c r="K978" s="8">
        <f t="shared" ref="K978:K984" si="52">(F978*I978)</f>
        <v>415.53</v>
      </c>
    </row>
    <row r="979" spans="1:33" hidden="1">
      <c r="A979" s="261"/>
      <c r="B979" s="266" t="s">
        <v>2270</v>
      </c>
      <c r="C979"/>
      <c r="D979"/>
      <c r="E979"/>
      <c r="F979" s="188">
        <v>1</v>
      </c>
      <c r="G979" s="187" t="s">
        <v>739</v>
      </c>
      <c r="H979" s="181" t="s">
        <v>1406</v>
      </c>
      <c r="I979" s="8">
        <f>C576</f>
        <v>30</v>
      </c>
      <c r="J979" s="2" t="s">
        <v>835</v>
      </c>
      <c r="K979" s="8">
        <f t="shared" si="52"/>
        <v>30</v>
      </c>
    </row>
    <row r="980" spans="1:33" hidden="1">
      <c r="A980" s="261"/>
      <c r="B980" s="266" t="s">
        <v>2271</v>
      </c>
      <c r="C980"/>
      <c r="D980"/>
      <c r="E980"/>
      <c r="F980" s="188">
        <v>3</v>
      </c>
      <c r="G980" s="187" t="s">
        <v>835</v>
      </c>
      <c r="H980" s="181" t="s">
        <v>1407</v>
      </c>
      <c r="I980" s="8">
        <f>C278</f>
        <v>45</v>
      </c>
      <c r="J980" s="2" t="s">
        <v>835</v>
      </c>
      <c r="K980" s="8">
        <f t="shared" si="52"/>
        <v>135</v>
      </c>
    </row>
    <row r="981" spans="1:33" hidden="1">
      <c r="A981" s="261"/>
      <c r="B981" s="266" t="s">
        <v>2272</v>
      </c>
      <c r="C981"/>
      <c r="D981"/>
      <c r="E981"/>
      <c r="F981" s="188">
        <v>2</v>
      </c>
      <c r="G981" s="187" t="s">
        <v>835</v>
      </c>
      <c r="H981" s="181" t="s">
        <v>1408</v>
      </c>
      <c r="I981" s="8">
        <f>C283</f>
        <v>30</v>
      </c>
      <c r="J981" s="2" t="s">
        <v>835</v>
      </c>
      <c r="K981" s="8">
        <f t="shared" si="52"/>
        <v>60</v>
      </c>
    </row>
    <row r="982" spans="1:33" hidden="1">
      <c r="A982" s="261"/>
      <c r="B982" s="266" t="s">
        <v>2835</v>
      </c>
      <c r="C982"/>
      <c r="D982"/>
      <c r="E982"/>
      <c r="F982" s="188">
        <v>1</v>
      </c>
      <c r="G982" s="187" t="s">
        <v>835</v>
      </c>
      <c r="H982" s="181" t="s">
        <v>1409</v>
      </c>
      <c r="I982" s="8">
        <f>C285</f>
        <v>95</v>
      </c>
      <c r="J982" s="2" t="s">
        <v>835</v>
      </c>
      <c r="K982" s="8">
        <f t="shared" si="52"/>
        <v>95</v>
      </c>
    </row>
    <row r="983" spans="1:33" ht="31.5" hidden="1">
      <c r="A983" s="261"/>
      <c r="B983" s="266" t="s">
        <v>2836</v>
      </c>
      <c r="C983"/>
      <c r="D983"/>
      <c r="E983"/>
      <c r="F983" s="188">
        <v>1</v>
      </c>
      <c r="G983" s="187" t="s">
        <v>835</v>
      </c>
      <c r="H983" s="181" t="s">
        <v>1410</v>
      </c>
      <c r="I983" s="8">
        <f>C287</f>
        <v>8</v>
      </c>
      <c r="J983" s="2" t="s">
        <v>835</v>
      </c>
      <c r="K983" s="8">
        <f t="shared" si="52"/>
        <v>8</v>
      </c>
    </row>
    <row r="984" spans="1:33" hidden="1">
      <c r="A984" s="261"/>
      <c r="B984" s="266" t="s">
        <v>2846</v>
      </c>
      <c r="C984"/>
      <c r="D984"/>
      <c r="E984"/>
      <c r="F984" s="188">
        <v>1</v>
      </c>
      <c r="G984" s="187" t="s">
        <v>835</v>
      </c>
      <c r="H984" s="181" t="s">
        <v>1913</v>
      </c>
      <c r="I984" s="8">
        <f>D576</f>
        <v>25</v>
      </c>
      <c r="J984" s="2" t="s">
        <v>835</v>
      </c>
      <c r="K984" s="8">
        <f t="shared" si="52"/>
        <v>25</v>
      </c>
    </row>
    <row r="985" spans="1:33" hidden="1">
      <c r="A985" s="261"/>
      <c r="B985" s="266" t="s">
        <v>2847</v>
      </c>
      <c r="C985"/>
      <c r="D985"/>
      <c r="E985"/>
      <c r="I985"/>
      <c r="J985" s="4"/>
      <c r="K985" s="5" t="s">
        <v>1530</v>
      </c>
    </row>
    <row r="986" spans="1:33" hidden="1">
      <c r="A986" s="261"/>
      <c r="B986" s="266" t="s">
        <v>3383</v>
      </c>
      <c r="C986"/>
      <c r="D986"/>
      <c r="E986"/>
      <c r="H986" s="181" t="s">
        <v>431</v>
      </c>
      <c r="I986"/>
      <c r="J986" s="4"/>
      <c r="K986" s="8">
        <f>SUM(K974:K984)</f>
        <v>2948.25</v>
      </c>
    </row>
    <row r="987" spans="1:33" hidden="1">
      <c r="A987" s="261"/>
      <c r="B987" s="266" t="s">
        <v>3384</v>
      </c>
      <c r="C987"/>
      <c r="D987"/>
      <c r="E987"/>
      <c r="I987"/>
      <c r="J987" s="4"/>
      <c r="K987" s="5" t="s">
        <v>1530</v>
      </c>
    </row>
    <row r="988" spans="1:33" hidden="1">
      <c r="A988" s="261"/>
      <c r="B988" s="266" t="s">
        <v>3385</v>
      </c>
      <c r="C988"/>
      <c r="D988"/>
      <c r="E988"/>
      <c r="H988" s="181" t="s">
        <v>521</v>
      </c>
      <c r="I988"/>
      <c r="J988" s="4"/>
      <c r="K988" s="8">
        <f>K986/F978</f>
        <v>2426.54</v>
      </c>
    </row>
    <row r="989" spans="1:33" ht="31.5" hidden="1">
      <c r="A989" s="261"/>
      <c r="B989" s="266" t="s">
        <v>3145</v>
      </c>
      <c r="C989"/>
      <c r="D989"/>
      <c r="E989"/>
      <c r="I989"/>
      <c r="J989" s="4"/>
      <c r="K989" s="5" t="s">
        <v>1980</v>
      </c>
    </row>
    <row r="990" spans="1:33" hidden="1">
      <c r="A990" s="261"/>
      <c r="B990" s="266" t="s">
        <v>3146</v>
      </c>
      <c r="C990"/>
      <c r="D990"/>
      <c r="E990"/>
      <c r="I990"/>
      <c r="J990" s="4"/>
      <c r="K990"/>
    </row>
    <row r="991" spans="1:33" hidden="1">
      <c r="A991" s="261"/>
      <c r="B991" s="266" t="s">
        <v>3147</v>
      </c>
      <c r="C991"/>
      <c r="D991"/>
      <c r="E991"/>
      <c r="F991" s="236" t="s">
        <v>432</v>
      </c>
      <c r="G991" s="187" t="s">
        <v>2167</v>
      </c>
      <c r="H991" s="181" t="s">
        <v>2095</v>
      </c>
      <c r="I991"/>
      <c r="J991" s="4"/>
      <c r="K991"/>
      <c r="AG991" s="181" t="s">
        <v>2175</v>
      </c>
    </row>
    <row r="992" spans="1:33" hidden="1">
      <c r="A992" s="261"/>
      <c r="B992" s="266" t="s">
        <v>3148</v>
      </c>
      <c r="C992"/>
      <c r="D992"/>
      <c r="E992"/>
      <c r="H992" s="181" t="s">
        <v>2097</v>
      </c>
      <c r="I992"/>
      <c r="J992" s="4"/>
      <c r="K992"/>
      <c r="AG992" s="181" t="s">
        <v>2175</v>
      </c>
    </row>
    <row r="993" spans="1:33" hidden="1">
      <c r="A993" s="261"/>
      <c r="B993" s="266" t="s">
        <v>3149</v>
      </c>
      <c r="C993"/>
      <c r="D993"/>
      <c r="E993"/>
      <c r="H993" s="181" t="s">
        <v>2098</v>
      </c>
      <c r="I993"/>
      <c r="J993" s="4"/>
      <c r="K993"/>
      <c r="AG993" s="181" t="s">
        <v>2175</v>
      </c>
    </row>
    <row r="994" spans="1:33" hidden="1">
      <c r="A994" s="261"/>
      <c r="B994" s="266" t="s">
        <v>3150</v>
      </c>
      <c r="C994"/>
      <c r="D994"/>
      <c r="E994"/>
      <c r="H994" s="181" t="s">
        <v>2099</v>
      </c>
      <c r="I994"/>
      <c r="J994" s="4"/>
      <c r="K994"/>
      <c r="AG994" s="181" t="s">
        <v>2175</v>
      </c>
    </row>
    <row r="995" spans="1:33" hidden="1">
      <c r="A995" s="261"/>
      <c r="B995" s="266" t="s">
        <v>3151</v>
      </c>
      <c r="C995"/>
      <c r="D995"/>
      <c r="E995"/>
      <c r="H995" s="181" t="s">
        <v>2100</v>
      </c>
      <c r="I995"/>
      <c r="J995" s="4"/>
      <c r="K995"/>
      <c r="AG995" s="181" t="s">
        <v>2175</v>
      </c>
    </row>
    <row r="996" spans="1:33" hidden="1">
      <c r="A996" s="261"/>
      <c r="B996" s="266" t="s">
        <v>2512</v>
      </c>
      <c r="C996"/>
      <c r="D996"/>
      <c r="E996"/>
      <c r="H996" s="181" t="s">
        <v>2101</v>
      </c>
      <c r="I996"/>
      <c r="J996" s="4"/>
      <c r="K996"/>
      <c r="AG996" s="181" t="s">
        <v>2175</v>
      </c>
    </row>
    <row r="997" spans="1:33" hidden="1">
      <c r="A997" s="261"/>
      <c r="B997" s="266" t="s">
        <v>2513</v>
      </c>
      <c r="C997"/>
      <c r="D997"/>
      <c r="E997"/>
      <c r="H997" s="185" t="s">
        <v>1530</v>
      </c>
      <c r="I997"/>
      <c r="J997" s="4"/>
      <c r="K997"/>
      <c r="AG997" s="181" t="s">
        <v>2175</v>
      </c>
    </row>
    <row r="998" spans="1:33" hidden="1">
      <c r="A998" s="261"/>
      <c r="B998" s="266" t="s">
        <v>2514</v>
      </c>
      <c r="C998"/>
      <c r="D998"/>
      <c r="E998"/>
      <c r="H998" s="181" t="s">
        <v>612</v>
      </c>
      <c r="I998"/>
      <c r="J998" s="4"/>
      <c r="K998"/>
      <c r="AG998" s="181" t="s">
        <v>2175</v>
      </c>
    </row>
    <row r="999" spans="1:33" ht="31.5" hidden="1">
      <c r="A999" s="261"/>
      <c r="B999" s="266" t="s">
        <v>2515</v>
      </c>
      <c r="C999"/>
      <c r="D999"/>
      <c r="E999"/>
      <c r="H999" s="181" t="s">
        <v>2102</v>
      </c>
      <c r="I999"/>
      <c r="J999" s="4"/>
      <c r="K999"/>
      <c r="AG999" s="181" t="s">
        <v>2175</v>
      </c>
    </row>
    <row r="1000" spans="1:33" ht="31.5" hidden="1">
      <c r="A1000" s="261"/>
      <c r="B1000" s="266" t="s">
        <v>2516</v>
      </c>
      <c r="C1000"/>
      <c r="D1000"/>
      <c r="E1000"/>
      <c r="I1000"/>
      <c r="J1000" s="2" t="s">
        <v>1530</v>
      </c>
      <c r="K1000"/>
      <c r="AG1000" s="181" t="s">
        <v>2175</v>
      </c>
    </row>
    <row r="1001" spans="1:33" ht="31.5" hidden="1">
      <c r="A1001" s="261"/>
      <c r="B1001" s="266" t="s">
        <v>2517</v>
      </c>
      <c r="C1001"/>
      <c r="D1001"/>
      <c r="E1001"/>
      <c r="H1001" s="181" t="s">
        <v>2103</v>
      </c>
      <c r="I1001"/>
      <c r="J1001" s="4"/>
      <c r="K1001"/>
      <c r="AG1001" s="181" t="s">
        <v>2175</v>
      </c>
    </row>
    <row r="1002" spans="1:33" ht="47.25" hidden="1">
      <c r="A1002" s="261"/>
      <c r="B1002" s="266" t="s">
        <v>2518</v>
      </c>
      <c r="C1002"/>
      <c r="D1002"/>
      <c r="E1002"/>
      <c r="H1002" s="181" t="s">
        <v>940</v>
      </c>
      <c r="I1002" s="1" t="s">
        <v>940</v>
      </c>
      <c r="J1002" s="4"/>
      <c r="K1002" s="18" t="s">
        <v>940</v>
      </c>
      <c r="AG1002" s="181" t="s">
        <v>2175</v>
      </c>
    </row>
    <row r="1003" spans="1:33" hidden="1">
      <c r="A1003" s="261"/>
      <c r="B1003" s="266" t="s">
        <v>2519</v>
      </c>
      <c r="C1003"/>
      <c r="D1003"/>
      <c r="E1003"/>
      <c r="I1003"/>
      <c r="J1003" s="2" t="s">
        <v>940</v>
      </c>
      <c r="K1003" s="1" t="s">
        <v>940</v>
      </c>
      <c r="AG1003" s="181" t="s">
        <v>2175</v>
      </c>
    </row>
    <row r="1004" spans="1:33" hidden="1">
      <c r="A1004" s="261"/>
      <c r="B1004" s="266" t="s">
        <v>2520</v>
      </c>
      <c r="C1004"/>
      <c r="D1004"/>
      <c r="E1004"/>
      <c r="H1004" s="181" t="s">
        <v>2032</v>
      </c>
      <c r="I1004"/>
      <c r="J1004" s="271" t="s">
        <v>940</v>
      </c>
      <c r="K1004" s="18" t="s">
        <v>940</v>
      </c>
      <c r="AG1004" s="181" t="s">
        <v>2175</v>
      </c>
    </row>
    <row r="1005" spans="1:33" hidden="1">
      <c r="A1005" s="261"/>
      <c r="B1005" s="266" t="s">
        <v>2501</v>
      </c>
      <c r="C1005"/>
      <c r="D1005"/>
      <c r="E1005"/>
      <c r="H1005" s="181" t="s">
        <v>109</v>
      </c>
      <c r="I1005"/>
      <c r="J1005" s="4"/>
      <c r="K1005" s="18" t="s">
        <v>1683</v>
      </c>
      <c r="AG1005" s="181" t="s">
        <v>2175</v>
      </c>
    </row>
    <row r="1006" spans="1:33" hidden="1">
      <c r="A1006" s="261"/>
      <c r="B1006" s="266" t="s">
        <v>2502</v>
      </c>
      <c r="C1006"/>
      <c r="D1006"/>
      <c r="E1006"/>
      <c r="I1006"/>
      <c r="J1006" s="4"/>
      <c r="K1006" s="1" t="s">
        <v>940</v>
      </c>
      <c r="AG1006" s="181" t="s">
        <v>2175</v>
      </c>
    </row>
    <row r="1007" spans="1:33" hidden="1">
      <c r="A1007" s="261"/>
      <c r="B1007" s="266" t="s">
        <v>2503</v>
      </c>
      <c r="C1007"/>
      <c r="D1007"/>
      <c r="E1007"/>
      <c r="I1007"/>
      <c r="J1007" s="4"/>
      <c r="K1007" s="18" t="s">
        <v>940</v>
      </c>
      <c r="AG1007" s="181" t="s">
        <v>2175</v>
      </c>
    </row>
    <row r="1008" spans="1:33" hidden="1">
      <c r="A1008" s="261"/>
      <c r="B1008" s="266" t="s">
        <v>2935</v>
      </c>
      <c r="C1008"/>
      <c r="D1008"/>
      <c r="E1008"/>
      <c r="I1008"/>
      <c r="J1008" s="4"/>
      <c r="K1008" s="1" t="s">
        <v>940</v>
      </c>
      <c r="AG1008" s="181" t="s">
        <v>2175</v>
      </c>
    </row>
    <row r="1009" spans="1:33" hidden="1">
      <c r="A1009" s="261"/>
      <c r="B1009" s="266" t="s">
        <v>2936</v>
      </c>
      <c r="C1009"/>
      <c r="D1009"/>
      <c r="E1009"/>
      <c r="F1009" s="236" t="s">
        <v>1416</v>
      </c>
      <c r="G1009" s="187"/>
      <c r="H1009" s="181" t="s">
        <v>687</v>
      </c>
      <c r="I1009"/>
      <c r="J1009" s="4"/>
      <c r="K1009" s="1" t="s">
        <v>940</v>
      </c>
      <c r="AG1009" s="181" t="s">
        <v>2175</v>
      </c>
    </row>
    <row r="1010" spans="1:33" hidden="1">
      <c r="A1010" s="261"/>
      <c r="B1010" s="266" t="s">
        <v>2937</v>
      </c>
      <c r="C1010"/>
      <c r="D1010"/>
      <c r="E1010"/>
      <c r="H1010" s="185" t="s">
        <v>1530</v>
      </c>
      <c r="I1010"/>
      <c r="J1010" s="4"/>
      <c r="K1010"/>
      <c r="AG1010" s="181" t="s">
        <v>2175</v>
      </c>
    </row>
    <row r="1011" spans="1:33" hidden="1">
      <c r="A1011" s="268"/>
      <c r="B1011" s="266" t="s">
        <v>2938</v>
      </c>
      <c r="C1011"/>
      <c r="D1011"/>
      <c r="E1011"/>
      <c r="F1011" s="272">
        <v>1.153E-2</v>
      </c>
      <c r="G1011" s="187" t="s">
        <v>836</v>
      </c>
      <c r="H1011" s="181" t="s">
        <v>660</v>
      </c>
      <c r="I1011" s="8">
        <f>C88</f>
        <v>65420</v>
      </c>
      <c r="J1011" s="2" t="s">
        <v>836</v>
      </c>
      <c r="K1011" s="8">
        <f t="shared" ref="K1011:K1020" si="53">(F1011*I1011)</f>
        <v>754.29</v>
      </c>
      <c r="AG1011" s="181" t="s">
        <v>2175</v>
      </c>
    </row>
    <row r="1012" spans="1:33" hidden="1">
      <c r="A1012" s="268"/>
      <c r="B1012" s="266" t="s">
        <v>2939</v>
      </c>
      <c r="C1012"/>
      <c r="D1012"/>
      <c r="E1012"/>
      <c r="F1012" s="272">
        <v>1.35E-2</v>
      </c>
      <c r="G1012" s="187" t="s">
        <v>836</v>
      </c>
      <c r="H1012" s="181" t="s">
        <v>661</v>
      </c>
      <c r="I1012" s="8">
        <f>C89</f>
        <v>57165</v>
      </c>
      <c r="J1012" s="2" t="s">
        <v>836</v>
      </c>
      <c r="K1012" s="8">
        <f t="shared" si="53"/>
        <v>771.73</v>
      </c>
      <c r="AG1012" s="181" t="s">
        <v>2175</v>
      </c>
    </row>
    <row r="1013" spans="1:33" hidden="1">
      <c r="A1013" s="268"/>
      <c r="B1013" s="266" t="s">
        <v>2940</v>
      </c>
      <c r="C1013"/>
      <c r="D1013"/>
      <c r="E1013"/>
      <c r="F1013" s="272">
        <v>1.016</v>
      </c>
      <c r="G1013" s="187" t="s">
        <v>578</v>
      </c>
      <c r="H1013" s="181" t="s">
        <v>2011</v>
      </c>
      <c r="I1013" s="8">
        <f>C753</f>
        <v>381.37</v>
      </c>
      <c r="J1013" s="2" t="s">
        <v>578</v>
      </c>
      <c r="K1013" s="8">
        <f t="shared" si="53"/>
        <v>387.47</v>
      </c>
      <c r="AG1013" s="181" t="s">
        <v>2175</v>
      </c>
    </row>
    <row r="1014" spans="1:33" hidden="1">
      <c r="A1014" s="268"/>
      <c r="B1014" s="266" t="s">
        <v>2941</v>
      </c>
      <c r="C1014"/>
      <c r="D1014"/>
      <c r="E1014"/>
      <c r="F1014" s="272">
        <v>1.64</v>
      </c>
      <c r="G1014" s="187" t="s">
        <v>578</v>
      </c>
      <c r="H1014" s="181" t="s">
        <v>2012</v>
      </c>
      <c r="I1014" s="8">
        <f>D30</f>
        <v>287</v>
      </c>
      <c r="J1014" s="2" t="s">
        <v>578</v>
      </c>
      <c r="K1014" s="8">
        <f t="shared" si="53"/>
        <v>470.68</v>
      </c>
      <c r="AG1014" s="181" t="s">
        <v>2175</v>
      </c>
    </row>
    <row r="1015" spans="1:33" hidden="1">
      <c r="A1015" s="268"/>
      <c r="B1015" s="266" t="s">
        <v>2534</v>
      </c>
      <c r="C1015"/>
      <c r="D1015"/>
      <c r="E1015"/>
      <c r="F1015" s="188">
        <v>2</v>
      </c>
      <c r="G1015" s="187" t="s">
        <v>835</v>
      </c>
      <c r="H1015" s="181" t="s">
        <v>2013</v>
      </c>
      <c r="I1015" s="8">
        <f>C283</f>
        <v>30</v>
      </c>
      <c r="J1015" s="2" t="s">
        <v>835</v>
      </c>
      <c r="K1015" s="8">
        <f t="shared" si="53"/>
        <v>60</v>
      </c>
      <c r="AG1015" s="181" t="s">
        <v>2175</v>
      </c>
    </row>
    <row r="1016" spans="1:33" hidden="1">
      <c r="A1016" s="268"/>
      <c r="B1016" s="266" t="s">
        <v>2535</v>
      </c>
      <c r="C1016"/>
      <c r="D1016"/>
      <c r="E1016"/>
      <c r="F1016" s="188">
        <v>3</v>
      </c>
      <c r="G1016" s="187" t="s">
        <v>835</v>
      </c>
      <c r="H1016" s="181" t="s">
        <v>1460</v>
      </c>
      <c r="I1016" s="8">
        <f>C278</f>
        <v>45</v>
      </c>
      <c r="J1016" s="2" t="s">
        <v>835</v>
      </c>
      <c r="K1016" s="8">
        <f t="shared" si="53"/>
        <v>135</v>
      </c>
      <c r="AG1016" s="181" t="s">
        <v>2175</v>
      </c>
    </row>
    <row r="1017" spans="1:33" hidden="1">
      <c r="A1017" s="268"/>
      <c r="B1017" s="266" t="s">
        <v>2536</v>
      </c>
      <c r="C1017"/>
      <c r="D1017"/>
      <c r="E1017"/>
      <c r="F1017" s="188">
        <v>1</v>
      </c>
      <c r="G1017" s="187" t="s">
        <v>835</v>
      </c>
      <c r="H1017" s="181" t="s">
        <v>1910</v>
      </c>
      <c r="I1017" s="8">
        <f>C285</f>
        <v>95</v>
      </c>
      <c r="J1017" s="2" t="s">
        <v>835</v>
      </c>
      <c r="K1017" s="8">
        <f t="shared" si="53"/>
        <v>95</v>
      </c>
      <c r="AG1017" s="181" t="s">
        <v>2175</v>
      </c>
    </row>
    <row r="1018" spans="1:33" hidden="1">
      <c r="A1018" s="268"/>
      <c r="B1018" s="266" t="s">
        <v>2537</v>
      </c>
      <c r="C1018"/>
      <c r="D1018"/>
      <c r="E1018"/>
      <c r="F1018" s="188">
        <v>1</v>
      </c>
      <c r="G1018" s="187" t="s">
        <v>835</v>
      </c>
      <c r="H1018" s="181" t="s">
        <v>1911</v>
      </c>
      <c r="I1018" s="8">
        <f>C287</f>
        <v>8</v>
      </c>
      <c r="J1018" s="2" t="s">
        <v>835</v>
      </c>
      <c r="K1018" s="8">
        <f t="shared" si="53"/>
        <v>8</v>
      </c>
      <c r="AG1018" s="181" t="s">
        <v>2175</v>
      </c>
    </row>
    <row r="1019" spans="1:33" hidden="1">
      <c r="A1019" s="268"/>
      <c r="B1019" s="266" t="s">
        <v>2728</v>
      </c>
      <c r="C1019"/>
      <c r="D1019"/>
      <c r="E1019"/>
      <c r="F1019" s="188">
        <v>1</v>
      </c>
      <c r="G1019" s="187" t="s">
        <v>835</v>
      </c>
      <c r="H1019" s="181" t="s">
        <v>1912</v>
      </c>
      <c r="I1019" s="8">
        <f>C576</f>
        <v>30</v>
      </c>
      <c r="J1019" s="2" t="s">
        <v>835</v>
      </c>
      <c r="K1019" s="8">
        <f t="shared" si="53"/>
        <v>30</v>
      </c>
      <c r="AG1019" s="181" t="s">
        <v>2175</v>
      </c>
    </row>
    <row r="1020" spans="1:33" hidden="1">
      <c r="A1020" s="268"/>
      <c r="B1020" s="266" t="s">
        <v>2729</v>
      </c>
      <c r="C1020"/>
      <c r="D1020"/>
      <c r="E1020"/>
      <c r="F1020" s="188">
        <v>1</v>
      </c>
      <c r="G1020" s="187" t="s">
        <v>835</v>
      </c>
      <c r="H1020" s="181" t="s">
        <v>1913</v>
      </c>
      <c r="I1020" s="8">
        <f>D576</f>
        <v>25</v>
      </c>
      <c r="J1020" s="2" t="s">
        <v>835</v>
      </c>
      <c r="K1020" s="8">
        <f t="shared" si="53"/>
        <v>25</v>
      </c>
      <c r="AG1020" s="181" t="s">
        <v>2175</v>
      </c>
    </row>
    <row r="1021" spans="1:33" hidden="1">
      <c r="A1021" s="268"/>
      <c r="B1021" s="266" t="s">
        <v>2730</v>
      </c>
      <c r="C1021"/>
      <c r="D1021"/>
      <c r="E1021"/>
      <c r="I1021"/>
      <c r="J1021" s="4"/>
      <c r="K1021" s="5" t="s">
        <v>1530</v>
      </c>
      <c r="AG1021" s="181" t="s">
        <v>2175</v>
      </c>
    </row>
    <row r="1022" spans="1:33" hidden="1">
      <c r="A1022" s="268"/>
      <c r="B1022" s="266" t="s">
        <v>2731</v>
      </c>
      <c r="C1022"/>
      <c r="D1022"/>
      <c r="E1022"/>
      <c r="H1022" s="236" t="s">
        <v>1461</v>
      </c>
      <c r="I1022"/>
      <c r="J1022" s="4"/>
      <c r="K1022" s="8">
        <f>SUM(K1011:K1020)</f>
        <v>2737.17</v>
      </c>
      <c r="AG1022" s="181" t="s">
        <v>2175</v>
      </c>
    </row>
    <row r="1023" spans="1:33" ht="31.5" hidden="1">
      <c r="A1023" s="268"/>
      <c r="B1023" s="266" t="s">
        <v>2732</v>
      </c>
      <c r="C1023"/>
      <c r="D1023"/>
      <c r="E1023"/>
      <c r="G1023" s="187" t="s">
        <v>940</v>
      </c>
      <c r="I1023"/>
      <c r="J1023" s="4"/>
      <c r="K1023" s="5" t="s">
        <v>1530</v>
      </c>
      <c r="AG1023" s="181" t="s">
        <v>2175</v>
      </c>
    </row>
    <row r="1024" spans="1:33" hidden="1">
      <c r="A1024" s="268"/>
      <c r="B1024" s="266" t="s">
        <v>2733</v>
      </c>
      <c r="C1024"/>
      <c r="D1024"/>
      <c r="E1024"/>
      <c r="H1024" s="236" t="s">
        <v>521</v>
      </c>
      <c r="I1024"/>
      <c r="J1024" s="4"/>
      <c r="K1024" s="8">
        <f>K1022/F1014</f>
        <v>1669.01</v>
      </c>
      <c r="AG1024" s="181" t="s">
        <v>2175</v>
      </c>
    </row>
    <row r="1025" spans="1:33" hidden="1">
      <c r="A1025" s="268"/>
      <c r="B1025" s="266" t="s">
        <v>3369</v>
      </c>
      <c r="C1025"/>
      <c r="D1025"/>
      <c r="E1025"/>
      <c r="I1025"/>
      <c r="J1025" s="4"/>
      <c r="K1025" s="5" t="s">
        <v>1980</v>
      </c>
      <c r="AG1025" s="181" t="s">
        <v>2175</v>
      </c>
    </row>
    <row r="1026" spans="1:33" hidden="1">
      <c r="A1026" s="268"/>
      <c r="B1026" s="266" t="s">
        <v>3370</v>
      </c>
      <c r="C1026"/>
      <c r="D1026"/>
      <c r="E1026"/>
      <c r="F1026" s="236" t="s">
        <v>1518</v>
      </c>
      <c r="H1026" s="181" t="s">
        <v>1287</v>
      </c>
      <c r="I1026"/>
      <c r="J1026" s="4"/>
      <c r="K1026"/>
    </row>
    <row r="1027" spans="1:33" hidden="1">
      <c r="A1027" s="268"/>
      <c r="B1027" s="266" t="s">
        <v>3371</v>
      </c>
      <c r="C1027"/>
      <c r="D1027"/>
      <c r="E1027"/>
      <c r="H1027" s="181" t="s">
        <v>1288</v>
      </c>
      <c r="I1027"/>
      <c r="J1027" s="4"/>
      <c r="K1027"/>
    </row>
    <row r="1028" spans="1:33" hidden="1">
      <c r="A1028" s="268"/>
      <c r="B1028" s="266" t="s">
        <v>3372</v>
      </c>
      <c r="C1028"/>
      <c r="D1028"/>
      <c r="E1028"/>
      <c r="H1028" s="185" t="s">
        <v>1530</v>
      </c>
      <c r="I1028"/>
      <c r="J1028" s="4"/>
      <c r="K1028"/>
    </row>
    <row r="1029" spans="1:33" hidden="1">
      <c r="A1029" s="268"/>
      <c r="B1029" s="266" t="s">
        <v>3373</v>
      </c>
      <c r="C1029"/>
      <c r="D1029"/>
      <c r="E1029"/>
      <c r="F1029" s="272">
        <v>6.6499999999999997E-3</v>
      </c>
      <c r="G1029" s="187" t="s">
        <v>1289</v>
      </c>
      <c r="H1029" s="181" t="s">
        <v>1290</v>
      </c>
      <c r="I1029" s="8">
        <f>C89</f>
        <v>57165</v>
      </c>
      <c r="J1029" s="2" t="s">
        <v>836</v>
      </c>
      <c r="K1029" s="8">
        <f t="shared" ref="K1029:K1035" si="54">(F1029*I1029)</f>
        <v>380.15</v>
      </c>
    </row>
    <row r="1030" spans="1:33" hidden="1">
      <c r="A1030" s="268"/>
      <c r="B1030" s="266" t="s">
        <v>3374</v>
      </c>
      <c r="C1030"/>
      <c r="D1030"/>
      <c r="E1030"/>
      <c r="F1030" s="272">
        <v>0.32346000000000003</v>
      </c>
      <c r="G1030" s="187" t="s">
        <v>578</v>
      </c>
      <c r="H1030" s="181" t="s">
        <v>3375</v>
      </c>
      <c r="I1030" s="8">
        <f>C271</f>
        <v>160</v>
      </c>
      <c r="J1030" s="2" t="s">
        <v>836</v>
      </c>
      <c r="K1030" s="8">
        <f t="shared" si="54"/>
        <v>51.75</v>
      </c>
    </row>
    <row r="1031" spans="1:33" ht="31.5" hidden="1">
      <c r="A1031" s="268"/>
      <c r="B1031" s="266" t="s">
        <v>3376</v>
      </c>
      <c r="C1031"/>
      <c r="D1031"/>
      <c r="E1031"/>
      <c r="F1031" s="272">
        <v>0.47660000000000002</v>
      </c>
      <c r="G1031" s="187" t="s">
        <v>578</v>
      </c>
      <c r="H1031" s="181" t="s">
        <v>2012</v>
      </c>
      <c r="I1031" s="8">
        <f>D31</f>
        <v>320</v>
      </c>
      <c r="J1031" s="2" t="s">
        <v>578</v>
      </c>
      <c r="K1031" s="8">
        <f t="shared" si="54"/>
        <v>152.51</v>
      </c>
    </row>
    <row r="1032" spans="1:33" ht="21.75" hidden="1" customHeight="1">
      <c r="A1032" s="268"/>
      <c r="B1032" s="266" t="s">
        <v>3377</v>
      </c>
      <c r="C1032"/>
      <c r="D1032"/>
      <c r="E1032"/>
      <c r="F1032" s="188">
        <v>3</v>
      </c>
      <c r="G1032" s="187" t="s">
        <v>835</v>
      </c>
      <c r="H1032" s="181" t="s">
        <v>1291</v>
      </c>
      <c r="I1032" s="8">
        <f>C281</f>
        <v>25</v>
      </c>
      <c r="J1032" s="2" t="s">
        <v>835</v>
      </c>
      <c r="K1032" s="8">
        <f t="shared" si="54"/>
        <v>75</v>
      </c>
    </row>
    <row r="1033" spans="1:33" ht="20.25" hidden="1" customHeight="1">
      <c r="A1033" s="266"/>
      <c r="B1033" s="266" t="s">
        <v>2895</v>
      </c>
      <c r="C1033"/>
      <c r="D1033"/>
      <c r="E1033"/>
      <c r="F1033" s="188">
        <v>2</v>
      </c>
      <c r="G1033" s="187" t="s">
        <v>835</v>
      </c>
      <c r="H1033" s="181" t="s">
        <v>2028</v>
      </c>
      <c r="I1033" s="8">
        <f>C284</f>
        <v>20</v>
      </c>
      <c r="J1033" s="2" t="s">
        <v>835</v>
      </c>
      <c r="K1033" s="8">
        <f t="shared" si="54"/>
        <v>40</v>
      </c>
    </row>
    <row r="1034" spans="1:33" ht="19.5" hidden="1" customHeight="1">
      <c r="A1034" s="268"/>
      <c r="B1034" s="266" t="s">
        <v>2682</v>
      </c>
      <c r="C1034"/>
      <c r="D1034"/>
      <c r="E1034"/>
      <c r="F1034" s="188">
        <v>1</v>
      </c>
      <c r="G1034" s="187" t="s">
        <v>835</v>
      </c>
      <c r="H1034" s="181" t="s">
        <v>2029</v>
      </c>
      <c r="I1034" s="8">
        <f>C303</f>
        <v>8</v>
      </c>
      <c r="J1034" s="2" t="s">
        <v>835</v>
      </c>
      <c r="K1034" s="8">
        <f t="shared" si="54"/>
        <v>8</v>
      </c>
    </row>
    <row r="1035" spans="1:33" ht="18.75" hidden="1" customHeight="1">
      <c r="A1035" s="268"/>
      <c r="B1035" s="266" t="s">
        <v>2683</v>
      </c>
      <c r="C1035"/>
      <c r="D1035"/>
      <c r="E1035"/>
      <c r="F1035" s="188">
        <v>1</v>
      </c>
      <c r="G1035" s="187" t="s">
        <v>835</v>
      </c>
      <c r="H1035" s="181" t="s">
        <v>2030</v>
      </c>
      <c r="I1035" s="8">
        <f>C291</f>
        <v>15.6</v>
      </c>
      <c r="J1035" s="2" t="s">
        <v>835</v>
      </c>
      <c r="K1035" s="8">
        <f t="shared" si="54"/>
        <v>15.6</v>
      </c>
    </row>
    <row r="1036" spans="1:33" ht="18" hidden="1" customHeight="1">
      <c r="A1036" s="268"/>
      <c r="B1036" s="266" t="s">
        <v>2897</v>
      </c>
      <c r="C1036"/>
      <c r="D1036"/>
      <c r="E1036"/>
      <c r="I1036"/>
      <c r="J1036" s="4"/>
      <c r="K1036" s="5" t="s">
        <v>1530</v>
      </c>
    </row>
    <row r="1037" spans="1:33" ht="20.25" hidden="1" customHeight="1">
      <c r="A1037" s="268"/>
      <c r="B1037" s="266" t="s">
        <v>2459</v>
      </c>
      <c r="C1037"/>
      <c r="D1037"/>
      <c r="E1037"/>
      <c r="H1037" s="236" t="s">
        <v>2031</v>
      </c>
      <c r="I1037"/>
      <c r="J1037" s="4"/>
      <c r="K1037" s="8">
        <f>SUM(K1025:K1035)</f>
        <v>723.01</v>
      </c>
    </row>
    <row r="1038" spans="1:33" ht="21.75" hidden="1" customHeight="1">
      <c r="A1038" s="268"/>
      <c r="B1038" s="266" t="s">
        <v>2460</v>
      </c>
      <c r="C1038"/>
      <c r="D1038"/>
      <c r="E1038"/>
      <c r="I1038"/>
      <c r="J1038" s="4"/>
      <c r="K1038" s="5" t="s">
        <v>1530</v>
      </c>
    </row>
    <row r="1039" spans="1:33" ht="24" hidden="1" customHeight="1">
      <c r="A1039" s="268"/>
      <c r="B1039" s="266" t="s">
        <v>2460</v>
      </c>
      <c r="C1039"/>
      <c r="D1039"/>
      <c r="E1039"/>
      <c r="H1039" s="236" t="s">
        <v>521</v>
      </c>
      <c r="I1039" s="1" t="s">
        <v>940</v>
      </c>
      <c r="J1039" s="4"/>
      <c r="K1039" s="8">
        <f>K1037/F1031</f>
        <v>1517.02</v>
      </c>
    </row>
    <row r="1040" spans="1:33" ht="31.5" hidden="1">
      <c r="A1040" s="268"/>
      <c r="B1040" s="266" t="s">
        <v>2461</v>
      </c>
      <c r="C1040"/>
      <c r="D1040"/>
      <c r="E1040"/>
      <c r="I1040"/>
      <c r="J1040" s="4"/>
      <c r="K1040" s="5" t="s">
        <v>1980</v>
      </c>
    </row>
    <row r="1041" spans="1:11" ht="31.5" hidden="1">
      <c r="A1041" s="268"/>
      <c r="B1041" s="266" t="s">
        <v>2462</v>
      </c>
      <c r="C1041"/>
      <c r="D1041"/>
      <c r="E1041"/>
      <c r="F1041" s="236" t="s">
        <v>1560</v>
      </c>
      <c r="G1041" s="187" t="s">
        <v>2167</v>
      </c>
      <c r="H1041" s="181" t="s">
        <v>1287</v>
      </c>
      <c r="I1041"/>
      <c r="J1041" s="4"/>
      <c r="K1041"/>
    </row>
    <row r="1042" spans="1:11" hidden="1">
      <c r="A1042" s="268"/>
      <c r="H1042" s="181" t="s">
        <v>676</v>
      </c>
      <c r="I1042"/>
      <c r="J1042" s="4"/>
      <c r="K1042"/>
    </row>
    <row r="1043" spans="1:11" hidden="1">
      <c r="A1043" s="268"/>
      <c r="H1043" s="185" t="s">
        <v>1530</v>
      </c>
      <c r="I1043"/>
      <c r="J1043" s="4"/>
      <c r="K1043"/>
    </row>
    <row r="1044" spans="1:11" hidden="1">
      <c r="A1044" s="268"/>
      <c r="F1044" s="272">
        <v>5.4000000000000003E-3</v>
      </c>
      <c r="G1044" s="187" t="s">
        <v>1289</v>
      </c>
      <c r="H1044" s="181" t="s">
        <v>1290</v>
      </c>
      <c r="I1044" s="8">
        <f>C89</f>
        <v>57165</v>
      </c>
      <c r="J1044" s="2" t="s">
        <v>836</v>
      </c>
      <c r="K1044" s="8">
        <f t="shared" ref="K1044:K1050" si="55">(F1044*I1044)</f>
        <v>308.69</v>
      </c>
    </row>
    <row r="1045" spans="1:11" hidden="1">
      <c r="A1045" s="268"/>
      <c r="F1045" s="272">
        <v>0.23871000000000001</v>
      </c>
      <c r="G1045" s="187" t="s">
        <v>578</v>
      </c>
      <c r="H1045" s="181" t="s">
        <v>3375</v>
      </c>
      <c r="I1045" s="8">
        <f>C271</f>
        <v>160</v>
      </c>
      <c r="J1045" s="2" t="s">
        <v>836</v>
      </c>
      <c r="K1045" s="8">
        <f t="shared" si="55"/>
        <v>38.19</v>
      </c>
    </row>
    <row r="1046" spans="1:11" hidden="1">
      <c r="A1046" s="268"/>
      <c r="F1046" s="272">
        <v>0.36199999999999999</v>
      </c>
      <c r="G1046" s="187" t="s">
        <v>578</v>
      </c>
      <c r="H1046" s="181" t="s">
        <v>2012</v>
      </c>
      <c r="I1046" s="8">
        <f>D31</f>
        <v>320</v>
      </c>
      <c r="J1046" s="2" t="s">
        <v>578</v>
      </c>
      <c r="K1046" s="8">
        <f t="shared" si="55"/>
        <v>115.84</v>
      </c>
    </row>
    <row r="1047" spans="1:11" hidden="1">
      <c r="A1047" s="268"/>
      <c r="F1047" s="188">
        <v>3</v>
      </c>
      <c r="G1047" s="187" t="s">
        <v>835</v>
      </c>
      <c r="H1047" s="181" t="s">
        <v>1291</v>
      </c>
      <c r="I1047" s="8">
        <f>C281</f>
        <v>25</v>
      </c>
      <c r="J1047" s="2" t="s">
        <v>835</v>
      </c>
      <c r="K1047" s="8">
        <f t="shared" si="55"/>
        <v>75</v>
      </c>
    </row>
    <row r="1048" spans="1:11" hidden="1">
      <c r="A1048" s="268"/>
      <c r="F1048" s="188">
        <v>2</v>
      </c>
      <c r="G1048" s="187" t="s">
        <v>835</v>
      </c>
      <c r="H1048" s="181" t="s">
        <v>2028</v>
      </c>
      <c r="I1048" s="8">
        <f>C284</f>
        <v>20</v>
      </c>
      <c r="J1048" s="2" t="s">
        <v>835</v>
      </c>
      <c r="K1048" s="8">
        <f t="shared" si="55"/>
        <v>40</v>
      </c>
    </row>
    <row r="1049" spans="1:11" hidden="1">
      <c r="A1049" s="268"/>
      <c r="F1049" s="188">
        <v>1</v>
      </c>
      <c r="G1049" s="187" t="s">
        <v>835</v>
      </c>
      <c r="H1049" s="181" t="s">
        <v>2029</v>
      </c>
      <c r="I1049" s="8">
        <f>C303</f>
        <v>8</v>
      </c>
      <c r="J1049" s="2" t="s">
        <v>835</v>
      </c>
      <c r="K1049" s="8">
        <f t="shared" si="55"/>
        <v>8</v>
      </c>
    </row>
    <row r="1050" spans="1:11" hidden="1">
      <c r="A1050" s="268"/>
      <c r="F1050" s="188">
        <v>1</v>
      </c>
      <c r="G1050" s="187" t="s">
        <v>835</v>
      </c>
      <c r="H1050" s="181" t="s">
        <v>2030</v>
      </c>
      <c r="I1050" s="8">
        <f>C291</f>
        <v>15.6</v>
      </c>
      <c r="J1050" s="2" t="s">
        <v>835</v>
      </c>
      <c r="K1050" s="8">
        <f t="shared" si="55"/>
        <v>15.6</v>
      </c>
    </row>
    <row r="1051" spans="1:11" hidden="1">
      <c r="A1051" s="268"/>
      <c r="I1051"/>
      <c r="J1051" s="4"/>
      <c r="K1051" s="5" t="s">
        <v>1530</v>
      </c>
    </row>
    <row r="1052" spans="1:11" hidden="1">
      <c r="A1052" s="268"/>
      <c r="H1052" s="236" t="s">
        <v>856</v>
      </c>
      <c r="I1052"/>
      <c r="J1052" s="4"/>
      <c r="K1052" s="8">
        <f>SUM(K1040:K1050)</f>
        <v>601.32000000000005</v>
      </c>
    </row>
    <row r="1053" spans="1:11" hidden="1">
      <c r="A1053" s="268"/>
      <c r="I1053"/>
      <c r="J1053" s="4"/>
      <c r="K1053" s="5" t="s">
        <v>1530</v>
      </c>
    </row>
    <row r="1054" spans="1:11" hidden="1">
      <c r="A1054" s="268"/>
      <c r="H1054" s="236" t="s">
        <v>521</v>
      </c>
      <c r="I1054" s="1" t="s">
        <v>940</v>
      </c>
      <c r="J1054" s="4"/>
      <c r="K1054" s="8">
        <f>K1052/F1046</f>
        <v>1661.1</v>
      </c>
    </row>
    <row r="1055" spans="1:11" hidden="1">
      <c r="A1055" s="268"/>
      <c r="I1055"/>
      <c r="J1055" s="4"/>
      <c r="K1055" s="5" t="s">
        <v>1980</v>
      </c>
    </row>
    <row r="1056" spans="1:11" hidden="1">
      <c r="A1056" s="268"/>
      <c r="F1056" s="236" t="s">
        <v>1561</v>
      </c>
      <c r="G1056" s="187" t="s">
        <v>2167</v>
      </c>
      <c r="H1056" s="181" t="s">
        <v>857</v>
      </c>
      <c r="I1056"/>
      <c r="J1056" s="4"/>
      <c r="K1056"/>
    </row>
    <row r="1057" spans="1:11" hidden="1">
      <c r="A1057" s="268"/>
      <c r="H1057" s="181" t="s">
        <v>1923</v>
      </c>
      <c r="I1057"/>
      <c r="J1057" s="4"/>
      <c r="K1057"/>
    </row>
    <row r="1058" spans="1:11" hidden="1">
      <c r="A1058" s="268"/>
      <c r="H1058" s="185" t="s">
        <v>1530</v>
      </c>
      <c r="I1058"/>
      <c r="J1058" s="4"/>
      <c r="K1058"/>
    </row>
    <row r="1059" spans="1:11" hidden="1">
      <c r="A1059" s="268"/>
      <c r="F1059" s="272">
        <v>5.3E-3</v>
      </c>
      <c r="G1059" s="187" t="s">
        <v>1289</v>
      </c>
      <c r="H1059" s="181" t="s">
        <v>1290</v>
      </c>
      <c r="I1059" s="8">
        <f>C89</f>
        <v>57165</v>
      </c>
      <c r="J1059" s="2" t="s">
        <v>836</v>
      </c>
      <c r="K1059" s="8">
        <f t="shared" ref="K1059:K1064" si="56">(F1059*I1059)</f>
        <v>302.97000000000003</v>
      </c>
    </row>
    <row r="1060" spans="1:11" hidden="1">
      <c r="A1060" s="268"/>
      <c r="F1060" s="272">
        <v>0.27450000000000002</v>
      </c>
      <c r="G1060" s="187" t="s">
        <v>578</v>
      </c>
      <c r="H1060" s="181" t="s">
        <v>3375</v>
      </c>
      <c r="I1060" s="8">
        <f>C271</f>
        <v>160</v>
      </c>
      <c r="J1060" s="2" t="s">
        <v>836</v>
      </c>
      <c r="K1060" s="8">
        <f t="shared" si="56"/>
        <v>43.92</v>
      </c>
    </row>
    <row r="1061" spans="1:11" hidden="1">
      <c r="A1061" s="268"/>
      <c r="F1061" s="272">
        <v>0.4</v>
      </c>
      <c r="G1061" s="187" t="s">
        <v>578</v>
      </c>
      <c r="H1061" s="181" t="s">
        <v>2012</v>
      </c>
      <c r="I1061" s="8">
        <f>D32</f>
        <v>267</v>
      </c>
      <c r="J1061" s="2" t="s">
        <v>578</v>
      </c>
      <c r="K1061" s="8">
        <f t="shared" si="56"/>
        <v>106.8</v>
      </c>
    </row>
    <row r="1062" spans="1:11" hidden="1">
      <c r="A1062" s="268"/>
      <c r="F1062" s="188">
        <v>2</v>
      </c>
      <c r="G1062" s="187" t="s">
        <v>1924</v>
      </c>
      <c r="H1062" s="181" t="s">
        <v>1925</v>
      </c>
      <c r="I1062" s="8">
        <f>C304</f>
        <v>8.5</v>
      </c>
      <c r="J1062" s="2" t="s">
        <v>1924</v>
      </c>
      <c r="K1062" s="8">
        <f t="shared" si="56"/>
        <v>17</v>
      </c>
    </row>
    <row r="1063" spans="1:11" hidden="1">
      <c r="A1063" s="268"/>
      <c r="F1063" s="188">
        <v>1</v>
      </c>
      <c r="G1063" s="187" t="s">
        <v>835</v>
      </c>
      <c r="H1063" s="181" t="s">
        <v>1926</v>
      </c>
      <c r="I1063" s="8">
        <f>C292</f>
        <v>12.6</v>
      </c>
      <c r="J1063" s="2" t="s">
        <v>835</v>
      </c>
      <c r="K1063" s="8">
        <f t="shared" si="56"/>
        <v>12.6</v>
      </c>
    </row>
    <row r="1064" spans="1:11" hidden="1">
      <c r="A1064" s="268"/>
      <c r="F1064" s="188">
        <v>1</v>
      </c>
      <c r="G1064" s="187" t="s">
        <v>835</v>
      </c>
      <c r="H1064" s="181" t="s">
        <v>1927</v>
      </c>
      <c r="I1064" s="8">
        <f>C290</f>
        <v>20.6</v>
      </c>
      <c r="J1064" s="2" t="s">
        <v>835</v>
      </c>
      <c r="K1064" s="8">
        <f t="shared" si="56"/>
        <v>20.6</v>
      </c>
    </row>
    <row r="1065" spans="1:11" hidden="1">
      <c r="A1065" s="268"/>
      <c r="I1065"/>
      <c r="J1065" s="4"/>
      <c r="K1065" s="5" t="s">
        <v>1530</v>
      </c>
    </row>
    <row r="1066" spans="1:11" hidden="1">
      <c r="A1066" s="268"/>
      <c r="H1066" s="236" t="s">
        <v>856</v>
      </c>
      <c r="I1066"/>
      <c r="J1066" s="4"/>
      <c r="K1066" s="8">
        <f>SUM(K1055:K1064)</f>
        <v>503.89</v>
      </c>
    </row>
    <row r="1067" spans="1:11" hidden="1">
      <c r="A1067" s="268"/>
      <c r="I1067"/>
      <c r="J1067" s="4"/>
      <c r="K1067" s="5" t="s">
        <v>1530</v>
      </c>
    </row>
    <row r="1068" spans="1:11" hidden="1">
      <c r="A1068" s="268"/>
      <c r="H1068" s="236" t="s">
        <v>521</v>
      </c>
      <c r="I1068" s="1" t="s">
        <v>940</v>
      </c>
      <c r="J1068" s="4"/>
      <c r="K1068" s="8">
        <f>K1066/F1061</f>
        <v>1259.73</v>
      </c>
    </row>
    <row r="1069" spans="1:11" hidden="1">
      <c r="A1069" s="268"/>
      <c r="F1069" s="181" t="s">
        <v>940</v>
      </c>
      <c r="I1069"/>
      <c r="J1069" s="4"/>
      <c r="K1069"/>
    </row>
    <row r="1070" spans="1:11" hidden="1">
      <c r="A1070" s="268"/>
      <c r="I1070"/>
      <c r="J1070" s="4"/>
      <c r="K1070" s="5" t="s">
        <v>1980</v>
      </c>
    </row>
    <row r="1071" spans="1:11" hidden="1">
      <c r="A1071" s="268"/>
      <c r="F1071" s="246">
        <v>22.3</v>
      </c>
      <c r="H1071" s="181" t="s">
        <v>1928</v>
      </c>
      <c r="I1071"/>
      <c r="J1071" s="4"/>
      <c r="K1071"/>
    </row>
    <row r="1072" spans="1:11" hidden="1">
      <c r="A1072" s="268"/>
      <c r="H1072" s="185" t="s">
        <v>1530</v>
      </c>
      <c r="I1072" s="5" t="s">
        <v>1530</v>
      </c>
      <c r="J1072" s="2" t="s">
        <v>1530</v>
      </c>
      <c r="K1072"/>
    </row>
    <row r="1073" spans="1:12" hidden="1">
      <c r="A1073" s="268"/>
      <c r="I1073"/>
      <c r="J1073" s="4"/>
      <c r="K1073"/>
    </row>
    <row r="1074" spans="1:12" hidden="1">
      <c r="A1074" s="268"/>
      <c r="H1074" s="181" t="s">
        <v>1929</v>
      </c>
      <c r="I1074"/>
      <c r="J1074" s="4"/>
      <c r="K1074"/>
    </row>
    <row r="1075" spans="1:12" hidden="1">
      <c r="A1075" s="268"/>
      <c r="H1075" s="181" t="s">
        <v>1930</v>
      </c>
      <c r="I1075"/>
      <c r="J1075" s="4"/>
      <c r="K1075"/>
    </row>
    <row r="1076" spans="1:12" hidden="1">
      <c r="A1076" s="268"/>
      <c r="H1076" s="181" t="s">
        <v>424</v>
      </c>
      <c r="I1076"/>
      <c r="J1076" s="4"/>
      <c r="K1076"/>
    </row>
    <row r="1077" spans="1:12" hidden="1">
      <c r="A1077" s="268"/>
      <c r="H1077" s="181" t="s">
        <v>425</v>
      </c>
      <c r="I1077"/>
      <c r="J1077" s="4"/>
      <c r="K1077"/>
    </row>
    <row r="1078" spans="1:12" hidden="1">
      <c r="A1078" s="268"/>
      <c r="H1078" s="181" t="s">
        <v>426</v>
      </c>
      <c r="I1078"/>
      <c r="J1078" s="4"/>
      <c r="K1078"/>
      <c r="L1078" s="181" t="s">
        <v>940</v>
      </c>
    </row>
    <row r="1079" spans="1:12" hidden="1">
      <c r="A1079" s="268"/>
      <c r="I1079"/>
      <c r="J1079" s="2" t="s">
        <v>940</v>
      </c>
      <c r="K1079" s="15">
        <v>3.32E-2</v>
      </c>
    </row>
    <row r="1080" spans="1:12" hidden="1">
      <c r="A1080" s="268"/>
      <c r="H1080" s="181" t="s">
        <v>2075</v>
      </c>
      <c r="I1080"/>
      <c r="J1080" s="271" t="s">
        <v>940</v>
      </c>
      <c r="K1080" s="18" t="s">
        <v>940</v>
      </c>
    </row>
    <row r="1081" spans="1:12" hidden="1">
      <c r="A1081" s="268"/>
      <c r="H1081" s="181" t="s">
        <v>1765</v>
      </c>
      <c r="I1081"/>
      <c r="J1081" s="4"/>
      <c r="K1081" s="18" t="s">
        <v>940</v>
      </c>
    </row>
    <row r="1082" spans="1:12" hidden="1">
      <c r="A1082" s="268"/>
      <c r="I1082"/>
      <c r="J1082" s="4"/>
      <c r="K1082"/>
    </row>
    <row r="1083" spans="1:12" hidden="1">
      <c r="A1083" s="268"/>
      <c r="F1083" s="272">
        <v>1.18E-2</v>
      </c>
      <c r="G1083" s="187" t="s">
        <v>836</v>
      </c>
      <c r="H1083" s="181" t="s">
        <v>660</v>
      </c>
      <c r="I1083" s="8">
        <f>C88</f>
        <v>65420</v>
      </c>
      <c r="J1083" s="2" t="s">
        <v>836</v>
      </c>
      <c r="K1083" s="8">
        <f t="shared" ref="K1083:K1092" si="57">(F1083*I1083)</f>
        <v>771.96</v>
      </c>
    </row>
    <row r="1084" spans="1:12" hidden="1">
      <c r="A1084" s="268"/>
      <c r="F1084" s="272">
        <v>3.32E-2</v>
      </c>
      <c r="G1084" s="187" t="s">
        <v>836</v>
      </c>
      <c r="H1084" s="181" t="s">
        <v>661</v>
      </c>
      <c r="I1084" s="8">
        <f>C89</f>
        <v>57165</v>
      </c>
      <c r="J1084" s="2" t="s">
        <v>836</v>
      </c>
      <c r="K1084" s="8">
        <f t="shared" si="57"/>
        <v>1897.88</v>
      </c>
    </row>
    <row r="1085" spans="1:12" hidden="1">
      <c r="A1085" s="268"/>
      <c r="F1085" s="272">
        <v>1.8550000000000001E-2</v>
      </c>
      <c r="G1085" s="187" t="s">
        <v>836</v>
      </c>
      <c r="H1085" s="181" t="s">
        <v>853</v>
      </c>
      <c r="I1085" s="8">
        <f>C30</f>
        <v>3035</v>
      </c>
      <c r="J1085" s="2" t="s">
        <v>836</v>
      </c>
      <c r="K1085" s="8">
        <f t="shared" si="57"/>
        <v>56.3</v>
      </c>
    </row>
    <row r="1086" spans="1:12" hidden="1">
      <c r="A1086" s="268"/>
      <c r="F1086" s="272">
        <v>1.46</v>
      </c>
      <c r="G1086" s="187" t="s">
        <v>578</v>
      </c>
      <c r="H1086" s="181" t="s">
        <v>854</v>
      </c>
      <c r="I1086" s="8">
        <v>385.89</v>
      </c>
      <c r="J1086" s="2" t="s">
        <v>578</v>
      </c>
      <c r="K1086" s="8">
        <f t="shared" si="57"/>
        <v>563.4</v>
      </c>
    </row>
    <row r="1087" spans="1:12" hidden="1">
      <c r="A1087" s="268"/>
      <c r="F1087" s="272">
        <v>2.0499999999999998</v>
      </c>
      <c r="G1087" s="187" t="s">
        <v>578</v>
      </c>
      <c r="H1087" s="181" t="s">
        <v>1449</v>
      </c>
      <c r="I1087" s="8">
        <f>D30</f>
        <v>287</v>
      </c>
      <c r="J1087" s="2" t="s">
        <v>578</v>
      </c>
      <c r="K1087" s="8">
        <f t="shared" si="57"/>
        <v>588.35</v>
      </c>
    </row>
    <row r="1088" spans="1:12" hidden="1">
      <c r="A1088" s="268"/>
      <c r="F1088" s="188">
        <v>2</v>
      </c>
      <c r="G1088" s="187" t="s">
        <v>835</v>
      </c>
      <c r="H1088" s="181" t="s">
        <v>1450</v>
      </c>
      <c r="I1088" s="8">
        <v>7.5</v>
      </c>
      <c r="J1088" s="2" t="s">
        <v>835</v>
      </c>
      <c r="K1088" s="8">
        <f t="shared" si="57"/>
        <v>15</v>
      </c>
    </row>
    <row r="1089" spans="1:11" hidden="1">
      <c r="A1089" s="268"/>
      <c r="F1089" s="188">
        <v>6</v>
      </c>
      <c r="G1089" s="187" t="s">
        <v>835</v>
      </c>
      <c r="H1089" s="181" t="s">
        <v>1291</v>
      </c>
      <c r="I1089" s="8">
        <f>C281</f>
        <v>25</v>
      </c>
      <c r="J1089" s="2" t="s">
        <v>835</v>
      </c>
      <c r="K1089" s="8">
        <f t="shared" si="57"/>
        <v>150</v>
      </c>
    </row>
    <row r="1090" spans="1:11" hidden="1">
      <c r="A1090" s="268"/>
      <c r="F1090" s="188">
        <v>2</v>
      </c>
      <c r="G1090" s="187" t="s">
        <v>835</v>
      </c>
      <c r="H1090" s="181" t="s">
        <v>2339</v>
      </c>
      <c r="I1090" s="8">
        <v>50</v>
      </c>
      <c r="J1090" s="2" t="s">
        <v>835</v>
      </c>
      <c r="K1090" s="8">
        <f t="shared" si="57"/>
        <v>100</v>
      </c>
    </row>
    <row r="1091" spans="1:11" hidden="1">
      <c r="A1091" s="268"/>
      <c r="F1091" s="188">
        <v>1</v>
      </c>
      <c r="G1091" s="187" t="s">
        <v>835</v>
      </c>
      <c r="H1091" s="181" t="s">
        <v>1360</v>
      </c>
      <c r="I1091" s="8">
        <v>50</v>
      </c>
      <c r="J1091" s="2" t="s">
        <v>835</v>
      </c>
      <c r="K1091" s="8">
        <f t="shared" si="57"/>
        <v>50</v>
      </c>
    </row>
    <row r="1092" spans="1:11" hidden="1">
      <c r="A1092" s="268"/>
      <c r="F1092" s="188">
        <v>2.52</v>
      </c>
      <c r="G1092" s="187" t="s">
        <v>578</v>
      </c>
      <c r="H1092" s="181" t="s">
        <v>1655</v>
      </c>
      <c r="I1092" s="8">
        <f>K1122</f>
        <v>51.25</v>
      </c>
      <c r="J1092" s="2" t="s">
        <v>578</v>
      </c>
      <c r="K1092" s="8">
        <f t="shared" si="57"/>
        <v>129.15</v>
      </c>
    </row>
    <row r="1093" spans="1:11" hidden="1">
      <c r="A1093" s="268"/>
      <c r="H1093" s="181" t="s">
        <v>1357</v>
      </c>
      <c r="I1093" s="2" t="s">
        <v>419</v>
      </c>
      <c r="J1093" s="4"/>
      <c r="K1093" s="8">
        <v>0.21</v>
      </c>
    </row>
    <row r="1094" spans="1:11" hidden="1">
      <c r="A1094" s="268"/>
      <c r="I1094"/>
      <c r="J1094" s="4"/>
      <c r="K1094" s="5" t="s">
        <v>1530</v>
      </c>
    </row>
    <row r="1095" spans="1:11" hidden="1">
      <c r="A1095" s="268"/>
      <c r="H1095" s="236" t="s">
        <v>1358</v>
      </c>
      <c r="I1095"/>
      <c r="J1095" s="4"/>
      <c r="K1095" s="8">
        <f>SUM(K1083:K1093)</f>
        <v>4322.25</v>
      </c>
    </row>
    <row r="1096" spans="1:11" hidden="1">
      <c r="A1096" s="268"/>
      <c r="G1096" s="187" t="s">
        <v>940</v>
      </c>
      <c r="I1096"/>
      <c r="J1096" s="4"/>
      <c r="K1096" s="5" t="s">
        <v>1530</v>
      </c>
    </row>
    <row r="1097" spans="1:11" hidden="1">
      <c r="A1097" s="268"/>
      <c r="H1097" s="236" t="s">
        <v>521</v>
      </c>
      <c r="I1097"/>
      <c r="J1097" s="4"/>
      <c r="K1097" s="8">
        <f>K1095/2.52</f>
        <v>1715.18</v>
      </c>
    </row>
    <row r="1098" spans="1:11" hidden="1">
      <c r="A1098" s="268"/>
      <c r="I1098"/>
      <c r="J1098" s="4"/>
      <c r="K1098" s="5" t="s">
        <v>1980</v>
      </c>
    </row>
    <row r="1099" spans="1:11" hidden="1">
      <c r="A1099" s="268"/>
      <c r="G1099" s="187" t="s">
        <v>2167</v>
      </c>
      <c r="H1099" s="181" t="s">
        <v>176</v>
      </c>
      <c r="I1099"/>
      <c r="J1099" s="4"/>
      <c r="K1099"/>
    </row>
    <row r="1100" spans="1:11" hidden="1">
      <c r="A1100" s="268"/>
      <c r="H1100" s="185" t="s">
        <v>1530</v>
      </c>
      <c r="I1100" s="5" t="s">
        <v>1530</v>
      </c>
      <c r="J1100" s="4"/>
      <c r="K1100"/>
    </row>
    <row r="1101" spans="1:11" hidden="1">
      <c r="A1101" s="268"/>
      <c r="F1101" s="188">
        <v>0.77</v>
      </c>
      <c r="G1101" s="187" t="s">
        <v>177</v>
      </c>
      <c r="H1101" s="181" t="s">
        <v>178</v>
      </c>
      <c r="I1101" s="8">
        <f>C193</f>
        <v>210</v>
      </c>
      <c r="J1101" s="2" t="s">
        <v>177</v>
      </c>
      <c r="K1101" s="8">
        <f>(F1101*I1101)</f>
        <v>161.69999999999999</v>
      </c>
    </row>
    <row r="1102" spans="1:11" hidden="1">
      <c r="A1102" s="268"/>
      <c r="F1102" s="188">
        <v>0.61</v>
      </c>
      <c r="G1102" s="187" t="s">
        <v>177</v>
      </c>
      <c r="H1102" s="181" t="s">
        <v>179</v>
      </c>
      <c r="I1102" s="8">
        <f>C192</f>
        <v>25</v>
      </c>
      <c r="J1102" s="2" t="s">
        <v>177</v>
      </c>
      <c r="K1102" s="8">
        <f>(F1102*I1102)</f>
        <v>15.25</v>
      </c>
    </row>
    <row r="1103" spans="1:11" hidden="1">
      <c r="A1103" s="268"/>
      <c r="F1103" s="188">
        <v>0.7</v>
      </c>
      <c r="G1103" s="187" t="s">
        <v>529</v>
      </c>
      <c r="H1103" s="181" t="s">
        <v>1457</v>
      </c>
      <c r="I1103" s="8">
        <f>C14</f>
        <v>120</v>
      </c>
      <c r="J1103" s="2" t="s">
        <v>1658</v>
      </c>
      <c r="K1103" s="8">
        <f>(F1103*I1103)</f>
        <v>84</v>
      </c>
    </row>
    <row r="1104" spans="1:11" hidden="1">
      <c r="A1104" s="268"/>
      <c r="F1104" s="188">
        <v>0.7</v>
      </c>
      <c r="G1104" s="187" t="s">
        <v>529</v>
      </c>
      <c r="H1104" s="181" t="s">
        <v>845</v>
      </c>
      <c r="I1104" s="8">
        <f>C12</f>
        <v>95</v>
      </c>
      <c r="J1104" s="2" t="s">
        <v>1658</v>
      </c>
      <c r="K1104" s="8">
        <f>(F1104*I1104)</f>
        <v>66.5</v>
      </c>
    </row>
    <row r="1105" spans="1:11" hidden="1">
      <c r="A1105" s="268"/>
      <c r="G1105" s="187" t="s">
        <v>419</v>
      </c>
      <c r="H1105" s="181" t="s">
        <v>1142</v>
      </c>
      <c r="I1105"/>
      <c r="J1105" s="2" t="s">
        <v>419</v>
      </c>
      <c r="K1105" s="8">
        <v>1.5</v>
      </c>
    </row>
    <row r="1106" spans="1:11" hidden="1">
      <c r="A1106" s="268"/>
      <c r="I1106"/>
      <c r="J1106" s="4"/>
      <c r="K1106" s="5" t="s">
        <v>1530</v>
      </c>
    </row>
    <row r="1107" spans="1:11" hidden="1">
      <c r="A1107" s="268"/>
      <c r="H1107" s="236" t="s">
        <v>1382</v>
      </c>
      <c r="I1107"/>
      <c r="J1107" s="4"/>
      <c r="K1107" s="8">
        <f>SUM(K1101:K1105)</f>
        <v>328.95</v>
      </c>
    </row>
    <row r="1108" spans="1:11" hidden="1">
      <c r="A1108" s="268"/>
      <c r="I1108"/>
      <c r="J1108" s="4"/>
      <c r="K1108" s="5" t="s">
        <v>1530</v>
      </c>
    </row>
    <row r="1109" spans="1:11" hidden="1">
      <c r="A1109" s="268"/>
      <c r="H1109" s="236" t="s">
        <v>521</v>
      </c>
      <c r="I1109"/>
      <c r="J1109" s="4"/>
      <c r="K1109" s="8">
        <f>(K1107/10)</f>
        <v>32.9</v>
      </c>
    </row>
    <row r="1110" spans="1:11" hidden="1">
      <c r="A1110" s="268"/>
      <c r="I1110"/>
      <c r="J1110" s="4"/>
      <c r="K1110" s="5" t="s">
        <v>1980</v>
      </c>
    </row>
    <row r="1111" spans="1:11" hidden="1">
      <c r="A1111" s="268"/>
      <c r="I1111"/>
      <c r="J1111" s="4"/>
      <c r="K1111"/>
    </row>
    <row r="1112" spans="1:11" hidden="1">
      <c r="A1112" s="268"/>
      <c r="F1112" s="181" t="s">
        <v>940</v>
      </c>
      <c r="G1112" s="187" t="s">
        <v>2167</v>
      </c>
      <c r="H1112" s="181" t="s">
        <v>1383</v>
      </c>
      <c r="I1112"/>
      <c r="J1112" s="4"/>
      <c r="K1112"/>
    </row>
    <row r="1113" spans="1:11" hidden="1">
      <c r="A1113" s="268"/>
      <c r="H1113" s="185" t="s">
        <v>1530</v>
      </c>
      <c r="I1113" s="5" t="s">
        <v>1530</v>
      </c>
      <c r="J1113" s="4"/>
      <c r="K1113"/>
    </row>
    <row r="1114" spans="1:11" hidden="1">
      <c r="A1114" s="268"/>
      <c r="F1114" s="188">
        <v>1.2</v>
      </c>
      <c r="G1114" s="187" t="s">
        <v>177</v>
      </c>
      <c r="H1114" s="181" t="s">
        <v>178</v>
      </c>
      <c r="I1114" s="8">
        <f>C193</f>
        <v>210</v>
      </c>
      <c r="J1114" s="2" t="s">
        <v>177</v>
      </c>
      <c r="K1114" s="8">
        <f>(F1114*I1114)</f>
        <v>252</v>
      </c>
    </row>
    <row r="1115" spans="1:11" hidden="1">
      <c r="A1115" s="268"/>
      <c r="F1115" s="188">
        <v>0.9</v>
      </c>
      <c r="G1115" s="187" t="s">
        <v>177</v>
      </c>
      <c r="H1115" s="181" t="s">
        <v>179</v>
      </c>
      <c r="I1115" s="8">
        <f>C192</f>
        <v>25</v>
      </c>
      <c r="J1115" s="2" t="s">
        <v>177</v>
      </c>
      <c r="K1115" s="8">
        <f>(F1115*I1115)</f>
        <v>22.5</v>
      </c>
    </row>
    <row r="1116" spans="1:11" hidden="1">
      <c r="A1116" s="268"/>
      <c r="F1116" s="188">
        <v>1.1000000000000001</v>
      </c>
      <c r="G1116" s="187" t="s">
        <v>529</v>
      </c>
      <c r="H1116" s="181" t="s">
        <v>1457</v>
      </c>
      <c r="I1116" s="8">
        <f>C14</f>
        <v>120</v>
      </c>
      <c r="J1116" s="2" t="s">
        <v>1658</v>
      </c>
      <c r="K1116" s="8">
        <f>(F1116*I1116)</f>
        <v>132</v>
      </c>
    </row>
    <row r="1117" spans="1:11" hidden="1">
      <c r="A1117" s="268"/>
      <c r="F1117" s="188">
        <v>1.1000000000000001</v>
      </c>
      <c r="G1117" s="187" t="s">
        <v>529</v>
      </c>
      <c r="H1117" s="181" t="s">
        <v>845</v>
      </c>
      <c r="I1117" s="8">
        <f>C12</f>
        <v>95</v>
      </c>
      <c r="J1117" s="2" t="s">
        <v>1658</v>
      </c>
      <c r="K1117" s="8">
        <f>(F1117*I1117)</f>
        <v>104.5</v>
      </c>
    </row>
    <row r="1118" spans="1:11" hidden="1">
      <c r="A1118" s="268"/>
      <c r="G1118" s="187" t="s">
        <v>419</v>
      </c>
      <c r="H1118" s="181" t="s">
        <v>1142</v>
      </c>
      <c r="I1118"/>
      <c r="J1118" s="2" t="s">
        <v>419</v>
      </c>
      <c r="K1118" s="8">
        <v>1.5</v>
      </c>
    </row>
    <row r="1119" spans="1:11" hidden="1">
      <c r="A1119" s="268"/>
      <c r="I1119"/>
      <c r="J1119" s="4"/>
      <c r="K1119" s="5" t="s">
        <v>1530</v>
      </c>
    </row>
    <row r="1120" spans="1:11" hidden="1">
      <c r="A1120" s="268"/>
      <c r="H1120" s="236" t="s">
        <v>1382</v>
      </c>
      <c r="I1120"/>
      <c r="J1120" s="4"/>
      <c r="K1120" s="8">
        <f>SUM(K1114:K1118)</f>
        <v>512.5</v>
      </c>
    </row>
    <row r="1121" spans="1:33" hidden="1">
      <c r="A1121" s="268"/>
      <c r="I1121"/>
      <c r="J1121" s="4"/>
      <c r="K1121" s="5" t="s">
        <v>1530</v>
      </c>
    </row>
    <row r="1122" spans="1:33" hidden="1">
      <c r="A1122" s="268"/>
      <c r="H1122" s="236" t="s">
        <v>521</v>
      </c>
      <c r="I1122"/>
      <c r="J1122" s="4"/>
      <c r="K1122" s="8">
        <f>(K1120/10)</f>
        <v>51.25</v>
      </c>
    </row>
    <row r="1123" spans="1:33" hidden="1">
      <c r="A1123" s="268"/>
      <c r="I1123"/>
      <c r="J1123" s="4"/>
      <c r="K1123" s="5" t="s">
        <v>1980</v>
      </c>
    </row>
    <row r="1124" spans="1:33" hidden="1">
      <c r="A1124" s="268"/>
      <c r="I1124"/>
      <c r="J1124" s="4"/>
      <c r="K1124"/>
    </row>
    <row r="1125" spans="1:33" hidden="1">
      <c r="A1125" s="268"/>
      <c r="F1125" s="257">
        <v>23.3</v>
      </c>
      <c r="H1125" s="182" t="s">
        <v>2203</v>
      </c>
      <c r="I1125"/>
      <c r="J1125" s="4"/>
      <c r="K1125">
        <v>35</v>
      </c>
    </row>
    <row r="1126" spans="1:33" hidden="1">
      <c r="A1126" s="268"/>
      <c r="I1126"/>
      <c r="J1126" s="4"/>
      <c r="K1126"/>
    </row>
    <row r="1127" spans="1:33" hidden="1">
      <c r="A1127" s="268"/>
      <c r="I1127"/>
      <c r="J1127" s="4"/>
      <c r="K1127"/>
    </row>
    <row r="1128" spans="1:33" hidden="1">
      <c r="A1128" s="268"/>
      <c r="F1128" s="236" t="s">
        <v>1384</v>
      </c>
      <c r="G1128" s="187" t="s">
        <v>2167</v>
      </c>
      <c r="H1128" s="181" t="s">
        <v>2331</v>
      </c>
      <c r="I1128"/>
      <c r="J1128" s="4"/>
      <c r="K1128"/>
      <c r="AG1128" s="181" t="s">
        <v>2175</v>
      </c>
    </row>
    <row r="1129" spans="1:33" hidden="1">
      <c r="A1129" s="268"/>
      <c r="H1129" s="181" t="s">
        <v>1385</v>
      </c>
      <c r="I1129"/>
      <c r="J1129" s="4"/>
      <c r="K1129"/>
      <c r="AG1129" s="181" t="s">
        <v>2175</v>
      </c>
    </row>
    <row r="1130" spans="1:33" hidden="1">
      <c r="A1130" s="268"/>
      <c r="H1130" s="185" t="s">
        <v>1530</v>
      </c>
      <c r="I1130" s="5" t="s">
        <v>1530</v>
      </c>
      <c r="J1130" s="4"/>
      <c r="K1130"/>
      <c r="AG1130" s="181" t="s">
        <v>2175</v>
      </c>
    </row>
    <row r="1131" spans="1:33" hidden="1">
      <c r="A1131" s="268"/>
      <c r="F1131" s="256">
        <v>0.53339999999999999</v>
      </c>
      <c r="G1131" s="187" t="s">
        <v>2199</v>
      </c>
      <c r="H1131" s="181" t="s">
        <v>2332</v>
      </c>
      <c r="I1131" s="8">
        <f>C271</f>
        <v>160</v>
      </c>
      <c r="J1131" s="2" t="s">
        <v>2199</v>
      </c>
      <c r="K1131" s="8">
        <f>(F1131*I1131)</f>
        <v>85.34</v>
      </c>
      <c r="AG1131" s="181" t="s">
        <v>2175</v>
      </c>
    </row>
    <row r="1132" spans="1:33" hidden="1">
      <c r="A1132" s="268"/>
      <c r="F1132" s="188">
        <v>4.24</v>
      </c>
      <c r="G1132" s="187" t="s">
        <v>794</v>
      </c>
      <c r="H1132" s="181" t="s">
        <v>672</v>
      </c>
      <c r="I1132" s="8">
        <v>13.66</v>
      </c>
      <c r="J1132" s="2" t="s">
        <v>794</v>
      </c>
      <c r="K1132" s="8">
        <f>(F1132*I1132)</f>
        <v>57.92</v>
      </c>
      <c r="AG1132" s="181" t="s">
        <v>2175</v>
      </c>
    </row>
    <row r="1133" spans="1:33" hidden="1">
      <c r="A1133" s="268"/>
      <c r="F1133" s="188">
        <v>16</v>
      </c>
      <c r="G1133" s="187" t="s">
        <v>529</v>
      </c>
      <c r="H1133" s="181" t="s">
        <v>673</v>
      </c>
      <c r="I1133" s="8">
        <v>0.5</v>
      </c>
      <c r="J1133" s="2" t="s">
        <v>1341</v>
      </c>
      <c r="K1133" s="8">
        <f>(F1133*I1133)</f>
        <v>8</v>
      </c>
      <c r="AG1133" s="181" t="s">
        <v>300</v>
      </c>
    </row>
    <row r="1134" spans="1:33" hidden="1">
      <c r="A1134" s="268"/>
      <c r="F1134" s="256">
        <v>0.53339999999999999</v>
      </c>
      <c r="G1134" s="187" t="s">
        <v>2199</v>
      </c>
      <c r="H1134" s="181" t="s">
        <v>674</v>
      </c>
      <c r="I1134" s="8">
        <f>0.25/1.08*D16</f>
        <v>31.25</v>
      </c>
      <c r="J1134" s="2" t="s">
        <v>2199</v>
      </c>
      <c r="K1134" s="8">
        <f>(F1134*I1134)</f>
        <v>16.670000000000002</v>
      </c>
    </row>
    <row r="1135" spans="1:33" hidden="1">
      <c r="A1135" s="268"/>
      <c r="G1135" s="187" t="s">
        <v>419</v>
      </c>
      <c r="H1135" s="181" t="s">
        <v>2187</v>
      </c>
      <c r="I1135"/>
      <c r="J1135" s="2" t="s">
        <v>419</v>
      </c>
      <c r="K1135" s="8">
        <v>0</v>
      </c>
    </row>
    <row r="1136" spans="1:33" hidden="1">
      <c r="A1136" s="268"/>
      <c r="H1136" s="181" t="s">
        <v>2188</v>
      </c>
      <c r="I1136"/>
      <c r="J1136" s="4"/>
      <c r="K1136"/>
      <c r="AG1136" s="181" t="s">
        <v>2175</v>
      </c>
    </row>
    <row r="1137" spans="1:33" hidden="1">
      <c r="A1137" s="268"/>
      <c r="I1137"/>
      <c r="J1137" s="4"/>
      <c r="K1137" s="5" t="s">
        <v>1530</v>
      </c>
      <c r="AG1137" s="181" t="s">
        <v>2175</v>
      </c>
    </row>
    <row r="1138" spans="1:33" hidden="1">
      <c r="A1138" s="268"/>
      <c r="H1138" s="236" t="s">
        <v>1640</v>
      </c>
      <c r="I1138"/>
      <c r="J1138" s="4"/>
      <c r="K1138" s="8">
        <f>SUM(K1131:K1135)</f>
        <v>167.93</v>
      </c>
      <c r="AG1138" s="181" t="s">
        <v>2175</v>
      </c>
    </row>
    <row r="1139" spans="1:33" hidden="1">
      <c r="A1139" s="268"/>
      <c r="I1139"/>
      <c r="J1139" s="4"/>
      <c r="K1139" s="5" t="s">
        <v>1530</v>
      </c>
      <c r="AG1139" s="181" t="s">
        <v>2175</v>
      </c>
    </row>
    <row r="1140" spans="1:33" hidden="1">
      <c r="A1140" s="268"/>
      <c r="H1140" s="236" t="s">
        <v>1641</v>
      </c>
      <c r="I1140"/>
      <c r="J1140" s="4"/>
      <c r="K1140" s="8">
        <f>ROUND(K1138/0.5334,1)</f>
        <v>314.8</v>
      </c>
      <c r="AG1140" s="181" t="s">
        <v>2175</v>
      </c>
    </row>
    <row r="1141" spans="1:33" hidden="1">
      <c r="A1141" s="268"/>
      <c r="F1141" s="181" t="s">
        <v>940</v>
      </c>
      <c r="I1141"/>
      <c r="J1141" s="4"/>
      <c r="K1141" s="5" t="s">
        <v>1980</v>
      </c>
    </row>
    <row r="1142" spans="1:33" hidden="1">
      <c r="A1142" s="268"/>
      <c r="F1142" s="181" t="s">
        <v>940</v>
      </c>
      <c r="G1142" s="187" t="s">
        <v>940</v>
      </c>
      <c r="H1142" s="181" t="s">
        <v>940</v>
      </c>
      <c r="I1142"/>
      <c r="J1142" s="4"/>
      <c r="K1142"/>
    </row>
    <row r="1143" spans="1:33" hidden="1">
      <c r="A1143" s="268"/>
      <c r="F1143" s="236" t="s">
        <v>1736</v>
      </c>
      <c r="G1143" s="187" t="s">
        <v>2167</v>
      </c>
      <c r="H1143" s="181" t="s">
        <v>1435</v>
      </c>
      <c r="I1143"/>
      <c r="J1143" s="4"/>
      <c r="K1143"/>
      <c r="AG1143" s="181" t="s">
        <v>2175</v>
      </c>
    </row>
    <row r="1144" spans="1:33" hidden="1">
      <c r="A1144" s="268"/>
      <c r="H1144" s="181" t="s">
        <v>1436</v>
      </c>
      <c r="I1144"/>
      <c r="J1144" s="4"/>
      <c r="K1144"/>
      <c r="AG1144" s="181" t="s">
        <v>2175</v>
      </c>
    </row>
    <row r="1145" spans="1:33" hidden="1">
      <c r="A1145" s="268"/>
      <c r="H1145" s="185" t="s">
        <v>1530</v>
      </c>
      <c r="I1145"/>
      <c r="J1145" s="4"/>
      <c r="K1145"/>
      <c r="AG1145" s="181" t="s">
        <v>2175</v>
      </c>
    </row>
    <row r="1146" spans="1:33" hidden="1">
      <c r="A1146" s="268"/>
      <c r="F1146" s="188">
        <v>1</v>
      </c>
      <c r="G1146" s="187" t="s">
        <v>1591</v>
      </c>
      <c r="H1146" s="181" t="s">
        <v>2333</v>
      </c>
      <c r="I1146" s="8">
        <f>(C638)</f>
        <v>37</v>
      </c>
      <c r="J1146" s="2" t="s">
        <v>1591</v>
      </c>
      <c r="K1146" s="8">
        <f>(F1146*I1146)</f>
        <v>37</v>
      </c>
      <c r="AG1146" s="181" t="s">
        <v>2175</v>
      </c>
    </row>
    <row r="1147" spans="1:33" hidden="1">
      <c r="A1147" s="268"/>
      <c r="I1147"/>
      <c r="J1147" s="4"/>
      <c r="K1147" s="5" t="s">
        <v>1980</v>
      </c>
      <c r="AG1147" s="181" t="s">
        <v>2175</v>
      </c>
    </row>
    <row r="1148" spans="1:33" hidden="1">
      <c r="A1148" s="268"/>
      <c r="I1148"/>
      <c r="J1148" s="4"/>
      <c r="K1148"/>
      <c r="AG1148" s="181" t="s">
        <v>2175</v>
      </c>
    </row>
    <row r="1149" spans="1:33" hidden="1">
      <c r="A1149" s="268"/>
      <c r="F1149" s="236" t="s">
        <v>415</v>
      </c>
      <c r="G1149" s="187" t="s">
        <v>2167</v>
      </c>
      <c r="H1149" s="181" t="s">
        <v>247</v>
      </c>
      <c r="I1149" s="1" t="s">
        <v>940</v>
      </c>
      <c r="J1149" s="2" t="s">
        <v>1658</v>
      </c>
      <c r="K1149" s="8">
        <v>3.7</v>
      </c>
      <c r="AG1149" s="181" t="s">
        <v>2175</v>
      </c>
    </row>
    <row r="1150" spans="1:33" hidden="1">
      <c r="A1150" s="268"/>
      <c r="H1150" s="181" t="s">
        <v>248</v>
      </c>
      <c r="I1150"/>
      <c r="J1150" s="4"/>
      <c r="K1150" s="5" t="s">
        <v>1980</v>
      </c>
      <c r="AG1150" s="181" t="s">
        <v>2175</v>
      </c>
    </row>
    <row r="1151" spans="1:33" hidden="1">
      <c r="A1151" s="268"/>
      <c r="I1151"/>
      <c r="J1151" s="4"/>
      <c r="K1151"/>
      <c r="AG1151" s="181" t="s">
        <v>2175</v>
      </c>
    </row>
    <row r="1152" spans="1:33" hidden="1">
      <c r="A1152" s="268"/>
      <c r="F1152" s="236" t="s">
        <v>219</v>
      </c>
      <c r="G1152" s="187" t="s">
        <v>2167</v>
      </c>
      <c r="H1152" s="181" t="s">
        <v>1856</v>
      </c>
      <c r="I1152"/>
      <c r="J1152" s="4"/>
      <c r="K1152"/>
      <c r="AG1152" s="181" t="s">
        <v>2175</v>
      </c>
    </row>
    <row r="1153" spans="1:33" hidden="1">
      <c r="A1153" s="268"/>
      <c r="H1153" s="181" t="s">
        <v>896</v>
      </c>
      <c r="I1153"/>
      <c r="J1153" s="4"/>
      <c r="K1153"/>
      <c r="AG1153" s="181" t="s">
        <v>2175</v>
      </c>
    </row>
    <row r="1154" spans="1:33" hidden="1">
      <c r="A1154" s="268"/>
      <c r="H1154" s="185" t="s">
        <v>1530</v>
      </c>
      <c r="I1154"/>
      <c r="J1154" s="4"/>
      <c r="K1154"/>
      <c r="AG1154" s="181" t="s">
        <v>2175</v>
      </c>
    </row>
    <row r="1155" spans="1:33" hidden="1">
      <c r="A1155" s="268"/>
      <c r="F1155" s="188">
        <v>0.22</v>
      </c>
      <c r="G1155" s="187" t="s">
        <v>836</v>
      </c>
      <c r="H1155" s="181" t="s">
        <v>1258</v>
      </c>
      <c r="I1155" s="8" t="e">
        <f>(K40)</f>
        <v>#REF!</v>
      </c>
      <c r="J1155" s="2" t="s">
        <v>836</v>
      </c>
      <c r="K1155" s="8" t="e">
        <f>(F1155*I1155)</f>
        <v>#REF!</v>
      </c>
      <c r="AG1155" s="181" t="s">
        <v>2175</v>
      </c>
    </row>
    <row r="1156" spans="1:33" hidden="1">
      <c r="A1156" s="268"/>
      <c r="F1156" s="188">
        <v>2.2000000000000002</v>
      </c>
      <c r="G1156" s="187" t="s">
        <v>739</v>
      </c>
      <c r="H1156" s="181" t="s">
        <v>1938</v>
      </c>
      <c r="I1156" s="8">
        <f>(C10)</f>
        <v>150</v>
      </c>
      <c r="J1156" s="2" t="s">
        <v>739</v>
      </c>
      <c r="K1156" s="8">
        <f>(F1156*I1156)</f>
        <v>330</v>
      </c>
      <c r="AG1156" s="181" t="s">
        <v>2175</v>
      </c>
    </row>
    <row r="1157" spans="1:33" hidden="1">
      <c r="A1157" s="268"/>
      <c r="F1157" s="188">
        <v>0.5</v>
      </c>
      <c r="G1157" s="187" t="s">
        <v>739</v>
      </c>
      <c r="H1157" s="181" t="s">
        <v>897</v>
      </c>
      <c r="I1157" s="8">
        <f>(C12)</f>
        <v>95</v>
      </c>
      <c r="J1157" s="2" t="s">
        <v>739</v>
      </c>
      <c r="K1157" s="8">
        <f>(F1157*I1157)</f>
        <v>47.5</v>
      </c>
      <c r="AG1157" s="181" t="s">
        <v>2175</v>
      </c>
    </row>
    <row r="1158" spans="1:33" hidden="1">
      <c r="A1158" s="268"/>
      <c r="F1158" s="188">
        <v>3.2</v>
      </c>
      <c r="G1158" s="187" t="s">
        <v>739</v>
      </c>
      <c r="H1158" s="181" t="s">
        <v>299</v>
      </c>
      <c r="I1158" s="8">
        <f>(C13)</f>
        <v>85</v>
      </c>
      <c r="J1158" s="2" t="s">
        <v>739</v>
      </c>
      <c r="K1158" s="8">
        <f>(F1158*I1158)</f>
        <v>272</v>
      </c>
      <c r="AG1158" s="181" t="s">
        <v>2175</v>
      </c>
    </row>
    <row r="1159" spans="1:33" hidden="1">
      <c r="A1159" s="268"/>
      <c r="G1159" s="187" t="s">
        <v>419</v>
      </c>
      <c r="H1159" s="181" t="s">
        <v>420</v>
      </c>
      <c r="I1159" s="1" t="s">
        <v>940</v>
      </c>
      <c r="J1159" s="2" t="s">
        <v>419</v>
      </c>
      <c r="K1159" s="8">
        <v>0</v>
      </c>
      <c r="AG1159" s="181" t="s">
        <v>2175</v>
      </c>
    </row>
    <row r="1160" spans="1:33" hidden="1">
      <c r="A1160" s="268"/>
      <c r="I1160"/>
      <c r="J1160" s="4"/>
      <c r="K1160" s="5" t="s">
        <v>1530</v>
      </c>
      <c r="AG1160" s="181" t="s">
        <v>2175</v>
      </c>
    </row>
    <row r="1161" spans="1:33" hidden="1">
      <c r="A1161" s="268"/>
      <c r="H1161" s="181" t="s">
        <v>411</v>
      </c>
      <c r="I1161"/>
      <c r="J1161" s="4"/>
      <c r="K1161" s="8" t="e">
        <f>SUM(K1155:K1159)</f>
        <v>#REF!</v>
      </c>
      <c r="AG1161" s="181" t="s">
        <v>2175</v>
      </c>
    </row>
    <row r="1162" spans="1:33" hidden="1">
      <c r="A1162" s="268"/>
      <c r="I1162"/>
      <c r="J1162" s="4"/>
      <c r="K1162" s="5" t="s">
        <v>1530</v>
      </c>
      <c r="AG1162" s="181" t="s">
        <v>2175</v>
      </c>
    </row>
    <row r="1163" spans="1:33" hidden="1">
      <c r="A1163" s="268"/>
      <c r="H1163" s="181" t="s">
        <v>521</v>
      </c>
      <c r="I1163"/>
      <c r="J1163" s="4"/>
      <c r="K1163" s="8" t="e">
        <f>(K1161/10)</f>
        <v>#REF!</v>
      </c>
      <c r="AG1163" s="181" t="s">
        <v>2175</v>
      </c>
    </row>
    <row r="1164" spans="1:33" hidden="1">
      <c r="A1164" s="268"/>
      <c r="I1164"/>
      <c r="J1164" s="4"/>
      <c r="K1164" s="5" t="s">
        <v>1980</v>
      </c>
      <c r="AG1164" s="181" t="s">
        <v>2175</v>
      </c>
    </row>
    <row r="1165" spans="1:33" hidden="1">
      <c r="A1165" s="268"/>
      <c r="F1165" s="236" t="s">
        <v>898</v>
      </c>
      <c r="G1165" s="187" t="s">
        <v>2167</v>
      </c>
      <c r="H1165" s="181" t="s">
        <v>1778</v>
      </c>
      <c r="I1165"/>
      <c r="J1165" s="4"/>
      <c r="K1165"/>
      <c r="AG1165" s="181" t="s">
        <v>2175</v>
      </c>
    </row>
    <row r="1166" spans="1:33" hidden="1">
      <c r="A1166" s="268"/>
      <c r="H1166" s="181" t="s">
        <v>1806</v>
      </c>
      <c r="I1166"/>
      <c r="J1166" s="4"/>
      <c r="K1166"/>
      <c r="AG1166" s="181" t="s">
        <v>2175</v>
      </c>
    </row>
    <row r="1167" spans="1:33" hidden="1">
      <c r="A1167" s="268"/>
      <c r="H1167" s="185" t="s">
        <v>1530</v>
      </c>
      <c r="I1167"/>
      <c r="J1167" s="4"/>
      <c r="K1167"/>
      <c r="AG1167" s="181" t="s">
        <v>2175</v>
      </c>
    </row>
    <row r="1168" spans="1:33" hidden="1">
      <c r="A1168" s="268"/>
      <c r="F1168" s="188">
        <v>160</v>
      </c>
      <c r="G1168" s="187" t="s">
        <v>1807</v>
      </c>
      <c r="H1168" s="181" t="s">
        <v>1808</v>
      </c>
      <c r="I1168" s="8">
        <f>(C136)</f>
        <v>8240</v>
      </c>
      <c r="J1168" s="2" t="s">
        <v>1424</v>
      </c>
      <c r="K1168" s="8">
        <f>(F1168*I1168)/1000</f>
        <v>1318.4</v>
      </c>
      <c r="AG1168" s="181" t="s">
        <v>300</v>
      </c>
    </row>
    <row r="1169" spans="1:33" hidden="1">
      <c r="A1169" s="268"/>
      <c r="H1169" s="181" t="s">
        <v>1809</v>
      </c>
      <c r="I1169" s="1" t="s">
        <v>940</v>
      </c>
      <c r="J1169" s="4"/>
      <c r="K1169" s="1" t="s">
        <v>940</v>
      </c>
    </row>
    <row r="1170" spans="1:33" hidden="1">
      <c r="A1170" s="268"/>
      <c r="F1170" s="188">
        <v>0.21</v>
      </c>
      <c r="G1170" s="187" t="s">
        <v>836</v>
      </c>
      <c r="H1170" s="181" t="s">
        <v>1810</v>
      </c>
      <c r="I1170" s="8" t="e">
        <f>(K32)</f>
        <v>#REF!</v>
      </c>
      <c r="J1170" s="2" t="s">
        <v>836</v>
      </c>
      <c r="K1170" s="8" t="e">
        <f>(F1170*I1170)</f>
        <v>#REF!</v>
      </c>
    </row>
    <row r="1171" spans="1:33" hidden="1">
      <c r="A1171" s="268"/>
      <c r="H1171" s="181" t="s">
        <v>1811</v>
      </c>
      <c r="I1171" s="1" t="s">
        <v>940</v>
      </c>
      <c r="J1171" s="4"/>
      <c r="K1171" s="1" t="s">
        <v>940</v>
      </c>
      <c r="AG1171" s="181" t="s">
        <v>2175</v>
      </c>
    </row>
    <row r="1172" spans="1:33" hidden="1">
      <c r="A1172" s="268"/>
      <c r="F1172" s="188">
        <v>1.1000000000000001</v>
      </c>
      <c r="G1172" s="187" t="s">
        <v>739</v>
      </c>
      <c r="H1172" s="181" t="s">
        <v>1938</v>
      </c>
      <c r="I1172" s="8">
        <f>(C10)</f>
        <v>150</v>
      </c>
      <c r="J1172" s="2" t="s">
        <v>739</v>
      </c>
      <c r="K1172" s="8">
        <f>(F1172*I1172)</f>
        <v>165</v>
      </c>
      <c r="AG1172" s="181" t="s">
        <v>2175</v>
      </c>
    </row>
    <row r="1173" spans="1:33" hidden="1">
      <c r="A1173" s="268"/>
      <c r="F1173" s="188">
        <v>1.1000000000000001</v>
      </c>
      <c r="G1173" s="187" t="s">
        <v>739</v>
      </c>
      <c r="H1173" s="181" t="s">
        <v>1654</v>
      </c>
      <c r="I1173" s="8">
        <f>(C11)</f>
        <v>135</v>
      </c>
      <c r="J1173" s="2" t="s">
        <v>739</v>
      </c>
      <c r="K1173" s="8">
        <f>(F1173*I1173)</f>
        <v>148.5</v>
      </c>
      <c r="AG1173" s="181" t="s">
        <v>2175</v>
      </c>
    </row>
    <row r="1174" spans="1:33" hidden="1">
      <c r="A1174" s="268"/>
      <c r="F1174" s="188">
        <v>2.2000000000000002</v>
      </c>
      <c r="G1174" s="187" t="s">
        <v>739</v>
      </c>
      <c r="H1174" s="181" t="s">
        <v>1836</v>
      </c>
      <c r="I1174" s="8">
        <f>(C12)</f>
        <v>95</v>
      </c>
      <c r="J1174" s="2" t="s">
        <v>739</v>
      </c>
      <c r="K1174" s="8">
        <f>(F1174*I1174)</f>
        <v>209</v>
      </c>
      <c r="AG1174" s="181" t="s">
        <v>2175</v>
      </c>
    </row>
    <row r="1175" spans="1:33" hidden="1">
      <c r="A1175" s="268"/>
      <c r="F1175" s="188">
        <v>2.2000000000000002</v>
      </c>
      <c r="G1175" s="187" t="s">
        <v>739</v>
      </c>
      <c r="H1175" s="181" t="s">
        <v>299</v>
      </c>
      <c r="I1175" s="8">
        <f>(C13)</f>
        <v>85</v>
      </c>
      <c r="J1175" s="2" t="s">
        <v>739</v>
      </c>
      <c r="K1175" s="8">
        <f>(F1175*I1175)</f>
        <v>187</v>
      </c>
      <c r="AG1175" s="181" t="s">
        <v>2175</v>
      </c>
    </row>
    <row r="1176" spans="1:33" hidden="1">
      <c r="A1176" s="268"/>
      <c r="F1176" s="245">
        <v>22</v>
      </c>
      <c r="G1176" s="187" t="s">
        <v>1591</v>
      </c>
      <c r="H1176" s="181" t="s">
        <v>829</v>
      </c>
      <c r="I1176" s="8">
        <f>(C67)</f>
        <v>3800</v>
      </c>
      <c r="J1176" s="2" t="s">
        <v>828</v>
      </c>
      <c r="K1176" s="8">
        <f>(F1176*I1176)/1000</f>
        <v>83.6</v>
      </c>
      <c r="AG1176" s="181" t="s">
        <v>2175</v>
      </c>
    </row>
    <row r="1177" spans="1:33" hidden="1">
      <c r="A1177" s="268"/>
      <c r="F1177" s="188">
        <v>1.6</v>
      </c>
      <c r="G1177" s="187" t="s">
        <v>739</v>
      </c>
      <c r="H1177" s="181" t="s">
        <v>1654</v>
      </c>
      <c r="I1177" s="8">
        <f>(C11)</f>
        <v>135</v>
      </c>
      <c r="J1177" s="2" t="s">
        <v>739</v>
      </c>
      <c r="K1177" s="8">
        <f>(F1177*I1177)</f>
        <v>216</v>
      </c>
      <c r="AG1177" s="181" t="s">
        <v>2175</v>
      </c>
    </row>
    <row r="1178" spans="1:33" hidden="1">
      <c r="A1178" s="268"/>
      <c r="F1178" s="188">
        <v>0.5</v>
      </c>
      <c r="G1178" s="187" t="s">
        <v>739</v>
      </c>
      <c r="H1178" s="181" t="s">
        <v>1836</v>
      </c>
      <c r="I1178" s="8">
        <f>(C12)</f>
        <v>95</v>
      </c>
      <c r="J1178" s="2" t="s">
        <v>739</v>
      </c>
      <c r="K1178" s="8">
        <f>(F1178*I1178)</f>
        <v>47.5</v>
      </c>
      <c r="AG1178" s="181" t="s">
        <v>2175</v>
      </c>
    </row>
    <row r="1179" spans="1:33" hidden="1">
      <c r="A1179" s="268"/>
      <c r="F1179" s="188">
        <v>1.1000000000000001</v>
      </c>
      <c r="G1179" s="187" t="s">
        <v>739</v>
      </c>
      <c r="H1179" s="181" t="s">
        <v>299</v>
      </c>
      <c r="I1179" s="8">
        <f>(C13)</f>
        <v>85</v>
      </c>
      <c r="J1179" s="2" t="s">
        <v>739</v>
      </c>
      <c r="K1179" s="8">
        <f>(F1179*I1179)</f>
        <v>93.5</v>
      </c>
      <c r="AG1179" s="181" t="s">
        <v>2175</v>
      </c>
    </row>
    <row r="1180" spans="1:33" hidden="1">
      <c r="A1180" s="268"/>
      <c r="F1180" s="181" t="s">
        <v>234</v>
      </c>
      <c r="H1180" s="181" t="s">
        <v>1812</v>
      </c>
      <c r="I1180" s="1" t="s">
        <v>940</v>
      </c>
      <c r="J1180" s="4"/>
      <c r="K1180" s="1" t="s">
        <v>940</v>
      </c>
      <c r="AG1180" s="181" t="s">
        <v>2175</v>
      </c>
    </row>
    <row r="1181" spans="1:33" hidden="1">
      <c r="A1181" s="268"/>
      <c r="F1181" s="188">
        <v>1</v>
      </c>
      <c r="G1181" s="187" t="s">
        <v>419</v>
      </c>
      <c r="H1181" s="181" t="s">
        <v>1813</v>
      </c>
      <c r="I1181" s="8">
        <f>(C57)</f>
        <v>35</v>
      </c>
      <c r="J1181" s="2" t="s">
        <v>419</v>
      </c>
      <c r="K1181" s="8">
        <f>(F1181*I1181)</f>
        <v>35</v>
      </c>
      <c r="AG1181" s="181" t="s">
        <v>2175</v>
      </c>
    </row>
    <row r="1182" spans="1:33" hidden="1">
      <c r="A1182" s="268"/>
      <c r="F1182" s="188">
        <v>1</v>
      </c>
      <c r="G1182" s="187" t="s">
        <v>419</v>
      </c>
      <c r="H1182" s="181" t="s">
        <v>1814</v>
      </c>
      <c r="I1182" s="8">
        <f>(C58)</f>
        <v>15</v>
      </c>
      <c r="J1182" s="2" t="s">
        <v>419</v>
      </c>
      <c r="K1182" s="8">
        <f>(F1182*I1182)</f>
        <v>15</v>
      </c>
      <c r="AG1182" s="181" t="s">
        <v>2175</v>
      </c>
    </row>
    <row r="1183" spans="1:33" hidden="1">
      <c r="A1183" s="268"/>
      <c r="F1183" s="188">
        <v>1</v>
      </c>
      <c r="G1183" s="187" t="s">
        <v>419</v>
      </c>
      <c r="H1183" s="181" t="s">
        <v>172</v>
      </c>
      <c r="I1183" s="8">
        <f>(C28)</f>
        <v>58.33</v>
      </c>
      <c r="J1183" s="2" t="s">
        <v>419</v>
      </c>
      <c r="K1183" s="8">
        <f>(F1183*I1183)</f>
        <v>58.33</v>
      </c>
      <c r="AG1183" s="181" t="s">
        <v>2175</v>
      </c>
    </row>
    <row r="1184" spans="1:33" hidden="1">
      <c r="A1184" s="268"/>
      <c r="F1184" s="188">
        <v>1.1000000000000001</v>
      </c>
      <c r="G1184" s="187" t="s">
        <v>739</v>
      </c>
      <c r="H1184" s="181" t="s">
        <v>823</v>
      </c>
      <c r="I1184" s="8">
        <f>(C29)</f>
        <v>120</v>
      </c>
      <c r="J1184" s="2" t="s">
        <v>739</v>
      </c>
      <c r="K1184" s="8">
        <f>(F1184*I1184)</f>
        <v>132</v>
      </c>
      <c r="AG1184" s="181" t="s">
        <v>2175</v>
      </c>
    </row>
    <row r="1185" spans="1:33" hidden="1">
      <c r="A1185" s="268"/>
      <c r="F1185" s="188">
        <v>2.2000000000000002</v>
      </c>
      <c r="G1185" s="187" t="s">
        <v>739</v>
      </c>
      <c r="H1185" s="181" t="s">
        <v>824</v>
      </c>
      <c r="I1185" s="8">
        <f>(C13)</f>
        <v>85</v>
      </c>
      <c r="J1185" s="2" t="s">
        <v>739</v>
      </c>
      <c r="K1185" s="8">
        <f>(F1185*I1185)</f>
        <v>187</v>
      </c>
      <c r="AG1185" s="181" t="s">
        <v>2175</v>
      </c>
    </row>
    <row r="1186" spans="1:33" hidden="1">
      <c r="A1186" s="268"/>
      <c r="G1186" s="187" t="s">
        <v>419</v>
      </c>
      <c r="H1186" s="181" t="s">
        <v>420</v>
      </c>
      <c r="I1186"/>
      <c r="J1186" s="2" t="s">
        <v>419</v>
      </c>
      <c r="K1186" s="8">
        <v>0</v>
      </c>
      <c r="AG1186" s="181" t="s">
        <v>2175</v>
      </c>
    </row>
    <row r="1187" spans="1:33" hidden="1">
      <c r="A1187" s="268"/>
      <c r="I1187"/>
      <c r="J1187" s="4"/>
      <c r="K1187" s="5" t="s">
        <v>1530</v>
      </c>
      <c r="AG1187" s="181" t="s">
        <v>2175</v>
      </c>
    </row>
    <row r="1188" spans="1:33" hidden="1">
      <c r="A1188" s="268"/>
      <c r="H1188" s="181" t="s">
        <v>411</v>
      </c>
      <c r="I1188"/>
      <c r="J1188" s="4"/>
      <c r="K1188" s="8" t="e">
        <f>SUM(K1168:K1186)</f>
        <v>#REF!</v>
      </c>
      <c r="AG1188" s="181" t="s">
        <v>2175</v>
      </c>
    </row>
    <row r="1189" spans="1:33" hidden="1">
      <c r="A1189" s="268"/>
      <c r="I1189"/>
      <c r="J1189" s="4"/>
      <c r="K1189" s="5" t="s">
        <v>1530</v>
      </c>
      <c r="AG1189" s="181" t="s">
        <v>2175</v>
      </c>
    </row>
    <row r="1190" spans="1:33" hidden="1">
      <c r="A1190" s="268"/>
      <c r="F1190" s="181" t="s">
        <v>940</v>
      </c>
      <c r="I1190"/>
      <c r="J1190" s="4"/>
      <c r="K1190"/>
    </row>
    <row r="1191" spans="1:33" hidden="1">
      <c r="A1191" s="268"/>
      <c r="H1191" s="181" t="s">
        <v>521</v>
      </c>
      <c r="I1191"/>
      <c r="J1191" s="4"/>
      <c r="K1191" s="8" t="e">
        <f>(K1188/10)</f>
        <v>#REF!</v>
      </c>
      <c r="AG1191" s="181" t="s">
        <v>2175</v>
      </c>
    </row>
    <row r="1192" spans="1:33" hidden="1">
      <c r="A1192" s="268"/>
      <c r="F1192" s="181" t="s">
        <v>940</v>
      </c>
      <c r="I1192"/>
      <c r="J1192" s="4"/>
      <c r="K1192"/>
    </row>
    <row r="1193" spans="1:33" hidden="1">
      <c r="A1193" s="268"/>
      <c r="I1193"/>
      <c r="J1193" s="4"/>
      <c r="K1193" s="5" t="s">
        <v>1980</v>
      </c>
      <c r="AG1193" s="181" t="s">
        <v>2175</v>
      </c>
    </row>
    <row r="1194" spans="1:33" hidden="1">
      <c r="A1194" s="268"/>
      <c r="F1194" s="246">
        <v>29.5</v>
      </c>
      <c r="G1194" s="187" t="s">
        <v>2167</v>
      </c>
      <c r="H1194" s="181" t="s">
        <v>1749</v>
      </c>
      <c r="I1194"/>
      <c r="J1194" s="4"/>
      <c r="K1194"/>
      <c r="AG1194" s="181" t="s">
        <v>2175</v>
      </c>
    </row>
    <row r="1195" spans="1:33" hidden="1">
      <c r="A1195" s="268"/>
      <c r="H1195" s="181" t="s">
        <v>825</v>
      </c>
      <c r="I1195"/>
      <c r="J1195" s="4"/>
      <c r="K1195"/>
      <c r="AG1195" s="181" t="s">
        <v>2175</v>
      </c>
    </row>
    <row r="1196" spans="1:33" hidden="1">
      <c r="A1196" s="268"/>
      <c r="H1196" s="181" t="s">
        <v>1869</v>
      </c>
      <c r="I1196"/>
      <c r="J1196" s="4"/>
      <c r="K1196"/>
      <c r="AG1196" s="181" t="s">
        <v>2175</v>
      </c>
    </row>
    <row r="1197" spans="1:33" hidden="1">
      <c r="A1197" s="268"/>
      <c r="H1197" s="185" t="s">
        <v>1530</v>
      </c>
      <c r="I1197" s="5" t="s">
        <v>1530</v>
      </c>
      <c r="J1197" s="4"/>
      <c r="K1197"/>
      <c r="AG1197" s="181" t="s">
        <v>2175</v>
      </c>
    </row>
    <row r="1198" spans="1:33" hidden="1">
      <c r="A1198" s="268"/>
      <c r="F1198" s="188">
        <v>10</v>
      </c>
      <c r="G1198" s="187" t="s">
        <v>578</v>
      </c>
      <c r="H1198" s="181" t="s">
        <v>1870</v>
      </c>
      <c r="I1198" s="8">
        <f>(C579)</f>
        <v>301</v>
      </c>
      <c r="J1198" s="2" t="s">
        <v>578</v>
      </c>
      <c r="K1198" s="8">
        <f>(F1198*I1198)</f>
        <v>3010</v>
      </c>
      <c r="AG1198" s="181" t="s">
        <v>2175</v>
      </c>
    </row>
    <row r="1199" spans="1:33" hidden="1">
      <c r="A1199" s="268"/>
      <c r="F1199" s="188">
        <v>0.21</v>
      </c>
      <c r="G1199" s="187" t="s">
        <v>836</v>
      </c>
      <c r="H1199" s="181" t="s">
        <v>1810</v>
      </c>
      <c r="I1199" s="8" t="e">
        <f>(K32)</f>
        <v>#REF!</v>
      </c>
      <c r="J1199" s="2" t="s">
        <v>836</v>
      </c>
      <c r="K1199" s="8" t="e">
        <f>(F1199*I1199)</f>
        <v>#REF!</v>
      </c>
      <c r="AG1199" s="181" t="s">
        <v>2175</v>
      </c>
    </row>
    <row r="1200" spans="1:33" hidden="1">
      <c r="A1200" s="268"/>
      <c r="H1200" s="181" t="s">
        <v>1811</v>
      </c>
      <c r="I1200" s="1" t="s">
        <v>940</v>
      </c>
      <c r="J1200" s="4"/>
      <c r="K1200" s="1" t="s">
        <v>940</v>
      </c>
      <c r="AG1200" s="181" t="s">
        <v>2175</v>
      </c>
    </row>
    <row r="1201" spans="1:33" hidden="1">
      <c r="A1201" s="268"/>
      <c r="F1201" s="188">
        <v>1.1000000000000001</v>
      </c>
      <c r="G1201" s="187" t="s">
        <v>739</v>
      </c>
      <c r="H1201" s="181" t="s">
        <v>1938</v>
      </c>
      <c r="I1201" s="8">
        <f>(C10)</f>
        <v>150</v>
      </c>
      <c r="J1201" s="2" t="s">
        <v>739</v>
      </c>
      <c r="K1201" s="8">
        <f>(F1201*I1201)</f>
        <v>165</v>
      </c>
      <c r="AG1201" s="181" t="s">
        <v>2175</v>
      </c>
    </row>
    <row r="1202" spans="1:33" hidden="1">
      <c r="A1202" s="268"/>
      <c r="F1202" s="188">
        <v>1.1000000000000001</v>
      </c>
      <c r="G1202" s="187" t="s">
        <v>739</v>
      </c>
      <c r="H1202" s="181" t="s">
        <v>1654</v>
      </c>
      <c r="I1202" s="8">
        <f>(C11)</f>
        <v>135</v>
      </c>
      <c r="J1202" s="2" t="s">
        <v>739</v>
      </c>
      <c r="K1202" s="8">
        <f>(F1202*I1202)</f>
        <v>148.5</v>
      </c>
      <c r="AG1202" s="181" t="s">
        <v>2175</v>
      </c>
    </row>
    <row r="1203" spans="1:33" hidden="1">
      <c r="A1203" s="268"/>
      <c r="F1203" s="188">
        <v>2.2000000000000002</v>
      </c>
      <c r="G1203" s="187" t="s">
        <v>739</v>
      </c>
      <c r="H1203" s="181" t="s">
        <v>1836</v>
      </c>
      <c r="I1203" s="8">
        <f>(C12)</f>
        <v>95</v>
      </c>
      <c r="J1203" s="2" t="s">
        <v>739</v>
      </c>
      <c r="K1203" s="8">
        <f>(F1203*I1203)</f>
        <v>209</v>
      </c>
      <c r="AG1203" s="181" t="s">
        <v>2175</v>
      </c>
    </row>
    <row r="1204" spans="1:33" hidden="1">
      <c r="A1204" s="268"/>
      <c r="F1204" s="188">
        <v>2.2000000000000002</v>
      </c>
      <c r="G1204" s="187" t="s">
        <v>739</v>
      </c>
      <c r="H1204" s="181" t="s">
        <v>299</v>
      </c>
      <c r="I1204" s="8">
        <f>(C13)</f>
        <v>85</v>
      </c>
      <c r="J1204" s="2" t="s">
        <v>739</v>
      </c>
      <c r="K1204" s="8">
        <f>(F1204*I1204)</f>
        <v>187</v>
      </c>
    </row>
    <row r="1205" spans="1:33" hidden="1">
      <c r="A1205" s="268"/>
      <c r="F1205" s="245">
        <v>20</v>
      </c>
      <c r="G1205" s="187" t="s">
        <v>1591</v>
      </c>
      <c r="H1205" s="181" t="s">
        <v>829</v>
      </c>
      <c r="I1205" s="8">
        <f>(C67)</f>
        <v>3800</v>
      </c>
      <c r="J1205" s="2" t="s">
        <v>828</v>
      </c>
      <c r="K1205" s="8">
        <f>(F1205*I1205)/1000</f>
        <v>76</v>
      </c>
    </row>
    <row r="1206" spans="1:33" hidden="1">
      <c r="A1206" s="268"/>
      <c r="F1206" s="245">
        <v>2</v>
      </c>
      <c r="G1206" s="187" t="s">
        <v>1591</v>
      </c>
      <c r="H1206" s="181" t="s">
        <v>2334</v>
      </c>
      <c r="I1206" s="8">
        <f>C586</f>
        <v>19</v>
      </c>
      <c r="J1206" s="2" t="s">
        <v>1591</v>
      </c>
      <c r="K1206" s="8">
        <f>(F1206*I1206)</f>
        <v>38</v>
      </c>
      <c r="AG1206" s="181" t="s">
        <v>940</v>
      </c>
    </row>
    <row r="1207" spans="1:33" hidden="1">
      <c r="A1207" s="268"/>
      <c r="F1207" s="188">
        <v>1.6</v>
      </c>
      <c r="G1207" s="187" t="s">
        <v>739</v>
      </c>
      <c r="H1207" s="181" t="s">
        <v>1654</v>
      </c>
      <c r="I1207" s="8">
        <f>(C11)</f>
        <v>135</v>
      </c>
      <c r="J1207" s="2" t="s">
        <v>739</v>
      </c>
      <c r="K1207" s="8">
        <f>(F1207*I1207)</f>
        <v>216</v>
      </c>
    </row>
    <row r="1208" spans="1:33" hidden="1">
      <c r="A1208" s="268"/>
      <c r="F1208" s="188">
        <v>0.5</v>
      </c>
      <c r="G1208" s="187" t="s">
        <v>739</v>
      </c>
      <c r="H1208" s="181" t="s">
        <v>1836</v>
      </c>
      <c r="I1208" s="8">
        <f>(C12)</f>
        <v>95</v>
      </c>
      <c r="J1208" s="2" t="s">
        <v>739</v>
      </c>
      <c r="K1208" s="8">
        <f>(F1208*I1208)</f>
        <v>47.5</v>
      </c>
    </row>
    <row r="1209" spans="1:33" hidden="1">
      <c r="A1209" s="268"/>
      <c r="F1209" s="188">
        <v>1.1000000000000001</v>
      </c>
      <c r="G1209" s="187" t="s">
        <v>739</v>
      </c>
      <c r="H1209" s="181" t="s">
        <v>299</v>
      </c>
      <c r="I1209" s="8">
        <f>(C13)</f>
        <v>85</v>
      </c>
      <c r="J1209" s="2" t="s">
        <v>739</v>
      </c>
      <c r="K1209" s="8">
        <f>(F1209*I1209)</f>
        <v>93.5</v>
      </c>
    </row>
    <row r="1210" spans="1:33" hidden="1">
      <c r="A1210" s="268"/>
      <c r="G1210" s="187" t="s">
        <v>419</v>
      </c>
      <c r="H1210" s="181" t="s">
        <v>420</v>
      </c>
      <c r="I1210"/>
      <c r="J1210" s="2" t="s">
        <v>419</v>
      </c>
      <c r="K1210" s="8">
        <v>0</v>
      </c>
    </row>
    <row r="1211" spans="1:33" hidden="1">
      <c r="A1211" s="268"/>
      <c r="I1211"/>
      <c r="J1211" s="4"/>
      <c r="K1211" s="5" t="s">
        <v>1530</v>
      </c>
    </row>
    <row r="1212" spans="1:33" hidden="1">
      <c r="A1212" s="268"/>
      <c r="H1212" s="181" t="s">
        <v>411</v>
      </c>
      <c r="I1212"/>
      <c r="J1212" s="4"/>
      <c r="K1212" s="8" t="e">
        <f>SUM(K1198:K1210)</f>
        <v>#REF!</v>
      </c>
    </row>
    <row r="1213" spans="1:33" hidden="1">
      <c r="A1213" s="268"/>
      <c r="I1213"/>
      <c r="J1213" s="4"/>
      <c r="K1213" s="5" t="s">
        <v>1530</v>
      </c>
    </row>
    <row r="1214" spans="1:33" hidden="1">
      <c r="A1214" s="268"/>
      <c r="H1214" s="181" t="s">
        <v>521</v>
      </c>
      <c r="I1214"/>
      <c r="J1214" s="4"/>
      <c r="K1214" s="8" t="e">
        <f>(K1212/10)</f>
        <v>#REF!</v>
      </c>
    </row>
    <row r="1215" spans="1:33" hidden="1">
      <c r="A1215" s="268"/>
      <c r="I1215"/>
      <c r="J1215" s="4"/>
      <c r="K1215" s="5" t="s">
        <v>1980</v>
      </c>
    </row>
    <row r="1216" spans="1:33" hidden="1">
      <c r="A1216" s="268"/>
      <c r="F1216" s="246">
        <v>29.4</v>
      </c>
      <c r="G1216" s="187" t="s">
        <v>2167</v>
      </c>
      <c r="H1216" s="181" t="s">
        <v>1051</v>
      </c>
      <c r="I1216"/>
      <c r="J1216" s="4"/>
      <c r="K1216"/>
    </row>
    <row r="1217" spans="1:11" hidden="1">
      <c r="A1217" s="268"/>
      <c r="H1217" s="181" t="s">
        <v>1052</v>
      </c>
      <c r="I1217"/>
      <c r="J1217" s="4"/>
      <c r="K1217"/>
    </row>
    <row r="1218" spans="1:11" hidden="1">
      <c r="A1218" s="268"/>
      <c r="H1218" s="185" t="s">
        <v>1530</v>
      </c>
      <c r="I1218"/>
      <c r="J1218" s="4"/>
      <c r="K1218"/>
    </row>
    <row r="1219" spans="1:11" hidden="1">
      <c r="A1219" s="268"/>
      <c r="F1219" s="188">
        <v>1.86</v>
      </c>
      <c r="G1219" s="187" t="s">
        <v>578</v>
      </c>
      <c r="H1219" s="181" t="s">
        <v>1053</v>
      </c>
      <c r="I1219" s="8">
        <f>C580</f>
        <v>325</v>
      </c>
      <c r="J1219" s="2" t="s">
        <v>578</v>
      </c>
      <c r="K1219" s="8">
        <f>(F1219*I1219)</f>
        <v>604.5</v>
      </c>
    </row>
    <row r="1220" spans="1:11" hidden="1">
      <c r="A1220" s="268"/>
      <c r="F1220" s="188">
        <v>0.4</v>
      </c>
      <c r="G1220" s="187" t="s">
        <v>1591</v>
      </c>
      <c r="H1220" s="181" t="s">
        <v>2335</v>
      </c>
      <c r="I1220" s="8">
        <f>C586</f>
        <v>19</v>
      </c>
      <c r="J1220" s="2" t="s">
        <v>1591</v>
      </c>
      <c r="K1220" s="8">
        <f>(F1220*I1220)</f>
        <v>7.6</v>
      </c>
    </row>
    <row r="1221" spans="1:11" hidden="1">
      <c r="A1221" s="268"/>
      <c r="F1221" s="188">
        <v>0.02</v>
      </c>
      <c r="G1221" s="187" t="s">
        <v>836</v>
      </c>
      <c r="H1221" s="181" t="s">
        <v>388</v>
      </c>
      <c r="I1221" s="8" t="e">
        <f>K23</f>
        <v>#REF!</v>
      </c>
      <c r="J1221" s="2" t="s">
        <v>836</v>
      </c>
      <c r="K1221" s="8" t="e">
        <f>(F1221*I1221)</f>
        <v>#REF!</v>
      </c>
    </row>
    <row r="1222" spans="1:11" hidden="1">
      <c r="A1222" s="268"/>
      <c r="F1222" s="188">
        <v>1</v>
      </c>
      <c r="G1222" s="187" t="s">
        <v>739</v>
      </c>
      <c r="H1222" s="181" t="s">
        <v>1938</v>
      </c>
      <c r="I1222" s="8">
        <f>C10</f>
        <v>150</v>
      </c>
      <c r="J1222" s="2" t="s">
        <v>739</v>
      </c>
      <c r="K1222" s="8">
        <f>(F1222*I1222)</f>
        <v>150</v>
      </c>
    </row>
    <row r="1223" spans="1:11" hidden="1">
      <c r="A1223" s="268"/>
      <c r="F1223" s="188">
        <v>1</v>
      </c>
      <c r="G1223" s="187" t="s">
        <v>739</v>
      </c>
      <c r="H1223" s="181" t="s">
        <v>1634</v>
      </c>
      <c r="I1223" s="8">
        <f>C12</f>
        <v>95</v>
      </c>
      <c r="J1223" s="2" t="s">
        <v>739</v>
      </c>
      <c r="K1223" s="8">
        <f>(F1223*I1223)</f>
        <v>95</v>
      </c>
    </row>
    <row r="1224" spans="1:11" hidden="1">
      <c r="A1224" s="268"/>
      <c r="G1224" s="187" t="s">
        <v>419</v>
      </c>
      <c r="H1224" s="181" t="s">
        <v>420</v>
      </c>
      <c r="I1224"/>
      <c r="J1224" s="2" t="s">
        <v>419</v>
      </c>
      <c r="K1224" s="8">
        <v>0</v>
      </c>
    </row>
    <row r="1225" spans="1:11" hidden="1">
      <c r="A1225" s="268"/>
      <c r="I1225"/>
      <c r="J1225" s="4"/>
      <c r="K1225" s="5" t="s">
        <v>1530</v>
      </c>
    </row>
    <row r="1226" spans="1:11" hidden="1">
      <c r="A1226" s="268"/>
      <c r="H1226" s="181" t="s">
        <v>1635</v>
      </c>
      <c r="I1226"/>
      <c r="J1226" s="4"/>
      <c r="K1226" s="8" t="e">
        <f>SUM(K1219:K1224)</f>
        <v>#REF!</v>
      </c>
    </row>
    <row r="1227" spans="1:11" hidden="1">
      <c r="A1227" s="268"/>
      <c r="I1227"/>
      <c r="J1227" s="4"/>
      <c r="K1227" s="5" t="s">
        <v>1530</v>
      </c>
    </row>
    <row r="1228" spans="1:11" hidden="1">
      <c r="A1228" s="268"/>
      <c r="H1228" s="181" t="s">
        <v>521</v>
      </c>
      <c r="I1228"/>
      <c r="J1228" s="4"/>
      <c r="K1228" s="8" t="e">
        <f>(K1226/1.86)</f>
        <v>#REF!</v>
      </c>
    </row>
    <row r="1229" spans="1:11" hidden="1">
      <c r="A1229" s="268"/>
      <c r="I1229"/>
      <c r="J1229" s="4"/>
      <c r="K1229" s="5" t="s">
        <v>1980</v>
      </c>
    </row>
    <row r="1230" spans="1:11" hidden="1">
      <c r="A1230" s="268"/>
      <c r="F1230" s="236" t="s">
        <v>200</v>
      </c>
      <c r="G1230" s="187" t="s">
        <v>2167</v>
      </c>
      <c r="H1230" s="181" t="s">
        <v>1856</v>
      </c>
      <c r="I1230"/>
      <c r="J1230" s="4"/>
      <c r="K1230"/>
    </row>
    <row r="1231" spans="1:11" hidden="1">
      <c r="A1231" s="268"/>
      <c r="H1231" s="181" t="s">
        <v>896</v>
      </c>
      <c r="I1231"/>
      <c r="J1231" s="4"/>
      <c r="K1231"/>
    </row>
    <row r="1232" spans="1:11" hidden="1">
      <c r="A1232" s="268"/>
      <c r="H1232" s="181" t="s">
        <v>1636</v>
      </c>
      <c r="I1232"/>
      <c r="J1232" s="4"/>
      <c r="K1232"/>
    </row>
    <row r="1233" spans="1:11" hidden="1">
      <c r="A1233" s="268"/>
      <c r="H1233" s="181" t="s">
        <v>688</v>
      </c>
      <c r="I1233"/>
      <c r="J1233" s="4"/>
      <c r="K1233"/>
    </row>
    <row r="1234" spans="1:11" hidden="1">
      <c r="A1234" s="268"/>
      <c r="H1234" s="185" t="s">
        <v>1530</v>
      </c>
      <c r="I1234"/>
      <c r="J1234" s="4"/>
      <c r="K1234"/>
    </row>
    <row r="1235" spans="1:11" hidden="1">
      <c r="A1235" s="268"/>
      <c r="F1235" s="188">
        <v>0.24</v>
      </c>
      <c r="G1235" s="187" t="s">
        <v>836</v>
      </c>
      <c r="H1235" s="181" t="s">
        <v>1637</v>
      </c>
      <c r="I1235" s="8" t="e">
        <f>(C70)</f>
        <v>#REF!</v>
      </c>
      <c r="J1235" s="2" t="s">
        <v>836</v>
      </c>
      <c r="K1235" s="8" t="e">
        <f>(F1235*I1235)</f>
        <v>#REF!</v>
      </c>
    </row>
    <row r="1236" spans="1:11" hidden="1">
      <c r="A1236" s="268"/>
      <c r="F1236" s="245">
        <v>0.11700000000000001</v>
      </c>
      <c r="G1236" s="187" t="s">
        <v>828</v>
      </c>
      <c r="H1236" s="181" t="s">
        <v>829</v>
      </c>
      <c r="I1236" s="8">
        <f>(C67)</f>
        <v>3800</v>
      </c>
      <c r="J1236" s="2" t="s">
        <v>828</v>
      </c>
      <c r="K1236" s="8">
        <f>(F1236*I1236)</f>
        <v>444.6</v>
      </c>
    </row>
    <row r="1237" spans="1:11" hidden="1">
      <c r="A1237" s="268"/>
      <c r="F1237" s="188">
        <v>0.5</v>
      </c>
      <c r="G1237" s="187" t="s">
        <v>739</v>
      </c>
      <c r="H1237" s="181" t="s">
        <v>1938</v>
      </c>
      <c r="I1237" s="8">
        <f>(C10)</f>
        <v>150</v>
      </c>
      <c r="J1237" s="2" t="s">
        <v>739</v>
      </c>
      <c r="K1237" s="8">
        <f>(F1237*I1237)</f>
        <v>75</v>
      </c>
    </row>
    <row r="1238" spans="1:11" hidden="1">
      <c r="A1238" s="268"/>
      <c r="F1238" s="188">
        <v>1.1000000000000001</v>
      </c>
      <c r="G1238" s="187" t="s">
        <v>739</v>
      </c>
      <c r="H1238" s="181" t="s">
        <v>897</v>
      </c>
      <c r="I1238" s="8">
        <f>(C12)</f>
        <v>95</v>
      </c>
      <c r="J1238" s="2" t="s">
        <v>739</v>
      </c>
      <c r="K1238" s="8">
        <f>(F1238*I1238)</f>
        <v>104.5</v>
      </c>
    </row>
    <row r="1239" spans="1:11" hidden="1">
      <c r="A1239" s="268"/>
      <c r="F1239" s="188">
        <v>4.3</v>
      </c>
      <c r="G1239" s="187" t="s">
        <v>739</v>
      </c>
      <c r="H1239" s="181" t="s">
        <v>299</v>
      </c>
      <c r="I1239" s="8">
        <f>(C13)</f>
        <v>85</v>
      </c>
      <c r="J1239" s="2" t="s">
        <v>739</v>
      </c>
      <c r="K1239" s="8">
        <f>(F1239*I1239)</f>
        <v>365.5</v>
      </c>
    </row>
    <row r="1240" spans="1:11" hidden="1">
      <c r="A1240" s="268"/>
      <c r="G1240" s="187" t="s">
        <v>419</v>
      </c>
      <c r="H1240" s="181" t="s">
        <v>420</v>
      </c>
      <c r="I1240"/>
      <c r="J1240" s="2" t="s">
        <v>419</v>
      </c>
      <c r="K1240" s="8">
        <v>0</v>
      </c>
    </row>
    <row r="1241" spans="1:11" hidden="1">
      <c r="A1241" s="268"/>
      <c r="I1241"/>
      <c r="J1241" s="4"/>
      <c r="K1241" s="5" t="s">
        <v>1530</v>
      </c>
    </row>
    <row r="1242" spans="1:11" hidden="1">
      <c r="A1242" s="268"/>
      <c r="H1242" s="181" t="s">
        <v>411</v>
      </c>
      <c r="I1242"/>
      <c r="J1242" s="4"/>
      <c r="K1242" s="8" t="e">
        <f>SUM(K1235:K1240)</f>
        <v>#REF!</v>
      </c>
    </row>
    <row r="1243" spans="1:11" hidden="1">
      <c r="A1243" s="268"/>
      <c r="I1243"/>
      <c r="J1243" s="4"/>
      <c r="K1243" s="5" t="s">
        <v>1530</v>
      </c>
    </row>
    <row r="1244" spans="1:11" hidden="1">
      <c r="A1244" s="268"/>
      <c r="H1244" s="181" t="s">
        <v>521</v>
      </c>
      <c r="I1244"/>
      <c r="J1244" s="4"/>
      <c r="K1244" s="8" t="e">
        <f>(K1242/10)</f>
        <v>#REF!</v>
      </c>
    </row>
    <row r="1245" spans="1:11" hidden="1">
      <c r="A1245" s="268"/>
      <c r="F1245" s="181" t="s">
        <v>940</v>
      </c>
      <c r="I1245"/>
      <c r="J1245" s="4"/>
      <c r="K1245"/>
    </row>
    <row r="1246" spans="1:11" hidden="1">
      <c r="A1246" s="268"/>
      <c r="I1246"/>
      <c r="J1246" s="4"/>
      <c r="K1246" s="5" t="s">
        <v>1980</v>
      </c>
    </row>
    <row r="1247" spans="1:11" hidden="1">
      <c r="A1247" s="268"/>
      <c r="F1247" s="236" t="s">
        <v>1871</v>
      </c>
      <c r="G1247" s="187" t="s">
        <v>2167</v>
      </c>
      <c r="H1247" s="248" t="s">
        <v>689</v>
      </c>
      <c r="I1247"/>
      <c r="J1247" s="4"/>
      <c r="K1247"/>
    </row>
    <row r="1248" spans="1:11" hidden="1">
      <c r="A1248" s="268"/>
      <c r="H1248" s="181" t="s">
        <v>1872</v>
      </c>
      <c r="I1248"/>
      <c r="J1248" s="4"/>
      <c r="K1248"/>
    </row>
    <row r="1249" spans="1:11" hidden="1">
      <c r="A1249" s="268"/>
      <c r="H1249" s="181" t="s">
        <v>1873</v>
      </c>
      <c r="I1249"/>
      <c r="J1249" s="4"/>
      <c r="K1249"/>
    </row>
    <row r="1250" spans="1:11" hidden="1">
      <c r="A1250" s="268"/>
      <c r="H1250" s="181" t="s">
        <v>726</v>
      </c>
      <c r="I1250"/>
      <c r="J1250" s="4"/>
      <c r="K1250"/>
    </row>
    <row r="1251" spans="1:11" hidden="1">
      <c r="A1251" s="268"/>
      <c r="H1251" s="181" t="s">
        <v>718</v>
      </c>
      <c r="I1251"/>
      <c r="J1251" s="4"/>
      <c r="K1251"/>
    </row>
    <row r="1252" spans="1:11" hidden="1">
      <c r="A1252" s="268"/>
      <c r="H1252" s="185" t="s">
        <v>1530</v>
      </c>
      <c r="I1252"/>
      <c r="J1252" s="4"/>
      <c r="K1252"/>
    </row>
    <row r="1253" spans="1:11" hidden="1">
      <c r="A1253" s="268"/>
      <c r="F1253" s="188">
        <v>12.8</v>
      </c>
      <c r="G1253" s="187" t="s">
        <v>836</v>
      </c>
      <c r="H1253" s="181" t="s">
        <v>719</v>
      </c>
      <c r="I1253" s="8" t="e">
        <f>(C82)</f>
        <v>#REF!</v>
      </c>
      <c r="J1253" s="2" t="s">
        <v>836</v>
      </c>
      <c r="K1253" s="8" t="e">
        <f>(F1253*I1253)</f>
        <v>#REF!</v>
      </c>
    </row>
    <row r="1254" spans="1:11" hidden="1">
      <c r="A1254" s="268"/>
      <c r="F1254" s="188">
        <v>5</v>
      </c>
      <c r="G1254" s="187" t="s">
        <v>836</v>
      </c>
      <c r="H1254" s="181" t="s">
        <v>720</v>
      </c>
      <c r="I1254" s="8" t="e">
        <f>(C85)</f>
        <v>#REF!</v>
      </c>
      <c r="J1254" s="2" t="s">
        <v>836</v>
      </c>
      <c r="K1254" s="8" t="e">
        <f>(F1254*I1254)</f>
        <v>#REF!</v>
      </c>
    </row>
    <row r="1255" spans="1:11" hidden="1">
      <c r="A1255" s="268"/>
      <c r="F1255" s="188">
        <v>1.8</v>
      </c>
      <c r="G1255" s="187" t="s">
        <v>739</v>
      </c>
      <c r="H1255" s="181" t="s">
        <v>1938</v>
      </c>
      <c r="I1255" s="8">
        <f>(C10)</f>
        <v>150</v>
      </c>
      <c r="J1255" s="2" t="s">
        <v>739</v>
      </c>
      <c r="K1255" s="8">
        <f>(F1255*I1255)</f>
        <v>270</v>
      </c>
    </row>
    <row r="1256" spans="1:11" hidden="1">
      <c r="A1256" s="268"/>
      <c r="F1256" s="188">
        <v>17.7</v>
      </c>
      <c r="G1256" s="187" t="s">
        <v>739</v>
      </c>
      <c r="H1256" s="181" t="s">
        <v>897</v>
      </c>
      <c r="I1256" s="8">
        <f>(C12)</f>
        <v>95</v>
      </c>
      <c r="J1256" s="2" t="s">
        <v>739</v>
      </c>
      <c r="K1256" s="8">
        <f>(F1256*I1256)</f>
        <v>1681.5</v>
      </c>
    </row>
    <row r="1257" spans="1:11" hidden="1">
      <c r="A1257" s="268"/>
      <c r="F1257" s="188">
        <v>14.1</v>
      </c>
      <c r="G1257" s="187" t="s">
        <v>739</v>
      </c>
      <c r="H1257" s="181" t="s">
        <v>299</v>
      </c>
      <c r="I1257" s="8">
        <f>(C13)</f>
        <v>85</v>
      </c>
      <c r="J1257" s="2" t="s">
        <v>739</v>
      </c>
      <c r="K1257" s="8">
        <f>(F1257*I1257)</f>
        <v>1198.5</v>
      </c>
    </row>
    <row r="1258" spans="1:11" hidden="1">
      <c r="A1258" s="268"/>
      <c r="G1258" s="187" t="s">
        <v>419</v>
      </c>
      <c r="H1258" s="181" t="s">
        <v>420</v>
      </c>
      <c r="I1258"/>
      <c r="J1258" s="2" t="s">
        <v>419</v>
      </c>
      <c r="K1258" s="8">
        <v>0</v>
      </c>
    </row>
    <row r="1259" spans="1:11" hidden="1">
      <c r="A1259" s="268"/>
      <c r="I1259"/>
      <c r="J1259" s="4"/>
      <c r="K1259" s="5" t="s">
        <v>1530</v>
      </c>
    </row>
    <row r="1260" spans="1:11" hidden="1">
      <c r="A1260" s="268"/>
      <c r="H1260" s="181" t="s">
        <v>583</v>
      </c>
      <c r="I1260"/>
      <c r="J1260" s="4"/>
      <c r="K1260" s="8" t="e">
        <f>SUM(K1253:K1258)</f>
        <v>#REF!</v>
      </c>
    </row>
    <row r="1261" spans="1:11" hidden="1">
      <c r="A1261" s="268"/>
      <c r="I1261"/>
      <c r="J1261" s="4"/>
      <c r="K1261" s="5" t="s">
        <v>1530</v>
      </c>
    </row>
    <row r="1262" spans="1:11" hidden="1">
      <c r="A1262" s="268"/>
      <c r="H1262" s="181" t="s">
        <v>743</v>
      </c>
      <c r="I1262"/>
      <c r="J1262" s="4"/>
      <c r="K1262" s="8" t="e">
        <f>(K1260/10)</f>
        <v>#REF!</v>
      </c>
    </row>
    <row r="1263" spans="1:11" hidden="1">
      <c r="A1263" s="268"/>
      <c r="I1263"/>
      <c r="J1263" s="4"/>
      <c r="K1263" s="5" t="s">
        <v>1980</v>
      </c>
    </row>
    <row r="1264" spans="1:11" hidden="1">
      <c r="A1264" s="268"/>
      <c r="I1264"/>
      <c r="J1264" s="4"/>
      <c r="K1264"/>
    </row>
    <row r="1265" spans="1:11" hidden="1">
      <c r="A1265" s="268"/>
      <c r="G1265" s="187" t="s">
        <v>643</v>
      </c>
      <c r="H1265" s="181" t="s">
        <v>721</v>
      </c>
      <c r="I1265"/>
      <c r="J1265" s="4"/>
      <c r="K1265"/>
    </row>
    <row r="1266" spans="1:11" hidden="1">
      <c r="A1266" s="268"/>
      <c r="H1266" s="181" t="s">
        <v>722</v>
      </c>
      <c r="I1266"/>
      <c r="J1266" s="4"/>
      <c r="K1266"/>
    </row>
    <row r="1267" spans="1:11" hidden="1">
      <c r="A1267" s="268"/>
      <c r="H1267" s="185" t="s">
        <v>1530</v>
      </c>
      <c r="I1267"/>
      <c r="J1267" s="4"/>
      <c r="K1267"/>
    </row>
    <row r="1268" spans="1:11" hidden="1">
      <c r="A1268" s="268"/>
      <c r="F1268" s="188">
        <v>0.04</v>
      </c>
      <c r="G1268" s="187" t="s">
        <v>836</v>
      </c>
      <c r="H1268" s="181" t="s">
        <v>723</v>
      </c>
      <c r="I1268" s="8" t="e">
        <f>(K32)</f>
        <v>#REF!</v>
      </c>
      <c r="J1268" s="2" t="s">
        <v>836</v>
      </c>
      <c r="K1268" s="8" t="e">
        <f>(F1268*I1268)</f>
        <v>#REF!</v>
      </c>
    </row>
    <row r="1269" spans="1:11" hidden="1">
      <c r="A1269" s="268"/>
      <c r="F1269" s="188">
        <v>2.2000000000000002</v>
      </c>
      <c r="G1269" s="187" t="s">
        <v>739</v>
      </c>
      <c r="H1269" s="181" t="s">
        <v>1654</v>
      </c>
      <c r="I1269" s="8">
        <f>(C11)</f>
        <v>135</v>
      </c>
      <c r="J1269" s="2" t="s">
        <v>739</v>
      </c>
      <c r="K1269" s="8">
        <f>(F1269*I1269)</f>
        <v>297</v>
      </c>
    </row>
    <row r="1270" spans="1:11" hidden="1">
      <c r="A1270" s="268"/>
      <c r="F1270" s="188">
        <v>0.5</v>
      </c>
      <c r="G1270" s="187" t="s">
        <v>739</v>
      </c>
      <c r="H1270" s="181" t="s">
        <v>1836</v>
      </c>
      <c r="I1270" s="8">
        <f>(C12)</f>
        <v>95</v>
      </c>
      <c r="J1270" s="2" t="s">
        <v>739</v>
      </c>
      <c r="K1270" s="8">
        <f>(F1270*I1270)</f>
        <v>47.5</v>
      </c>
    </row>
    <row r="1271" spans="1:11" hidden="1">
      <c r="A1271" s="268"/>
      <c r="F1271" s="188">
        <v>1.1000000000000001</v>
      </c>
      <c r="G1271" s="187" t="s">
        <v>739</v>
      </c>
      <c r="H1271" s="181" t="s">
        <v>299</v>
      </c>
      <c r="I1271" s="8">
        <f>(C13)</f>
        <v>85</v>
      </c>
      <c r="J1271" s="2" t="s">
        <v>739</v>
      </c>
      <c r="K1271" s="8">
        <f>(F1271*I1271)</f>
        <v>93.5</v>
      </c>
    </row>
    <row r="1272" spans="1:11" hidden="1">
      <c r="A1272" s="268"/>
      <c r="G1272" s="187" t="s">
        <v>419</v>
      </c>
      <c r="H1272" s="181" t="s">
        <v>420</v>
      </c>
      <c r="I1272"/>
      <c r="J1272" s="2" t="s">
        <v>419</v>
      </c>
      <c r="K1272" s="8">
        <v>0</v>
      </c>
    </row>
    <row r="1273" spans="1:11" hidden="1">
      <c r="A1273" s="268"/>
      <c r="I1273"/>
      <c r="J1273" s="4"/>
      <c r="K1273" s="5" t="s">
        <v>1530</v>
      </c>
    </row>
    <row r="1274" spans="1:11" hidden="1">
      <c r="A1274" s="268"/>
      <c r="H1274" s="181" t="s">
        <v>411</v>
      </c>
      <c r="I1274"/>
      <c r="J1274" s="4"/>
      <c r="K1274" s="8" t="e">
        <f>SUM(K1268:K1272)</f>
        <v>#REF!</v>
      </c>
    </row>
    <row r="1275" spans="1:11" hidden="1">
      <c r="A1275" s="268"/>
      <c r="I1275"/>
      <c r="J1275" s="4"/>
      <c r="K1275" s="5" t="s">
        <v>1530</v>
      </c>
    </row>
    <row r="1276" spans="1:11" hidden="1">
      <c r="A1276" s="268"/>
      <c r="H1276" s="181" t="s">
        <v>521</v>
      </c>
      <c r="I1276"/>
      <c r="J1276" s="4"/>
      <c r="K1276" s="8" t="e">
        <f>(K1274/10)</f>
        <v>#REF!</v>
      </c>
    </row>
    <row r="1277" spans="1:11" hidden="1">
      <c r="A1277" s="268"/>
      <c r="I1277"/>
      <c r="J1277" s="4"/>
      <c r="K1277" s="5" t="s">
        <v>1980</v>
      </c>
    </row>
    <row r="1278" spans="1:11" hidden="1">
      <c r="A1278" s="268"/>
      <c r="I1278"/>
      <c r="J1278" s="4"/>
      <c r="K1278"/>
    </row>
    <row r="1279" spans="1:11" hidden="1">
      <c r="A1279" s="268"/>
      <c r="F1279" s="246">
        <v>32.1</v>
      </c>
      <c r="G1279" s="187" t="s">
        <v>2167</v>
      </c>
      <c r="H1279" s="181" t="s">
        <v>724</v>
      </c>
      <c r="I1279"/>
      <c r="J1279" s="4"/>
      <c r="K1279"/>
    </row>
    <row r="1280" spans="1:11" hidden="1">
      <c r="A1280" s="268"/>
      <c r="H1280" s="181" t="s">
        <v>1426</v>
      </c>
      <c r="I1280"/>
      <c r="J1280" s="4"/>
      <c r="K1280"/>
    </row>
    <row r="1281" spans="1:11" hidden="1">
      <c r="A1281" s="268"/>
      <c r="H1281" s="181" t="s">
        <v>651</v>
      </c>
      <c r="I1281"/>
      <c r="J1281" s="4"/>
      <c r="K1281"/>
    </row>
    <row r="1282" spans="1:11" hidden="1">
      <c r="A1282" s="268"/>
      <c r="H1282" s="181" t="s">
        <v>3060</v>
      </c>
      <c r="I1282"/>
      <c r="J1282" s="4"/>
      <c r="K1282"/>
    </row>
    <row r="1283" spans="1:11" hidden="1">
      <c r="A1283" s="268"/>
      <c r="H1283" s="181" t="s">
        <v>1245</v>
      </c>
      <c r="I1283"/>
      <c r="J1283" s="4"/>
      <c r="K1283"/>
    </row>
    <row r="1284" spans="1:11" hidden="1">
      <c r="A1284" s="268"/>
      <c r="H1284" s="185" t="s">
        <v>1530</v>
      </c>
      <c r="I1284"/>
      <c r="J1284" s="4"/>
      <c r="K1284"/>
    </row>
    <row r="1285" spans="1:11" hidden="1">
      <c r="A1285" s="268"/>
      <c r="F1285" s="188">
        <v>190</v>
      </c>
      <c r="G1285" s="187" t="s">
        <v>1807</v>
      </c>
      <c r="H1285" s="181" t="s">
        <v>1941</v>
      </c>
      <c r="I1285" s="8">
        <f>(C83)</f>
        <v>4500</v>
      </c>
      <c r="J1285" s="2" t="s">
        <v>1424</v>
      </c>
      <c r="K1285" s="8">
        <f>(F1285*I1285)/1000</f>
        <v>855</v>
      </c>
    </row>
    <row r="1286" spans="1:11" hidden="1">
      <c r="A1286" s="268"/>
      <c r="F1286" s="188">
        <v>0.12</v>
      </c>
      <c r="G1286" s="187" t="s">
        <v>836</v>
      </c>
      <c r="H1286" s="181" t="s">
        <v>1810</v>
      </c>
      <c r="I1286" s="8" t="e">
        <f>(K32)</f>
        <v>#REF!</v>
      </c>
      <c r="J1286" s="2" t="s">
        <v>836</v>
      </c>
      <c r="K1286" s="8" t="e">
        <f t="shared" ref="K1286:K1292" si="58">(F1286*I1286)</f>
        <v>#REF!</v>
      </c>
    </row>
    <row r="1287" spans="1:11" hidden="1">
      <c r="A1287" s="268"/>
      <c r="F1287" s="188">
        <v>10</v>
      </c>
      <c r="G1287" s="187" t="s">
        <v>578</v>
      </c>
      <c r="H1287" s="181" t="s">
        <v>1247</v>
      </c>
      <c r="I1287" s="8" t="e">
        <f>(K1276)</f>
        <v>#REF!</v>
      </c>
      <c r="J1287" s="2" t="s">
        <v>578</v>
      </c>
      <c r="K1287" s="8" t="e">
        <f t="shared" si="58"/>
        <v>#REF!</v>
      </c>
    </row>
    <row r="1288" spans="1:11" hidden="1">
      <c r="A1288" s="268"/>
      <c r="F1288" s="188">
        <v>1.54</v>
      </c>
      <c r="G1288" s="187" t="s">
        <v>1591</v>
      </c>
      <c r="H1288" s="181" t="s">
        <v>929</v>
      </c>
      <c r="I1288" s="8">
        <f>C631</f>
        <v>30</v>
      </c>
      <c r="J1288" s="2" t="s">
        <v>1591</v>
      </c>
      <c r="K1288" s="8">
        <f t="shared" si="58"/>
        <v>46.2</v>
      </c>
    </row>
    <row r="1289" spans="1:11" hidden="1">
      <c r="A1289" s="268"/>
      <c r="F1289" s="188">
        <v>1.1000000000000001</v>
      </c>
      <c r="G1289" s="187" t="s">
        <v>739</v>
      </c>
      <c r="H1289" s="181" t="s">
        <v>1938</v>
      </c>
      <c r="I1289" s="8">
        <f>(C10)</f>
        <v>150</v>
      </c>
      <c r="J1289" s="2" t="s">
        <v>739</v>
      </c>
      <c r="K1289" s="8">
        <f t="shared" si="58"/>
        <v>165</v>
      </c>
    </row>
    <row r="1290" spans="1:11" hidden="1">
      <c r="A1290" s="268"/>
      <c r="F1290" s="188">
        <v>2.1</v>
      </c>
      <c r="G1290" s="187" t="s">
        <v>739</v>
      </c>
      <c r="H1290" s="181" t="s">
        <v>1654</v>
      </c>
      <c r="I1290" s="8">
        <f>(C11)</f>
        <v>135</v>
      </c>
      <c r="J1290" s="2" t="s">
        <v>739</v>
      </c>
      <c r="K1290" s="8">
        <f t="shared" si="58"/>
        <v>283.5</v>
      </c>
    </row>
    <row r="1291" spans="1:11" hidden="1">
      <c r="A1291" s="268"/>
      <c r="F1291" s="188">
        <v>2.2000000000000002</v>
      </c>
      <c r="G1291" s="187" t="s">
        <v>739</v>
      </c>
      <c r="H1291" s="181" t="s">
        <v>1836</v>
      </c>
      <c r="I1291" s="8">
        <f>(C12)</f>
        <v>95</v>
      </c>
      <c r="J1291" s="2" t="s">
        <v>739</v>
      </c>
      <c r="K1291" s="8">
        <f t="shared" si="58"/>
        <v>209</v>
      </c>
    </row>
    <row r="1292" spans="1:11" hidden="1">
      <c r="A1292" s="268"/>
      <c r="F1292" s="188">
        <v>1.1000000000000001</v>
      </c>
      <c r="G1292" s="187" t="s">
        <v>739</v>
      </c>
      <c r="H1292" s="181" t="s">
        <v>299</v>
      </c>
      <c r="I1292" s="8">
        <f>(C13)</f>
        <v>85</v>
      </c>
      <c r="J1292" s="2" t="s">
        <v>739</v>
      </c>
      <c r="K1292" s="8">
        <f t="shared" si="58"/>
        <v>93.5</v>
      </c>
    </row>
    <row r="1293" spans="1:11" hidden="1">
      <c r="A1293" s="268"/>
      <c r="G1293" s="187" t="s">
        <v>419</v>
      </c>
      <c r="H1293" s="181" t="s">
        <v>420</v>
      </c>
      <c r="I1293"/>
      <c r="J1293" s="2" t="s">
        <v>419</v>
      </c>
      <c r="K1293" s="8">
        <v>0</v>
      </c>
    </row>
    <row r="1294" spans="1:11" hidden="1">
      <c r="A1294" s="268"/>
      <c r="I1294"/>
      <c r="J1294" s="4"/>
      <c r="K1294" s="5" t="s">
        <v>1530</v>
      </c>
    </row>
    <row r="1295" spans="1:11" hidden="1">
      <c r="A1295" s="268"/>
      <c r="H1295" s="181" t="s">
        <v>411</v>
      </c>
      <c r="I1295"/>
      <c r="J1295" s="4"/>
      <c r="K1295" s="8" t="e">
        <f>SUM(K1285:K1293)</f>
        <v>#REF!</v>
      </c>
    </row>
    <row r="1296" spans="1:11" hidden="1">
      <c r="A1296" s="268"/>
      <c r="I1296"/>
      <c r="J1296" s="4"/>
      <c r="K1296" s="5" t="s">
        <v>1530</v>
      </c>
    </row>
    <row r="1297" spans="1:11" hidden="1">
      <c r="A1297" s="268"/>
      <c r="H1297" s="181" t="s">
        <v>521</v>
      </c>
      <c r="I1297"/>
      <c r="J1297" s="4"/>
      <c r="K1297" s="8" t="e">
        <f>(K1295/10)</f>
        <v>#REF!</v>
      </c>
    </row>
    <row r="1298" spans="1:11" hidden="1">
      <c r="A1298" s="268"/>
      <c r="I1298"/>
      <c r="J1298" s="4"/>
      <c r="K1298" s="5" t="s">
        <v>1980</v>
      </c>
    </row>
    <row r="1299" spans="1:11" hidden="1">
      <c r="A1299" s="268"/>
      <c r="I1299"/>
      <c r="J1299" s="4"/>
      <c r="K1299" s="5"/>
    </row>
    <row r="1300" spans="1:11" hidden="1">
      <c r="A1300" s="268"/>
      <c r="I1300"/>
      <c r="J1300" s="4"/>
      <c r="K1300" s="5"/>
    </row>
    <row r="1301" spans="1:11" hidden="1">
      <c r="A1301" s="268"/>
      <c r="F1301" s="246">
        <v>32.200000000000003</v>
      </c>
      <c r="G1301" s="187" t="s">
        <v>2167</v>
      </c>
      <c r="H1301" s="181" t="s">
        <v>724</v>
      </c>
      <c r="I1301"/>
      <c r="J1301" s="4"/>
      <c r="K1301" s="5"/>
    </row>
    <row r="1302" spans="1:11" hidden="1">
      <c r="A1302" s="268"/>
      <c r="H1302" s="181" t="s">
        <v>1426</v>
      </c>
      <c r="I1302"/>
      <c r="J1302" s="4"/>
      <c r="K1302" s="5"/>
    </row>
    <row r="1303" spans="1:11" hidden="1">
      <c r="A1303" s="268"/>
      <c r="H1303" s="181" t="s">
        <v>651</v>
      </c>
      <c r="I1303"/>
      <c r="J1303" s="4"/>
      <c r="K1303" s="5"/>
    </row>
    <row r="1304" spans="1:11" hidden="1">
      <c r="A1304" s="268"/>
      <c r="H1304" s="181" t="s">
        <v>3060</v>
      </c>
      <c r="I1304"/>
      <c r="J1304" s="4"/>
      <c r="K1304" s="5"/>
    </row>
    <row r="1305" spans="1:11" hidden="1">
      <c r="A1305" s="268"/>
      <c r="H1305" s="181" t="s">
        <v>1245</v>
      </c>
      <c r="I1305"/>
      <c r="J1305" s="4"/>
      <c r="K1305" s="5"/>
    </row>
    <row r="1306" spans="1:11" hidden="1">
      <c r="A1306" s="268"/>
      <c r="H1306" s="185" t="s">
        <v>1530</v>
      </c>
      <c r="I1306"/>
      <c r="J1306" s="4"/>
      <c r="K1306" s="5"/>
    </row>
    <row r="1307" spans="1:11" hidden="1">
      <c r="A1307" s="268"/>
      <c r="F1307" s="188">
        <v>190</v>
      </c>
      <c r="G1307" s="187" t="s">
        <v>1807</v>
      </c>
      <c r="H1307" s="181" t="s">
        <v>1513</v>
      </c>
      <c r="I1307">
        <f>E83</f>
        <v>3550</v>
      </c>
      <c r="J1307" s="2" t="s">
        <v>1424</v>
      </c>
      <c r="K1307" s="8">
        <f>(F1307*I1307)/1000</f>
        <v>674.5</v>
      </c>
    </row>
    <row r="1308" spans="1:11" hidden="1">
      <c r="A1308" s="268"/>
      <c r="F1308" s="188">
        <v>0.12</v>
      </c>
      <c r="G1308" s="187" t="s">
        <v>836</v>
      </c>
      <c r="H1308" s="181" t="s">
        <v>1810</v>
      </c>
      <c r="I1308" t="e">
        <f>K32</f>
        <v>#REF!</v>
      </c>
      <c r="J1308" s="2" t="s">
        <v>836</v>
      </c>
      <c r="K1308" s="8" t="e">
        <f t="shared" ref="K1308:K1314" si="59">(F1308*I1308)</f>
        <v>#REF!</v>
      </c>
    </row>
    <row r="1309" spans="1:11" hidden="1">
      <c r="A1309" s="268"/>
      <c r="F1309" s="188">
        <v>10</v>
      </c>
      <c r="G1309" s="187" t="s">
        <v>578</v>
      </c>
      <c r="H1309" s="181" t="s">
        <v>1247</v>
      </c>
      <c r="I1309" t="e">
        <f>K1276</f>
        <v>#REF!</v>
      </c>
      <c r="J1309" s="2" t="s">
        <v>578</v>
      </c>
      <c r="K1309" s="8" t="e">
        <f t="shared" si="59"/>
        <v>#REF!</v>
      </c>
    </row>
    <row r="1310" spans="1:11" hidden="1">
      <c r="A1310" s="268"/>
      <c r="F1310" s="188">
        <v>5.8</v>
      </c>
      <c r="G1310" s="187" t="s">
        <v>1591</v>
      </c>
      <c r="H1310" s="181" t="s">
        <v>929</v>
      </c>
      <c r="I1310">
        <f>C631</f>
        <v>30</v>
      </c>
      <c r="J1310" s="2" t="s">
        <v>1591</v>
      </c>
      <c r="K1310" s="8">
        <f t="shared" si="59"/>
        <v>174</v>
      </c>
    </row>
    <row r="1311" spans="1:11" hidden="1">
      <c r="A1311" s="268"/>
      <c r="F1311" s="188">
        <v>1.1000000000000001</v>
      </c>
      <c r="G1311" s="187" t="s">
        <v>739</v>
      </c>
      <c r="H1311" s="181" t="s">
        <v>1938</v>
      </c>
      <c r="I1311">
        <f>C10</f>
        <v>150</v>
      </c>
      <c r="J1311" s="2" t="s">
        <v>739</v>
      </c>
      <c r="K1311" s="8">
        <f t="shared" si="59"/>
        <v>165</v>
      </c>
    </row>
    <row r="1312" spans="1:11" hidden="1">
      <c r="A1312" s="268"/>
      <c r="F1312" s="188">
        <v>2.1</v>
      </c>
      <c r="G1312" s="187" t="s">
        <v>739</v>
      </c>
      <c r="H1312" s="181" t="s">
        <v>1654</v>
      </c>
      <c r="I1312">
        <f>C11</f>
        <v>135</v>
      </c>
      <c r="J1312" s="2" t="s">
        <v>739</v>
      </c>
      <c r="K1312" s="8">
        <f t="shared" si="59"/>
        <v>283.5</v>
      </c>
    </row>
    <row r="1313" spans="1:11" hidden="1">
      <c r="A1313" s="268"/>
      <c r="F1313" s="188">
        <v>2.2000000000000002</v>
      </c>
      <c r="G1313" s="187" t="s">
        <v>739</v>
      </c>
      <c r="H1313" s="181" t="s">
        <v>1836</v>
      </c>
      <c r="I1313">
        <f>C12</f>
        <v>95</v>
      </c>
      <c r="J1313" s="2" t="s">
        <v>739</v>
      </c>
      <c r="K1313" s="8">
        <f t="shared" si="59"/>
        <v>209</v>
      </c>
    </row>
    <row r="1314" spans="1:11" hidden="1">
      <c r="A1314" s="268"/>
      <c r="F1314" s="188">
        <v>1.1000000000000001</v>
      </c>
      <c r="G1314" s="187" t="s">
        <v>739</v>
      </c>
      <c r="H1314" s="181" t="s">
        <v>299</v>
      </c>
      <c r="I1314">
        <f>C13</f>
        <v>85</v>
      </c>
      <c r="J1314" s="2" t="s">
        <v>739</v>
      </c>
      <c r="K1314" s="8">
        <f t="shared" si="59"/>
        <v>93.5</v>
      </c>
    </row>
    <row r="1315" spans="1:11" hidden="1">
      <c r="A1315" s="268"/>
      <c r="G1315" s="187" t="s">
        <v>419</v>
      </c>
      <c r="H1315" s="181" t="s">
        <v>420</v>
      </c>
      <c r="I1315"/>
      <c r="J1315" s="2" t="s">
        <v>419</v>
      </c>
      <c r="K1315" s="8">
        <v>0</v>
      </c>
    </row>
    <row r="1316" spans="1:11" hidden="1">
      <c r="A1316" s="268"/>
      <c r="I1316"/>
      <c r="J1316" s="4"/>
      <c r="K1316" s="5" t="s">
        <v>1530</v>
      </c>
    </row>
    <row r="1317" spans="1:11" hidden="1">
      <c r="A1317" s="268"/>
      <c r="H1317" s="181" t="s">
        <v>411</v>
      </c>
      <c r="I1317"/>
      <c r="J1317" s="4"/>
      <c r="K1317" s="8" t="e">
        <f>SUM(K1307:K1315)</f>
        <v>#REF!</v>
      </c>
    </row>
    <row r="1318" spans="1:11" hidden="1">
      <c r="A1318" s="268"/>
      <c r="I1318"/>
      <c r="J1318" s="4"/>
      <c r="K1318" s="5" t="s">
        <v>1530</v>
      </c>
    </row>
    <row r="1319" spans="1:11" hidden="1">
      <c r="A1319" s="268"/>
      <c r="H1319" s="181" t="s">
        <v>521</v>
      </c>
      <c r="I1319"/>
      <c r="J1319" s="4"/>
      <c r="K1319" s="8" t="e">
        <f>(K1317/10)</f>
        <v>#REF!</v>
      </c>
    </row>
    <row r="1320" spans="1:11" hidden="1">
      <c r="A1320" s="268"/>
      <c r="I1320"/>
      <c r="J1320" s="4"/>
      <c r="K1320" s="5" t="s">
        <v>1980</v>
      </c>
    </row>
    <row r="1321" spans="1:11" hidden="1">
      <c r="A1321" s="268"/>
      <c r="I1321"/>
      <c r="J1321" s="4"/>
      <c r="K1321" s="5"/>
    </row>
    <row r="1322" spans="1:11" hidden="1">
      <c r="A1322" s="268"/>
      <c r="F1322" s="236" t="s">
        <v>1248</v>
      </c>
      <c r="G1322" s="187" t="s">
        <v>2167</v>
      </c>
      <c r="H1322" s="181" t="s">
        <v>5</v>
      </c>
      <c r="I1322"/>
      <c r="J1322" s="4"/>
      <c r="K1322"/>
    </row>
    <row r="1323" spans="1:11" hidden="1">
      <c r="A1323" s="268"/>
      <c r="H1323" s="185" t="s">
        <v>1530</v>
      </c>
      <c r="I1323"/>
      <c r="J1323" s="4"/>
      <c r="K1323"/>
    </row>
    <row r="1324" spans="1:11" hidden="1">
      <c r="A1324" s="268"/>
      <c r="F1324" s="188">
        <v>0.14000000000000001</v>
      </c>
      <c r="G1324" s="187" t="s">
        <v>836</v>
      </c>
      <c r="H1324" s="181" t="s">
        <v>1571</v>
      </c>
      <c r="I1324" s="8" t="e">
        <f>(K49)</f>
        <v>#REF!</v>
      </c>
      <c r="J1324" s="2" t="s">
        <v>836</v>
      </c>
      <c r="K1324" s="8" t="e">
        <f>(F1324*I1324)</f>
        <v>#REF!</v>
      </c>
    </row>
    <row r="1325" spans="1:11" hidden="1">
      <c r="A1325" s="268"/>
      <c r="F1325" s="188">
        <v>1.1000000000000001</v>
      </c>
      <c r="G1325" s="187" t="s">
        <v>835</v>
      </c>
      <c r="H1325" s="181" t="s">
        <v>1938</v>
      </c>
      <c r="I1325" s="8">
        <f>(C10)</f>
        <v>150</v>
      </c>
      <c r="J1325" s="2" t="s">
        <v>835</v>
      </c>
      <c r="K1325" s="8">
        <f>(F1325*I1325)</f>
        <v>165</v>
      </c>
    </row>
    <row r="1326" spans="1:11" hidden="1">
      <c r="A1326" s="268"/>
      <c r="F1326" s="188">
        <v>0.5</v>
      </c>
      <c r="G1326" s="187" t="s">
        <v>835</v>
      </c>
      <c r="H1326" s="181" t="s">
        <v>1836</v>
      </c>
      <c r="I1326" s="8">
        <f>(C12)</f>
        <v>95</v>
      </c>
      <c r="J1326" s="2" t="s">
        <v>835</v>
      </c>
      <c r="K1326" s="8">
        <f>(F1326*I1326)</f>
        <v>47.5</v>
      </c>
    </row>
    <row r="1327" spans="1:11" hidden="1">
      <c r="A1327" s="268"/>
      <c r="F1327" s="188">
        <v>1.1000000000000001</v>
      </c>
      <c r="G1327" s="187" t="s">
        <v>835</v>
      </c>
      <c r="H1327" s="181" t="s">
        <v>299</v>
      </c>
      <c r="I1327" s="8">
        <f>(C13)</f>
        <v>85</v>
      </c>
      <c r="J1327" s="2" t="s">
        <v>835</v>
      </c>
      <c r="K1327" s="8">
        <f>(F1327*I1327)</f>
        <v>93.5</v>
      </c>
    </row>
    <row r="1328" spans="1:11" hidden="1">
      <c r="A1328" s="268"/>
      <c r="G1328" s="187" t="s">
        <v>419</v>
      </c>
      <c r="H1328" s="181" t="s">
        <v>420</v>
      </c>
      <c r="I1328" s="1" t="s">
        <v>940</v>
      </c>
      <c r="J1328" s="2" t="s">
        <v>419</v>
      </c>
      <c r="K1328" s="8">
        <v>0</v>
      </c>
    </row>
    <row r="1329" spans="1:11" hidden="1">
      <c r="A1329" s="268"/>
      <c r="I1329"/>
      <c r="J1329" s="4"/>
      <c r="K1329" s="5" t="s">
        <v>1530</v>
      </c>
    </row>
    <row r="1330" spans="1:11" hidden="1">
      <c r="A1330" s="268"/>
      <c r="H1330" s="181" t="s">
        <v>411</v>
      </c>
      <c r="I1330"/>
      <c r="J1330" s="4"/>
      <c r="K1330" s="8" t="e">
        <f>SUM(K1324:K1328)</f>
        <v>#REF!</v>
      </c>
    </row>
    <row r="1331" spans="1:11" hidden="1">
      <c r="A1331" s="268"/>
      <c r="I1331"/>
      <c r="J1331" s="4"/>
      <c r="K1331" s="5" t="s">
        <v>1530</v>
      </c>
    </row>
    <row r="1332" spans="1:11" hidden="1">
      <c r="A1332" s="268"/>
      <c r="H1332" s="181" t="s">
        <v>521</v>
      </c>
      <c r="I1332"/>
      <c r="J1332" s="4"/>
      <c r="K1332" s="8" t="e">
        <f>(K1330/10)</f>
        <v>#REF!</v>
      </c>
    </row>
    <row r="1333" spans="1:11" hidden="1">
      <c r="A1333" s="268"/>
      <c r="F1333" s="181" t="s">
        <v>940</v>
      </c>
      <c r="I1333"/>
      <c r="J1333" s="4"/>
      <c r="K1333"/>
    </row>
    <row r="1334" spans="1:11" hidden="1">
      <c r="A1334" s="268"/>
      <c r="I1334"/>
      <c r="J1334" s="4"/>
      <c r="K1334" s="5" t="s">
        <v>1980</v>
      </c>
    </row>
    <row r="1335" spans="1:11" hidden="1">
      <c r="A1335" s="268"/>
      <c r="F1335" s="236" t="s">
        <v>6</v>
      </c>
      <c r="G1335" s="187" t="s">
        <v>2167</v>
      </c>
      <c r="H1335" s="181" t="s">
        <v>7</v>
      </c>
      <c r="I1335"/>
      <c r="J1335" s="4"/>
      <c r="K1335"/>
    </row>
    <row r="1336" spans="1:11" hidden="1">
      <c r="A1336" s="268"/>
      <c r="H1336" s="185" t="s">
        <v>1530</v>
      </c>
      <c r="I1336"/>
      <c r="J1336" s="4"/>
      <c r="K1336"/>
    </row>
    <row r="1337" spans="1:11" hidden="1">
      <c r="A1337" s="268"/>
      <c r="F1337" s="188">
        <v>0.14000000000000001</v>
      </c>
      <c r="G1337" s="187" t="s">
        <v>836</v>
      </c>
      <c r="H1337" s="181" t="s">
        <v>1258</v>
      </c>
      <c r="I1337" s="8" t="e">
        <f>(K40)</f>
        <v>#REF!</v>
      </c>
      <c r="J1337" s="2" t="s">
        <v>836</v>
      </c>
      <c r="K1337" s="8" t="e">
        <f>(F1337*I1337)</f>
        <v>#REF!</v>
      </c>
    </row>
    <row r="1338" spans="1:11" hidden="1">
      <c r="A1338" s="268"/>
      <c r="F1338" s="188">
        <v>1.1000000000000001</v>
      </c>
      <c r="G1338" s="187" t="s">
        <v>835</v>
      </c>
      <c r="H1338" s="181" t="s">
        <v>1938</v>
      </c>
      <c r="I1338" s="8">
        <f>(C10)</f>
        <v>150</v>
      </c>
      <c r="J1338" s="2" t="s">
        <v>835</v>
      </c>
      <c r="K1338" s="8">
        <f>(F1338*I1338)</f>
        <v>165</v>
      </c>
    </row>
    <row r="1339" spans="1:11" hidden="1">
      <c r="A1339" s="268"/>
      <c r="F1339" s="188">
        <v>0.5</v>
      </c>
      <c r="G1339" s="187" t="s">
        <v>835</v>
      </c>
      <c r="H1339" s="181" t="s">
        <v>1836</v>
      </c>
      <c r="I1339" s="8">
        <f>(C12)</f>
        <v>95</v>
      </c>
      <c r="J1339" s="2" t="s">
        <v>835</v>
      </c>
      <c r="K1339" s="8">
        <f>(F1339*I1339)</f>
        <v>47.5</v>
      </c>
    </row>
    <row r="1340" spans="1:11" hidden="1">
      <c r="A1340" s="268"/>
      <c r="F1340" s="188">
        <v>1.1000000000000001</v>
      </c>
      <c r="G1340" s="187" t="s">
        <v>835</v>
      </c>
      <c r="H1340" s="181" t="s">
        <v>299</v>
      </c>
      <c r="I1340" s="8">
        <f>(C13)</f>
        <v>85</v>
      </c>
      <c r="J1340" s="2" t="s">
        <v>835</v>
      </c>
      <c r="K1340" s="8">
        <f>(F1340*I1340)</f>
        <v>93.5</v>
      </c>
    </row>
    <row r="1341" spans="1:11" hidden="1">
      <c r="A1341" s="268"/>
      <c r="G1341" s="187" t="s">
        <v>419</v>
      </c>
      <c r="H1341" s="181" t="s">
        <v>420</v>
      </c>
      <c r="I1341" s="1" t="s">
        <v>940</v>
      </c>
      <c r="J1341" s="2" t="s">
        <v>419</v>
      </c>
      <c r="K1341" s="8">
        <v>0</v>
      </c>
    </row>
    <row r="1342" spans="1:11" hidden="1">
      <c r="A1342" s="268"/>
      <c r="I1342"/>
      <c r="J1342" s="4"/>
      <c r="K1342" s="5" t="s">
        <v>1530</v>
      </c>
    </row>
    <row r="1343" spans="1:11" hidden="1">
      <c r="A1343" s="268"/>
      <c r="H1343" s="181" t="s">
        <v>411</v>
      </c>
      <c r="I1343"/>
      <c r="J1343" s="4"/>
      <c r="K1343" s="8" t="e">
        <f>SUM(K1337:K1341)</f>
        <v>#REF!</v>
      </c>
    </row>
    <row r="1344" spans="1:11" hidden="1">
      <c r="A1344" s="268"/>
      <c r="I1344"/>
      <c r="J1344" s="4"/>
      <c r="K1344" s="5" t="s">
        <v>1530</v>
      </c>
    </row>
    <row r="1345" spans="1:11" hidden="1">
      <c r="A1345" s="268"/>
      <c r="H1345" s="181" t="s">
        <v>521</v>
      </c>
      <c r="I1345"/>
      <c r="J1345" s="4"/>
      <c r="K1345" s="8" t="e">
        <f>(K1343/10)</f>
        <v>#REF!</v>
      </c>
    </row>
    <row r="1346" spans="1:11" hidden="1">
      <c r="A1346" s="268"/>
      <c r="I1346"/>
      <c r="J1346" s="4"/>
      <c r="K1346" s="5" t="s">
        <v>1980</v>
      </c>
    </row>
    <row r="1347" spans="1:11" hidden="1">
      <c r="A1347" s="268"/>
      <c r="F1347" s="236" t="s">
        <v>8</v>
      </c>
      <c r="G1347" s="187" t="s">
        <v>2167</v>
      </c>
      <c r="H1347" s="181" t="s">
        <v>9</v>
      </c>
      <c r="I1347"/>
      <c r="J1347" s="4"/>
      <c r="K1347"/>
    </row>
    <row r="1348" spans="1:11" hidden="1">
      <c r="A1348" s="268"/>
      <c r="H1348" s="185" t="s">
        <v>1530</v>
      </c>
      <c r="I1348"/>
      <c r="J1348" s="4"/>
      <c r="K1348"/>
    </row>
    <row r="1349" spans="1:11" hidden="1">
      <c r="A1349" s="268"/>
      <c r="F1349" s="188">
        <v>0.1</v>
      </c>
      <c r="G1349" s="187" t="s">
        <v>836</v>
      </c>
      <c r="H1349" s="181" t="s">
        <v>1301</v>
      </c>
      <c r="I1349" s="8" t="e">
        <f>(K32)</f>
        <v>#REF!</v>
      </c>
      <c r="J1349" s="2" t="s">
        <v>836</v>
      </c>
      <c r="K1349" s="8" t="e">
        <f>(F1349*I1349)</f>
        <v>#REF!</v>
      </c>
    </row>
    <row r="1350" spans="1:11" hidden="1">
      <c r="A1350" s="268"/>
      <c r="F1350" s="188">
        <v>1.1000000000000001</v>
      </c>
      <c r="G1350" s="187" t="s">
        <v>835</v>
      </c>
      <c r="H1350" s="181" t="s">
        <v>1938</v>
      </c>
      <c r="I1350" s="8">
        <f>(C10)</f>
        <v>150</v>
      </c>
      <c r="J1350" s="2" t="s">
        <v>835</v>
      </c>
      <c r="K1350" s="8">
        <f>(F1350*I1350)</f>
        <v>165</v>
      </c>
    </row>
    <row r="1351" spans="1:11" hidden="1">
      <c r="A1351" s="268"/>
      <c r="F1351" s="188">
        <v>1.1000000000000001</v>
      </c>
      <c r="G1351" s="187" t="s">
        <v>835</v>
      </c>
      <c r="H1351" s="181" t="s">
        <v>1836</v>
      </c>
      <c r="I1351" s="8">
        <f>(C12)</f>
        <v>95</v>
      </c>
      <c r="J1351" s="2" t="s">
        <v>835</v>
      </c>
      <c r="K1351" s="8">
        <f>(F1351*I1351)</f>
        <v>104.5</v>
      </c>
    </row>
    <row r="1352" spans="1:11" hidden="1">
      <c r="A1352" s="268"/>
      <c r="F1352" s="188">
        <v>1.1000000000000001</v>
      </c>
      <c r="G1352" s="187" t="s">
        <v>835</v>
      </c>
      <c r="H1352" s="181" t="s">
        <v>299</v>
      </c>
      <c r="I1352" s="8">
        <f>(C13)</f>
        <v>85</v>
      </c>
      <c r="J1352" s="2" t="s">
        <v>835</v>
      </c>
      <c r="K1352" s="8">
        <f>(F1352*I1352)</f>
        <v>93.5</v>
      </c>
    </row>
    <row r="1353" spans="1:11" hidden="1">
      <c r="A1353" s="268"/>
      <c r="G1353" s="187" t="s">
        <v>419</v>
      </c>
      <c r="H1353" s="181" t="s">
        <v>420</v>
      </c>
      <c r="I1353" s="1" t="s">
        <v>940</v>
      </c>
      <c r="J1353" s="2" t="s">
        <v>419</v>
      </c>
      <c r="K1353" s="8">
        <v>0</v>
      </c>
    </row>
    <row r="1354" spans="1:11" hidden="1">
      <c r="A1354" s="268"/>
      <c r="I1354"/>
      <c r="J1354" s="4"/>
      <c r="K1354" s="5" t="s">
        <v>1530</v>
      </c>
    </row>
    <row r="1355" spans="1:11" hidden="1">
      <c r="A1355" s="268"/>
      <c r="H1355" s="181" t="s">
        <v>411</v>
      </c>
      <c r="I1355"/>
      <c r="J1355" s="4"/>
      <c r="K1355" s="8" t="e">
        <f>SUM(K1349:K1353)</f>
        <v>#REF!</v>
      </c>
    </row>
    <row r="1356" spans="1:11" hidden="1">
      <c r="A1356" s="268"/>
      <c r="I1356"/>
      <c r="J1356" s="4"/>
      <c r="K1356" s="5" t="s">
        <v>1530</v>
      </c>
    </row>
    <row r="1357" spans="1:11" hidden="1">
      <c r="A1357" s="268"/>
      <c r="H1357" s="181" t="s">
        <v>521</v>
      </c>
      <c r="I1357"/>
      <c r="J1357" s="4"/>
      <c r="K1357" s="8" t="e">
        <f>(K1355/10)</f>
        <v>#REF!</v>
      </c>
    </row>
    <row r="1358" spans="1:11" hidden="1">
      <c r="A1358" s="268"/>
      <c r="I1358"/>
      <c r="J1358" s="4"/>
      <c r="K1358" s="5" t="s">
        <v>1980</v>
      </c>
    </row>
    <row r="1359" spans="1:11" hidden="1">
      <c r="A1359" s="268"/>
      <c r="I1359"/>
      <c r="J1359" s="4"/>
      <c r="K1359"/>
    </row>
    <row r="1360" spans="1:11" hidden="1">
      <c r="A1360" s="268"/>
      <c r="G1360" s="187" t="s">
        <v>2167</v>
      </c>
      <c r="H1360" s="181" t="s">
        <v>809</v>
      </c>
      <c r="I1360"/>
      <c r="J1360" s="4"/>
      <c r="K1360"/>
    </row>
    <row r="1361" spans="1:11" hidden="1">
      <c r="A1361" s="268"/>
      <c r="H1361" s="181" t="s">
        <v>810</v>
      </c>
      <c r="I1361"/>
      <c r="J1361" s="4"/>
      <c r="K1361"/>
    </row>
    <row r="1362" spans="1:11" hidden="1">
      <c r="A1362" s="268"/>
      <c r="H1362" s="181" t="s">
        <v>811</v>
      </c>
      <c r="I1362"/>
      <c r="J1362" s="4"/>
      <c r="K1362"/>
    </row>
    <row r="1363" spans="1:11" hidden="1">
      <c r="A1363" s="268"/>
      <c r="H1363" s="185" t="s">
        <v>1530</v>
      </c>
      <c r="I1363"/>
      <c r="J1363" s="4"/>
      <c r="K1363"/>
    </row>
    <row r="1364" spans="1:11" hidden="1">
      <c r="A1364" s="268"/>
      <c r="F1364" s="188">
        <v>0.14000000000000001</v>
      </c>
      <c r="G1364" s="187" t="s">
        <v>836</v>
      </c>
      <c r="H1364" s="181" t="s">
        <v>1301</v>
      </c>
      <c r="I1364" s="8" t="e">
        <f>(K32)</f>
        <v>#REF!</v>
      </c>
      <c r="J1364" s="2" t="s">
        <v>836</v>
      </c>
      <c r="K1364" s="8" t="e">
        <f>(F1364*I1364)</f>
        <v>#REF!</v>
      </c>
    </row>
    <row r="1365" spans="1:11" hidden="1">
      <c r="A1365" s="268"/>
      <c r="F1365" s="188">
        <v>1.1000000000000001</v>
      </c>
      <c r="G1365" s="187" t="s">
        <v>835</v>
      </c>
      <c r="H1365" s="181" t="s">
        <v>1938</v>
      </c>
      <c r="I1365" s="8">
        <f>(C10)</f>
        <v>150</v>
      </c>
      <c r="J1365" s="2" t="s">
        <v>835</v>
      </c>
      <c r="K1365" s="8">
        <f>(F1365*I1365)</f>
        <v>165</v>
      </c>
    </row>
    <row r="1366" spans="1:11" hidden="1">
      <c r="A1366" s="268"/>
      <c r="F1366" s="188">
        <v>0.5</v>
      </c>
      <c r="G1366" s="187" t="s">
        <v>835</v>
      </c>
      <c r="H1366" s="181" t="s">
        <v>1836</v>
      </c>
      <c r="I1366" s="8">
        <f>(C12)</f>
        <v>95</v>
      </c>
      <c r="J1366" s="2" t="s">
        <v>835</v>
      </c>
      <c r="K1366" s="8">
        <f>(F1366*I1366)</f>
        <v>47.5</v>
      </c>
    </row>
    <row r="1367" spans="1:11" hidden="1">
      <c r="A1367" s="268"/>
      <c r="F1367" s="188">
        <v>1.1000000000000001</v>
      </c>
      <c r="G1367" s="187" t="s">
        <v>835</v>
      </c>
      <c r="H1367" s="181" t="s">
        <v>299</v>
      </c>
      <c r="I1367" s="8">
        <f>(C13)</f>
        <v>85</v>
      </c>
      <c r="J1367" s="2" t="s">
        <v>835</v>
      </c>
      <c r="K1367" s="8">
        <f>(F1367*I1367)</f>
        <v>93.5</v>
      </c>
    </row>
    <row r="1368" spans="1:11" hidden="1">
      <c r="A1368" s="268"/>
      <c r="F1368" s="188">
        <v>2</v>
      </c>
      <c r="G1368" s="187" t="s">
        <v>1591</v>
      </c>
      <c r="H1368" s="181" t="s">
        <v>812</v>
      </c>
      <c r="I1368" s="8">
        <f>(C631)</f>
        <v>30</v>
      </c>
      <c r="J1368" s="2" t="s">
        <v>1591</v>
      </c>
      <c r="K1368" s="8">
        <f>(F1368*I1368)</f>
        <v>60</v>
      </c>
    </row>
    <row r="1369" spans="1:11" hidden="1">
      <c r="A1369" s="268"/>
      <c r="G1369" s="187" t="s">
        <v>419</v>
      </c>
      <c r="H1369" s="181" t="s">
        <v>420</v>
      </c>
      <c r="I1369" s="1" t="s">
        <v>940</v>
      </c>
      <c r="J1369" s="2" t="s">
        <v>419</v>
      </c>
      <c r="K1369" s="8">
        <v>0</v>
      </c>
    </row>
    <row r="1370" spans="1:11" hidden="1">
      <c r="A1370" s="268"/>
      <c r="I1370"/>
      <c r="J1370" s="4"/>
      <c r="K1370" s="5" t="s">
        <v>1530</v>
      </c>
    </row>
    <row r="1371" spans="1:11" hidden="1">
      <c r="A1371" s="268"/>
      <c r="F1371" s="181" t="s">
        <v>940</v>
      </c>
      <c r="H1371" s="181" t="s">
        <v>411</v>
      </c>
      <c r="I1371"/>
      <c r="J1371" s="4"/>
      <c r="K1371" s="8" t="e">
        <f>SUM(K1364:K1369)</f>
        <v>#REF!</v>
      </c>
    </row>
    <row r="1372" spans="1:11" hidden="1">
      <c r="A1372" s="268"/>
      <c r="I1372"/>
      <c r="J1372" s="4"/>
      <c r="K1372" s="5" t="s">
        <v>1530</v>
      </c>
    </row>
    <row r="1373" spans="1:11" hidden="1">
      <c r="A1373" s="268"/>
      <c r="H1373" s="181" t="s">
        <v>521</v>
      </c>
      <c r="I1373"/>
      <c r="J1373" s="4"/>
      <c r="K1373" s="8" t="e">
        <f>(K1371/10)</f>
        <v>#REF!</v>
      </c>
    </row>
    <row r="1374" spans="1:11" hidden="1">
      <c r="A1374" s="268"/>
      <c r="I1374"/>
      <c r="J1374" s="4"/>
      <c r="K1374" s="5" t="s">
        <v>1980</v>
      </c>
    </row>
    <row r="1375" spans="1:11" hidden="1">
      <c r="A1375" s="268"/>
      <c r="H1375" s="181" t="s">
        <v>940</v>
      </c>
      <c r="I1375"/>
      <c r="J1375" s="4"/>
      <c r="K1375"/>
    </row>
    <row r="1376" spans="1:11" hidden="1">
      <c r="A1376" s="268"/>
      <c r="I1376"/>
      <c r="J1376" s="4"/>
      <c r="K1376"/>
    </row>
    <row r="1377" spans="1:11" hidden="1">
      <c r="A1377" s="268"/>
      <c r="F1377" s="236" t="s">
        <v>813</v>
      </c>
      <c r="G1377" s="187" t="s">
        <v>2167</v>
      </c>
      <c r="H1377" s="181" t="s">
        <v>814</v>
      </c>
      <c r="I1377"/>
      <c r="J1377" s="4"/>
      <c r="K1377"/>
    </row>
    <row r="1378" spans="1:11" hidden="1">
      <c r="A1378" s="268"/>
      <c r="H1378" s="181" t="s">
        <v>1308</v>
      </c>
      <c r="I1378"/>
      <c r="J1378" s="4"/>
      <c r="K1378"/>
    </row>
    <row r="1379" spans="1:11" hidden="1">
      <c r="A1379" s="268"/>
      <c r="H1379" s="181" t="s">
        <v>1309</v>
      </c>
      <c r="I1379"/>
      <c r="J1379" s="4"/>
      <c r="K1379"/>
    </row>
    <row r="1380" spans="1:11" hidden="1">
      <c r="A1380" s="268"/>
      <c r="H1380" s="181" t="s">
        <v>665</v>
      </c>
      <c r="I1380"/>
      <c r="J1380" s="4"/>
      <c r="K1380"/>
    </row>
    <row r="1381" spans="1:11" hidden="1">
      <c r="A1381" s="268"/>
      <c r="H1381" s="185" t="s">
        <v>1530</v>
      </c>
      <c r="I1381" s="5" t="s">
        <v>1530</v>
      </c>
      <c r="J1381" s="4"/>
      <c r="K1381"/>
    </row>
    <row r="1382" spans="1:11" hidden="1">
      <c r="A1382" s="268"/>
      <c r="G1382" s="187" t="s">
        <v>1840</v>
      </c>
      <c r="H1382" s="181" t="s">
        <v>666</v>
      </c>
      <c r="I1382"/>
      <c r="J1382" s="4"/>
      <c r="K1382"/>
    </row>
    <row r="1383" spans="1:11" hidden="1">
      <c r="A1383" s="268"/>
      <c r="G1383" s="187" t="s">
        <v>1530</v>
      </c>
      <c r="H1383" s="185" t="s">
        <v>1530</v>
      </c>
      <c r="I1383"/>
      <c r="J1383" s="4"/>
      <c r="K1383"/>
    </row>
    <row r="1384" spans="1:11" hidden="1">
      <c r="A1384" s="268"/>
      <c r="F1384" s="256">
        <v>1.4E-2</v>
      </c>
      <c r="G1384" s="187" t="s">
        <v>2070</v>
      </c>
      <c r="H1384" s="181" t="s">
        <v>667</v>
      </c>
      <c r="I1384" s="8" t="e">
        <f>K49</f>
        <v>#REF!</v>
      </c>
      <c r="J1384" s="2" t="s">
        <v>2070</v>
      </c>
      <c r="K1384" s="8" t="e">
        <f>(F1384*I1384)</f>
        <v>#REF!</v>
      </c>
    </row>
    <row r="1385" spans="1:11" hidden="1">
      <c r="A1385" s="268"/>
      <c r="F1385" s="188">
        <v>0.3</v>
      </c>
      <c r="G1385" s="187" t="s">
        <v>529</v>
      </c>
      <c r="H1385" s="181" t="s">
        <v>668</v>
      </c>
      <c r="I1385" s="8">
        <f>C10</f>
        <v>150</v>
      </c>
      <c r="J1385" s="2" t="s">
        <v>529</v>
      </c>
      <c r="K1385" s="8">
        <f>(F1385*I1385)</f>
        <v>45</v>
      </c>
    </row>
    <row r="1386" spans="1:11" hidden="1">
      <c r="A1386" s="268"/>
      <c r="F1386" s="188">
        <v>0.3</v>
      </c>
      <c r="G1386" s="187" t="s">
        <v>529</v>
      </c>
      <c r="H1386" s="181" t="s">
        <v>792</v>
      </c>
      <c r="I1386" s="8">
        <f>C12</f>
        <v>95</v>
      </c>
      <c r="J1386" s="2" t="s">
        <v>529</v>
      </c>
      <c r="K1386" s="8">
        <f>(F1386*I1386)</f>
        <v>28.5</v>
      </c>
    </row>
    <row r="1387" spans="1:11" hidden="1">
      <c r="A1387" s="268"/>
      <c r="G1387" s="187" t="s">
        <v>419</v>
      </c>
      <c r="H1387" s="181" t="s">
        <v>2187</v>
      </c>
      <c r="I1387"/>
      <c r="J1387" s="2" t="s">
        <v>419</v>
      </c>
      <c r="K1387">
        <v>0</v>
      </c>
    </row>
    <row r="1388" spans="1:11" hidden="1">
      <c r="A1388" s="268"/>
      <c r="I1388"/>
      <c r="J1388" s="4"/>
      <c r="K1388" s="5" t="s">
        <v>1530</v>
      </c>
    </row>
    <row r="1389" spans="1:11" hidden="1">
      <c r="A1389" s="268"/>
      <c r="H1389" s="236" t="s">
        <v>669</v>
      </c>
      <c r="I1389"/>
      <c r="J1389" s="4"/>
      <c r="K1389" s="8" t="e">
        <f>SUM(K1384:K1387)</f>
        <v>#REF!</v>
      </c>
    </row>
    <row r="1390" spans="1:11" hidden="1">
      <c r="A1390" s="268"/>
      <c r="I1390"/>
      <c r="J1390" s="4"/>
      <c r="K1390" s="5" t="s">
        <v>1530</v>
      </c>
    </row>
    <row r="1391" spans="1:11" hidden="1">
      <c r="A1391" s="268"/>
      <c r="H1391" s="236" t="s">
        <v>670</v>
      </c>
      <c r="I1391"/>
      <c r="J1391" s="4"/>
      <c r="K1391" s="8" t="e">
        <f>K1389/6.77</f>
        <v>#REF!</v>
      </c>
    </row>
    <row r="1392" spans="1:11" hidden="1">
      <c r="A1392" s="268"/>
      <c r="F1392" s="181" t="s">
        <v>940</v>
      </c>
      <c r="I1392"/>
      <c r="J1392" s="4"/>
      <c r="K1392"/>
    </row>
    <row r="1393" spans="1:11" hidden="1">
      <c r="A1393" s="268"/>
      <c r="I1393"/>
      <c r="J1393" s="4"/>
      <c r="K1393" s="5" t="s">
        <v>1980</v>
      </c>
    </row>
    <row r="1394" spans="1:11" hidden="1">
      <c r="A1394" s="268"/>
      <c r="G1394" s="187" t="s">
        <v>486</v>
      </c>
      <c r="H1394" s="181" t="s">
        <v>671</v>
      </c>
      <c r="I1394"/>
      <c r="J1394" s="4"/>
      <c r="K1394"/>
    </row>
    <row r="1395" spans="1:11" hidden="1">
      <c r="A1395" s="268"/>
      <c r="G1395" s="187" t="s">
        <v>1530</v>
      </c>
      <c r="H1395" s="185" t="s">
        <v>1530</v>
      </c>
      <c r="I1395"/>
      <c r="J1395" s="4"/>
      <c r="K1395"/>
    </row>
    <row r="1396" spans="1:11" hidden="1">
      <c r="A1396" s="268"/>
      <c r="F1396" s="256">
        <v>7.0000000000000001E-3</v>
      </c>
      <c r="G1396" s="187" t="s">
        <v>2070</v>
      </c>
      <c r="H1396" s="181" t="s">
        <v>667</v>
      </c>
      <c r="I1396" s="8" t="e">
        <f>K49</f>
        <v>#REF!</v>
      </c>
      <c r="J1396" s="2" t="s">
        <v>2070</v>
      </c>
      <c r="K1396" s="8" t="e">
        <f>(F1396*I1396)</f>
        <v>#REF!</v>
      </c>
    </row>
    <row r="1397" spans="1:11" hidden="1">
      <c r="A1397" s="268"/>
      <c r="F1397" s="188">
        <v>0.2</v>
      </c>
      <c r="G1397" s="187" t="s">
        <v>529</v>
      </c>
      <c r="H1397" s="181" t="s">
        <v>668</v>
      </c>
      <c r="I1397" s="8">
        <f>C10</f>
        <v>150</v>
      </c>
      <c r="J1397" s="2" t="s">
        <v>529</v>
      </c>
      <c r="K1397" s="8">
        <f>(F1397*I1397)</f>
        <v>30</v>
      </c>
    </row>
    <row r="1398" spans="1:11" hidden="1">
      <c r="A1398" s="268"/>
      <c r="F1398" s="188">
        <v>0.2</v>
      </c>
      <c r="G1398" s="187" t="s">
        <v>529</v>
      </c>
      <c r="H1398" s="181" t="s">
        <v>792</v>
      </c>
      <c r="I1398" s="8">
        <f>C12</f>
        <v>95</v>
      </c>
      <c r="J1398" s="2" t="s">
        <v>529</v>
      </c>
      <c r="K1398" s="8">
        <f>(F1398*I1398)</f>
        <v>19</v>
      </c>
    </row>
    <row r="1399" spans="1:11" hidden="1">
      <c r="A1399" s="268"/>
      <c r="H1399" s="181" t="s">
        <v>2187</v>
      </c>
      <c r="I1399"/>
      <c r="J1399" s="4"/>
      <c r="K1399">
        <v>0</v>
      </c>
    </row>
    <row r="1400" spans="1:11" hidden="1">
      <c r="A1400" s="268"/>
      <c r="I1400"/>
      <c r="J1400" s="4"/>
      <c r="K1400" s="5" t="s">
        <v>1530</v>
      </c>
    </row>
    <row r="1401" spans="1:11" hidden="1">
      <c r="A1401" s="268"/>
      <c r="H1401" s="236" t="s">
        <v>669</v>
      </c>
      <c r="I1401"/>
      <c r="J1401" s="4"/>
      <c r="K1401" s="8" t="e">
        <f>SUM(K1396:K1399)</f>
        <v>#REF!</v>
      </c>
    </row>
    <row r="1402" spans="1:11" hidden="1">
      <c r="A1402" s="268"/>
      <c r="I1402"/>
      <c r="J1402" s="4"/>
      <c r="K1402" s="5" t="s">
        <v>1530</v>
      </c>
    </row>
    <row r="1403" spans="1:11" hidden="1">
      <c r="A1403" s="268"/>
      <c r="H1403" s="236" t="s">
        <v>670</v>
      </c>
      <c r="I1403"/>
      <c r="J1403" s="4"/>
      <c r="K1403" s="8" t="e">
        <f>K1401/6.77</f>
        <v>#REF!</v>
      </c>
    </row>
    <row r="1404" spans="1:11" hidden="1">
      <c r="A1404" s="268"/>
      <c r="I1404"/>
      <c r="J1404" s="4"/>
      <c r="K1404" s="5" t="s">
        <v>1980</v>
      </c>
    </row>
    <row r="1405" spans="1:11" hidden="1">
      <c r="A1405" s="268"/>
      <c r="I1405"/>
      <c r="J1405" s="4"/>
      <c r="K1405" s="5"/>
    </row>
    <row r="1406" spans="1:11" hidden="1">
      <c r="A1406" s="268"/>
      <c r="I1406"/>
      <c r="J1406" s="4"/>
      <c r="K1406" s="5"/>
    </row>
    <row r="1407" spans="1:11" hidden="1">
      <c r="A1407" s="268"/>
      <c r="G1407" s="187" t="s">
        <v>295</v>
      </c>
      <c r="H1407" s="181" t="s">
        <v>902</v>
      </c>
      <c r="I1407"/>
      <c r="J1407" s="4"/>
      <c r="K1407" s="5"/>
    </row>
    <row r="1408" spans="1:11" hidden="1">
      <c r="A1408" s="268"/>
      <c r="G1408" s="187" t="s">
        <v>1530</v>
      </c>
      <c r="H1408" s="185" t="s">
        <v>1530</v>
      </c>
      <c r="I1408"/>
      <c r="J1408" s="4"/>
      <c r="K1408" s="5"/>
    </row>
    <row r="1409" spans="1:11" hidden="1">
      <c r="A1409" s="268"/>
      <c r="F1409" s="256">
        <v>4.7000000000000002E-3</v>
      </c>
      <c r="G1409" s="187" t="s">
        <v>2070</v>
      </c>
      <c r="H1409" s="181" t="s">
        <v>667</v>
      </c>
      <c r="I1409" t="e">
        <f>K49</f>
        <v>#REF!</v>
      </c>
      <c r="J1409" s="2" t="s">
        <v>2070</v>
      </c>
      <c r="K1409" s="8" t="e">
        <f>(F1409*I1409)</f>
        <v>#REF!</v>
      </c>
    </row>
    <row r="1410" spans="1:11" hidden="1">
      <c r="A1410" s="268"/>
      <c r="F1410" s="188">
        <v>0.15</v>
      </c>
      <c r="G1410" s="187" t="s">
        <v>529</v>
      </c>
      <c r="H1410" s="181" t="s">
        <v>668</v>
      </c>
      <c r="I1410">
        <f>C10</f>
        <v>150</v>
      </c>
      <c r="J1410" s="2" t="s">
        <v>529</v>
      </c>
      <c r="K1410" s="8">
        <f>(F1410*I1410)</f>
        <v>22.5</v>
      </c>
    </row>
    <row r="1411" spans="1:11" hidden="1">
      <c r="A1411" s="268"/>
      <c r="F1411" s="188">
        <v>0.15</v>
      </c>
      <c r="G1411" s="187" t="s">
        <v>529</v>
      </c>
      <c r="H1411" s="181" t="s">
        <v>792</v>
      </c>
      <c r="I1411">
        <f>C12</f>
        <v>95</v>
      </c>
      <c r="J1411" s="2" t="s">
        <v>529</v>
      </c>
      <c r="K1411" s="8">
        <f>(F1411*I1411)</f>
        <v>14.25</v>
      </c>
    </row>
    <row r="1412" spans="1:11" hidden="1">
      <c r="A1412" s="268"/>
      <c r="H1412" s="181" t="s">
        <v>2187</v>
      </c>
      <c r="I1412"/>
      <c r="J1412" s="4"/>
      <c r="K1412">
        <v>0</v>
      </c>
    </row>
    <row r="1413" spans="1:11" hidden="1">
      <c r="A1413" s="268"/>
      <c r="I1413"/>
      <c r="J1413" s="4"/>
      <c r="K1413" s="5" t="s">
        <v>1530</v>
      </c>
    </row>
    <row r="1414" spans="1:11" hidden="1">
      <c r="A1414" s="268"/>
      <c r="H1414" s="236" t="s">
        <v>669</v>
      </c>
      <c r="I1414"/>
      <c r="J1414" s="4"/>
      <c r="K1414" s="8" t="e">
        <f>SUM(K1409:K1412)</f>
        <v>#REF!</v>
      </c>
    </row>
    <row r="1415" spans="1:11" hidden="1">
      <c r="A1415" s="268"/>
      <c r="I1415"/>
      <c r="J1415" s="4"/>
      <c r="K1415" s="5" t="s">
        <v>1530</v>
      </c>
    </row>
    <row r="1416" spans="1:11" hidden="1">
      <c r="A1416" s="268"/>
      <c r="H1416" s="236" t="s">
        <v>670</v>
      </c>
      <c r="I1416"/>
      <c r="J1416" s="4"/>
      <c r="K1416" s="8" t="e">
        <f>K1414/6.77</f>
        <v>#REF!</v>
      </c>
    </row>
    <row r="1417" spans="1:11" hidden="1">
      <c r="A1417" s="268"/>
      <c r="I1417"/>
      <c r="J1417" s="4"/>
      <c r="K1417" s="5" t="s">
        <v>1980</v>
      </c>
    </row>
    <row r="1418" spans="1:11" hidden="1">
      <c r="A1418" s="268"/>
      <c r="I1418"/>
      <c r="J1418" s="4"/>
      <c r="K1418" s="5"/>
    </row>
    <row r="1419" spans="1:11" hidden="1">
      <c r="A1419" s="268"/>
      <c r="F1419" s="246">
        <v>37.1</v>
      </c>
      <c r="G1419" s="187" t="s">
        <v>2167</v>
      </c>
      <c r="H1419" s="181" t="s">
        <v>366</v>
      </c>
      <c r="I1419"/>
      <c r="J1419" s="4"/>
      <c r="K1419"/>
    </row>
    <row r="1420" spans="1:11" hidden="1">
      <c r="A1420" s="268"/>
      <c r="H1420" s="185" t="s">
        <v>1530</v>
      </c>
      <c r="I1420"/>
      <c r="J1420" s="4"/>
      <c r="K1420"/>
    </row>
    <row r="1421" spans="1:11" hidden="1">
      <c r="A1421" s="268"/>
      <c r="F1421" s="188">
        <v>0.09</v>
      </c>
      <c r="G1421" s="187" t="s">
        <v>836</v>
      </c>
      <c r="H1421" s="181" t="s">
        <v>1933</v>
      </c>
      <c r="I1421" s="8">
        <f>(C84)</f>
        <v>773</v>
      </c>
      <c r="J1421" s="2" t="s">
        <v>836</v>
      </c>
      <c r="K1421" s="8">
        <f>(F1421*I1421)</f>
        <v>69.569999999999993</v>
      </c>
    </row>
    <row r="1422" spans="1:11" hidden="1">
      <c r="A1422" s="268"/>
      <c r="F1422" s="188">
        <v>2.2000000000000002</v>
      </c>
      <c r="G1422" s="187" t="s">
        <v>835</v>
      </c>
      <c r="H1422" s="181" t="s">
        <v>1654</v>
      </c>
      <c r="I1422" s="8">
        <f>(C11)</f>
        <v>135</v>
      </c>
      <c r="J1422" s="2" t="s">
        <v>835</v>
      </c>
      <c r="K1422" s="8">
        <f>(F1422*I1422)</f>
        <v>297</v>
      </c>
    </row>
    <row r="1423" spans="1:11" hidden="1">
      <c r="A1423" s="268"/>
      <c r="F1423" s="188">
        <v>0.5</v>
      </c>
      <c r="G1423" s="187" t="s">
        <v>835</v>
      </c>
      <c r="H1423" s="181" t="s">
        <v>1836</v>
      </c>
      <c r="I1423" s="8">
        <f>(C12)</f>
        <v>95</v>
      </c>
      <c r="J1423" s="2" t="s">
        <v>835</v>
      </c>
      <c r="K1423" s="8">
        <f>(F1423*I1423)</f>
        <v>47.5</v>
      </c>
    </row>
    <row r="1424" spans="1:11" hidden="1">
      <c r="A1424" s="268"/>
      <c r="F1424" s="188">
        <v>3.8</v>
      </c>
      <c r="G1424" s="187" t="s">
        <v>835</v>
      </c>
      <c r="H1424" s="181" t="s">
        <v>299</v>
      </c>
      <c r="I1424" s="8">
        <f>(C13)</f>
        <v>85</v>
      </c>
      <c r="J1424" s="2" t="s">
        <v>835</v>
      </c>
      <c r="K1424" s="8">
        <f>(F1424*I1424)</f>
        <v>323</v>
      </c>
    </row>
    <row r="1425" spans="1:11" hidden="1">
      <c r="A1425" s="268"/>
      <c r="G1425" s="187" t="s">
        <v>419</v>
      </c>
      <c r="H1425" s="181" t="s">
        <v>470</v>
      </c>
      <c r="I1425" s="1" t="s">
        <v>940</v>
      </c>
      <c r="J1425" s="2" t="s">
        <v>419</v>
      </c>
      <c r="K1425" s="8">
        <v>1.5</v>
      </c>
    </row>
    <row r="1426" spans="1:11" hidden="1">
      <c r="A1426" s="268"/>
      <c r="I1426"/>
      <c r="J1426" s="4"/>
      <c r="K1426" s="5" t="s">
        <v>1530</v>
      </c>
    </row>
    <row r="1427" spans="1:11" hidden="1">
      <c r="A1427" s="268"/>
      <c r="H1427" s="181" t="s">
        <v>1773</v>
      </c>
      <c r="I1427"/>
      <c r="J1427" s="4"/>
      <c r="K1427" s="8">
        <f>SUM(K1420:K1425)</f>
        <v>738.57</v>
      </c>
    </row>
    <row r="1428" spans="1:11" hidden="1">
      <c r="A1428" s="268"/>
      <c r="I1428"/>
      <c r="J1428" s="4"/>
      <c r="K1428" s="5" t="s">
        <v>1530</v>
      </c>
    </row>
    <row r="1429" spans="1:11" hidden="1">
      <c r="A1429" s="268"/>
      <c r="H1429" s="181" t="s">
        <v>521</v>
      </c>
      <c r="I1429"/>
      <c r="J1429" s="4"/>
      <c r="K1429" s="8">
        <f>(K1427/100)</f>
        <v>7.39</v>
      </c>
    </row>
    <row r="1430" spans="1:11" hidden="1">
      <c r="A1430" s="268"/>
      <c r="I1430"/>
      <c r="J1430" s="4"/>
      <c r="K1430" s="5" t="s">
        <v>1980</v>
      </c>
    </row>
    <row r="1431" spans="1:11" hidden="1">
      <c r="A1431" s="268"/>
      <c r="F1431" s="236" t="s">
        <v>815</v>
      </c>
      <c r="G1431" s="187" t="s">
        <v>2167</v>
      </c>
      <c r="H1431" s="181" t="s">
        <v>964</v>
      </c>
      <c r="I1431"/>
      <c r="J1431" s="4"/>
      <c r="K1431"/>
    </row>
    <row r="1432" spans="1:11" hidden="1">
      <c r="A1432" s="268"/>
      <c r="H1432" s="181" t="s">
        <v>965</v>
      </c>
      <c r="I1432"/>
      <c r="J1432" s="4"/>
      <c r="K1432"/>
    </row>
    <row r="1433" spans="1:11" hidden="1">
      <c r="A1433" s="268"/>
      <c r="H1433" s="181" t="s">
        <v>966</v>
      </c>
      <c r="I1433"/>
      <c r="J1433" s="4"/>
      <c r="K1433"/>
    </row>
    <row r="1434" spans="1:11" hidden="1">
      <c r="A1434" s="268"/>
      <c r="H1434" s="181" t="s">
        <v>29</v>
      </c>
      <c r="I1434"/>
      <c r="J1434" s="4"/>
      <c r="K1434"/>
    </row>
    <row r="1435" spans="1:11" hidden="1">
      <c r="A1435" s="268"/>
      <c r="H1435" s="185" t="s">
        <v>1530</v>
      </c>
      <c r="I1435"/>
      <c r="J1435" s="4"/>
      <c r="K1435"/>
    </row>
    <row r="1436" spans="1:11" hidden="1">
      <c r="A1436" s="268"/>
      <c r="F1436" s="188">
        <v>4.8</v>
      </c>
      <c r="G1436" s="187" t="s">
        <v>1591</v>
      </c>
      <c r="H1436" s="181" t="s">
        <v>410</v>
      </c>
      <c r="I1436" s="8">
        <f>(C270)</f>
        <v>35</v>
      </c>
      <c r="J1436" s="2" t="s">
        <v>1591</v>
      </c>
      <c r="K1436" s="8">
        <f>(F1436*I1436)</f>
        <v>168</v>
      </c>
    </row>
    <row r="1437" spans="1:11" hidden="1">
      <c r="A1437" s="268"/>
      <c r="F1437" s="188">
        <v>0.75</v>
      </c>
      <c r="G1437" s="187" t="s">
        <v>835</v>
      </c>
      <c r="H1437" s="181" t="s">
        <v>30</v>
      </c>
      <c r="I1437" s="8">
        <f>(C14)</f>
        <v>120</v>
      </c>
      <c r="J1437" s="2" t="s">
        <v>835</v>
      </c>
      <c r="K1437" s="8">
        <f>(F1437*I1437)</f>
        <v>90</v>
      </c>
    </row>
    <row r="1438" spans="1:11" hidden="1">
      <c r="A1438" s="268"/>
      <c r="F1438" s="188">
        <v>0.75</v>
      </c>
      <c r="G1438" s="187" t="s">
        <v>835</v>
      </c>
      <c r="H1438" s="181" t="s">
        <v>897</v>
      </c>
      <c r="I1438" s="8">
        <f>(C12)</f>
        <v>95</v>
      </c>
      <c r="J1438" s="2" t="s">
        <v>835</v>
      </c>
      <c r="K1438" s="8">
        <f>(F1438*I1438)</f>
        <v>71.25</v>
      </c>
    </row>
    <row r="1439" spans="1:11" hidden="1">
      <c r="A1439" s="268"/>
      <c r="F1439" s="188">
        <v>1.2</v>
      </c>
      <c r="G1439" s="187" t="s">
        <v>835</v>
      </c>
      <c r="H1439" s="181" t="s">
        <v>299</v>
      </c>
      <c r="I1439" s="8">
        <f>(C13)</f>
        <v>85</v>
      </c>
      <c r="J1439" s="2" t="s">
        <v>835</v>
      </c>
      <c r="K1439" s="8">
        <f>(F1439*I1439)</f>
        <v>102</v>
      </c>
    </row>
    <row r="1440" spans="1:11" hidden="1">
      <c r="A1440" s="268"/>
      <c r="G1440" s="187" t="s">
        <v>419</v>
      </c>
      <c r="H1440" s="181" t="s">
        <v>1771</v>
      </c>
      <c r="I1440" s="1" t="s">
        <v>940</v>
      </c>
      <c r="J1440" s="2" t="s">
        <v>419</v>
      </c>
      <c r="K1440" s="8">
        <v>1.45</v>
      </c>
    </row>
    <row r="1441" spans="1:11" hidden="1">
      <c r="A1441" s="268"/>
      <c r="I1441"/>
      <c r="J1441" s="4"/>
      <c r="K1441" s="5" t="s">
        <v>1530</v>
      </c>
    </row>
    <row r="1442" spans="1:11" hidden="1">
      <c r="A1442" s="268"/>
      <c r="H1442" s="181" t="s">
        <v>411</v>
      </c>
      <c r="I1442"/>
      <c r="J1442" s="4"/>
      <c r="K1442" s="8">
        <f>SUM(K1436:K1440)</f>
        <v>432.7</v>
      </c>
    </row>
    <row r="1443" spans="1:11" hidden="1">
      <c r="A1443" s="268"/>
      <c r="I1443"/>
      <c r="J1443" s="4"/>
      <c r="K1443" s="5" t="s">
        <v>1530</v>
      </c>
    </row>
    <row r="1444" spans="1:11" hidden="1">
      <c r="A1444" s="268"/>
      <c r="H1444" s="181" t="s">
        <v>521</v>
      </c>
      <c r="I1444"/>
      <c r="J1444" s="4"/>
      <c r="K1444" s="8">
        <f>(K1442/10)</f>
        <v>43.27</v>
      </c>
    </row>
    <row r="1445" spans="1:11" hidden="1">
      <c r="A1445" s="268"/>
      <c r="I1445"/>
      <c r="J1445" s="4"/>
      <c r="K1445" s="5" t="s">
        <v>1980</v>
      </c>
    </row>
    <row r="1446" spans="1:11" hidden="1">
      <c r="A1446" s="268"/>
      <c r="F1446" s="236" t="s">
        <v>31</v>
      </c>
      <c r="G1446" s="187" t="s">
        <v>2167</v>
      </c>
      <c r="H1446" s="236" t="s">
        <v>32</v>
      </c>
      <c r="I1446"/>
      <c r="J1446" s="4"/>
      <c r="K1446"/>
    </row>
    <row r="1447" spans="1:11" hidden="1">
      <c r="A1447" s="268"/>
      <c r="H1447" s="236" t="s">
        <v>33</v>
      </c>
      <c r="I1447"/>
      <c r="J1447" s="4"/>
      <c r="K1447"/>
    </row>
    <row r="1448" spans="1:11" hidden="1">
      <c r="A1448" s="268"/>
      <c r="F1448" s="188">
        <v>3.08</v>
      </c>
      <c r="G1448" s="187" t="s">
        <v>1315</v>
      </c>
      <c r="H1448" s="181" t="s">
        <v>32</v>
      </c>
      <c r="I1448" s="8">
        <v>120</v>
      </c>
      <c r="J1448" s="2" t="s">
        <v>1315</v>
      </c>
      <c r="K1448" s="8">
        <f>(F1448*I1448)</f>
        <v>369.6</v>
      </c>
    </row>
    <row r="1449" spans="1:11" hidden="1">
      <c r="A1449" s="268"/>
      <c r="F1449" s="188">
        <v>0.5</v>
      </c>
      <c r="G1449" s="187" t="s">
        <v>529</v>
      </c>
      <c r="H1449" s="181" t="s">
        <v>1316</v>
      </c>
      <c r="I1449" s="8">
        <f>C14</f>
        <v>120</v>
      </c>
      <c r="J1449" s="2" t="s">
        <v>529</v>
      </c>
      <c r="K1449" s="8">
        <f>(F1449*I1449)</f>
        <v>60</v>
      </c>
    </row>
    <row r="1450" spans="1:11" hidden="1">
      <c r="A1450" s="268"/>
      <c r="F1450" s="188">
        <v>0.5</v>
      </c>
      <c r="G1450" s="187" t="s">
        <v>529</v>
      </c>
      <c r="H1450" s="181" t="s">
        <v>792</v>
      </c>
      <c r="I1450" s="8">
        <f>C12</f>
        <v>95</v>
      </c>
      <c r="J1450" s="2" t="s">
        <v>529</v>
      </c>
      <c r="K1450" s="8">
        <f>(F1450*I1450)</f>
        <v>47.5</v>
      </c>
    </row>
    <row r="1451" spans="1:11" hidden="1">
      <c r="A1451" s="268"/>
      <c r="F1451" s="188">
        <v>0.8</v>
      </c>
      <c r="G1451" s="187" t="s">
        <v>529</v>
      </c>
      <c r="H1451" s="181" t="s">
        <v>1317</v>
      </c>
      <c r="I1451" s="8">
        <f>C13</f>
        <v>85</v>
      </c>
      <c r="J1451" s="2" t="s">
        <v>529</v>
      </c>
      <c r="K1451" s="8">
        <f>(F1451*I1451)</f>
        <v>68</v>
      </c>
    </row>
    <row r="1452" spans="1:11" hidden="1">
      <c r="A1452" s="268"/>
      <c r="G1452" s="187" t="s">
        <v>419</v>
      </c>
      <c r="H1452" s="181" t="s">
        <v>1771</v>
      </c>
      <c r="I1452"/>
      <c r="J1452" s="2" t="s">
        <v>419</v>
      </c>
      <c r="K1452" s="8">
        <v>1.5</v>
      </c>
    </row>
    <row r="1453" spans="1:11" hidden="1">
      <c r="A1453" s="268"/>
      <c r="I1453"/>
      <c r="J1453" s="4"/>
      <c r="K1453"/>
    </row>
    <row r="1454" spans="1:11" hidden="1">
      <c r="A1454" s="268"/>
      <c r="I1454"/>
      <c r="J1454" s="4"/>
      <c r="K1454" s="5" t="s">
        <v>1530</v>
      </c>
    </row>
    <row r="1455" spans="1:11" hidden="1">
      <c r="A1455" s="268"/>
      <c r="H1455" s="236" t="s">
        <v>1318</v>
      </c>
      <c r="I1455"/>
      <c r="J1455" s="4"/>
      <c r="K1455" s="8">
        <f>SUM(K1448:K1452)</f>
        <v>546.6</v>
      </c>
    </row>
    <row r="1456" spans="1:11" hidden="1">
      <c r="A1456" s="268"/>
      <c r="I1456"/>
      <c r="J1456" s="4"/>
      <c r="K1456" s="5" t="s">
        <v>1530</v>
      </c>
    </row>
    <row r="1457" spans="1:11" hidden="1">
      <c r="A1457" s="268"/>
      <c r="F1457" s="181" t="s">
        <v>940</v>
      </c>
      <c r="G1457" s="187" t="s">
        <v>940</v>
      </c>
      <c r="H1457" s="236" t="s">
        <v>1641</v>
      </c>
      <c r="I1457" s="1" t="s">
        <v>940</v>
      </c>
      <c r="J1457" s="2" t="s">
        <v>940</v>
      </c>
      <c r="K1457" s="8">
        <f>K1455/10</f>
        <v>54.66</v>
      </c>
    </row>
    <row r="1458" spans="1:11" hidden="1">
      <c r="A1458" s="268"/>
      <c r="I1458"/>
      <c r="J1458" s="4"/>
      <c r="K1458" s="5" t="s">
        <v>1980</v>
      </c>
    </row>
    <row r="1459" spans="1:11" hidden="1">
      <c r="A1459" s="268"/>
      <c r="F1459" s="236" t="s">
        <v>1319</v>
      </c>
      <c r="G1459" s="187" t="s">
        <v>2167</v>
      </c>
      <c r="H1459" s="181" t="s">
        <v>1320</v>
      </c>
      <c r="I1459"/>
      <c r="J1459" s="4"/>
      <c r="K1459"/>
    </row>
    <row r="1460" spans="1:11" hidden="1">
      <c r="A1460" s="268"/>
      <c r="H1460" s="181" t="s">
        <v>1321</v>
      </c>
      <c r="I1460"/>
      <c r="J1460" s="4"/>
      <c r="K1460"/>
    </row>
    <row r="1461" spans="1:11" hidden="1">
      <c r="A1461" s="268"/>
      <c r="H1461" s="181" t="s">
        <v>1191</v>
      </c>
      <c r="I1461"/>
      <c r="J1461" s="4"/>
      <c r="K1461"/>
    </row>
    <row r="1462" spans="1:11" hidden="1">
      <c r="A1462" s="268"/>
      <c r="H1462" s="185" t="s">
        <v>1530</v>
      </c>
      <c r="I1462"/>
      <c r="J1462" s="4"/>
      <c r="K1462"/>
    </row>
    <row r="1463" spans="1:11" hidden="1">
      <c r="A1463" s="268"/>
      <c r="F1463" s="188">
        <v>1.44</v>
      </c>
      <c r="G1463" s="187" t="s">
        <v>1192</v>
      </c>
      <c r="H1463" s="181" t="s">
        <v>1139</v>
      </c>
      <c r="I1463" s="8">
        <f>(C195)</f>
        <v>100</v>
      </c>
      <c r="J1463" s="2" t="s">
        <v>1192</v>
      </c>
      <c r="K1463" s="8">
        <f>(F1463*I1463)</f>
        <v>144</v>
      </c>
    </row>
    <row r="1464" spans="1:11" hidden="1">
      <c r="A1464" s="268"/>
      <c r="F1464" s="188">
        <v>0.7</v>
      </c>
      <c r="G1464" s="187" t="s">
        <v>739</v>
      </c>
      <c r="H1464" s="181" t="s">
        <v>1140</v>
      </c>
      <c r="I1464" s="8">
        <f>(C14)</f>
        <v>120</v>
      </c>
      <c r="J1464" s="2" t="s">
        <v>739</v>
      </c>
      <c r="K1464" s="8">
        <f>(F1464*I1464)</f>
        <v>84</v>
      </c>
    </row>
    <row r="1465" spans="1:11" hidden="1">
      <c r="A1465" s="268"/>
      <c r="F1465" s="188">
        <v>2.5499999999999998</v>
      </c>
      <c r="G1465" s="187" t="s">
        <v>1192</v>
      </c>
      <c r="H1465" s="181" t="s">
        <v>1141</v>
      </c>
      <c r="I1465" s="8">
        <f>(C194)</f>
        <v>160</v>
      </c>
      <c r="J1465" s="2" t="s">
        <v>1192</v>
      </c>
      <c r="K1465" s="8">
        <f>(F1465*I1465)</f>
        <v>408</v>
      </c>
    </row>
    <row r="1466" spans="1:11" hidden="1">
      <c r="A1466" s="268"/>
      <c r="F1466" s="188">
        <v>1.2</v>
      </c>
      <c r="G1466" s="187" t="s">
        <v>739</v>
      </c>
      <c r="H1466" s="181" t="s">
        <v>1140</v>
      </c>
      <c r="I1466" s="8">
        <f>(C14)</f>
        <v>120</v>
      </c>
      <c r="J1466" s="2" t="s">
        <v>739</v>
      </c>
      <c r="K1466" s="8">
        <f>(F1466*I1466)</f>
        <v>144</v>
      </c>
    </row>
    <row r="1467" spans="1:11" hidden="1">
      <c r="A1467" s="268"/>
      <c r="G1467" s="187" t="s">
        <v>419</v>
      </c>
      <c r="H1467" s="181" t="s">
        <v>1142</v>
      </c>
      <c r="I1467" s="1" t="s">
        <v>940</v>
      </c>
      <c r="J1467" s="2" t="s">
        <v>419</v>
      </c>
      <c r="K1467" s="8">
        <v>1.5</v>
      </c>
    </row>
    <row r="1468" spans="1:11" hidden="1">
      <c r="A1468" s="268"/>
      <c r="I1468"/>
      <c r="J1468" s="4"/>
      <c r="K1468" s="5" t="s">
        <v>1530</v>
      </c>
    </row>
    <row r="1469" spans="1:11" hidden="1">
      <c r="A1469" s="268"/>
      <c r="H1469" s="181" t="s">
        <v>411</v>
      </c>
      <c r="I1469"/>
      <c r="J1469" s="4"/>
      <c r="K1469" s="8">
        <f>SUM(K1463:K1467)</f>
        <v>781.5</v>
      </c>
    </row>
    <row r="1470" spans="1:11" hidden="1">
      <c r="A1470" s="268"/>
      <c r="I1470"/>
      <c r="J1470" s="4"/>
      <c r="K1470" s="5" t="s">
        <v>1530</v>
      </c>
    </row>
    <row r="1471" spans="1:11" hidden="1">
      <c r="A1471" s="268"/>
      <c r="H1471" s="181" t="s">
        <v>521</v>
      </c>
      <c r="I1471"/>
      <c r="J1471" s="4"/>
      <c r="K1471" s="8">
        <f>(K1469/10)</f>
        <v>78.150000000000006</v>
      </c>
    </row>
    <row r="1472" spans="1:11" hidden="1">
      <c r="A1472" s="268"/>
      <c r="F1472" s="181" t="s">
        <v>940</v>
      </c>
      <c r="I1472"/>
      <c r="J1472" s="4"/>
      <c r="K1472"/>
    </row>
    <row r="1473" spans="1:11" hidden="1">
      <c r="A1473" s="268"/>
      <c r="I1473"/>
      <c r="J1473" s="4"/>
      <c r="K1473" s="5" t="s">
        <v>1980</v>
      </c>
    </row>
    <row r="1474" spans="1:11" hidden="1">
      <c r="A1474" s="268"/>
      <c r="F1474" s="242">
        <v>41</v>
      </c>
      <c r="G1474" s="187" t="s">
        <v>2167</v>
      </c>
      <c r="H1474" s="181" t="s">
        <v>1320</v>
      </c>
      <c r="I1474"/>
      <c r="J1474" s="4"/>
      <c r="K1474"/>
    </row>
    <row r="1475" spans="1:11" hidden="1">
      <c r="A1475" s="268"/>
      <c r="H1475" s="181" t="s">
        <v>1014</v>
      </c>
      <c r="I1475"/>
      <c r="J1475" s="4"/>
      <c r="K1475"/>
    </row>
    <row r="1476" spans="1:11" hidden="1">
      <c r="A1476" s="268"/>
      <c r="H1476" s="181" t="s">
        <v>1191</v>
      </c>
      <c r="I1476"/>
      <c r="J1476" s="4"/>
      <c r="K1476"/>
    </row>
    <row r="1477" spans="1:11" hidden="1">
      <c r="A1477" s="268"/>
      <c r="H1477" s="185" t="s">
        <v>1530</v>
      </c>
      <c r="I1477"/>
      <c r="J1477" s="4"/>
      <c r="K1477"/>
    </row>
    <row r="1478" spans="1:11" hidden="1">
      <c r="A1478" s="268"/>
      <c r="F1478" s="188">
        <v>2.2200000000000002</v>
      </c>
      <c r="G1478" s="187" t="s">
        <v>1192</v>
      </c>
      <c r="H1478" s="181" t="s">
        <v>1141</v>
      </c>
      <c r="I1478" s="8">
        <f>(C206)</f>
        <v>150</v>
      </c>
      <c r="J1478" s="2" t="s">
        <v>1192</v>
      </c>
      <c r="K1478" s="8">
        <f>(F1478*I1478)</f>
        <v>333</v>
      </c>
    </row>
    <row r="1479" spans="1:11" hidden="1">
      <c r="A1479" s="268"/>
      <c r="F1479" s="188">
        <v>1.1000000000000001</v>
      </c>
      <c r="G1479" s="187" t="s">
        <v>739</v>
      </c>
      <c r="H1479" s="181" t="s">
        <v>1140</v>
      </c>
      <c r="I1479" s="8">
        <f>(C14)</f>
        <v>120</v>
      </c>
      <c r="J1479" s="2" t="s">
        <v>739</v>
      </c>
      <c r="K1479" s="8">
        <f>(F1479*I1479)</f>
        <v>132</v>
      </c>
    </row>
    <row r="1480" spans="1:11" hidden="1">
      <c r="A1480" s="268"/>
      <c r="G1480" s="187" t="s">
        <v>419</v>
      </c>
      <c r="H1480" s="181" t="s">
        <v>1142</v>
      </c>
      <c r="I1480" s="1" t="s">
        <v>940</v>
      </c>
      <c r="J1480" s="2" t="s">
        <v>419</v>
      </c>
      <c r="K1480" s="8">
        <v>1.5</v>
      </c>
    </row>
    <row r="1481" spans="1:11" hidden="1">
      <c r="A1481" s="268"/>
      <c r="I1481"/>
      <c r="J1481" s="4"/>
      <c r="K1481" s="5" t="s">
        <v>1530</v>
      </c>
    </row>
    <row r="1482" spans="1:11" hidden="1">
      <c r="A1482" s="268"/>
      <c r="H1482" s="181" t="s">
        <v>411</v>
      </c>
      <c r="I1482"/>
      <c r="J1482" s="4"/>
      <c r="K1482" s="8">
        <f>SUM(K1478:K1480)</f>
        <v>466.5</v>
      </c>
    </row>
    <row r="1483" spans="1:11" hidden="1">
      <c r="A1483" s="268"/>
      <c r="I1483"/>
      <c r="J1483" s="4"/>
      <c r="K1483" s="5" t="s">
        <v>1530</v>
      </c>
    </row>
    <row r="1484" spans="1:11" hidden="1">
      <c r="A1484" s="268"/>
      <c r="H1484" s="181" t="s">
        <v>521</v>
      </c>
      <c r="I1484"/>
      <c r="J1484" s="4"/>
      <c r="K1484" s="8">
        <f>(K1482/10)</f>
        <v>46.65</v>
      </c>
    </row>
    <row r="1485" spans="1:11" hidden="1">
      <c r="A1485" s="268"/>
      <c r="H1485" s="181"/>
      <c r="I1485"/>
      <c r="J1485" s="4"/>
      <c r="K1485" s="8"/>
    </row>
    <row r="1486" spans="1:11" hidden="1">
      <c r="A1486" s="268"/>
      <c r="H1486" s="181"/>
      <c r="I1486"/>
      <c r="J1486" s="4"/>
      <c r="K1486" s="8"/>
    </row>
    <row r="1487" spans="1:11" hidden="1">
      <c r="A1487" s="268"/>
      <c r="F1487" s="242">
        <v>238</v>
      </c>
      <c r="G1487" s="187" t="s">
        <v>2167</v>
      </c>
      <c r="H1487" s="181" t="s">
        <v>555</v>
      </c>
      <c r="I1487"/>
      <c r="J1487" s="4"/>
      <c r="K1487"/>
    </row>
    <row r="1488" spans="1:11" hidden="1">
      <c r="A1488" s="268"/>
      <c r="H1488" s="181" t="s">
        <v>3061</v>
      </c>
      <c r="I1488"/>
      <c r="J1488" s="4"/>
      <c r="K1488"/>
    </row>
    <row r="1489" spans="1:11" hidden="1">
      <c r="A1489" s="268"/>
      <c r="H1489" s="185" t="s">
        <v>1530</v>
      </c>
      <c r="I1489"/>
      <c r="J1489" s="4"/>
      <c r="K1489"/>
    </row>
    <row r="1490" spans="1:11" hidden="1">
      <c r="A1490" s="268"/>
      <c r="F1490" s="188">
        <v>20</v>
      </c>
      <c r="G1490" s="187" t="s">
        <v>1192</v>
      </c>
      <c r="H1490" s="181" t="s">
        <v>556</v>
      </c>
      <c r="I1490" s="8">
        <f>D40</f>
        <v>105.45</v>
      </c>
      <c r="J1490" s="2" t="s">
        <v>1192</v>
      </c>
      <c r="K1490" s="8">
        <f>(F1490*I1490)</f>
        <v>2109</v>
      </c>
    </row>
    <row r="1491" spans="1:11" hidden="1">
      <c r="A1491" s="268"/>
      <c r="H1491" s="181" t="s">
        <v>557</v>
      </c>
      <c r="I1491"/>
      <c r="J1491" s="4"/>
      <c r="K1491" s="1" t="s">
        <v>940</v>
      </c>
    </row>
    <row r="1492" spans="1:11" hidden="1">
      <c r="A1492" s="268"/>
      <c r="F1492" s="188">
        <v>50</v>
      </c>
      <c r="G1492" s="187" t="s">
        <v>1591</v>
      </c>
      <c r="H1492" s="181" t="s">
        <v>829</v>
      </c>
      <c r="I1492" s="8">
        <f>C67/1000</f>
        <v>3.8</v>
      </c>
      <c r="J1492" s="2" t="s">
        <v>1591</v>
      </c>
      <c r="K1492" s="8">
        <f>(F1492*I1492)</f>
        <v>190</v>
      </c>
    </row>
    <row r="1493" spans="1:11" hidden="1">
      <c r="A1493" s="268"/>
      <c r="F1493" s="188">
        <v>1</v>
      </c>
      <c r="G1493" s="187" t="s">
        <v>419</v>
      </c>
      <c r="H1493" s="181" t="s">
        <v>558</v>
      </c>
      <c r="I1493" s="8">
        <v>75</v>
      </c>
      <c r="J1493" s="2" t="s">
        <v>419</v>
      </c>
      <c r="K1493" s="8">
        <f>(F1493*I1493)</f>
        <v>75</v>
      </c>
    </row>
    <row r="1494" spans="1:11" hidden="1">
      <c r="A1494" s="268"/>
      <c r="F1494" s="188">
        <v>1</v>
      </c>
      <c r="G1494" s="187" t="s">
        <v>419</v>
      </c>
      <c r="H1494" s="181" t="s">
        <v>559</v>
      </c>
      <c r="I1494" s="8">
        <f>C38</f>
        <v>40</v>
      </c>
      <c r="J1494" s="2" t="s">
        <v>419</v>
      </c>
      <c r="K1494" s="8">
        <f>(F1494*I1494)</f>
        <v>40</v>
      </c>
    </row>
    <row r="1495" spans="1:11" hidden="1">
      <c r="A1495" s="268"/>
      <c r="F1495" s="188">
        <v>2.5</v>
      </c>
      <c r="G1495" s="187" t="s">
        <v>419</v>
      </c>
      <c r="H1495" s="181" t="s">
        <v>560</v>
      </c>
      <c r="I1495" s="8">
        <f>D14</f>
        <v>110</v>
      </c>
      <c r="J1495" s="2" t="s">
        <v>419</v>
      </c>
      <c r="K1495" s="8">
        <f>(F1495*I1495)</f>
        <v>275</v>
      </c>
    </row>
    <row r="1496" spans="1:11" hidden="1">
      <c r="A1496" s="268"/>
      <c r="G1496" s="187" t="s">
        <v>419</v>
      </c>
      <c r="H1496" s="181" t="s">
        <v>471</v>
      </c>
      <c r="I1496"/>
      <c r="J1496" s="2" t="s">
        <v>419</v>
      </c>
      <c r="K1496" s="6">
        <v>1.5</v>
      </c>
    </row>
    <row r="1497" spans="1:11" hidden="1">
      <c r="A1497" s="268"/>
      <c r="I1497"/>
      <c r="J1497" s="4"/>
      <c r="K1497" s="5" t="s">
        <v>1530</v>
      </c>
    </row>
    <row r="1498" spans="1:11" hidden="1">
      <c r="A1498" s="268"/>
      <c r="H1498" s="181" t="s">
        <v>561</v>
      </c>
      <c r="I1498"/>
      <c r="J1498" s="4"/>
      <c r="K1498" s="8">
        <f>SUM(K1490:K1496)</f>
        <v>2690.5</v>
      </c>
    </row>
    <row r="1499" spans="1:11" hidden="1">
      <c r="A1499" s="268"/>
      <c r="H1499" s="181"/>
      <c r="I1499"/>
      <c r="J1499" s="4"/>
      <c r="K1499" s="5" t="s">
        <v>1530</v>
      </c>
    </row>
    <row r="1500" spans="1:11" hidden="1">
      <c r="A1500" s="268"/>
      <c r="I1500"/>
      <c r="J1500" s="4"/>
      <c r="K1500" s="5"/>
    </row>
    <row r="1501" spans="1:11" hidden="1">
      <c r="A1501" s="268"/>
      <c r="F1501" s="236" t="s">
        <v>1015</v>
      </c>
      <c r="G1501" s="187" t="s">
        <v>2167</v>
      </c>
      <c r="H1501" s="181" t="s">
        <v>520</v>
      </c>
      <c r="I1501"/>
      <c r="J1501" s="4"/>
      <c r="K1501"/>
    </row>
    <row r="1502" spans="1:11" hidden="1">
      <c r="A1502" s="268"/>
      <c r="H1502" s="181" t="s">
        <v>2053</v>
      </c>
      <c r="I1502"/>
      <c r="J1502" s="4"/>
      <c r="K1502"/>
    </row>
    <row r="1503" spans="1:11" hidden="1">
      <c r="A1503" s="268"/>
      <c r="H1503" s="185" t="s">
        <v>1530</v>
      </c>
      <c r="I1503"/>
      <c r="J1503" s="4"/>
      <c r="K1503"/>
    </row>
    <row r="1504" spans="1:11" hidden="1">
      <c r="A1504" s="268"/>
      <c r="F1504" s="188">
        <v>1</v>
      </c>
      <c r="G1504" s="187" t="s">
        <v>492</v>
      </c>
      <c r="H1504" s="181" t="s">
        <v>493</v>
      </c>
      <c r="I1504" s="8">
        <f>(C138)</f>
        <v>28000</v>
      </c>
      <c r="J1504" s="2" t="s">
        <v>494</v>
      </c>
      <c r="K1504" s="8">
        <f>(F1504*I1504)/10</f>
        <v>2800</v>
      </c>
    </row>
    <row r="1505" spans="1:15" hidden="1">
      <c r="A1505" s="268"/>
      <c r="F1505" s="245">
        <v>0.01</v>
      </c>
      <c r="G1505" s="187" t="s">
        <v>492</v>
      </c>
      <c r="H1505" s="181" t="s">
        <v>186</v>
      </c>
      <c r="I1505" s="8">
        <f>(C142)</f>
        <v>30000</v>
      </c>
      <c r="J1505" s="2" t="s">
        <v>494</v>
      </c>
      <c r="K1505" s="8">
        <f>(F1505*I1505)/10</f>
        <v>30</v>
      </c>
    </row>
    <row r="1506" spans="1:15" hidden="1">
      <c r="A1506" s="268"/>
      <c r="F1506" s="245">
        <v>3.5</v>
      </c>
      <c r="G1506" s="187" t="s">
        <v>739</v>
      </c>
      <c r="H1506" s="181" t="s">
        <v>495</v>
      </c>
      <c r="I1506" s="8">
        <f>(C17)</f>
        <v>130</v>
      </c>
      <c r="J1506" s="2" t="s">
        <v>1341</v>
      </c>
      <c r="K1506" s="8">
        <f>(F1506*I1506)</f>
        <v>455</v>
      </c>
      <c r="O1506" s="182">
        <f>92+18.4</f>
        <v>110.4</v>
      </c>
    </row>
    <row r="1507" spans="1:15" hidden="1">
      <c r="A1507" s="268"/>
      <c r="F1507" s="188">
        <v>1.3</v>
      </c>
      <c r="G1507" s="187" t="s">
        <v>1591</v>
      </c>
      <c r="H1507" s="181" t="s">
        <v>496</v>
      </c>
      <c r="I1507" s="8">
        <f>C67/1000</f>
        <v>3.8</v>
      </c>
      <c r="J1507" s="2" t="s">
        <v>1591</v>
      </c>
      <c r="K1507" s="8">
        <f>(F1507*I1507)</f>
        <v>4.9400000000000004</v>
      </c>
      <c r="O1507" s="182">
        <f>95+19</f>
        <v>114</v>
      </c>
    </row>
    <row r="1508" spans="1:15" hidden="1">
      <c r="A1508" s="268"/>
      <c r="F1508" s="188">
        <v>0.25</v>
      </c>
      <c r="G1508" s="187" t="s">
        <v>739</v>
      </c>
      <c r="H1508" s="181" t="s">
        <v>497</v>
      </c>
      <c r="I1508" s="8">
        <f>D14</f>
        <v>110</v>
      </c>
      <c r="J1508" s="2" t="s">
        <v>1341</v>
      </c>
      <c r="K1508" s="8">
        <f>(F1508*I1508)</f>
        <v>27.5</v>
      </c>
    </row>
    <row r="1509" spans="1:15" hidden="1">
      <c r="A1509" s="268"/>
      <c r="F1509" s="245"/>
      <c r="G1509" s="187" t="s">
        <v>419</v>
      </c>
      <c r="H1509" s="181" t="s">
        <v>420</v>
      </c>
      <c r="I1509"/>
      <c r="J1509" s="2" t="s">
        <v>419</v>
      </c>
      <c r="K1509" s="8">
        <f>(F1509*I1509)</f>
        <v>0</v>
      </c>
    </row>
    <row r="1510" spans="1:15" hidden="1">
      <c r="A1510" s="268"/>
      <c r="F1510" s="245"/>
      <c r="I1510"/>
      <c r="J1510" s="4"/>
      <c r="K1510" s="5" t="s">
        <v>1530</v>
      </c>
    </row>
    <row r="1511" spans="1:15" hidden="1">
      <c r="A1511" s="268"/>
      <c r="F1511" s="245"/>
      <c r="H1511" s="181" t="s">
        <v>498</v>
      </c>
      <c r="I1511"/>
      <c r="J1511" s="4"/>
      <c r="K1511" s="8">
        <f>SUM(K1504:K1509)</f>
        <v>3317.44</v>
      </c>
    </row>
    <row r="1512" spans="1:15" hidden="1">
      <c r="A1512" s="268"/>
      <c r="F1512" s="245"/>
      <c r="I1512"/>
      <c r="J1512" s="4"/>
      <c r="K1512" s="5" t="s">
        <v>1530</v>
      </c>
    </row>
    <row r="1513" spans="1:15" hidden="1">
      <c r="A1513" s="268"/>
      <c r="F1513" s="245"/>
      <c r="H1513" s="181" t="s">
        <v>499</v>
      </c>
      <c r="I1513"/>
      <c r="J1513" s="4"/>
      <c r="K1513" s="8">
        <f>(K1511*10)</f>
        <v>33174.400000000001</v>
      </c>
    </row>
    <row r="1514" spans="1:15" hidden="1">
      <c r="A1514" s="268"/>
      <c r="F1514" s="245"/>
      <c r="I1514"/>
      <c r="J1514" s="4"/>
      <c r="K1514" s="5" t="s">
        <v>1980</v>
      </c>
    </row>
    <row r="1515" spans="1:15" hidden="1">
      <c r="A1515" s="268"/>
      <c r="F1515" s="245"/>
      <c r="I1515"/>
      <c r="J1515" s="4"/>
      <c r="K1515" s="5"/>
    </row>
    <row r="1516" spans="1:15" hidden="1">
      <c r="A1516" s="268"/>
      <c r="F1516" s="245"/>
      <c r="H1516" s="273" t="s">
        <v>500</v>
      </c>
      <c r="I1516"/>
      <c r="J1516" s="4"/>
      <c r="K1516" s="5"/>
    </row>
    <row r="1517" spans="1:15" hidden="1">
      <c r="A1517" s="268"/>
      <c r="F1517" s="188">
        <v>1</v>
      </c>
      <c r="G1517" s="187" t="s">
        <v>492</v>
      </c>
      <c r="H1517" s="181" t="s">
        <v>501</v>
      </c>
      <c r="I1517">
        <f>C137</f>
        <v>26500</v>
      </c>
      <c r="J1517" s="2" t="s">
        <v>494</v>
      </c>
      <c r="K1517" s="8">
        <f>(F1517*I1517)/10</f>
        <v>2650</v>
      </c>
    </row>
    <row r="1518" spans="1:15" hidden="1">
      <c r="A1518" s="268"/>
      <c r="F1518" s="245">
        <v>0.01</v>
      </c>
      <c r="G1518" s="187" t="s">
        <v>492</v>
      </c>
      <c r="H1518" s="181" t="s">
        <v>186</v>
      </c>
      <c r="I1518">
        <f>C142</f>
        <v>30000</v>
      </c>
      <c r="J1518" s="2" t="s">
        <v>494</v>
      </c>
      <c r="K1518" s="8">
        <f>(F1518*I1518)/10</f>
        <v>30</v>
      </c>
    </row>
    <row r="1519" spans="1:15" hidden="1">
      <c r="A1519" s="268"/>
      <c r="F1519" s="245">
        <v>3.5</v>
      </c>
      <c r="G1519" s="187" t="s">
        <v>739</v>
      </c>
      <c r="H1519" s="181" t="s">
        <v>495</v>
      </c>
      <c r="I1519">
        <f>C17</f>
        <v>130</v>
      </c>
      <c r="J1519" s="2" t="s">
        <v>1341</v>
      </c>
      <c r="K1519" s="8">
        <f>(F1519*I1519)</f>
        <v>455</v>
      </c>
    </row>
    <row r="1520" spans="1:15" hidden="1">
      <c r="A1520" s="268"/>
      <c r="F1520" s="188">
        <v>1.3</v>
      </c>
      <c r="G1520" s="187" t="s">
        <v>1591</v>
      </c>
      <c r="H1520" s="181" t="s">
        <v>496</v>
      </c>
      <c r="I1520">
        <f>C67/1000</f>
        <v>3.8</v>
      </c>
      <c r="J1520" s="2" t="s">
        <v>1591</v>
      </c>
      <c r="K1520" s="8">
        <f>(F1520*I1520)</f>
        <v>4.9400000000000004</v>
      </c>
    </row>
    <row r="1521" spans="1:11" hidden="1">
      <c r="A1521" s="268"/>
      <c r="F1521" s="188">
        <v>0.25</v>
      </c>
      <c r="G1521" s="187" t="s">
        <v>739</v>
      </c>
      <c r="H1521" s="181" t="s">
        <v>497</v>
      </c>
      <c r="I1521">
        <f>D14</f>
        <v>110</v>
      </c>
      <c r="J1521" s="2" t="s">
        <v>1341</v>
      </c>
      <c r="K1521" s="8">
        <f>(F1521*I1521)</f>
        <v>27.5</v>
      </c>
    </row>
    <row r="1522" spans="1:11" hidden="1">
      <c r="A1522" s="268"/>
      <c r="F1522" s="245"/>
      <c r="G1522" s="187" t="s">
        <v>419</v>
      </c>
      <c r="H1522" s="181" t="s">
        <v>420</v>
      </c>
      <c r="I1522"/>
      <c r="J1522" s="2" t="s">
        <v>419</v>
      </c>
      <c r="K1522" s="8">
        <f>(F1522*I1522)</f>
        <v>0</v>
      </c>
    </row>
    <row r="1523" spans="1:11" hidden="1">
      <c r="A1523" s="268"/>
      <c r="F1523" s="245"/>
      <c r="I1523"/>
      <c r="J1523" s="4"/>
      <c r="K1523" s="5" t="s">
        <v>1530</v>
      </c>
    </row>
    <row r="1524" spans="1:11" hidden="1">
      <c r="A1524" s="268"/>
      <c r="F1524" s="245"/>
      <c r="H1524" s="181" t="s">
        <v>498</v>
      </c>
      <c r="I1524"/>
      <c r="J1524" s="4"/>
      <c r="K1524" s="8">
        <f>SUM(K1517:K1522)</f>
        <v>3167.44</v>
      </c>
    </row>
    <row r="1525" spans="1:11" hidden="1">
      <c r="A1525" s="268"/>
      <c r="F1525" s="245"/>
      <c r="I1525"/>
      <c r="J1525" s="4"/>
      <c r="K1525" s="5" t="s">
        <v>1530</v>
      </c>
    </row>
    <row r="1526" spans="1:11" hidden="1">
      <c r="A1526" s="268"/>
      <c r="F1526" s="245"/>
      <c r="H1526" s="181" t="s">
        <v>499</v>
      </c>
      <c r="I1526"/>
      <c r="J1526" s="4"/>
      <c r="K1526" s="8">
        <f>(K1524*10)</f>
        <v>31674.400000000001</v>
      </c>
    </row>
    <row r="1527" spans="1:11" hidden="1">
      <c r="A1527" s="268"/>
      <c r="F1527" s="245"/>
      <c r="I1527"/>
      <c r="J1527" s="4"/>
      <c r="K1527" s="5" t="s">
        <v>1980</v>
      </c>
    </row>
    <row r="1528" spans="1:11" hidden="1">
      <c r="A1528" s="268"/>
      <c r="F1528" s="245"/>
      <c r="H1528" s="181" t="s">
        <v>940</v>
      </c>
      <c r="I1528"/>
      <c r="J1528" s="4"/>
      <c r="K1528" s="1" t="s">
        <v>940</v>
      </c>
    </row>
    <row r="1529" spans="1:11" hidden="1">
      <c r="A1529" s="268"/>
      <c r="F1529" s="274" t="s">
        <v>502</v>
      </c>
      <c r="G1529" s="187" t="s">
        <v>1840</v>
      </c>
      <c r="H1529" s="181" t="s">
        <v>520</v>
      </c>
      <c r="I1529"/>
      <c r="J1529" s="4"/>
      <c r="K1529"/>
    </row>
    <row r="1530" spans="1:11" hidden="1">
      <c r="A1530" s="268"/>
      <c r="F1530" s="245"/>
      <c r="H1530" s="181" t="s">
        <v>503</v>
      </c>
      <c r="I1530"/>
      <c r="J1530" s="4"/>
      <c r="K1530"/>
    </row>
    <row r="1531" spans="1:11" hidden="1">
      <c r="A1531" s="268"/>
      <c r="F1531" s="245"/>
      <c r="H1531" s="185" t="s">
        <v>1530</v>
      </c>
      <c r="I1531"/>
      <c r="J1531" s="4"/>
      <c r="K1531"/>
    </row>
    <row r="1532" spans="1:11" hidden="1">
      <c r="A1532" s="268"/>
      <c r="F1532" s="188">
        <v>1</v>
      </c>
      <c r="G1532" s="187" t="s">
        <v>492</v>
      </c>
      <c r="H1532" s="181" t="s">
        <v>493</v>
      </c>
      <c r="I1532" s="8">
        <f>(C138)</f>
        <v>28000</v>
      </c>
      <c r="J1532" s="2" t="s">
        <v>494</v>
      </c>
      <c r="K1532" s="8">
        <f>(F1532*I1532)/10</f>
        <v>2800</v>
      </c>
    </row>
    <row r="1533" spans="1:11" hidden="1">
      <c r="A1533" s="268"/>
      <c r="F1533" s="245">
        <v>0.01</v>
      </c>
      <c r="G1533" s="187" t="s">
        <v>492</v>
      </c>
      <c r="H1533" s="181" t="s">
        <v>186</v>
      </c>
      <c r="I1533" s="8">
        <f>(C142)</f>
        <v>30000</v>
      </c>
      <c r="J1533" s="2" t="s">
        <v>494</v>
      </c>
      <c r="K1533" s="8">
        <f>(F1533*I1533)/10</f>
        <v>30</v>
      </c>
    </row>
    <row r="1534" spans="1:11" hidden="1">
      <c r="A1534" s="268"/>
      <c r="F1534" s="245">
        <v>3.5</v>
      </c>
      <c r="G1534" s="187" t="s">
        <v>739</v>
      </c>
      <c r="H1534" s="181" t="s">
        <v>495</v>
      </c>
      <c r="I1534" s="8">
        <f>(C17)</f>
        <v>130</v>
      </c>
      <c r="J1534" s="2" t="s">
        <v>739</v>
      </c>
      <c r="K1534" s="8">
        <f>(F1534*I1534)</f>
        <v>455</v>
      </c>
    </row>
    <row r="1535" spans="1:11" hidden="1">
      <c r="A1535" s="268"/>
      <c r="F1535" s="245"/>
      <c r="G1535" s="187" t="s">
        <v>419</v>
      </c>
      <c r="H1535" s="181" t="s">
        <v>420</v>
      </c>
      <c r="I1535"/>
      <c r="J1535" s="2" t="s">
        <v>419</v>
      </c>
      <c r="K1535" s="8">
        <v>0</v>
      </c>
    </row>
    <row r="1536" spans="1:11" hidden="1">
      <c r="A1536" s="268"/>
      <c r="I1536"/>
      <c r="J1536" s="4"/>
      <c r="K1536" s="5" t="s">
        <v>1530</v>
      </c>
    </row>
    <row r="1537" spans="1:11" hidden="1">
      <c r="A1537" s="268"/>
      <c r="H1537" s="181" t="s">
        <v>498</v>
      </c>
      <c r="I1537"/>
      <c r="J1537" s="4"/>
      <c r="K1537" s="8">
        <f>SUM(K1532:K1535)</f>
        <v>3285</v>
      </c>
    </row>
    <row r="1538" spans="1:11" hidden="1">
      <c r="A1538" s="268"/>
      <c r="I1538"/>
      <c r="J1538" s="4"/>
      <c r="K1538" s="5" t="s">
        <v>1530</v>
      </c>
    </row>
    <row r="1539" spans="1:11" hidden="1">
      <c r="A1539" s="268"/>
      <c r="H1539" s="181" t="s">
        <v>499</v>
      </c>
      <c r="I1539"/>
      <c r="J1539" s="4"/>
      <c r="K1539" s="8">
        <f>(K1537*10)</f>
        <v>32850</v>
      </c>
    </row>
    <row r="1540" spans="1:11" hidden="1">
      <c r="A1540" s="268"/>
      <c r="H1540" s="181" t="s">
        <v>940</v>
      </c>
      <c r="I1540"/>
      <c r="J1540" s="4"/>
      <c r="K1540" s="1" t="s">
        <v>940</v>
      </c>
    </row>
    <row r="1541" spans="1:11" hidden="1">
      <c r="A1541" s="268"/>
      <c r="G1541" s="180" t="s">
        <v>486</v>
      </c>
      <c r="H1541" s="181" t="s">
        <v>520</v>
      </c>
      <c r="I1541"/>
      <c r="J1541" s="4"/>
      <c r="K1541" s="1"/>
    </row>
    <row r="1542" spans="1:11" hidden="1">
      <c r="A1542" s="268"/>
      <c r="H1542" s="181" t="s">
        <v>1539</v>
      </c>
      <c r="I1542"/>
      <c r="J1542" s="4"/>
      <c r="K1542" s="1"/>
    </row>
    <row r="1543" spans="1:11" hidden="1">
      <c r="A1543" s="268"/>
      <c r="F1543" s="245"/>
      <c r="H1543" s="185" t="s">
        <v>1530</v>
      </c>
      <c r="I1543"/>
      <c r="J1543" s="4"/>
      <c r="K1543" s="1"/>
    </row>
    <row r="1544" spans="1:11" hidden="1">
      <c r="A1544" s="268"/>
      <c r="F1544" s="188">
        <v>1</v>
      </c>
      <c r="G1544" s="187" t="s">
        <v>492</v>
      </c>
      <c r="H1544" s="181" t="s">
        <v>501</v>
      </c>
      <c r="I1544">
        <f>C137</f>
        <v>26500</v>
      </c>
      <c r="J1544" s="2" t="s">
        <v>494</v>
      </c>
      <c r="K1544" s="8">
        <f>(F1544*I1544)/10</f>
        <v>2650</v>
      </c>
    </row>
    <row r="1545" spans="1:11" hidden="1">
      <c r="A1545" s="268"/>
      <c r="F1545" s="245">
        <v>0.01</v>
      </c>
      <c r="G1545" s="187" t="s">
        <v>492</v>
      </c>
      <c r="H1545" s="181" t="s">
        <v>186</v>
      </c>
      <c r="I1545">
        <f>C142</f>
        <v>30000</v>
      </c>
      <c r="J1545" s="2" t="s">
        <v>494</v>
      </c>
      <c r="K1545" s="8">
        <f>(F1545*I1545)/10</f>
        <v>30</v>
      </c>
    </row>
    <row r="1546" spans="1:11" hidden="1">
      <c r="A1546" s="268"/>
      <c r="F1546" s="245">
        <v>3.5</v>
      </c>
      <c r="G1546" s="187" t="s">
        <v>739</v>
      </c>
      <c r="H1546" s="181" t="s">
        <v>495</v>
      </c>
      <c r="I1546">
        <f>C17</f>
        <v>130</v>
      </c>
      <c r="J1546" s="2" t="s">
        <v>739</v>
      </c>
      <c r="K1546" s="8">
        <f>(F1546*I1546)</f>
        <v>455</v>
      </c>
    </row>
    <row r="1547" spans="1:11" hidden="1">
      <c r="A1547" s="268"/>
      <c r="F1547" s="245"/>
      <c r="G1547" s="187" t="s">
        <v>419</v>
      </c>
      <c r="H1547" s="181" t="s">
        <v>420</v>
      </c>
      <c r="I1547"/>
      <c r="J1547" s="2" t="s">
        <v>419</v>
      </c>
      <c r="K1547" s="8">
        <v>0</v>
      </c>
    </row>
    <row r="1548" spans="1:11" hidden="1">
      <c r="A1548" s="268"/>
      <c r="I1548"/>
      <c r="J1548" s="4"/>
      <c r="K1548" s="5" t="s">
        <v>1530</v>
      </c>
    </row>
    <row r="1549" spans="1:11" hidden="1">
      <c r="A1549" s="268"/>
      <c r="H1549" s="181" t="s">
        <v>498</v>
      </c>
      <c r="I1549"/>
      <c r="J1549" s="4"/>
      <c r="K1549" s="8">
        <f>SUM(K1544:K1547)</f>
        <v>3135</v>
      </c>
    </row>
    <row r="1550" spans="1:11" hidden="1">
      <c r="A1550" s="268"/>
      <c r="I1550"/>
      <c r="J1550" s="4"/>
      <c r="K1550" s="5" t="s">
        <v>1530</v>
      </c>
    </row>
    <row r="1551" spans="1:11" hidden="1">
      <c r="A1551" s="268"/>
      <c r="H1551" s="181" t="s">
        <v>499</v>
      </c>
      <c r="I1551"/>
      <c r="J1551" s="4"/>
      <c r="K1551" s="8">
        <f>(K1549*10)</f>
        <v>31350</v>
      </c>
    </row>
    <row r="1552" spans="1:11" hidden="1">
      <c r="A1552" s="268"/>
      <c r="H1552" s="181" t="s">
        <v>940</v>
      </c>
      <c r="I1552"/>
      <c r="J1552" s="4"/>
      <c r="K1552"/>
    </row>
    <row r="1553" spans="1:11" hidden="1">
      <c r="A1553" s="268"/>
      <c r="F1553" s="246">
        <v>44.1</v>
      </c>
      <c r="G1553" s="187" t="s">
        <v>2167</v>
      </c>
      <c r="H1553" s="181" t="s">
        <v>1540</v>
      </c>
      <c r="I1553"/>
      <c r="J1553" s="4"/>
      <c r="K1553"/>
    </row>
    <row r="1554" spans="1:11" hidden="1">
      <c r="A1554" s="268"/>
      <c r="H1554" s="181" t="s">
        <v>1541</v>
      </c>
      <c r="I1554"/>
      <c r="J1554" s="4"/>
      <c r="K1554"/>
    </row>
    <row r="1555" spans="1:11" hidden="1">
      <c r="A1555" s="268"/>
      <c r="H1555" s="181" t="s">
        <v>3062</v>
      </c>
      <c r="I1555"/>
      <c r="J1555" s="4"/>
      <c r="K1555"/>
    </row>
    <row r="1556" spans="1:11" hidden="1">
      <c r="A1556" s="268"/>
      <c r="H1556" s="185" t="s">
        <v>1530</v>
      </c>
      <c r="I1556"/>
      <c r="J1556" s="4"/>
      <c r="K1556"/>
    </row>
    <row r="1557" spans="1:11" hidden="1">
      <c r="A1557" s="268"/>
      <c r="F1557" s="188">
        <v>3</v>
      </c>
      <c r="G1557" s="187" t="s">
        <v>1714</v>
      </c>
      <c r="H1557" s="181" t="s">
        <v>1973</v>
      </c>
      <c r="I1557" s="8">
        <f>(C598)</f>
        <v>120</v>
      </c>
      <c r="J1557" s="2" t="s">
        <v>1714</v>
      </c>
      <c r="K1557" s="8">
        <f t="shared" ref="K1557:K1562" si="60">(F1557*I1557)</f>
        <v>360</v>
      </c>
    </row>
    <row r="1558" spans="1:11" hidden="1">
      <c r="A1558" s="268"/>
      <c r="F1558" s="188">
        <v>1</v>
      </c>
      <c r="G1558" s="187" t="s">
        <v>835</v>
      </c>
      <c r="H1558" s="181" t="s">
        <v>2020</v>
      </c>
      <c r="I1558" s="8">
        <f>(C601)</f>
        <v>65</v>
      </c>
      <c r="J1558" s="2" t="s">
        <v>835</v>
      </c>
      <c r="K1558" s="8">
        <f t="shared" si="60"/>
        <v>65</v>
      </c>
    </row>
    <row r="1559" spans="1:11" hidden="1">
      <c r="A1559" s="268"/>
      <c r="F1559" s="188">
        <v>1</v>
      </c>
      <c r="G1559" s="187" t="s">
        <v>835</v>
      </c>
      <c r="H1559" s="181" t="s">
        <v>2021</v>
      </c>
      <c r="I1559" s="8">
        <f>(C604)</f>
        <v>45</v>
      </c>
      <c r="J1559" s="2" t="s">
        <v>835</v>
      </c>
      <c r="K1559" s="8">
        <f t="shared" si="60"/>
        <v>45</v>
      </c>
    </row>
    <row r="1560" spans="1:11" hidden="1">
      <c r="A1560" s="268"/>
      <c r="F1560" s="188">
        <v>2</v>
      </c>
      <c r="G1560" s="187" t="s">
        <v>835</v>
      </c>
      <c r="H1560" s="181" t="s">
        <v>2022</v>
      </c>
      <c r="I1560" s="8">
        <f>C575</f>
        <v>16.440000000000001</v>
      </c>
      <c r="J1560" s="2" t="s">
        <v>835</v>
      </c>
      <c r="K1560" s="8">
        <f t="shared" si="60"/>
        <v>32.880000000000003</v>
      </c>
    </row>
    <row r="1561" spans="1:11" hidden="1">
      <c r="A1561" s="268"/>
      <c r="F1561" s="188">
        <v>1</v>
      </c>
      <c r="G1561" s="187" t="s">
        <v>835</v>
      </c>
      <c r="H1561" s="181" t="s">
        <v>2023</v>
      </c>
      <c r="I1561" s="8">
        <f>(C666)</f>
        <v>18</v>
      </c>
      <c r="J1561" s="2" t="s">
        <v>835</v>
      </c>
      <c r="K1561" s="8">
        <f t="shared" si="60"/>
        <v>18</v>
      </c>
    </row>
    <row r="1562" spans="1:11" hidden="1">
      <c r="A1562" s="268"/>
      <c r="F1562" s="188">
        <v>0.5</v>
      </c>
      <c r="G1562" s="187" t="s">
        <v>835</v>
      </c>
      <c r="H1562" s="181" t="s">
        <v>2024</v>
      </c>
      <c r="I1562" s="8">
        <f>(C15)</f>
        <v>130</v>
      </c>
      <c r="J1562" s="2" t="s">
        <v>835</v>
      </c>
      <c r="K1562" s="8">
        <f t="shared" si="60"/>
        <v>65</v>
      </c>
    </row>
    <row r="1563" spans="1:11" hidden="1">
      <c r="A1563" s="268"/>
      <c r="G1563" s="187" t="s">
        <v>419</v>
      </c>
      <c r="H1563" s="181" t="s">
        <v>574</v>
      </c>
      <c r="I1563"/>
      <c r="J1563" s="2" t="s">
        <v>419</v>
      </c>
      <c r="K1563" s="8">
        <v>0.75</v>
      </c>
    </row>
    <row r="1564" spans="1:11" hidden="1">
      <c r="A1564" s="268"/>
      <c r="H1564" s="181" t="s">
        <v>21</v>
      </c>
      <c r="I1564"/>
      <c r="J1564" s="4"/>
      <c r="K1564"/>
    </row>
    <row r="1565" spans="1:11" hidden="1">
      <c r="A1565" s="268"/>
      <c r="I1565"/>
      <c r="J1565" s="4"/>
      <c r="K1565" s="5" t="s">
        <v>1530</v>
      </c>
    </row>
    <row r="1566" spans="1:11" hidden="1">
      <c r="A1566" s="268"/>
      <c r="H1566" s="181" t="s">
        <v>1267</v>
      </c>
      <c r="I1566"/>
      <c r="J1566" s="4"/>
      <c r="K1566" s="8">
        <f>SUM(K1557:K1563)</f>
        <v>586.63</v>
      </c>
    </row>
    <row r="1567" spans="1:11" hidden="1">
      <c r="A1567" s="268"/>
      <c r="F1567" s="181" t="s">
        <v>940</v>
      </c>
      <c r="I1567"/>
      <c r="J1567" s="4"/>
      <c r="K1567"/>
    </row>
    <row r="1568" spans="1:11" hidden="1">
      <c r="A1568" s="268"/>
      <c r="I1568"/>
      <c r="J1568" s="4"/>
      <c r="K1568" s="5" t="s">
        <v>1530</v>
      </c>
    </row>
    <row r="1569" spans="1:11" hidden="1">
      <c r="A1569" s="268"/>
      <c r="H1569" s="181" t="s">
        <v>1490</v>
      </c>
      <c r="I1569"/>
      <c r="J1569" s="4"/>
      <c r="K1569" s="8">
        <f>(K1566/3)</f>
        <v>195.54</v>
      </c>
    </row>
    <row r="1570" spans="1:11" hidden="1">
      <c r="A1570" s="268"/>
      <c r="H1570" s="181"/>
      <c r="I1570"/>
      <c r="J1570" s="4"/>
      <c r="K1570" s="5" t="s">
        <v>1980</v>
      </c>
    </row>
    <row r="1571" spans="1:11" hidden="1">
      <c r="A1571" s="268"/>
      <c r="F1571" s="236" t="s">
        <v>1268</v>
      </c>
      <c r="H1571" s="181" t="s">
        <v>15</v>
      </c>
      <c r="I1571"/>
      <c r="J1571" s="4"/>
      <c r="K1571"/>
    </row>
    <row r="1572" spans="1:11" hidden="1">
      <c r="A1572" s="268"/>
      <c r="H1572" s="181" t="s">
        <v>16</v>
      </c>
      <c r="I1572"/>
      <c r="J1572" s="4"/>
      <c r="K1572"/>
    </row>
    <row r="1573" spans="1:11" hidden="1">
      <c r="A1573" s="268"/>
      <c r="H1573" s="181" t="s">
        <v>1963</v>
      </c>
      <c r="I1573"/>
      <c r="J1573" s="4"/>
      <c r="K1573"/>
    </row>
    <row r="1574" spans="1:11" hidden="1">
      <c r="A1574" s="268"/>
      <c r="H1574" s="185" t="s">
        <v>1530</v>
      </c>
      <c r="I1574"/>
      <c r="J1574" s="4"/>
      <c r="K1574"/>
    </row>
    <row r="1575" spans="1:11" hidden="1">
      <c r="A1575" s="268"/>
      <c r="F1575" s="188">
        <v>0.15</v>
      </c>
      <c r="G1575" s="187" t="s">
        <v>836</v>
      </c>
      <c r="H1575" s="181" t="s">
        <v>1964</v>
      </c>
      <c r="I1575" s="8" t="e">
        <f>(C70)</f>
        <v>#REF!</v>
      </c>
      <c r="J1575" s="2" t="s">
        <v>836</v>
      </c>
      <c r="K1575" s="8" t="e">
        <f>(F1575*I1575)</f>
        <v>#REF!</v>
      </c>
    </row>
    <row r="1576" spans="1:11" hidden="1">
      <c r="A1576" s="268"/>
      <c r="F1576" s="256">
        <v>8.6499999999999994E-2</v>
      </c>
      <c r="G1576" s="187" t="s">
        <v>828</v>
      </c>
      <c r="H1576" s="181" t="s">
        <v>829</v>
      </c>
      <c r="I1576" s="8">
        <f>(C67)</f>
        <v>3800</v>
      </c>
      <c r="J1576" s="2" t="s">
        <v>828</v>
      </c>
      <c r="K1576" s="8">
        <f>(F1576*I1576)</f>
        <v>328.7</v>
      </c>
    </row>
    <row r="1577" spans="1:11" hidden="1">
      <c r="A1577" s="268"/>
      <c r="F1577" s="188">
        <v>1.6</v>
      </c>
      <c r="G1577" s="187" t="s">
        <v>739</v>
      </c>
      <c r="H1577" s="181" t="s">
        <v>1938</v>
      </c>
      <c r="I1577" s="8">
        <f>(C10)</f>
        <v>150</v>
      </c>
      <c r="J1577" s="2" t="s">
        <v>739</v>
      </c>
      <c r="K1577" s="8">
        <f>(F1577*I1577)</f>
        <v>240</v>
      </c>
    </row>
    <row r="1578" spans="1:11" hidden="1">
      <c r="A1578" s="268"/>
      <c r="F1578" s="188">
        <v>0.5</v>
      </c>
      <c r="G1578" s="187" t="s">
        <v>739</v>
      </c>
      <c r="H1578" s="181" t="s">
        <v>1836</v>
      </c>
      <c r="I1578" s="8">
        <f>(C12)</f>
        <v>95</v>
      </c>
      <c r="J1578" s="2" t="s">
        <v>739</v>
      </c>
      <c r="K1578" s="8">
        <f>(F1578*I1578)</f>
        <v>47.5</v>
      </c>
    </row>
    <row r="1579" spans="1:11" hidden="1">
      <c r="A1579" s="268"/>
      <c r="F1579" s="188">
        <v>1.1000000000000001</v>
      </c>
      <c r="G1579" s="187" t="s">
        <v>739</v>
      </c>
      <c r="H1579" s="181" t="s">
        <v>299</v>
      </c>
      <c r="I1579" s="8">
        <f>(C13)</f>
        <v>85</v>
      </c>
      <c r="J1579" s="2" t="s">
        <v>739</v>
      </c>
      <c r="K1579" s="8">
        <f>(F1579*I1579)</f>
        <v>93.5</v>
      </c>
    </row>
    <row r="1580" spans="1:11" hidden="1">
      <c r="A1580" s="268"/>
      <c r="G1580" s="187" t="s">
        <v>419</v>
      </c>
      <c r="H1580" s="181" t="s">
        <v>420</v>
      </c>
      <c r="I1580" s="1" t="s">
        <v>940</v>
      </c>
      <c r="J1580" s="2" t="s">
        <v>419</v>
      </c>
      <c r="K1580" s="8">
        <v>0</v>
      </c>
    </row>
    <row r="1581" spans="1:11" hidden="1">
      <c r="A1581" s="268"/>
      <c r="I1581"/>
      <c r="J1581" s="4"/>
      <c r="K1581" s="5" t="s">
        <v>1530</v>
      </c>
    </row>
    <row r="1582" spans="1:11" hidden="1">
      <c r="A1582" s="268"/>
      <c r="H1582" s="181" t="s">
        <v>411</v>
      </c>
      <c r="I1582"/>
      <c r="J1582" s="4"/>
      <c r="K1582" s="8" t="e">
        <f>SUM(K1575:K1580)</f>
        <v>#REF!</v>
      </c>
    </row>
    <row r="1583" spans="1:11" hidden="1">
      <c r="A1583" s="268"/>
      <c r="I1583"/>
      <c r="J1583" s="4"/>
      <c r="K1583" s="5" t="s">
        <v>1530</v>
      </c>
    </row>
    <row r="1584" spans="1:11" hidden="1">
      <c r="A1584" s="268"/>
      <c r="H1584" s="181" t="s">
        <v>521</v>
      </c>
      <c r="I1584"/>
      <c r="J1584" s="4"/>
      <c r="K1584" s="8" t="e">
        <f>(K1582/10)</f>
        <v>#REF!</v>
      </c>
    </row>
    <row r="1585" spans="1:11" hidden="1">
      <c r="A1585" s="268"/>
      <c r="I1585"/>
      <c r="J1585" s="4"/>
      <c r="K1585" s="5" t="s">
        <v>1980</v>
      </c>
    </row>
    <row r="1586" spans="1:11" hidden="1">
      <c r="A1586" s="268"/>
      <c r="F1586" s="236" t="s">
        <v>1965</v>
      </c>
      <c r="G1586" s="187" t="s">
        <v>2167</v>
      </c>
      <c r="H1586" s="181" t="s">
        <v>1966</v>
      </c>
      <c r="I1586"/>
      <c r="J1586" s="4"/>
      <c r="K1586"/>
    </row>
    <row r="1587" spans="1:11" hidden="1">
      <c r="A1587" s="268"/>
      <c r="H1587" s="181" t="s">
        <v>1168</v>
      </c>
      <c r="I1587"/>
      <c r="J1587" s="4"/>
      <c r="K1587"/>
    </row>
    <row r="1588" spans="1:11" hidden="1">
      <c r="A1588" s="268"/>
      <c r="H1588" s="181" t="s">
        <v>1169</v>
      </c>
      <c r="I1588"/>
      <c r="J1588" s="2" t="s">
        <v>940</v>
      </c>
      <c r="K1588"/>
    </row>
    <row r="1589" spans="1:11" hidden="1">
      <c r="A1589" s="268"/>
      <c r="H1589" s="181" t="s">
        <v>1067</v>
      </c>
      <c r="I1589"/>
      <c r="J1589" s="4"/>
      <c r="K1589"/>
    </row>
    <row r="1590" spans="1:11" hidden="1">
      <c r="A1590" s="268"/>
      <c r="H1590" s="181" t="s">
        <v>992</v>
      </c>
      <c r="I1590"/>
      <c r="J1590" s="4"/>
      <c r="K1590"/>
    </row>
    <row r="1591" spans="1:11" hidden="1">
      <c r="A1591" s="268"/>
      <c r="H1591" s="181" t="s">
        <v>1748</v>
      </c>
      <c r="I1591"/>
      <c r="J1591" s="4"/>
      <c r="K1591"/>
    </row>
    <row r="1592" spans="1:11" hidden="1">
      <c r="A1592" s="268"/>
      <c r="H1592" s="181" t="s">
        <v>261</v>
      </c>
      <c r="I1592"/>
      <c r="J1592" s="4"/>
      <c r="K1592"/>
    </row>
    <row r="1593" spans="1:11" hidden="1">
      <c r="A1593" s="268"/>
      <c r="H1593" s="181" t="s">
        <v>262</v>
      </c>
      <c r="I1593"/>
      <c r="J1593" s="4"/>
      <c r="K1593"/>
    </row>
    <row r="1594" spans="1:11" hidden="1">
      <c r="A1594" s="268"/>
      <c r="H1594" s="181" t="s">
        <v>263</v>
      </c>
      <c r="I1594"/>
      <c r="J1594" s="4"/>
      <c r="K1594"/>
    </row>
    <row r="1595" spans="1:11" hidden="1">
      <c r="A1595" s="268"/>
      <c r="H1595" s="185" t="s">
        <v>1980</v>
      </c>
      <c r="I1595"/>
      <c r="J1595" s="4"/>
      <c r="K1595"/>
    </row>
    <row r="1596" spans="1:11" hidden="1">
      <c r="A1596" s="268"/>
      <c r="I1596"/>
      <c r="J1596" s="4"/>
      <c r="K1596"/>
    </row>
    <row r="1597" spans="1:11" hidden="1">
      <c r="A1597" s="268"/>
      <c r="F1597" s="188">
        <v>1</v>
      </c>
      <c r="G1597" s="187" t="s">
        <v>794</v>
      </c>
      <c r="H1597" s="181" t="s">
        <v>264</v>
      </c>
      <c r="I1597" s="8">
        <v>50</v>
      </c>
      <c r="J1597" s="2" t="s">
        <v>794</v>
      </c>
      <c r="K1597" s="8">
        <f>(F1597*I1597)</f>
        <v>50</v>
      </c>
    </row>
    <row r="1598" spans="1:11" hidden="1">
      <c r="A1598" s="268"/>
      <c r="F1598" s="188">
        <v>1</v>
      </c>
      <c r="G1598" s="187" t="s">
        <v>265</v>
      </c>
      <c r="H1598" s="181" t="s">
        <v>1116</v>
      </c>
      <c r="I1598" s="8">
        <v>9</v>
      </c>
      <c r="J1598" s="2" t="s">
        <v>265</v>
      </c>
      <c r="K1598" s="8">
        <f>(F1598*I1598)</f>
        <v>9</v>
      </c>
    </row>
    <row r="1599" spans="1:11" hidden="1">
      <c r="A1599" s="268"/>
      <c r="G1599" s="187" t="s">
        <v>419</v>
      </c>
      <c r="H1599" s="181" t="s">
        <v>472</v>
      </c>
      <c r="I1599"/>
      <c r="J1599" s="2" t="s">
        <v>419</v>
      </c>
      <c r="K1599" s="8">
        <v>7</v>
      </c>
    </row>
    <row r="1600" spans="1:11" hidden="1">
      <c r="A1600" s="268"/>
      <c r="I1600"/>
      <c r="J1600" s="4"/>
      <c r="K1600" s="5" t="s">
        <v>1530</v>
      </c>
    </row>
    <row r="1601" spans="1:11" hidden="1">
      <c r="A1601" s="268"/>
      <c r="H1601" s="236" t="s">
        <v>1585</v>
      </c>
      <c r="I1601"/>
      <c r="J1601" s="4"/>
      <c r="K1601" s="8">
        <f>SUM(K1597:K1599)</f>
        <v>66</v>
      </c>
    </row>
    <row r="1602" spans="1:11" hidden="1">
      <c r="A1602" s="268"/>
      <c r="I1602"/>
      <c r="J1602" s="4"/>
      <c r="K1602" s="5" t="s">
        <v>1980</v>
      </c>
    </row>
    <row r="1603" spans="1:11" hidden="1">
      <c r="A1603" s="268"/>
      <c r="F1603" s="236" t="s">
        <v>1586</v>
      </c>
      <c r="G1603" s="187" t="s">
        <v>2167</v>
      </c>
      <c r="H1603" s="181" t="s">
        <v>725</v>
      </c>
      <c r="I1603"/>
      <c r="J1603" s="4"/>
      <c r="K1603"/>
    </row>
    <row r="1604" spans="1:11" hidden="1">
      <c r="A1604" s="268"/>
      <c r="H1604" s="181" t="s">
        <v>373</v>
      </c>
      <c r="I1604"/>
      <c r="J1604" s="4"/>
      <c r="K1604"/>
    </row>
    <row r="1605" spans="1:11" hidden="1">
      <c r="A1605" s="268"/>
      <c r="H1605" s="181" t="s">
        <v>374</v>
      </c>
      <c r="I1605"/>
      <c r="J1605" s="4"/>
      <c r="K1605"/>
    </row>
    <row r="1606" spans="1:11" hidden="1">
      <c r="A1606" s="268"/>
      <c r="H1606" s="181" t="s">
        <v>371</v>
      </c>
      <c r="I1606"/>
      <c r="J1606" s="4"/>
      <c r="K1606"/>
    </row>
    <row r="1607" spans="1:11" hidden="1">
      <c r="A1607" s="268"/>
      <c r="H1607" s="181" t="s">
        <v>1702</v>
      </c>
      <c r="I1607"/>
      <c r="J1607" s="4"/>
      <c r="K1607"/>
    </row>
    <row r="1608" spans="1:11" hidden="1">
      <c r="A1608" s="268"/>
      <c r="H1608" s="185" t="s">
        <v>1530</v>
      </c>
      <c r="I1608" s="5" t="s">
        <v>1530</v>
      </c>
      <c r="J1608" s="4"/>
      <c r="K1608"/>
    </row>
    <row r="1609" spans="1:11" hidden="1">
      <c r="A1609" s="268"/>
      <c r="F1609" s="188">
        <v>1</v>
      </c>
      <c r="G1609" s="187" t="s">
        <v>1703</v>
      </c>
      <c r="H1609" s="181" t="s">
        <v>1497</v>
      </c>
      <c r="I1609" s="8">
        <v>27.3</v>
      </c>
      <c r="J1609" s="2" t="s">
        <v>1341</v>
      </c>
      <c r="K1609" s="8">
        <f>(F1609*I1609)</f>
        <v>27.3</v>
      </c>
    </row>
    <row r="1610" spans="1:11" hidden="1">
      <c r="A1610" s="268"/>
      <c r="G1610" s="187" t="s">
        <v>419</v>
      </c>
      <c r="H1610" s="181" t="s">
        <v>1498</v>
      </c>
      <c r="I1610"/>
      <c r="J1610" s="2" t="s">
        <v>419</v>
      </c>
      <c r="K1610" s="8">
        <v>7.5</v>
      </c>
    </row>
    <row r="1611" spans="1:11" hidden="1">
      <c r="A1611" s="268"/>
      <c r="G1611" s="187" t="s">
        <v>419</v>
      </c>
      <c r="H1611" s="181" t="s">
        <v>592</v>
      </c>
      <c r="I1611"/>
      <c r="J1611" s="2" t="s">
        <v>419</v>
      </c>
      <c r="K1611" s="8">
        <v>1.2</v>
      </c>
    </row>
    <row r="1612" spans="1:11" hidden="1">
      <c r="A1612" s="268"/>
      <c r="H1612" s="181" t="s">
        <v>593</v>
      </c>
      <c r="I1612"/>
      <c r="J1612" s="4"/>
      <c r="K1612" s="5" t="s">
        <v>1530</v>
      </c>
    </row>
    <row r="1613" spans="1:11" hidden="1">
      <c r="A1613" s="268"/>
      <c r="H1613" s="236" t="s">
        <v>1585</v>
      </c>
      <c r="I1613"/>
      <c r="J1613" s="4"/>
      <c r="K1613" s="8">
        <f>SUM(K1609:K1611)</f>
        <v>36</v>
      </c>
    </row>
    <row r="1614" spans="1:11" hidden="1">
      <c r="A1614" s="268"/>
      <c r="I1614"/>
      <c r="J1614" s="4"/>
      <c r="K1614" s="5" t="s">
        <v>1980</v>
      </c>
    </row>
    <row r="1615" spans="1:11" hidden="1">
      <c r="A1615" s="268"/>
      <c r="F1615" s="236" t="s">
        <v>594</v>
      </c>
      <c r="G1615" s="187" t="s">
        <v>2167</v>
      </c>
      <c r="H1615" s="181" t="s">
        <v>508</v>
      </c>
      <c r="I1615"/>
      <c r="J1615" s="4"/>
      <c r="K1615"/>
    </row>
    <row r="1616" spans="1:11" hidden="1">
      <c r="A1616" s="268"/>
      <c r="H1616" s="181" t="s">
        <v>595</v>
      </c>
      <c r="I1616"/>
      <c r="J1616" s="4"/>
      <c r="K1616" s="1" t="s">
        <v>940</v>
      </c>
    </row>
    <row r="1617" spans="1:11" hidden="1">
      <c r="A1617" s="268"/>
      <c r="H1617" s="185" t="s">
        <v>1530</v>
      </c>
      <c r="I1617"/>
      <c r="J1617" s="4"/>
      <c r="K1617"/>
    </row>
    <row r="1618" spans="1:11" hidden="1">
      <c r="A1618" s="268"/>
      <c r="F1618" s="188">
        <v>1</v>
      </c>
      <c r="G1618" s="187" t="s">
        <v>1703</v>
      </c>
      <c r="H1618" s="181" t="s">
        <v>596</v>
      </c>
      <c r="I1618" s="8">
        <v>20</v>
      </c>
      <c r="J1618" s="2" t="s">
        <v>1341</v>
      </c>
      <c r="K1618" s="8">
        <f>(F1618*I1618)</f>
        <v>20</v>
      </c>
    </row>
    <row r="1619" spans="1:11" hidden="1">
      <c r="A1619" s="268"/>
      <c r="G1619" s="187" t="s">
        <v>419</v>
      </c>
      <c r="H1619" s="181" t="s">
        <v>597</v>
      </c>
      <c r="I1619"/>
      <c r="J1619" s="2" t="s">
        <v>419</v>
      </c>
      <c r="K1619" s="8">
        <v>5</v>
      </c>
    </row>
    <row r="1620" spans="1:11" hidden="1">
      <c r="A1620" s="268"/>
      <c r="I1620"/>
      <c r="J1620" s="4"/>
      <c r="K1620" s="5" t="s">
        <v>1530</v>
      </c>
    </row>
    <row r="1621" spans="1:11" hidden="1">
      <c r="A1621" s="268"/>
      <c r="H1621" s="236" t="s">
        <v>598</v>
      </c>
      <c r="I1621"/>
      <c r="J1621" s="4"/>
      <c r="K1621" s="8">
        <f>SUM(K1617:K1619)</f>
        <v>25</v>
      </c>
    </row>
    <row r="1622" spans="1:11" hidden="1">
      <c r="A1622" s="268"/>
      <c r="I1622"/>
      <c r="J1622" s="4"/>
      <c r="K1622" s="5" t="s">
        <v>1980</v>
      </c>
    </row>
    <row r="1623" spans="1:11" hidden="1">
      <c r="A1623" s="268"/>
      <c r="F1623" s="236" t="s">
        <v>2067</v>
      </c>
      <c r="G1623" s="187" t="s">
        <v>2167</v>
      </c>
      <c r="H1623" s="181" t="s">
        <v>509</v>
      </c>
      <c r="I1623"/>
      <c r="J1623" s="4"/>
      <c r="K1623"/>
    </row>
    <row r="1624" spans="1:11" hidden="1">
      <c r="A1624" s="268"/>
      <c r="H1624" s="185" t="s">
        <v>1530</v>
      </c>
      <c r="I1624" s="5" t="s">
        <v>1530</v>
      </c>
      <c r="J1624" s="4"/>
      <c r="K1624"/>
    </row>
    <row r="1625" spans="1:11" hidden="1">
      <c r="A1625" s="268"/>
      <c r="F1625" s="188">
        <v>1</v>
      </c>
      <c r="G1625" s="187" t="s">
        <v>1703</v>
      </c>
      <c r="H1625" s="181" t="s">
        <v>2068</v>
      </c>
      <c r="I1625" s="8">
        <v>1</v>
      </c>
      <c r="J1625" s="2" t="s">
        <v>1341</v>
      </c>
      <c r="K1625" s="8">
        <f>(F1625*I1625)</f>
        <v>1</v>
      </c>
    </row>
    <row r="1626" spans="1:11" hidden="1">
      <c r="A1626" s="268"/>
      <c r="G1626" s="187" t="s">
        <v>419</v>
      </c>
      <c r="H1626" s="181" t="s">
        <v>597</v>
      </c>
      <c r="I1626"/>
      <c r="J1626" s="2" t="s">
        <v>419</v>
      </c>
      <c r="K1626" s="8">
        <v>0.25</v>
      </c>
    </row>
    <row r="1627" spans="1:11" hidden="1">
      <c r="A1627" s="268"/>
      <c r="I1627"/>
      <c r="J1627" s="4"/>
      <c r="K1627" s="5" t="s">
        <v>1530</v>
      </c>
    </row>
    <row r="1628" spans="1:11" hidden="1">
      <c r="A1628" s="268"/>
      <c r="H1628" s="236" t="s">
        <v>598</v>
      </c>
      <c r="I1628"/>
      <c r="J1628" s="4"/>
      <c r="K1628" s="8">
        <f>SUM(K1623:K1626)</f>
        <v>1.25</v>
      </c>
    </row>
    <row r="1629" spans="1:11" hidden="1">
      <c r="A1629" s="268"/>
      <c r="F1629" s="181" t="s">
        <v>940</v>
      </c>
      <c r="I1629"/>
      <c r="J1629" s="4"/>
      <c r="K1629" s="5" t="s">
        <v>1530</v>
      </c>
    </row>
    <row r="1630" spans="1:11" hidden="1">
      <c r="A1630" s="268"/>
      <c r="F1630" s="246">
        <v>50.1</v>
      </c>
      <c r="G1630" s="187" t="s">
        <v>2167</v>
      </c>
      <c r="H1630" s="181" t="s">
        <v>2084</v>
      </c>
      <c r="I1630"/>
      <c r="J1630" s="4"/>
      <c r="K1630"/>
    </row>
    <row r="1631" spans="1:11" hidden="1">
      <c r="A1631" s="268"/>
      <c r="H1631" s="181" t="s">
        <v>13</v>
      </c>
      <c r="I1631"/>
      <c r="J1631" s="4"/>
      <c r="K1631"/>
    </row>
    <row r="1632" spans="1:11" hidden="1">
      <c r="A1632" s="268"/>
      <c r="H1632" s="181" t="s">
        <v>40</v>
      </c>
      <c r="I1632"/>
      <c r="J1632" s="4"/>
      <c r="K1632"/>
    </row>
    <row r="1633" spans="1:11" hidden="1">
      <c r="A1633" s="268"/>
      <c r="H1633" s="181" t="s">
        <v>41</v>
      </c>
      <c r="I1633"/>
      <c r="J1633" s="4"/>
      <c r="K1633"/>
    </row>
    <row r="1634" spans="1:11" hidden="1">
      <c r="A1634" s="268"/>
      <c r="H1634" s="181" t="s">
        <v>42</v>
      </c>
      <c r="I1634"/>
      <c r="J1634" s="4"/>
      <c r="K1634"/>
    </row>
    <row r="1635" spans="1:11" hidden="1">
      <c r="A1635" s="268"/>
      <c r="H1635" s="185" t="s">
        <v>1530</v>
      </c>
      <c r="I1635" s="5" t="s">
        <v>1530</v>
      </c>
      <c r="J1635" s="4"/>
      <c r="K1635"/>
    </row>
    <row r="1636" spans="1:11" hidden="1">
      <c r="A1636" s="268"/>
      <c r="F1636" s="188">
        <v>9</v>
      </c>
      <c r="G1636" s="187" t="s">
        <v>2070</v>
      </c>
      <c r="H1636" s="181" t="s">
        <v>1519</v>
      </c>
      <c r="I1636" s="8" t="e">
        <f>C73</f>
        <v>#REF!</v>
      </c>
      <c r="J1636" s="2" t="s">
        <v>2070</v>
      </c>
      <c r="K1636" s="8" t="e">
        <f>(F1636*I1636)</f>
        <v>#REF!</v>
      </c>
    </row>
    <row r="1637" spans="1:11" hidden="1">
      <c r="A1637" s="268"/>
      <c r="F1637" s="188">
        <v>4.5</v>
      </c>
      <c r="G1637" s="187" t="s">
        <v>2070</v>
      </c>
      <c r="H1637" s="181" t="s">
        <v>1520</v>
      </c>
      <c r="I1637" s="8" t="e">
        <f>K32</f>
        <v>#REF!</v>
      </c>
      <c r="J1637" s="2" t="s">
        <v>2070</v>
      </c>
      <c r="K1637" s="8" t="e">
        <f>(F1637*I1637)</f>
        <v>#REF!</v>
      </c>
    </row>
    <row r="1638" spans="1:11" hidden="1">
      <c r="A1638" s="268"/>
      <c r="F1638" s="188">
        <v>1.8</v>
      </c>
      <c r="G1638" s="187" t="s">
        <v>529</v>
      </c>
      <c r="H1638" s="181" t="s">
        <v>1521</v>
      </c>
      <c r="I1638" s="8">
        <f>C11</f>
        <v>135</v>
      </c>
      <c r="J1638" s="2" t="s">
        <v>1341</v>
      </c>
      <c r="K1638" s="8">
        <f>(F1638*I1638)</f>
        <v>243</v>
      </c>
    </row>
    <row r="1639" spans="1:11" hidden="1">
      <c r="A1639" s="268"/>
      <c r="F1639" s="188">
        <v>17.7</v>
      </c>
      <c r="G1639" s="187" t="s">
        <v>529</v>
      </c>
      <c r="H1639" s="181" t="s">
        <v>792</v>
      </c>
      <c r="I1639" s="8">
        <f>C12</f>
        <v>95</v>
      </c>
      <c r="J1639" s="2" t="s">
        <v>1341</v>
      </c>
      <c r="K1639" s="8">
        <f>(F1639*I1639)</f>
        <v>1681.5</v>
      </c>
    </row>
    <row r="1640" spans="1:11" hidden="1">
      <c r="A1640" s="268"/>
      <c r="F1640" s="188">
        <v>14.1</v>
      </c>
      <c r="G1640" s="187" t="s">
        <v>529</v>
      </c>
      <c r="H1640" s="181" t="s">
        <v>1317</v>
      </c>
      <c r="I1640" s="8">
        <f>C13</f>
        <v>85</v>
      </c>
      <c r="J1640" s="2" t="s">
        <v>1341</v>
      </c>
      <c r="K1640" s="8">
        <f>(F1640*I1640)</f>
        <v>1198.5</v>
      </c>
    </row>
    <row r="1641" spans="1:11" hidden="1">
      <c r="A1641" s="268"/>
      <c r="I1641"/>
      <c r="J1641" s="4"/>
      <c r="K1641" s="5" t="s">
        <v>1530</v>
      </c>
    </row>
    <row r="1642" spans="1:11" hidden="1">
      <c r="A1642" s="268"/>
      <c r="H1642" s="236" t="s">
        <v>1522</v>
      </c>
      <c r="I1642"/>
      <c r="J1642" s="4"/>
      <c r="K1642" s="8" t="e">
        <f>SUM(K1636:K1640)</f>
        <v>#REF!</v>
      </c>
    </row>
    <row r="1643" spans="1:11" hidden="1">
      <c r="A1643" s="268"/>
      <c r="I1643"/>
      <c r="J1643" s="4"/>
      <c r="K1643" s="5" t="s">
        <v>1530</v>
      </c>
    </row>
    <row r="1644" spans="1:11" hidden="1">
      <c r="A1644" s="268"/>
      <c r="H1644" s="236" t="s">
        <v>1523</v>
      </c>
      <c r="I1644"/>
      <c r="J1644" s="4"/>
      <c r="K1644" s="8" t="e">
        <f>(K1642/10)</f>
        <v>#REF!</v>
      </c>
    </row>
    <row r="1645" spans="1:11" hidden="1">
      <c r="A1645" s="268"/>
      <c r="I1645"/>
      <c r="J1645" s="4"/>
      <c r="K1645" s="5" t="s">
        <v>1980</v>
      </c>
    </row>
    <row r="1646" spans="1:11" hidden="1">
      <c r="A1646" s="268"/>
      <c r="I1646"/>
      <c r="J1646" s="4"/>
      <c r="K1646"/>
    </row>
    <row r="1647" spans="1:11" hidden="1">
      <c r="A1647" s="268"/>
      <c r="G1647" s="187" t="s">
        <v>643</v>
      </c>
      <c r="H1647" s="181" t="s">
        <v>1108</v>
      </c>
      <c r="I1647"/>
      <c r="J1647" s="4"/>
      <c r="K1647"/>
    </row>
    <row r="1648" spans="1:11" hidden="1">
      <c r="A1648" s="268"/>
      <c r="H1648" s="181" t="s">
        <v>569</v>
      </c>
      <c r="I1648"/>
      <c r="J1648" s="4"/>
      <c r="K1648"/>
    </row>
    <row r="1649" spans="1:11" hidden="1">
      <c r="A1649" s="268"/>
      <c r="H1649" s="185" t="s">
        <v>1530</v>
      </c>
      <c r="I1649" s="5" t="s">
        <v>1530</v>
      </c>
      <c r="J1649" s="4"/>
      <c r="K1649"/>
    </row>
    <row r="1650" spans="1:11" hidden="1">
      <c r="A1650" s="268"/>
      <c r="I1650"/>
      <c r="J1650" s="4"/>
      <c r="K1650"/>
    </row>
    <row r="1651" spans="1:11" hidden="1">
      <c r="A1651" s="268"/>
      <c r="F1651" s="245">
        <v>0.314</v>
      </c>
      <c r="G1651" s="187" t="s">
        <v>2070</v>
      </c>
      <c r="H1651" s="181" t="s">
        <v>412</v>
      </c>
      <c r="I1651" s="8" t="e">
        <f>K1644</f>
        <v>#REF!</v>
      </c>
      <c r="J1651" s="2" t="s">
        <v>2070</v>
      </c>
      <c r="K1651" s="8" t="e">
        <f>(F1651*I1651)</f>
        <v>#REF!</v>
      </c>
    </row>
    <row r="1652" spans="1:11" hidden="1">
      <c r="A1652" s="268"/>
      <c r="F1652" s="188">
        <v>18</v>
      </c>
      <c r="G1652" s="187" t="s">
        <v>529</v>
      </c>
      <c r="H1652" s="181" t="s">
        <v>504</v>
      </c>
      <c r="I1652" s="8">
        <v>2</v>
      </c>
      <c r="J1652" s="2" t="s">
        <v>1341</v>
      </c>
      <c r="K1652" s="8">
        <f>(F1652*I1652)</f>
        <v>36</v>
      </c>
    </row>
    <row r="1653" spans="1:11" hidden="1">
      <c r="A1653" s="268"/>
      <c r="F1653" s="188">
        <v>18</v>
      </c>
      <c r="G1653" s="187" t="s">
        <v>529</v>
      </c>
      <c r="H1653" s="181" t="s">
        <v>505</v>
      </c>
      <c r="I1653" s="8">
        <v>1</v>
      </c>
      <c r="J1653" s="2" t="s">
        <v>1341</v>
      </c>
      <c r="K1653" s="8">
        <f>(F1653*I1653)</f>
        <v>18</v>
      </c>
    </row>
    <row r="1654" spans="1:11" hidden="1">
      <c r="A1654" s="268"/>
      <c r="F1654" s="188">
        <v>18</v>
      </c>
      <c r="G1654" s="187" t="s">
        <v>529</v>
      </c>
      <c r="H1654" s="181" t="s">
        <v>506</v>
      </c>
      <c r="I1654" s="8">
        <v>2</v>
      </c>
      <c r="J1654" s="2" t="s">
        <v>1341</v>
      </c>
      <c r="K1654" s="8">
        <f>(F1654*I1654)</f>
        <v>36</v>
      </c>
    </row>
    <row r="1655" spans="1:11" hidden="1">
      <c r="A1655" s="268"/>
      <c r="I1655"/>
      <c r="J1655" s="4"/>
      <c r="K1655" s="5" t="s">
        <v>1530</v>
      </c>
    </row>
    <row r="1656" spans="1:11" hidden="1">
      <c r="A1656" s="268"/>
      <c r="H1656" s="236" t="s">
        <v>1881</v>
      </c>
      <c r="I1656"/>
      <c r="J1656" s="4"/>
      <c r="K1656" s="8" t="e">
        <f>SUM(K1650:K1654)</f>
        <v>#REF!</v>
      </c>
    </row>
    <row r="1657" spans="1:11" hidden="1">
      <c r="A1657" s="268"/>
      <c r="I1657"/>
      <c r="J1657" s="4"/>
      <c r="K1657" s="5" t="s">
        <v>1530</v>
      </c>
    </row>
    <row r="1658" spans="1:11" hidden="1">
      <c r="A1658" s="268"/>
      <c r="H1658" s="236" t="s">
        <v>1882</v>
      </c>
      <c r="I1658"/>
      <c r="J1658" s="4"/>
      <c r="K1658" s="8" t="e">
        <f>(K1656/6.28)</f>
        <v>#REF!</v>
      </c>
    </row>
    <row r="1659" spans="1:11" hidden="1">
      <c r="A1659" s="268"/>
      <c r="I1659"/>
      <c r="J1659" s="4"/>
      <c r="K1659" s="5" t="s">
        <v>1980</v>
      </c>
    </row>
    <row r="1660" spans="1:11" hidden="1">
      <c r="A1660" s="268"/>
      <c r="F1660" s="181" t="s">
        <v>940</v>
      </c>
      <c r="H1660" s="181" t="s">
        <v>700</v>
      </c>
      <c r="I1660"/>
      <c r="J1660" s="4"/>
      <c r="K1660"/>
    </row>
    <row r="1661" spans="1:11" hidden="1">
      <c r="A1661" s="268"/>
      <c r="H1661" s="185" t="s">
        <v>1530</v>
      </c>
      <c r="I1661"/>
      <c r="J1661" s="4"/>
      <c r="K1661"/>
    </row>
    <row r="1662" spans="1:11" hidden="1">
      <c r="A1662" s="268"/>
      <c r="F1662" s="245">
        <v>0.01</v>
      </c>
      <c r="G1662" s="187" t="s">
        <v>2070</v>
      </c>
      <c r="H1662" s="181" t="s">
        <v>412</v>
      </c>
      <c r="I1662" s="8" t="e">
        <f>K1644</f>
        <v>#REF!</v>
      </c>
      <c r="J1662" s="2" t="s">
        <v>2070</v>
      </c>
      <c r="K1662" s="8" t="e">
        <f>(F1662*I1662)</f>
        <v>#REF!</v>
      </c>
    </row>
    <row r="1663" spans="1:11" hidden="1">
      <c r="A1663" s="268"/>
      <c r="F1663" s="188">
        <v>0.01</v>
      </c>
      <c r="G1663" s="187" t="s">
        <v>1289</v>
      </c>
      <c r="H1663" s="181" t="s">
        <v>701</v>
      </c>
      <c r="I1663" s="6" t="s">
        <v>625</v>
      </c>
      <c r="J1663" s="4"/>
      <c r="K1663" s="8">
        <v>1.2</v>
      </c>
    </row>
    <row r="1664" spans="1:11" hidden="1">
      <c r="A1664" s="268"/>
      <c r="I1664" s="33"/>
      <c r="J1664" s="4"/>
      <c r="K1664" s="5" t="s">
        <v>1530</v>
      </c>
    </row>
    <row r="1665" spans="1:11" hidden="1">
      <c r="A1665" s="268"/>
      <c r="H1665" s="236" t="s">
        <v>709</v>
      </c>
      <c r="I1665"/>
      <c r="J1665" s="4"/>
      <c r="K1665" s="8" t="e">
        <f>SUM(K1659:K1663)</f>
        <v>#REF!</v>
      </c>
    </row>
    <row r="1666" spans="1:11" hidden="1">
      <c r="A1666" s="268"/>
      <c r="I1666"/>
      <c r="J1666" s="4"/>
      <c r="K1666" s="5" t="s">
        <v>1530</v>
      </c>
    </row>
    <row r="1667" spans="1:11" hidden="1">
      <c r="A1667" s="268"/>
      <c r="H1667" s="236" t="s">
        <v>2093</v>
      </c>
      <c r="I1667"/>
      <c r="J1667" s="4"/>
      <c r="K1667" s="8" t="e">
        <f>K1665/0.01</f>
        <v>#REF!</v>
      </c>
    </row>
    <row r="1668" spans="1:11" hidden="1">
      <c r="A1668" s="268"/>
      <c r="I1668"/>
      <c r="J1668" s="4"/>
      <c r="K1668" s="5" t="s">
        <v>1980</v>
      </c>
    </row>
    <row r="1669" spans="1:11" hidden="1">
      <c r="A1669" s="268"/>
      <c r="F1669" s="236" t="s">
        <v>2094</v>
      </c>
      <c r="G1669" s="187" t="s">
        <v>643</v>
      </c>
      <c r="H1669" s="181" t="s">
        <v>1108</v>
      </c>
      <c r="I1669"/>
      <c r="J1669" s="4"/>
      <c r="K1669"/>
    </row>
    <row r="1670" spans="1:11" hidden="1">
      <c r="A1670" s="268"/>
      <c r="H1670" s="248" t="s">
        <v>570</v>
      </c>
      <c r="I1670"/>
      <c r="J1670" s="4"/>
      <c r="K1670"/>
    </row>
    <row r="1671" spans="1:11" hidden="1">
      <c r="A1671" s="268"/>
      <c r="H1671" s="185" t="s">
        <v>1530</v>
      </c>
      <c r="I1671" s="5" t="s">
        <v>1530</v>
      </c>
      <c r="J1671" s="4"/>
      <c r="K1671"/>
    </row>
    <row r="1672" spans="1:11" hidden="1">
      <c r="A1672" s="268"/>
      <c r="F1672" s="245">
        <v>0.40500000000000003</v>
      </c>
      <c r="G1672" s="187" t="s">
        <v>2070</v>
      </c>
      <c r="H1672" s="181" t="s">
        <v>412</v>
      </c>
      <c r="I1672" s="8" t="e">
        <f>K1667</f>
        <v>#REF!</v>
      </c>
      <c r="J1672" s="2" t="s">
        <v>2070</v>
      </c>
      <c r="K1672" s="8" t="e">
        <f>(F1672*I1672)</f>
        <v>#REF!</v>
      </c>
    </row>
    <row r="1673" spans="1:11" hidden="1">
      <c r="A1673" s="268"/>
      <c r="F1673" s="181" t="s">
        <v>940</v>
      </c>
      <c r="G1673" s="187" t="s">
        <v>940</v>
      </c>
      <c r="H1673" s="181" t="s">
        <v>1594</v>
      </c>
      <c r="I1673" s="6" t="s">
        <v>625</v>
      </c>
      <c r="J1673" s="4"/>
      <c r="K1673" s="1" t="s">
        <v>940</v>
      </c>
    </row>
    <row r="1674" spans="1:11" hidden="1">
      <c r="A1674" s="268"/>
      <c r="I1674"/>
      <c r="J1674" s="4"/>
      <c r="K1674" s="5" t="s">
        <v>1530</v>
      </c>
    </row>
    <row r="1675" spans="1:11" hidden="1">
      <c r="A1675" s="268"/>
      <c r="H1675" s="236" t="s">
        <v>1595</v>
      </c>
      <c r="I1675"/>
      <c r="J1675" s="4"/>
      <c r="K1675" s="8" t="e">
        <f>SUM(K1669:K1673)</f>
        <v>#REF!</v>
      </c>
    </row>
    <row r="1676" spans="1:11" hidden="1">
      <c r="A1676" s="268"/>
      <c r="I1676"/>
      <c r="J1676" s="4"/>
      <c r="K1676" s="5" t="s">
        <v>1530</v>
      </c>
    </row>
    <row r="1677" spans="1:11" hidden="1">
      <c r="A1677" s="268"/>
      <c r="H1677" s="236" t="s">
        <v>1596</v>
      </c>
      <c r="I1677"/>
      <c r="J1677" s="4"/>
      <c r="K1677" s="8" t="e">
        <f>K1675/9</f>
        <v>#REF!</v>
      </c>
    </row>
    <row r="1678" spans="1:11" hidden="1">
      <c r="A1678" s="268"/>
      <c r="I1678"/>
      <c r="J1678" s="4"/>
      <c r="K1678" s="5" t="s">
        <v>1980</v>
      </c>
    </row>
    <row r="1679" spans="1:11" hidden="1">
      <c r="A1679" s="268"/>
      <c r="F1679" s="236" t="s">
        <v>1348</v>
      </c>
      <c r="H1679" s="181" t="s">
        <v>439</v>
      </c>
      <c r="I1679"/>
      <c r="J1679" s="4"/>
      <c r="K1679"/>
    </row>
    <row r="1680" spans="1:11" hidden="1">
      <c r="A1680" s="268"/>
      <c r="H1680" s="185" t="s">
        <v>1530</v>
      </c>
      <c r="I1680"/>
      <c r="J1680" s="4"/>
      <c r="K1680"/>
    </row>
    <row r="1681" spans="1:11" hidden="1">
      <c r="A1681" s="268"/>
      <c r="F1681" s="188">
        <v>4.32</v>
      </c>
      <c r="G1681" s="187" t="s">
        <v>836</v>
      </c>
      <c r="H1681" s="181" t="s">
        <v>335</v>
      </c>
      <c r="I1681" s="8">
        <f>C61</f>
        <v>25</v>
      </c>
      <c r="J1681" s="2" t="s">
        <v>836</v>
      </c>
      <c r="K1681" s="8">
        <f t="shared" ref="K1681:K1688" si="61">(F1681*I1681)</f>
        <v>108</v>
      </c>
    </row>
    <row r="1682" spans="1:11" hidden="1">
      <c r="A1682" s="268"/>
      <c r="F1682" s="188">
        <v>1.44</v>
      </c>
      <c r="G1682" s="187" t="s">
        <v>836</v>
      </c>
      <c r="H1682" s="181" t="s">
        <v>440</v>
      </c>
      <c r="I1682" s="8">
        <v>60.5</v>
      </c>
      <c r="J1682" s="2" t="s">
        <v>836</v>
      </c>
      <c r="K1682" s="8">
        <f t="shared" si="61"/>
        <v>87.12</v>
      </c>
    </row>
    <row r="1683" spans="1:11" hidden="1">
      <c r="A1683" s="268"/>
      <c r="F1683" s="188">
        <v>1.44</v>
      </c>
      <c r="G1683" s="187" t="s">
        <v>836</v>
      </c>
      <c r="H1683" s="181" t="s">
        <v>441</v>
      </c>
      <c r="I1683" s="8">
        <f>C35</f>
        <v>169</v>
      </c>
      <c r="J1683" s="2" t="s">
        <v>836</v>
      </c>
      <c r="K1683" s="8">
        <f t="shared" si="61"/>
        <v>243.36</v>
      </c>
    </row>
    <row r="1684" spans="1:11" hidden="1">
      <c r="A1684" s="268"/>
      <c r="F1684" s="188">
        <v>1.44</v>
      </c>
      <c r="G1684" s="187" t="s">
        <v>836</v>
      </c>
      <c r="H1684" s="181" t="s">
        <v>442</v>
      </c>
      <c r="I1684" s="8" t="e">
        <f>C78</f>
        <v>#REF!</v>
      </c>
      <c r="J1684" s="2" t="s">
        <v>836</v>
      </c>
      <c r="K1684" s="8" t="e">
        <f t="shared" si="61"/>
        <v>#REF!</v>
      </c>
    </row>
    <row r="1685" spans="1:11" hidden="1">
      <c r="A1685" s="268"/>
      <c r="F1685" s="188">
        <v>2.88</v>
      </c>
      <c r="G1685" s="187" t="s">
        <v>836</v>
      </c>
      <c r="H1685" s="181" t="s">
        <v>443</v>
      </c>
      <c r="I1685" s="8">
        <v>10</v>
      </c>
      <c r="J1685" s="2" t="s">
        <v>836</v>
      </c>
      <c r="K1685" s="8">
        <f t="shared" si="61"/>
        <v>28.8</v>
      </c>
    </row>
    <row r="1686" spans="1:11" hidden="1">
      <c r="A1686" s="268"/>
      <c r="F1686" s="188">
        <v>20</v>
      </c>
      <c r="G1686" s="187" t="s">
        <v>244</v>
      </c>
      <c r="H1686" s="181" t="s">
        <v>1570</v>
      </c>
      <c r="I1686" s="8">
        <v>40</v>
      </c>
      <c r="J1686" s="2" t="s">
        <v>244</v>
      </c>
      <c r="K1686" s="8">
        <f t="shared" si="61"/>
        <v>800</v>
      </c>
    </row>
    <row r="1687" spans="1:11" hidden="1">
      <c r="A1687" s="268"/>
      <c r="F1687" s="188">
        <v>42</v>
      </c>
      <c r="G1687" s="187" t="s">
        <v>2114</v>
      </c>
      <c r="H1687" s="181" t="s">
        <v>3063</v>
      </c>
      <c r="I1687" s="8">
        <v>10</v>
      </c>
      <c r="J1687" s="2" t="s">
        <v>2114</v>
      </c>
      <c r="K1687" s="8">
        <f t="shared" si="61"/>
        <v>420</v>
      </c>
    </row>
    <row r="1688" spans="1:11" hidden="1">
      <c r="A1688" s="268"/>
      <c r="F1688" s="188">
        <v>4.32</v>
      </c>
      <c r="G1688" s="187" t="s">
        <v>836</v>
      </c>
      <c r="H1688" s="181" t="s">
        <v>1562</v>
      </c>
      <c r="I1688" s="8">
        <f>C27</f>
        <v>7.8</v>
      </c>
      <c r="J1688" s="2" t="s">
        <v>836</v>
      </c>
      <c r="K1688" s="8">
        <f t="shared" si="61"/>
        <v>33.700000000000003</v>
      </c>
    </row>
    <row r="1689" spans="1:11" hidden="1">
      <c r="A1689" s="268"/>
      <c r="F1689" s="236" t="s">
        <v>702</v>
      </c>
      <c r="H1689" s="181" t="s">
        <v>986</v>
      </c>
      <c r="I1689"/>
      <c r="J1689" s="4"/>
      <c r="K1689" s="8">
        <v>2000</v>
      </c>
    </row>
    <row r="1690" spans="1:11" hidden="1">
      <c r="A1690" s="268"/>
      <c r="I1690"/>
      <c r="J1690" s="4"/>
      <c r="K1690" s="5" t="s">
        <v>1530</v>
      </c>
    </row>
    <row r="1691" spans="1:11" hidden="1">
      <c r="A1691" s="268"/>
      <c r="H1691" s="181" t="s">
        <v>987</v>
      </c>
      <c r="I1691"/>
      <c r="J1691" s="4"/>
      <c r="K1691" s="8" t="e">
        <f>SUM(K1681:K1689)</f>
        <v>#REF!</v>
      </c>
    </row>
    <row r="1692" spans="1:11" hidden="1">
      <c r="A1692" s="268"/>
      <c r="I1692"/>
      <c r="J1692" s="4"/>
      <c r="K1692" s="5" t="s">
        <v>1530</v>
      </c>
    </row>
    <row r="1693" spans="1:11" hidden="1">
      <c r="A1693" s="268"/>
      <c r="H1693" s="181" t="s">
        <v>1344</v>
      </c>
      <c r="I1693"/>
      <c r="J1693" s="4"/>
      <c r="K1693" s="8" t="e">
        <f>K1691/20</f>
        <v>#REF!</v>
      </c>
    </row>
    <row r="1694" spans="1:11" hidden="1">
      <c r="A1694" s="268"/>
      <c r="I1694"/>
      <c r="J1694" s="4"/>
      <c r="K1694" s="5" t="s">
        <v>1980</v>
      </c>
    </row>
    <row r="1695" spans="1:11" hidden="1">
      <c r="A1695" s="268"/>
      <c r="I1695"/>
      <c r="J1695" s="4"/>
      <c r="K1695"/>
    </row>
    <row r="1696" spans="1:11" hidden="1">
      <c r="A1696" s="268"/>
      <c r="F1696" s="236" t="s">
        <v>988</v>
      </c>
      <c r="H1696" s="181" t="s">
        <v>1266</v>
      </c>
      <c r="I1696"/>
      <c r="J1696" s="4"/>
      <c r="K1696"/>
    </row>
    <row r="1697" spans="1:11" hidden="1">
      <c r="A1697" s="268"/>
      <c r="H1697" s="185" t="s">
        <v>1530</v>
      </c>
      <c r="I1697"/>
      <c r="J1697" s="4"/>
      <c r="K1697"/>
    </row>
    <row r="1698" spans="1:11" hidden="1">
      <c r="A1698" s="268"/>
      <c r="F1698" s="188">
        <v>0.1</v>
      </c>
      <c r="G1698" s="187" t="s">
        <v>836</v>
      </c>
      <c r="H1698" s="181" t="s">
        <v>335</v>
      </c>
      <c r="I1698" s="8">
        <f>K90</f>
        <v>50</v>
      </c>
      <c r="J1698" s="2" t="s">
        <v>836</v>
      </c>
      <c r="K1698" s="8">
        <f t="shared" ref="K1698:K1703" si="62">(F1698*I1698)</f>
        <v>5</v>
      </c>
    </row>
    <row r="1699" spans="1:11" hidden="1">
      <c r="A1699" s="268"/>
      <c r="F1699" s="188">
        <v>6.3</v>
      </c>
      <c r="G1699" s="187" t="s">
        <v>2114</v>
      </c>
      <c r="H1699" s="181" t="s">
        <v>603</v>
      </c>
      <c r="I1699" s="52">
        <v>21</v>
      </c>
      <c r="J1699" s="2" t="s">
        <v>2114</v>
      </c>
      <c r="K1699" s="8">
        <f t="shared" si="62"/>
        <v>132.30000000000001</v>
      </c>
    </row>
    <row r="1700" spans="1:11" hidden="1">
      <c r="A1700" s="268"/>
      <c r="F1700" s="188">
        <v>6.3</v>
      </c>
      <c r="G1700" s="187" t="s">
        <v>2114</v>
      </c>
      <c r="H1700" s="181" t="s">
        <v>3063</v>
      </c>
      <c r="I1700" s="8">
        <v>10</v>
      </c>
      <c r="J1700" s="2" t="s">
        <v>2114</v>
      </c>
      <c r="K1700" s="8">
        <f t="shared" si="62"/>
        <v>63</v>
      </c>
    </row>
    <row r="1701" spans="1:11" hidden="1">
      <c r="A1701" s="268"/>
      <c r="F1701" s="188">
        <v>3.15</v>
      </c>
      <c r="G1701" s="187" t="s">
        <v>222</v>
      </c>
      <c r="H1701" s="181" t="s">
        <v>604</v>
      </c>
      <c r="I1701" s="52">
        <v>22.6</v>
      </c>
      <c r="J1701" s="2" t="s">
        <v>222</v>
      </c>
      <c r="K1701" s="8">
        <f t="shared" si="62"/>
        <v>71.19</v>
      </c>
    </row>
    <row r="1702" spans="1:11" hidden="1">
      <c r="A1702" s="268"/>
      <c r="F1702" s="188">
        <v>0.25</v>
      </c>
      <c r="G1702" s="187" t="s">
        <v>1703</v>
      </c>
      <c r="H1702" s="181" t="s">
        <v>605</v>
      </c>
      <c r="I1702" s="8">
        <f>D16</f>
        <v>135</v>
      </c>
      <c r="J1702" s="2" t="s">
        <v>1703</v>
      </c>
      <c r="K1702" s="8">
        <f t="shared" si="62"/>
        <v>33.75</v>
      </c>
    </row>
    <row r="1703" spans="1:11" hidden="1">
      <c r="A1703" s="268"/>
      <c r="F1703" s="188">
        <v>0.2</v>
      </c>
      <c r="G1703" s="187" t="s">
        <v>1703</v>
      </c>
      <c r="H1703" s="181" t="s">
        <v>606</v>
      </c>
      <c r="I1703" s="8">
        <f>C17</f>
        <v>130</v>
      </c>
      <c r="J1703" s="2" t="s">
        <v>1703</v>
      </c>
      <c r="K1703" s="8">
        <f t="shared" si="62"/>
        <v>26</v>
      </c>
    </row>
    <row r="1704" spans="1:11" hidden="1">
      <c r="A1704" s="268"/>
      <c r="H1704" s="181" t="s">
        <v>473</v>
      </c>
      <c r="I1704" s="1" t="s">
        <v>940</v>
      </c>
      <c r="J1704" s="2" t="s">
        <v>940</v>
      </c>
      <c r="K1704" s="8">
        <v>0</v>
      </c>
    </row>
    <row r="1705" spans="1:11" hidden="1">
      <c r="A1705" s="268"/>
      <c r="I1705"/>
      <c r="J1705" s="2" t="s">
        <v>940</v>
      </c>
      <c r="K1705" s="5" t="s">
        <v>1530</v>
      </c>
    </row>
    <row r="1706" spans="1:11" hidden="1">
      <c r="A1706" s="268"/>
      <c r="F1706" s="181" t="s">
        <v>940</v>
      </c>
      <c r="G1706" s="187" t="s">
        <v>940</v>
      </c>
      <c r="H1706" s="181" t="s">
        <v>1344</v>
      </c>
      <c r="I1706"/>
      <c r="J1706" s="4"/>
      <c r="K1706" s="8">
        <f>SUM(K1698:K1704)</f>
        <v>331.24</v>
      </c>
    </row>
    <row r="1707" spans="1:11" hidden="1">
      <c r="A1707" s="268"/>
      <c r="H1707" s="181" t="s">
        <v>940</v>
      </c>
      <c r="I1707"/>
      <c r="J1707" s="4"/>
      <c r="K1707" s="5" t="s">
        <v>1530</v>
      </c>
    </row>
    <row r="1708" spans="1:11" hidden="1">
      <c r="A1708" s="268"/>
      <c r="I1708"/>
      <c r="J1708" s="4"/>
      <c r="K1708" s="5"/>
    </row>
    <row r="1709" spans="1:11" hidden="1">
      <c r="A1709" s="268"/>
      <c r="F1709" s="236" t="s">
        <v>562</v>
      </c>
      <c r="H1709" s="181" t="s">
        <v>893</v>
      </c>
      <c r="I1709"/>
      <c r="J1709" s="4"/>
      <c r="K1709"/>
    </row>
    <row r="1710" spans="1:11" hidden="1">
      <c r="A1710" s="268"/>
      <c r="H1710" s="185" t="s">
        <v>1530</v>
      </c>
      <c r="I1710"/>
      <c r="J1710" s="4"/>
      <c r="K1710"/>
    </row>
    <row r="1711" spans="1:11" hidden="1">
      <c r="A1711" s="268"/>
      <c r="F1711" s="256">
        <v>0.48599999999999999</v>
      </c>
      <c r="G1711" s="187" t="s">
        <v>1289</v>
      </c>
      <c r="H1711" s="181" t="s">
        <v>335</v>
      </c>
      <c r="I1711" s="8">
        <f>C61</f>
        <v>25</v>
      </c>
      <c r="J1711" s="2" t="s">
        <v>1289</v>
      </c>
      <c r="K1711" s="8">
        <f t="shared" ref="K1711:K1717" si="63">(F1711*I1711)</f>
        <v>12.15</v>
      </c>
    </row>
    <row r="1712" spans="1:11" hidden="1">
      <c r="A1712" s="268"/>
      <c r="F1712" s="256">
        <v>0.48599999999999999</v>
      </c>
      <c r="G1712" s="187" t="s">
        <v>1289</v>
      </c>
      <c r="H1712" s="181" t="s">
        <v>336</v>
      </c>
      <c r="I1712" s="8" t="e">
        <f>K203</f>
        <v>#REF!</v>
      </c>
      <c r="J1712" s="2" t="s">
        <v>1289</v>
      </c>
      <c r="K1712" s="8" t="e">
        <f t="shared" si="63"/>
        <v>#REF!</v>
      </c>
    </row>
    <row r="1713" spans="1:11" hidden="1">
      <c r="A1713" s="268"/>
      <c r="F1713" s="188">
        <v>81.75</v>
      </c>
      <c r="G1713" s="187" t="s">
        <v>337</v>
      </c>
      <c r="H1713" s="181" t="s">
        <v>338</v>
      </c>
      <c r="I1713" s="8">
        <v>30</v>
      </c>
      <c r="J1713" s="2" t="s">
        <v>337</v>
      </c>
      <c r="K1713" s="8">
        <f t="shared" si="63"/>
        <v>2452.5</v>
      </c>
    </row>
    <row r="1714" spans="1:11" hidden="1">
      <c r="A1714" s="268"/>
      <c r="F1714" s="188">
        <v>7.2</v>
      </c>
      <c r="G1714" s="187" t="s">
        <v>337</v>
      </c>
      <c r="H1714" s="181" t="s">
        <v>339</v>
      </c>
      <c r="I1714" s="8">
        <v>30</v>
      </c>
      <c r="J1714" s="2" t="s">
        <v>337</v>
      </c>
      <c r="K1714" s="8">
        <f t="shared" si="63"/>
        <v>216</v>
      </c>
    </row>
    <row r="1715" spans="1:11" hidden="1">
      <c r="A1715" s="268"/>
      <c r="F1715" s="188">
        <v>43.68</v>
      </c>
      <c r="G1715" s="187" t="s">
        <v>337</v>
      </c>
      <c r="H1715" s="181" t="s">
        <v>1501</v>
      </c>
      <c r="I1715" s="8">
        <f>I1713</f>
        <v>30</v>
      </c>
      <c r="J1715" s="2" t="s">
        <v>337</v>
      </c>
      <c r="K1715" s="8">
        <f t="shared" si="63"/>
        <v>1310.4000000000001</v>
      </c>
    </row>
    <row r="1716" spans="1:11" hidden="1">
      <c r="A1716" s="268"/>
      <c r="F1716" s="188">
        <v>132.63</v>
      </c>
      <c r="G1716" s="187" t="s">
        <v>337</v>
      </c>
      <c r="H1716" s="181" t="s">
        <v>1502</v>
      </c>
      <c r="I1716" s="52">
        <v>12.3</v>
      </c>
      <c r="J1716" s="2" t="s">
        <v>337</v>
      </c>
      <c r="K1716" s="8">
        <f t="shared" si="63"/>
        <v>1631.35</v>
      </c>
    </row>
    <row r="1717" spans="1:11" hidden="1">
      <c r="A1717" s="268"/>
      <c r="F1717" s="188">
        <v>2.2000000000000002</v>
      </c>
      <c r="G1717" s="187" t="s">
        <v>222</v>
      </c>
      <c r="H1717" s="181" t="s">
        <v>2336</v>
      </c>
      <c r="I1717" s="8">
        <v>360</v>
      </c>
      <c r="J1717" s="2" t="s">
        <v>222</v>
      </c>
      <c r="K1717" s="8">
        <f t="shared" si="63"/>
        <v>792</v>
      </c>
    </row>
    <row r="1718" spans="1:11" hidden="1">
      <c r="A1718" s="268"/>
      <c r="F1718" s="189" t="s">
        <v>625</v>
      </c>
      <c r="H1718" s="181" t="s">
        <v>1503</v>
      </c>
      <c r="I1718" s="6" t="s">
        <v>625</v>
      </c>
      <c r="J1718" s="4"/>
      <c r="K1718" s="8">
        <v>250</v>
      </c>
    </row>
    <row r="1719" spans="1:11" hidden="1">
      <c r="A1719" s="268"/>
      <c r="F1719" s="189" t="s">
        <v>625</v>
      </c>
      <c r="H1719" s="181" t="s">
        <v>1343</v>
      </c>
      <c r="I1719" s="6" t="s">
        <v>625</v>
      </c>
      <c r="J1719" s="4"/>
      <c r="K1719" s="8">
        <v>20</v>
      </c>
    </row>
    <row r="1720" spans="1:11" hidden="1">
      <c r="A1720" s="268"/>
      <c r="I1720"/>
      <c r="J1720" s="4"/>
      <c r="K1720" s="5" t="s">
        <v>1530</v>
      </c>
    </row>
    <row r="1721" spans="1:11" hidden="1">
      <c r="A1721" s="268"/>
      <c r="I1721"/>
      <c r="J1721" s="4"/>
      <c r="K1721" s="8" t="e">
        <f>SUM(K1711:K1720)</f>
        <v>#REF!</v>
      </c>
    </row>
    <row r="1722" spans="1:11" hidden="1">
      <c r="A1722" s="268"/>
      <c r="I1722"/>
      <c r="J1722" s="4"/>
      <c r="K1722" s="5" t="s">
        <v>1530</v>
      </c>
    </row>
    <row r="1723" spans="1:11" hidden="1">
      <c r="A1723" s="268"/>
      <c r="I1723"/>
      <c r="J1723" s="4"/>
      <c r="K1723" s="5"/>
    </row>
    <row r="1724" spans="1:11" hidden="1">
      <c r="A1724" s="268"/>
      <c r="F1724" s="242">
        <v>86</v>
      </c>
      <c r="H1724" s="181" t="s">
        <v>1982</v>
      </c>
      <c r="I1724"/>
      <c r="J1724" s="4"/>
      <c r="K1724" s="8">
        <f>C777</f>
        <v>30</v>
      </c>
    </row>
    <row r="1725" spans="1:11" hidden="1">
      <c r="A1725" s="268"/>
      <c r="F1725" s="246"/>
      <c r="H1725" s="181"/>
      <c r="I1725"/>
      <c r="J1725" s="4"/>
      <c r="K1725" s="8"/>
    </row>
    <row r="1726" spans="1:11" hidden="1">
      <c r="A1726" s="268"/>
      <c r="F1726" s="236" t="s">
        <v>1597</v>
      </c>
      <c r="H1726" s="181" t="s">
        <v>2191</v>
      </c>
      <c r="I1726"/>
      <c r="J1726" s="4"/>
      <c r="K1726" s="1">
        <v>3135</v>
      </c>
    </row>
    <row r="1727" spans="1:11" hidden="1">
      <c r="A1727" s="268"/>
      <c r="H1727" s="181" t="s">
        <v>2192</v>
      </c>
      <c r="I1727"/>
      <c r="J1727" s="4"/>
      <c r="K1727">
        <f>K1726</f>
        <v>3135</v>
      </c>
    </row>
    <row r="1728" spans="1:11" hidden="1">
      <c r="A1728" s="268"/>
      <c r="F1728" s="181" t="s">
        <v>940</v>
      </c>
      <c r="I1728"/>
      <c r="J1728" s="4"/>
      <c r="K1728"/>
    </row>
    <row r="1729" spans="1:11" hidden="1">
      <c r="A1729" s="268"/>
      <c r="F1729" s="246"/>
      <c r="G1729" s="187" t="s">
        <v>2167</v>
      </c>
      <c r="H1729" s="181" t="s">
        <v>1974</v>
      </c>
      <c r="I1729"/>
      <c r="J1729" s="4"/>
      <c r="K1729"/>
    </row>
    <row r="1730" spans="1:11" hidden="1">
      <c r="A1730" s="268"/>
      <c r="H1730" s="181" t="s">
        <v>2193</v>
      </c>
      <c r="I1730"/>
      <c r="J1730" s="4"/>
      <c r="K1730"/>
    </row>
    <row r="1731" spans="1:11" hidden="1">
      <c r="A1731" s="268"/>
      <c r="H1731" s="181" t="s">
        <v>913</v>
      </c>
      <c r="I1731"/>
      <c r="J1731" s="4"/>
      <c r="K1731"/>
    </row>
    <row r="1732" spans="1:11" hidden="1">
      <c r="A1732" s="268"/>
      <c r="H1732" s="185" t="s">
        <v>1530</v>
      </c>
      <c r="I1732"/>
      <c r="J1732" s="4"/>
      <c r="K1732"/>
    </row>
    <row r="1733" spans="1:11" hidden="1">
      <c r="A1733" s="268"/>
      <c r="G1733" s="187" t="s">
        <v>2194</v>
      </c>
      <c r="H1733" s="181" t="s">
        <v>913</v>
      </c>
      <c r="I1733"/>
      <c r="J1733" s="4"/>
      <c r="K1733" s="1" t="s">
        <v>1394</v>
      </c>
    </row>
    <row r="1734" spans="1:11" hidden="1">
      <c r="A1734" s="268"/>
      <c r="H1734" s="185" t="s">
        <v>1530</v>
      </c>
      <c r="I1734"/>
      <c r="J1734" s="4"/>
      <c r="K1734" s="5" t="s">
        <v>1980</v>
      </c>
    </row>
    <row r="1735" spans="1:11" hidden="1">
      <c r="A1735" s="268"/>
      <c r="F1735" s="188">
        <v>30</v>
      </c>
      <c r="G1735" s="187" t="s">
        <v>1714</v>
      </c>
      <c r="H1735" s="181" t="s">
        <v>1610</v>
      </c>
      <c r="I1735" s="8">
        <f>(C639)</f>
        <v>3</v>
      </c>
      <c r="J1735" s="2" t="s">
        <v>1714</v>
      </c>
      <c r="K1735" s="8">
        <f>(F1735*I1735)</f>
        <v>90</v>
      </c>
    </row>
    <row r="1736" spans="1:11" hidden="1">
      <c r="A1736" s="268"/>
      <c r="F1736" s="181" t="s">
        <v>940</v>
      </c>
      <c r="H1736" s="181" t="s">
        <v>1613</v>
      </c>
      <c r="I1736" s="1" t="s">
        <v>940</v>
      </c>
      <c r="J1736" s="4"/>
      <c r="K1736" s="1" t="s">
        <v>940</v>
      </c>
    </row>
    <row r="1737" spans="1:11" hidden="1">
      <c r="A1737" s="268"/>
      <c r="F1737" s="188">
        <v>8</v>
      </c>
      <c r="G1737" s="187" t="s">
        <v>835</v>
      </c>
      <c r="H1737" s="181" t="s">
        <v>2062</v>
      </c>
      <c r="I1737" s="8">
        <f>(C641)</f>
        <v>2.2000000000000002</v>
      </c>
      <c r="J1737" s="2" t="s">
        <v>835</v>
      </c>
      <c r="K1737" s="8">
        <f t="shared" ref="K1737:K1742" si="64">(F1737*I1737)</f>
        <v>17.600000000000001</v>
      </c>
    </row>
    <row r="1738" spans="1:11" hidden="1">
      <c r="A1738" s="268"/>
      <c r="F1738" s="188">
        <v>8</v>
      </c>
      <c r="G1738" s="187" t="s">
        <v>835</v>
      </c>
      <c r="H1738" s="181" t="s">
        <v>437</v>
      </c>
      <c r="I1738" s="8">
        <f>(C642)</f>
        <v>3.2</v>
      </c>
      <c r="J1738" s="2" t="s">
        <v>835</v>
      </c>
      <c r="K1738" s="8">
        <f t="shared" si="64"/>
        <v>25.6</v>
      </c>
    </row>
    <row r="1739" spans="1:11" hidden="1">
      <c r="A1739" s="268"/>
      <c r="F1739" s="188">
        <v>3</v>
      </c>
      <c r="G1739" s="187" t="s">
        <v>835</v>
      </c>
      <c r="H1739" s="181" t="s">
        <v>1779</v>
      </c>
      <c r="I1739" s="8">
        <f>(C41)</f>
        <v>110</v>
      </c>
      <c r="J1739" s="2" t="s">
        <v>835</v>
      </c>
      <c r="K1739" s="8">
        <f t="shared" si="64"/>
        <v>330</v>
      </c>
    </row>
    <row r="1740" spans="1:11" hidden="1">
      <c r="A1740" s="268"/>
      <c r="F1740" s="188">
        <v>1</v>
      </c>
      <c r="G1740" s="187" t="s">
        <v>835</v>
      </c>
      <c r="H1740" s="181" t="s">
        <v>1325</v>
      </c>
      <c r="I1740" s="8">
        <f>(C10)</f>
        <v>150</v>
      </c>
      <c r="J1740" s="2" t="s">
        <v>835</v>
      </c>
      <c r="K1740" s="8">
        <f t="shared" si="64"/>
        <v>150</v>
      </c>
    </row>
    <row r="1741" spans="1:11" hidden="1">
      <c r="A1741" s="268"/>
      <c r="F1741" s="188">
        <v>2</v>
      </c>
      <c r="G1741" s="187" t="s">
        <v>835</v>
      </c>
      <c r="H1741" s="181" t="s">
        <v>1836</v>
      </c>
      <c r="I1741" s="8">
        <f>(C12)</f>
        <v>95</v>
      </c>
      <c r="J1741" s="2" t="s">
        <v>835</v>
      </c>
      <c r="K1741" s="8">
        <f t="shared" si="64"/>
        <v>190</v>
      </c>
    </row>
    <row r="1742" spans="1:11" hidden="1">
      <c r="A1742" s="268"/>
      <c r="F1742" s="188">
        <v>1</v>
      </c>
      <c r="G1742" s="187" t="s">
        <v>835</v>
      </c>
      <c r="H1742" s="181" t="s">
        <v>299</v>
      </c>
      <c r="I1742" s="8">
        <f>(C13)</f>
        <v>85</v>
      </c>
      <c r="J1742" s="2" t="s">
        <v>835</v>
      </c>
      <c r="K1742" s="8">
        <f t="shared" si="64"/>
        <v>85</v>
      </c>
    </row>
    <row r="1743" spans="1:11" hidden="1">
      <c r="A1743" s="268"/>
      <c r="G1743" s="187" t="s">
        <v>419</v>
      </c>
      <c r="H1743" s="181" t="s">
        <v>1326</v>
      </c>
      <c r="I1743" s="1" t="s">
        <v>940</v>
      </c>
      <c r="J1743" s="2" t="s">
        <v>419</v>
      </c>
      <c r="K1743" s="8">
        <v>5</v>
      </c>
    </row>
    <row r="1744" spans="1:11" hidden="1">
      <c r="A1744" s="268"/>
      <c r="H1744" s="181" t="s">
        <v>895</v>
      </c>
      <c r="I1744" s="1" t="s">
        <v>940</v>
      </c>
      <c r="J1744" s="4"/>
      <c r="K1744" s="1" t="s">
        <v>940</v>
      </c>
    </row>
    <row r="1745" spans="1:11" hidden="1">
      <c r="A1745" s="268"/>
      <c r="G1745" s="187" t="s">
        <v>419</v>
      </c>
      <c r="H1745" s="181" t="s">
        <v>420</v>
      </c>
      <c r="I1745"/>
      <c r="J1745" s="2" t="s">
        <v>419</v>
      </c>
      <c r="K1745" s="8">
        <v>0</v>
      </c>
    </row>
    <row r="1746" spans="1:11" hidden="1">
      <c r="A1746" s="268"/>
      <c r="I1746"/>
      <c r="J1746" s="4"/>
      <c r="K1746" s="5" t="s">
        <v>1530</v>
      </c>
    </row>
    <row r="1747" spans="1:11" hidden="1">
      <c r="A1747" s="268"/>
      <c r="H1747" s="181" t="s">
        <v>1784</v>
      </c>
      <c r="I1747"/>
      <c r="J1747" s="4"/>
      <c r="K1747" s="8">
        <f>SUM(K1735:K1745)</f>
        <v>893.2</v>
      </c>
    </row>
    <row r="1748" spans="1:11" hidden="1">
      <c r="A1748" s="268"/>
      <c r="I1748"/>
      <c r="J1748" s="4"/>
      <c r="K1748" s="5" t="s">
        <v>1530</v>
      </c>
    </row>
    <row r="1749" spans="1:11" hidden="1">
      <c r="A1749" s="268"/>
      <c r="H1749" s="181" t="s">
        <v>1490</v>
      </c>
      <c r="I1749"/>
      <c r="J1749" s="4"/>
      <c r="K1749" s="8">
        <f>(K1747/30)</f>
        <v>29.77</v>
      </c>
    </row>
    <row r="1750" spans="1:11" hidden="1">
      <c r="A1750" s="268"/>
      <c r="I1750"/>
      <c r="J1750" s="4"/>
      <c r="K1750" s="5" t="s">
        <v>1530</v>
      </c>
    </row>
    <row r="1751" spans="1:11" hidden="1">
      <c r="A1751" s="268"/>
      <c r="G1751" s="187" t="s">
        <v>486</v>
      </c>
      <c r="H1751" s="181" t="s">
        <v>913</v>
      </c>
      <c r="I1751"/>
      <c r="J1751" s="4"/>
      <c r="K1751" s="1" t="s">
        <v>22</v>
      </c>
    </row>
    <row r="1752" spans="1:11" hidden="1">
      <c r="A1752" s="268"/>
      <c r="H1752" s="185" t="s">
        <v>1530</v>
      </c>
      <c r="I1752"/>
      <c r="J1752" s="4"/>
      <c r="K1752" s="5" t="s">
        <v>1980</v>
      </c>
    </row>
    <row r="1753" spans="1:11" hidden="1">
      <c r="A1753" s="268"/>
      <c r="F1753" s="188">
        <v>30</v>
      </c>
      <c r="G1753" s="187" t="s">
        <v>1714</v>
      </c>
      <c r="H1753" s="181" t="s">
        <v>1610</v>
      </c>
      <c r="I1753" s="8">
        <f>(C639)</f>
        <v>3</v>
      </c>
      <c r="J1753" s="2" t="s">
        <v>1714</v>
      </c>
      <c r="K1753" s="8">
        <f>(F1753*I1753)</f>
        <v>90</v>
      </c>
    </row>
    <row r="1754" spans="1:11" hidden="1">
      <c r="A1754" s="268"/>
      <c r="F1754" s="181" t="s">
        <v>940</v>
      </c>
      <c r="H1754" s="181" t="s">
        <v>1613</v>
      </c>
      <c r="I1754" s="1" t="s">
        <v>940</v>
      </c>
      <c r="J1754" s="4"/>
      <c r="K1754" s="1" t="s">
        <v>940</v>
      </c>
    </row>
    <row r="1755" spans="1:11" hidden="1">
      <c r="A1755" s="268"/>
      <c r="F1755" s="188">
        <v>8</v>
      </c>
      <c r="G1755" s="187" t="s">
        <v>835</v>
      </c>
      <c r="H1755" s="181" t="s">
        <v>2062</v>
      </c>
      <c r="I1755" s="8">
        <f>(C641)</f>
        <v>2.2000000000000002</v>
      </c>
      <c r="J1755" s="2" t="s">
        <v>835</v>
      </c>
      <c r="K1755" s="8">
        <f t="shared" ref="K1755:K1760" si="65">(F1755*I1755)</f>
        <v>17.600000000000001</v>
      </c>
    </row>
    <row r="1756" spans="1:11" hidden="1">
      <c r="A1756" s="268"/>
      <c r="F1756" s="188">
        <v>8</v>
      </c>
      <c r="G1756" s="187" t="s">
        <v>835</v>
      </c>
      <c r="H1756" s="181" t="s">
        <v>437</v>
      </c>
      <c r="I1756" s="8">
        <f>(D642)</f>
        <v>3.2</v>
      </c>
      <c r="J1756" s="2" t="s">
        <v>835</v>
      </c>
      <c r="K1756" s="8">
        <f t="shared" si="65"/>
        <v>25.6</v>
      </c>
    </row>
    <row r="1757" spans="1:11" hidden="1">
      <c r="A1757" s="268"/>
      <c r="F1757" s="188">
        <v>3</v>
      </c>
      <c r="G1757" s="187" t="s">
        <v>835</v>
      </c>
      <c r="H1757" s="181" t="s">
        <v>1779</v>
      </c>
      <c r="I1757" s="8">
        <f>(C41)</f>
        <v>110</v>
      </c>
      <c r="J1757" s="2" t="s">
        <v>835</v>
      </c>
      <c r="K1757" s="8">
        <f t="shared" si="65"/>
        <v>330</v>
      </c>
    </row>
    <row r="1758" spans="1:11" hidden="1">
      <c r="A1758" s="268"/>
      <c r="F1758" s="188">
        <v>1</v>
      </c>
      <c r="G1758" s="187" t="s">
        <v>835</v>
      </c>
      <c r="H1758" s="181" t="s">
        <v>1325</v>
      </c>
      <c r="I1758" s="8">
        <f>(C10)</f>
        <v>150</v>
      </c>
      <c r="J1758" s="2" t="s">
        <v>835</v>
      </c>
      <c r="K1758" s="8">
        <f t="shared" si="65"/>
        <v>150</v>
      </c>
    </row>
    <row r="1759" spans="1:11" hidden="1">
      <c r="A1759" s="268"/>
      <c r="F1759" s="188">
        <v>2</v>
      </c>
      <c r="G1759" s="187" t="s">
        <v>835</v>
      </c>
      <c r="H1759" s="181" t="s">
        <v>1836</v>
      </c>
      <c r="I1759" s="8">
        <f>(C12)</f>
        <v>95</v>
      </c>
      <c r="J1759" s="2" t="s">
        <v>835</v>
      </c>
      <c r="K1759" s="8">
        <f t="shared" si="65"/>
        <v>190</v>
      </c>
    </row>
    <row r="1760" spans="1:11" hidden="1">
      <c r="A1760" s="268"/>
      <c r="F1760" s="188">
        <v>1</v>
      </c>
      <c r="G1760" s="187" t="s">
        <v>835</v>
      </c>
      <c r="H1760" s="181" t="s">
        <v>299</v>
      </c>
      <c r="I1760" s="8">
        <f>(C13)</f>
        <v>85</v>
      </c>
      <c r="J1760" s="2" t="s">
        <v>835</v>
      </c>
      <c r="K1760" s="8">
        <f t="shared" si="65"/>
        <v>85</v>
      </c>
    </row>
    <row r="1761" spans="1:11" hidden="1">
      <c r="A1761" s="268"/>
      <c r="G1761" s="187" t="s">
        <v>419</v>
      </c>
      <c r="H1761" s="181" t="s">
        <v>1326</v>
      </c>
      <c r="I1761" s="1" t="s">
        <v>940</v>
      </c>
      <c r="J1761" s="2" t="s">
        <v>419</v>
      </c>
      <c r="K1761" s="8">
        <v>5</v>
      </c>
    </row>
    <row r="1762" spans="1:11" hidden="1">
      <c r="A1762" s="268"/>
      <c r="H1762" s="181" t="s">
        <v>895</v>
      </c>
      <c r="I1762" s="1" t="s">
        <v>940</v>
      </c>
      <c r="J1762" s="4"/>
      <c r="K1762" s="1" t="s">
        <v>940</v>
      </c>
    </row>
    <row r="1763" spans="1:11" hidden="1">
      <c r="A1763" s="268"/>
      <c r="G1763" s="187" t="s">
        <v>419</v>
      </c>
      <c r="H1763" s="181" t="s">
        <v>420</v>
      </c>
      <c r="I1763"/>
      <c r="J1763" s="2" t="s">
        <v>419</v>
      </c>
      <c r="K1763" s="8">
        <v>0</v>
      </c>
    </row>
    <row r="1764" spans="1:11" hidden="1">
      <c r="A1764" s="268"/>
      <c r="I1764"/>
      <c r="J1764" s="4"/>
      <c r="K1764" s="5" t="s">
        <v>1530</v>
      </c>
    </row>
    <row r="1765" spans="1:11" hidden="1">
      <c r="A1765" s="268"/>
      <c r="H1765" s="181" t="s">
        <v>1784</v>
      </c>
      <c r="I1765"/>
      <c r="J1765" s="4"/>
      <c r="K1765" s="8">
        <f>SUM(K1753:K1763)</f>
        <v>893.2</v>
      </c>
    </row>
    <row r="1766" spans="1:11" hidden="1">
      <c r="A1766" s="268"/>
      <c r="I1766"/>
      <c r="J1766" s="4"/>
      <c r="K1766" s="5" t="s">
        <v>1530</v>
      </c>
    </row>
    <row r="1767" spans="1:11" hidden="1">
      <c r="A1767" s="268"/>
      <c r="H1767" s="181" t="s">
        <v>1490</v>
      </c>
      <c r="I1767"/>
      <c r="J1767" s="4"/>
      <c r="K1767" s="8">
        <f>(K1765/30)</f>
        <v>29.77</v>
      </c>
    </row>
    <row r="1768" spans="1:11" hidden="1">
      <c r="A1768" s="268"/>
      <c r="I1768"/>
      <c r="J1768" s="4"/>
      <c r="K1768" s="5" t="s">
        <v>1530</v>
      </c>
    </row>
    <row r="1769" spans="1:11" hidden="1">
      <c r="A1769" s="268"/>
      <c r="G1769" s="187" t="s">
        <v>1840</v>
      </c>
      <c r="H1769" s="181" t="s">
        <v>913</v>
      </c>
      <c r="I1769"/>
      <c r="J1769" s="4"/>
      <c r="K1769" s="1" t="s">
        <v>23</v>
      </c>
    </row>
    <row r="1770" spans="1:11" hidden="1">
      <c r="A1770" s="268"/>
      <c r="H1770" s="185" t="s">
        <v>1530</v>
      </c>
      <c r="I1770"/>
      <c r="J1770" s="4"/>
      <c r="K1770" s="5" t="s">
        <v>1980</v>
      </c>
    </row>
    <row r="1771" spans="1:11" hidden="1">
      <c r="A1771" s="268"/>
      <c r="F1771" s="188">
        <v>30</v>
      </c>
      <c r="G1771" s="187" t="s">
        <v>1714</v>
      </c>
      <c r="H1771" s="181" t="s">
        <v>1610</v>
      </c>
      <c r="I1771" s="8">
        <f>(C639)</f>
        <v>3</v>
      </c>
      <c r="J1771" s="2" t="s">
        <v>1714</v>
      </c>
      <c r="K1771" s="8">
        <f>(F1771*I1771)</f>
        <v>90</v>
      </c>
    </row>
    <row r="1772" spans="1:11" hidden="1">
      <c r="A1772" s="268"/>
      <c r="F1772" s="181" t="s">
        <v>940</v>
      </c>
      <c r="H1772" s="181" t="s">
        <v>1613</v>
      </c>
      <c r="I1772" s="1" t="s">
        <v>940</v>
      </c>
      <c r="J1772" s="4"/>
      <c r="K1772" s="1" t="s">
        <v>940</v>
      </c>
    </row>
    <row r="1773" spans="1:11" hidden="1">
      <c r="A1773" s="268"/>
      <c r="F1773" s="188">
        <v>8</v>
      </c>
      <c r="G1773" s="187" t="s">
        <v>835</v>
      </c>
      <c r="H1773" s="181" t="s">
        <v>2062</v>
      </c>
      <c r="I1773" s="8">
        <f>(D641)</f>
        <v>2.7</v>
      </c>
      <c r="J1773" s="2" t="s">
        <v>835</v>
      </c>
      <c r="K1773" s="8">
        <f t="shared" ref="K1773:K1778" si="66">(F1773*I1773)</f>
        <v>21.6</v>
      </c>
    </row>
    <row r="1774" spans="1:11" hidden="1">
      <c r="A1774" s="268"/>
      <c r="F1774" s="188">
        <v>8</v>
      </c>
      <c r="G1774" s="187" t="s">
        <v>835</v>
      </c>
      <c r="H1774" s="181" t="s">
        <v>437</v>
      </c>
      <c r="I1774" s="8">
        <f>(C647)</f>
        <v>6.4</v>
      </c>
      <c r="J1774" s="2" t="s">
        <v>835</v>
      </c>
      <c r="K1774" s="8">
        <f t="shared" si="66"/>
        <v>51.2</v>
      </c>
    </row>
    <row r="1775" spans="1:11" hidden="1">
      <c r="A1775" s="268"/>
      <c r="F1775" s="188">
        <v>3</v>
      </c>
      <c r="G1775" s="187" t="s">
        <v>835</v>
      </c>
      <c r="H1775" s="181" t="s">
        <v>1779</v>
      </c>
      <c r="I1775" s="8">
        <f>(C41)</f>
        <v>110</v>
      </c>
      <c r="J1775" s="2" t="s">
        <v>835</v>
      </c>
      <c r="K1775" s="8">
        <f t="shared" si="66"/>
        <v>330</v>
      </c>
    </row>
    <row r="1776" spans="1:11" hidden="1">
      <c r="A1776" s="268"/>
      <c r="F1776" s="188">
        <v>1</v>
      </c>
      <c r="G1776" s="187" t="s">
        <v>835</v>
      </c>
      <c r="H1776" s="181" t="s">
        <v>1325</v>
      </c>
      <c r="I1776" s="8">
        <f>(C10)</f>
        <v>150</v>
      </c>
      <c r="J1776" s="2" t="s">
        <v>835</v>
      </c>
      <c r="K1776" s="8">
        <f t="shared" si="66"/>
        <v>150</v>
      </c>
    </row>
    <row r="1777" spans="1:11" hidden="1">
      <c r="A1777" s="268"/>
      <c r="F1777" s="188">
        <v>2</v>
      </c>
      <c r="G1777" s="187" t="s">
        <v>835</v>
      </c>
      <c r="H1777" s="181" t="s">
        <v>1836</v>
      </c>
      <c r="I1777" s="8">
        <f>(C12)</f>
        <v>95</v>
      </c>
      <c r="J1777" s="2" t="s">
        <v>835</v>
      </c>
      <c r="K1777" s="8">
        <f t="shared" si="66"/>
        <v>190</v>
      </c>
    </row>
    <row r="1778" spans="1:11" hidden="1">
      <c r="A1778" s="268"/>
      <c r="F1778" s="188">
        <v>1</v>
      </c>
      <c r="G1778" s="187" t="s">
        <v>835</v>
      </c>
      <c r="H1778" s="181" t="s">
        <v>299</v>
      </c>
      <c r="I1778" s="8">
        <f>(C13)</f>
        <v>85</v>
      </c>
      <c r="J1778" s="2" t="s">
        <v>835</v>
      </c>
      <c r="K1778" s="8">
        <f t="shared" si="66"/>
        <v>85</v>
      </c>
    </row>
    <row r="1779" spans="1:11" hidden="1">
      <c r="A1779" s="268"/>
      <c r="G1779" s="187" t="s">
        <v>419</v>
      </c>
      <c r="H1779" s="181" t="s">
        <v>1326</v>
      </c>
      <c r="I1779" s="1" t="s">
        <v>940</v>
      </c>
      <c r="J1779" s="2" t="s">
        <v>419</v>
      </c>
      <c r="K1779" s="8">
        <v>5</v>
      </c>
    </row>
    <row r="1780" spans="1:11" hidden="1">
      <c r="A1780" s="268"/>
      <c r="H1780" s="181" t="s">
        <v>895</v>
      </c>
      <c r="I1780" s="1" t="s">
        <v>940</v>
      </c>
      <c r="J1780" s="4"/>
      <c r="K1780" s="1" t="s">
        <v>940</v>
      </c>
    </row>
    <row r="1781" spans="1:11" hidden="1">
      <c r="A1781" s="268"/>
      <c r="G1781" s="187" t="s">
        <v>419</v>
      </c>
      <c r="H1781" s="181" t="s">
        <v>420</v>
      </c>
      <c r="I1781"/>
      <c r="J1781" s="2" t="s">
        <v>419</v>
      </c>
      <c r="K1781" s="8">
        <v>0</v>
      </c>
    </row>
    <row r="1782" spans="1:11" hidden="1">
      <c r="A1782" s="268"/>
      <c r="I1782"/>
      <c r="J1782" s="4"/>
      <c r="K1782" s="5" t="s">
        <v>1530</v>
      </c>
    </row>
    <row r="1783" spans="1:11" hidden="1">
      <c r="A1783" s="268"/>
      <c r="H1783" s="181" t="s">
        <v>1784</v>
      </c>
      <c r="I1783"/>
      <c r="J1783" s="4"/>
      <c r="K1783" s="8">
        <f>SUM(K1771:K1781)</f>
        <v>922.8</v>
      </c>
    </row>
    <row r="1784" spans="1:11" hidden="1">
      <c r="A1784" s="268"/>
      <c r="I1784"/>
      <c r="J1784" s="4"/>
      <c r="K1784" s="5" t="s">
        <v>1530</v>
      </c>
    </row>
    <row r="1785" spans="1:11" hidden="1">
      <c r="A1785" s="268"/>
      <c r="H1785" s="181" t="s">
        <v>1490</v>
      </c>
      <c r="I1785"/>
      <c r="J1785" s="4"/>
      <c r="K1785" s="8">
        <f>(K1783/30)</f>
        <v>30.76</v>
      </c>
    </row>
    <row r="1786" spans="1:11" hidden="1">
      <c r="A1786" s="268"/>
      <c r="I1786"/>
      <c r="J1786" s="4"/>
      <c r="K1786" s="5" t="s">
        <v>1530</v>
      </c>
    </row>
    <row r="1787" spans="1:11" hidden="1">
      <c r="A1787" s="268"/>
      <c r="I1787"/>
      <c r="J1787" s="4"/>
      <c r="K1787"/>
    </row>
    <row r="1788" spans="1:11" hidden="1">
      <c r="A1788" s="268"/>
      <c r="F1788" s="275">
        <v>52</v>
      </c>
      <c r="G1788" s="187" t="s">
        <v>2167</v>
      </c>
      <c r="H1788" s="181" t="s">
        <v>97</v>
      </c>
      <c r="I1788"/>
      <c r="J1788" s="4"/>
      <c r="K1788"/>
    </row>
    <row r="1789" spans="1:11" hidden="1">
      <c r="A1789" s="268"/>
      <c r="H1789" s="181" t="s">
        <v>2087</v>
      </c>
      <c r="I1789"/>
      <c r="J1789" s="4"/>
      <c r="K1789"/>
    </row>
    <row r="1790" spans="1:11" hidden="1">
      <c r="A1790" s="268"/>
      <c r="H1790" s="181" t="s">
        <v>2088</v>
      </c>
      <c r="I1790"/>
      <c r="J1790" s="4"/>
      <c r="K1790"/>
    </row>
    <row r="1791" spans="1:11" hidden="1">
      <c r="A1791" s="268"/>
      <c r="H1791" s="181" t="s">
        <v>1349</v>
      </c>
      <c r="I1791"/>
      <c r="J1791" s="4"/>
      <c r="K1791"/>
    </row>
    <row r="1792" spans="1:11" hidden="1">
      <c r="A1792" s="268"/>
      <c r="H1792" s="181" t="s">
        <v>1350</v>
      </c>
      <c r="I1792"/>
      <c r="J1792" s="4"/>
      <c r="K1792"/>
    </row>
    <row r="1793" spans="1:11" hidden="1">
      <c r="A1793" s="268"/>
      <c r="H1793" s="181" t="s">
        <v>1299</v>
      </c>
      <c r="I1793"/>
      <c r="J1793" s="4"/>
      <c r="K1793"/>
    </row>
    <row r="1794" spans="1:11" hidden="1">
      <c r="A1794" s="268"/>
      <c r="H1794" s="181" t="s">
        <v>1300</v>
      </c>
      <c r="I1794"/>
      <c r="J1794" s="4"/>
      <c r="K1794"/>
    </row>
    <row r="1795" spans="1:11" hidden="1">
      <c r="A1795" s="268"/>
      <c r="H1795" s="181" t="s">
        <v>677</v>
      </c>
      <c r="I1795"/>
      <c r="J1795" s="4"/>
      <c r="K1795"/>
    </row>
    <row r="1796" spans="1:11" hidden="1">
      <c r="A1796" s="268"/>
      <c r="H1796" s="185" t="s">
        <v>1980</v>
      </c>
      <c r="I1796" s="5" t="s">
        <v>1980</v>
      </c>
      <c r="J1796" s="4"/>
      <c r="K1796"/>
    </row>
    <row r="1797" spans="1:11" hidden="1">
      <c r="A1797" s="268"/>
      <c r="G1797" s="187" t="s">
        <v>2167</v>
      </c>
      <c r="H1797" s="181" t="s">
        <v>881</v>
      </c>
      <c r="I1797"/>
      <c r="J1797" s="4"/>
      <c r="K1797"/>
    </row>
    <row r="1798" spans="1:11" hidden="1">
      <c r="A1798" s="268"/>
      <c r="H1798" s="181" t="s">
        <v>776</v>
      </c>
      <c r="I1798"/>
      <c r="J1798" s="4"/>
      <c r="K1798"/>
    </row>
    <row r="1799" spans="1:11" hidden="1">
      <c r="A1799" s="268"/>
      <c r="G1799" s="187" t="s">
        <v>295</v>
      </c>
      <c r="H1799" s="181" t="s">
        <v>777</v>
      </c>
      <c r="I1799"/>
      <c r="J1799" s="4"/>
      <c r="K1799"/>
    </row>
    <row r="1800" spans="1:11" hidden="1">
      <c r="A1800" s="268"/>
      <c r="H1800" s="185" t="s">
        <v>1530</v>
      </c>
      <c r="I1800"/>
      <c r="J1800" s="4"/>
      <c r="K1800"/>
    </row>
    <row r="1801" spans="1:11" hidden="1">
      <c r="A1801" s="268"/>
      <c r="F1801" s="188">
        <v>1</v>
      </c>
      <c r="G1801" s="187" t="s">
        <v>794</v>
      </c>
      <c r="H1801" s="181" t="s">
        <v>587</v>
      </c>
      <c r="I1801" s="8">
        <f>C509</f>
        <v>32.9</v>
      </c>
      <c r="J1801" s="2" t="s">
        <v>794</v>
      </c>
      <c r="K1801" s="8">
        <f>(F1801*I1801)</f>
        <v>32.9</v>
      </c>
    </row>
    <row r="1802" spans="1:11" hidden="1">
      <c r="A1802" s="268"/>
      <c r="F1802" s="188">
        <v>1</v>
      </c>
      <c r="G1802" s="187" t="s">
        <v>419</v>
      </c>
      <c r="H1802" s="181" t="s">
        <v>1739</v>
      </c>
      <c r="I1802" s="8">
        <f>I1801*0.7</f>
        <v>23.03</v>
      </c>
      <c r="J1802" s="2" t="s">
        <v>419</v>
      </c>
      <c r="K1802" s="8">
        <f>(F1802*I1802)</f>
        <v>23.03</v>
      </c>
    </row>
    <row r="1803" spans="1:11" hidden="1">
      <c r="A1803" s="268"/>
      <c r="F1803" s="188">
        <v>1</v>
      </c>
      <c r="G1803" s="187" t="s">
        <v>794</v>
      </c>
      <c r="H1803" s="181" t="s">
        <v>159</v>
      </c>
      <c r="I1803" s="8">
        <f>K1749</f>
        <v>29.77</v>
      </c>
      <c r="J1803" s="2" t="s">
        <v>794</v>
      </c>
      <c r="K1803" s="8">
        <f>(F1803*I1803)</f>
        <v>29.77</v>
      </c>
    </row>
    <row r="1804" spans="1:11" hidden="1">
      <c r="A1804" s="268"/>
      <c r="I1804" s="1" t="s">
        <v>940</v>
      </c>
      <c r="J1804" s="4"/>
      <c r="K1804" s="5" t="s">
        <v>1530</v>
      </c>
    </row>
    <row r="1805" spans="1:11" hidden="1">
      <c r="A1805" s="268"/>
      <c r="H1805" s="181" t="s">
        <v>352</v>
      </c>
      <c r="I1805"/>
      <c r="J1805" s="4"/>
      <c r="K1805" s="8">
        <f>SUM(K1801:K1803)</f>
        <v>85.7</v>
      </c>
    </row>
    <row r="1806" spans="1:11" hidden="1">
      <c r="A1806" s="268"/>
      <c r="H1806" s="181" t="s">
        <v>940</v>
      </c>
      <c r="I1806" s="1" t="s">
        <v>940</v>
      </c>
      <c r="J1806" s="4"/>
      <c r="K1806" s="5" t="s">
        <v>1980</v>
      </c>
    </row>
    <row r="1807" spans="1:11" hidden="1">
      <c r="A1807" s="268"/>
      <c r="G1807" s="187" t="s">
        <v>486</v>
      </c>
      <c r="H1807" s="181" t="s">
        <v>711</v>
      </c>
      <c r="I1807"/>
      <c r="J1807" s="4"/>
      <c r="K1807"/>
    </row>
    <row r="1808" spans="1:11" hidden="1">
      <c r="A1808" s="268"/>
      <c r="H1808" s="185" t="s">
        <v>1530</v>
      </c>
      <c r="I1808"/>
      <c r="J1808" s="4"/>
      <c r="K1808"/>
    </row>
    <row r="1809" spans="1:11" hidden="1">
      <c r="A1809" s="268"/>
      <c r="F1809" s="188">
        <v>1</v>
      </c>
      <c r="G1809" s="187" t="s">
        <v>794</v>
      </c>
      <c r="H1809" s="181" t="s">
        <v>712</v>
      </c>
      <c r="I1809" s="8">
        <f>C510</f>
        <v>48.8</v>
      </c>
      <c r="J1809" s="2" t="s">
        <v>794</v>
      </c>
      <c r="K1809" s="8">
        <f>(F1809*I1809)</f>
        <v>48.8</v>
      </c>
    </row>
    <row r="1810" spans="1:11" hidden="1">
      <c r="A1810" s="268"/>
      <c r="F1810" s="188">
        <v>1</v>
      </c>
      <c r="G1810" s="187" t="s">
        <v>419</v>
      </c>
      <c r="H1810" s="181" t="s">
        <v>860</v>
      </c>
      <c r="I1810" s="8">
        <f>I1809*0.4</f>
        <v>19.52</v>
      </c>
      <c r="J1810" s="2" t="s">
        <v>419</v>
      </c>
      <c r="K1810" s="8">
        <f>(F1810*I1810)</f>
        <v>19.52</v>
      </c>
    </row>
    <row r="1811" spans="1:11" hidden="1">
      <c r="A1811" s="268"/>
      <c r="F1811" s="188">
        <v>1</v>
      </c>
      <c r="G1811" s="187" t="s">
        <v>794</v>
      </c>
      <c r="H1811" s="181" t="s">
        <v>159</v>
      </c>
      <c r="I1811" s="8">
        <f>K1767</f>
        <v>29.77</v>
      </c>
      <c r="J1811" s="2" t="s">
        <v>794</v>
      </c>
      <c r="K1811" s="8">
        <f>(F1811*I1811)</f>
        <v>29.77</v>
      </c>
    </row>
    <row r="1812" spans="1:11" hidden="1">
      <c r="A1812" s="268"/>
      <c r="I1812" s="1" t="s">
        <v>940</v>
      </c>
      <c r="J1812" s="4"/>
      <c r="K1812" s="5" t="s">
        <v>1530</v>
      </c>
    </row>
    <row r="1813" spans="1:11" hidden="1">
      <c r="A1813" s="268"/>
      <c r="H1813" s="181" t="s">
        <v>352</v>
      </c>
      <c r="I1813"/>
      <c r="J1813" s="4"/>
      <c r="K1813" s="8">
        <f>SUM(K1809:K1811)</f>
        <v>98.09</v>
      </c>
    </row>
    <row r="1814" spans="1:11" hidden="1">
      <c r="A1814" s="268"/>
      <c r="I1814" s="1" t="s">
        <v>940</v>
      </c>
      <c r="J1814" s="4"/>
      <c r="K1814" s="5" t="s">
        <v>1980</v>
      </c>
    </row>
    <row r="1815" spans="1:11" hidden="1">
      <c r="A1815" s="268"/>
      <c r="G1815" s="187" t="s">
        <v>1840</v>
      </c>
      <c r="H1815" s="181" t="s">
        <v>350</v>
      </c>
      <c r="I1815"/>
      <c r="J1815" s="4"/>
      <c r="K1815"/>
    </row>
    <row r="1816" spans="1:11" hidden="1">
      <c r="A1816" s="268"/>
      <c r="H1816" s="185" t="s">
        <v>1530</v>
      </c>
      <c r="I1816"/>
      <c r="J1816" s="4"/>
      <c r="K1816"/>
    </row>
    <row r="1817" spans="1:11" hidden="1">
      <c r="A1817" s="268"/>
      <c r="F1817" s="188">
        <v>1</v>
      </c>
      <c r="G1817" s="187" t="s">
        <v>794</v>
      </c>
      <c r="H1817" s="181" t="s">
        <v>1617</v>
      </c>
      <c r="I1817" s="8">
        <f>C511</f>
        <v>65.7</v>
      </c>
      <c r="J1817" s="2" t="s">
        <v>794</v>
      </c>
      <c r="K1817" s="8">
        <f>(F1817*I1817)</f>
        <v>65.7</v>
      </c>
    </row>
    <row r="1818" spans="1:11" hidden="1">
      <c r="A1818" s="268"/>
      <c r="F1818" s="188">
        <v>1</v>
      </c>
      <c r="G1818" s="187" t="s">
        <v>419</v>
      </c>
      <c r="H1818" s="181" t="s">
        <v>1618</v>
      </c>
      <c r="I1818" s="8">
        <f>I1817*0.2</f>
        <v>13.14</v>
      </c>
      <c r="J1818" s="2" t="s">
        <v>419</v>
      </c>
      <c r="K1818" s="8">
        <f>(F1818*I1818)</f>
        <v>13.14</v>
      </c>
    </row>
    <row r="1819" spans="1:11" hidden="1">
      <c r="A1819" s="268"/>
      <c r="F1819" s="188">
        <v>1</v>
      </c>
      <c r="G1819" s="187" t="s">
        <v>794</v>
      </c>
      <c r="H1819" s="181" t="s">
        <v>159</v>
      </c>
      <c r="I1819" s="8">
        <f>K1785</f>
        <v>30.76</v>
      </c>
      <c r="J1819" s="2" t="s">
        <v>794</v>
      </c>
      <c r="K1819" s="8">
        <f>(F1819*I1819)</f>
        <v>30.76</v>
      </c>
    </row>
    <row r="1820" spans="1:11" hidden="1">
      <c r="A1820" s="268"/>
      <c r="I1820" s="1" t="s">
        <v>940</v>
      </c>
      <c r="J1820" s="4"/>
      <c r="K1820" s="5" t="s">
        <v>1530</v>
      </c>
    </row>
    <row r="1821" spans="1:11" hidden="1">
      <c r="A1821" s="268"/>
      <c r="H1821" s="181" t="s">
        <v>352</v>
      </c>
      <c r="I1821"/>
      <c r="J1821" s="4"/>
      <c r="K1821" s="8">
        <f>SUM(K1817:K1819)</f>
        <v>109.6</v>
      </c>
    </row>
    <row r="1822" spans="1:11" hidden="1">
      <c r="A1822" s="268"/>
      <c r="I1822" s="1" t="s">
        <v>940</v>
      </c>
      <c r="J1822" s="4"/>
      <c r="K1822" s="5" t="s">
        <v>1980</v>
      </c>
    </row>
    <row r="1823" spans="1:11" hidden="1">
      <c r="A1823" s="268"/>
      <c r="I1823" s="1"/>
      <c r="J1823" s="4"/>
      <c r="K1823" s="5"/>
    </row>
    <row r="1824" spans="1:11" ht="31.5" hidden="1">
      <c r="A1824" s="268"/>
      <c r="F1824" s="254">
        <v>52.1</v>
      </c>
      <c r="H1824" s="276" t="s">
        <v>2119</v>
      </c>
      <c r="I1824" s="1"/>
      <c r="J1824" s="4"/>
      <c r="K1824" s="5"/>
    </row>
    <row r="1825" spans="1:11" hidden="1">
      <c r="A1825" s="268"/>
      <c r="I1825" s="1"/>
      <c r="J1825" s="4"/>
      <c r="K1825" s="5"/>
    </row>
    <row r="1826" spans="1:11" hidden="1">
      <c r="A1826" s="268"/>
      <c r="F1826" s="236"/>
      <c r="G1826" s="187"/>
      <c r="H1826" s="181" t="s">
        <v>1974</v>
      </c>
      <c r="I1826" s="1"/>
      <c r="J1826" s="4"/>
      <c r="K1826" s="5"/>
    </row>
    <row r="1827" spans="1:11" hidden="1">
      <c r="A1827" s="268"/>
      <c r="G1827" s="187"/>
      <c r="H1827" s="181" t="s">
        <v>2120</v>
      </c>
      <c r="I1827" s="1"/>
      <c r="J1827" s="4"/>
      <c r="K1827" s="5"/>
    </row>
    <row r="1828" spans="1:11" hidden="1">
      <c r="A1828" s="268"/>
      <c r="H1828" s="185" t="s">
        <v>1530</v>
      </c>
      <c r="I1828" s="1"/>
      <c r="J1828" s="4"/>
      <c r="K1828" s="5"/>
    </row>
    <row r="1829" spans="1:11" hidden="1">
      <c r="A1829" s="268"/>
      <c r="F1829" s="188">
        <v>30</v>
      </c>
      <c r="G1829" s="187" t="s">
        <v>1714</v>
      </c>
      <c r="H1829" s="181" t="s">
        <v>145</v>
      </c>
      <c r="I1829" s="6">
        <f>E639</f>
        <v>5</v>
      </c>
      <c r="J1829" s="2" t="s">
        <v>1714</v>
      </c>
      <c r="K1829" s="8">
        <f>(F1829*I1829)</f>
        <v>150</v>
      </c>
    </row>
    <row r="1830" spans="1:11" hidden="1">
      <c r="A1830" s="268"/>
      <c r="F1830" s="188">
        <v>8</v>
      </c>
      <c r="G1830" s="187" t="s">
        <v>835</v>
      </c>
      <c r="H1830" s="181" t="s">
        <v>2062</v>
      </c>
      <c r="I1830" s="6">
        <f>I1737</f>
        <v>2.2000000000000002</v>
      </c>
      <c r="J1830" s="2" t="s">
        <v>835</v>
      </c>
      <c r="K1830" s="8">
        <f t="shared" ref="K1830:K1835" si="67">(F1830*I1830)</f>
        <v>17.600000000000001</v>
      </c>
    </row>
    <row r="1831" spans="1:11" hidden="1">
      <c r="A1831" s="268"/>
      <c r="F1831" s="188">
        <v>8</v>
      </c>
      <c r="G1831" s="187" t="s">
        <v>835</v>
      </c>
      <c r="H1831" s="181" t="s">
        <v>437</v>
      </c>
      <c r="I1831" s="6">
        <f>I1738</f>
        <v>3.2</v>
      </c>
      <c r="J1831" s="2" t="s">
        <v>835</v>
      </c>
      <c r="K1831" s="8">
        <f t="shared" si="67"/>
        <v>25.6</v>
      </c>
    </row>
    <row r="1832" spans="1:11" hidden="1">
      <c r="A1832" s="268"/>
      <c r="F1832" s="188">
        <v>3</v>
      </c>
      <c r="G1832" s="187" t="s">
        <v>835</v>
      </c>
      <c r="H1832" s="181" t="s">
        <v>1779</v>
      </c>
      <c r="I1832" s="6">
        <f>C41</f>
        <v>110</v>
      </c>
      <c r="J1832" s="2" t="s">
        <v>835</v>
      </c>
      <c r="K1832" s="8">
        <f t="shared" si="67"/>
        <v>330</v>
      </c>
    </row>
    <row r="1833" spans="1:11" hidden="1">
      <c r="A1833" s="268"/>
      <c r="F1833" s="188">
        <v>1</v>
      </c>
      <c r="G1833" s="187" t="s">
        <v>835</v>
      </c>
      <c r="H1833" s="181" t="s">
        <v>1325</v>
      </c>
      <c r="I1833" s="6">
        <f>C10</f>
        <v>150</v>
      </c>
      <c r="J1833" s="2" t="s">
        <v>835</v>
      </c>
      <c r="K1833" s="8">
        <f t="shared" si="67"/>
        <v>150</v>
      </c>
    </row>
    <row r="1834" spans="1:11" hidden="1">
      <c r="A1834" s="268"/>
      <c r="F1834" s="188">
        <v>2</v>
      </c>
      <c r="G1834" s="187" t="s">
        <v>835</v>
      </c>
      <c r="H1834" s="181" t="s">
        <v>1836</v>
      </c>
      <c r="I1834" s="6">
        <f>C12</f>
        <v>95</v>
      </c>
      <c r="J1834" s="2" t="s">
        <v>835</v>
      </c>
      <c r="K1834" s="8">
        <f t="shared" si="67"/>
        <v>190</v>
      </c>
    </row>
    <row r="1835" spans="1:11" hidden="1">
      <c r="A1835" s="268"/>
      <c r="F1835" s="188">
        <v>1</v>
      </c>
      <c r="G1835" s="187" t="s">
        <v>835</v>
      </c>
      <c r="H1835" s="181" t="s">
        <v>299</v>
      </c>
      <c r="I1835" s="6">
        <f>C13</f>
        <v>85</v>
      </c>
      <c r="J1835" s="2" t="s">
        <v>835</v>
      </c>
      <c r="K1835" s="8">
        <f t="shared" si="67"/>
        <v>85</v>
      </c>
    </row>
    <row r="1836" spans="1:11" hidden="1">
      <c r="A1836" s="268"/>
      <c r="I1836"/>
      <c r="J1836" s="4"/>
      <c r="K1836" s="5" t="s">
        <v>1530</v>
      </c>
    </row>
    <row r="1837" spans="1:11" hidden="1">
      <c r="A1837" s="268"/>
      <c r="H1837" s="181" t="s">
        <v>1784</v>
      </c>
      <c r="I1837"/>
      <c r="J1837" s="4"/>
      <c r="K1837" s="8">
        <f>SUM(K1829:K1835)</f>
        <v>948.2</v>
      </c>
    </row>
    <row r="1838" spans="1:11" hidden="1">
      <c r="A1838" s="268"/>
      <c r="I1838"/>
      <c r="J1838" s="4"/>
      <c r="K1838" s="5" t="s">
        <v>1530</v>
      </c>
    </row>
    <row r="1839" spans="1:11" hidden="1">
      <c r="A1839" s="268"/>
      <c r="H1839" s="181" t="s">
        <v>1490</v>
      </c>
      <c r="I1839"/>
      <c r="J1839" s="4"/>
      <c r="K1839" s="8">
        <f>(K1837/30)</f>
        <v>31.61</v>
      </c>
    </row>
    <row r="1840" spans="1:11" hidden="1">
      <c r="A1840" s="268"/>
      <c r="I1840"/>
      <c r="J1840" s="4"/>
      <c r="K1840" s="5" t="s">
        <v>1530</v>
      </c>
    </row>
    <row r="1841" spans="1:11" hidden="1">
      <c r="A1841" s="268"/>
      <c r="I1841" s="1"/>
      <c r="J1841" s="4"/>
      <c r="K1841" s="5"/>
    </row>
    <row r="1842" spans="1:11" hidden="1">
      <c r="A1842" s="268"/>
      <c r="H1842" s="182" t="s">
        <v>316</v>
      </c>
      <c r="I1842" s="1"/>
      <c r="J1842" s="4"/>
      <c r="K1842" s="5"/>
    </row>
    <row r="1843" spans="1:11" hidden="1">
      <c r="A1843" s="268"/>
      <c r="H1843" s="185" t="s">
        <v>1530</v>
      </c>
      <c r="I1843" s="1"/>
      <c r="J1843" s="4"/>
      <c r="K1843" s="5"/>
    </row>
    <row r="1844" spans="1:11" hidden="1">
      <c r="A1844" s="268"/>
      <c r="F1844" s="188">
        <v>1</v>
      </c>
      <c r="G1844" s="187" t="s">
        <v>794</v>
      </c>
      <c r="H1844" s="181" t="s">
        <v>317</v>
      </c>
      <c r="I1844" s="6">
        <f>E509</f>
        <v>70</v>
      </c>
      <c r="J1844" s="2" t="s">
        <v>794</v>
      </c>
      <c r="K1844" s="8">
        <f>(F1844*I1844)</f>
        <v>70</v>
      </c>
    </row>
    <row r="1845" spans="1:11" hidden="1">
      <c r="A1845" s="268"/>
      <c r="F1845" s="188">
        <v>1</v>
      </c>
      <c r="G1845" s="187" t="s">
        <v>419</v>
      </c>
      <c r="H1845" s="181" t="s">
        <v>318</v>
      </c>
      <c r="I1845" s="6">
        <f>I1844*0.2</f>
        <v>14</v>
      </c>
      <c r="J1845" s="2" t="s">
        <v>419</v>
      </c>
      <c r="K1845" s="8">
        <f>(F1845*I1845)</f>
        <v>14</v>
      </c>
    </row>
    <row r="1846" spans="1:11" hidden="1">
      <c r="A1846" s="268"/>
      <c r="F1846" s="188">
        <v>1</v>
      </c>
      <c r="G1846" s="187" t="s">
        <v>794</v>
      </c>
      <c r="H1846" s="181" t="s">
        <v>159</v>
      </c>
      <c r="I1846" s="6">
        <f>K1839</f>
        <v>31.61</v>
      </c>
      <c r="J1846" s="2" t="s">
        <v>794</v>
      </c>
      <c r="K1846" s="8">
        <f>(F1846*I1846)</f>
        <v>31.61</v>
      </c>
    </row>
    <row r="1847" spans="1:11" ht="31.5" hidden="1">
      <c r="A1847" s="268"/>
      <c r="F1847" s="188"/>
      <c r="G1847" s="187"/>
      <c r="H1847" s="250" t="s">
        <v>1038</v>
      </c>
      <c r="I1847" s="6"/>
      <c r="J1847" s="2" t="s">
        <v>419</v>
      </c>
      <c r="K1847" s="8">
        <v>1.25</v>
      </c>
    </row>
    <row r="1848" spans="1:11" hidden="1">
      <c r="A1848" s="268"/>
      <c r="I1848" s="1"/>
      <c r="J1848" s="4"/>
      <c r="K1848" s="5" t="s">
        <v>1530</v>
      </c>
    </row>
    <row r="1849" spans="1:11" hidden="1">
      <c r="A1849" s="268"/>
      <c r="H1849" s="181" t="s">
        <v>352</v>
      </c>
      <c r="I1849" s="1"/>
      <c r="J1849" s="4"/>
      <c r="K1849" s="8">
        <f>SUM(K1844:K1847)</f>
        <v>116.86</v>
      </c>
    </row>
    <row r="1850" spans="1:11" hidden="1">
      <c r="A1850" s="268"/>
      <c r="I1850" s="1"/>
      <c r="J1850" s="4"/>
      <c r="K1850" s="5" t="s">
        <v>1980</v>
      </c>
    </row>
    <row r="1851" spans="1:11" hidden="1">
      <c r="A1851" s="268"/>
      <c r="I1851" s="1"/>
      <c r="J1851" s="4"/>
      <c r="K1851" s="5"/>
    </row>
    <row r="1852" spans="1:11" hidden="1">
      <c r="A1852" s="268"/>
      <c r="I1852" s="1"/>
      <c r="J1852" s="4"/>
      <c r="K1852" s="5"/>
    </row>
    <row r="1853" spans="1:11" hidden="1">
      <c r="A1853" s="268"/>
      <c r="F1853" s="246">
        <v>53.1</v>
      </c>
      <c r="G1853" s="187" t="s">
        <v>2167</v>
      </c>
      <c r="H1853" s="181" t="s">
        <v>2137</v>
      </c>
      <c r="I1853"/>
      <c r="J1853" s="4"/>
      <c r="K1853"/>
    </row>
    <row r="1854" spans="1:11" hidden="1">
      <c r="A1854" s="268"/>
      <c r="H1854" s="248" t="s">
        <v>1391</v>
      </c>
      <c r="I1854"/>
      <c r="J1854" s="4"/>
      <c r="K1854"/>
    </row>
    <row r="1855" spans="1:11" hidden="1">
      <c r="A1855" s="268"/>
      <c r="H1855" s="181" t="s">
        <v>1103</v>
      </c>
      <c r="I1855"/>
      <c r="J1855" s="4"/>
      <c r="K1855"/>
    </row>
    <row r="1856" spans="1:11" hidden="1">
      <c r="A1856" s="268"/>
      <c r="H1856" s="181" t="s">
        <v>1104</v>
      </c>
      <c r="I1856"/>
      <c r="J1856" s="4"/>
      <c r="K1856"/>
    </row>
    <row r="1857" spans="1:11" hidden="1">
      <c r="A1857" s="268"/>
      <c r="H1857" s="185" t="s">
        <v>1530</v>
      </c>
      <c r="I1857"/>
      <c r="J1857" s="4"/>
      <c r="K1857"/>
    </row>
    <row r="1858" spans="1:11" ht="57" hidden="1" customHeight="1">
      <c r="A1858" s="268"/>
      <c r="F1858" s="277">
        <v>1</v>
      </c>
      <c r="G1858" s="277" t="s">
        <v>835</v>
      </c>
      <c r="H1858" s="250" t="s">
        <v>2588</v>
      </c>
      <c r="I1858" s="22">
        <f>(C595)</f>
        <v>1050</v>
      </c>
      <c r="J1858" s="22" t="s">
        <v>835</v>
      </c>
      <c r="K1858" s="22">
        <f>(F1858*I1858)</f>
        <v>1050</v>
      </c>
    </row>
    <row r="1859" spans="1:11" hidden="1">
      <c r="A1859" s="268"/>
      <c r="F1859" s="188"/>
      <c r="G1859" s="187"/>
      <c r="H1859" s="181"/>
      <c r="I1859" s="8"/>
      <c r="J1859" s="2"/>
      <c r="K1859" s="8"/>
    </row>
    <row r="1860" spans="1:11" hidden="1">
      <c r="A1860" s="268"/>
      <c r="F1860" s="188"/>
      <c r="G1860" s="187"/>
      <c r="H1860" s="181"/>
      <c r="I1860" s="8"/>
      <c r="J1860" s="2"/>
      <c r="K1860" s="8"/>
    </row>
    <row r="1861" spans="1:11" hidden="1">
      <c r="A1861" s="268"/>
      <c r="F1861" s="188"/>
      <c r="G1861" s="187"/>
      <c r="H1861" s="181"/>
      <c r="I1861" s="8"/>
      <c r="J1861" s="2"/>
      <c r="K1861" s="8"/>
    </row>
    <row r="1862" spans="1:11" hidden="1">
      <c r="A1862" s="268"/>
      <c r="F1862" s="188"/>
      <c r="G1862" s="187"/>
      <c r="H1862" s="181"/>
      <c r="I1862" s="8"/>
      <c r="J1862" s="2"/>
      <c r="K1862" s="8"/>
    </row>
    <row r="1863" spans="1:11" hidden="1">
      <c r="A1863" s="268"/>
      <c r="F1863" s="188"/>
      <c r="G1863" s="187"/>
      <c r="H1863" s="181"/>
      <c r="I1863" s="8"/>
      <c r="J1863" s="2"/>
      <c r="K1863" s="8"/>
    </row>
    <row r="1864" spans="1:11" hidden="1">
      <c r="A1864" s="268"/>
      <c r="F1864" s="188"/>
      <c r="G1864" s="187"/>
      <c r="H1864" s="181"/>
      <c r="I1864" s="8"/>
      <c r="J1864" s="2"/>
      <c r="K1864" s="8"/>
    </row>
    <row r="1865" spans="1:11" hidden="1">
      <c r="A1865" s="268"/>
      <c r="F1865" s="188">
        <v>0.5</v>
      </c>
      <c r="G1865" s="187" t="s">
        <v>835</v>
      </c>
      <c r="H1865" s="181" t="s">
        <v>2024</v>
      </c>
      <c r="I1865" s="8">
        <f>(C15)</f>
        <v>130</v>
      </c>
      <c r="J1865" s="2" t="s">
        <v>835</v>
      </c>
      <c r="K1865" s="8">
        <f>(F1865*I1865)</f>
        <v>65</v>
      </c>
    </row>
    <row r="1866" spans="1:11" hidden="1">
      <c r="A1866" s="268"/>
      <c r="F1866" s="188">
        <v>1</v>
      </c>
      <c r="G1866" s="187" t="s">
        <v>835</v>
      </c>
      <c r="H1866" s="181" t="s">
        <v>1836</v>
      </c>
      <c r="I1866" s="8">
        <f>(C12)</f>
        <v>95</v>
      </c>
      <c r="J1866" s="2" t="s">
        <v>835</v>
      </c>
      <c r="K1866" s="8">
        <f>(F1866*I1866)</f>
        <v>95</v>
      </c>
    </row>
    <row r="1867" spans="1:11" hidden="1">
      <c r="A1867" s="268"/>
      <c r="F1867" s="188">
        <v>0.5</v>
      </c>
      <c r="G1867" s="187" t="s">
        <v>835</v>
      </c>
      <c r="H1867" s="181" t="s">
        <v>1938</v>
      </c>
      <c r="I1867" s="8">
        <f>(C10)</f>
        <v>150</v>
      </c>
      <c r="J1867" s="2" t="s">
        <v>835</v>
      </c>
      <c r="K1867" s="8">
        <f>(F1867*I1867)</f>
        <v>75</v>
      </c>
    </row>
    <row r="1868" spans="1:11" hidden="1">
      <c r="A1868" s="268"/>
      <c r="G1868" s="187" t="s">
        <v>419</v>
      </c>
      <c r="H1868" s="181" t="s">
        <v>1105</v>
      </c>
      <c r="I1868"/>
      <c r="J1868" s="2" t="s">
        <v>419</v>
      </c>
      <c r="K1868" s="8">
        <v>0.5</v>
      </c>
    </row>
    <row r="1869" spans="1:11" hidden="1">
      <c r="A1869" s="268"/>
      <c r="I1869"/>
      <c r="J1869" s="4"/>
      <c r="K1869" s="5" t="s">
        <v>1530</v>
      </c>
    </row>
    <row r="1870" spans="1:11" hidden="1">
      <c r="A1870" s="268"/>
      <c r="H1870" s="181" t="s">
        <v>1694</v>
      </c>
      <c r="I1870"/>
      <c r="J1870" s="4"/>
      <c r="K1870" s="8">
        <f>SUM(K1858:K1868)</f>
        <v>1285.5</v>
      </c>
    </row>
    <row r="1871" spans="1:11" hidden="1">
      <c r="A1871" s="268"/>
      <c r="I1871"/>
      <c r="J1871" s="4"/>
      <c r="K1871" s="5" t="s">
        <v>1530</v>
      </c>
    </row>
    <row r="1872" spans="1:11" hidden="1">
      <c r="A1872" s="268"/>
      <c r="F1872" s="236" t="s">
        <v>1345</v>
      </c>
      <c r="H1872" s="181" t="s">
        <v>1346</v>
      </c>
      <c r="I1872"/>
      <c r="J1872" s="4"/>
      <c r="K1872" s="1" t="s">
        <v>2589</v>
      </c>
    </row>
    <row r="1873" spans="1:11" hidden="1">
      <c r="A1873" s="268"/>
      <c r="I1873"/>
      <c r="J1873" s="4"/>
      <c r="K1873"/>
    </row>
    <row r="1874" spans="1:11" hidden="1">
      <c r="A1874" s="268"/>
      <c r="F1874" s="236" t="s">
        <v>1347</v>
      </c>
      <c r="H1874" s="181" t="s">
        <v>2590</v>
      </c>
      <c r="I1874"/>
      <c r="J1874" s="4"/>
      <c r="K1874" s="1" t="s">
        <v>2591</v>
      </c>
    </row>
    <row r="1875" spans="1:11" hidden="1">
      <c r="A1875" s="268"/>
      <c r="F1875" s="236"/>
      <c r="H1875" s="181"/>
      <c r="I1875"/>
      <c r="J1875" s="4"/>
      <c r="K1875" s="1"/>
    </row>
    <row r="1876" spans="1:11" hidden="1">
      <c r="A1876" s="268"/>
      <c r="F1876" s="242">
        <v>54</v>
      </c>
      <c r="G1876" s="187" t="s">
        <v>2167</v>
      </c>
      <c r="H1876" s="181" t="s">
        <v>1100</v>
      </c>
      <c r="I1876"/>
      <c r="J1876" s="2" t="s">
        <v>1341</v>
      </c>
      <c r="K1876" s="8">
        <v>140</v>
      </c>
    </row>
    <row r="1877" spans="1:11" hidden="1">
      <c r="A1877" s="268"/>
      <c r="I1877"/>
      <c r="J1877" s="4"/>
      <c r="K1877" s="5" t="s">
        <v>1980</v>
      </c>
    </row>
    <row r="1878" spans="1:11" hidden="1">
      <c r="A1878" s="268"/>
      <c r="I1878"/>
      <c r="J1878" s="4"/>
      <c r="K1878"/>
    </row>
    <row r="1879" spans="1:11" hidden="1">
      <c r="A1879" s="268"/>
      <c r="F1879" s="246">
        <v>54.1</v>
      </c>
      <c r="G1879" s="187" t="s">
        <v>2167</v>
      </c>
      <c r="H1879" s="181" t="s">
        <v>1246</v>
      </c>
      <c r="I1879"/>
      <c r="J1879" s="2" t="s">
        <v>1341</v>
      </c>
      <c r="K1879" s="8">
        <v>240</v>
      </c>
    </row>
    <row r="1880" spans="1:11" hidden="1">
      <c r="A1880" s="268"/>
      <c r="I1880"/>
      <c r="J1880" s="4"/>
      <c r="K1880" s="5" t="s">
        <v>1980</v>
      </c>
    </row>
    <row r="1881" spans="1:11" hidden="1">
      <c r="A1881" s="268"/>
      <c r="I1881"/>
      <c r="J1881" s="4"/>
      <c r="K1881"/>
    </row>
    <row r="1882" spans="1:11" hidden="1">
      <c r="A1882" s="268"/>
      <c r="F1882" s="246">
        <v>54.2</v>
      </c>
      <c r="G1882" s="187" t="s">
        <v>2167</v>
      </c>
      <c r="H1882" s="181" t="s">
        <v>901</v>
      </c>
      <c r="I1882"/>
      <c r="J1882" s="2" t="s">
        <v>1341</v>
      </c>
      <c r="K1882" s="8">
        <v>270</v>
      </c>
    </row>
    <row r="1883" spans="1:11" hidden="1">
      <c r="A1883" s="268"/>
      <c r="I1883"/>
      <c r="J1883" s="4"/>
      <c r="K1883" s="5" t="s">
        <v>1980</v>
      </c>
    </row>
    <row r="1884" spans="1:11" hidden="1">
      <c r="A1884" s="268"/>
      <c r="I1884"/>
      <c r="J1884" s="4"/>
      <c r="K1884"/>
    </row>
    <row r="1885" spans="1:11" hidden="1">
      <c r="A1885" s="268"/>
      <c r="F1885" s="236" t="s">
        <v>1101</v>
      </c>
      <c r="G1885" s="187" t="s">
        <v>2167</v>
      </c>
      <c r="H1885" s="181" t="s">
        <v>80</v>
      </c>
      <c r="I1885"/>
      <c r="J1885" s="4"/>
      <c r="K1885"/>
    </row>
    <row r="1886" spans="1:11" hidden="1">
      <c r="A1886" s="268"/>
      <c r="H1886" s="181" t="s">
        <v>1062</v>
      </c>
      <c r="I1886"/>
      <c r="J1886" s="4"/>
      <c r="K1886"/>
    </row>
    <row r="1887" spans="1:11" hidden="1">
      <c r="A1887" s="268"/>
      <c r="H1887" s="181" t="s">
        <v>1063</v>
      </c>
      <c r="I1887"/>
      <c r="J1887" s="4"/>
      <c r="K1887"/>
    </row>
    <row r="1888" spans="1:11" hidden="1">
      <c r="A1888" s="268"/>
      <c r="H1888" s="181" t="s">
        <v>1064</v>
      </c>
      <c r="I1888"/>
      <c r="J1888" s="4"/>
      <c r="K1888"/>
    </row>
    <row r="1889" spans="1:22" hidden="1">
      <c r="A1889" s="268"/>
      <c r="H1889" s="185" t="s">
        <v>1530</v>
      </c>
      <c r="I1889"/>
      <c r="J1889" s="4"/>
      <c r="K1889"/>
    </row>
    <row r="1890" spans="1:22" hidden="1">
      <c r="A1890" s="268"/>
      <c r="F1890" s="188">
        <v>1</v>
      </c>
      <c r="G1890" s="187" t="s">
        <v>835</v>
      </c>
      <c r="H1890" s="181" t="s">
        <v>679</v>
      </c>
      <c r="I1890" s="8">
        <f>(C200)</f>
        <v>750</v>
      </c>
      <c r="J1890" s="2" t="s">
        <v>835</v>
      </c>
      <c r="K1890" s="8">
        <f t="shared" ref="K1890:K1896" si="68">(F1890*I1890)</f>
        <v>750</v>
      </c>
    </row>
    <row r="1891" spans="1:22" hidden="1">
      <c r="A1891" s="268"/>
      <c r="F1891" s="188">
        <v>0.65</v>
      </c>
      <c r="G1891" s="187" t="s">
        <v>836</v>
      </c>
      <c r="H1891" s="181" t="s">
        <v>235</v>
      </c>
      <c r="I1891" s="8">
        <f>(C61*2)</f>
        <v>50</v>
      </c>
      <c r="J1891" s="2" t="s">
        <v>836</v>
      </c>
      <c r="K1891" s="8">
        <f t="shared" si="68"/>
        <v>32.5</v>
      </c>
    </row>
    <row r="1892" spans="1:22" hidden="1">
      <c r="A1892" s="268"/>
      <c r="F1892" s="188">
        <v>0.56999999999999995</v>
      </c>
      <c r="G1892" s="187" t="s">
        <v>836</v>
      </c>
      <c r="H1892" s="181" t="s">
        <v>236</v>
      </c>
      <c r="I1892" s="8">
        <f>(C26)</f>
        <v>8.8000000000000007</v>
      </c>
      <c r="J1892" s="2" t="s">
        <v>836</v>
      </c>
      <c r="K1892" s="8">
        <f t="shared" si="68"/>
        <v>5.0199999999999996</v>
      </c>
    </row>
    <row r="1893" spans="1:22" hidden="1">
      <c r="A1893" s="268"/>
      <c r="F1893" s="245">
        <v>8.1000000000000003E-2</v>
      </c>
      <c r="G1893" s="187" t="s">
        <v>836</v>
      </c>
      <c r="H1893" s="181" t="s">
        <v>237</v>
      </c>
      <c r="I1893" s="8" t="e">
        <f>(R60)</f>
        <v>#REF!</v>
      </c>
      <c r="J1893" s="2" t="s">
        <v>836</v>
      </c>
      <c r="K1893" s="8" t="e">
        <f t="shared" si="68"/>
        <v>#REF!</v>
      </c>
    </row>
    <row r="1894" spans="1:22" hidden="1">
      <c r="A1894" s="268"/>
      <c r="F1894" s="188">
        <v>1</v>
      </c>
      <c r="G1894" s="187" t="s">
        <v>835</v>
      </c>
      <c r="H1894" s="181" t="s">
        <v>2024</v>
      </c>
      <c r="I1894" s="8">
        <f>(C15)</f>
        <v>130</v>
      </c>
      <c r="J1894" s="2" t="s">
        <v>835</v>
      </c>
      <c r="K1894" s="8">
        <f t="shared" si="68"/>
        <v>130</v>
      </c>
    </row>
    <row r="1895" spans="1:22" hidden="1">
      <c r="A1895" s="268"/>
      <c r="F1895" s="188">
        <v>0.5</v>
      </c>
      <c r="G1895" s="187" t="s">
        <v>835</v>
      </c>
      <c r="H1895" s="181" t="s">
        <v>1654</v>
      </c>
      <c r="I1895" s="8">
        <f>(C11)</f>
        <v>135</v>
      </c>
      <c r="J1895" s="2" t="s">
        <v>835</v>
      </c>
      <c r="K1895" s="8">
        <f t="shared" si="68"/>
        <v>67.5</v>
      </c>
    </row>
    <row r="1896" spans="1:22" hidden="1">
      <c r="A1896" s="268"/>
      <c r="F1896" s="188">
        <v>0.5</v>
      </c>
      <c r="G1896" s="187" t="s">
        <v>835</v>
      </c>
      <c r="H1896" s="181" t="s">
        <v>1836</v>
      </c>
      <c r="I1896" s="8">
        <f>(C12)</f>
        <v>95</v>
      </c>
      <c r="J1896" s="2" t="s">
        <v>835</v>
      </c>
      <c r="K1896" s="8">
        <f t="shared" si="68"/>
        <v>47.5</v>
      </c>
    </row>
    <row r="1897" spans="1:22" hidden="1">
      <c r="A1897" s="268"/>
      <c r="G1897" s="187" t="s">
        <v>419</v>
      </c>
      <c r="H1897" s="181" t="s">
        <v>420</v>
      </c>
      <c r="I1897" s="1" t="s">
        <v>940</v>
      </c>
      <c r="J1897" s="2" t="s">
        <v>419</v>
      </c>
      <c r="K1897" s="8">
        <v>0</v>
      </c>
    </row>
    <row r="1898" spans="1:22" hidden="1">
      <c r="A1898" s="268"/>
      <c r="I1898"/>
      <c r="J1898" s="4"/>
      <c r="K1898" s="5" t="s">
        <v>1530</v>
      </c>
    </row>
    <row r="1899" spans="1:22" hidden="1">
      <c r="A1899" s="268"/>
      <c r="H1899" s="181" t="s">
        <v>1694</v>
      </c>
      <c r="I1899"/>
      <c r="J1899" s="4"/>
      <c r="K1899" s="8" t="e">
        <f>SUM(K1890:K1897)</f>
        <v>#REF!</v>
      </c>
    </row>
    <row r="1900" spans="1:22" hidden="1">
      <c r="A1900" s="268"/>
      <c r="I1900"/>
      <c r="J1900" s="4"/>
      <c r="K1900" s="5" t="s">
        <v>1980</v>
      </c>
    </row>
    <row r="1901" spans="1:22" hidden="1">
      <c r="A1901" s="268"/>
      <c r="G1901" s="187" t="s">
        <v>940</v>
      </c>
      <c r="H1901" s="181" t="s">
        <v>940</v>
      </c>
      <c r="I1901"/>
      <c r="J1901" s="4"/>
      <c r="K1901" s="1" t="s">
        <v>940</v>
      </c>
    </row>
    <row r="1902" spans="1:22" hidden="1">
      <c r="A1902" s="268"/>
      <c r="I1902"/>
      <c r="J1902" s="2" t="s">
        <v>940</v>
      </c>
      <c r="K1902" s="1" t="s">
        <v>940</v>
      </c>
    </row>
    <row r="1903" spans="1:22" hidden="1">
      <c r="A1903" s="268"/>
      <c r="F1903" s="236" t="s">
        <v>238</v>
      </c>
      <c r="G1903" s="187" t="s">
        <v>2167</v>
      </c>
      <c r="H1903" s="181" t="s">
        <v>80</v>
      </c>
      <c r="I1903"/>
      <c r="J1903" s="4"/>
      <c r="K1903"/>
    </row>
    <row r="1904" spans="1:22" hidden="1">
      <c r="A1904" s="268"/>
      <c r="H1904" s="181" t="s">
        <v>1062</v>
      </c>
      <c r="I1904"/>
      <c r="J1904" s="4"/>
      <c r="K1904"/>
      <c r="V1904" s="181" t="s">
        <v>1394</v>
      </c>
    </row>
    <row r="1905" spans="1:11" hidden="1">
      <c r="A1905" s="268"/>
      <c r="H1905" s="181" t="s">
        <v>1063</v>
      </c>
      <c r="I1905"/>
      <c r="J1905" s="4"/>
      <c r="K1905"/>
    </row>
    <row r="1906" spans="1:11" hidden="1">
      <c r="A1906" s="268"/>
      <c r="H1906" s="181" t="s">
        <v>239</v>
      </c>
      <c r="I1906"/>
      <c r="J1906" s="4"/>
      <c r="K1906"/>
    </row>
    <row r="1907" spans="1:11" hidden="1">
      <c r="A1907" s="268"/>
      <c r="H1907" s="185" t="s">
        <v>1530</v>
      </c>
      <c r="I1907"/>
      <c r="J1907" s="4"/>
      <c r="K1907"/>
    </row>
    <row r="1908" spans="1:11" hidden="1">
      <c r="A1908" s="268"/>
      <c r="F1908" s="188">
        <v>1</v>
      </c>
      <c r="G1908" s="187" t="s">
        <v>835</v>
      </c>
      <c r="H1908" s="181" t="s">
        <v>679</v>
      </c>
      <c r="I1908" s="8">
        <f>(C200)</f>
        <v>750</v>
      </c>
      <c r="J1908" s="2" t="s">
        <v>835</v>
      </c>
      <c r="K1908" s="8">
        <f>(F1908*I1908)</f>
        <v>750</v>
      </c>
    </row>
    <row r="1909" spans="1:11" hidden="1">
      <c r="A1909" s="268"/>
      <c r="F1909" s="245">
        <v>0.40500000000000003</v>
      </c>
      <c r="G1909" s="187" t="s">
        <v>836</v>
      </c>
      <c r="H1909" s="181" t="s">
        <v>2564</v>
      </c>
      <c r="I1909" s="8" t="e">
        <f>(K1262)</f>
        <v>#REF!</v>
      </c>
      <c r="J1909" s="2" t="s">
        <v>836</v>
      </c>
      <c r="K1909" s="8" t="e">
        <f>(F1909*I1909)</f>
        <v>#REF!</v>
      </c>
    </row>
    <row r="1910" spans="1:11" hidden="1">
      <c r="A1910" s="268"/>
      <c r="H1910" s="181" t="s">
        <v>1057</v>
      </c>
      <c r="I1910" s="1" t="s">
        <v>940</v>
      </c>
      <c r="J1910" s="4"/>
      <c r="K1910" s="1" t="s">
        <v>940</v>
      </c>
    </row>
    <row r="1911" spans="1:11" hidden="1">
      <c r="A1911" s="268"/>
      <c r="F1911" s="188">
        <v>1.89</v>
      </c>
      <c r="G1911" s="187" t="s">
        <v>578</v>
      </c>
      <c r="H1911" s="181" t="s">
        <v>250</v>
      </c>
      <c r="I1911" s="8" t="e">
        <f>(K1373)</f>
        <v>#REF!</v>
      </c>
      <c r="J1911" s="2" t="s">
        <v>578</v>
      </c>
      <c r="K1911" s="8" t="e">
        <f>(F1911*I1911)</f>
        <v>#REF!</v>
      </c>
    </row>
    <row r="1912" spans="1:11" hidden="1">
      <c r="A1912" s="268"/>
      <c r="H1912" s="181" t="s">
        <v>251</v>
      </c>
      <c r="I1912" s="1" t="s">
        <v>940</v>
      </c>
      <c r="J1912" s="4"/>
      <c r="K1912" s="1" t="s">
        <v>940</v>
      </c>
    </row>
    <row r="1913" spans="1:11" hidden="1">
      <c r="A1913" s="268"/>
      <c r="F1913" s="245">
        <v>8.1000000000000003E-2</v>
      </c>
      <c r="G1913" s="187" t="s">
        <v>836</v>
      </c>
      <c r="H1913" s="181" t="s">
        <v>252</v>
      </c>
      <c r="I1913" s="8" t="e">
        <f>(R60)</f>
        <v>#REF!</v>
      </c>
      <c r="J1913" s="2" t="s">
        <v>836</v>
      </c>
      <c r="K1913" s="8" t="e">
        <f>(F1913*I1913)</f>
        <v>#REF!</v>
      </c>
    </row>
    <row r="1914" spans="1:11" hidden="1">
      <c r="A1914" s="268"/>
      <c r="H1914" s="181" t="s">
        <v>253</v>
      </c>
      <c r="I1914"/>
      <c r="J1914" s="4"/>
      <c r="K1914"/>
    </row>
    <row r="1915" spans="1:11" hidden="1">
      <c r="A1915" s="268"/>
      <c r="F1915" s="188">
        <v>1</v>
      </c>
      <c r="G1915" s="187" t="s">
        <v>739</v>
      </c>
      <c r="H1915" s="181" t="s">
        <v>2024</v>
      </c>
      <c r="I1915" s="8">
        <f>(C15)</f>
        <v>130</v>
      </c>
      <c r="J1915" s="2" t="s">
        <v>739</v>
      </c>
      <c r="K1915" s="8">
        <f>(F1915*I1915)</f>
        <v>130</v>
      </c>
    </row>
    <row r="1916" spans="1:11" hidden="1">
      <c r="A1916" s="268"/>
      <c r="F1916" s="188">
        <v>0.5</v>
      </c>
      <c r="G1916" s="187" t="s">
        <v>835</v>
      </c>
      <c r="H1916" s="181" t="s">
        <v>1654</v>
      </c>
      <c r="I1916" s="8">
        <f>(C11)</f>
        <v>135</v>
      </c>
      <c r="J1916" s="2" t="s">
        <v>835</v>
      </c>
      <c r="K1916" s="8">
        <f>(F1916*I1916)</f>
        <v>67.5</v>
      </c>
    </row>
    <row r="1917" spans="1:11" hidden="1">
      <c r="A1917" s="268"/>
      <c r="F1917" s="188">
        <v>0.5</v>
      </c>
      <c r="G1917" s="187" t="s">
        <v>835</v>
      </c>
      <c r="H1917" s="181" t="s">
        <v>1836</v>
      </c>
      <c r="I1917" s="8">
        <f>(C12)</f>
        <v>95</v>
      </c>
      <c r="J1917" s="2" t="s">
        <v>835</v>
      </c>
      <c r="K1917" s="8">
        <f>(F1917*I1917)</f>
        <v>47.5</v>
      </c>
    </row>
    <row r="1918" spans="1:11" hidden="1">
      <c r="A1918" s="268"/>
      <c r="G1918" s="187" t="s">
        <v>419</v>
      </c>
      <c r="H1918" s="181" t="s">
        <v>420</v>
      </c>
      <c r="I1918" s="1" t="s">
        <v>940</v>
      </c>
      <c r="J1918" s="2" t="s">
        <v>419</v>
      </c>
      <c r="K1918" s="8">
        <v>0</v>
      </c>
    </row>
    <row r="1919" spans="1:11" hidden="1">
      <c r="A1919" s="268"/>
      <c r="H1919" s="181" t="s">
        <v>940</v>
      </c>
      <c r="I1919"/>
      <c r="J1919" s="4"/>
      <c r="K1919" s="5" t="s">
        <v>1530</v>
      </c>
    </row>
    <row r="1920" spans="1:11" hidden="1">
      <c r="A1920" s="268"/>
      <c r="H1920" s="181" t="s">
        <v>1694</v>
      </c>
      <c r="I1920"/>
      <c r="J1920" s="4"/>
      <c r="K1920" s="8" t="e">
        <f>SUM(K1908:K1918)</f>
        <v>#REF!</v>
      </c>
    </row>
    <row r="1921" spans="1:11" hidden="1">
      <c r="A1921" s="268"/>
      <c r="I1921"/>
      <c r="J1921" s="4"/>
      <c r="K1921" s="5" t="s">
        <v>1980</v>
      </c>
    </row>
    <row r="1922" spans="1:11" hidden="1">
      <c r="A1922" s="268"/>
      <c r="G1922" s="187" t="s">
        <v>940</v>
      </c>
      <c r="H1922" s="181" t="s">
        <v>940</v>
      </c>
      <c r="I1922"/>
      <c r="J1922" s="4"/>
      <c r="K1922" s="1" t="s">
        <v>940</v>
      </c>
    </row>
    <row r="1923" spans="1:11" hidden="1">
      <c r="A1923" s="268"/>
      <c r="I1923"/>
      <c r="J1923" s="2" t="s">
        <v>940</v>
      </c>
      <c r="K1923" s="1" t="s">
        <v>234</v>
      </c>
    </row>
    <row r="1924" spans="1:11" hidden="1">
      <c r="A1924" s="268"/>
      <c r="F1924" s="242">
        <v>57</v>
      </c>
      <c r="G1924" s="187" t="s">
        <v>2167</v>
      </c>
      <c r="H1924" s="181" t="s">
        <v>243</v>
      </c>
      <c r="I1924"/>
      <c r="J1924" s="4"/>
      <c r="K1924"/>
    </row>
    <row r="1925" spans="1:11" hidden="1">
      <c r="A1925" s="268"/>
      <c r="H1925" s="181" t="s">
        <v>194</v>
      </c>
      <c r="I1925"/>
      <c r="J1925" s="4"/>
      <c r="K1925"/>
    </row>
    <row r="1926" spans="1:11" hidden="1">
      <c r="A1926" s="268"/>
      <c r="H1926" s="181" t="s">
        <v>1715</v>
      </c>
      <c r="I1926"/>
      <c r="J1926" s="4"/>
      <c r="K1926"/>
    </row>
    <row r="1927" spans="1:11" hidden="1">
      <c r="A1927" s="268"/>
      <c r="H1927" s="185" t="s">
        <v>1530</v>
      </c>
      <c r="I1927"/>
      <c r="J1927" s="4"/>
      <c r="K1927"/>
    </row>
    <row r="1928" spans="1:11" ht="95.25" hidden="1" customHeight="1">
      <c r="A1928" s="268"/>
      <c r="F1928" s="277">
        <v>1</v>
      </c>
      <c r="G1928" s="277" t="s">
        <v>753</v>
      </c>
      <c r="H1928" s="250" t="s">
        <v>1082</v>
      </c>
      <c r="I1928" s="22">
        <f>C591</f>
        <v>1700</v>
      </c>
      <c r="J1928" s="278" t="s">
        <v>753</v>
      </c>
      <c r="K1928" s="22">
        <f>(F1928*I1928)</f>
        <v>1700</v>
      </c>
    </row>
    <row r="1929" spans="1:11" hidden="1">
      <c r="A1929" s="268"/>
      <c r="F1929" s="188"/>
      <c r="G1929" s="187"/>
      <c r="H1929" s="279" t="s">
        <v>1122</v>
      </c>
      <c r="I1929" s="8"/>
      <c r="J1929" s="2"/>
      <c r="K1929" s="8"/>
    </row>
    <row r="1930" spans="1:11" hidden="1">
      <c r="A1930" s="268"/>
      <c r="F1930" s="188">
        <v>1</v>
      </c>
      <c r="G1930" s="187" t="s">
        <v>835</v>
      </c>
      <c r="H1930" s="181" t="s">
        <v>1938</v>
      </c>
      <c r="I1930" s="8">
        <f>(C10)</f>
        <v>150</v>
      </c>
      <c r="J1930" s="2" t="s">
        <v>835</v>
      </c>
      <c r="K1930" s="8">
        <f>(F1930*I1930)</f>
        <v>150</v>
      </c>
    </row>
    <row r="1931" spans="1:11" hidden="1">
      <c r="A1931" s="268"/>
      <c r="F1931" s="188">
        <v>2</v>
      </c>
      <c r="G1931" s="187" t="s">
        <v>835</v>
      </c>
      <c r="H1931" s="181" t="s">
        <v>2024</v>
      </c>
      <c r="I1931" s="8">
        <f>(C15)</f>
        <v>130</v>
      </c>
      <c r="J1931" s="2" t="s">
        <v>835</v>
      </c>
      <c r="K1931" s="8">
        <f>(F1931*I1931)</f>
        <v>260</v>
      </c>
    </row>
    <row r="1932" spans="1:11" hidden="1">
      <c r="A1932" s="268"/>
      <c r="F1932" s="188">
        <v>1</v>
      </c>
      <c r="G1932" s="187" t="s">
        <v>835</v>
      </c>
      <c r="H1932" s="181" t="s">
        <v>299</v>
      </c>
      <c r="I1932" s="8">
        <f>(C13)</f>
        <v>85</v>
      </c>
      <c r="J1932" s="2" t="s">
        <v>835</v>
      </c>
      <c r="K1932" s="8">
        <f>(F1932*I1932)</f>
        <v>85</v>
      </c>
    </row>
    <row r="1933" spans="1:11" hidden="1">
      <c r="A1933" s="268"/>
      <c r="F1933" s="188"/>
      <c r="G1933" s="187"/>
      <c r="H1933" s="279" t="s">
        <v>680</v>
      </c>
      <c r="I1933" s="8"/>
      <c r="J1933" s="2"/>
      <c r="K1933" s="8"/>
    </row>
    <row r="1934" spans="1:11" hidden="1">
      <c r="A1934" s="268"/>
      <c r="F1934" s="188">
        <v>0.5</v>
      </c>
      <c r="G1934" s="187" t="s">
        <v>835</v>
      </c>
      <c r="H1934" s="181" t="s">
        <v>2024</v>
      </c>
      <c r="I1934" s="8">
        <f>(C15)</f>
        <v>130</v>
      </c>
      <c r="J1934" s="2" t="s">
        <v>835</v>
      </c>
      <c r="K1934" s="8">
        <f>(F1934*I1934)</f>
        <v>65</v>
      </c>
    </row>
    <row r="1935" spans="1:11" hidden="1">
      <c r="A1935" s="268"/>
      <c r="F1935" s="188">
        <v>0.5</v>
      </c>
      <c r="G1935" s="187" t="s">
        <v>835</v>
      </c>
      <c r="H1935" s="181" t="s">
        <v>1836</v>
      </c>
      <c r="I1935" s="8">
        <f>(C12)</f>
        <v>95</v>
      </c>
      <c r="J1935" s="2" t="s">
        <v>835</v>
      </c>
      <c r="K1935" s="8">
        <f>(F1935*I1935)</f>
        <v>47.5</v>
      </c>
    </row>
    <row r="1936" spans="1:11" hidden="1">
      <c r="A1936" s="268"/>
      <c r="G1936" s="187" t="s">
        <v>419</v>
      </c>
      <c r="H1936" s="181" t="s">
        <v>420</v>
      </c>
      <c r="I1936"/>
      <c r="J1936" s="2" t="s">
        <v>419</v>
      </c>
      <c r="K1936" s="8">
        <v>0</v>
      </c>
    </row>
    <row r="1937" spans="1:11" hidden="1">
      <c r="A1937" s="268"/>
      <c r="I1937"/>
      <c r="J1937" s="4"/>
      <c r="K1937" s="5" t="s">
        <v>1530</v>
      </c>
    </row>
    <row r="1938" spans="1:11" hidden="1">
      <c r="A1938" s="268"/>
      <c r="H1938" s="181" t="s">
        <v>1694</v>
      </c>
      <c r="I1938"/>
      <c r="J1938" s="4"/>
      <c r="K1938" s="8">
        <f>SUM(K1928:K1936)</f>
        <v>2307.5</v>
      </c>
    </row>
    <row r="1939" spans="1:11" hidden="1">
      <c r="A1939" s="268"/>
      <c r="F1939" s="181" t="s">
        <v>940</v>
      </c>
      <c r="I1939"/>
      <c r="J1939" s="4"/>
      <c r="K1939"/>
    </row>
    <row r="1940" spans="1:11" hidden="1">
      <c r="A1940" s="268"/>
      <c r="I1940"/>
      <c r="J1940" s="4"/>
      <c r="K1940" s="5" t="s">
        <v>1530</v>
      </c>
    </row>
    <row r="1941" spans="1:11" hidden="1">
      <c r="A1941" s="268"/>
      <c r="G1941" s="187" t="s">
        <v>940</v>
      </c>
      <c r="H1941" s="181" t="s">
        <v>940</v>
      </c>
      <c r="I1941"/>
      <c r="J1941" s="4"/>
      <c r="K1941" s="1" t="s">
        <v>940</v>
      </c>
    </row>
    <row r="1942" spans="1:11" hidden="1">
      <c r="A1942" s="268"/>
      <c r="H1942" s="181" t="s">
        <v>940</v>
      </c>
      <c r="I1942"/>
      <c r="J1942" s="4"/>
      <c r="K1942"/>
    </row>
    <row r="1943" spans="1:11" hidden="1">
      <c r="A1943" s="268"/>
      <c r="F1943" s="246">
        <v>57.1</v>
      </c>
      <c r="G1943" s="187" t="s">
        <v>2167</v>
      </c>
      <c r="H1943" s="181" t="s">
        <v>1504</v>
      </c>
      <c r="I1943"/>
      <c r="J1943" s="4"/>
      <c r="K1943"/>
    </row>
    <row r="1944" spans="1:11" hidden="1">
      <c r="A1944" s="268"/>
      <c r="H1944" s="181" t="s">
        <v>194</v>
      </c>
      <c r="I1944"/>
      <c r="J1944" s="4"/>
      <c r="K1944"/>
    </row>
    <row r="1945" spans="1:11" hidden="1">
      <c r="A1945" s="268"/>
      <c r="H1945" s="181" t="s">
        <v>1715</v>
      </c>
      <c r="I1945"/>
      <c r="J1945" s="4"/>
      <c r="K1945"/>
    </row>
    <row r="1946" spans="1:11" hidden="1">
      <c r="A1946" s="268"/>
      <c r="H1946" s="185" t="s">
        <v>1530</v>
      </c>
      <c r="I1946"/>
      <c r="J1946" s="4"/>
      <c r="K1946"/>
    </row>
    <row r="1947" spans="1:11" ht="63" hidden="1">
      <c r="A1947" s="268"/>
      <c r="F1947" s="277">
        <v>1</v>
      </c>
      <c r="G1947" s="277" t="s">
        <v>753</v>
      </c>
      <c r="H1947" s="250" t="s">
        <v>1082</v>
      </c>
      <c r="I1947">
        <f>E591</f>
        <v>2000</v>
      </c>
      <c r="J1947" s="278" t="s">
        <v>753</v>
      </c>
      <c r="K1947" s="22">
        <f>(F1947*I1947)</f>
        <v>2000</v>
      </c>
    </row>
    <row r="1948" spans="1:11" hidden="1">
      <c r="A1948" s="268"/>
      <c r="F1948" s="188"/>
      <c r="G1948" s="187"/>
      <c r="H1948" s="279" t="s">
        <v>1122</v>
      </c>
      <c r="I1948"/>
      <c r="J1948" s="2"/>
      <c r="K1948" s="8"/>
    </row>
    <row r="1949" spans="1:11" hidden="1">
      <c r="A1949" s="268"/>
      <c r="F1949" s="188">
        <v>1</v>
      </c>
      <c r="G1949" s="187" t="s">
        <v>835</v>
      </c>
      <c r="H1949" s="181" t="s">
        <v>1938</v>
      </c>
      <c r="I1949">
        <f>C10</f>
        <v>150</v>
      </c>
      <c r="J1949" s="2" t="s">
        <v>835</v>
      </c>
      <c r="K1949" s="8">
        <f>(F1949*I1949)</f>
        <v>150</v>
      </c>
    </row>
    <row r="1950" spans="1:11" hidden="1">
      <c r="A1950" s="268"/>
      <c r="F1950" s="188">
        <v>2</v>
      </c>
      <c r="G1950" s="187" t="s">
        <v>835</v>
      </c>
      <c r="H1950" s="181" t="s">
        <v>2024</v>
      </c>
      <c r="I1950">
        <f>C15</f>
        <v>130</v>
      </c>
      <c r="J1950" s="2" t="s">
        <v>835</v>
      </c>
      <c r="K1950" s="8">
        <f>(F1950*I1950)</f>
        <v>260</v>
      </c>
    </row>
    <row r="1951" spans="1:11" hidden="1">
      <c r="A1951" s="268"/>
      <c r="F1951" s="188">
        <v>1</v>
      </c>
      <c r="G1951" s="187" t="s">
        <v>835</v>
      </c>
      <c r="H1951" s="181" t="s">
        <v>299</v>
      </c>
      <c r="I1951">
        <f>C13</f>
        <v>85</v>
      </c>
      <c r="J1951" s="2" t="s">
        <v>835</v>
      </c>
      <c r="K1951" s="8">
        <f>(F1951*I1951)</f>
        <v>85</v>
      </c>
    </row>
    <row r="1952" spans="1:11" hidden="1">
      <c r="A1952" s="268"/>
      <c r="F1952" s="188"/>
      <c r="G1952" s="187"/>
      <c r="H1952" s="279" t="s">
        <v>680</v>
      </c>
      <c r="I1952"/>
      <c r="J1952" s="2"/>
      <c r="K1952" s="8"/>
    </row>
    <row r="1953" spans="1:11" hidden="1">
      <c r="A1953" s="268"/>
      <c r="F1953" s="188">
        <v>0.5</v>
      </c>
      <c r="G1953" s="187" t="s">
        <v>835</v>
      </c>
      <c r="H1953" s="181" t="s">
        <v>2024</v>
      </c>
      <c r="I1953">
        <f>C15</f>
        <v>130</v>
      </c>
      <c r="J1953" s="2" t="s">
        <v>835</v>
      </c>
      <c r="K1953" s="8">
        <f>(F1953*I1953)</f>
        <v>65</v>
      </c>
    </row>
    <row r="1954" spans="1:11" hidden="1">
      <c r="A1954" s="268"/>
      <c r="F1954" s="188">
        <v>0.5</v>
      </c>
      <c r="G1954" s="187" t="s">
        <v>835</v>
      </c>
      <c r="H1954" s="181" t="s">
        <v>1836</v>
      </c>
      <c r="I1954">
        <f>C12</f>
        <v>95</v>
      </c>
      <c r="J1954" s="2" t="s">
        <v>835</v>
      </c>
      <c r="K1954" s="8">
        <f>(F1954*I1954)</f>
        <v>47.5</v>
      </c>
    </row>
    <row r="1955" spans="1:11" hidden="1">
      <c r="A1955" s="268"/>
      <c r="G1955" s="187" t="s">
        <v>419</v>
      </c>
      <c r="H1955" s="181" t="s">
        <v>420</v>
      </c>
      <c r="I1955"/>
      <c r="J1955" s="2" t="s">
        <v>419</v>
      </c>
      <c r="K1955" s="8">
        <v>0</v>
      </c>
    </row>
    <row r="1956" spans="1:11" hidden="1">
      <c r="A1956" s="268"/>
      <c r="I1956"/>
      <c r="J1956" s="4"/>
      <c r="K1956" s="5" t="s">
        <v>1530</v>
      </c>
    </row>
    <row r="1957" spans="1:11" hidden="1">
      <c r="A1957" s="268"/>
      <c r="H1957" s="181" t="s">
        <v>1694</v>
      </c>
      <c r="I1957"/>
      <c r="J1957" s="4"/>
      <c r="K1957" s="8">
        <f>SUM(K1947:K1955)</f>
        <v>2607.5</v>
      </c>
    </row>
    <row r="1958" spans="1:11" hidden="1">
      <c r="A1958" s="268"/>
      <c r="H1958" s="181"/>
      <c r="I1958"/>
      <c r="J1958" s="4"/>
      <c r="K1958"/>
    </row>
    <row r="1959" spans="1:11" hidden="1">
      <c r="A1959" s="268"/>
      <c r="H1959" s="181"/>
      <c r="I1959"/>
      <c r="J1959" s="4"/>
      <c r="K1959" s="5" t="s">
        <v>1530</v>
      </c>
    </row>
    <row r="1960" spans="1:11" hidden="1">
      <c r="A1960" s="268"/>
      <c r="H1960" s="181"/>
      <c r="I1960"/>
      <c r="J1960" s="4"/>
      <c r="K1960"/>
    </row>
    <row r="1961" spans="1:11" hidden="1">
      <c r="A1961" s="268"/>
      <c r="F1961" s="236" t="s">
        <v>681</v>
      </c>
      <c r="G1961" s="187" t="s">
        <v>2167</v>
      </c>
      <c r="H1961" s="181" t="s">
        <v>778</v>
      </c>
      <c r="I1961"/>
      <c r="J1961" s="4"/>
      <c r="K1961"/>
    </row>
    <row r="1962" spans="1:11" hidden="1">
      <c r="A1962" s="268"/>
      <c r="H1962" s="181" t="s">
        <v>158</v>
      </c>
      <c r="I1962"/>
      <c r="J1962" s="4"/>
      <c r="K1962"/>
    </row>
    <row r="1963" spans="1:11" hidden="1">
      <c r="A1963" s="268"/>
      <c r="H1963" s="185" t="s">
        <v>1530</v>
      </c>
      <c r="I1963"/>
      <c r="J1963" s="4"/>
      <c r="K1963"/>
    </row>
    <row r="1964" spans="1:11" hidden="1">
      <c r="A1964" s="268"/>
      <c r="G1964" s="187" t="s">
        <v>657</v>
      </c>
      <c r="H1964" s="181" t="s">
        <v>39</v>
      </c>
      <c r="I1964"/>
      <c r="J1964" s="4"/>
      <c r="K1964"/>
    </row>
    <row r="1965" spans="1:11" hidden="1">
      <c r="A1965" s="268"/>
      <c r="H1965" s="181" t="s">
        <v>2565</v>
      </c>
      <c r="I1965"/>
      <c r="J1965" s="4"/>
      <c r="K1965"/>
    </row>
    <row r="1966" spans="1:11" hidden="1">
      <c r="A1966" s="268"/>
      <c r="H1966" s="181" t="s">
        <v>911</v>
      </c>
      <c r="I1966"/>
      <c r="J1966" s="4"/>
      <c r="K1966"/>
    </row>
    <row r="1967" spans="1:11" hidden="1">
      <c r="A1967" s="268"/>
      <c r="H1967" s="181" t="s">
        <v>912</v>
      </c>
      <c r="I1967"/>
      <c r="J1967" s="4"/>
      <c r="K1967"/>
    </row>
    <row r="1968" spans="1:11" hidden="1">
      <c r="A1968" s="268"/>
      <c r="H1968" s="181" t="s">
        <v>2025</v>
      </c>
      <c r="I1968"/>
      <c r="J1968" s="4"/>
      <c r="K1968"/>
    </row>
    <row r="1969" spans="1:11" hidden="1">
      <c r="A1969" s="268"/>
      <c r="H1969" s="181" t="s">
        <v>2026</v>
      </c>
      <c r="I1969"/>
      <c r="J1969" s="4"/>
      <c r="K1969"/>
    </row>
    <row r="1970" spans="1:11" hidden="1">
      <c r="A1970" s="268"/>
      <c r="H1970" s="181" t="s">
        <v>2566</v>
      </c>
      <c r="I1970"/>
      <c r="J1970" s="4"/>
      <c r="K1970"/>
    </row>
    <row r="1971" spans="1:11" hidden="1">
      <c r="A1971" s="268"/>
      <c r="H1971" s="185" t="s">
        <v>1530</v>
      </c>
      <c r="I1971"/>
      <c r="J1971" s="4"/>
      <c r="K1971"/>
    </row>
    <row r="1972" spans="1:11" hidden="1">
      <c r="A1972" s="268"/>
      <c r="F1972" s="188">
        <v>3</v>
      </c>
      <c r="G1972" s="187" t="s">
        <v>1714</v>
      </c>
      <c r="H1972" s="181" t="s">
        <v>2027</v>
      </c>
      <c r="I1972" s="8">
        <f>(C598)</f>
        <v>120</v>
      </c>
      <c r="J1972" s="2" t="s">
        <v>1714</v>
      </c>
      <c r="K1972" s="8">
        <f t="shared" ref="K1972:K1978" si="69">(F1972*I1972)</f>
        <v>360</v>
      </c>
    </row>
    <row r="1973" spans="1:11" hidden="1">
      <c r="A1973" s="268"/>
      <c r="F1973" s="188">
        <v>1</v>
      </c>
      <c r="G1973" s="187" t="s">
        <v>739</v>
      </c>
      <c r="H1973" s="181" t="s">
        <v>638</v>
      </c>
      <c r="I1973" s="8">
        <f>C601</f>
        <v>65</v>
      </c>
      <c r="J1973" s="2" t="s">
        <v>1658</v>
      </c>
      <c r="K1973" s="8">
        <f t="shared" si="69"/>
        <v>65</v>
      </c>
    </row>
    <row r="1974" spans="1:11" hidden="1">
      <c r="A1974" s="268"/>
      <c r="F1974" s="188">
        <v>1</v>
      </c>
      <c r="G1974" s="187" t="s">
        <v>739</v>
      </c>
      <c r="H1974" s="181" t="s">
        <v>639</v>
      </c>
      <c r="I1974" s="8">
        <f>C626</f>
        <v>12</v>
      </c>
      <c r="J1974" s="2" t="s">
        <v>1658</v>
      </c>
      <c r="K1974" s="8">
        <f t="shared" si="69"/>
        <v>12</v>
      </c>
    </row>
    <row r="1975" spans="1:11" hidden="1">
      <c r="A1975" s="268"/>
      <c r="F1975" s="188">
        <v>1</v>
      </c>
      <c r="G1975" s="187" t="s">
        <v>739</v>
      </c>
      <c r="H1975" s="181" t="s">
        <v>1465</v>
      </c>
      <c r="I1975" s="8">
        <f>C623</f>
        <v>110</v>
      </c>
      <c r="J1975" s="2" t="s">
        <v>1658</v>
      </c>
      <c r="K1975" s="8">
        <f t="shared" si="69"/>
        <v>110</v>
      </c>
    </row>
    <row r="1976" spans="1:11" hidden="1">
      <c r="A1976" s="268"/>
      <c r="F1976" s="188">
        <v>0.5</v>
      </c>
      <c r="G1976" s="187" t="s">
        <v>835</v>
      </c>
      <c r="H1976" s="181" t="s">
        <v>2024</v>
      </c>
      <c r="I1976" s="8">
        <f>(C15)</f>
        <v>130</v>
      </c>
      <c r="J1976" s="2" t="s">
        <v>1658</v>
      </c>
      <c r="K1976" s="8">
        <f t="shared" si="69"/>
        <v>65</v>
      </c>
    </row>
    <row r="1977" spans="1:11" hidden="1">
      <c r="A1977" s="268"/>
      <c r="F1977" s="188">
        <v>0.5</v>
      </c>
      <c r="G1977" s="187" t="s">
        <v>835</v>
      </c>
      <c r="H1977" s="181" t="s">
        <v>1654</v>
      </c>
      <c r="I1977" s="8">
        <f>(C11)</f>
        <v>135</v>
      </c>
      <c r="J1977" s="2" t="s">
        <v>1658</v>
      </c>
      <c r="K1977" s="8">
        <f t="shared" si="69"/>
        <v>67.5</v>
      </c>
    </row>
    <row r="1978" spans="1:11" hidden="1">
      <c r="A1978" s="268"/>
      <c r="F1978" s="188">
        <v>0.5</v>
      </c>
      <c r="G1978" s="187" t="s">
        <v>835</v>
      </c>
      <c r="H1978" s="181" t="s">
        <v>1836</v>
      </c>
      <c r="I1978" s="8">
        <f>(C12)</f>
        <v>95</v>
      </c>
      <c r="J1978" s="2" t="s">
        <v>1658</v>
      </c>
      <c r="K1978" s="8">
        <f t="shared" si="69"/>
        <v>47.5</v>
      </c>
    </row>
    <row r="1979" spans="1:11" hidden="1">
      <c r="A1979" s="268"/>
      <c r="G1979" s="187" t="s">
        <v>419</v>
      </c>
      <c r="H1979" s="181" t="s">
        <v>1466</v>
      </c>
      <c r="I1979" s="8">
        <v>2.79</v>
      </c>
      <c r="J1979" s="2" t="s">
        <v>419</v>
      </c>
      <c r="K1979" s="8">
        <v>2.79</v>
      </c>
    </row>
    <row r="1980" spans="1:11" hidden="1">
      <c r="A1980" s="268"/>
      <c r="H1980" s="181" t="s">
        <v>82</v>
      </c>
      <c r="I1980"/>
      <c r="J1980" s="4"/>
      <c r="K1980"/>
    </row>
    <row r="1981" spans="1:11" hidden="1">
      <c r="A1981" s="268"/>
      <c r="H1981" s="181" t="s">
        <v>184</v>
      </c>
      <c r="I1981"/>
      <c r="J1981" s="4"/>
      <c r="K1981"/>
    </row>
    <row r="1982" spans="1:11" hidden="1">
      <c r="A1982" s="268"/>
      <c r="H1982" s="181" t="s">
        <v>703</v>
      </c>
      <c r="I1982"/>
      <c r="J1982" s="2" t="s">
        <v>419</v>
      </c>
      <c r="K1982" s="8">
        <v>0</v>
      </c>
    </row>
    <row r="1983" spans="1:11" hidden="1">
      <c r="A1983" s="268"/>
      <c r="I1983"/>
      <c r="J1983" s="4"/>
      <c r="K1983" s="5" t="s">
        <v>1530</v>
      </c>
    </row>
    <row r="1984" spans="1:11" hidden="1">
      <c r="A1984" s="268"/>
      <c r="H1984" s="181" t="s">
        <v>1267</v>
      </c>
      <c r="I1984"/>
      <c r="J1984" s="4"/>
      <c r="K1984" s="8">
        <f>SUM(K1972:K1982)</f>
        <v>729.79</v>
      </c>
    </row>
    <row r="1985" spans="1:11" hidden="1">
      <c r="A1985" s="268"/>
      <c r="I1985"/>
      <c r="J1985" s="4"/>
      <c r="K1985" s="5" t="s">
        <v>1530</v>
      </c>
    </row>
    <row r="1986" spans="1:11" hidden="1">
      <c r="A1986" s="268"/>
      <c r="H1986" s="181" t="s">
        <v>1490</v>
      </c>
      <c r="I1986"/>
      <c r="J1986" s="4"/>
      <c r="K1986" s="8">
        <f>(K1984/3)</f>
        <v>243.26</v>
      </c>
    </row>
    <row r="1987" spans="1:11" hidden="1">
      <c r="A1987" s="268"/>
      <c r="I1987"/>
      <c r="J1987" s="4"/>
      <c r="K1987" s="5" t="s">
        <v>1530</v>
      </c>
    </row>
    <row r="1988" spans="1:11" hidden="1">
      <c r="A1988" s="268"/>
      <c r="F1988" s="236" t="s">
        <v>704</v>
      </c>
      <c r="G1988" s="187" t="s">
        <v>267</v>
      </c>
      <c r="H1988" s="181" t="s">
        <v>705</v>
      </c>
      <c r="I1988"/>
      <c r="J1988" s="4"/>
      <c r="K1988"/>
    </row>
    <row r="1989" spans="1:11" hidden="1">
      <c r="A1989" s="268"/>
      <c r="H1989" s="181" t="s">
        <v>3310</v>
      </c>
      <c r="I1989"/>
      <c r="J1989" s="4"/>
      <c r="K1989"/>
    </row>
    <row r="1990" spans="1:11" hidden="1">
      <c r="A1990" s="268"/>
      <c r="H1990" s="181" t="s">
        <v>911</v>
      </c>
      <c r="I1990"/>
      <c r="J1990" s="4"/>
      <c r="K1990"/>
    </row>
    <row r="1991" spans="1:11" hidden="1">
      <c r="A1991" s="268"/>
      <c r="H1991" s="181" t="s">
        <v>706</v>
      </c>
      <c r="I1991"/>
      <c r="J1991" s="4"/>
      <c r="K1991"/>
    </row>
    <row r="1992" spans="1:11" hidden="1">
      <c r="A1992" s="268"/>
      <c r="H1992" s="181" t="s">
        <v>507</v>
      </c>
      <c r="I1992"/>
      <c r="J1992" s="4"/>
      <c r="K1992"/>
    </row>
    <row r="1993" spans="1:11" hidden="1">
      <c r="A1993" s="268"/>
      <c r="H1993" s="181" t="s">
        <v>2026</v>
      </c>
      <c r="I1993"/>
      <c r="J1993" s="4"/>
      <c r="K1993"/>
    </row>
    <row r="1994" spans="1:11" hidden="1">
      <c r="A1994" s="268"/>
      <c r="H1994" s="181" t="s">
        <v>2566</v>
      </c>
      <c r="I1994"/>
      <c r="J1994" s="4"/>
      <c r="K1994"/>
    </row>
    <row r="1995" spans="1:11" hidden="1">
      <c r="A1995" s="268"/>
      <c r="H1995" s="185" t="s">
        <v>1530</v>
      </c>
      <c r="I1995"/>
      <c r="J1995" s="4"/>
      <c r="K1995"/>
    </row>
    <row r="1996" spans="1:11" hidden="1">
      <c r="A1996" s="268"/>
      <c r="F1996" s="188">
        <v>3</v>
      </c>
      <c r="G1996" s="187" t="s">
        <v>1714</v>
      </c>
      <c r="H1996" s="181" t="s">
        <v>969</v>
      </c>
      <c r="I1996" s="8">
        <f>(C599)</f>
        <v>80</v>
      </c>
      <c r="J1996" s="2" t="s">
        <v>1714</v>
      </c>
      <c r="K1996" s="8">
        <f t="shared" ref="K1996:K2002" si="70">(F1996*I1996)</f>
        <v>240</v>
      </c>
    </row>
    <row r="1997" spans="1:11" hidden="1">
      <c r="A1997" s="268"/>
      <c r="F1997" s="188">
        <v>1</v>
      </c>
      <c r="G1997" s="187" t="s">
        <v>739</v>
      </c>
      <c r="H1997" s="181" t="s">
        <v>970</v>
      </c>
      <c r="I1997" s="8">
        <f>C602</f>
        <v>40</v>
      </c>
      <c r="J1997" s="4" t="s">
        <v>739</v>
      </c>
      <c r="K1997" s="8">
        <f t="shared" si="70"/>
        <v>40</v>
      </c>
    </row>
    <row r="1998" spans="1:11" hidden="1">
      <c r="A1998" s="268"/>
      <c r="F1998" s="188">
        <v>1</v>
      </c>
      <c r="G1998" s="187" t="s">
        <v>739</v>
      </c>
      <c r="H1998" s="181" t="s">
        <v>971</v>
      </c>
      <c r="I1998" s="8">
        <f>C627</f>
        <v>7.5</v>
      </c>
      <c r="J1998" s="4" t="s">
        <v>739</v>
      </c>
      <c r="K1998" s="8">
        <f t="shared" si="70"/>
        <v>7.5</v>
      </c>
    </row>
    <row r="1999" spans="1:11" hidden="1">
      <c r="A1999" s="268"/>
      <c r="F1999" s="188">
        <v>1</v>
      </c>
      <c r="G1999" s="187" t="s">
        <v>739</v>
      </c>
      <c r="H1999" s="181" t="s">
        <v>83</v>
      </c>
      <c r="I1999" s="8">
        <f>C624</f>
        <v>70</v>
      </c>
      <c r="J1999" s="4" t="s">
        <v>739</v>
      </c>
      <c r="K1999" s="8">
        <f t="shared" si="70"/>
        <v>70</v>
      </c>
    </row>
    <row r="2000" spans="1:11" hidden="1">
      <c r="A2000" s="268"/>
      <c r="F2000" s="188">
        <v>0.5</v>
      </c>
      <c r="G2000" s="187" t="s">
        <v>835</v>
      </c>
      <c r="H2000" s="181" t="s">
        <v>2024</v>
      </c>
      <c r="I2000" s="8">
        <f>(C15)</f>
        <v>130</v>
      </c>
      <c r="J2000" s="2" t="s">
        <v>835</v>
      </c>
      <c r="K2000" s="8">
        <f t="shared" si="70"/>
        <v>65</v>
      </c>
    </row>
    <row r="2001" spans="1:11" hidden="1">
      <c r="A2001" s="268"/>
      <c r="F2001" s="188">
        <v>0.5</v>
      </c>
      <c r="G2001" s="187" t="s">
        <v>835</v>
      </c>
      <c r="H2001" s="181" t="s">
        <v>1654</v>
      </c>
      <c r="I2001" s="8">
        <f>(C11)</f>
        <v>135</v>
      </c>
      <c r="J2001" s="2" t="s">
        <v>835</v>
      </c>
      <c r="K2001" s="8">
        <f t="shared" si="70"/>
        <v>67.5</v>
      </c>
    </row>
    <row r="2002" spans="1:11" hidden="1">
      <c r="A2002" s="268"/>
      <c r="F2002" s="188">
        <v>0.5</v>
      </c>
      <c r="G2002" s="187" t="s">
        <v>835</v>
      </c>
      <c r="H2002" s="181" t="s">
        <v>1836</v>
      </c>
      <c r="I2002" s="8">
        <f>(C12)</f>
        <v>95</v>
      </c>
      <c r="J2002" s="2" t="s">
        <v>835</v>
      </c>
      <c r="K2002" s="8">
        <f t="shared" si="70"/>
        <v>47.5</v>
      </c>
    </row>
    <row r="2003" spans="1:11" hidden="1">
      <c r="A2003" s="268"/>
      <c r="G2003" s="187" t="s">
        <v>419</v>
      </c>
      <c r="H2003" s="181" t="s">
        <v>1466</v>
      </c>
      <c r="I2003" s="1" t="s">
        <v>940</v>
      </c>
      <c r="J2003" s="2" t="s">
        <v>419</v>
      </c>
      <c r="K2003" s="8">
        <v>2.73</v>
      </c>
    </row>
    <row r="2004" spans="1:11" hidden="1">
      <c r="A2004" s="268"/>
      <c r="H2004" s="181" t="s">
        <v>82</v>
      </c>
      <c r="I2004"/>
      <c r="J2004" s="4"/>
      <c r="K2004"/>
    </row>
    <row r="2005" spans="1:11" hidden="1">
      <c r="A2005" s="268"/>
      <c r="H2005" s="181" t="s">
        <v>184</v>
      </c>
      <c r="I2005"/>
      <c r="J2005" s="4"/>
      <c r="K2005"/>
    </row>
    <row r="2006" spans="1:11" hidden="1">
      <c r="A2006" s="268"/>
      <c r="H2006" s="181" t="s">
        <v>703</v>
      </c>
      <c r="I2006"/>
      <c r="J2006" s="2" t="s">
        <v>419</v>
      </c>
      <c r="K2006" s="8">
        <v>0</v>
      </c>
    </row>
    <row r="2007" spans="1:11" hidden="1">
      <c r="A2007" s="268"/>
      <c r="I2007"/>
      <c r="J2007" s="4"/>
      <c r="K2007" s="5" t="s">
        <v>1530</v>
      </c>
    </row>
    <row r="2008" spans="1:11" hidden="1">
      <c r="A2008" s="268"/>
      <c r="H2008" s="181" t="s">
        <v>1267</v>
      </c>
      <c r="I2008"/>
      <c r="J2008" s="4"/>
      <c r="K2008" s="8">
        <f>SUM(K1996:K2006)</f>
        <v>540.23</v>
      </c>
    </row>
    <row r="2009" spans="1:11" hidden="1">
      <c r="A2009" s="268"/>
      <c r="I2009"/>
      <c r="J2009" s="4"/>
      <c r="K2009" s="5" t="s">
        <v>1530</v>
      </c>
    </row>
    <row r="2010" spans="1:11" hidden="1">
      <c r="A2010" s="268"/>
      <c r="H2010" s="181" t="s">
        <v>1490</v>
      </c>
      <c r="I2010"/>
      <c r="J2010" s="4"/>
      <c r="K2010" s="8">
        <f>(K2008/3)</f>
        <v>180.08</v>
      </c>
    </row>
    <row r="2011" spans="1:11" hidden="1">
      <c r="A2011" s="268"/>
      <c r="I2011"/>
      <c r="J2011" s="4"/>
      <c r="K2011" s="5" t="s">
        <v>1530</v>
      </c>
    </row>
    <row r="2012" spans="1:11" hidden="1">
      <c r="A2012" s="268"/>
      <c r="F2012" s="236" t="s">
        <v>84</v>
      </c>
      <c r="H2012" s="181" t="s">
        <v>199</v>
      </c>
      <c r="I2012"/>
      <c r="J2012" s="4"/>
      <c r="K2012"/>
    </row>
    <row r="2013" spans="1:11" hidden="1">
      <c r="A2013" s="268"/>
      <c r="H2013" s="181" t="s">
        <v>1755</v>
      </c>
      <c r="I2013"/>
      <c r="J2013" s="4"/>
      <c r="K2013"/>
    </row>
    <row r="2014" spans="1:11" hidden="1">
      <c r="A2014" s="268"/>
      <c r="F2014" s="181" t="s">
        <v>940</v>
      </c>
      <c r="H2014" s="181" t="s">
        <v>2113</v>
      </c>
      <c r="I2014"/>
      <c r="J2014" s="4"/>
      <c r="K2014"/>
    </row>
    <row r="2015" spans="1:11" hidden="1">
      <c r="A2015" s="268"/>
      <c r="H2015" s="185" t="s">
        <v>1530</v>
      </c>
      <c r="I2015"/>
      <c r="J2015" s="4"/>
      <c r="K2015"/>
    </row>
    <row r="2016" spans="1:11" hidden="1">
      <c r="A2016" s="268"/>
      <c r="F2016" s="188">
        <v>3</v>
      </c>
      <c r="G2016" s="187" t="s">
        <v>2114</v>
      </c>
      <c r="H2016" s="181" t="s">
        <v>2115</v>
      </c>
      <c r="I2016" s="8">
        <v>108</v>
      </c>
      <c r="J2016" s="2" t="s">
        <v>2114</v>
      </c>
      <c r="K2016" s="8">
        <f>(F2016*I2016)</f>
        <v>324</v>
      </c>
    </row>
    <row r="2017" spans="1:11" hidden="1">
      <c r="A2017" s="268"/>
      <c r="F2017" s="188">
        <v>1</v>
      </c>
      <c r="G2017" s="187" t="s">
        <v>1703</v>
      </c>
      <c r="H2017" s="181" t="s">
        <v>2116</v>
      </c>
      <c r="I2017" s="8">
        <v>12</v>
      </c>
      <c r="J2017" s="2" t="s">
        <v>1703</v>
      </c>
      <c r="K2017" s="8">
        <f>(F2017*I2017)</f>
        <v>12</v>
      </c>
    </row>
    <row r="2018" spans="1:11" hidden="1">
      <c r="A2018" s="268"/>
      <c r="F2018" s="188">
        <v>1</v>
      </c>
      <c r="G2018" s="187" t="s">
        <v>1703</v>
      </c>
      <c r="H2018" s="181" t="s">
        <v>2117</v>
      </c>
      <c r="I2018" s="8">
        <v>8</v>
      </c>
      <c r="J2018" s="2" t="s">
        <v>1703</v>
      </c>
      <c r="K2018" s="8">
        <f>(F2018*I2018)</f>
        <v>8</v>
      </c>
    </row>
    <row r="2019" spans="1:11" hidden="1">
      <c r="A2019" s="268"/>
      <c r="F2019" s="236" t="s">
        <v>702</v>
      </c>
      <c r="H2019" s="181" t="s">
        <v>2118</v>
      </c>
      <c r="I2019" s="2" t="s">
        <v>702</v>
      </c>
      <c r="J2019" s="4"/>
      <c r="K2019" s="8">
        <v>1.21</v>
      </c>
    </row>
    <row r="2020" spans="1:11" hidden="1">
      <c r="A2020" s="268"/>
      <c r="I2020"/>
      <c r="J2020" s="4"/>
      <c r="K2020" s="5" t="s">
        <v>1530</v>
      </c>
    </row>
    <row r="2021" spans="1:11" hidden="1">
      <c r="A2021" s="268"/>
      <c r="H2021" s="181" t="s">
        <v>367</v>
      </c>
      <c r="I2021"/>
      <c r="J2021" s="4"/>
      <c r="K2021" s="8">
        <f>SUM(K2016:K2019)</f>
        <v>345.21</v>
      </c>
    </row>
    <row r="2022" spans="1:11" hidden="1">
      <c r="A2022" s="268"/>
      <c r="I2022"/>
      <c r="J2022" s="4"/>
      <c r="K2022" s="5" t="s">
        <v>1530</v>
      </c>
    </row>
    <row r="2023" spans="1:11" hidden="1">
      <c r="A2023" s="268"/>
      <c r="I2023"/>
      <c r="J2023" s="4"/>
      <c r="K2023"/>
    </row>
    <row r="2024" spans="1:11" hidden="1">
      <c r="A2024" s="268"/>
      <c r="F2024" s="236" t="s">
        <v>368</v>
      </c>
      <c r="G2024" s="187" t="s">
        <v>2167</v>
      </c>
      <c r="H2024" s="181" t="s">
        <v>1093</v>
      </c>
      <c r="I2024"/>
      <c r="J2024" s="4"/>
      <c r="K2024"/>
    </row>
    <row r="2025" spans="1:11" hidden="1">
      <c r="A2025" s="268"/>
      <c r="H2025" s="181" t="s">
        <v>276</v>
      </c>
      <c r="I2025"/>
      <c r="J2025" s="4"/>
      <c r="K2025"/>
    </row>
    <row r="2026" spans="1:11" hidden="1">
      <c r="A2026" s="268"/>
      <c r="H2026" s="185" t="s">
        <v>1530</v>
      </c>
      <c r="I2026"/>
      <c r="J2026" s="4"/>
      <c r="K2026"/>
    </row>
    <row r="2027" spans="1:11" hidden="1">
      <c r="A2027" s="268"/>
      <c r="F2027" s="188">
        <v>1</v>
      </c>
      <c r="G2027" s="187" t="s">
        <v>835</v>
      </c>
      <c r="H2027" s="181" t="s">
        <v>276</v>
      </c>
      <c r="I2027" s="8">
        <f>(C265)</f>
        <v>115</v>
      </c>
      <c r="J2027" s="2" t="s">
        <v>835</v>
      </c>
      <c r="K2027" s="8">
        <f>(F2027*I2027)</f>
        <v>115</v>
      </c>
    </row>
    <row r="2028" spans="1:11" hidden="1">
      <c r="A2028" s="268"/>
      <c r="F2028" s="188">
        <v>0.05</v>
      </c>
      <c r="G2028" s="187" t="s">
        <v>836</v>
      </c>
      <c r="H2028" s="181" t="s">
        <v>1136</v>
      </c>
      <c r="I2028" s="8" t="e">
        <f>(R60)</f>
        <v>#REF!</v>
      </c>
      <c r="J2028" s="2" t="s">
        <v>836</v>
      </c>
      <c r="K2028" s="8" t="e">
        <f>(F2028*I2028)</f>
        <v>#REF!</v>
      </c>
    </row>
    <row r="2029" spans="1:11" hidden="1">
      <c r="A2029" s="268"/>
      <c r="F2029" s="188">
        <v>0.5</v>
      </c>
      <c r="G2029" s="187" t="s">
        <v>835</v>
      </c>
      <c r="H2029" s="181" t="s">
        <v>2024</v>
      </c>
      <c r="I2029" s="8">
        <f>(C15)</f>
        <v>130</v>
      </c>
      <c r="J2029" s="2" t="s">
        <v>835</v>
      </c>
      <c r="K2029" s="8">
        <f>(F2029*I2029)</f>
        <v>65</v>
      </c>
    </row>
    <row r="2030" spans="1:11" hidden="1">
      <c r="A2030" s="268"/>
      <c r="F2030" s="188">
        <v>1</v>
      </c>
      <c r="G2030" s="187" t="s">
        <v>835</v>
      </c>
      <c r="H2030" s="181" t="s">
        <v>1836</v>
      </c>
      <c r="I2030" s="8">
        <f>(C12)</f>
        <v>95</v>
      </c>
      <c r="J2030" s="2" t="s">
        <v>835</v>
      </c>
      <c r="K2030" s="8">
        <f>(F2030*I2030)</f>
        <v>95</v>
      </c>
    </row>
    <row r="2031" spans="1:11" hidden="1">
      <c r="A2031" s="268"/>
      <c r="F2031" s="188">
        <v>1</v>
      </c>
      <c r="G2031" s="187" t="s">
        <v>835</v>
      </c>
      <c r="H2031" s="181" t="s">
        <v>299</v>
      </c>
      <c r="I2031" s="8">
        <f>(C13)</f>
        <v>85</v>
      </c>
      <c r="J2031" s="2" t="s">
        <v>835</v>
      </c>
      <c r="K2031" s="8">
        <f>(F2031*I2031)</f>
        <v>85</v>
      </c>
    </row>
    <row r="2032" spans="1:11" hidden="1">
      <c r="A2032" s="268"/>
      <c r="G2032" s="187" t="s">
        <v>419</v>
      </c>
      <c r="H2032" s="181" t="s">
        <v>420</v>
      </c>
      <c r="I2032" s="1" t="s">
        <v>940</v>
      </c>
      <c r="J2032" s="2" t="s">
        <v>419</v>
      </c>
      <c r="K2032" s="8">
        <v>0</v>
      </c>
    </row>
    <row r="2033" spans="1:11" hidden="1">
      <c r="A2033" s="268"/>
      <c r="H2033" s="181" t="s">
        <v>940</v>
      </c>
      <c r="I2033"/>
      <c r="J2033" s="4"/>
      <c r="K2033" s="5" t="s">
        <v>1530</v>
      </c>
    </row>
    <row r="2034" spans="1:11" hidden="1">
      <c r="A2034" s="268"/>
      <c r="H2034" s="181" t="s">
        <v>1694</v>
      </c>
      <c r="I2034"/>
      <c r="J2034" s="4"/>
      <c r="K2034" s="8" t="e">
        <f>SUM(K2027:K2032)</f>
        <v>#REF!</v>
      </c>
    </row>
    <row r="2035" spans="1:11" hidden="1">
      <c r="A2035" s="268"/>
      <c r="I2035"/>
      <c r="J2035" s="4"/>
      <c r="K2035" s="5" t="s">
        <v>1980</v>
      </c>
    </row>
    <row r="2036" spans="1:11" hidden="1">
      <c r="A2036" s="268"/>
      <c r="F2036" s="236" t="s">
        <v>1137</v>
      </c>
      <c r="G2036" s="187" t="s">
        <v>2167</v>
      </c>
      <c r="H2036" s="181" t="s">
        <v>2142</v>
      </c>
      <c r="I2036"/>
      <c r="J2036" s="4"/>
      <c r="K2036"/>
    </row>
    <row r="2037" spans="1:11" hidden="1">
      <c r="A2037" s="268"/>
      <c r="H2037" s="181" t="s">
        <v>2293</v>
      </c>
      <c r="I2037"/>
      <c r="J2037" s="4"/>
      <c r="K2037"/>
    </row>
    <row r="2038" spans="1:11" hidden="1">
      <c r="A2038" s="268"/>
      <c r="H2038" s="185" t="s">
        <v>1530</v>
      </c>
      <c r="I2038"/>
      <c r="J2038" s="4"/>
      <c r="K2038"/>
    </row>
    <row r="2039" spans="1:11" hidden="1">
      <c r="A2039" s="268"/>
      <c r="F2039" s="188">
        <v>1</v>
      </c>
      <c r="G2039" s="187" t="s">
        <v>835</v>
      </c>
      <c r="H2039" s="181" t="s">
        <v>2143</v>
      </c>
      <c r="I2039" s="8">
        <f>(D266)</f>
        <v>90</v>
      </c>
      <c r="J2039" s="2" t="s">
        <v>835</v>
      </c>
      <c r="K2039" s="8">
        <f>(F2039*I2039)</f>
        <v>90</v>
      </c>
    </row>
    <row r="2040" spans="1:11" hidden="1">
      <c r="A2040" s="268"/>
      <c r="G2040" s="187" t="s">
        <v>419</v>
      </c>
      <c r="H2040" s="181" t="s">
        <v>1632</v>
      </c>
      <c r="I2040"/>
      <c r="J2040" s="2" t="s">
        <v>419</v>
      </c>
      <c r="K2040" s="8">
        <v>4</v>
      </c>
    </row>
    <row r="2041" spans="1:11" hidden="1">
      <c r="A2041" s="268"/>
      <c r="I2041"/>
      <c r="J2041" s="2" t="s">
        <v>940</v>
      </c>
      <c r="K2041" s="5" t="s">
        <v>1530</v>
      </c>
    </row>
    <row r="2042" spans="1:11" hidden="1">
      <c r="A2042" s="268"/>
      <c r="H2042" s="181" t="s">
        <v>1694</v>
      </c>
      <c r="I2042"/>
      <c r="J2042" s="4"/>
      <c r="K2042" s="8">
        <f>SUM(K2039:K2041)</f>
        <v>94</v>
      </c>
    </row>
    <row r="2043" spans="1:11" hidden="1">
      <c r="A2043" s="268"/>
      <c r="I2043"/>
      <c r="J2043" s="4"/>
      <c r="K2043" s="5" t="s">
        <v>1530</v>
      </c>
    </row>
    <row r="2044" spans="1:11" hidden="1">
      <c r="A2044" s="268"/>
      <c r="F2044" s="236" t="s">
        <v>1633</v>
      </c>
      <c r="G2044" s="187" t="s">
        <v>2167</v>
      </c>
      <c r="H2044" s="181" t="s">
        <v>50</v>
      </c>
      <c r="I2044"/>
      <c r="J2044" s="4"/>
      <c r="K2044"/>
    </row>
    <row r="2045" spans="1:11" hidden="1">
      <c r="A2045" s="268"/>
      <c r="H2045" s="181" t="s">
        <v>51</v>
      </c>
      <c r="I2045"/>
      <c r="J2045" s="4"/>
      <c r="K2045"/>
    </row>
    <row r="2046" spans="1:11" hidden="1">
      <c r="A2046" s="268"/>
      <c r="H2046" s="185" t="s">
        <v>1530</v>
      </c>
      <c r="I2046"/>
      <c r="J2046" s="4"/>
      <c r="K2046"/>
    </row>
    <row r="2047" spans="1:11" hidden="1">
      <c r="A2047" s="268"/>
      <c r="F2047" s="188">
        <v>50</v>
      </c>
      <c r="G2047" s="187" t="s">
        <v>835</v>
      </c>
      <c r="H2047" s="181" t="s">
        <v>760</v>
      </c>
      <c r="I2047" s="8">
        <f>(C203)</f>
        <v>40</v>
      </c>
      <c r="J2047" s="2" t="s">
        <v>835</v>
      </c>
      <c r="K2047" s="8">
        <f t="shared" ref="K2047:K2056" si="71">(F2047*I2047)</f>
        <v>2000</v>
      </c>
    </row>
    <row r="2048" spans="1:11" hidden="1">
      <c r="A2048" s="268"/>
      <c r="F2048" s="188">
        <v>21.6</v>
      </c>
      <c r="G2048" s="187" t="s">
        <v>836</v>
      </c>
      <c r="H2048" s="181" t="s">
        <v>761</v>
      </c>
      <c r="I2048" s="8">
        <f>(C61*2)</f>
        <v>50</v>
      </c>
      <c r="J2048" s="2" t="s">
        <v>836</v>
      </c>
      <c r="K2048" s="8">
        <f t="shared" si="71"/>
        <v>1080</v>
      </c>
    </row>
    <row r="2049" spans="1:11" hidden="1">
      <c r="A2049" s="268"/>
      <c r="F2049" s="188">
        <v>21.6</v>
      </c>
      <c r="G2049" s="187" t="s">
        <v>836</v>
      </c>
      <c r="H2049" s="181" t="s">
        <v>236</v>
      </c>
      <c r="I2049" s="8">
        <f>(C26)</f>
        <v>8.8000000000000007</v>
      </c>
      <c r="J2049" s="2" t="s">
        <v>836</v>
      </c>
      <c r="K2049" s="8">
        <f t="shared" si="71"/>
        <v>190.08</v>
      </c>
    </row>
    <row r="2050" spans="1:11" hidden="1">
      <c r="A2050" s="268"/>
      <c r="F2050" s="188">
        <v>45</v>
      </c>
      <c r="G2050" s="187" t="s">
        <v>1591</v>
      </c>
      <c r="H2050" s="181" t="s">
        <v>829</v>
      </c>
      <c r="I2050" s="8">
        <f>(C67/1000)</f>
        <v>3.8</v>
      </c>
      <c r="J2050" s="2" t="s">
        <v>1591</v>
      </c>
      <c r="K2050" s="8">
        <f t="shared" si="71"/>
        <v>171</v>
      </c>
    </row>
    <row r="2051" spans="1:11" hidden="1">
      <c r="A2051" s="268"/>
      <c r="F2051" s="188">
        <v>0.04</v>
      </c>
      <c r="G2051" s="187" t="s">
        <v>836</v>
      </c>
      <c r="H2051" s="181" t="s">
        <v>837</v>
      </c>
      <c r="I2051" s="8" t="e">
        <f>(C78)</f>
        <v>#REF!</v>
      </c>
      <c r="J2051" s="2" t="s">
        <v>836</v>
      </c>
      <c r="K2051" s="8" t="e">
        <f t="shared" si="71"/>
        <v>#REF!</v>
      </c>
    </row>
    <row r="2052" spans="1:11" hidden="1">
      <c r="A2052" s="268"/>
      <c r="F2052" s="188">
        <v>3.63</v>
      </c>
      <c r="G2052" s="187" t="s">
        <v>1591</v>
      </c>
      <c r="H2052" s="181" t="s">
        <v>762</v>
      </c>
      <c r="I2052" s="8">
        <f>(C585)</f>
        <v>7</v>
      </c>
      <c r="J2052" s="2" t="s">
        <v>1591</v>
      </c>
      <c r="K2052" s="8">
        <f t="shared" si="71"/>
        <v>25.41</v>
      </c>
    </row>
    <row r="2053" spans="1:11" hidden="1">
      <c r="A2053" s="268"/>
      <c r="F2053" s="188">
        <v>2</v>
      </c>
      <c r="G2053" s="187" t="s">
        <v>835</v>
      </c>
      <c r="H2053" s="181" t="s">
        <v>1938</v>
      </c>
      <c r="I2053" s="8">
        <f>(C10)</f>
        <v>150</v>
      </c>
      <c r="J2053" s="2" t="s">
        <v>835</v>
      </c>
      <c r="K2053" s="8">
        <f t="shared" si="71"/>
        <v>300</v>
      </c>
    </row>
    <row r="2054" spans="1:11" hidden="1">
      <c r="A2054" s="268"/>
      <c r="F2054" s="188">
        <v>1</v>
      </c>
      <c r="G2054" s="187" t="s">
        <v>835</v>
      </c>
      <c r="H2054" s="181" t="s">
        <v>763</v>
      </c>
      <c r="I2054" s="8">
        <f>AE37</f>
        <v>120</v>
      </c>
      <c r="J2054" s="2" t="s">
        <v>835</v>
      </c>
      <c r="K2054" s="8">
        <f t="shared" si="71"/>
        <v>120</v>
      </c>
    </row>
    <row r="2055" spans="1:11" hidden="1">
      <c r="A2055" s="268"/>
      <c r="F2055" s="188">
        <v>5</v>
      </c>
      <c r="G2055" s="187" t="s">
        <v>835</v>
      </c>
      <c r="H2055" s="181" t="s">
        <v>1836</v>
      </c>
      <c r="I2055" s="8">
        <f>(C12)</f>
        <v>95</v>
      </c>
      <c r="J2055" s="2" t="s">
        <v>835</v>
      </c>
      <c r="K2055" s="8">
        <f t="shared" si="71"/>
        <v>475</v>
      </c>
    </row>
    <row r="2056" spans="1:11" hidden="1">
      <c r="A2056" s="268"/>
      <c r="F2056" s="188">
        <v>2</v>
      </c>
      <c r="G2056" s="187" t="s">
        <v>835</v>
      </c>
      <c r="H2056" s="181" t="s">
        <v>299</v>
      </c>
      <c r="I2056" s="8">
        <f>(C13)</f>
        <v>85</v>
      </c>
      <c r="J2056" s="2" t="s">
        <v>835</v>
      </c>
      <c r="K2056" s="8">
        <f t="shared" si="71"/>
        <v>170</v>
      </c>
    </row>
    <row r="2057" spans="1:11" hidden="1">
      <c r="A2057" s="268"/>
      <c r="G2057" s="187" t="s">
        <v>419</v>
      </c>
      <c r="H2057" s="181" t="s">
        <v>2055</v>
      </c>
      <c r="I2057"/>
      <c r="J2057" s="2" t="s">
        <v>419</v>
      </c>
      <c r="K2057" s="8">
        <f>SUM(K2053:K2056)/10</f>
        <v>106.5</v>
      </c>
    </row>
    <row r="2058" spans="1:11" hidden="1">
      <c r="A2058" s="268"/>
      <c r="I2058"/>
      <c r="J2058" s="4"/>
      <c r="K2058" s="5" t="s">
        <v>1530</v>
      </c>
    </row>
    <row r="2059" spans="1:11" hidden="1">
      <c r="A2059" s="268"/>
      <c r="H2059" s="181" t="s">
        <v>2056</v>
      </c>
      <c r="I2059"/>
      <c r="J2059" s="4"/>
      <c r="K2059" s="8" t="e">
        <f>SUM(K2047:K2057)</f>
        <v>#REF!</v>
      </c>
    </row>
    <row r="2060" spans="1:11" hidden="1">
      <c r="A2060" s="268"/>
      <c r="I2060"/>
      <c r="J2060" s="4"/>
      <c r="K2060" s="5" t="s">
        <v>1530</v>
      </c>
    </row>
    <row r="2061" spans="1:11" hidden="1">
      <c r="A2061" s="268"/>
      <c r="H2061" s="181" t="s">
        <v>1083</v>
      </c>
      <c r="I2061"/>
      <c r="J2061" s="4"/>
      <c r="K2061" s="8" t="e">
        <f>(K2059/30)</f>
        <v>#REF!</v>
      </c>
    </row>
    <row r="2062" spans="1:11" hidden="1">
      <c r="A2062" s="268"/>
      <c r="I2062"/>
      <c r="J2062" s="4"/>
      <c r="K2062" s="5" t="s">
        <v>1980</v>
      </c>
    </row>
    <row r="2063" spans="1:11" hidden="1">
      <c r="A2063" s="268"/>
      <c r="I2063"/>
      <c r="J2063" s="4"/>
      <c r="K2063"/>
    </row>
    <row r="2064" spans="1:11" hidden="1">
      <c r="A2064" s="268"/>
      <c r="F2064" s="236" t="s">
        <v>1084</v>
      </c>
      <c r="G2064" s="187" t="s">
        <v>2167</v>
      </c>
      <c r="H2064" s="181" t="s">
        <v>985</v>
      </c>
      <c r="I2064"/>
      <c r="J2064" s="4"/>
      <c r="K2064"/>
    </row>
    <row r="2065" spans="1:11" hidden="1">
      <c r="A2065" s="268"/>
      <c r="H2065" s="181" t="s">
        <v>51</v>
      </c>
      <c r="I2065"/>
      <c r="J2065" s="4"/>
      <c r="K2065"/>
    </row>
    <row r="2066" spans="1:11" hidden="1">
      <c r="A2066" s="268"/>
      <c r="H2066" s="185" t="s">
        <v>1530</v>
      </c>
      <c r="I2066"/>
      <c r="J2066" s="4"/>
      <c r="K2066"/>
    </row>
    <row r="2067" spans="1:11" hidden="1">
      <c r="A2067" s="268"/>
      <c r="F2067" s="188">
        <v>50</v>
      </c>
      <c r="G2067" s="187" t="s">
        <v>835</v>
      </c>
      <c r="H2067" s="181" t="s">
        <v>537</v>
      </c>
      <c r="I2067" s="8">
        <f>C204</f>
        <v>65</v>
      </c>
      <c r="J2067" s="2" t="s">
        <v>835</v>
      </c>
      <c r="K2067" s="8">
        <f t="shared" ref="K2067:K2076" si="72">(F2067*I2067)</f>
        <v>3250</v>
      </c>
    </row>
    <row r="2068" spans="1:11" hidden="1">
      <c r="A2068" s="268"/>
      <c r="F2068" s="188">
        <v>21.6</v>
      </c>
      <c r="G2068" s="187" t="s">
        <v>836</v>
      </c>
      <c r="H2068" s="181" t="s">
        <v>761</v>
      </c>
      <c r="I2068" s="8">
        <f>(C61*2)</f>
        <v>50</v>
      </c>
      <c r="J2068" s="2" t="s">
        <v>836</v>
      </c>
      <c r="K2068" s="8">
        <f t="shared" si="72"/>
        <v>1080</v>
      </c>
    </row>
    <row r="2069" spans="1:11" hidden="1">
      <c r="A2069" s="268"/>
      <c r="F2069" s="188">
        <v>21.6</v>
      </c>
      <c r="G2069" s="187" t="s">
        <v>836</v>
      </c>
      <c r="H2069" s="181" t="s">
        <v>236</v>
      </c>
      <c r="I2069" s="8">
        <f>(C26)</f>
        <v>8.8000000000000007</v>
      </c>
      <c r="J2069" s="2" t="s">
        <v>836</v>
      </c>
      <c r="K2069" s="8">
        <f t="shared" si="72"/>
        <v>190.08</v>
      </c>
    </row>
    <row r="2070" spans="1:11" hidden="1">
      <c r="A2070" s="268"/>
      <c r="F2070" s="188">
        <v>68</v>
      </c>
      <c r="G2070" s="187" t="s">
        <v>1591</v>
      </c>
      <c r="H2070" s="181" t="s">
        <v>829</v>
      </c>
      <c r="I2070" s="8">
        <f>(C67/1000)</f>
        <v>3.8</v>
      </c>
      <c r="J2070" s="2" t="s">
        <v>1591</v>
      </c>
      <c r="K2070" s="8">
        <f t="shared" si="72"/>
        <v>258.39999999999998</v>
      </c>
    </row>
    <row r="2071" spans="1:11" hidden="1">
      <c r="A2071" s="268"/>
      <c r="F2071" s="188">
        <v>7.0000000000000007E-2</v>
      </c>
      <c r="G2071" s="187" t="s">
        <v>836</v>
      </c>
      <c r="H2071" s="181" t="s">
        <v>837</v>
      </c>
      <c r="I2071" s="8" t="e">
        <f>(C78)</f>
        <v>#REF!</v>
      </c>
      <c r="J2071" s="2" t="s">
        <v>836</v>
      </c>
      <c r="K2071" s="8" t="e">
        <f t="shared" si="72"/>
        <v>#REF!</v>
      </c>
    </row>
    <row r="2072" spans="1:11" hidden="1">
      <c r="A2072" s="268"/>
      <c r="F2072" s="188">
        <v>5.45</v>
      </c>
      <c r="G2072" s="187" t="s">
        <v>1591</v>
      </c>
      <c r="H2072" s="181" t="s">
        <v>762</v>
      </c>
      <c r="I2072" s="8">
        <f>(C585)</f>
        <v>7</v>
      </c>
      <c r="J2072" s="2" t="s">
        <v>1591</v>
      </c>
      <c r="K2072" s="8">
        <f t="shared" si="72"/>
        <v>38.15</v>
      </c>
    </row>
    <row r="2073" spans="1:11" hidden="1">
      <c r="A2073" s="268"/>
      <c r="F2073" s="188">
        <v>3</v>
      </c>
      <c r="G2073" s="187" t="s">
        <v>835</v>
      </c>
      <c r="H2073" s="181" t="s">
        <v>1938</v>
      </c>
      <c r="I2073" s="8">
        <f>(C10)</f>
        <v>150</v>
      </c>
      <c r="J2073" s="2" t="s">
        <v>835</v>
      </c>
      <c r="K2073" s="8">
        <f t="shared" si="72"/>
        <v>450</v>
      </c>
    </row>
    <row r="2074" spans="1:11" hidden="1">
      <c r="A2074" s="268"/>
      <c r="F2074" s="188">
        <v>2</v>
      </c>
      <c r="G2074" s="187" t="s">
        <v>835</v>
      </c>
      <c r="H2074" s="181" t="s">
        <v>763</v>
      </c>
      <c r="I2074" s="8">
        <f>AE37</f>
        <v>120</v>
      </c>
      <c r="J2074" s="2" t="s">
        <v>835</v>
      </c>
      <c r="K2074" s="8">
        <f t="shared" si="72"/>
        <v>240</v>
      </c>
    </row>
    <row r="2075" spans="1:11" hidden="1">
      <c r="A2075" s="268"/>
      <c r="F2075" s="188">
        <v>6</v>
      </c>
      <c r="G2075" s="187" t="s">
        <v>835</v>
      </c>
      <c r="H2075" s="181" t="s">
        <v>1836</v>
      </c>
      <c r="I2075" s="8">
        <f>(C12)</f>
        <v>95</v>
      </c>
      <c r="J2075" s="2" t="s">
        <v>835</v>
      </c>
      <c r="K2075" s="8">
        <f t="shared" si="72"/>
        <v>570</v>
      </c>
    </row>
    <row r="2076" spans="1:11" hidden="1">
      <c r="A2076" s="268"/>
      <c r="F2076" s="188">
        <v>3</v>
      </c>
      <c r="G2076" s="187" t="s">
        <v>835</v>
      </c>
      <c r="H2076" s="181" t="s">
        <v>299</v>
      </c>
      <c r="I2076" s="8">
        <f>(C13)</f>
        <v>85</v>
      </c>
      <c r="J2076" s="2" t="s">
        <v>835</v>
      </c>
      <c r="K2076" s="8">
        <f t="shared" si="72"/>
        <v>255</v>
      </c>
    </row>
    <row r="2077" spans="1:11" hidden="1">
      <c r="A2077" s="268"/>
      <c r="G2077" s="187" t="s">
        <v>419</v>
      </c>
      <c r="H2077" s="181" t="s">
        <v>2055</v>
      </c>
      <c r="I2077"/>
      <c r="J2077" s="2" t="s">
        <v>419</v>
      </c>
      <c r="K2077" s="8">
        <f>SUM(K2073:K2076)/10</f>
        <v>151.5</v>
      </c>
    </row>
    <row r="2078" spans="1:11" hidden="1">
      <c r="A2078" s="268"/>
      <c r="I2078"/>
      <c r="J2078" s="4"/>
      <c r="K2078" s="5" t="s">
        <v>1530</v>
      </c>
    </row>
    <row r="2079" spans="1:11" hidden="1">
      <c r="A2079" s="268"/>
      <c r="H2079" s="181" t="s">
        <v>2056</v>
      </c>
      <c r="I2079"/>
      <c r="J2079" s="4"/>
      <c r="K2079" s="8" t="e">
        <f>SUM(K2067:K2077)</f>
        <v>#REF!</v>
      </c>
    </row>
    <row r="2080" spans="1:11" hidden="1">
      <c r="A2080" s="268"/>
      <c r="I2080"/>
      <c r="J2080" s="4"/>
      <c r="K2080" s="5" t="s">
        <v>1530</v>
      </c>
    </row>
    <row r="2081" spans="1:11" hidden="1">
      <c r="A2081" s="268"/>
      <c r="H2081" s="181" t="s">
        <v>1083</v>
      </c>
      <c r="I2081"/>
      <c r="J2081" s="4"/>
      <c r="K2081" s="8" t="e">
        <f>(K2079/30)</f>
        <v>#REF!</v>
      </c>
    </row>
    <row r="2082" spans="1:11" hidden="1">
      <c r="A2082" s="268"/>
      <c r="I2082"/>
      <c r="J2082" s="4"/>
      <c r="K2082" s="5" t="s">
        <v>1980</v>
      </c>
    </row>
    <row r="2083" spans="1:11" hidden="1">
      <c r="A2083" s="268"/>
      <c r="F2083" s="236" t="s">
        <v>538</v>
      </c>
      <c r="G2083" s="187" t="s">
        <v>2167</v>
      </c>
      <c r="H2083" s="181" t="s">
        <v>50</v>
      </c>
      <c r="I2083"/>
      <c r="J2083" s="4"/>
      <c r="K2083"/>
    </row>
    <row r="2084" spans="1:11" hidden="1">
      <c r="A2084" s="268"/>
      <c r="H2084" s="181" t="s">
        <v>212</v>
      </c>
      <c r="I2084"/>
      <c r="J2084" s="4"/>
      <c r="K2084"/>
    </row>
    <row r="2085" spans="1:11" hidden="1">
      <c r="A2085" s="268"/>
      <c r="H2085" s="185" t="s">
        <v>1530</v>
      </c>
      <c r="I2085"/>
      <c r="J2085" s="4"/>
      <c r="K2085"/>
    </row>
    <row r="2086" spans="1:11" hidden="1">
      <c r="A2086" s="268"/>
      <c r="F2086" s="188">
        <v>50</v>
      </c>
      <c r="G2086" s="187" t="s">
        <v>835</v>
      </c>
      <c r="H2086" s="181" t="s">
        <v>213</v>
      </c>
      <c r="I2086" s="8">
        <f>C203</f>
        <v>40</v>
      </c>
      <c r="J2086" s="2" t="s">
        <v>835</v>
      </c>
      <c r="K2086" s="8">
        <f>(F2086*I2086)</f>
        <v>2000</v>
      </c>
    </row>
    <row r="2087" spans="1:11" hidden="1">
      <c r="A2087" s="268"/>
      <c r="F2087" s="188">
        <v>1</v>
      </c>
      <c r="G2087" s="187" t="s">
        <v>835</v>
      </c>
      <c r="H2087" s="181" t="s">
        <v>763</v>
      </c>
      <c r="I2087" s="8">
        <f>AE37</f>
        <v>120</v>
      </c>
      <c r="J2087" s="2" t="s">
        <v>835</v>
      </c>
      <c r="K2087" s="8">
        <f>(F2087*I2087)</f>
        <v>120</v>
      </c>
    </row>
    <row r="2088" spans="1:11" hidden="1">
      <c r="A2088" s="268"/>
      <c r="F2088" s="188">
        <v>5</v>
      </c>
      <c r="G2088" s="187" t="s">
        <v>835</v>
      </c>
      <c r="H2088" s="181" t="s">
        <v>1836</v>
      </c>
      <c r="I2088" s="8">
        <f>C12</f>
        <v>95</v>
      </c>
      <c r="J2088" s="2" t="s">
        <v>835</v>
      </c>
      <c r="K2088" s="8">
        <f>(F2088*I2088)</f>
        <v>475</v>
      </c>
    </row>
    <row r="2089" spans="1:11" hidden="1">
      <c r="A2089" s="268"/>
      <c r="I2089"/>
      <c r="J2089" s="4"/>
      <c r="K2089" s="5" t="s">
        <v>1530</v>
      </c>
    </row>
    <row r="2090" spans="1:11" hidden="1">
      <c r="A2090" s="268"/>
      <c r="H2090" s="181" t="s">
        <v>2056</v>
      </c>
      <c r="I2090"/>
      <c r="J2090" s="4"/>
      <c r="K2090" s="8">
        <f>SUM(K2086:K2088)</f>
        <v>2595</v>
      </c>
    </row>
    <row r="2091" spans="1:11" hidden="1">
      <c r="A2091" s="268"/>
      <c r="F2091" s="181" t="s">
        <v>940</v>
      </c>
      <c r="I2091"/>
      <c r="J2091" s="4"/>
      <c r="K2091" s="5" t="s">
        <v>1530</v>
      </c>
    </row>
    <row r="2092" spans="1:11" hidden="1">
      <c r="A2092" s="268"/>
      <c r="H2092" s="181" t="s">
        <v>1083</v>
      </c>
      <c r="I2092"/>
      <c r="J2092" s="4"/>
      <c r="K2092" s="8">
        <f>(K2090/30)</f>
        <v>86.5</v>
      </c>
    </row>
    <row r="2093" spans="1:11" hidden="1">
      <c r="A2093" s="268"/>
      <c r="F2093" s="181" t="s">
        <v>940</v>
      </c>
      <c r="I2093"/>
      <c r="J2093" s="4"/>
      <c r="K2093"/>
    </row>
    <row r="2094" spans="1:11" hidden="1">
      <c r="A2094" s="268"/>
      <c r="F2094" s="181" t="s">
        <v>940</v>
      </c>
      <c r="I2094"/>
      <c r="J2094" s="4"/>
      <c r="K2094"/>
    </row>
    <row r="2095" spans="1:11" hidden="1">
      <c r="A2095" s="268"/>
      <c r="I2095"/>
      <c r="J2095" s="4"/>
      <c r="K2095" s="5" t="s">
        <v>1980</v>
      </c>
    </row>
    <row r="2096" spans="1:11" hidden="1">
      <c r="A2096" s="268"/>
      <c r="F2096" s="236" t="s">
        <v>1084</v>
      </c>
      <c r="G2096" s="187" t="s">
        <v>2167</v>
      </c>
      <c r="H2096" s="181" t="s">
        <v>985</v>
      </c>
      <c r="I2096"/>
      <c r="J2096" s="4"/>
      <c r="K2096"/>
    </row>
    <row r="2097" spans="1:11" hidden="1">
      <c r="A2097" s="268"/>
      <c r="H2097" s="188" t="str">
        <f>H2084</f>
        <v>DIA S.W.PIPE(LOOSE JOINTING)</v>
      </c>
      <c r="I2097"/>
      <c r="J2097" s="4"/>
      <c r="K2097"/>
    </row>
    <row r="2098" spans="1:11" hidden="1">
      <c r="A2098" s="268"/>
      <c r="H2098" s="185" t="s">
        <v>1530</v>
      </c>
      <c r="I2098"/>
      <c r="J2098" s="4"/>
      <c r="K2098"/>
    </row>
    <row r="2099" spans="1:11" hidden="1">
      <c r="A2099" s="268"/>
      <c r="F2099" s="188">
        <v>50</v>
      </c>
      <c r="G2099" s="187" t="s">
        <v>835</v>
      </c>
      <c r="H2099" s="181" t="s">
        <v>214</v>
      </c>
      <c r="I2099" s="8">
        <f>C204</f>
        <v>65</v>
      </c>
      <c r="J2099" s="2" t="s">
        <v>835</v>
      </c>
      <c r="K2099" s="8">
        <f>(F2099*I2099)</f>
        <v>3250</v>
      </c>
    </row>
    <row r="2100" spans="1:11" hidden="1">
      <c r="A2100" s="268"/>
      <c r="F2100" s="188">
        <v>2</v>
      </c>
      <c r="G2100" s="187" t="s">
        <v>835</v>
      </c>
      <c r="H2100" s="181" t="s">
        <v>763</v>
      </c>
      <c r="I2100" s="8">
        <f>AE37</f>
        <v>120</v>
      </c>
      <c r="J2100" s="2" t="s">
        <v>835</v>
      </c>
      <c r="K2100" s="8">
        <f>(F2100*I2100)</f>
        <v>240</v>
      </c>
    </row>
    <row r="2101" spans="1:11" hidden="1">
      <c r="A2101" s="268"/>
      <c r="F2101" s="188">
        <v>6</v>
      </c>
      <c r="G2101" s="187" t="s">
        <v>835</v>
      </c>
      <c r="H2101" s="181" t="s">
        <v>1836</v>
      </c>
      <c r="I2101" s="8">
        <f>C12</f>
        <v>95</v>
      </c>
      <c r="J2101" s="2" t="s">
        <v>835</v>
      </c>
      <c r="K2101" s="8">
        <f>(F2101*I2101)</f>
        <v>570</v>
      </c>
    </row>
    <row r="2102" spans="1:11" hidden="1">
      <c r="A2102" s="268"/>
      <c r="I2102"/>
      <c r="J2102" s="4"/>
      <c r="K2102" s="5" t="s">
        <v>1530</v>
      </c>
    </row>
    <row r="2103" spans="1:11" hidden="1">
      <c r="A2103" s="268"/>
      <c r="H2103" s="181" t="s">
        <v>2056</v>
      </c>
      <c r="I2103"/>
      <c r="J2103" s="4"/>
      <c r="K2103" s="8">
        <f>SUM(K2099:K2101)</f>
        <v>4060</v>
      </c>
    </row>
    <row r="2104" spans="1:11" hidden="1">
      <c r="A2104" s="268"/>
      <c r="I2104"/>
      <c r="J2104" s="4"/>
      <c r="K2104" s="5" t="s">
        <v>1530</v>
      </c>
    </row>
    <row r="2105" spans="1:11" hidden="1">
      <c r="A2105" s="268"/>
      <c r="H2105" s="181" t="s">
        <v>1083</v>
      </c>
      <c r="I2105"/>
      <c r="J2105" s="4"/>
      <c r="K2105" s="8">
        <f>(K2103/30)</f>
        <v>135.33000000000001</v>
      </c>
    </row>
    <row r="2106" spans="1:11" hidden="1">
      <c r="A2106" s="268"/>
      <c r="I2106"/>
      <c r="J2106" s="4"/>
      <c r="K2106" s="5" t="s">
        <v>1980</v>
      </c>
    </row>
    <row r="2107" spans="1:11" hidden="1">
      <c r="A2107" s="268"/>
      <c r="H2107" s="236" t="s">
        <v>215</v>
      </c>
      <c r="I2107"/>
      <c r="J2107" s="4"/>
      <c r="K2107" s="8">
        <f>SUM(K2104:K2105)</f>
        <v>135.33000000000001</v>
      </c>
    </row>
    <row r="2108" spans="1:11" hidden="1">
      <c r="A2108" s="268"/>
      <c r="I2108"/>
      <c r="J2108" s="4"/>
      <c r="K2108" s="5" t="s">
        <v>1980</v>
      </c>
    </row>
    <row r="2109" spans="1:11" hidden="1">
      <c r="A2109" s="268"/>
      <c r="F2109" s="236" t="s">
        <v>1803</v>
      </c>
      <c r="G2109" s="187" t="s">
        <v>2167</v>
      </c>
      <c r="H2109" s="181" t="s">
        <v>50</v>
      </c>
      <c r="I2109"/>
      <c r="J2109" s="4"/>
      <c r="K2109"/>
    </row>
    <row r="2110" spans="1:11" hidden="1">
      <c r="A2110" s="268"/>
      <c r="H2110" s="181" t="s">
        <v>55</v>
      </c>
      <c r="I2110"/>
      <c r="J2110" s="4"/>
      <c r="K2110"/>
    </row>
    <row r="2111" spans="1:11" hidden="1">
      <c r="A2111" s="268"/>
      <c r="H2111" s="185" t="s">
        <v>1530</v>
      </c>
      <c r="I2111"/>
      <c r="J2111" s="4"/>
      <c r="K2111"/>
    </row>
    <row r="2112" spans="1:11" hidden="1">
      <c r="A2112" s="268"/>
      <c r="F2112" s="188">
        <v>1</v>
      </c>
      <c r="G2112" s="187" t="s">
        <v>835</v>
      </c>
      <c r="H2112" s="181" t="s">
        <v>1049</v>
      </c>
      <c r="I2112" s="8">
        <f>C205</f>
        <v>65</v>
      </c>
      <c r="J2112" s="2" t="s">
        <v>835</v>
      </c>
      <c r="K2112" s="8">
        <f>(F2112*I2112)</f>
        <v>65</v>
      </c>
    </row>
    <row r="2113" spans="1:11" hidden="1">
      <c r="A2113" s="268"/>
      <c r="F2113" s="181" t="s">
        <v>940</v>
      </c>
      <c r="H2113" s="181" t="s">
        <v>56</v>
      </c>
      <c r="I2113"/>
      <c r="J2113" s="4"/>
      <c r="K2113"/>
    </row>
    <row r="2114" spans="1:11" hidden="1">
      <c r="A2114" s="268"/>
      <c r="F2114" s="181" t="s">
        <v>940</v>
      </c>
      <c r="H2114" s="181" t="s">
        <v>57</v>
      </c>
      <c r="I2114" s="2" t="s">
        <v>419</v>
      </c>
      <c r="J2114" s="4"/>
      <c r="K2114" s="8">
        <v>2.5</v>
      </c>
    </row>
    <row r="2115" spans="1:11" hidden="1">
      <c r="A2115" s="268"/>
      <c r="I2115"/>
      <c r="J2115" s="4"/>
      <c r="K2115" s="5" t="s">
        <v>1530</v>
      </c>
    </row>
    <row r="2116" spans="1:11" hidden="1">
      <c r="A2116" s="268"/>
      <c r="H2116" s="181" t="s">
        <v>2056</v>
      </c>
      <c r="I2116"/>
      <c r="J2116" s="4"/>
      <c r="K2116" s="8">
        <f>SUM(K2112:K2114)</f>
        <v>67.5</v>
      </c>
    </row>
    <row r="2117" spans="1:11" hidden="1">
      <c r="A2117" s="268"/>
      <c r="F2117" s="236" t="s">
        <v>1803</v>
      </c>
      <c r="G2117" s="187" t="s">
        <v>2167</v>
      </c>
      <c r="H2117" s="181" t="s">
        <v>985</v>
      </c>
      <c r="I2117"/>
      <c r="J2117" s="4"/>
      <c r="K2117" s="5" t="s">
        <v>1530</v>
      </c>
    </row>
    <row r="2118" spans="1:11" hidden="1">
      <c r="A2118" s="268"/>
      <c r="H2118" s="181" t="s">
        <v>55</v>
      </c>
      <c r="I2118"/>
      <c r="J2118" s="4"/>
      <c r="K2118" s="8"/>
    </row>
    <row r="2119" spans="1:11" hidden="1">
      <c r="A2119" s="268"/>
      <c r="H2119" s="185" t="s">
        <v>1530</v>
      </c>
      <c r="I2119"/>
      <c r="J2119" s="4"/>
      <c r="K2119" s="5" t="s">
        <v>1530</v>
      </c>
    </row>
    <row r="2120" spans="1:11" hidden="1">
      <c r="A2120" s="268"/>
      <c r="F2120" s="182">
        <v>1</v>
      </c>
      <c r="G2120" s="180" t="s">
        <v>739</v>
      </c>
      <c r="H2120" s="181" t="s">
        <v>1048</v>
      </c>
      <c r="I2120"/>
      <c r="J2120" s="4" t="s">
        <v>1337</v>
      </c>
      <c r="K2120" s="8">
        <v>92.5</v>
      </c>
    </row>
    <row r="2121" spans="1:11" hidden="1">
      <c r="A2121" s="268"/>
      <c r="I2121"/>
      <c r="J2121" s="4"/>
      <c r="K2121" s="5" t="s">
        <v>1530</v>
      </c>
    </row>
    <row r="2122" spans="1:11" hidden="1">
      <c r="A2122" s="268"/>
      <c r="F2122" s="236" t="s">
        <v>1217</v>
      </c>
      <c r="G2122" s="187" t="s">
        <v>2167</v>
      </c>
      <c r="H2122" s="181" t="s">
        <v>50</v>
      </c>
      <c r="I2122"/>
      <c r="J2122" s="4"/>
      <c r="K2122"/>
    </row>
    <row r="2123" spans="1:11" hidden="1">
      <c r="A2123" s="268"/>
      <c r="H2123" s="181" t="s">
        <v>1224</v>
      </c>
      <c r="I2123"/>
      <c r="J2123" s="4"/>
      <c r="K2123"/>
    </row>
    <row r="2124" spans="1:11" hidden="1">
      <c r="A2124" s="268"/>
      <c r="H2124" s="185" t="s">
        <v>1530</v>
      </c>
      <c r="I2124"/>
      <c r="J2124" s="4"/>
      <c r="K2124"/>
    </row>
    <row r="2125" spans="1:11" hidden="1">
      <c r="A2125" s="268"/>
      <c r="F2125" s="188">
        <v>1</v>
      </c>
      <c r="G2125" s="187" t="s">
        <v>835</v>
      </c>
      <c r="H2125" s="181" t="s">
        <v>1047</v>
      </c>
      <c r="I2125" s="8">
        <f>C202</f>
        <v>75</v>
      </c>
      <c r="J2125" s="2" t="s">
        <v>835</v>
      </c>
      <c r="K2125" s="8">
        <f>(F2125*I2125)</f>
        <v>75</v>
      </c>
    </row>
    <row r="2126" spans="1:11" hidden="1">
      <c r="A2126" s="268"/>
      <c r="F2126" s="181" t="s">
        <v>940</v>
      </c>
      <c r="H2126" s="181" t="s">
        <v>56</v>
      </c>
      <c r="I2126"/>
      <c r="J2126" s="4"/>
      <c r="K2126"/>
    </row>
    <row r="2127" spans="1:11" hidden="1">
      <c r="A2127" s="268"/>
      <c r="F2127" s="181" t="s">
        <v>940</v>
      </c>
      <c r="H2127" s="181" t="s">
        <v>57</v>
      </c>
      <c r="I2127" s="2" t="s">
        <v>419</v>
      </c>
      <c r="J2127" s="4"/>
      <c r="K2127" s="8">
        <v>3</v>
      </c>
    </row>
    <row r="2128" spans="1:11" hidden="1">
      <c r="A2128" s="268"/>
      <c r="I2128"/>
      <c r="J2128" s="4"/>
      <c r="K2128" s="5" t="s">
        <v>1530</v>
      </c>
    </row>
    <row r="2129" spans="1:11" hidden="1">
      <c r="A2129" s="268"/>
      <c r="H2129" s="181" t="s">
        <v>2056</v>
      </c>
      <c r="I2129"/>
      <c r="J2129" s="4"/>
      <c r="K2129" s="8">
        <f>SUM(K2125:K2127)</f>
        <v>78</v>
      </c>
    </row>
    <row r="2130" spans="1:11" hidden="1">
      <c r="A2130" s="268"/>
      <c r="I2130"/>
      <c r="J2130" s="4"/>
      <c r="K2130" s="5" t="s">
        <v>1530</v>
      </c>
    </row>
    <row r="2131" spans="1:11" hidden="1">
      <c r="A2131" s="268"/>
      <c r="I2131"/>
      <c r="J2131" s="4"/>
      <c r="K2131"/>
    </row>
    <row r="2132" spans="1:11" hidden="1">
      <c r="A2132" s="268"/>
      <c r="F2132" s="236" t="s">
        <v>1741</v>
      </c>
      <c r="G2132" s="187" t="s">
        <v>2167</v>
      </c>
      <c r="H2132" s="181" t="s">
        <v>985</v>
      </c>
      <c r="I2132"/>
      <c r="J2132" s="4"/>
      <c r="K2132"/>
    </row>
    <row r="2133" spans="1:11" hidden="1">
      <c r="A2133" s="268"/>
      <c r="H2133" s="181" t="s">
        <v>1224</v>
      </c>
      <c r="I2133"/>
      <c r="J2133" s="4"/>
      <c r="K2133"/>
    </row>
    <row r="2134" spans="1:11" hidden="1">
      <c r="A2134" s="268"/>
      <c r="H2134" s="185" t="s">
        <v>1530</v>
      </c>
      <c r="I2134"/>
      <c r="J2134" s="4"/>
      <c r="K2134"/>
    </row>
    <row r="2135" spans="1:11" hidden="1">
      <c r="A2135" s="268"/>
      <c r="F2135" s="188">
        <v>1</v>
      </c>
      <c r="G2135" s="187" t="s">
        <v>835</v>
      </c>
      <c r="H2135" s="181" t="s">
        <v>775</v>
      </c>
      <c r="I2135" s="8">
        <f>C207</f>
        <v>100</v>
      </c>
      <c r="J2135" s="2" t="s">
        <v>835</v>
      </c>
      <c r="K2135" s="8">
        <f>(F2135*I2135)</f>
        <v>100</v>
      </c>
    </row>
    <row r="2136" spans="1:11" hidden="1">
      <c r="A2136" s="268"/>
      <c r="F2136" s="181" t="s">
        <v>940</v>
      </c>
      <c r="H2136" s="181" t="s">
        <v>56</v>
      </c>
      <c r="I2136"/>
      <c r="J2136" s="4"/>
      <c r="K2136"/>
    </row>
    <row r="2137" spans="1:11" hidden="1">
      <c r="A2137" s="268"/>
      <c r="F2137" s="181" t="s">
        <v>940</v>
      </c>
      <c r="H2137" s="181" t="s">
        <v>57</v>
      </c>
      <c r="I2137" s="2" t="s">
        <v>419</v>
      </c>
      <c r="J2137" s="4"/>
      <c r="K2137" s="8">
        <v>3</v>
      </c>
    </row>
    <row r="2138" spans="1:11" hidden="1">
      <c r="A2138" s="268"/>
      <c r="I2138"/>
      <c r="J2138" s="4"/>
      <c r="K2138" s="5" t="s">
        <v>1530</v>
      </c>
    </row>
    <row r="2139" spans="1:11" hidden="1">
      <c r="A2139" s="268"/>
      <c r="H2139" s="181" t="s">
        <v>2056</v>
      </c>
      <c r="I2139"/>
      <c r="J2139" s="4"/>
      <c r="K2139" s="8">
        <f>SUM(K2135:K2137)</f>
        <v>103</v>
      </c>
    </row>
    <row r="2140" spans="1:11" hidden="1">
      <c r="A2140" s="268"/>
      <c r="I2140"/>
      <c r="J2140" s="4"/>
      <c r="K2140" s="5" t="s">
        <v>1530</v>
      </c>
    </row>
    <row r="2141" spans="1:11" hidden="1">
      <c r="A2141" s="268"/>
      <c r="F2141" s="236" t="s">
        <v>1485</v>
      </c>
      <c r="H2141" s="181" t="s">
        <v>1486</v>
      </c>
      <c r="I2141"/>
      <c r="J2141" s="4"/>
      <c r="K2141"/>
    </row>
    <row r="2142" spans="1:11" hidden="1">
      <c r="A2142" s="268"/>
      <c r="H2142" s="181" t="s">
        <v>1032</v>
      </c>
      <c r="I2142"/>
      <c r="J2142" s="4"/>
      <c r="K2142"/>
    </row>
    <row r="2143" spans="1:11" hidden="1">
      <c r="A2143" s="268"/>
      <c r="H2143" s="185" t="s">
        <v>1530</v>
      </c>
      <c r="I2143"/>
      <c r="J2143" s="4"/>
      <c r="K2143"/>
    </row>
    <row r="2144" spans="1:11" hidden="1">
      <c r="A2144" s="268"/>
      <c r="F2144" s="188">
        <v>2.5</v>
      </c>
      <c r="G2144" s="187" t="s">
        <v>1033</v>
      </c>
      <c r="H2144" s="181" t="s">
        <v>1486</v>
      </c>
      <c r="I2144" s="8">
        <f>C566</f>
        <v>28.5</v>
      </c>
      <c r="J2144" s="2">
        <v>2.5</v>
      </c>
      <c r="K2144" s="8">
        <f>(F2144*I2144)/F2144</f>
        <v>28.5</v>
      </c>
    </row>
    <row r="2145" spans="1:11" hidden="1">
      <c r="A2145" s="268"/>
      <c r="H2145" s="181" t="s">
        <v>1034</v>
      </c>
      <c r="I2145"/>
      <c r="J2145" s="2" t="s">
        <v>1033</v>
      </c>
      <c r="K2145"/>
    </row>
    <row r="2146" spans="1:11" hidden="1">
      <c r="A2146" s="268"/>
      <c r="G2146" s="187" t="s">
        <v>419</v>
      </c>
      <c r="H2146" s="181" t="s">
        <v>1035</v>
      </c>
      <c r="I2146"/>
      <c r="J2146" s="2" t="s">
        <v>419</v>
      </c>
      <c r="K2146" s="8">
        <v>1.5</v>
      </c>
    </row>
    <row r="2147" spans="1:11" hidden="1">
      <c r="A2147" s="268"/>
      <c r="I2147"/>
      <c r="J2147" s="4"/>
      <c r="K2147" s="5" t="s">
        <v>1530</v>
      </c>
    </row>
    <row r="2148" spans="1:11" hidden="1">
      <c r="A2148" s="268"/>
      <c r="H2148" s="236" t="s">
        <v>215</v>
      </c>
      <c r="I2148"/>
      <c r="J2148" s="4"/>
      <c r="K2148" s="8">
        <f>SUM(K2144:K2146)</f>
        <v>30</v>
      </c>
    </row>
    <row r="2149" spans="1:11" hidden="1">
      <c r="A2149" s="268"/>
      <c r="I2149"/>
      <c r="J2149" s="4"/>
      <c r="K2149" s="5" t="s">
        <v>1980</v>
      </c>
    </row>
    <row r="2150" spans="1:11" hidden="1">
      <c r="A2150" s="268"/>
      <c r="I2150"/>
      <c r="J2150" s="4"/>
      <c r="K2150"/>
    </row>
    <row r="2151" spans="1:11" hidden="1">
      <c r="A2151" s="268"/>
      <c r="F2151" s="236" t="s">
        <v>1036</v>
      </c>
      <c r="G2151" s="187" t="s">
        <v>2167</v>
      </c>
      <c r="H2151" s="181" t="s">
        <v>256</v>
      </c>
      <c r="I2151"/>
      <c r="J2151" s="4"/>
      <c r="K2151"/>
    </row>
    <row r="2152" spans="1:11" hidden="1">
      <c r="A2152" s="268"/>
      <c r="H2152" s="181" t="s">
        <v>61</v>
      </c>
      <c r="I2152"/>
      <c r="J2152" s="4"/>
      <c r="K2152"/>
    </row>
    <row r="2153" spans="1:11" hidden="1">
      <c r="A2153" s="268"/>
      <c r="H2153" s="181" t="s">
        <v>345</v>
      </c>
      <c r="I2153"/>
      <c r="J2153" s="4"/>
      <c r="K2153"/>
    </row>
    <row r="2154" spans="1:11" hidden="1">
      <c r="A2154" s="268"/>
      <c r="H2154" s="181" t="s">
        <v>329</v>
      </c>
      <c r="I2154"/>
      <c r="J2154" s="4"/>
      <c r="K2154"/>
    </row>
    <row r="2155" spans="1:11" hidden="1">
      <c r="A2155" s="268"/>
      <c r="H2155" s="181" t="s">
        <v>401</v>
      </c>
      <c r="I2155"/>
      <c r="J2155" s="4"/>
      <c r="K2155"/>
    </row>
    <row r="2156" spans="1:11" hidden="1">
      <c r="A2156" s="268"/>
      <c r="H2156" s="181" t="s">
        <v>1422</v>
      </c>
      <c r="I2156"/>
      <c r="J2156" s="4"/>
      <c r="K2156"/>
    </row>
    <row r="2157" spans="1:11" hidden="1">
      <c r="A2157" s="268"/>
      <c r="H2157" s="181" t="s">
        <v>1801</v>
      </c>
      <c r="I2157"/>
      <c r="J2157" s="4"/>
      <c r="K2157"/>
    </row>
    <row r="2158" spans="1:11" hidden="1">
      <c r="A2158" s="268"/>
      <c r="H2158" s="181" t="s">
        <v>2121</v>
      </c>
      <c r="I2158"/>
      <c r="J2158" s="4"/>
      <c r="K2158"/>
    </row>
    <row r="2159" spans="1:11" hidden="1">
      <c r="A2159" s="268"/>
      <c r="H2159" s="181" t="s">
        <v>535</v>
      </c>
      <c r="I2159"/>
      <c r="J2159" s="4"/>
      <c r="K2159"/>
    </row>
    <row r="2160" spans="1:11" hidden="1">
      <c r="A2160" s="268"/>
      <c r="H2160" s="181" t="s">
        <v>1227</v>
      </c>
      <c r="I2160"/>
      <c r="J2160" s="4"/>
      <c r="K2160"/>
    </row>
    <row r="2161" spans="1:11" hidden="1">
      <c r="A2161" s="268"/>
      <c r="H2161" s="181" t="s">
        <v>1228</v>
      </c>
      <c r="I2161"/>
      <c r="J2161" s="4"/>
      <c r="K2161"/>
    </row>
    <row r="2162" spans="1:11" hidden="1">
      <c r="A2162" s="268"/>
      <c r="H2162" s="181" t="s">
        <v>1229</v>
      </c>
      <c r="I2162"/>
      <c r="J2162" s="4"/>
      <c r="K2162"/>
    </row>
    <row r="2163" spans="1:11" hidden="1">
      <c r="A2163" s="268"/>
      <c r="H2163" s="185" t="s">
        <v>1530</v>
      </c>
      <c r="I2163" s="5" t="s">
        <v>1530</v>
      </c>
      <c r="J2163" s="4"/>
      <c r="K2163"/>
    </row>
    <row r="2164" spans="1:11" hidden="1">
      <c r="A2164" s="268"/>
      <c r="F2164" s="181" t="s">
        <v>940</v>
      </c>
      <c r="I2164"/>
      <c r="J2164" s="4"/>
      <c r="K2164"/>
    </row>
    <row r="2165" spans="1:11" hidden="1">
      <c r="A2165" s="268"/>
      <c r="F2165" s="256">
        <v>1.7399999999999999E-2</v>
      </c>
      <c r="G2165" s="187" t="s">
        <v>2070</v>
      </c>
      <c r="H2165" s="181" t="s">
        <v>1230</v>
      </c>
      <c r="I2165" s="8">
        <f>C86</f>
        <v>20605</v>
      </c>
      <c r="J2165" s="2" t="s">
        <v>2070</v>
      </c>
      <c r="K2165" s="8">
        <f t="shared" ref="K2165:K2172" si="73">F2165*I2165</f>
        <v>358.53</v>
      </c>
    </row>
    <row r="2166" spans="1:11" hidden="1">
      <c r="A2166" s="268"/>
      <c r="F2166" s="256">
        <v>2.93E-2</v>
      </c>
      <c r="G2166" s="187" t="s">
        <v>2070</v>
      </c>
      <c r="H2166" s="181" t="s">
        <v>1231</v>
      </c>
      <c r="I2166" s="8">
        <f>C87</f>
        <v>23685</v>
      </c>
      <c r="J2166" s="2" t="s">
        <v>2070</v>
      </c>
      <c r="K2166" s="8">
        <f t="shared" si="73"/>
        <v>693.97</v>
      </c>
    </row>
    <row r="2167" spans="1:11" hidden="1">
      <c r="A2167" s="268"/>
      <c r="F2167" s="256">
        <v>1.093</v>
      </c>
      <c r="G2167" s="187" t="s">
        <v>2199</v>
      </c>
      <c r="H2167" s="181" t="s">
        <v>1232</v>
      </c>
      <c r="I2167" s="52">
        <f>C198</f>
        <v>212</v>
      </c>
      <c r="J2167" s="2" t="s">
        <v>2199</v>
      </c>
      <c r="K2167" s="8">
        <f t="shared" si="73"/>
        <v>231.72</v>
      </c>
    </row>
    <row r="2168" spans="1:11" hidden="1">
      <c r="A2168" s="268"/>
      <c r="F2168" s="188">
        <v>6</v>
      </c>
      <c r="G2168" s="187" t="s">
        <v>529</v>
      </c>
      <c r="H2168" s="181" t="s">
        <v>2294</v>
      </c>
      <c r="I2168" s="8">
        <f>C296</f>
        <v>3.25</v>
      </c>
      <c r="J2168" s="2" t="s">
        <v>1341</v>
      </c>
      <c r="K2168" s="8">
        <f t="shared" si="73"/>
        <v>19.5</v>
      </c>
    </row>
    <row r="2169" spans="1:11" hidden="1">
      <c r="A2169" s="268"/>
      <c r="F2169" s="188">
        <v>1</v>
      </c>
      <c r="G2169" s="187" t="s">
        <v>529</v>
      </c>
      <c r="H2169" s="181" t="s">
        <v>2249</v>
      </c>
      <c r="I2169" s="8">
        <f>C286</f>
        <v>80</v>
      </c>
      <c r="J2169" s="2" t="s">
        <v>1341</v>
      </c>
      <c r="K2169" s="8">
        <f t="shared" si="73"/>
        <v>80</v>
      </c>
    </row>
    <row r="2170" spans="1:11" hidden="1">
      <c r="A2170" s="268"/>
      <c r="F2170" s="188">
        <v>2</v>
      </c>
      <c r="G2170" s="187" t="s">
        <v>529</v>
      </c>
      <c r="H2170" s="181" t="s">
        <v>1692</v>
      </c>
      <c r="I2170" s="8">
        <f>C307</f>
        <v>0.9</v>
      </c>
      <c r="J2170" s="2" t="s">
        <v>1341</v>
      </c>
      <c r="K2170" s="8">
        <f t="shared" si="73"/>
        <v>1.8</v>
      </c>
    </row>
    <row r="2171" spans="1:11" hidden="1">
      <c r="A2171" s="268"/>
      <c r="F2171" s="188">
        <v>6</v>
      </c>
      <c r="G2171" s="187" t="s">
        <v>529</v>
      </c>
      <c r="H2171" s="181" t="s">
        <v>137</v>
      </c>
      <c r="I2171" s="8">
        <v>8</v>
      </c>
      <c r="J2171" s="2" t="s">
        <v>1341</v>
      </c>
      <c r="K2171" s="8">
        <f t="shared" si="73"/>
        <v>48</v>
      </c>
    </row>
    <row r="2172" spans="1:11" hidden="1">
      <c r="A2172" s="268"/>
      <c r="F2172" s="245">
        <v>1.62</v>
      </c>
      <c r="G2172" s="187" t="s">
        <v>2199</v>
      </c>
      <c r="H2172" s="181" t="s">
        <v>138</v>
      </c>
      <c r="I2172" s="8">
        <f>D33</f>
        <v>240</v>
      </c>
      <c r="J2172" s="2" t="s">
        <v>2199</v>
      </c>
      <c r="K2172" s="8">
        <f t="shared" si="73"/>
        <v>388.8</v>
      </c>
    </row>
    <row r="2173" spans="1:11" hidden="1">
      <c r="A2173" s="268"/>
      <c r="G2173" s="187" t="s">
        <v>419</v>
      </c>
      <c r="H2173" s="181" t="s">
        <v>474</v>
      </c>
      <c r="I2173"/>
      <c r="J2173" s="2" t="s">
        <v>419</v>
      </c>
      <c r="K2173" s="8">
        <v>0.25</v>
      </c>
    </row>
    <row r="2174" spans="1:11" hidden="1">
      <c r="A2174" s="268"/>
      <c r="I2174"/>
      <c r="J2174" s="4"/>
      <c r="K2174" s="5" t="s">
        <v>1530</v>
      </c>
    </row>
    <row r="2175" spans="1:11" hidden="1">
      <c r="A2175" s="268"/>
      <c r="H2175" s="236" t="s">
        <v>139</v>
      </c>
      <c r="I2175"/>
      <c r="J2175" s="4"/>
      <c r="K2175" s="8">
        <f>SUM(K2165:K2173)</f>
        <v>1822.57</v>
      </c>
    </row>
    <row r="2176" spans="1:11" hidden="1">
      <c r="A2176" s="268"/>
      <c r="I2176"/>
      <c r="J2176" s="4"/>
      <c r="K2176" s="5" t="s">
        <v>1530</v>
      </c>
    </row>
    <row r="2177" spans="1:11" hidden="1">
      <c r="A2177" s="268"/>
      <c r="I2177"/>
      <c r="J2177" s="4"/>
      <c r="K2177"/>
    </row>
    <row r="2178" spans="1:11" hidden="1">
      <c r="A2178" s="268"/>
      <c r="H2178" s="236" t="s">
        <v>140</v>
      </c>
      <c r="I2178" s="1" t="s">
        <v>940</v>
      </c>
      <c r="J2178" s="4"/>
      <c r="K2178" s="8">
        <f>K2175/1.62</f>
        <v>1125.04</v>
      </c>
    </row>
    <row r="2179" spans="1:11" hidden="1">
      <c r="A2179" s="268"/>
      <c r="F2179" s="181" t="s">
        <v>940</v>
      </c>
      <c r="G2179" s="187" t="s">
        <v>940</v>
      </c>
      <c r="H2179" s="181" t="s">
        <v>940</v>
      </c>
      <c r="I2179" s="1" t="s">
        <v>940</v>
      </c>
      <c r="J2179" s="2" t="s">
        <v>940</v>
      </c>
      <c r="K2179"/>
    </row>
    <row r="2180" spans="1:11" hidden="1">
      <c r="A2180" s="268"/>
      <c r="I2180"/>
      <c r="J2180" s="4"/>
      <c r="K2180"/>
    </row>
    <row r="2181" spans="1:11" hidden="1">
      <c r="A2181" s="268"/>
      <c r="G2181" s="187" t="s">
        <v>1484</v>
      </c>
      <c r="H2181" s="181" t="s">
        <v>1336</v>
      </c>
      <c r="I2181"/>
      <c r="J2181" s="4"/>
      <c r="K2181"/>
    </row>
    <row r="2182" spans="1:11" hidden="1">
      <c r="A2182" s="268"/>
      <c r="H2182" s="181" t="s">
        <v>767</v>
      </c>
      <c r="I2182"/>
      <c r="J2182" s="4"/>
      <c r="K2182"/>
    </row>
    <row r="2183" spans="1:11" hidden="1">
      <c r="A2183" s="268"/>
      <c r="F2183" s="181" t="s">
        <v>940</v>
      </c>
      <c r="H2183" s="181" t="s">
        <v>768</v>
      </c>
      <c r="I2183"/>
      <c r="J2183" s="4"/>
      <c r="K2183"/>
    </row>
    <row r="2184" spans="1:11" hidden="1">
      <c r="A2184" s="268"/>
      <c r="F2184" s="236" t="s">
        <v>769</v>
      </c>
      <c r="H2184" s="181" t="s">
        <v>2096</v>
      </c>
      <c r="I2184"/>
      <c r="J2184" s="4"/>
      <c r="K2184" s="8">
        <f>K2860</f>
        <v>1499.19</v>
      </c>
    </row>
    <row r="2185" spans="1:11" hidden="1">
      <c r="A2185" s="268"/>
      <c r="F2185" s="236" t="s">
        <v>770</v>
      </c>
      <c r="H2185" s="236" t="s">
        <v>744</v>
      </c>
      <c r="I2185"/>
      <c r="J2185" s="4"/>
      <c r="K2185" s="8">
        <f>K2884</f>
        <v>1503.34</v>
      </c>
    </row>
    <row r="2186" spans="1:11" hidden="1">
      <c r="A2186" s="268"/>
      <c r="F2186" s="236" t="s">
        <v>771</v>
      </c>
      <c r="H2186" s="181" t="s">
        <v>1221</v>
      </c>
      <c r="I2186"/>
      <c r="J2186" s="4"/>
      <c r="K2186" s="8">
        <f>K2899</f>
        <v>1538.57</v>
      </c>
    </row>
    <row r="2187" spans="1:11" hidden="1">
      <c r="A2187" s="268"/>
      <c r="F2187" s="242">
        <v>65</v>
      </c>
      <c r="H2187" s="181" t="s">
        <v>746</v>
      </c>
      <c r="I2187"/>
      <c r="J2187" s="4"/>
      <c r="K2187" s="8">
        <f>K2921</f>
        <v>1565.4</v>
      </c>
    </row>
    <row r="2188" spans="1:11" hidden="1">
      <c r="A2188" s="268"/>
      <c r="F2188" s="242">
        <v>66</v>
      </c>
      <c r="H2188" s="181" t="s">
        <v>581</v>
      </c>
      <c r="I2188"/>
      <c r="J2188" s="4"/>
      <c r="K2188" s="8">
        <f>K2945</f>
        <v>2802.09</v>
      </c>
    </row>
    <row r="2189" spans="1:11" hidden="1">
      <c r="A2189" s="268"/>
      <c r="F2189" s="242">
        <v>67</v>
      </c>
      <c r="H2189" s="181" t="s">
        <v>539</v>
      </c>
      <c r="I2189"/>
      <c r="J2189" s="4"/>
      <c r="K2189" s="8">
        <f>K2977</f>
        <v>764.91</v>
      </c>
    </row>
    <row r="2190" spans="1:11" hidden="1">
      <c r="A2190" s="268"/>
      <c r="F2190" s="242">
        <v>68</v>
      </c>
      <c r="H2190" s="181" t="s">
        <v>806</v>
      </c>
      <c r="I2190"/>
      <c r="J2190" s="4"/>
      <c r="K2190" s="8">
        <f>K2965</f>
        <v>1041.2</v>
      </c>
    </row>
    <row r="2191" spans="1:11" hidden="1">
      <c r="A2191" s="268"/>
      <c r="F2191" s="242">
        <v>69</v>
      </c>
      <c r="H2191" s="181" t="s">
        <v>772</v>
      </c>
      <c r="I2191"/>
      <c r="J2191" s="4"/>
      <c r="K2191" s="8">
        <f>K2988</f>
        <v>138.69999999999999</v>
      </c>
    </row>
    <row r="2192" spans="1:11" hidden="1">
      <c r="A2192" s="268"/>
      <c r="F2192" s="242" t="s">
        <v>773</v>
      </c>
      <c r="H2192" s="181" t="s">
        <v>463</v>
      </c>
      <c r="I2192"/>
      <c r="J2192" s="4"/>
      <c r="K2192" s="8">
        <f>K3135</f>
        <v>486.5</v>
      </c>
    </row>
    <row r="2193" spans="1:11" hidden="1">
      <c r="A2193" s="268"/>
      <c r="F2193" s="242" t="s">
        <v>275</v>
      </c>
      <c r="H2193" s="181" t="s">
        <v>2250</v>
      </c>
      <c r="I2193"/>
      <c r="J2193" s="4"/>
      <c r="K2193" s="8"/>
    </row>
    <row r="2194" spans="1:11" hidden="1">
      <c r="A2194" s="268"/>
      <c r="F2194" s="242" t="s">
        <v>1875</v>
      </c>
      <c r="H2194" s="181" t="s">
        <v>1445</v>
      </c>
      <c r="I2194"/>
      <c r="J2194" s="4"/>
      <c r="K2194" s="8">
        <v>10</v>
      </c>
    </row>
    <row r="2195" spans="1:11" hidden="1">
      <c r="A2195" s="268"/>
      <c r="F2195" s="242" t="s">
        <v>1876</v>
      </c>
      <c r="H2195" s="181" t="s">
        <v>551</v>
      </c>
      <c r="I2195"/>
      <c r="J2195" s="4"/>
      <c r="K2195" s="8">
        <v>8</v>
      </c>
    </row>
    <row r="2196" spans="1:11" hidden="1">
      <c r="A2196" s="268"/>
      <c r="F2196" s="242">
        <v>71</v>
      </c>
      <c r="H2196" s="181" t="s">
        <v>1117</v>
      </c>
      <c r="I2196"/>
      <c r="J2196" s="4"/>
      <c r="K2196" s="8">
        <f>K3154</f>
        <v>881</v>
      </c>
    </row>
    <row r="2197" spans="1:11" hidden="1">
      <c r="A2197" s="268"/>
      <c r="F2197" s="242">
        <v>72</v>
      </c>
      <c r="H2197" s="181" t="s">
        <v>774</v>
      </c>
      <c r="I2197"/>
      <c r="J2197" s="4"/>
      <c r="K2197" s="8">
        <v>31</v>
      </c>
    </row>
    <row r="2198" spans="1:11" hidden="1">
      <c r="A2198" s="268"/>
      <c r="F2198" s="242" t="s">
        <v>552</v>
      </c>
      <c r="H2198" s="181" t="s">
        <v>258</v>
      </c>
      <c r="I2198"/>
      <c r="J2198" s="4"/>
      <c r="K2198" s="8">
        <f>K3233</f>
        <v>4116.8500000000004</v>
      </c>
    </row>
    <row r="2199" spans="1:11" hidden="1">
      <c r="A2199" s="268"/>
      <c r="F2199" s="242" t="s">
        <v>553</v>
      </c>
      <c r="H2199" s="181" t="s">
        <v>554</v>
      </c>
      <c r="I2199"/>
      <c r="J2199" s="4"/>
      <c r="K2199" s="8">
        <f>K3221</f>
        <v>3342.85</v>
      </c>
    </row>
    <row r="2200" spans="1:11" hidden="1">
      <c r="A2200" s="268"/>
      <c r="F2200" s="242">
        <v>74</v>
      </c>
      <c r="H2200" s="181" t="s">
        <v>160</v>
      </c>
      <c r="I2200"/>
      <c r="J2200" s="4"/>
      <c r="K2200" s="8">
        <f>K3277</f>
        <v>521.46</v>
      </c>
    </row>
    <row r="2201" spans="1:11" hidden="1">
      <c r="A2201" s="268"/>
      <c r="F2201" s="242" t="s">
        <v>601</v>
      </c>
      <c r="H2201" s="181" t="s">
        <v>1327</v>
      </c>
      <c r="I2201"/>
      <c r="J2201" s="4"/>
      <c r="K2201" s="8">
        <f>K3767</f>
        <v>1437.4</v>
      </c>
    </row>
    <row r="2202" spans="1:11" hidden="1">
      <c r="A2202" s="268"/>
      <c r="F2202" s="242" t="s">
        <v>602</v>
      </c>
      <c r="H2202" s="181" t="s">
        <v>129</v>
      </c>
      <c r="I2202"/>
      <c r="J2202" s="4"/>
      <c r="K2202" s="8">
        <v>0</v>
      </c>
    </row>
    <row r="2203" spans="1:11" hidden="1">
      <c r="A2203" s="268"/>
      <c r="F2203" s="242">
        <v>112</v>
      </c>
      <c r="H2203" s="181" t="s">
        <v>715</v>
      </c>
      <c r="I2203"/>
      <c r="J2203" s="4"/>
      <c r="K2203" s="8">
        <f>K3744</f>
        <v>2110.5</v>
      </c>
    </row>
    <row r="2204" spans="1:11" hidden="1">
      <c r="A2204" s="268"/>
      <c r="F2204" s="242">
        <v>76</v>
      </c>
      <c r="H2204" s="181" t="s">
        <v>1864</v>
      </c>
      <c r="I2204"/>
      <c r="J2204" s="4"/>
      <c r="K2204" s="8">
        <f>K3294</f>
        <v>23.79</v>
      </c>
    </row>
    <row r="2205" spans="1:11" hidden="1">
      <c r="A2205" s="268"/>
      <c r="F2205" s="242">
        <v>77</v>
      </c>
      <c r="H2205" s="181" t="s">
        <v>2184</v>
      </c>
      <c r="I2205"/>
      <c r="J2205" s="4"/>
      <c r="K2205" s="8">
        <f>K3080</f>
        <v>192.58</v>
      </c>
    </row>
    <row r="2206" spans="1:11" ht="31.5" hidden="1">
      <c r="A2206" s="268"/>
      <c r="F2206" s="280">
        <v>77.099999999999994</v>
      </c>
      <c r="H2206" s="250" t="s">
        <v>1744</v>
      </c>
      <c r="I2206"/>
      <c r="J2206" s="4"/>
      <c r="K2206" s="281">
        <f>K3105</f>
        <v>246.68</v>
      </c>
    </row>
    <row r="2207" spans="1:11" hidden="1">
      <c r="A2207" s="268"/>
      <c r="F2207" s="246">
        <v>77.2</v>
      </c>
      <c r="H2207" s="181" t="s">
        <v>1745</v>
      </c>
      <c r="I2207"/>
      <c r="J2207" s="4"/>
      <c r="K2207" s="8">
        <v>500</v>
      </c>
    </row>
    <row r="2208" spans="1:11" hidden="1">
      <c r="A2208" s="268"/>
      <c r="F2208" s="246">
        <v>77.3</v>
      </c>
      <c r="H2208" s="181" t="s">
        <v>1444</v>
      </c>
      <c r="I2208"/>
      <c r="J2208" s="4"/>
      <c r="K2208" s="8">
        <f>K3712</f>
        <v>76.67</v>
      </c>
    </row>
    <row r="2209" spans="1:11" hidden="1">
      <c r="A2209" s="268"/>
      <c r="F2209" s="242">
        <v>78</v>
      </c>
      <c r="H2209" s="181" t="s">
        <v>78</v>
      </c>
      <c r="I2209"/>
      <c r="J2209" s="4"/>
      <c r="K2209" s="8">
        <f>K3319</f>
        <v>2723</v>
      </c>
    </row>
    <row r="2210" spans="1:11" hidden="1">
      <c r="A2210" s="268"/>
      <c r="F2210" s="242">
        <v>80</v>
      </c>
      <c r="H2210" s="181" t="s">
        <v>2037</v>
      </c>
      <c r="I2210"/>
      <c r="J2210" s="4"/>
      <c r="K2210" s="8">
        <f>K3441</f>
        <v>770.34</v>
      </c>
    </row>
    <row r="2211" spans="1:11" hidden="1">
      <c r="A2211" s="268"/>
      <c r="F2211" s="242">
        <v>81</v>
      </c>
      <c r="H2211" s="181" t="s">
        <v>89</v>
      </c>
      <c r="I2211"/>
      <c r="J2211" s="4"/>
      <c r="K2211" s="8">
        <f>K2178</f>
        <v>1125.04</v>
      </c>
    </row>
    <row r="2212" spans="1:11" hidden="1">
      <c r="A2212" s="268"/>
      <c r="F2212" s="242">
        <v>82</v>
      </c>
      <c r="H2212" s="181" t="s">
        <v>1494</v>
      </c>
      <c r="I2212"/>
      <c r="J2212" s="4"/>
      <c r="K2212" s="8">
        <f>K3638</f>
        <v>2774.3</v>
      </c>
    </row>
    <row r="2213" spans="1:11" hidden="1">
      <c r="A2213" s="268"/>
      <c r="F2213" s="242">
        <v>87</v>
      </c>
      <c r="H2213" s="181" t="s">
        <v>1705</v>
      </c>
      <c r="I2213"/>
      <c r="J2213" s="4"/>
      <c r="K2213" s="8">
        <f>K3458</f>
        <v>2850.6</v>
      </c>
    </row>
    <row r="2214" spans="1:11" hidden="1">
      <c r="A2214" s="268"/>
      <c r="I2214"/>
      <c r="J2214" s="4"/>
      <c r="K2214"/>
    </row>
    <row r="2215" spans="1:11" hidden="1">
      <c r="A2215" s="268"/>
      <c r="I2215"/>
      <c r="J2215" s="4"/>
      <c r="K2215"/>
    </row>
    <row r="2216" spans="1:11" ht="31.5" hidden="1">
      <c r="A2216" s="268"/>
      <c r="F2216" s="282">
        <v>77.400000000000006</v>
      </c>
      <c r="H2216" s="253" t="s">
        <v>1663</v>
      </c>
      <c r="I2216"/>
      <c r="J2216" s="4"/>
      <c r="K2216"/>
    </row>
    <row r="2217" spans="1:11" hidden="1">
      <c r="A2217" s="268"/>
      <c r="H2217" s="181" t="s">
        <v>767</v>
      </c>
      <c r="I2217"/>
      <c r="J2217" s="4"/>
      <c r="K2217"/>
    </row>
    <row r="2218" spans="1:11" hidden="1">
      <c r="A2218" s="268"/>
      <c r="F2218" s="182">
        <v>90</v>
      </c>
      <c r="G2218" s="180" t="s">
        <v>347</v>
      </c>
      <c r="H2218" s="276" t="s">
        <v>2132</v>
      </c>
      <c r="I2218">
        <v>16.95</v>
      </c>
      <c r="J2218" s="4" t="s">
        <v>347</v>
      </c>
      <c r="K2218">
        <f>I2218*F2218</f>
        <v>1525.5</v>
      </c>
    </row>
    <row r="2219" spans="1:11" hidden="1">
      <c r="A2219" s="268"/>
      <c r="F2219" s="182">
        <v>0.15</v>
      </c>
      <c r="G2219" s="180" t="s">
        <v>494</v>
      </c>
      <c r="H2219" s="182" t="s">
        <v>829</v>
      </c>
      <c r="I2219">
        <f>AC31</f>
        <v>3800</v>
      </c>
      <c r="J2219" s="4" t="s">
        <v>494</v>
      </c>
      <c r="K2219">
        <f>I2219*F2219</f>
        <v>570</v>
      </c>
    </row>
    <row r="2220" spans="1:11" hidden="1">
      <c r="A2220" s="268"/>
      <c r="F2220" s="182">
        <v>1</v>
      </c>
      <c r="G2220" s="180" t="s">
        <v>739</v>
      </c>
      <c r="H2220" s="182" t="s">
        <v>346</v>
      </c>
      <c r="I2220">
        <f>C780</f>
        <v>160</v>
      </c>
      <c r="J2220" s="4" t="s">
        <v>739</v>
      </c>
      <c r="K2220">
        <f>I2220*F2220</f>
        <v>160</v>
      </c>
    </row>
    <row r="2221" spans="1:11" hidden="1">
      <c r="A2221" s="268"/>
      <c r="F2221" s="182">
        <v>2</v>
      </c>
      <c r="G2221" s="180" t="s">
        <v>739</v>
      </c>
      <c r="H2221" s="182" t="s">
        <v>1654</v>
      </c>
      <c r="I2221">
        <f>AE10</f>
        <v>135</v>
      </c>
      <c r="J2221" s="4" t="s">
        <v>739</v>
      </c>
      <c r="K2221">
        <f>I2221*F2221</f>
        <v>270</v>
      </c>
    </row>
    <row r="2222" spans="1:11" hidden="1">
      <c r="A2222" s="268"/>
      <c r="F2222" s="182">
        <v>4</v>
      </c>
      <c r="G2222" s="180" t="s">
        <v>739</v>
      </c>
      <c r="H2222" s="182" t="s">
        <v>1237</v>
      </c>
      <c r="I2222">
        <f>C781</f>
        <v>110</v>
      </c>
      <c r="J2222" s="4" t="s">
        <v>739</v>
      </c>
      <c r="K2222">
        <f>I2222*F2222</f>
        <v>440</v>
      </c>
    </row>
    <row r="2223" spans="1:11" hidden="1">
      <c r="A2223" s="268"/>
      <c r="H2223" s="182" t="s">
        <v>348</v>
      </c>
      <c r="I2223"/>
      <c r="J2223" s="4"/>
      <c r="K2223">
        <v>8.5</v>
      </c>
    </row>
    <row r="2224" spans="1:11" hidden="1">
      <c r="A2224" s="268"/>
      <c r="I2224"/>
      <c r="J2224" s="4"/>
      <c r="K2224" s="5" t="s">
        <v>1530</v>
      </c>
    </row>
    <row r="2225" spans="1:11" hidden="1">
      <c r="A2225" s="268"/>
      <c r="H2225" s="181" t="s">
        <v>2183</v>
      </c>
      <c r="I2225"/>
      <c r="J2225" s="4"/>
      <c r="K2225" s="8">
        <f>SUM(K2218:K2223)</f>
        <v>2974</v>
      </c>
    </row>
    <row r="2226" spans="1:11" hidden="1">
      <c r="A2226" s="268"/>
      <c r="I2226"/>
      <c r="J2226" s="4"/>
      <c r="K2226" s="5" t="s">
        <v>1530</v>
      </c>
    </row>
    <row r="2227" spans="1:11" hidden="1">
      <c r="A2227" s="268"/>
      <c r="H2227" s="181" t="s">
        <v>1083</v>
      </c>
      <c r="I2227"/>
      <c r="J2227" s="4"/>
      <c r="K2227" s="8">
        <f>(K2225/90)</f>
        <v>33.04</v>
      </c>
    </row>
    <row r="2228" spans="1:11" hidden="1">
      <c r="A2228" s="268"/>
      <c r="I2228"/>
      <c r="J2228" s="4"/>
      <c r="K2228" s="5" t="s">
        <v>1980</v>
      </c>
    </row>
    <row r="2229" spans="1:11" hidden="1">
      <c r="A2229" s="268"/>
      <c r="I2229"/>
      <c r="J2229" s="4"/>
      <c r="K2229"/>
    </row>
    <row r="2230" spans="1:11" hidden="1">
      <c r="A2230" s="268"/>
      <c r="F2230" s="257">
        <v>78.099999999999994</v>
      </c>
      <c r="H2230" s="181" t="s">
        <v>1506</v>
      </c>
      <c r="I2230"/>
      <c r="J2230" s="4"/>
      <c r="K2230"/>
    </row>
    <row r="2231" spans="1:11" hidden="1">
      <c r="A2231" s="268"/>
      <c r="H2231" s="181" t="s">
        <v>767</v>
      </c>
      <c r="I2231"/>
      <c r="J2231" s="4"/>
      <c r="K2231"/>
    </row>
    <row r="2232" spans="1:11" hidden="1">
      <c r="A2232" s="268"/>
      <c r="F2232" s="182">
        <v>2.5</v>
      </c>
      <c r="G2232" s="180" t="s">
        <v>739</v>
      </c>
      <c r="H2232" s="182" t="s">
        <v>1507</v>
      </c>
      <c r="I2232">
        <v>120</v>
      </c>
      <c r="J2232" s="4" t="s">
        <v>739</v>
      </c>
      <c r="K2232">
        <f t="shared" ref="K2232:K2237" si="74">I2232*F2232</f>
        <v>300</v>
      </c>
    </row>
    <row r="2233" spans="1:11" hidden="1">
      <c r="A2233" s="268"/>
      <c r="F2233" s="182">
        <v>20</v>
      </c>
      <c r="G2233" s="180" t="s">
        <v>337</v>
      </c>
      <c r="H2233" s="182" t="s">
        <v>1508</v>
      </c>
      <c r="I2233">
        <v>4</v>
      </c>
      <c r="J2233" s="4" t="s">
        <v>337</v>
      </c>
      <c r="K2233">
        <f t="shared" si="74"/>
        <v>80</v>
      </c>
    </row>
    <row r="2234" spans="1:11" hidden="1">
      <c r="A2234" s="268"/>
      <c r="F2234" s="182">
        <v>9</v>
      </c>
      <c r="G2234" s="180" t="s">
        <v>337</v>
      </c>
      <c r="H2234" s="182" t="s">
        <v>1509</v>
      </c>
      <c r="I2234">
        <v>4</v>
      </c>
      <c r="J2234" s="4" t="s">
        <v>337</v>
      </c>
      <c r="K2234">
        <f t="shared" si="74"/>
        <v>36</v>
      </c>
    </row>
    <row r="2235" spans="1:11" hidden="1">
      <c r="A2235" s="268"/>
      <c r="F2235" s="182">
        <v>0.5</v>
      </c>
      <c r="G2235" s="180" t="s">
        <v>337</v>
      </c>
      <c r="H2235" s="182" t="s">
        <v>1235</v>
      </c>
      <c r="I2235">
        <v>30</v>
      </c>
      <c r="J2235" s="4" t="s">
        <v>337</v>
      </c>
      <c r="K2235">
        <f t="shared" si="74"/>
        <v>15</v>
      </c>
    </row>
    <row r="2236" spans="1:11" hidden="1">
      <c r="A2236" s="268"/>
      <c r="F2236" s="182">
        <v>0.5</v>
      </c>
      <c r="G2236" s="180" t="s">
        <v>739</v>
      </c>
      <c r="H2236" s="182" t="s">
        <v>1236</v>
      </c>
      <c r="I2236">
        <f>C780</f>
        <v>160</v>
      </c>
      <c r="J2236" s="4" t="s">
        <v>739</v>
      </c>
      <c r="K2236">
        <f t="shared" si="74"/>
        <v>80</v>
      </c>
    </row>
    <row r="2237" spans="1:11" hidden="1">
      <c r="A2237" s="268"/>
      <c r="F2237" s="182">
        <v>1</v>
      </c>
      <c r="G2237" s="180" t="s">
        <v>739</v>
      </c>
      <c r="H2237" s="182" t="s">
        <v>1237</v>
      </c>
      <c r="I2237">
        <f>C781</f>
        <v>110</v>
      </c>
      <c r="J2237" s="4" t="s">
        <v>739</v>
      </c>
      <c r="K2237">
        <f t="shared" si="74"/>
        <v>110</v>
      </c>
    </row>
    <row r="2238" spans="1:11" ht="31.5" hidden="1">
      <c r="A2238" s="268"/>
      <c r="G2238" s="180" t="s">
        <v>625</v>
      </c>
      <c r="H2238" s="276" t="s">
        <v>1238</v>
      </c>
      <c r="I2238"/>
      <c r="J2238" s="4" t="s">
        <v>625</v>
      </c>
      <c r="K2238">
        <v>165</v>
      </c>
    </row>
    <row r="2239" spans="1:11" hidden="1">
      <c r="A2239" s="268"/>
      <c r="G2239" s="180" t="s">
        <v>625</v>
      </c>
      <c r="H2239" s="182" t="s">
        <v>1167</v>
      </c>
      <c r="I2239"/>
      <c r="J2239" s="4" t="s">
        <v>625</v>
      </c>
      <c r="K2239">
        <v>9.5</v>
      </c>
    </row>
    <row r="2240" spans="1:11" hidden="1">
      <c r="A2240" s="268"/>
      <c r="I2240"/>
      <c r="J2240" s="4"/>
      <c r="K2240" s="5" t="s">
        <v>1530</v>
      </c>
    </row>
    <row r="2241" spans="1:11" hidden="1">
      <c r="A2241" s="268"/>
      <c r="H2241" s="182" t="s">
        <v>266</v>
      </c>
      <c r="I2241"/>
      <c r="J2241" s="4"/>
      <c r="K2241" s="8">
        <f>SUM(K2232:K2239)</f>
        <v>795.5</v>
      </c>
    </row>
    <row r="2242" spans="1:11" hidden="1">
      <c r="A2242" s="268"/>
      <c r="I2242"/>
      <c r="J2242" s="4"/>
      <c r="K2242" s="5" t="s">
        <v>1530</v>
      </c>
    </row>
    <row r="2243" spans="1:11" hidden="1">
      <c r="A2243" s="268"/>
    </row>
    <row r="2244" spans="1:11" ht="21.75" hidden="1">
      <c r="A2244" s="268"/>
      <c r="E2244" s="283"/>
      <c r="F2244" s="283"/>
      <c r="G2244" s="284"/>
      <c r="H2244" s="285" t="s">
        <v>2837</v>
      </c>
      <c r="I2244" s="283"/>
      <c r="J2244" s="286"/>
      <c r="K2244" s="287"/>
    </row>
    <row r="2245" spans="1:11" ht="17.25" hidden="1">
      <c r="A2245" s="268"/>
      <c r="E2245" s="283"/>
      <c r="F2245" s="284"/>
      <c r="G2245" s="283"/>
      <c r="H2245" s="283"/>
      <c r="I2245" s="286"/>
      <c r="J2245" s="283"/>
      <c r="K2245" s="283"/>
    </row>
    <row r="2246" spans="1:11" ht="17.25" hidden="1">
      <c r="A2246" s="268"/>
      <c r="E2246" s="283"/>
      <c r="F2246" s="284">
        <v>53.3</v>
      </c>
      <c r="G2246" s="283"/>
      <c r="H2246" s="283" t="s">
        <v>2838</v>
      </c>
      <c r="I2246" s="286"/>
      <c r="J2246" s="283"/>
      <c r="K2246" s="283">
        <v>957</v>
      </c>
    </row>
    <row r="2247" spans="1:11" ht="17.25" hidden="1">
      <c r="A2247" s="268"/>
      <c r="E2247" s="283"/>
      <c r="F2247" s="284"/>
      <c r="G2247" s="283"/>
      <c r="H2247" s="283"/>
      <c r="I2247" s="286"/>
      <c r="J2247" s="283"/>
      <c r="K2247" s="283"/>
    </row>
    <row r="2248" spans="1:11" ht="17.25" hidden="1">
      <c r="A2248" s="268"/>
      <c r="E2248" s="283"/>
      <c r="F2248" s="288" t="s">
        <v>2839</v>
      </c>
      <c r="G2248" s="283"/>
      <c r="H2248" s="289" t="s">
        <v>1928</v>
      </c>
      <c r="I2248" s="286"/>
      <c r="J2248" s="283"/>
      <c r="K2248" s="283"/>
    </row>
    <row r="2249" spans="1:11" ht="17.25" hidden="1">
      <c r="A2249" s="268"/>
      <c r="E2249" s="283"/>
      <c r="F2249" s="284"/>
      <c r="G2249" s="283"/>
      <c r="H2249" s="290" t="s">
        <v>1530</v>
      </c>
      <c r="I2249" s="290" t="s">
        <v>1530</v>
      </c>
      <c r="J2249" s="290" t="s">
        <v>1530</v>
      </c>
      <c r="K2249" s="283"/>
    </row>
    <row r="2250" spans="1:11" ht="17.25" hidden="1">
      <c r="A2250" s="268"/>
      <c r="E2250" s="283"/>
      <c r="F2250" s="284"/>
      <c r="G2250" s="283"/>
      <c r="H2250" s="283"/>
      <c r="I2250" s="286"/>
      <c r="J2250" s="283"/>
      <c r="K2250" s="283"/>
    </row>
    <row r="2251" spans="1:11" ht="17.25" hidden="1">
      <c r="A2251" s="268"/>
      <c r="E2251" s="283"/>
      <c r="F2251" s="284"/>
      <c r="G2251" s="283"/>
      <c r="H2251" s="283" t="s">
        <v>1929</v>
      </c>
      <c r="I2251" s="286"/>
      <c r="J2251" s="283"/>
      <c r="K2251" s="283"/>
    </row>
    <row r="2252" spans="1:11" ht="17.25" hidden="1">
      <c r="A2252" s="268"/>
      <c r="E2252" s="283"/>
      <c r="F2252" s="284"/>
      <c r="G2252" s="283"/>
      <c r="H2252" s="283" t="s">
        <v>1930</v>
      </c>
      <c r="I2252" s="286"/>
      <c r="J2252" s="283"/>
      <c r="K2252" s="283"/>
    </row>
    <row r="2253" spans="1:11" ht="17.25" hidden="1">
      <c r="A2253" s="268"/>
      <c r="E2253" s="283"/>
      <c r="F2253" s="284"/>
      <c r="G2253" s="283"/>
      <c r="H2253" s="283" t="s">
        <v>424</v>
      </c>
      <c r="I2253" s="286"/>
      <c r="J2253" s="283"/>
      <c r="K2253" s="283"/>
    </row>
    <row r="2254" spans="1:11" ht="17.25" hidden="1">
      <c r="A2254" s="268"/>
      <c r="E2254" s="283"/>
      <c r="F2254" s="284"/>
      <c r="G2254" s="283"/>
      <c r="H2254" s="283" t="s">
        <v>425</v>
      </c>
      <c r="I2254" s="286"/>
      <c r="J2254" s="283"/>
      <c r="K2254" s="283"/>
    </row>
    <row r="2255" spans="1:11" ht="17.25" hidden="1">
      <c r="A2255" s="268"/>
      <c r="E2255" s="283"/>
      <c r="F2255" s="284"/>
      <c r="G2255" s="283"/>
      <c r="H2255" s="283" t="s">
        <v>426</v>
      </c>
      <c r="I2255" s="286"/>
      <c r="J2255" s="283"/>
      <c r="K2255" s="283"/>
    </row>
    <row r="2256" spans="1:11" ht="17.25" hidden="1">
      <c r="A2256" s="268"/>
      <c r="E2256" s="283"/>
      <c r="F2256" s="284"/>
      <c r="G2256" s="283"/>
      <c r="H2256" s="283" t="s">
        <v>2840</v>
      </c>
      <c r="I2256" s="286"/>
      <c r="J2256" s="283" t="s">
        <v>940</v>
      </c>
      <c r="K2256" s="283">
        <v>3.32E-2</v>
      </c>
    </row>
    <row r="2257" spans="1:11" ht="17.25" hidden="1">
      <c r="A2257" s="268"/>
      <c r="E2257" s="283"/>
      <c r="F2257" s="284"/>
      <c r="G2257" s="283"/>
      <c r="H2257" s="283" t="s">
        <v>2841</v>
      </c>
      <c r="I2257" s="286"/>
      <c r="J2257" s="283" t="s">
        <v>940</v>
      </c>
      <c r="K2257" s="283" t="s">
        <v>940</v>
      </c>
    </row>
    <row r="2258" spans="1:11" ht="17.25" hidden="1">
      <c r="A2258" s="268"/>
      <c r="E2258" s="283"/>
      <c r="F2258" s="284"/>
      <c r="G2258" s="283"/>
      <c r="H2258" s="283" t="s">
        <v>1765</v>
      </c>
      <c r="I2258" s="286"/>
      <c r="J2258" s="283"/>
      <c r="K2258" s="283" t="s">
        <v>940</v>
      </c>
    </row>
    <row r="2259" spans="1:11" ht="17.25" hidden="1">
      <c r="A2259" s="268"/>
      <c r="E2259" s="283"/>
      <c r="F2259" s="284"/>
      <c r="G2259" s="283"/>
      <c r="H2259" s="283"/>
      <c r="I2259" s="286"/>
      <c r="J2259" s="283"/>
      <c r="K2259" s="283"/>
    </row>
    <row r="2260" spans="1:11" ht="17.25" hidden="1">
      <c r="A2260" s="268"/>
      <c r="E2260" s="283"/>
      <c r="F2260" s="291">
        <v>1.18E-2</v>
      </c>
      <c r="G2260" s="283" t="s">
        <v>836</v>
      </c>
      <c r="H2260" s="283" t="s">
        <v>660</v>
      </c>
      <c r="I2260" s="286">
        <f>I1083</f>
        <v>65420</v>
      </c>
      <c r="J2260" s="283" t="s">
        <v>836</v>
      </c>
      <c r="K2260" s="283">
        <f>I2260*F2260</f>
        <v>771.96</v>
      </c>
    </row>
    <row r="2261" spans="1:11" ht="17.25" hidden="1">
      <c r="A2261" s="268"/>
      <c r="E2261" s="283"/>
      <c r="F2261" s="291">
        <v>3.7699999999999997E-2</v>
      </c>
      <c r="G2261" s="283" t="s">
        <v>836</v>
      </c>
      <c r="H2261" s="283" t="s">
        <v>661</v>
      </c>
      <c r="I2261" s="286">
        <f>I1084</f>
        <v>57165</v>
      </c>
      <c r="J2261" s="283" t="s">
        <v>836</v>
      </c>
      <c r="K2261" s="283">
        <f t="shared" ref="K2261:K2269" si="75">I2261*F2261</f>
        <v>2155.12</v>
      </c>
    </row>
    <row r="2262" spans="1:11" ht="17.25" hidden="1">
      <c r="A2262" s="268"/>
      <c r="E2262" s="283"/>
      <c r="F2262" s="291">
        <v>1.8550000000000001E-2</v>
      </c>
      <c r="G2262" s="283" t="s">
        <v>836</v>
      </c>
      <c r="H2262" s="283" t="s">
        <v>853</v>
      </c>
      <c r="I2262" s="286">
        <f>I1085</f>
        <v>3035</v>
      </c>
      <c r="J2262" s="283" t="s">
        <v>836</v>
      </c>
      <c r="K2262" s="283">
        <f t="shared" si="75"/>
        <v>56.3</v>
      </c>
    </row>
    <row r="2263" spans="1:11" ht="17.25" hidden="1">
      <c r="A2263" s="268"/>
      <c r="E2263" s="283"/>
      <c r="F2263" s="291">
        <v>1.36</v>
      </c>
      <c r="G2263" s="283" t="s">
        <v>578</v>
      </c>
      <c r="H2263" s="283" t="s">
        <v>854</v>
      </c>
      <c r="I2263" s="286">
        <v>385.89</v>
      </c>
      <c r="J2263" s="283" t="s">
        <v>578</v>
      </c>
      <c r="K2263" s="283">
        <f t="shared" si="75"/>
        <v>524.80999999999995</v>
      </c>
    </row>
    <row r="2264" spans="1:11" ht="17.25" hidden="1">
      <c r="A2264" s="268"/>
      <c r="E2264" s="283"/>
      <c r="F2264" s="291">
        <v>2.0499999999999998</v>
      </c>
      <c r="G2264" s="283" t="s">
        <v>578</v>
      </c>
      <c r="H2264" s="283" t="s">
        <v>1449</v>
      </c>
      <c r="I2264" s="286">
        <f>I1087</f>
        <v>287</v>
      </c>
      <c r="J2264" s="283" t="s">
        <v>578</v>
      </c>
      <c r="K2264" s="283">
        <f t="shared" si="75"/>
        <v>588.35</v>
      </c>
    </row>
    <row r="2265" spans="1:11" ht="17.25" hidden="1">
      <c r="A2265" s="268"/>
      <c r="E2265" s="283"/>
      <c r="F2265" s="292">
        <v>2</v>
      </c>
      <c r="G2265" s="283" t="s">
        <v>835</v>
      </c>
      <c r="H2265" s="283" t="s">
        <v>1332</v>
      </c>
      <c r="I2265" s="286">
        <v>25</v>
      </c>
      <c r="J2265" s="283" t="s">
        <v>835</v>
      </c>
      <c r="K2265" s="283">
        <f t="shared" si="75"/>
        <v>50</v>
      </c>
    </row>
    <row r="2266" spans="1:11" ht="17.25" hidden="1">
      <c r="A2266" s="268"/>
      <c r="E2266" s="283"/>
      <c r="F2266" s="292">
        <v>6</v>
      </c>
      <c r="G2266" s="283" t="s">
        <v>835</v>
      </c>
      <c r="H2266" s="283" t="s">
        <v>1291</v>
      </c>
      <c r="I2266" s="286">
        <v>25</v>
      </c>
      <c r="J2266" s="283" t="s">
        <v>835</v>
      </c>
      <c r="K2266" s="283">
        <f t="shared" si="75"/>
        <v>150</v>
      </c>
    </row>
    <row r="2267" spans="1:11" ht="17.25" hidden="1">
      <c r="A2267" s="268"/>
      <c r="E2267" s="283"/>
      <c r="F2267" s="292">
        <v>2</v>
      </c>
      <c r="G2267" s="283" t="s">
        <v>835</v>
      </c>
      <c r="H2267" s="283" t="s">
        <v>2339</v>
      </c>
      <c r="I2267" s="286">
        <v>35</v>
      </c>
      <c r="J2267" s="283" t="s">
        <v>835</v>
      </c>
      <c r="K2267" s="283">
        <f t="shared" si="75"/>
        <v>70</v>
      </c>
    </row>
    <row r="2268" spans="1:11" ht="17.25" hidden="1">
      <c r="A2268" s="268"/>
      <c r="E2268" s="283"/>
      <c r="F2268" s="292">
        <v>1</v>
      </c>
      <c r="G2268" s="283" t="s">
        <v>835</v>
      </c>
      <c r="H2268" s="283" t="s">
        <v>1360</v>
      </c>
      <c r="I2268" s="286">
        <v>60</v>
      </c>
      <c r="J2268" s="283" t="s">
        <v>835</v>
      </c>
      <c r="K2268" s="283">
        <f t="shared" si="75"/>
        <v>60</v>
      </c>
    </row>
    <row r="2269" spans="1:11" ht="17.25" hidden="1">
      <c r="A2269" s="268"/>
      <c r="E2269" s="283"/>
      <c r="F2269" s="291">
        <v>2.52</v>
      </c>
      <c r="G2269" s="283" t="s">
        <v>578</v>
      </c>
      <c r="H2269" s="283" t="s">
        <v>1655</v>
      </c>
      <c r="I2269" s="286">
        <f>K1122</f>
        <v>51.25</v>
      </c>
      <c r="J2269" s="283" t="s">
        <v>578</v>
      </c>
      <c r="K2269" s="283">
        <f t="shared" si="75"/>
        <v>129.15</v>
      </c>
    </row>
    <row r="2270" spans="1:11" ht="17.25" hidden="1">
      <c r="A2270" s="268"/>
      <c r="E2270" s="283"/>
      <c r="F2270" s="284"/>
      <c r="G2270" s="283"/>
      <c r="H2270" s="283" t="s">
        <v>1357</v>
      </c>
      <c r="I2270" s="286" t="s">
        <v>419</v>
      </c>
      <c r="J2270" s="283"/>
      <c r="K2270" s="283">
        <v>0.28000000000000003</v>
      </c>
    </row>
    <row r="2271" spans="1:11" ht="17.25" hidden="1">
      <c r="A2271" s="268"/>
      <c r="E2271" s="283"/>
      <c r="F2271" s="284"/>
      <c r="G2271" s="283"/>
      <c r="H2271" s="283"/>
      <c r="I2271" s="286"/>
      <c r="J2271" s="283"/>
      <c r="K2271" s="293" t="s">
        <v>1530</v>
      </c>
    </row>
    <row r="2272" spans="1:11" ht="17.25" hidden="1">
      <c r="A2272" s="268"/>
      <c r="E2272" s="283"/>
      <c r="F2272" s="284"/>
      <c r="G2272" s="283"/>
      <c r="H2272" s="283" t="s">
        <v>1358</v>
      </c>
      <c r="I2272" s="286"/>
      <c r="J2272" s="283"/>
      <c r="K2272" s="283">
        <f>SUM(K2260:K2271)</f>
        <v>4555.97</v>
      </c>
    </row>
    <row r="2273" spans="1:11" ht="17.25" hidden="1">
      <c r="A2273" s="268"/>
      <c r="E2273" s="283"/>
      <c r="F2273" s="284"/>
      <c r="G2273" s="283" t="s">
        <v>940</v>
      </c>
      <c r="H2273" s="283"/>
      <c r="I2273" s="286"/>
      <c r="J2273" s="283"/>
      <c r="K2273" s="293" t="s">
        <v>1530</v>
      </c>
    </row>
    <row r="2274" spans="1:11" ht="17.25" hidden="1">
      <c r="A2274" s="268"/>
      <c r="E2274" s="283"/>
      <c r="F2274" s="284"/>
      <c r="G2274" s="283"/>
      <c r="H2274" s="283" t="s">
        <v>521</v>
      </c>
      <c r="I2274" s="286"/>
      <c r="J2274" s="283"/>
      <c r="K2274" s="283">
        <f>K2272/F2269</f>
        <v>1807.92</v>
      </c>
    </row>
    <row r="2275" spans="1:11" ht="17.25" hidden="1">
      <c r="A2275" s="268"/>
      <c r="E2275" s="283"/>
      <c r="F2275" s="284"/>
      <c r="G2275" s="283"/>
      <c r="H2275" s="283"/>
      <c r="I2275" s="286"/>
      <c r="J2275" s="283"/>
      <c r="K2275" s="283"/>
    </row>
    <row r="2276" spans="1:11" ht="17.25" hidden="1">
      <c r="A2276" s="268"/>
      <c r="E2276" s="283"/>
      <c r="F2276" s="283"/>
      <c r="G2276" s="284"/>
      <c r="H2276" s="283"/>
      <c r="I2276" s="283"/>
      <c r="J2276" s="286"/>
      <c r="K2276" s="283"/>
    </row>
    <row r="2277" spans="1:11" ht="17.25" hidden="1">
      <c r="A2277" s="268"/>
      <c r="E2277" s="283"/>
      <c r="F2277" s="283"/>
      <c r="G2277" s="284"/>
      <c r="H2277" s="283"/>
      <c r="I2277" s="283"/>
      <c r="J2277" s="286"/>
      <c r="K2277" s="283"/>
    </row>
    <row r="2278" spans="1:11" ht="34.5" hidden="1">
      <c r="A2278" s="268"/>
      <c r="E2278" s="283"/>
      <c r="F2278" s="283"/>
      <c r="G2278" s="284"/>
      <c r="H2278" s="290" t="s">
        <v>3393</v>
      </c>
      <c r="I2278" s="283"/>
      <c r="J2278" s="286" t="s">
        <v>1341</v>
      </c>
      <c r="K2278" s="283">
        <v>600</v>
      </c>
    </row>
    <row r="2279" spans="1:11" ht="17.25" hidden="1">
      <c r="A2279" s="268"/>
      <c r="E2279" s="283"/>
      <c r="F2279" s="283"/>
      <c r="G2279" s="284"/>
      <c r="H2279" s="283"/>
      <c r="I2279" s="283"/>
      <c r="J2279" s="286"/>
      <c r="K2279" s="283"/>
    </row>
    <row r="2280" spans="1:11" ht="17.25" hidden="1">
      <c r="A2280" s="268"/>
      <c r="E2280" s="283"/>
      <c r="F2280" s="283"/>
      <c r="G2280" s="284"/>
      <c r="H2280" s="283"/>
      <c r="I2280" s="283"/>
      <c r="J2280" s="286"/>
      <c r="K2280" s="283"/>
    </row>
    <row r="2281" spans="1:11" ht="17.25" hidden="1">
      <c r="A2281" s="268"/>
      <c r="E2281" s="283"/>
      <c r="F2281" s="283"/>
      <c r="G2281" s="284"/>
      <c r="H2281" s="290" t="s">
        <v>2324</v>
      </c>
      <c r="I2281" s="283"/>
      <c r="J2281" s="286" t="s">
        <v>1341</v>
      </c>
      <c r="K2281" s="283">
        <v>300</v>
      </c>
    </row>
    <row r="2282" spans="1:11" ht="17.25" hidden="1">
      <c r="A2282" s="268"/>
      <c r="E2282" s="283"/>
      <c r="F2282" s="283"/>
      <c r="G2282" s="284"/>
      <c r="H2282" s="283"/>
      <c r="I2282" s="283"/>
      <c r="J2282" s="286"/>
      <c r="K2282" s="283"/>
    </row>
    <row r="2283" spans="1:11" ht="17.25" hidden="1">
      <c r="A2283" s="268"/>
      <c r="E2283" s="283"/>
      <c r="F2283" s="283"/>
      <c r="G2283" s="284"/>
      <c r="H2283" s="283"/>
      <c r="I2283" s="283"/>
      <c r="J2283" s="286"/>
      <c r="K2283" s="283"/>
    </row>
    <row r="2284" spans="1:11" ht="17.25" hidden="1">
      <c r="A2284" s="268"/>
      <c r="E2284" s="283"/>
      <c r="F2284" s="283"/>
      <c r="G2284" s="284"/>
      <c r="H2284" s="283"/>
      <c r="I2284" s="283"/>
      <c r="J2284" s="286"/>
      <c r="K2284" s="283"/>
    </row>
    <row r="2285" spans="1:11" ht="17.25" hidden="1">
      <c r="A2285" s="268"/>
      <c r="E2285" s="283"/>
      <c r="F2285" s="283"/>
      <c r="G2285" s="284"/>
      <c r="H2285" s="290" t="s">
        <v>2325</v>
      </c>
      <c r="I2285" s="283"/>
      <c r="J2285" s="286" t="s">
        <v>1341</v>
      </c>
      <c r="K2285" s="283">
        <v>260</v>
      </c>
    </row>
    <row r="2286" spans="1:11" ht="17.25" hidden="1">
      <c r="A2286" s="268"/>
      <c r="E2286" s="283"/>
      <c r="F2286" s="283"/>
      <c r="G2286" s="284"/>
      <c r="H2286" s="283"/>
      <c r="I2286" s="283"/>
      <c r="J2286" s="286"/>
      <c r="K2286" s="283"/>
    </row>
    <row r="2287" spans="1:11" ht="17.25" hidden="1">
      <c r="A2287" s="268"/>
      <c r="E2287" s="283"/>
      <c r="F2287" s="283"/>
      <c r="G2287" s="284"/>
      <c r="H2287" s="283"/>
      <c r="I2287" s="283"/>
      <c r="J2287" s="286"/>
      <c r="K2287" s="283"/>
    </row>
    <row r="2288" spans="1:11" ht="17.25" hidden="1">
      <c r="A2288" s="268"/>
      <c r="E2288" s="283"/>
      <c r="F2288" s="283"/>
      <c r="G2288" s="284"/>
      <c r="H2288" s="283"/>
      <c r="I2288" s="283"/>
      <c r="J2288" s="286"/>
      <c r="K2288" s="283"/>
    </row>
    <row r="2289" spans="1:11" ht="17.25" hidden="1">
      <c r="A2289" s="268"/>
      <c r="E2289" s="283"/>
      <c r="F2289" s="283"/>
      <c r="G2289" s="284"/>
      <c r="H2289" s="290" t="s">
        <v>2326</v>
      </c>
      <c r="I2289" s="283"/>
      <c r="J2289" s="286" t="s">
        <v>1341</v>
      </c>
      <c r="K2289" s="283">
        <v>650</v>
      </c>
    </row>
    <row r="2290" spans="1:11" ht="17.25" hidden="1">
      <c r="A2290" s="268"/>
      <c r="E2290" s="283"/>
      <c r="F2290" s="283"/>
      <c r="G2290" s="284"/>
      <c r="H2290" s="283"/>
      <c r="I2290" s="283"/>
      <c r="J2290" s="286"/>
      <c r="K2290" s="283"/>
    </row>
    <row r="2291" spans="1:11" ht="17.25" hidden="1">
      <c r="A2291" s="268"/>
      <c r="E2291" s="283"/>
      <c r="F2291" s="283"/>
      <c r="G2291" s="284"/>
      <c r="H2291" s="283"/>
      <c r="I2291" s="283"/>
      <c r="J2291" s="286"/>
      <c r="K2291" s="283"/>
    </row>
    <row r="2292" spans="1:11" ht="17.25" hidden="1">
      <c r="A2292" s="268"/>
      <c r="E2292" s="283"/>
      <c r="F2292" s="283"/>
      <c r="G2292" s="284"/>
      <c r="H2292" s="283" t="s">
        <v>3349</v>
      </c>
      <c r="I2292" s="283"/>
      <c r="J2292" s="286" t="s">
        <v>1341</v>
      </c>
      <c r="K2292" s="283">
        <v>436</v>
      </c>
    </row>
    <row r="2293" spans="1:11" ht="17.25" hidden="1">
      <c r="A2293" s="268"/>
      <c r="E2293" s="283"/>
      <c r="F2293" s="283"/>
      <c r="G2293" s="284"/>
      <c r="H2293" s="283"/>
      <c r="I2293" s="283"/>
      <c r="J2293" s="286"/>
      <c r="K2293" s="283"/>
    </row>
    <row r="2294" spans="1:11" ht="17.25" hidden="1">
      <c r="A2294" s="268"/>
      <c r="E2294" s="283"/>
      <c r="F2294" s="283"/>
      <c r="G2294" s="284"/>
      <c r="H2294" s="283"/>
      <c r="I2294" s="283"/>
      <c r="J2294" s="286"/>
      <c r="K2294" s="283"/>
    </row>
    <row r="2295" spans="1:11" ht="17.25" hidden="1">
      <c r="A2295" s="268"/>
      <c r="E2295" s="283"/>
      <c r="F2295" s="283"/>
      <c r="G2295" s="284"/>
      <c r="H2295" s="283" t="s">
        <v>3350</v>
      </c>
      <c r="I2295" s="283"/>
      <c r="J2295" s="286" t="s">
        <v>1341</v>
      </c>
      <c r="K2295" s="283">
        <v>518</v>
      </c>
    </row>
    <row r="2296" spans="1:11" ht="17.25" hidden="1">
      <c r="A2296" s="268"/>
      <c r="E2296" s="283"/>
      <c r="F2296" s="283"/>
      <c r="G2296" s="284"/>
      <c r="H2296" s="283"/>
      <c r="I2296" s="283"/>
      <c r="J2296" s="286"/>
      <c r="K2296" s="283"/>
    </row>
    <row r="2297" spans="1:11" ht="17.25" hidden="1">
      <c r="A2297" s="268"/>
      <c r="E2297" s="283"/>
      <c r="F2297" s="283"/>
      <c r="G2297" s="284"/>
      <c r="H2297" s="283"/>
      <c r="I2297" s="283"/>
      <c r="J2297" s="286"/>
      <c r="K2297" s="283"/>
    </row>
    <row r="2298" spans="1:11" ht="17.25" hidden="1">
      <c r="A2298" s="268"/>
      <c r="E2298" s="283"/>
      <c r="F2298" s="283"/>
      <c r="G2298" s="284"/>
      <c r="H2298" s="283"/>
      <c r="I2298" s="283"/>
      <c r="J2298" s="286"/>
      <c r="K2298" s="283"/>
    </row>
    <row r="2299" spans="1:11" ht="34.5" hidden="1">
      <c r="A2299" s="268"/>
      <c r="E2299" s="283"/>
      <c r="F2299" s="283"/>
      <c r="G2299" s="284"/>
      <c r="H2299" s="290" t="s">
        <v>3351</v>
      </c>
      <c r="I2299" s="283"/>
      <c r="J2299" s="286"/>
      <c r="K2299" s="283"/>
    </row>
    <row r="2300" spans="1:11" ht="17.25" hidden="1">
      <c r="A2300" s="268"/>
      <c r="E2300" s="283"/>
      <c r="F2300" s="283"/>
      <c r="G2300" s="284"/>
      <c r="H2300" s="283"/>
      <c r="I2300" s="283"/>
      <c r="J2300" s="286"/>
      <c r="K2300" s="283"/>
    </row>
    <row r="2301" spans="1:11" ht="17.25" hidden="1">
      <c r="A2301" s="268"/>
      <c r="E2301" s="283"/>
      <c r="F2301" s="283"/>
      <c r="G2301" s="284"/>
      <c r="H2301" s="283" t="s">
        <v>3352</v>
      </c>
      <c r="I2301" s="283"/>
      <c r="J2301" s="286"/>
      <c r="K2301" s="283"/>
    </row>
    <row r="2302" spans="1:11" ht="17.25" hidden="1">
      <c r="A2302" s="268"/>
      <c r="E2302" s="283"/>
      <c r="F2302" s="283"/>
      <c r="G2302" s="284"/>
      <c r="H2302" s="283" t="s">
        <v>3353</v>
      </c>
      <c r="I2302" s="283"/>
      <c r="J2302" s="286"/>
      <c r="K2302" s="283"/>
    </row>
    <row r="2303" spans="1:11" ht="17.25" hidden="1">
      <c r="A2303" s="268"/>
      <c r="E2303" s="283"/>
      <c r="F2303" s="283"/>
      <c r="G2303" s="284"/>
      <c r="H2303" s="283"/>
      <c r="I2303" s="283"/>
      <c r="J2303" s="286"/>
      <c r="K2303" s="283"/>
    </row>
    <row r="2304" spans="1:11" ht="17.25" hidden="1">
      <c r="A2304" s="268"/>
      <c r="E2304" s="283"/>
      <c r="F2304" s="283"/>
      <c r="G2304" s="284"/>
      <c r="H2304" s="283"/>
      <c r="I2304" s="283"/>
      <c r="J2304" s="286"/>
      <c r="K2304" s="283"/>
    </row>
    <row r="2305" spans="1:11" ht="17.25" hidden="1">
      <c r="A2305" s="268"/>
      <c r="E2305" s="283"/>
      <c r="F2305" s="283"/>
      <c r="G2305" s="284"/>
      <c r="H2305" s="283"/>
      <c r="I2305" s="283"/>
      <c r="J2305" s="286"/>
      <c r="K2305" s="283"/>
    </row>
    <row r="2306" spans="1:11" ht="17.25" hidden="1">
      <c r="A2306" s="268"/>
      <c r="E2306" s="283"/>
      <c r="F2306" s="283">
        <v>1.96</v>
      </c>
      <c r="G2306" s="284" t="s">
        <v>2070</v>
      </c>
      <c r="H2306" s="283" t="s">
        <v>3354</v>
      </c>
      <c r="I2306" s="283" t="e">
        <f>K1644</f>
        <v>#REF!</v>
      </c>
      <c r="J2306" s="286" t="s">
        <v>2070</v>
      </c>
      <c r="K2306" s="283" t="e">
        <f t="shared" ref="K2306:K2311" si="76">I2306*F2306</f>
        <v>#REF!</v>
      </c>
    </row>
    <row r="2307" spans="1:11" ht="17.25" hidden="1">
      <c r="A2307" s="268"/>
      <c r="E2307" s="283"/>
      <c r="F2307" s="283">
        <v>2</v>
      </c>
      <c r="G2307" s="284" t="s">
        <v>1337</v>
      </c>
      <c r="H2307" s="283" t="s">
        <v>3355</v>
      </c>
      <c r="I2307" s="283">
        <f>C10</f>
        <v>150</v>
      </c>
      <c r="J2307" s="286" t="s">
        <v>1337</v>
      </c>
      <c r="K2307" s="283">
        <f t="shared" si="76"/>
        <v>300</v>
      </c>
    </row>
    <row r="2308" spans="1:11" ht="17.25" hidden="1">
      <c r="A2308" s="268"/>
      <c r="E2308" s="283"/>
      <c r="F2308" s="283">
        <v>2</v>
      </c>
      <c r="G2308" s="284" t="s">
        <v>1337</v>
      </c>
      <c r="H2308" s="283" t="s">
        <v>3356</v>
      </c>
      <c r="I2308" s="283">
        <f>C13</f>
        <v>85</v>
      </c>
      <c r="J2308" s="286" t="s">
        <v>1337</v>
      </c>
      <c r="K2308" s="283">
        <f t="shared" si="76"/>
        <v>170</v>
      </c>
    </row>
    <row r="2309" spans="1:11" ht="17.25" hidden="1">
      <c r="A2309" s="268"/>
      <c r="E2309" s="283"/>
      <c r="F2309" s="283">
        <v>500</v>
      </c>
      <c r="G2309" s="284" t="s">
        <v>1337</v>
      </c>
      <c r="H2309" s="283" t="s">
        <v>3357</v>
      </c>
      <c r="I2309" s="283">
        <v>2</v>
      </c>
      <c r="J2309" s="286" t="s">
        <v>1337</v>
      </c>
      <c r="K2309" s="283">
        <f t="shared" si="76"/>
        <v>1000</v>
      </c>
    </row>
    <row r="2310" spans="1:11" ht="17.25" hidden="1">
      <c r="A2310" s="268"/>
      <c r="E2310" s="283"/>
      <c r="F2310" s="283">
        <v>8.5</v>
      </c>
      <c r="G2310" s="284" t="s">
        <v>2065</v>
      </c>
      <c r="H2310" s="283" t="s">
        <v>3358</v>
      </c>
      <c r="I2310" s="283">
        <v>25</v>
      </c>
      <c r="J2310" s="286" t="s">
        <v>2065</v>
      </c>
      <c r="K2310" s="283">
        <f t="shared" si="76"/>
        <v>212.5</v>
      </c>
    </row>
    <row r="2311" spans="1:11" ht="17.25" hidden="1">
      <c r="A2311" s="268"/>
      <c r="E2311" s="283"/>
      <c r="F2311" s="283">
        <v>0.28000000000000003</v>
      </c>
      <c r="G2311" s="284" t="s">
        <v>2199</v>
      </c>
      <c r="H2311" s="283" t="s">
        <v>3359</v>
      </c>
      <c r="I2311" s="283">
        <f>K2448</f>
        <v>168.13</v>
      </c>
      <c r="J2311" s="286" t="s">
        <v>2199</v>
      </c>
      <c r="K2311" s="283">
        <f t="shared" si="76"/>
        <v>47.08</v>
      </c>
    </row>
    <row r="2312" spans="1:11" ht="17.25" hidden="1">
      <c r="A2312" s="268"/>
      <c r="E2312" s="283"/>
      <c r="F2312" s="283"/>
      <c r="G2312" s="284"/>
      <c r="H2312" s="283"/>
      <c r="I2312" s="283"/>
      <c r="J2312" s="286"/>
      <c r="K2312" s="283" t="s">
        <v>3360</v>
      </c>
    </row>
    <row r="2313" spans="1:11" ht="17.25" hidden="1">
      <c r="A2313" s="268"/>
      <c r="E2313" s="283"/>
      <c r="F2313" s="283"/>
      <c r="G2313" s="284"/>
      <c r="H2313" s="283"/>
      <c r="I2313" s="283" t="s">
        <v>3361</v>
      </c>
      <c r="J2313" s="286">
        <v>39.200000000000003</v>
      </c>
      <c r="K2313" s="283" t="e">
        <f>SUM(K2306:K2312)</f>
        <v>#REF!</v>
      </c>
    </row>
    <row r="2314" spans="1:11" ht="17.25" hidden="1">
      <c r="A2314" s="268"/>
      <c r="E2314" s="283"/>
      <c r="F2314" s="283"/>
      <c r="G2314" s="284"/>
      <c r="H2314" s="283"/>
      <c r="I2314" s="283"/>
      <c r="J2314" s="286"/>
      <c r="K2314" s="283" t="s">
        <v>3362</v>
      </c>
    </row>
    <row r="2315" spans="1:11" ht="17.25" hidden="1">
      <c r="A2315" s="268"/>
      <c r="E2315" s="283"/>
      <c r="F2315" s="283"/>
      <c r="G2315" s="284"/>
      <c r="H2315" s="283"/>
      <c r="I2315" s="283"/>
      <c r="J2315" s="286"/>
      <c r="K2315" s="283"/>
    </row>
    <row r="2316" spans="1:11" ht="17.25" hidden="1">
      <c r="A2316" s="268"/>
      <c r="E2316" s="283"/>
      <c r="F2316" s="283"/>
      <c r="G2316" s="284"/>
      <c r="H2316" s="283"/>
      <c r="I2316" s="283" t="s">
        <v>3363</v>
      </c>
      <c r="J2316" s="286"/>
      <c r="K2316" s="294" t="e">
        <f>K2313/J2313</f>
        <v>#REF!</v>
      </c>
    </row>
    <row r="2317" spans="1:11" ht="17.25" hidden="1">
      <c r="A2317" s="268"/>
      <c r="E2317" s="283"/>
      <c r="F2317" s="283"/>
      <c r="G2317" s="284"/>
      <c r="H2317" s="283"/>
      <c r="I2317" s="283"/>
      <c r="J2317" s="286"/>
      <c r="K2317" s="293" t="s">
        <v>1980</v>
      </c>
    </row>
    <row r="2318" spans="1:11" ht="17.25" hidden="1">
      <c r="A2318" s="268"/>
      <c r="E2318" s="283"/>
      <c r="F2318" s="283"/>
      <c r="G2318" s="284"/>
      <c r="H2318" s="283"/>
      <c r="I2318" s="283"/>
      <c r="J2318" s="286"/>
      <c r="K2318" s="283"/>
    </row>
    <row r="2319" spans="1:11" ht="34.5" hidden="1">
      <c r="A2319" s="268"/>
      <c r="E2319" s="283"/>
      <c r="F2319" s="283"/>
      <c r="G2319" s="284"/>
      <c r="H2319" s="290" t="s">
        <v>3364</v>
      </c>
      <c r="I2319" s="283"/>
      <c r="J2319" s="286"/>
      <c r="K2319" s="283"/>
    </row>
    <row r="2320" spans="1:11" ht="17.25" hidden="1">
      <c r="A2320" s="268"/>
      <c r="E2320" s="283"/>
      <c r="F2320" s="283"/>
      <c r="G2320" s="284"/>
      <c r="H2320" s="283"/>
      <c r="I2320" s="283"/>
      <c r="J2320" s="286"/>
      <c r="K2320" s="283"/>
    </row>
    <row r="2321" spans="1:11" ht="17.25" hidden="1">
      <c r="A2321" s="268"/>
      <c r="E2321" s="283"/>
      <c r="F2321" s="283">
        <v>4</v>
      </c>
      <c r="G2321" s="284" t="s">
        <v>794</v>
      </c>
      <c r="H2321" s="283" t="s">
        <v>3394</v>
      </c>
      <c r="I2321" s="283">
        <v>110</v>
      </c>
      <c r="J2321" s="286" t="s">
        <v>794</v>
      </c>
      <c r="K2321" s="283">
        <f>I2321*F2321</f>
        <v>440</v>
      </c>
    </row>
    <row r="2322" spans="1:11" ht="17.25" hidden="1">
      <c r="A2322" s="268"/>
      <c r="E2322" s="283"/>
      <c r="F2322" s="283">
        <v>2.52</v>
      </c>
      <c r="G2322" s="284" t="s">
        <v>1591</v>
      </c>
      <c r="H2322" s="283" t="s">
        <v>2708</v>
      </c>
      <c r="I2322" s="283">
        <v>30</v>
      </c>
      <c r="J2322" s="286" t="s">
        <v>1591</v>
      </c>
      <c r="K2322" s="283">
        <f t="shared" ref="K2322:K2328" si="77">I2322*F2322</f>
        <v>75.599999999999994</v>
      </c>
    </row>
    <row r="2323" spans="1:11" ht="17.25" hidden="1">
      <c r="A2323" s="268"/>
      <c r="E2323" s="283"/>
      <c r="F2323" s="283">
        <v>1.1299999999999999</v>
      </c>
      <c r="G2323" s="284" t="s">
        <v>1591</v>
      </c>
      <c r="H2323" s="283" t="s">
        <v>2709</v>
      </c>
      <c r="I2323" s="283">
        <v>30</v>
      </c>
      <c r="J2323" s="286" t="s">
        <v>1591</v>
      </c>
      <c r="K2323" s="283">
        <f t="shared" si="77"/>
        <v>33.9</v>
      </c>
    </row>
    <row r="2324" spans="1:11" ht="17.25" hidden="1">
      <c r="A2324" s="268"/>
      <c r="E2324" s="283"/>
      <c r="F2324" s="283">
        <v>0.35</v>
      </c>
      <c r="G2324" s="284" t="s">
        <v>1591</v>
      </c>
      <c r="H2324" s="283" t="s">
        <v>2710</v>
      </c>
      <c r="I2324" s="283">
        <v>30</v>
      </c>
      <c r="J2324" s="286" t="s">
        <v>1591</v>
      </c>
      <c r="K2324" s="283">
        <f t="shared" si="77"/>
        <v>10.5</v>
      </c>
    </row>
    <row r="2325" spans="1:11" ht="17.25" hidden="1">
      <c r="A2325" s="268"/>
      <c r="E2325" s="283"/>
      <c r="F2325" s="283">
        <v>4</v>
      </c>
      <c r="G2325" s="284" t="s">
        <v>1591</v>
      </c>
      <c r="H2325" s="283" t="s">
        <v>104</v>
      </c>
      <c r="I2325" s="283">
        <v>12.25</v>
      </c>
      <c r="J2325" s="286" t="s">
        <v>1591</v>
      </c>
      <c r="K2325" s="283">
        <f t="shared" si="77"/>
        <v>49</v>
      </c>
    </row>
    <row r="2326" spans="1:11" ht="17.25" hidden="1">
      <c r="A2326" s="268"/>
      <c r="E2326" s="283"/>
      <c r="F2326" s="283">
        <v>6</v>
      </c>
      <c r="G2326" s="284" t="s">
        <v>1375</v>
      </c>
      <c r="H2326" s="283" t="s">
        <v>2711</v>
      </c>
      <c r="I2326" s="283">
        <v>1</v>
      </c>
      <c r="J2326" s="286" t="s">
        <v>1341</v>
      </c>
      <c r="K2326" s="283">
        <f t="shared" si="77"/>
        <v>6</v>
      </c>
    </row>
    <row r="2327" spans="1:11" ht="17.25" hidden="1">
      <c r="A2327" s="268"/>
      <c r="E2327" s="283"/>
      <c r="F2327" s="283">
        <v>0.5</v>
      </c>
      <c r="G2327" s="284" t="s">
        <v>1375</v>
      </c>
      <c r="H2327" s="283" t="s">
        <v>2712</v>
      </c>
      <c r="I2327" s="283">
        <f>C12</f>
        <v>95</v>
      </c>
      <c r="J2327" s="286" t="s">
        <v>1341</v>
      </c>
      <c r="K2327" s="283">
        <f t="shared" si="77"/>
        <v>47.5</v>
      </c>
    </row>
    <row r="2328" spans="1:11" ht="17.25" hidden="1">
      <c r="A2328" s="268"/>
      <c r="E2328" s="283"/>
      <c r="F2328" s="283">
        <v>0.5</v>
      </c>
      <c r="G2328" s="284" t="s">
        <v>1375</v>
      </c>
      <c r="H2328" s="283" t="s">
        <v>2713</v>
      </c>
      <c r="I2328" s="283">
        <f>C13</f>
        <v>85</v>
      </c>
      <c r="J2328" s="286" t="s">
        <v>1341</v>
      </c>
      <c r="K2328" s="283">
        <f t="shared" si="77"/>
        <v>42.5</v>
      </c>
    </row>
    <row r="2329" spans="1:11" ht="17.25" hidden="1">
      <c r="A2329" s="268"/>
      <c r="E2329" s="283"/>
      <c r="F2329" s="288" t="s">
        <v>419</v>
      </c>
      <c r="G2329" s="284"/>
      <c r="H2329" s="283" t="s">
        <v>2714</v>
      </c>
      <c r="I2329" s="283"/>
      <c r="J2329" s="286" t="s">
        <v>419</v>
      </c>
      <c r="K2329" s="283">
        <v>19.22</v>
      </c>
    </row>
    <row r="2330" spans="1:11" ht="17.25" hidden="1">
      <c r="A2330" s="268"/>
      <c r="E2330" s="283"/>
      <c r="F2330" s="283"/>
      <c r="G2330" s="284"/>
      <c r="H2330" s="283"/>
      <c r="I2330" s="283"/>
      <c r="J2330" s="286"/>
      <c r="K2330" s="283"/>
    </row>
    <row r="2331" spans="1:11" ht="17.25" hidden="1">
      <c r="A2331" s="268"/>
      <c r="E2331" s="283"/>
      <c r="F2331" s="283"/>
      <c r="G2331" s="284"/>
      <c r="H2331" s="283"/>
      <c r="I2331" s="283"/>
      <c r="J2331" s="286"/>
      <c r="K2331" s="283" t="s">
        <v>2715</v>
      </c>
    </row>
    <row r="2332" spans="1:11" ht="17.25" hidden="1">
      <c r="A2332" s="268"/>
      <c r="E2332" s="283"/>
      <c r="F2332" s="283"/>
      <c r="G2332" s="284"/>
      <c r="H2332" s="283"/>
      <c r="I2332" s="283" t="s">
        <v>2716</v>
      </c>
      <c r="J2332" s="286" t="s">
        <v>2717</v>
      </c>
      <c r="K2332" s="283">
        <f>SUM(K2321:K2331)</f>
        <v>724.22</v>
      </c>
    </row>
    <row r="2333" spans="1:11" ht="17.25" hidden="1">
      <c r="A2333" s="268"/>
      <c r="E2333" s="283"/>
      <c r="F2333" s="283"/>
      <c r="G2333" s="284"/>
      <c r="H2333" s="283"/>
      <c r="I2333" s="283">
        <v>2</v>
      </c>
      <c r="J2333" s="295" t="s">
        <v>1375</v>
      </c>
      <c r="K2333" s="283" t="s">
        <v>3362</v>
      </c>
    </row>
    <row r="2334" spans="1:11" ht="17.25" hidden="1">
      <c r="A2334" s="268"/>
      <c r="E2334" s="283"/>
      <c r="F2334" s="283"/>
      <c r="G2334" s="284"/>
      <c r="H2334" s="283"/>
      <c r="I2334" s="290"/>
      <c r="J2334" s="286"/>
      <c r="K2334" s="283"/>
    </row>
    <row r="2335" spans="1:11" ht="17.25" hidden="1">
      <c r="A2335" s="268"/>
      <c r="E2335" s="283"/>
      <c r="F2335" s="283"/>
      <c r="G2335" s="284"/>
      <c r="H2335" s="283"/>
      <c r="I2335" s="283"/>
      <c r="J2335" s="286"/>
      <c r="K2335" s="283"/>
    </row>
    <row r="2336" spans="1:11" ht="17.25" hidden="1">
      <c r="A2336" s="268"/>
      <c r="E2336" s="283"/>
      <c r="F2336" s="283"/>
      <c r="G2336" s="284"/>
      <c r="H2336" s="283"/>
      <c r="I2336" s="283" t="s">
        <v>2718</v>
      </c>
      <c r="J2336" s="286"/>
      <c r="K2336" s="294">
        <f>K2332/I2333</f>
        <v>362.11</v>
      </c>
    </row>
    <row r="2337" spans="1:12" ht="17.25" hidden="1">
      <c r="A2337" s="268"/>
      <c r="E2337" s="283"/>
      <c r="F2337" s="283"/>
      <c r="G2337" s="284"/>
      <c r="H2337" s="283"/>
      <c r="I2337" s="283"/>
      <c r="J2337" s="286"/>
      <c r="K2337" s="293" t="s">
        <v>1980</v>
      </c>
    </row>
    <row r="2338" spans="1:12" ht="17.25" hidden="1">
      <c r="A2338" s="268"/>
      <c r="E2338" s="283"/>
      <c r="F2338" s="283"/>
      <c r="G2338" s="284"/>
      <c r="H2338" s="283"/>
      <c r="I2338" s="283"/>
      <c r="J2338" s="286"/>
      <c r="K2338" s="283"/>
    </row>
    <row r="2339" spans="1:12" ht="19.5" hidden="1">
      <c r="A2339" s="268"/>
      <c r="E2339" s="283"/>
      <c r="F2339" s="296"/>
      <c r="G2339" s="296"/>
      <c r="H2339" s="296"/>
      <c r="I2339" s="296"/>
      <c r="J2339" s="296"/>
      <c r="K2339" s="296"/>
      <c r="L2339" s="297"/>
    </row>
    <row r="2340" spans="1:12" ht="17.25" hidden="1">
      <c r="A2340" s="268"/>
      <c r="E2340" s="283"/>
      <c r="F2340" s="283"/>
      <c r="G2340" s="283"/>
      <c r="H2340" s="283"/>
      <c r="I2340" s="283"/>
      <c r="J2340" s="283"/>
      <c r="K2340" s="283"/>
    </row>
    <row r="2341" spans="1:12" ht="18" hidden="1">
      <c r="A2341" s="268"/>
      <c r="E2341" s="1479" t="s">
        <v>2719</v>
      </c>
      <c r="F2341" s="1479"/>
      <c r="G2341" s="1479"/>
      <c r="H2341" s="1479"/>
      <c r="I2341" s="1479"/>
      <c r="J2341" s="1479"/>
      <c r="K2341" s="1479"/>
      <c r="L2341" s="298"/>
    </row>
    <row r="2342" spans="1:12" ht="18" hidden="1">
      <c r="A2342" s="268"/>
      <c r="E2342" s="144"/>
      <c r="F2342" s="144"/>
      <c r="G2342" s="144"/>
      <c r="H2342" s="144"/>
      <c r="I2342" s="144"/>
      <c r="J2342" s="144"/>
      <c r="K2342" s="144"/>
      <c r="L2342" s="299"/>
    </row>
    <row r="2343" spans="1:12" ht="18" hidden="1">
      <c r="A2343" s="268"/>
      <c r="E2343" s="300"/>
      <c r="F2343" s="298" t="s">
        <v>1007</v>
      </c>
      <c r="G2343" s="297"/>
      <c r="H2343" s="301" t="s">
        <v>1720</v>
      </c>
      <c r="I2343" s="298" t="s">
        <v>95</v>
      </c>
      <c r="J2343" s="301" t="s">
        <v>2720</v>
      </c>
      <c r="K2343" s="298" t="s">
        <v>939</v>
      </c>
      <c r="L2343" s="302"/>
    </row>
    <row r="2344" spans="1:12" ht="18" hidden="1">
      <c r="A2344" s="268"/>
      <c r="E2344" s="303">
        <v>18.100000000000001</v>
      </c>
      <c r="F2344" s="304" t="s">
        <v>2721</v>
      </c>
      <c r="G2344" s="144"/>
      <c r="H2344" s="305" t="s">
        <v>2341</v>
      </c>
      <c r="I2344" s="299"/>
      <c r="J2344" s="299"/>
      <c r="K2344" s="299"/>
      <c r="L2344" s="302"/>
    </row>
    <row r="2345" spans="1:12" ht="18" hidden="1">
      <c r="A2345" s="268"/>
      <c r="E2345" s="300"/>
      <c r="F2345" s="302"/>
      <c r="G2345" s="300"/>
      <c r="H2345" s="306" t="s">
        <v>2722</v>
      </c>
      <c r="I2345" s="302"/>
      <c r="J2345" s="300"/>
      <c r="K2345" s="302"/>
      <c r="L2345" s="302"/>
    </row>
    <row r="2346" spans="1:12" ht="21" hidden="1">
      <c r="A2346" s="268"/>
      <c r="E2346" s="300"/>
      <c r="F2346" s="302"/>
      <c r="G2346" s="300"/>
      <c r="H2346" s="306" t="s">
        <v>2342</v>
      </c>
      <c r="I2346" s="302"/>
      <c r="J2346" s="300"/>
      <c r="K2346" s="302"/>
      <c r="L2346" s="302"/>
    </row>
    <row r="2347" spans="1:12" ht="21" hidden="1">
      <c r="A2347" s="268"/>
      <c r="E2347" s="300"/>
      <c r="F2347" s="302"/>
      <c r="G2347" s="300"/>
      <c r="H2347" s="306" t="s">
        <v>2343</v>
      </c>
      <c r="I2347" s="302"/>
      <c r="J2347" s="300"/>
      <c r="K2347" s="302"/>
      <c r="L2347" s="302"/>
    </row>
    <row r="2348" spans="1:12" ht="18" hidden="1">
      <c r="A2348" s="268"/>
      <c r="E2348" s="300"/>
      <c r="F2348" s="302"/>
      <c r="G2348" s="300"/>
      <c r="H2348" s="306" t="s">
        <v>2723</v>
      </c>
      <c r="I2348" s="302"/>
      <c r="J2348" s="300"/>
      <c r="K2348" s="302"/>
      <c r="L2348" s="302"/>
    </row>
    <row r="2349" spans="1:12" ht="39" hidden="1">
      <c r="A2349" s="268"/>
      <c r="E2349" s="300"/>
      <c r="F2349" s="302"/>
      <c r="G2349" s="300"/>
      <c r="H2349" s="306" t="s">
        <v>2344</v>
      </c>
      <c r="I2349" s="302"/>
      <c r="J2349" s="300"/>
      <c r="K2349" s="302"/>
      <c r="L2349" s="302"/>
    </row>
    <row r="2350" spans="1:12" ht="72" hidden="1">
      <c r="A2350" s="268"/>
      <c r="E2350" s="300"/>
      <c r="F2350" s="302"/>
      <c r="G2350" s="300"/>
      <c r="H2350" s="306" t="s">
        <v>2724</v>
      </c>
      <c r="I2350" s="302"/>
      <c r="J2350" s="300"/>
      <c r="K2350" s="302"/>
      <c r="L2350" s="302"/>
    </row>
    <row r="2351" spans="1:12" ht="36" hidden="1">
      <c r="A2351" s="268"/>
      <c r="E2351" s="300"/>
      <c r="F2351" s="302"/>
      <c r="G2351" s="300"/>
      <c r="H2351" s="306" t="s">
        <v>2725</v>
      </c>
      <c r="I2351" s="302"/>
      <c r="J2351" s="300"/>
      <c r="K2351" s="302"/>
      <c r="L2351" s="302"/>
    </row>
    <row r="2352" spans="1:12" ht="39" hidden="1">
      <c r="A2352" s="268"/>
      <c r="E2352" s="300"/>
      <c r="F2352" s="302"/>
      <c r="G2352" s="300"/>
      <c r="H2352" s="306" t="s">
        <v>2345</v>
      </c>
      <c r="I2352" s="302"/>
      <c r="J2352" s="300"/>
      <c r="K2352" s="302"/>
      <c r="L2352" s="302"/>
    </row>
    <row r="2353" spans="1:12" ht="18" hidden="1">
      <c r="A2353" s="268"/>
      <c r="E2353" s="300"/>
      <c r="F2353" s="302"/>
      <c r="G2353" s="300"/>
      <c r="H2353" s="300"/>
      <c r="I2353" s="302"/>
      <c r="J2353" s="300"/>
      <c r="K2353" s="302"/>
      <c r="L2353" s="302"/>
    </row>
    <row r="2354" spans="1:12" ht="21" hidden="1">
      <c r="A2354" s="268"/>
      <c r="E2354" s="300"/>
      <c r="F2354" s="307">
        <v>62</v>
      </c>
      <c r="G2354" s="308" t="s">
        <v>2346</v>
      </c>
      <c r="H2354" s="309" t="s">
        <v>3139</v>
      </c>
      <c r="I2354" s="307">
        <f>K2378</f>
        <v>217.41</v>
      </c>
      <c r="J2354" s="308" t="s">
        <v>2346</v>
      </c>
      <c r="K2354" s="302">
        <f>I2354*F2354</f>
        <v>13479.42</v>
      </c>
      <c r="L2354" s="302"/>
    </row>
    <row r="2355" spans="1:12" ht="21" hidden="1">
      <c r="A2355" s="268"/>
      <c r="E2355" s="300"/>
      <c r="F2355" s="307">
        <v>121.64</v>
      </c>
      <c r="G2355" s="308" t="s">
        <v>2346</v>
      </c>
      <c r="H2355" s="309" t="s">
        <v>3140</v>
      </c>
      <c r="I2355" s="307">
        <f>I2383</f>
        <v>168.13</v>
      </c>
      <c r="J2355" s="308" t="s">
        <v>2347</v>
      </c>
      <c r="K2355" s="302">
        <f>I2355*F2355</f>
        <v>20451.330000000002</v>
      </c>
      <c r="L2355" s="310"/>
    </row>
    <row r="2356" spans="1:12" ht="21" hidden="1">
      <c r="A2356" s="268"/>
      <c r="E2356" s="300"/>
      <c r="F2356" s="302"/>
      <c r="G2356" s="300"/>
      <c r="H2356" s="309" t="s">
        <v>2654</v>
      </c>
      <c r="I2356" s="302"/>
      <c r="J2356" s="300"/>
      <c r="K2356" s="302">
        <f>SUM(K2354:K2355)</f>
        <v>33930.75</v>
      </c>
      <c r="L2356" s="311"/>
    </row>
    <row r="2357" spans="1:12" ht="21" hidden="1">
      <c r="A2357" s="268"/>
      <c r="E2357" s="300"/>
      <c r="F2357" s="302"/>
      <c r="G2357" s="300"/>
      <c r="H2357" s="309" t="s">
        <v>2655</v>
      </c>
      <c r="I2357" s="302"/>
      <c r="J2357" s="300"/>
      <c r="K2357" s="310">
        <f>K2356/F2354</f>
        <v>547.27</v>
      </c>
      <c r="L2357" s="302"/>
    </row>
    <row r="2358" spans="1:12" ht="18" hidden="1">
      <c r="A2358" s="268"/>
      <c r="E2358" s="300"/>
      <c r="F2358" s="302"/>
      <c r="G2358" s="300"/>
      <c r="H2358" s="308"/>
      <c r="I2358" s="302"/>
      <c r="J2358" s="300"/>
      <c r="K2358" s="311"/>
      <c r="L2358" s="302"/>
    </row>
    <row r="2359" spans="1:12" ht="18" hidden="1">
      <c r="A2359" s="268"/>
      <c r="E2359" s="312">
        <v>18.100000000000001</v>
      </c>
      <c r="F2359" s="304" t="s">
        <v>3141</v>
      </c>
      <c r="G2359" s="300"/>
      <c r="H2359" s="313" t="s">
        <v>2670</v>
      </c>
      <c r="I2359" s="302"/>
      <c r="J2359" s="300"/>
      <c r="K2359" s="302"/>
      <c r="L2359" s="302"/>
    </row>
    <row r="2360" spans="1:12" ht="18" hidden="1">
      <c r="A2360" s="268"/>
      <c r="E2360" s="300"/>
      <c r="F2360" s="302"/>
      <c r="G2360" s="300"/>
      <c r="H2360" s="300"/>
      <c r="I2360" s="302"/>
      <c r="J2360" s="300"/>
      <c r="K2360" s="302"/>
      <c r="L2360" s="302"/>
    </row>
    <row r="2361" spans="1:12" ht="18" hidden="1">
      <c r="A2361" s="268"/>
      <c r="E2361" s="300"/>
      <c r="F2361" s="307">
        <v>13.46</v>
      </c>
      <c r="G2361" s="308" t="s">
        <v>1591</v>
      </c>
      <c r="H2361" s="306" t="s">
        <v>2671</v>
      </c>
      <c r="I2361" s="307">
        <f>I706</f>
        <v>30</v>
      </c>
      <c r="J2361" s="308" t="s">
        <v>1591</v>
      </c>
      <c r="K2361" s="302">
        <f>I2361*F2361</f>
        <v>403.8</v>
      </c>
      <c r="L2361" s="302"/>
    </row>
    <row r="2362" spans="1:12" ht="18" hidden="1">
      <c r="A2362" s="268"/>
      <c r="E2362" s="300"/>
      <c r="F2362" s="307">
        <v>4</v>
      </c>
      <c r="G2362" s="308" t="s">
        <v>1591</v>
      </c>
      <c r="H2362" s="306" t="s">
        <v>2672</v>
      </c>
      <c r="I2362" s="307">
        <f>I708</f>
        <v>30</v>
      </c>
      <c r="J2362" s="308" t="s">
        <v>1591</v>
      </c>
      <c r="K2362" s="302">
        <f>I2362*F2362</f>
        <v>120</v>
      </c>
      <c r="L2362" s="314"/>
    </row>
    <row r="2363" spans="1:12" ht="18" hidden="1">
      <c r="A2363" s="268"/>
      <c r="E2363" s="300"/>
      <c r="F2363" s="307">
        <v>1</v>
      </c>
      <c r="G2363" s="308" t="s">
        <v>2673</v>
      </c>
      <c r="H2363" s="306" t="s">
        <v>3386</v>
      </c>
      <c r="I2363" s="307">
        <v>40</v>
      </c>
      <c r="J2363" s="308" t="s">
        <v>419</v>
      </c>
      <c r="K2363" s="302">
        <f>I2363*F2363</f>
        <v>40</v>
      </c>
      <c r="L2363" s="302"/>
    </row>
    <row r="2364" spans="1:12" ht="18" hidden="1">
      <c r="A2364" s="268"/>
      <c r="E2364" s="300"/>
      <c r="F2364" s="302"/>
      <c r="G2364" s="300"/>
      <c r="H2364" s="315" t="s">
        <v>3387</v>
      </c>
      <c r="I2364" s="302"/>
      <c r="J2364" s="300"/>
      <c r="K2364" s="314">
        <f>SUM(K2361:K2363)</f>
        <v>563.79999999999995</v>
      </c>
      <c r="L2364" s="302"/>
    </row>
    <row r="2365" spans="1:12" ht="18" hidden="1">
      <c r="A2365" s="268"/>
      <c r="E2365" s="300"/>
      <c r="F2365" s="302"/>
      <c r="G2365" s="300"/>
      <c r="H2365" s="315" t="s">
        <v>3388</v>
      </c>
      <c r="I2365" s="311">
        <f>K2364/40</f>
        <v>14.1</v>
      </c>
      <c r="J2365" s="300"/>
      <c r="K2365" s="302"/>
      <c r="L2365" s="302"/>
    </row>
    <row r="2366" spans="1:12" ht="18" hidden="1">
      <c r="A2366" s="268"/>
      <c r="E2366" s="300"/>
      <c r="F2366" s="302"/>
      <c r="G2366" s="300"/>
      <c r="H2366" s="300"/>
      <c r="I2366" s="302"/>
      <c r="J2366" s="300"/>
      <c r="K2366" s="302"/>
      <c r="L2366" s="302"/>
    </row>
    <row r="2367" spans="1:12" ht="18" hidden="1">
      <c r="A2367" s="268"/>
      <c r="E2367" s="300"/>
      <c r="F2367" s="307">
        <v>19</v>
      </c>
      <c r="G2367" s="308" t="s">
        <v>1337</v>
      </c>
      <c r="H2367" s="300" t="s">
        <v>3389</v>
      </c>
      <c r="I2367" s="307">
        <f>I2365</f>
        <v>14.1</v>
      </c>
      <c r="J2367" s="308" t="s">
        <v>1703</v>
      </c>
      <c r="K2367" s="302">
        <f>I2367*F2367</f>
        <v>267.89999999999998</v>
      </c>
      <c r="L2367" s="302"/>
    </row>
    <row r="2368" spans="1:12" ht="18" hidden="1">
      <c r="A2368" s="268"/>
      <c r="E2368" s="300"/>
      <c r="F2368" s="307">
        <v>0.12</v>
      </c>
      <c r="G2368" s="308" t="s">
        <v>342</v>
      </c>
      <c r="H2368" s="300" t="s">
        <v>3390</v>
      </c>
      <c r="I2368" s="307">
        <f>C268/5</f>
        <v>1879</v>
      </c>
      <c r="J2368" s="308" t="s">
        <v>342</v>
      </c>
      <c r="K2368" s="302">
        <f>I2368*F2368</f>
        <v>225.48</v>
      </c>
      <c r="L2368" s="302"/>
    </row>
    <row r="2369" spans="1:12" ht="18" hidden="1">
      <c r="A2369" s="268"/>
      <c r="E2369" s="300"/>
      <c r="F2369" s="307">
        <v>98.5</v>
      </c>
      <c r="G2369" s="308" t="s">
        <v>3391</v>
      </c>
      <c r="H2369" s="300" t="s">
        <v>2528</v>
      </c>
      <c r="I2369" s="307">
        <f>C269/5</f>
        <v>3</v>
      </c>
      <c r="J2369" s="308" t="s">
        <v>3391</v>
      </c>
      <c r="K2369" s="302">
        <f>I2369*F2369</f>
        <v>295.5</v>
      </c>
      <c r="L2369" s="316"/>
    </row>
    <row r="2370" spans="1:12" ht="18" hidden="1">
      <c r="A2370" s="268"/>
      <c r="E2370" s="300"/>
      <c r="F2370" s="1480" t="s">
        <v>419</v>
      </c>
      <c r="G2370" s="1480"/>
      <c r="H2370" s="300" t="s">
        <v>2529</v>
      </c>
      <c r="I2370" s="307">
        <v>11</v>
      </c>
      <c r="J2370" s="308" t="s">
        <v>419</v>
      </c>
      <c r="K2370" s="302">
        <f>I2370</f>
        <v>11</v>
      </c>
      <c r="L2370" s="316"/>
    </row>
    <row r="2371" spans="1:12" ht="21" hidden="1">
      <c r="A2371" s="268"/>
      <c r="E2371" s="300"/>
      <c r="F2371" s="307">
        <v>3.8</v>
      </c>
      <c r="G2371" s="308" t="s">
        <v>1337</v>
      </c>
      <c r="H2371" s="300" t="s">
        <v>2656</v>
      </c>
      <c r="I2371" s="307">
        <f>C16</f>
        <v>150</v>
      </c>
      <c r="J2371" s="308" t="s">
        <v>1337</v>
      </c>
      <c r="K2371" s="316">
        <f>I2371*F2371</f>
        <v>570</v>
      </c>
      <c r="L2371" s="316"/>
    </row>
    <row r="2372" spans="1:12" ht="21" hidden="1">
      <c r="A2372" s="268"/>
      <c r="E2372" s="300"/>
      <c r="F2372" s="307">
        <v>5.4</v>
      </c>
      <c r="G2372" s="308" t="s">
        <v>1337</v>
      </c>
      <c r="H2372" s="300" t="s">
        <v>2657</v>
      </c>
      <c r="I2372" s="307">
        <f>C12</f>
        <v>95</v>
      </c>
      <c r="J2372" s="308" t="s">
        <v>1337</v>
      </c>
      <c r="K2372" s="316">
        <f>I2372*F2372</f>
        <v>513</v>
      </c>
      <c r="L2372" s="302"/>
    </row>
    <row r="2373" spans="1:12" ht="21" hidden="1">
      <c r="A2373" s="268"/>
      <c r="E2373" s="300"/>
      <c r="F2373" s="307">
        <v>1</v>
      </c>
      <c r="G2373" s="308" t="s">
        <v>1337</v>
      </c>
      <c r="H2373" s="300" t="s">
        <v>2658</v>
      </c>
      <c r="I2373" s="307">
        <f>D17</f>
        <v>120</v>
      </c>
      <c r="J2373" s="308" t="s">
        <v>1337</v>
      </c>
      <c r="K2373" s="316">
        <f>I2373*F2373</f>
        <v>120</v>
      </c>
      <c r="L2373" s="317"/>
    </row>
    <row r="2374" spans="1:12" ht="18" hidden="1">
      <c r="A2374" s="268"/>
      <c r="E2374" s="300"/>
      <c r="F2374" s="1480" t="s">
        <v>419</v>
      </c>
      <c r="G2374" s="1480"/>
      <c r="H2374" s="300" t="s">
        <v>2530</v>
      </c>
      <c r="I2374" s="1480" t="s">
        <v>419</v>
      </c>
      <c r="J2374" s="1480"/>
      <c r="K2374" s="302">
        <v>10</v>
      </c>
      <c r="L2374" s="311"/>
    </row>
    <row r="2375" spans="1:12" ht="18" hidden="1">
      <c r="A2375" s="268"/>
      <c r="E2375" s="300"/>
      <c r="F2375" s="307">
        <v>19</v>
      </c>
      <c r="G2375" s="308" t="s">
        <v>1703</v>
      </c>
      <c r="H2375" s="300" t="s">
        <v>2531</v>
      </c>
      <c r="I2375" s="307">
        <v>2</v>
      </c>
      <c r="J2375" s="308" t="s">
        <v>419</v>
      </c>
      <c r="K2375" s="317">
        <f>I2375*F2375</f>
        <v>38</v>
      </c>
      <c r="L2375" s="302"/>
    </row>
    <row r="2376" spans="1:12" ht="18" hidden="1">
      <c r="A2376" s="268"/>
      <c r="E2376" s="300"/>
      <c r="F2376" s="302"/>
      <c r="G2376" s="300"/>
      <c r="H2376" s="300"/>
      <c r="I2376" s="302"/>
      <c r="J2376" s="300"/>
      <c r="K2376" s="311">
        <f>SUM(K2367:K2375)</f>
        <v>2050.88</v>
      </c>
      <c r="L2376" s="311"/>
    </row>
    <row r="2377" spans="1:12" ht="21" hidden="1">
      <c r="A2377" s="268"/>
      <c r="E2377" s="300"/>
      <c r="F2377" s="302"/>
      <c r="G2377" s="300"/>
      <c r="H2377" s="315" t="s">
        <v>2659</v>
      </c>
      <c r="I2377" s="311">
        <f>K2376/10</f>
        <v>205.09</v>
      </c>
      <c r="J2377" s="300"/>
      <c r="K2377" s="302"/>
      <c r="L2377" s="302"/>
    </row>
    <row r="2378" spans="1:12" ht="18" hidden="1">
      <c r="A2378" s="268"/>
      <c r="E2378" s="300"/>
      <c r="F2378" s="302"/>
      <c r="G2378" s="300"/>
      <c r="H2378" s="301" t="s">
        <v>2532</v>
      </c>
      <c r="I2378" s="311">
        <f>I2377</f>
        <v>205.09</v>
      </c>
      <c r="J2378" s="318">
        <f>I2393</f>
        <v>12.32</v>
      </c>
      <c r="K2378" s="311">
        <f>I2378+J2378</f>
        <v>217.41</v>
      </c>
      <c r="L2378" s="302"/>
    </row>
    <row r="2379" spans="1:12" ht="36" hidden="1">
      <c r="A2379" s="268"/>
      <c r="E2379" s="312">
        <v>18.100000000000001</v>
      </c>
      <c r="F2379" s="304" t="s">
        <v>2533</v>
      </c>
      <c r="G2379" s="300"/>
      <c r="H2379" s="319" t="s">
        <v>3318</v>
      </c>
      <c r="I2379" s="302"/>
      <c r="J2379" s="300"/>
      <c r="K2379" s="302"/>
      <c r="L2379" s="302"/>
    </row>
    <row r="2380" spans="1:12" ht="18" hidden="1">
      <c r="A2380" s="268"/>
      <c r="E2380" s="300"/>
      <c r="F2380" s="302"/>
      <c r="G2380" s="300"/>
      <c r="H2380" s="300" t="s">
        <v>3319</v>
      </c>
      <c r="I2380" s="307">
        <f>K2376</f>
        <v>2050.88</v>
      </c>
      <c r="J2380" s="300"/>
      <c r="K2380" s="302"/>
      <c r="L2380" s="302"/>
    </row>
    <row r="2381" spans="1:12" ht="18" hidden="1">
      <c r="A2381" s="268"/>
      <c r="E2381" s="300"/>
      <c r="F2381" s="302"/>
      <c r="G2381" s="300"/>
      <c r="H2381" s="300" t="s">
        <v>2528</v>
      </c>
      <c r="I2381" s="307">
        <f>K2391</f>
        <v>369.6</v>
      </c>
      <c r="J2381" s="312" t="s">
        <v>3320</v>
      </c>
      <c r="K2381" s="302"/>
      <c r="L2381" s="302"/>
    </row>
    <row r="2382" spans="1:12" ht="18" hidden="1">
      <c r="A2382" s="268"/>
      <c r="E2382" s="300"/>
      <c r="F2382" s="302"/>
      <c r="G2382" s="300"/>
      <c r="H2382" s="300"/>
      <c r="I2382" s="304">
        <f>I2380-I2381</f>
        <v>1681.28</v>
      </c>
      <c r="J2382" s="300"/>
      <c r="K2382" s="302"/>
      <c r="L2382" s="302"/>
    </row>
    <row r="2383" spans="1:12" ht="21" hidden="1">
      <c r="A2383" s="268"/>
      <c r="E2383" s="300"/>
      <c r="F2383" s="302"/>
      <c r="G2383" s="300"/>
      <c r="H2383" s="315" t="s">
        <v>2659</v>
      </c>
      <c r="I2383" s="304">
        <f>I2382/10</f>
        <v>168.13</v>
      </c>
      <c r="J2383" s="300"/>
      <c r="K2383" s="302"/>
      <c r="L2383" s="302"/>
    </row>
    <row r="2384" spans="1:12" ht="18" hidden="1">
      <c r="A2384" s="268"/>
      <c r="E2384" s="300"/>
      <c r="F2384" s="302"/>
      <c r="G2384" s="300"/>
      <c r="H2384" s="300"/>
      <c r="I2384" s="302"/>
      <c r="J2384" s="300"/>
      <c r="K2384" s="302"/>
      <c r="L2384" s="302"/>
    </row>
    <row r="2385" spans="1:12" ht="18" hidden="1">
      <c r="A2385" s="268"/>
      <c r="E2385" s="300"/>
      <c r="F2385" s="302"/>
      <c r="G2385" s="300"/>
      <c r="H2385" s="312" t="s">
        <v>3321</v>
      </c>
      <c r="I2385" s="302"/>
      <c r="J2385" s="300"/>
      <c r="K2385" s="302"/>
      <c r="L2385" s="307"/>
    </row>
    <row r="2386" spans="1:12" ht="36" hidden="1">
      <c r="A2386" s="268"/>
      <c r="E2386" s="300"/>
      <c r="F2386" s="302"/>
      <c r="G2386" s="300"/>
      <c r="H2386" s="319" t="s">
        <v>2275</v>
      </c>
      <c r="I2386" s="302"/>
      <c r="J2386" s="300"/>
      <c r="K2386" s="302"/>
      <c r="L2386" s="307"/>
    </row>
    <row r="2387" spans="1:12" ht="36" hidden="1">
      <c r="A2387" s="268"/>
      <c r="E2387" s="300"/>
      <c r="F2387" s="307">
        <v>98.5</v>
      </c>
      <c r="G2387" s="308" t="s">
        <v>3391</v>
      </c>
      <c r="H2387" s="320" t="s">
        <v>2276</v>
      </c>
      <c r="I2387" s="307">
        <f>I2369</f>
        <v>3</v>
      </c>
      <c r="J2387" s="308" t="s">
        <v>3391</v>
      </c>
      <c r="K2387" s="307">
        <f>I2387*F2387</f>
        <v>295.5</v>
      </c>
      <c r="L2387" s="307"/>
    </row>
    <row r="2388" spans="1:12" ht="21" hidden="1">
      <c r="A2388" s="268"/>
      <c r="E2388" s="300"/>
      <c r="F2388" s="307">
        <v>0.3</v>
      </c>
      <c r="G2388" s="308" t="s">
        <v>1703</v>
      </c>
      <c r="H2388" s="320" t="s">
        <v>2660</v>
      </c>
      <c r="I2388" s="307">
        <f>I2371</f>
        <v>150</v>
      </c>
      <c r="J2388" s="308" t="s">
        <v>1703</v>
      </c>
      <c r="K2388" s="307">
        <f>I2388*F2388</f>
        <v>45</v>
      </c>
      <c r="L2388" s="307"/>
    </row>
    <row r="2389" spans="1:12" ht="21" hidden="1">
      <c r="A2389" s="268"/>
      <c r="E2389" s="300"/>
      <c r="F2389" s="307">
        <v>0.3</v>
      </c>
      <c r="G2389" s="308" t="s">
        <v>1703</v>
      </c>
      <c r="H2389" s="320" t="s">
        <v>2661</v>
      </c>
      <c r="I2389" s="307">
        <f>I2372</f>
        <v>95</v>
      </c>
      <c r="J2389" s="308" t="s">
        <v>1703</v>
      </c>
      <c r="K2389" s="307">
        <f>I2389*F2389</f>
        <v>28.5</v>
      </c>
      <c r="L2389" s="304"/>
    </row>
    <row r="2390" spans="1:12" ht="18" hidden="1">
      <c r="A2390" s="268"/>
      <c r="E2390" s="300"/>
      <c r="F2390" s="302"/>
      <c r="G2390" s="300"/>
      <c r="H2390" s="321" t="s">
        <v>2277</v>
      </c>
      <c r="I2390" s="1481" t="s">
        <v>419</v>
      </c>
      <c r="J2390" s="1481"/>
      <c r="K2390" s="307">
        <v>0.6</v>
      </c>
      <c r="L2390" s="302"/>
    </row>
    <row r="2391" spans="1:12" ht="21" hidden="1">
      <c r="A2391" s="268"/>
      <c r="E2391" s="300"/>
      <c r="F2391" s="302"/>
      <c r="G2391" s="300"/>
      <c r="H2391" s="321" t="s">
        <v>2662</v>
      </c>
      <c r="I2391" s="302"/>
      <c r="J2391" s="300"/>
      <c r="K2391" s="304">
        <f>SUM(K2387:K2390)</f>
        <v>369.6</v>
      </c>
      <c r="L2391" s="302"/>
    </row>
    <row r="2392" spans="1:12" ht="21" hidden="1">
      <c r="A2392" s="268"/>
      <c r="E2392" s="300"/>
      <c r="F2392" s="302"/>
      <c r="G2392" s="300"/>
      <c r="H2392" s="321" t="s">
        <v>2663</v>
      </c>
      <c r="I2392" s="311">
        <f>K2391/10</f>
        <v>36.96</v>
      </c>
      <c r="J2392" s="300"/>
      <c r="K2392" s="302"/>
      <c r="L2392" s="302"/>
    </row>
    <row r="2393" spans="1:12" ht="18" hidden="1">
      <c r="A2393" s="268"/>
      <c r="E2393" s="300"/>
      <c r="F2393" s="302"/>
      <c r="G2393" s="300"/>
      <c r="H2393" s="321" t="s">
        <v>2278</v>
      </c>
      <c r="I2393" s="311">
        <f>I2392/3</f>
        <v>12.32</v>
      </c>
      <c r="J2393" s="300"/>
      <c r="K2393" s="302"/>
      <c r="L2393" s="302"/>
    </row>
    <row r="2394" spans="1:12" ht="18" hidden="1">
      <c r="A2394" s="268"/>
      <c r="E2394" s="300"/>
      <c r="F2394" s="302"/>
      <c r="G2394" s="300"/>
      <c r="H2394" s="320"/>
      <c r="I2394" s="302"/>
      <c r="J2394" s="300"/>
      <c r="K2394" s="302"/>
      <c r="L2394" s="302"/>
    </row>
    <row r="2395" spans="1:12" ht="36" hidden="1">
      <c r="A2395" s="268"/>
      <c r="E2395" s="312">
        <v>18.100000000000001</v>
      </c>
      <c r="F2395" s="304" t="s">
        <v>2194</v>
      </c>
      <c r="G2395" s="300"/>
      <c r="H2395" s="322" t="s">
        <v>2954</v>
      </c>
      <c r="I2395" s="304">
        <f>I2377*1.2</f>
        <v>246.11</v>
      </c>
      <c r="J2395" s="300"/>
      <c r="K2395" s="302"/>
    </row>
    <row r="2396" spans="1:12" ht="36" hidden="1">
      <c r="A2396" s="268"/>
      <c r="E2396" s="303">
        <v>18.100000000000001</v>
      </c>
      <c r="F2396" s="304" t="s">
        <v>2955</v>
      </c>
      <c r="G2396" s="300"/>
      <c r="H2396" s="323" t="s">
        <v>2956</v>
      </c>
      <c r="I2396" s="304">
        <f>I2377*1.1</f>
        <v>225.6</v>
      </c>
      <c r="J2396" s="300"/>
      <c r="K2396" s="302"/>
    </row>
    <row r="2397" spans="1:12" hidden="1">
      <c r="A2397" s="268"/>
      <c r="E2397" s="144"/>
      <c r="F2397" s="144"/>
      <c r="G2397" s="145"/>
      <c r="H2397" s="144"/>
      <c r="I2397" s="144"/>
      <c r="J2397" s="146"/>
      <c r="K2397" s="144"/>
    </row>
    <row r="2398" spans="1:12" hidden="1">
      <c r="A2398" s="268"/>
      <c r="E2398" s="144"/>
      <c r="F2398" s="144"/>
      <c r="G2398" s="145"/>
      <c r="H2398" s="144"/>
      <c r="I2398" s="144"/>
      <c r="J2398" s="146"/>
      <c r="K2398" s="144"/>
    </row>
    <row r="2399" spans="1:12" ht="23.25" hidden="1">
      <c r="A2399" s="268"/>
      <c r="E2399" s="144"/>
      <c r="F2399"/>
      <c r="G2399" s="3"/>
      <c r="H2399" s="324" t="s">
        <v>2301</v>
      </c>
      <c r="I2399"/>
      <c r="J2399" s="4"/>
      <c r="K2399" s="8"/>
    </row>
    <row r="2400" spans="1:12" hidden="1">
      <c r="A2400" s="268"/>
      <c r="E2400" s="144"/>
      <c r="F2400" s="325">
        <v>18.100000000000001</v>
      </c>
      <c r="G2400" s="7" t="s">
        <v>2167</v>
      </c>
      <c r="H2400" s="1" t="s">
        <v>10</v>
      </c>
      <c r="I2400"/>
      <c r="J2400" s="4"/>
      <c r="K2400"/>
    </row>
    <row r="2401" spans="1:11" hidden="1">
      <c r="A2401" s="268"/>
      <c r="E2401" s="144"/>
      <c r="F2401"/>
      <c r="G2401" s="3"/>
      <c r="H2401" s="1" t="s">
        <v>617</v>
      </c>
      <c r="I2401"/>
      <c r="J2401" s="4"/>
      <c r="K2401"/>
    </row>
    <row r="2402" spans="1:11" hidden="1">
      <c r="A2402" s="268"/>
      <c r="E2402" s="144"/>
      <c r="F2402"/>
      <c r="G2402" s="3"/>
      <c r="H2402" s="1" t="s">
        <v>619</v>
      </c>
      <c r="I2402"/>
      <c r="J2402" s="4"/>
      <c r="K2402"/>
    </row>
    <row r="2403" spans="1:11" hidden="1">
      <c r="A2403" s="268"/>
      <c r="E2403" s="144"/>
      <c r="F2403"/>
      <c r="G2403" s="3"/>
      <c r="H2403" s="1" t="s">
        <v>483</v>
      </c>
      <c r="I2403"/>
      <c r="J2403" s="4"/>
      <c r="K2403"/>
    </row>
    <row r="2404" spans="1:11" hidden="1">
      <c r="A2404" s="268"/>
      <c r="E2404" s="144"/>
      <c r="F2404"/>
      <c r="G2404" s="3"/>
      <c r="H2404" s="1" t="s">
        <v>485</v>
      </c>
      <c r="I2404"/>
      <c r="J2404" s="4"/>
      <c r="K2404"/>
    </row>
    <row r="2405" spans="1:11" hidden="1">
      <c r="A2405" s="268"/>
      <c r="E2405" s="144"/>
      <c r="F2405"/>
      <c r="G2405" s="3"/>
      <c r="H2405" s="1" t="s">
        <v>1</v>
      </c>
      <c r="I2405"/>
      <c r="J2405" s="4"/>
      <c r="K2405"/>
    </row>
    <row r="2406" spans="1:11" hidden="1">
      <c r="A2406" s="268"/>
      <c r="E2406" s="144"/>
      <c r="F2406"/>
      <c r="G2406" s="3"/>
      <c r="H2406" s="1" t="s">
        <v>1180</v>
      </c>
      <c r="I2406"/>
      <c r="J2406" s="4"/>
      <c r="K2406"/>
    </row>
    <row r="2407" spans="1:11" hidden="1">
      <c r="A2407" s="268"/>
      <c r="E2407" s="144"/>
      <c r="F2407"/>
      <c r="G2407" s="3"/>
      <c r="H2407" s="5" t="s">
        <v>1530</v>
      </c>
      <c r="I2407" s="5" t="s">
        <v>1530</v>
      </c>
      <c r="J2407" s="2" t="s">
        <v>1530</v>
      </c>
      <c r="K2407"/>
    </row>
    <row r="2408" spans="1:11" hidden="1">
      <c r="A2408" s="268"/>
      <c r="E2408" s="144"/>
      <c r="F2408" s="8">
        <v>13.46</v>
      </c>
      <c r="G2408" s="7" t="s">
        <v>254</v>
      </c>
      <c r="H2408" s="1" t="s">
        <v>255</v>
      </c>
      <c r="I2408" s="8">
        <f>I2361</f>
        <v>30</v>
      </c>
      <c r="J2408" s="2" t="s">
        <v>254</v>
      </c>
      <c r="K2408" s="8">
        <f>(F2408*I2408)</f>
        <v>403.8</v>
      </c>
    </row>
    <row r="2409" spans="1:11" hidden="1">
      <c r="A2409" s="268"/>
      <c r="E2409" s="144"/>
      <c r="F2409"/>
      <c r="G2409" s="3"/>
      <c r="H2409" s="1" t="s">
        <v>944</v>
      </c>
      <c r="I2409"/>
      <c r="J2409" s="4"/>
      <c r="K2409"/>
    </row>
    <row r="2410" spans="1:11" hidden="1">
      <c r="A2410" s="268"/>
      <c r="E2410" s="144"/>
      <c r="F2410" s="8">
        <v>4</v>
      </c>
      <c r="G2410" s="7" t="s">
        <v>254</v>
      </c>
      <c r="H2410" s="1" t="s">
        <v>946</v>
      </c>
      <c r="I2410" s="8">
        <f>I2362</f>
        <v>30</v>
      </c>
      <c r="J2410" s="2" t="s">
        <v>254</v>
      </c>
      <c r="K2410" s="8">
        <f>(F2410*I2410)</f>
        <v>120</v>
      </c>
    </row>
    <row r="2411" spans="1:11" hidden="1">
      <c r="A2411" s="268"/>
      <c r="E2411" s="144"/>
      <c r="F2411"/>
      <c r="G2411" s="3"/>
      <c r="H2411" s="1" t="s">
        <v>997</v>
      </c>
      <c r="I2411"/>
      <c r="J2411" s="4"/>
      <c r="K2411"/>
    </row>
    <row r="2412" spans="1:11" hidden="1">
      <c r="A2412" s="268"/>
      <c r="E2412" s="144"/>
      <c r="F2412" s="8"/>
      <c r="G2412" s="7" t="s">
        <v>419</v>
      </c>
      <c r="H2412" s="1" t="s">
        <v>1602</v>
      </c>
      <c r="I2412"/>
      <c r="J2412" s="2" t="s">
        <v>419</v>
      </c>
      <c r="K2412" s="8">
        <v>40</v>
      </c>
    </row>
    <row r="2413" spans="1:11" hidden="1">
      <c r="A2413" s="268"/>
      <c r="E2413" s="144"/>
      <c r="F2413"/>
      <c r="G2413" s="3"/>
      <c r="H2413" s="1" t="s">
        <v>1604</v>
      </c>
      <c r="I2413"/>
      <c r="J2413" s="4"/>
      <c r="K2413" s="5" t="s">
        <v>1530</v>
      </c>
    </row>
    <row r="2414" spans="1:11" hidden="1">
      <c r="A2414" s="268"/>
      <c r="E2414" s="144"/>
      <c r="F2414"/>
      <c r="G2414" s="3"/>
      <c r="H2414" s="2" t="s">
        <v>24</v>
      </c>
      <c r="I2414"/>
      <c r="J2414" s="4"/>
      <c r="K2414" s="8">
        <f>SUM(K2408:K2412)</f>
        <v>563.79999999999995</v>
      </c>
    </row>
    <row r="2415" spans="1:11" ht="17.25" hidden="1">
      <c r="A2415" s="268"/>
      <c r="E2415" s="283"/>
      <c r="F2415"/>
      <c r="G2415" s="3"/>
      <c r="H2415"/>
      <c r="I2415"/>
      <c r="J2415" s="4"/>
      <c r="K2415" s="5" t="s">
        <v>1530</v>
      </c>
    </row>
    <row r="2416" spans="1:11" ht="17.25" hidden="1">
      <c r="A2416" s="268"/>
      <c r="E2416" s="283"/>
      <c r="F2416"/>
      <c r="G2416" s="3"/>
      <c r="H2416" s="2" t="s">
        <v>28</v>
      </c>
      <c r="I2416"/>
      <c r="J2416" s="4"/>
      <c r="K2416" s="8">
        <f>K2414/40</f>
        <v>14.1</v>
      </c>
    </row>
    <row r="2417" spans="1:11" ht="17.25" hidden="1">
      <c r="A2417" s="268"/>
      <c r="E2417" s="283"/>
      <c r="F2417"/>
      <c r="G2417" s="3"/>
      <c r="H2417"/>
      <c r="I2417"/>
      <c r="J2417" s="4"/>
      <c r="K2417" s="5" t="s">
        <v>1530</v>
      </c>
    </row>
    <row r="2418" spans="1:11" ht="17.25" hidden="1">
      <c r="A2418" s="268"/>
      <c r="E2418" s="283"/>
      <c r="F2418"/>
      <c r="G2418" s="3"/>
      <c r="H2418" s="1" t="s">
        <v>864</v>
      </c>
      <c r="I2418"/>
      <c r="J2418" s="4"/>
      <c r="K2418"/>
    </row>
    <row r="2419" spans="1:11" ht="17.25" hidden="1">
      <c r="A2419" s="268"/>
      <c r="E2419" s="283"/>
      <c r="F2419"/>
      <c r="G2419" s="3"/>
      <c r="H2419" s="1" t="s">
        <v>292</v>
      </c>
      <c r="I2419"/>
      <c r="J2419" s="4"/>
      <c r="K2419"/>
    </row>
    <row r="2420" spans="1:11" ht="17.25" hidden="1">
      <c r="A2420" s="268"/>
      <c r="E2420" s="283"/>
      <c r="F2420"/>
      <c r="G2420" s="3"/>
      <c r="H2420" s="1" t="s">
        <v>294</v>
      </c>
      <c r="I2420"/>
      <c r="J2420" s="4"/>
      <c r="K2420"/>
    </row>
    <row r="2421" spans="1:11" ht="17.25" hidden="1">
      <c r="A2421" s="268"/>
      <c r="E2421" s="283"/>
      <c r="F2421"/>
      <c r="G2421" s="3"/>
      <c r="H2421"/>
      <c r="I2421"/>
      <c r="J2421" s="4"/>
      <c r="K2421"/>
    </row>
    <row r="2422" spans="1:11" ht="17.25" hidden="1">
      <c r="A2422" s="268"/>
      <c r="E2422" s="283"/>
      <c r="F2422" s="8">
        <v>19</v>
      </c>
      <c r="G2422" s="7" t="s">
        <v>1375</v>
      </c>
      <c r="H2422" s="1" t="s">
        <v>67</v>
      </c>
      <c r="I2422" s="8">
        <f>K2416</f>
        <v>14.1</v>
      </c>
      <c r="J2422" s="2" t="s">
        <v>245</v>
      </c>
      <c r="K2422" s="8">
        <f>(F2422*I2422)</f>
        <v>267.89999999999998</v>
      </c>
    </row>
    <row r="2423" spans="1:11" ht="17.25" hidden="1">
      <c r="A2423" s="268"/>
      <c r="E2423" s="283"/>
      <c r="F2423"/>
      <c r="G2423" s="3"/>
      <c r="H2423" s="1" t="s">
        <v>1606</v>
      </c>
      <c r="I2423"/>
      <c r="J2423" s="4"/>
      <c r="K2423" s="8"/>
    </row>
    <row r="2424" spans="1:11" ht="17.25" hidden="1">
      <c r="A2424" s="268"/>
      <c r="E2424" s="283"/>
      <c r="F2424" s="8">
        <v>0.12</v>
      </c>
      <c r="G2424" s="7" t="s">
        <v>2070</v>
      </c>
      <c r="H2424" s="1" t="s">
        <v>2875</v>
      </c>
      <c r="I2424" s="8">
        <f>9395/5</f>
        <v>1879</v>
      </c>
      <c r="J2424" s="2" t="s">
        <v>245</v>
      </c>
      <c r="K2424" s="8">
        <f t="shared" ref="K2424:K2431" si="78">(F2424*I2424)</f>
        <v>225.48</v>
      </c>
    </row>
    <row r="2425" spans="1:11" ht="17.25" hidden="1">
      <c r="A2425" s="268"/>
      <c r="E2425" s="283"/>
      <c r="F2425" s="8">
        <v>98.5</v>
      </c>
      <c r="G2425" s="7" t="s">
        <v>794</v>
      </c>
      <c r="H2425" s="1" t="s">
        <v>795</v>
      </c>
      <c r="I2425" s="8">
        <f>I2369</f>
        <v>3</v>
      </c>
      <c r="J2425" s="2" t="s">
        <v>245</v>
      </c>
      <c r="K2425" s="8">
        <f t="shared" si="78"/>
        <v>295.5</v>
      </c>
    </row>
    <row r="2426" spans="1:11" ht="17.25" hidden="1">
      <c r="A2426" s="268"/>
      <c r="E2426" s="283"/>
      <c r="F2426" s="8">
        <v>1</v>
      </c>
      <c r="G2426" s="7" t="s">
        <v>419</v>
      </c>
      <c r="H2426" s="1" t="s">
        <v>1334</v>
      </c>
      <c r="I2426" s="8">
        <v>11</v>
      </c>
      <c r="J2426" s="2" t="s">
        <v>419</v>
      </c>
      <c r="K2426" s="8">
        <f t="shared" si="78"/>
        <v>11</v>
      </c>
    </row>
    <row r="2427" spans="1:11" ht="17.25" hidden="1">
      <c r="A2427" s="268"/>
      <c r="E2427" s="283"/>
      <c r="F2427" s="8">
        <v>3.8</v>
      </c>
      <c r="G2427" s="7" t="s">
        <v>1337</v>
      </c>
      <c r="H2427" s="1" t="s">
        <v>1338</v>
      </c>
      <c r="I2427" s="8">
        <f>C16</f>
        <v>150</v>
      </c>
      <c r="J2427" s="2" t="s">
        <v>1341</v>
      </c>
      <c r="K2427" s="8">
        <f t="shared" si="78"/>
        <v>570</v>
      </c>
    </row>
    <row r="2428" spans="1:11" ht="17.25" hidden="1">
      <c r="A2428" s="268"/>
      <c r="E2428" s="283"/>
      <c r="F2428" s="8">
        <v>5.4</v>
      </c>
      <c r="G2428" s="7" t="s">
        <v>1337</v>
      </c>
      <c r="H2428" s="1" t="s">
        <v>792</v>
      </c>
      <c r="I2428" s="8">
        <f>C12</f>
        <v>95</v>
      </c>
      <c r="J2428" s="2" t="s">
        <v>1341</v>
      </c>
      <c r="K2428" s="8">
        <f t="shared" si="78"/>
        <v>513</v>
      </c>
    </row>
    <row r="2429" spans="1:11" ht="17.25" hidden="1">
      <c r="A2429" s="268"/>
      <c r="E2429" s="283"/>
      <c r="F2429" s="8">
        <v>1</v>
      </c>
      <c r="G2429" s="7" t="s">
        <v>1337</v>
      </c>
      <c r="H2429" s="1" t="s">
        <v>2202</v>
      </c>
      <c r="I2429" s="8">
        <f>D17</f>
        <v>120</v>
      </c>
      <c r="J2429" s="2" t="s">
        <v>1341</v>
      </c>
      <c r="K2429" s="8">
        <f t="shared" si="78"/>
        <v>120</v>
      </c>
    </row>
    <row r="2430" spans="1:11" ht="17.25" hidden="1">
      <c r="A2430" s="268"/>
      <c r="E2430" s="283"/>
      <c r="F2430" s="8">
        <v>1</v>
      </c>
      <c r="G2430" s="7" t="s">
        <v>419</v>
      </c>
      <c r="H2430" s="1" t="s">
        <v>745</v>
      </c>
      <c r="I2430" s="8">
        <v>10</v>
      </c>
      <c r="J2430" s="2" t="s">
        <v>419</v>
      </c>
      <c r="K2430" s="8">
        <f t="shared" si="78"/>
        <v>10</v>
      </c>
    </row>
    <row r="2431" spans="1:11" ht="17.25" hidden="1">
      <c r="A2431" s="268"/>
      <c r="E2431" s="283"/>
      <c r="F2431" s="8">
        <v>19</v>
      </c>
      <c r="G2431" s="7" t="s">
        <v>1375</v>
      </c>
      <c r="H2431" s="1" t="s">
        <v>747</v>
      </c>
      <c r="I2431" s="8">
        <v>2</v>
      </c>
      <c r="J2431" s="2" t="s">
        <v>1375</v>
      </c>
      <c r="K2431" s="8">
        <f t="shared" si="78"/>
        <v>38</v>
      </c>
    </row>
    <row r="2432" spans="1:11" ht="17.25" hidden="1">
      <c r="A2432" s="268"/>
      <c r="E2432" s="283"/>
      <c r="F2432"/>
      <c r="G2432" s="3"/>
      <c r="H2432" s="1" t="s">
        <v>469</v>
      </c>
      <c r="I2432"/>
      <c r="J2432" s="4"/>
      <c r="K2432" s="5" t="s">
        <v>1530</v>
      </c>
    </row>
    <row r="2433" spans="1:11" ht="17.25" hidden="1">
      <c r="A2433" s="268"/>
      <c r="E2433" s="283"/>
      <c r="F2433"/>
      <c r="G2433" s="3"/>
      <c r="H2433" s="2" t="s">
        <v>411</v>
      </c>
      <c r="I2433"/>
      <c r="J2433" s="4"/>
      <c r="K2433" s="8">
        <f>SUM(K2422:K2431)</f>
        <v>2050.88</v>
      </c>
    </row>
    <row r="2434" spans="1:11" ht="17.25" hidden="1">
      <c r="A2434" s="268"/>
      <c r="E2434" s="283"/>
      <c r="F2434"/>
      <c r="G2434" s="3"/>
      <c r="H2434"/>
      <c r="I2434"/>
      <c r="J2434" s="4"/>
      <c r="K2434" s="5" t="s">
        <v>1530</v>
      </c>
    </row>
    <row r="2435" spans="1:11" ht="17.25" hidden="1">
      <c r="A2435" s="268"/>
      <c r="E2435" s="283"/>
      <c r="F2435"/>
      <c r="G2435" s="3"/>
      <c r="H2435" s="2" t="s">
        <v>521</v>
      </c>
      <c r="I2435"/>
      <c r="J2435" s="4"/>
      <c r="K2435" s="8">
        <f>(K2433/10)</f>
        <v>205.09</v>
      </c>
    </row>
    <row r="2436" spans="1:11" ht="17.25" hidden="1">
      <c r="A2436" s="268"/>
      <c r="E2436" s="283"/>
      <c r="F2436" s="1" t="s">
        <v>940</v>
      </c>
      <c r="G2436" s="3"/>
      <c r="H2436"/>
      <c r="I2436"/>
      <c r="J2436" s="4"/>
      <c r="K2436"/>
    </row>
    <row r="2437" spans="1:11" ht="17.25" hidden="1">
      <c r="A2437" s="268"/>
      <c r="E2437" s="283"/>
      <c r="F2437"/>
      <c r="G2437" s="3"/>
      <c r="H2437"/>
      <c r="I2437"/>
      <c r="J2437" s="4"/>
      <c r="K2437" s="5" t="s">
        <v>1980</v>
      </c>
    </row>
    <row r="2438" spans="1:11" ht="30" hidden="1">
      <c r="A2438" s="268"/>
      <c r="E2438" s="283"/>
      <c r="F2438" s="326" t="s">
        <v>2533</v>
      </c>
      <c r="G2438" s="33"/>
      <c r="H2438" s="327" t="s">
        <v>3395</v>
      </c>
      <c r="I2438"/>
      <c r="J2438" s="4"/>
      <c r="K2438"/>
    </row>
    <row r="2439" spans="1:11" ht="17.25" hidden="1">
      <c r="A2439" s="268"/>
      <c r="E2439" s="283"/>
      <c r="F2439" s="33"/>
      <c r="G2439" s="3"/>
      <c r="H2439"/>
      <c r="I2439"/>
      <c r="J2439" s="4"/>
      <c r="K2439" s="56"/>
    </row>
    <row r="2440" spans="1:11" ht="17.25" hidden="1">
      <c r="A2440" s="268"/>
      <c r="E2440" s="283"/>
      <c r="F2440">
        <v>98.5</v>
      </c>
      <c r="G2440" s="3" t="s">
        <v>794</v>
      </c>
      <c r="H2440" s="1" t="s">
        <v>795</v>
      </c>
      <c r="I2440" s="8">
        <f>I2425</f>
        <v>3</v>
      </c>
      <c r="J2440" s="2" t="s">
        <v>245</v>
      </c>
      <c r="K2440">
        <f>(F2440*I2440)</f>
        <v>295.5</v>
      </c>
    </row>
    <row r="2441" spans="1:11" ht="17.25" hidden="1">
      <c r="A2441" s="268"/>
      <c r="E2441" s="283"/>
      <c r="F2441">
        <v>0.3</v>
      </c>
      <c r="G2441" s="3" t="s">
        <v>1337</v>
      </c>
      <c r="H2441" s="1" t="s">
        <v>1338</v>
      </c>
      <c r="I2441" s="8">
        <f>I2427</f>
        <v>150</v>
      </c>
      <c r="J2441" s="2" t="s">
        <v>1341</v>
      </c>
      <c r="K2441">
        <f>(F2441*I2441)</f>
        <v>45</v>
      </c>
    </row>
    <row r="2442" spans="1:11" ht="17.25" hidden="1">
      <c r="A2442" s="268"/>
      <c r="E2442" s="283"/>
      <c r="F2442">
        <v>0.3</v>
      </c>
      <c r="G2442" s="3" t="s">
        <v>1337</v>
      </c>
      <c r="H2442" s="1" t="s">
        <v>792</v>
      </c>
      <c r="I2442" s="8">
        <f>I2428</f>
        <v>95</v>
      </c>
      <c r="J2442" s="2" t="s">
        <v>1341</v>
      </c>
      <c r="K2442">
        <f>(F2442*I2442)</f>
        <v>28.5</v>
      </c>
    </row>
    <row r="2443" spans="1:11" ht="17.25" hidden="1">
      <c r="A2443" s="268"/>
      <c r="E2443" s="283"/>
      <c r="F2443"/>
      <c r="G2443" s="3"/>
      <c r="H2443" s="1" t="s">
        <v>2187</v>
      </c>
      <c r="I2443"/>
      <c r="J2443" s="4" t="s">
        <v>66</v>
      </c>
      <c r="K2443" s="56">
        <v>0.6</v>
      </c>
    </row>
    <row r="2444" spans="1:11" ht="17.25" hidden="1">
      <c r="A2444" s="268"/>
      <c r="E2444" s="283"/>
      <c r="F2444"/>
      <c r="G2444" s="3"/>
      <c r="H2444" s="2" t="s">
        <v>411</v>
      </c>
      <c r="I2444"/>
      <c r="J2444" s="4"/>
      <c r="K2444">
        <f>SUM(K2440:K2443)</f>
        <v>369.6</v>
      </c>
    </row>
    <row r="2445" spans="1:11" ht="17.25" hidden="1">
      <c r="A2445" s="268"/>
      <c r="E2445" s="283"/>
      <c r="F2445"/>
      <c r="G2445" s="3"/>
      <c r="H2445" s="1"/>
      <c r="I2445"/>
      <c r="J2445" s="4"/>
      <c r="K2445" s="56" t="s">
        <v>398</v>
      </c>
    </row>
    <row r="2446" spans="1:11" ht="17.25" hidden="1">
      <c r="A2446" s="268"/>
      <c r="E2446" s="283"/>
      <c r="F2446"/>
      <c r="G2446" s="3"/>
      <c r="H2446" s="2" t="s">
        <v>521</v>
      </c>
      <c r="I2446"/>
      <c r="J2446" s="4"/>
      <c r="K2446">
        <f>K2444/10</f>
        <v>36.96</v>
      </c>
    </row>
    <row r="2447" spans="1:11" ht="17.25" hidden="1">
      <c r="A2447" s="268"/>
      <c r="E2447" s="283"/>
      <c r="F2447"/>
      <c r="G2447" s="3"/>
      <c r="H2447" s="2"/>
      <c r="I2447"/>
      <c r="J2447" s="4"/>
      <c r="K2447"/>
    </row>
    <row r="2448" spans="1:11" ht="32.25" hidden="1">
      <c r="A2448" s="268"/>
      <c r="E2448" s="283"/>
      <c r="F2448"/>
      <c r="G2448" s="3"/>
      <c r="H2448" s="23" t="s">
        <v>3396</v>
      </c>
      <c r="I2448"/>
      <c r="J2448" s="4" t="s">
        <v>3397</v>
      </c>
      <c r="K2448">
        <f>K2435-K2446</f>
        <v>168.13</v>
      </c>
    </row>
    <row r="2449" spans="1:11" ht="17.25" hidden="1">
      <c r="A2449" s="268"/>
      <c r="E2449" s="283"/>
      <c r="F2449"/>
      <c r="G2449" s="3"/>
      <c r="H2449" s="1"/>
      <c r="I2449"/>
      <c r="J2449" s="4"/>
      <c r="K2449" s="56" t="s">
        <v>33</v>
      </c>
    </row>
    <row r="2450" spans="1:11" ht="17.25" hidden="1">
      <c r="A2450" s="268"/>
      <c r="E2450" s="283"/>
      <c r="F2450"/>
      <c r="G2450" s="3"/>
      <c r="H2450"/>
      <c r="I2450"/>
      <c r="J2450" s="4"/>
      <c r="K2450"/>
    </row>
    <row r="2451" spans="1:11" ht="45" hidden="1">
      <c r="A2451" s="268"/>
      <c r="E2451" s="283"/>
      <c r="F2451" s="326" t="s">
        <v>3141</v>
      </c>
      <c r="G2451" s="3"/>
      <c r="H2451" s="327" t="s">
        <v>2957</v>
      </c>
      <c r="I2451"/>
      <c r="J2451" s="4" t="s">
        <v>3397</v>
      </c>
      <c r="K2451">
        <f>K2435</f>
        <v>205.09</v>
      </c>
    </row>
    <row r="2452" spans="1:11" ht="17.25" hidden="1">
      <c r="A2452" s="268"/>
      <c r="E2452" s="283"/>
      <c r="F2452"/>
      <c r="H2452" s="181"/>
      <c r="I2452"/>
      <c r="J2452" s="4"/>
      <c r="K2452" s="56" t="s">
        <v>33</v>
      </c>
    </row>
    <row r="2453" spans="1:11" ht="30" hidden="1">
      <c r="A2453" s="268"/>
      <c r="E2453" s="283"/>
      <c r="F2453" s="326" t="s">
        <v>2194</v>
      </c>
      <c r="H2453" s="327" t="s">
        <v>2954</v>
      </c>
      <c r="I2453"/>
      <c r="J2453" s="4" t="s">
        <v>3397</v>
      </c>
      <c r="K2453" s="56">
        <f>K2451*1.2</f>
        <v>246.11</v>
      </c>
    </row>
    <row r="2454" spans="1:11" ht="17.25" hidden="1">
      <c r="A2454" s="268"/>
      <c r="E2454" s="283"/>
      <c r="F2454"/>
      <c r="I2454"/>
      <c r="J2454" s="4"/>
      <c r="K2454" s="56" t="s">
        <v>1178</v>
      </c>
    </row>
    <row r="2455" spans="1:11" ht="19.5" hidden="1">
      <c r="A2455" s="268"/>
      <c r="E2455" s="283"/>
      <c r="F2455" s="326" t="s">
        <v>2955</v>
      </c>
      <c r="H2455" s="327" t="s">
        <v>2956</v>
      </c>
      <c r="I2455"/>
      <c r="J2455" s="4" t="s">
        <v>3397</v>
      </c>
      <c r="K2455">
        <f>K2451*1.1</f>
        <v>225.6</v>
      </c>
    </row>
    <row r="2456" spans="1:11" ht="17.25" hidden="1">
      <c r="A2456" s="268"/>
      <c r="E2456" s="283"/>
      <c r="F2456"/>
      <c r="G2456" s="3"/>
      <c r="H2456"/>
      <c r="I2456"/>
      <c r="J2456" s="4"/>
      <c r="K2456" s="56" t="s">
        <v>1178</v>
      </c>
    </row>
    <row r="2457" spans="1:11" ht="17.25" hidden="1">
      <c r="A2457" s="268"/>
      <c r="E2457" s="283"/>
      <c r="F2457"/>
      <c r="G2457" s="3"/>
      <c r="H2457"/>
      <c r="I2457"/>
      <c r="J2457" s="4"/>
      <c r="K2457"/>
    </row>
    <row r="2458" spans="1:11" ht="17.25" hidden="1">
      <c r="A2458" s="268"/>
      <c r="E2458" s="283"/>
      <c r="F2458">
        <v>50.6</v>
      </c>
      <c r="G2458" s="7" t="s">
        <v>643</v>
      </c>
      <c r="H2458" s="1" t="s">
        <v>1108</v>
      </c>
      <c r="I2458"/>
      <c r="J2458" s="4"/>
      <c r="K2458"/>
    </row>
    <row r="2459" spans="1:11" ht="32.25" hidden="1">
      <c r="A2459" s="268"/>
      <c r="E2459" s="283"/>
      <c r="F2459"/>
      <c r="G2459" s="3"/>
      <c r="H2459" s="23" t="s">
        <v>2664</v>
      </c>
      <c r="I2459"/>
      <c r="J2459" s="4"/>
      <c r="K2459"/>
    </row>
    <row r="2460" spans="1:11" ht="17.25" hidden="1">
      <c r="A2460" s="268"/>
      <c r="E2460" s="283"/>
      <c r="F2460"/>
      <c r="G2460" s="3"/>
      <c r="H2460" s="5" t="s">
        <v>1530</v>
      </c>
      <c r="I2460" s="5" t="s">
        <v>1530</v>
      </c>
      <c r="J2460" s="4"/>
      <c r="K2460"/>
    </row>
    <row r="2461" spans="1:11" ht="18.75" hidden="1">
      <c r="A2461" s="268"/>
      <c r="E2461" s="283"/>
      <c r="F2461"/>
      <c r="G2461" s="3"/>
      <c r="H2461" s="5" t="s">
        <v>2665</v>
      </c>
      <c r="I2461" s="5"/>
      <c r="J2461" s="4"/>
      <c r="K2461"/>
    </row>
    <row r="2462" spans="1:11" ht="18.75" hidden="1">
      <c r="A2462" s="268"/>
      <c r="E2462" s="283"/>
      <c r="F2462"/>
      <c r="G2462" s="3"/>
      <c r="H2462" s="5" t="s">
        <v>2995</v>
      </c>
      <c r="I2462" s="5"/>
      <c r="J2462" s="4"/>
      <c r="K2462"/>
    </row>
    <row r="2463" spans="1:11" ht="17.25" hidden="1">
      <c r="A2463" s="268"/>
      <c r="E2463" s="283"/>
      <c r="F2463"/>
      <c r="G2463" s="3"/>
      <c r="H2463" s="5"/>
      <c r="I2463" s="5"/>
      <c r="J2463" s="4"/>
      <c r="K2463"/>
    </row>
    <row r="2464" spans="1:11" ht="17.25" hidden="1">
      <c r="A2464" s="268"/>
      <c r="E2464" s="283"/>
      <c r="F2464"/>
      <c r="G2464" s="3"/>
      <c r="H2464"/>
      <c r="I2464"/>
      <c r="J2464" s="4"/>
      <c r="K2464"/>
    </row>
    <row r="2465" spans="1:11" ht="17.25" hidden="1">
      <c r="A2465" s="268"/>
      <c r="E2465" s="283"/>
      <c r="F2465" s="13">
        <v>1.96</v>
      </c>
      <c r="G2465" s="7" t="s">
        <v>2070</v>
      </c>
      <c r="H2465" s="1" t="s">
        <v>412</v>
      </c>
      <c r="I2465" s="8" t="e">
        <f>K1644</f>
        <v>#REF!</v>
      </c>
      <c r="J2465" s="2" t="s">
        <v>2070</v>
      </c>
      <c r="K2465" s="8" t="e">
        <f t="shared" ref="K2465:K2470" si="79">(F2465*I2465)</f>
        <v>#REF!</v>
      </c>
    </row>
    <row r="2466" spans="1:11" ht="17.25" hidden="1">
      <c r="A2466" s="268"/>
      <c r="E2466" s="283"/>
      <c r="F2466" s="8">
        <v>2</v>
      </c>
      <c r="G2466" s="7" t="s">
        <v>529</v>
      </c>
      <c r="H2466" s="1" t="s">
        <v>332</v>
      </c>
      <c r="I2466" s="8">
        <f>C10</f>
        <v>150</v>
      </c>
      <c r="J2466" s="2" t="s">
        <v>1341</v>
      </c>
      <c r="K2466" s="8">
        <f t="shared" si="79"/>
        <v>300</v>
      </c>
    </row>
    <row r="2467" spans="1:11" ht="17.25" hidden="1">
      <c r="A2467" s="268"/>
      <c r="E2467" s="283"/>
      <c r="F2467" s="8">
        <v>2</v>
      </c>
      <c r="G2467" s="7" t="s">
        <v>529</v>
      </c>
      <c r="H2467" s="1" t="s">
        <v>333</v>
      </c>
      <c r="I2467" s="8">
        <f>C13</f>
        <v>85</v>
      </c>
      <c r="J2467" s="2" t="s">
        <v>1341</v>
      </c>
      <c r="K2467" s="8">
        <f t="shared" si="79"/>
        <v>170</v>
      </c>
    </row>
    <row r="2468" spans="1:11" ht="17.25" hidden="1">
      <c r="A2468" s="268"/>
      <c r="E2468" s="283"/>
      <c r="F2468" s="8">
        <v>0.28000000000000003</v>
      </c>
      <c r="G2468" s="7" t="s">
        <v>2199</v>
      </c>
      <c r="H2468" s="1" t="s">
        <v>2958</v>
      </c>
      <c r="I2468" s="8">
        <f>K2448</f>
        <v>168.13</v>
      </c>
      <c r="J2468" s="2" t="s">
        <v>2199</v>
      </c>
      <c r="K2468" s="8">
        <f t="shared" si="79"/>
        <v>47.08</v>
      </c>
    </row>
    <row r="2469" spans="1:11" ht="17.25" hidden="1">
      <c r="A2469" s="268"/>
      <c r="E2469" s="283"/>
      <c r="F2469" s="8">
        <v>500</v>
      </c>
      <c r="G2469" s="7" t="s">
        <v>1375</v>
      </c>
      <c r="H2469" s="1" t="s">
        <v>2959</v>
      </c>
      <c r="I2469">
        <v>2</v>
      </c>
      <c r="J2469" s="4" t="s">
        <v>1341</v>
      </c>
      <c r="K2469" s="8">
        <f t="shared" si="79"/>
        <v>1000</v>
      </c>
    </row>
    <row r="2470" spans="1:11" ht="17.25" hidden="1">
      <c r="A2470" s="268"/>
      <c r="E2470" s="283"/>
      <c r="F2470" s="8">
        <v>8.5</v>
      </c>
      <c r="G2470" s="7" t="s">
        <v>3170</v>
      </c>
      <c r="H2470" s="1" t="s">
        <v>3171</v>
      </c>
      <c r="I2470">
        <v>25</v>
      </c>
      <c r="J2470" s="4" t="s">
        <v>2065</v>
      </c>
      <c r="K2470" s="8">
        <f t="shared" si="79"/>
        <v>212.5</v>
      </c>
    </row>
    <row r="2471" spans="1:11" ht="17.25" hidden="1">
      <c r="A2471" s="268"/>
      <c r="E2471" s="283"/>
      <c r="F2471"/>
      <c r="G2471" s="3"/>
      <c r="H2471"/>
      <c r="I2471"/>
      <c r="J2471" s="4"/>
      <c r="K2471" s="5" t="s">
        <v>1530</v>
      </c>
    </row>
    <row r="2472" spans="1:11" ht="17.25" hidden="1">
      <c r="A2472" s="268"/>
      <c r="E2472" s="283"/>
      <c r="F2472"/>
      <c r="G2472" s="3"/>
      <c r="H2472" s="2" t="s">
        <v>3172</v>
      </c>
      <c r="I2472"/>
      <c r="J2472" s="4"/>
      <c r="K2472" s="8" t="e">
        <f>SUM(K2465:K2471)</f>
        <v>#REF!</v>
      </c>
    </row>
    <row r="2473" spans="1:11" ht="17.25" hidden="1">
      <c r="A2473" s="268"/>
      <c r="E2473" s="283"/>
      <c r="F2473"/>
      <c r="G2473" s="3"/>
      <c r="H2473"/>
      <c r="I2473"/>
      <c r="J2473" s="4"/>
      <c r="K2473" s="69" t="s">
        <v>3173</v>
      </c>
    </row>
    <row r="2474" spans="1:11" ht="17.25" hidden="1">
      <c r="A2474" s="268"/>
      <c r="E2474" s="283"/>
      <c r="F2474"/>
      <c r="G2474" s="3"/>
      <c r="H2474" s="2" t="s">
        <v>3174</v>
      </c>
      <c r="I2474"/>
      <c r="J2474" s="4"/>
      <c r="K2474" t="e">
        <f>K2472/39.2</f>
        <v>#REF!</v>
      </c>
    </row>
    <row r="2475" spans="1:11" ht="17.25" hidden="1">
      <c r="A2475" s="268"/>
      <c r="E2475" s="283"/>
      <c r="F2475"/>
      <c r="G2475" s="3"/>
      <c r="H2475"/>
      <c r="I2475"/>
      <c r="J2475" s="4"/>
      <c r="K2475" s="56" t="s">
        <v>1178</v>
      </c>
    </row>
    <row r="2476" spans="1:11" ht="17.25" hidden="1">
      <c r="A2476" s="268"/>
      <c r="E2476" s="283"/>
      <c r="F2476"/>
      <c r="G2476" s="3"/>
      <c r="H2476" s="328" t="s">
        <v>3165</v>
      </c>
      <c r="I2476"/>
      <c r="J2476" s="4"/>
      <c r="K2476"/>
    </row>
    <row r="2477" spans="1:11" ht="17.25" hidden="1">
      <c r="A2477" s="268"/>
      <c r="E2477" s="283"/>
      <c r="F2477"/>
      <c r="G2477" s="3"/>
      <c r="H2477" t="s">
        <v>3166</v>
      </c>
      <c r="I2477" t="s">
        <v>3197</v>
      </c>
      <c r="J2477" s="4"/>
      <c r="K2477"/>
    </row>
    <row r="2478" spans="1:11" ht="17.25" hidden="1">
      <c r="A2478" s="268"/>
      <c r="E2478" s="283"/>
      <c r="F2478"/>
      <c r="G2478" s="3"/>
      <c r="H2478"/>
      <c r="I2478" s="56" t="s">
        <v>3198</v>
      </c>
      <c r="J2478" s="4" t="s">
        <v>3199</v>
      </c>
      <c r="K2478"/>
    </row>
    <row r="2479" spans="1:11" ht="17.25" hidden="1">
      <c r="A2479" s="268"/>
      <c r="E2479" s="283"/>
      <c r="F2479"/>
      <c r="G2479" s="3"/>
      <c r="H2479" t="s">
        <v>3200</v>
      </c>
      <c r="I2479" t="s">
        <v>3201</v>
      </c>
      <c r="J2479" s="4"/>
      <c r="K2479"/>
    </row>
    <row r="2480" spans="1:11" ht="17.25" hidden="1">
      <c r="A2480" s="268"/>
      <c r="E2480" s="283"/>
      <c r="F2480"/>
      <c r="G2480" s="3"/>
      <c r="H2480"/>
      <c r="I2480"/>
      <c r="J2480" s="4"/>
      <c r="K2480"/>
    </row>
    <row r="2481" spans="1:11" ht="17.25" hidden="1">
      <c r="A2481" s="268"/>
      <c r="E2481" s="283"/>
      <c r="F2481"/>
      <c r="G2481" s="3"/>
      <c r="H2481" t="s">
        <v>3202</v>
      </c>
      <c r="I2481"/>
      <c r="J2481" s="4"/>
      <c r="K2481"/>
    </row>
    <row r="2482" spans="1:11" ht="17.25" hidden="1">
      <c r="A2482" s="268"/>
      <c r="E2482" s="283"/>
      <c r="F2482"/>
      <c r="G2482" s="3"/>
      <c r="H2482" t="s">
        <v>3203</v>
      </c>
      <c r="I2482" t="s">
        <v>3204</v>
      </c>
      <c r="J2482" s="4"/>
      <c r="K2482"/>
    </row>
    <row r="2483" spans="1:11" ht="17.25" hidden="1">
      <c r="A2483" s="268"/>
      <c r="E2483" s="283"/>
      <c r="F2483"/>
      <c r="G2483" s="3"/>
      <c r="H2483" t="s">
        <v>3205</v>
      </c>
      <c r="I2483" t="s">
        <v>3206</v>
      </c>
      <c r="J2483" s="4"/>
      <c r="K2483"/>
    </row>
    <row r="2484" spans="1:11" ht="17.25" hidden="1">
      <c r="A2484" s="268"/>
      <c r="E2484" s="283"/>
      <c r="F2484"/>
      <c r="G2484" s="3"/>
      <c r="H2484" t="s">
        <v>3252</v>
      </c>
      <c r="I2484"/>
      <c r="J2484" s="4"/>
      <c r="K2484"/>
    </row>
    <row r="2485" spans="1:11" ht="17.25" hidden="1">
      <c r="A2485" s="268"/>
      <c r="E2485" s="283"/>
      <c r="F2485"/>
      <c r="G2485" s="3"/>
      <c r="H2485"/>
      <c r="I2485"/>
      <c r="J2485" s="4"/>
      <c r="K2485"/>
    </row>
    <row r="2486" spans="1:11" ht="17.25" hidden="1">
      <c r="A2486" s="268"/>
      <c r="E2486" s="283"/>
      <c r="F2486"/>
      <c r="G2486" s="3"/>
      <c r="H2486"/>
      <c r="I2486"/>
      <c r="J2486" s="4"/>
      <c r="K2486"/>
    </row>
    <row r="2487" spans="1:11" ht="17.25" hidden="1">
      <c r="A2487" s="268"/>
      <c r="E2487" s="283"/>
      <c r="F2487"/>
      <c r="G2487" s="3"/>
      <c r="H2487"/>
      <c r="I2487"/>
      <c r="J2487" s="4"/>
      <c r="K2487"/>
    </row>
    <row r="2488" spans="1:11" ht="32.25" hidden="1">
      <c r="A2488" s="268"/>
      <c r="E2488" s="283"/>
      <c r="F2488" s="329">
        <v>83</v>
      </c>
      <c r="G2488" s="3"/>
      <c r="H2488" s="28" t="s">
        <v>3253</v>
      </c>
      <c r="I2488"/>
      <c r="J2488" s="4"/>
      <c r="K2488"/>
    </row>
    <row r="2489" spans="1:11" ht="17.25" hidden="1">
      <c r="A2489" s="268"/>
      <c r="E2489" s="283"/>
      <c r="F2489"/>
      <c r="G2489" s="3"/>
      <c r="H2489" s="56" t="s">
        <v>3287</v>
      </c>
      <c r="I2489"/>
      <c r="J2489" s="4"/>
      <c r="K2489"/>
    </row>
    <row r="2490" spans="1:11" ht="63" hidden="1">
      <c r="A2490" s="268"/>
      <c r="E2490" s="283"/>
      <c r="F2490" s="229">
        <v>3.25</v>
      </c>
      <c r="G2490" s="330" t="s">
        <v>3288</v>
      </c>
      <c r="H2490" s="330" t="s">
        <v>3289</v>
      </c>
      <c r="I2490" s="330">
        <v>27</v>
      </c>
      <c r="J2490" s="330" t="s">
        <v>1591</v>
      </c>
      <c r="K2490" s="330">
        <f>I2490*F2490</f>
        <v>87.75</v>
      </c>
    </row>
    <row r="2491" spans="1:11" ht="17.25" hidden="1">
      <c r="A2491" s="268"/>
      <c r="E2491" s="283"/>
      <c r="F2491"/>
      <c r="G2491" s="3"/>
      <c r="H2491" t="s">
        <v>1148</v>
      </c>
      <c r="I2491"/>
      <c r="J2491" s="4"/>
      <c r="K2491">
        <v>0.25</v>
      </c>
    </row>
    <row r="2492" spans="1:11" ht="17.25" hidden="1">
      <c r="A2492" s="268"/>
      <c r="E2492" s="283"/>
      <c r="F2492"/>
      <c r="G2492" s="3"/>
      <c r="H2492"/>
      <c r="I2492"/>
      <c r="J2492" s="4"/>
      <c r="K2492" s="331" t="s">
        <v>1530</v>
      </c>
    </row>
    <row r="2493" spans="1:11" ht="17.25" hidden="1">
      <c r="A2493" s="268"/>
      <c r="E2493" s="283"/>
      <c r="F2493"/>
      <c r="G2493" s="3"/>
      <c r="H2493" t="s">
        <v>3290</v>
      </c>
      <c r="I2493"/>
      <c r="J2493" s="4"/>
      <c r="K2493">
        <f>SUM(K2490:K2492)</f>
        <v>88</v>
      </c>
    </row>
    <row r="2494" spans="1:11" ht="17.25" hidden="1">
      <c r="A2494" s="268"/>
      <c r="E2494" s="283"/>
      <c r="F2494"/>
      <c r="G2494" s="3"/>
      <c r="H2494"/>
      <c r="I2494"/>
      <c r="J2494" s="4"/>
      <c r="K2494" s="331" t="s">
        <v>1980</v>
      </c>
    </row>
    <row r="2495" spans="1:11" ht="19.5" hidden="1">
      <c r="A2495" s="268"/>
      <c r="E2495" s="283"/>
      <c r="F2495" s="332">
        <v>79.099999999999994</v>
      </c>
      <c r="G2495" s="3"/>
      <c r="H2495" t="s">
        <v>3291</v>
      </c>
      <c r="I2495"/>
      <c r="J2495" s="4"/>
      <c r="K2495"/>
    </row>
    <row r="2496" spans="1:11" ht="17.25" hidden="1">
      <c r="A2496" s="268"/>
      <c r="E2496" s="283"/>
      <c r="F2496"/>
      <c r="G2496" s="3"/>
      <c r="H2496" s="56" t="s">
        <v>3292</v>
      </c>
      <c r="I2496"/>
      <c r="J2496" s="4"/>
      <c r="K2496"/>
    </row>
    <row r="2497" spans="1:11" ht="17.25" hidden="1">
      <c r="A2497" s="268"/>
      <c r="E2497" s="283"/>
      <c r="F2497">
        <v>1</v>
      </c>
      <c r="G2497" s="3" t="s">
        <v>1337</v>
      </c>
      <c r="H2497" t="s">
        <v>3293</v>
      </c>
      <c r="I2497">
        <v>75</v>
      </c>
      <c r="J2497" s="4" t="s">
        <v>1341</v>
      </c>
      <c r="K2497">
        <f>I2497*F2497</f>
        <v>75</v>
      </c>
    </row>
    <row r="2498" spans="1:11" ht="17.25" hidden="1">
      <c r="A2498" s="268"/>
      <c r="E2498" s="283"/>
      <c r="F2498">
        <v>1</v>
      </c>
      <c r="G2498" s="3" t="s">
        <v>1337</v>
      </c>
      <c r="H2498" t="s">
        <v>3294</v>
      </c>
      <c r="I2498">
        <v>17.75</v>
      </c>
      <c r="J2498" s="4" t="s">
        <v>1341</v>
      </c>
      <c r="K2498">
        <f>I2498*F2498</f>
        <v>17.75</v>
      </c>
    </row>
    <row r="2499" spans="1:11" ht="17.25" hidden="1">
      <c r="A2499" s="268"/>
      <c r="E2499" s="283"/>
      <c r="F2499">
        <v>1</v>
      </c>
      <c r="G2499" s="3" t="s">
        <v>1337</v>
      </c>
      <c r="H2499" t="s">
        <v>138</v>
      </c>
      <c r="I2499">
        <f>K2510</f>
        <v>65.13</v>
      </c>
      <c r="J2499" s="4" t="s">
        <v>1341</v>
      </c>
      <c r="K2499">
        <f>I2499*F2499</f>
        <v>65.13</v>
      </c>
    </row>
    <row r="2500" spans="1:11" ht="17.25" hidden="1">
      <c r="A2500" s="268"/>
      <c r="E2500" s="283"/>
      <c r="F2500"/>
      <c r="G2500" s="3"/>
      <c r="H2500" t="s">
        <v>2242</v>
      </c>
      <c r="I2500"/>
      <c r="J2500" s="4" t="s">
        <v>419</v>
      </c>
      <c r="K2500">
        <v>3.12</v>
      </c>
    </row>
    <row r="2501" spans="1:11" ht="17.25" hidden="1">
      <c r="A2501" s="268"/>
      <c r="E2501" s="283"/>
      <c r="F2501"/>
      <c r="G2501" s="3"/>
      <c r="H2501"/>
      <c r="I2501"/>
      <c r="J2501" s="4"/>
      <c r="K2501" s="56" t="s">
        <v>2243</v>
      </c>
    </row>
    <row r="2502" spans="1:11" ht="17.25" hidden="1">
      <c r="A2502" s="268"/>
      <c r="E2502" s="283"/>
      <c r="F2502"/>
      <c r="G2502" s="3"/>
      <c r="H2502"/>
      <c r="I2502"/>
      <c r="J2502" s="4"/>
      <c r="K2502">
        <f>SUM(K2497:K2501)</f>
        <v>161</v>
      </c>
    </row>
    <row r="2503" spans="1:11" ht="17.25" hidden="1">
      <c r="A2503" s="268"/>
      <c r="E2503" s="283"/>
      <c r="F2503"/>
      <c r="G2503" s="3"/>
      <c r="H2503"/>
      <c r="I2503"/>
      <c r="J2503" s="4"/>
      <c r="K2503" s="56" t="s">
        <v>144</v>
      </c>
    </row>
    <row r="2504" spans="1:11" ht="17.25" hidden="1">
      <c r="A2504" s="268"/>
      <c r="E2504" s="283"/>
      <c r="F2504" t="s">
        <v>138</v>
      </c>
      <c r="G2504" s="3"/>
      <c r="H2504"/>
      <c r="I2504"/>
      <c r="J2504" s="4"/>
      <c r="K2504"/>
    </row>
    <row r="2505" spans="1:11" ht="17.25" hidden="1">
      <c r="A2505" s="268"/>
      <c r="E2505" s="283"/>
      <c r="F2505">
        <v>1</v>
      </c>
      <c r="G2505" s="3" t="s">
        <v>1337</v>
      </c>
      <c r="H2505" t="s">
        <v>2244</v>
      </c>
      <c r="I2505">
        <v>131</v>
      </c>
      <c r="J2505" s="4" t="s">
        <v>1341</v>
      </c>
      <c r="K2505">
        <f>I2505*F2505</f>
        <v>131</v>
      </c>
    </row>
    <row r="2506" spans="1:11" ht="17.25" hidden="1">
      <c r="A2506" s="268"/>
      <c r="E2506" s="283"/>
      <c r="F2506">
        <v>1</v>
      </c>
      <c r="G2506" s="3" t="s">
        <v>1337</v>
      </c>
      <c r="H2506" t="s">
        <v>2245</v>
      </c>
      <c r="I2506">
        <v>117</v>
      </c>
      <c r="J2506" s="4" t="s">
        <v>1341</v>
      </c>
      <c r="K2506">
        <f>I2506*F2506</f>
        <v>117</v>
      </c>
    </row>
    <row r="2507" spans="1:11" ht="17.25" hidden="1">
      <c r="A2507" s="268"/>
      <c r="E2507" s="283"/>
      <c r="F2507">
        <v>3</v>
      </c>
      <c r="G2507" s="3" t="s">
        <v>1375</v>
      </c>
      <c r="H2507" t="s">
        <v>2246</v>
      </c>
      <c r="I2507">
        <v>91</v>
      </c>
      <c r="J2507" s="4" t="s">
        <v>1341</v>
      </c>
      <c r="K2507">
        <f>I2507*F2507</f>
        <v>273</v>
      </c>
    </row>
    <row r="2508" spans="1:11" ht="17.25" hidden="1">
      <c r="A2508" s="268"/>
      <c r="E2508" s="283"/>
      <c r="F2508"/>
      <c r="G2508" s="3"/>
      <c r="H2508"/>
      <c r="I2508"/>
      <c r="J2508" s="4"/>
      <c r="K2508" s="56" t="s">
        <v>398</v>
      </c>
    </row>
    <row r="2509" spans="1:11" ht="17.25" hidden="1">
      <c r="A2509" s="268"/>
      <c r="E2509" s="283"/>
      <c r="F2509"/>
      <c r="G2509" s="3"/>
      <c r="H2509" t="s">
        <v>2247</v>
      </c>
      <c r="I2509"/>
      <c r="J2509" s="4"/>
      <c r="K2509">
        <f>SUM(K2505:K2508)</f>
        <v>521</v>
      </c>
    </row>
    <row r="2510" spans="1:11" ht="17.25" hidden="1">
      <c r="A2510" s="268"/>
      <c r="E2510" s="283"/>
      <c r="F2510"/>
      <c r="G2510" s="3"/>
      <c r="H2510" t="s">
        <v>2248</v>
      </c>
      <c r="I2510"/>
      <c r="J2510" s="4"/>
      <c r="K2510">
        <f>K2509/8</f>
        <v>65.13</v>
      </c>
    </row>
    <row r="2511" spans="1:11" ht="17.25" hidden="1">
      <c r="A2511" s="268"/>
      <c r="E2511" s="283"/>
      <c r="F2511"/>
      <c r="G2511" s="3"/>
      <c r="H2511"/>
      <c r="I2511"/>
      <c r="J2511" s="4"/>
      <c r="K2511"/>
    </row>
    <row r="2512" spans="1:11" ht="17.25" hidden="1">
      <c r="A2512" s="268"/>
      <c r="E2512" s="283"/>
      <c r="F2512"/>
      <c r="G2512" s="3"/>
      <c r="H2512"/>
      <c r="I2512"/>
      <c r="J2512" s="4"/>
      <c r="K2512" s="56"/>
    </row>
    <row r="2513" spans="1:11" ht="17.25" hidden="1">
      <c r="A2513" s="268"/>
      <c r="E2513" s="283"/>
      <c r="F2513" s="2" t="s">
        <v>3259</v>
      </c>
      <c r="G2513" s="7" t="s">
        <v>2167</v>
      </c>
      <c r="H2513" s="1" t="s">
        <v>2095</v>
      </c>
      <c r="I2513"/>
      <c r="J2513" s="4"/>
      <c r="K2513"/>
    </row>
    <row r="2514" spans="1:11" ht="17.25" hidden="1">
      <c r="A2514" s="268"/>
      <c r="E2514" s="283"/>
      <c r="F2514"/>
      <c r="G2514" s="3"/>
      <c r="H2514" s="1" t="s">
        <v>2097</v>
      </c>
      <c r="I2514"/>
      <c r="J2514" s="4"/>
      <c r="K2514"/>
    </row>
    <row r="2515" spans="1:11" ht="17.25" hidden="1">
      <c r="A2515" s="268"/>
      <c r="E2515" s="283"/>
      <c r="F2515"/>
      <c r="G2515" s="3"/>
      <c r="H2515" s="1" t="s">
        <v>2098</v>
      </c>
      <c r="I2515"/>
      <c r="J2515" s="4"/>
      <c r="K2515"/>
    </row>
    <row r="2516" spans="1:11" ht="17.25" hidden="1">
      <c r="A2516" s="268"/>
      <c r="E2516" s="283"/>
      <c r="F2516"/>
      <c r="G2516" s="3"/>
      <c r="H2516" s="1" t="s">
        <v>2099</v>
      </c>
      <c r="I2516"/>
      <c r="J2516" s="4"/>
      <c r="K2516"/>
    </row>
    <row r="2517" spans="1:11" ht="17.25" hidden="1">
      <c r="A2517" s="268"/>
      <c r="E2517" s="283"/>
      <c r="F2517"/>
      <c r="G2517" s="3"/>
      <c r="H2517" s="1" t="s">
        <v>2100</v>
      </c>
      <c r="I2517"/>
      <c r="J2517" s="4"/>
      <c r="K2517"/>
    </row>
    <row r="2518" spans="1:11" ht="17.25" hidden="1">
      <c r="A2518" s="268"/>
      <c r="E2518" s="283"/>
      <c r="F2518"/>
      <c r="G2518" s="3"/>
      <c r="H2518" s="1" t="s">
        <v>2101</v>
      </c>
      <c r="I2518"/>
      <c r="J2518" s="4"/>
      <c r="K2518"/>
    </row>
    <row r="2519" spans="1:11" ht="17.25" hidden="1">
      <c r="A2519" s="268"/>
      <c r="E2519" s="283"/>
      <c r="F2519"/>
      <c r="G2519" s="3"/>
      <c r="H2519" s="5" t="s">
        <v>1530</v>
      </c>
      <c r="I2519"/>
      <c r="J2519" s="4"/>
      <c r="K2519"/>
    </row>
    <row r="2520" spans="1:11" ht="17.25" hidden="1">
      <c r="A2520" s="268"/>
      <c r="E2520" s="283"/>
      <c r="F2520" s="2"/>
      <c r="G2520" s="7"/>
      <c r="H2520" s="1" t="s">
        <v>1750</v>
      </c>
      <c r="I2520"/>
      <c r="J2520" s="4"/>
      <c r="K2520" s="1" t="s">
        <v>940</v>
      </c>
    </row>
    <row r="2521" spans="1:11" ht="17.25" hidden="1">
      <c r="A2521" s="268"/>
      <c r="E2521" s="283"/>
      <c r="F2521"/>
      <c r="G2521" s="3"/>
      <c r="H2521" s="5" t="s">
        <v>1530</v>
      </c>
      <c r="I2521"/>
      <c r="J2521" s="4"/>
      <c r="K2521"/>
    </row>
    <row r="2522" spans="1:11" ht="17.25" hidden="1">
      <c r="A2522" s="268"/>
      <c r="E2522" s="283"/>
      <c r="F2522" s="19">
        <v>1.153E-2</v>
      </c>
      <c r="G2522" s="7" t="s">
        <v>836</v>
      </c>
      <c r="H2522" s="1" t="s">
        <v>660</v>
      </c>
      <c r="I2522" s="8">
        <f t="shared" ref="I2522:I2531" si="80">I1011</f>
        <v>65420</v>
      </c>
      <c r="J2522" s="2" t="s">
        <v>836</v>
      </c>
      <c r="K2522" s="8">
        <f t="shared" ref="K2522:K2531" si="81">(F2522*I2522)</f>
        <v>754.29</v>
      </c>
    </row>
    <row r="2523" spans="1:11" ht="17.25" hidden="1">
      <c r="A2523" s="268"/>
      <c r="E2523" s="283"/>
      <c r="F2523" s="19">
        <v>1.52E-2</v>
      </c>
      <c r="G2523" s="7" t="s">
        <v>836</v>
      </c>
      <c r="H2523" s="1" t="s">
        <v>661</v>
      </c>
      <c r="I2523" s="8">
        <f t="shared" si="80"/>
        <v>57165</v>
      </c>
      <c r="J2523" s="2" t="s">
        <v>836</v>
      </c>
      <c r="K2523" s="8">
        <f t="shared" si="81"/>
        <v>868.91</v>
      </c>
    </row>
    <row r="2524" spans="1:11" hidden="1">
      <c r="A2524" s="268"/>
      <c r="F2524" s="19">
        <v>1.2787999999999999</v>
      </c>
      <c r="G2524" s="7" t="s">
        <v>578</v>
      </c>
      <c r="H2524" s="1" t="s">
        <v>2011</v>
      </c>
      <c r="I2524" s="8">
        <f t="shared" si="80"/>
        <v>381.37</v>
      </c>
      <c r="J2524" s="2" t="s">
        <v>578</v>
      </c>
      <c r="K2524" s="8">
        <f t="shared" si="81"/>
        <v>487.7</v>
      </c>
    </row>
    <row r="2525" spans="1:11" hidden="1">
      <c r="A2525" s="268"/>
      <c r="F2525" s="19">
        <v>1.845</v>
      </c>
      <c r="G2525" s="7" t="s">
        <v>578</v>
      </c>
      <c r="H2525" s="1" t="s">
        <v>2012</v>
      </c>
      <c r="I2525" s="8">
        <f t="shared" si="80"/>
        <v>287</v>
      </c>
      <c r="J2525" s="2" t="s">
        <v>578</v>
      </c>
      <c r="K2525" s="8">
        <f t="shared" si="81"/>
        <v>529.52</v>
      </c>
    </row>
    <row r="2526" spans="1:11" hidden="1">
      <c r="A2526" s="268"/>
      <c r="F2526" s="8">
        <v>2</v>
      </c>
      <c r="G2526" s="7" t="s">
        <v>835</v>
      </c>
      <c r="H2526" s="1" t="s">
        <v>2013</v>
      </c>
      <c r="I2526" s="8">
        <f t="shared" si="80"/>
        <v>30</v>
      </c>
      <c r="J2526" s="2" t="s">
        <v>835</v>
      </c>
      <c r="K2526" s="8">
        <f t="shared" si="81"/>
        <v>60</v>
      </c>
    </row>
    <row r="2527" spans="1:11" hidden="1">
      <c r="A2527" s="268"/>
      <c r="F2527" s="8">
        <v>3</v>
      </c>
      <c r="G2527" s="7" t="s">
        <v>835</v>
      </c>
      <c r="H2527" s="1" t="s">
        <v>1460</v>
      </c>
      <c r="I2527" s="8">
        <f t="shared" si="80"/>
        <v>45</v>
      </c>
      <c r="J2527" s="2" t="s">
        <v>835</v>
      </c>
      <c r="K2527" s="8">
        <f t="shared" si="81"/>
        <v>135</v>
      </c>
    </row>
    <row r="2528" spans="1:11" hidden="1">
      <c r="A2528" s="268"/>
      <c r="F2528" s="8">
        <v>1</v>
      </c>
      <c r="G2528" s="7" t="s">
        <v>835</v>
      </c>
      <c r="H2528" s="1" t="s">
        <v>1910</v>
      </c>
      <c r="I2528" s="8">
        <f t="shared" si="80"/>
        <v>95</v>
      </c>
      <c r="J2528" s="2" t="s">
        <v>835</v>
      </c>
      <c r="K2528" s="8">
        <f t="shared" si="81"/>
        <v>95</v>
      </c>
    </row>
    <row r="2529" spans="1:11" hidden="1">
      <c r="A2529" s="268"/>
      <c r="F2529" s="8">
        <v>1</v>
      </c>
      <c r="G2529" s="7" t="s">
        <v>835</v>
      </c>
      <c r="H2529" s="1" t="s">
        <v>1911</v>
      </c>
      <c r="I2529" s="8">
        <f t="shared" si="80"/>
        <v>8</v>
      </c>
      <c r="J2529" s="2" t="s">
        <v>835</v>
      </c>
      <c r="K2529" s="8">
        <f t="shared" si="81"/>
        <v>8</v>
      </c>
    </row>
    <row r="2530" spans="1:11" hidden="1">
      <c r="A2530" s="268"/>
      <c r="F2530" s="8">
        <v>1</v>
      </c>
      <c r="G2530" s="7" t="s">
        <v>835</v>
      </c>
      <c r="H2530" s="1" t="s">
        <v>1912</v>
      </c>
      <c r="I2530" s="8">
        <f t="shared" si="80"/>
        <v>30</v>
      </c>
      <c r="J2530" s="2" t="s">
        <v>835</v>
      </c>
      <c r="K2530" s="8">
        <f t="shared" si="81"/>
        <v>30</v>
      </c>
    </row>
    <row r="2531" spans="1:11" hidden="1">
      <c r="A2531" s="268"/>
      <c r="F2531" s="8">
        <v>1</v>
      </c>
      <c r="G2531" s="7" t="s">
        <v>835</v>
      </c>
      <c r="H2531" s="1" t="s">
        <v>1913</v>
      </c>
      <c r="I2531" s="8">
        <f t="shared" si="80"/>
        <v>25</v>
      </c>
      <c r="J2531" s="2" t="s">
        <v>835</v>
      </c>
      <c r="K2531" s="8">
        <f t="shared" si="81"/>
        <v>25</v>
      </c>
    </row>
    <row r="2532" spans="1:11" hidden="1">
      <c r="A2532" s="268"/>
      <c r="F2532"/>
      <c r="G2532" s="3"/>
      <c r="H2532"/>
      <c r="I2532"/>
      <c r="J2532" s="4"/>
      <c r="K2532" s="5" t="s">
        <v>1530</v>
      </c>
    </row>
    <row r="2533" spans="1:11" hidden="1">
      <c r="A2533" s="268"/>
      <c r="F2533"/>
      <c r="G2533" s="3"/>
      <c r="H2533" s="2" t="s">
        <v>427</v>
      </c>
      <c r="I2533"/>
      <c r="J2533" s="4"/>
      <c r="K2533" s="8">
        <f>SUM(K2522:K2532)</f>
        <v>2993.42</v>
      </c>
    </row>
    <row r="2534" spans="1:11" hidden="1">
      <c r="A2534" s="268"/>
      <c r="F2534"/>
      <c r="G2534" s="7" t="s">
        <v>940</v>
      </c>
      <c r="H2534"/>
      <c r="I2534"/>
      <c r="J2534" s="4"/>
      <c r="K2534" s="5" t="s">
        <v>1530</v>
      </c>
    </row>
    <row r="2535" spans="1:11" hidden="1">
      <c r="A2535" s="268"/>
      <c r="F2535"/>
      <c r="G2535" s="3"/>
      <c r="H2535" s="2" t="s">
        <v>521</v>
      </c>
      <c r="I2535"/>
      <c r="J2535" s="4"/>
      <c r="K2535" s="8">
        <f>K2533/F2525</f>
        <v>1622.45</v>
      </c>
    </row>
    <row r="2536" spans="1:11" hidden="1">
      <c r="A2536" s="268"/>
      <c r="F2536"/>
      <c r="G2536" s="3"/>
      <c r="H2536"/>
      <c r="I2536"/>
      <c r="J2536" s="4"/>
      <c r="K2536" s="5" t="s">
        <v>1980</v>
      </c>
    </row>
    <row r="2537" spans="1:11" hidden="1">
      <c r="A2537" s="268"/>
      <c r="F2537" s="25">
        <v>98.1</v>
      </c>
      <c r="G2537" s="7" t="s">
        <v>2167</v>
      </c>
      <c r="H2537" s="1" t="s">
        <v>3260</v>
      </c>
      <c r="I2537"/>
      <c r="J2537" s="4"/>
      <c r="K2537"/>
    </row>
    <row r="2538" spans="1:11" hidden="1">
      <c r="A2538" s="268"/>
      <c r="F2538"/>
      <c r="G2538" s="3"/>
      <c r="H2538" s="1" t="s">
        <v>241</v>
      </c>
      <c r="I2538"/>
      <c r="J2538" s="4"/>
      <c r="K2538"/>
    </row>
    <row r="2539" spans="1:11" hidden="1">
      <c r="A2539" s="268"/>
      <c r="F2539"/>
      <c r="G2539" s="3"/>
      <c r="H2539" s="34" t="s">
        <v>2215</v>
      </c>
      <c r="I2539"/>
      <c r="J2539" s="4"/>
      <c r="K2539"/>
    </row>
    <row r="2540" spans="1:11" hidden="1">
      <c r="A2540" s="268"/>
      <c r="F2540"/>
      <c r="G2540" s="3"/>
      <c r="H2540" s="5" t="s">
        <v>1530</v>
      </c>
      <c r="I2540"/>
      <c r="J2540" s="4"/>
      <c r="K2540"/>
    </row>
    <row r="2541" spans="1:11" hidden="1">
      <c r="A2541" s="268"/>
      <c r="F2541"/>
      <c r="G2541" s="3"/>
      <c r="H2541" s="1" t="s">
        <v>2216</v>
      </c>
      <c r="I2541"/>
      <c r="J2541" s="333"/>
      <c r="K2541"/>
    </row>
    <row r="2542" spans="1:11" hidden="1">
      <c r="A2542" s="268"/>
      <c r="F2542"/>
      <c r="G2542" s="3"/>
      <c r="H2542" s="1" t="s">
        <v>2217</v>
      </c>
      <c r="I2542"/>
      <c r="J2542" s="4"/>
      <c r="K2542"/>
    </row>
    <row r="2543" spans="1:11" hidden="1">
      <c r="A2543" s="268"/>
      <c r="F2543"/>
      <c r="G2543" s="3"/>
      <c r="H2543"/>
      <c r="I2543"/>
      <c r="J2543" s="2" t="s">
        <v>1530</v>
      </c>
      <c r="K2543"/>
    </row>
    <row r="2544" spans="1:11" hidden="1">
      <c r="A2544" s="268"/>
      <c r="F2544"/>
      <c r="G2544" s="3"/>
      <c r="H2544" s="1" t="s">
        <v>2218</v>
      </c>
      <c r="I2544"/>
      <c r="J2544" s="4"/>
      <c r="K2544"/>
    </row>
    <row r="2545" spans="1:11" hidden="1">
      <c r="A2545" s="268"/>
      <c r="F2545"/>
      <c r="G2545" s="3"/>
      <c r="H2545" s="1" t="s">
        <v>2595</v>
      </c>
      <c r="I2545"/>
      <c r="J2545" s="4"/>
      <c r="K2545" s="15">
        <v>3.5400000000000001E-2</v>
      </c>
    </row>
    <row r="2546" spans="1:11" hidden="1">
      <c r="A2546" s="268"/>
      <c r="F2546"/>
      <c r="G2546" s="3"/>
      <c r="H2546"/>
      <c r="I2546"/>
      <c r="J2546" s="2" t="s">
        <v>940</v>
      </c>
      <c r="K2546" s="5" t="s">
        <v>1530</v>
      </c>
    </row>
    <row r="2547" spans="1:11" hidden="1">
      <c r="A2547" s="268"/>
      <c r="F2547"/>
      <c r="G2547" s="3"/>
      <c r="H2547" s="1" t="s">
        <v>2596</v>
      </c>
      <c r="I2547"/>
      <c r="J2547" s="271" t="s">
        <v>940</v>
      </c>
      <c r="K2547" s="15">
        <v>2.5899999999999999E-2</v>
      </c>
    </row>
    <row r="2548" spans="1:11" hidden="1">
      <c r="A2548" s="268"/>
      <c r="F2548"/>
      <c r="G2548" s="3"/>
      <c r="H2548" s="1" t="s">
        <v>2597</v>
      </c>
      <c r="I2548"/>
      <c r="J2548" s="2" t="s">
        <v>940</v>
      </c>
      <c r="K2548" s="15">
        <v>6.4999999999999997E-3</v>
      </c>
    </row>
    <row r="2549" spans="1:11" hidden="1">
      <c r="A2549" s="268"/>
      <c r="F2549"/>
      <c r="G2549" s="3"/>
      <c r="H2549"/>
      <c r="I2549"/>
      <c r="J2549" s="4"/>
      <c r="K2549" s="5" t="s">
        <v>1530</v>
      </c>
    </row>
    <row r="2550" spans="1:11" hidden="1">
      <c r="A2550" s="268"/>
      <c r="F2550"/>
      <c r="G2550" s="3"/>
      <c r="H2550"/>
      <c r="I2550"/>
      <c r="J2550" s="4"/>
      <c r="K2550" s="15">
        <v>3.2300000000000002E-2</v>
      </c>
    </row>
    <row r="2551" spans="1:11" hidden="1">
      <c r="A2551" s="268"/>
      <c r="F2551"/>
      <c r="G2551" s="3"/>
      <c r="H2551"/>
      <c r="I2551"/>
      <c r="J2551" s="4"/>
      <c r="K2551" s="5" t="s">
        <v>1530</v>
      </c>
    </row>
    <row r="2552" spans="1:11" hidden="1">
      <c r="A2552" s="268"/>
      <c r="F2552"/>
      <c r="G2552" s="3"/>
      <c r="H2552"/>
      <c r="I2552"/>
      <c r="J2552" s="4"/>
      <c r="K2552"/>
    </row>
    <row r="2553" spans="1:11" hidden="1">
      <c r="A2553" s="268"/>
      <c r="F2553"/>
      <c r="G2553" s="3"/>
      <c r="H2553"/>
      <c r="I2553"/>
      <c r="J2553" s="4"/>
      <c r="K2553"/>
    </row>
    <row r="2554" spans="1:11" hidden="1">
      <c r="A2554" s="268"/>
      <c r="F2554" s="15">
        <v>2.2800000000000001E-2</v>
      </c>
      <c r="G2554" s="7" t="s">
        <v>836</v>
      </c>
      <c r="H2554" s="1" t="s">
        <v>287</v>
      </c>
      <c r="I2554" s="8">
        <f>I910</f>
        <v>65420</v>
      </c>
      <c r="J2554" s="2" t="s">
        <v>836</v>
      </c>
      <c r="K2554" s="8">
        <f>(F2554*I2554)</f>
        <v>1491.58</v>
      </c>
    </row>
    <row r="2555" spans="1:11" hidden="1">
      <c r="A2555" s="268"/>
      <c r="F2555" s="15">
        <v>3.5400000000000001E-2</v>
      </c>
      <c r="G2555" s="7" t="s">
        <v>836</v>
      </c>
      <c r="H2555" s="1" t="s">
        <v>288</v>
      </c>
      <c r="I2555" s="8">
        <f>I911</f>
        <v>57165</v>
      </c>
      <c r="J2555" s="2" t="s">
        <v>836</v>
      </c>
      <c r="K2555" s="8">
        <f t="shared" ref="K2555:K2564" si="82">(F2555*I2555)</f>
        <v>2023.64</v>
      </c>
    </row>
    <row r="2556" spans="1:11" hidden="1">
      <c r="A2556" s="268"/>
      <c r="F2556" s="15">
        <v>3.2300000000000002E-2</v>
      </c>
      <c r="G2556" s="7" t="s">
        <v>836</v>
      </c>
      <c r="H2556" s="1" t="s">
        <v>289</v>
      </c>
      <c r="I2556" s="8">
        <f>I912</f>
        <v>63870</v>
      </c>
      <c r="J2556" s="2" t="s">
        <v>836</v>
      </c>
      <c r="K2556" s="8">
        <f t="shared" si="82"/>
        <v>2063</v>
      </c>
    </row>
    <row r="2557" spans="1:11" hidden="1">
      <c r="A2557" s="268"/>
      <c r="F2557" s="16"/>
      <c r="G2557" s="3"/>
      <c r="H2557" s="1" t="s">
        <v>909</v>
      </c>
      <c r="I2557" s="8"/>
      <c r="J2557" s="4"/>
      <c r="K2557" s="8">
        <f t="shared" si="82"/>
        <v>0</v>
      </c>
    </row>
    <row r="2558" spans="1:11" hidden="1">
      <c r="A2558" s="268"/>
      <c r="F2558" s="16">
        <v>2.835</v>
      </c>
      <c r="G2558" s="7" t="s">
        <v>578</v>
      </c>
      <c r="H2558" s="1" t="s">
        <v>417</v>
      </c>
      <c r="I2558" s="8">
        <f t="shared" ref="I2558:I2564" si="83">I914</f>
        <v>342</v>
      </c>
      <c r="J2558" s="2" t="s">
        <v>578</v>
      </c>
      <c r="K2558" s="8">
        <f t="shared" si="82"/>
        <v>969.57</v>
      </c>
    </row>
    <row r="2559" spans="1:11" hidden="1">
      <c r="A2559" s="268"/>
      <c r="F2559" s="8">
        <v>2</v>
      </c>
      <c r="G2559" s="7" t="s">
        <v>739</v>
      </c>
      <c r="H2559" s="1" t="s">
        <v>1406</v>
      </c>
      <c r="I2559" s="8">
        <f t="shared" si="83"/>
        <v>30</v>
      </c>
      <c r="J2559" s="2" t="s">
        <v>835</v>
      </c>
      <c r="K2559" s="8">
        <f t="shared" si="82"/>
        <v>60</v>
      </c>
    </row>
    <row r="2560" spans="1:11" hidden="1">
      <c r="A2560" s="268"/>
      <c r="F2560" s="8">
        <v>6</v>
      </c>
      <c r="G2560" s="7" t="s">
        <v>835</v>
      </c>
      <c r="H2560" s="1" t="s">
        <v>1407</v>
      </c>
      <c r="I2560" s="8">
        <f t="shared" si="83"/>
        <v>45</v>
      </c>
      <c r="J2560" s="2" t="s">
        <v>835</v>
      </c>
      <c r="K2560" s="8">
        <f t="shared" si="82"/>
        <v>270</v>
      </c>
    </row>
    <row r="2561" spans="1:11" hidden="1">
      <c r="A2561" s="268"/>
      <c r="F2561" s="8">
        <v>4</v>
      </c>
      <c r="G2561" s="7" t="s">
        <v>835</v>
      </c>
      <c r="H2561" s="1" t="s">
        <v>1408</v>
      </c>
      <c r="I2561" s="8">
        <f t="shared" si="83"/>
        <v>30</v>
      </c>
      <c r="J2561" s="2" t="s">
        <v>835</v>
      </c>
      <c r="K2561" s="8">
        <f t="shared" si="82"/>
        <v>120</v>
      </c>
    </row>
    <row r="2562" spans="1:11" hidden="1">
      <c r="A2562" s="268"/>
      <c r="F2562" s="8">
        <v>1</v>
      </c>
      <c r="G2562" s="7" t="s">
        <v>835</v>
      </c>
      <c r="H2562" s="1" t="s">
        <v>1409</v>
      </c>
      <c r="I2562" s="8">
        <f t="shared" si="83"/>
        <v>95</v>
      </c>
      <c r="J2562" s="2" t="s">
        <v>835</v>
      </c>
      <c r="K2562" s="8">
        <f t="shared" si="82"/>
        <v>95</v>
      </c>
    </row>
    <row r="2563" spans="1:11" hidden="1">
      <c r="A2563" s="268"/>
      <c r="F2563" s="8">
        <v>2</v>
      </c>
      <c r="G2563" s="7" t="s">
        <v>835</v>
      </c>
      <c r="H2563" s="1" t="s">
        <v>1410</v>
      </c>
      <c r="I2563" s="8">
        <f t="shared" si="83"/>
        <v>8</v>
      </c>
      <c r="J2563" s="2" t="s">
        <v>835</v>
      </c>
      <c r="K2563" s="8">
        <f t="shared" si="82"/>
        <v>16</v>
      </c>
    </row>
    <row r="2564" spans="1:11" hidden="1">
      <c r="A2564" s="268"/>
      <c r="F2564" s="8">
        <v>2</v>
      </c>
      <c r="G2564" s="7" t="s">
        <v>835</v>
      </c>
      <c r="H2564" s="1" t="s">
        <v>1913</v>
      </c>
      <c r="I2564" s="8">
        <f t="shared" si="83"/>
        <v>25</v>
      </c>
      <c r="J2564" s="2" t="s">
        <v>835</v>
      </c>
      <c r="K2564" s="8">
        <f t="shared" si="82"/>
        <v>50</v>
      </c>
    </row>
    <row r="2565" spans="1:11" hidden="1">
      <c r="A2565" s="268"/>
      <c r="F2565"/>
      <c r="G2565" s="3"/>
      <c r="H2565"/>
      <c r="I2565"/>
      <c r="J2565" s="4"/>
      <c r="K2565" s="5" t="s">
        <v>1530</v>
      </c>
    </row>
    <row r="2566" spans="1:11" hidden="1">
      <c r="A2566" s="268"/>
      <c r="F2566"/>
      <c r="G2566" s="3"/>
      <c r="H2566" s="1" t="s">
        <v>3261</v>
      </c>
      <c r="I2566"/>
      <c r="J2566" s="4"/>
      <c r="K2566" s="8">
        <f>SUM(K2554:K2564)</f>
        <v>7158.79</v>
      </c>
    </row>
    <row r="2567" spans="1:11" hidden="1">
      <c r="A2567" s="268"/>
      <c r="F2567"/>
      <c r="G2567" s="3"/>
      <c r="H2567"/>
      <c r="I2567"/>
      <c r="J2567" s="4"/>
      <c r="K2567" s="5" t="s">
        <v>1530</v>
      </c>
    </row>
    <row r="2568" spans="1:11" hidden="1">
      <c r="A2568" s="268"/>
      <c r="F2568"/>
      <c r="G2568" s="3"/>
      <c r="H2568" s="1" t="s">
        <v>521</v>
      </c>
      <c r="I2568"/>
      <c r="J2568" s="4"/>
      <c r="K2568" s="8">
        <f>K2566/F2558</f>
        <v>2525.15</v>
      </c>
    </row>
    <row r="2569" spans="1:11" hidden="1">
      <c r="A2569" s="268"/>
      <c r="F2569"/>
      <c r="G2569" s="3"/>
      <c r="H2569" s="1"/>
      <c r="I2569"/>
      <c r="J2569" s="4"/>
      <c r="K2569" s="5" t="s">
        <v>1980</v>
      </c>
    </row>
    <row r="2570" spans="1:11" hidden="1">
      <c r="A2570" s="268"/>
      <c r="F2570"/>
      <c r="G2570" s="3"/>
      <c r="H2570" s="34" t="s">
        <v>675</v>
      </c>
      <c r="I2570"/>
      <c r="J2570" s="4"/>
      <c r="K2570"/>
    </row>
    <row r="2571" spans="1:11" hidden="1">
      <c r="A2571" s="268"/>
      <c r="F2571"/>
      <c r="G2571" s="3"/>
      <c r="H2571" s="5" t="s">
        <v>1530</v>
      </c>
      <c r="I2571"/>
      <c r="J2571" s="4"/>
      <c r="K2571"/>
    </row>
    <row r="2572" spans="1:11" hidden="1">
      <c r="A2572" s="268"/>
      <c r="F2572"/>
      <c r="G2572" s="3"/>
      <c r="H2572" s="1" t="s">
        <v>392</v>
      </c>
      <c r="I2572"/>
      <c r="J2572" s="333"/>
      <c r="K2572"/>
    </row>
    <row r="2573" spans="1:11" hidden="1">
      <c r="A2573" s="268"/>
      <c r="F2573"/>
      <c r="G2573" s="3"/>
      <c r="H2573" s="1" t="s">
        <v>2217</v>
      </c>
      <c r="I2573"/>
      <c r="J2573" s="4"/>
      <c r="K2573"/>
    </row>
    <row r="2574" spans="1:11" hidden="1">
      <c r="A2574" s="268"/>
      <c r="F2574"/>
      <c r="G2574" s="3"/>
      <c r="H2574"/>
      <c r="I2574"/>
      <c r="J2574" s="2" t="s">
        <v>1530</v>
      </c>
      <c r="K2574"/>
    </row>
    <row r="2575" spans="1:11" hidden="1">
      <c r="A2575" s="268"/>
      <c r="F2575"/>
      <c r="G2575" s="3"/>
      <c r="H2575" s="1" t="s">
        <v>3262</v>
      </c>
      <c r="I2575"/>
      <c r="J2575" s="4"/>
      <c r="K2575"/>
    </row>
    <row r="2576" spans="1:11" hidden="1">
      <c r="A2576" s="268"/>
      <c r="F2576"/>
      <c r="G2576" s="3"/>
      <c r="H2576" s="1" t="s">
        <v>3263</v>
      </c>
      <c r="I2576"/>
      <c r="J2576" s="4"/>
      <c r="K2576" s="15">
        <v>2.5000000000000001E-2</v>
      </c>
    </row>
    <row r="2577" spans="1:11" hidden="1">
      <c r="A2577" s="268"/>
      <c r="F2577"/>
      <c r="G2577" s="3"/>
      <c r="H2577"/>
      <c r="I2577"/>
      <c r="J2577" s="2" t="s">
        <v>940</v>
      </c>
      <c r="K2577" s="5" t="s">
        <v>1530</v>
      </c>
    </row>
    <row r="2578" spans="1:11" hidden="1">
      <c r="A2578" s="268"/>
      <c r="F2578"/>
      <c r="G2578" s="3"/>
      <c r="H2578" s="1" t="s">
        <v>3264</v>
      </c>
      <c r="I2578"/>
      <c r="J2578" s="271" t="s">
        <v>940</v>
      </c>
      <c r="K2578" s="15">
        <v>1.7850000000000001E-2</v>
      </c>
    </row>
    <row r="2579" spans="1:11" hidden="1">
      <c r="A2579" s="268"/>
      <c r="F2579"/>
      <c r="G2579" s="3"/>
      <c r="H2579" s="1" t="s">
        <v>2996</v>
      </c>
      <c r="I2579"/>
      <c r="J2579" s="2" t="s">
        <v>940</v>
      </c>
      <c r="K2579" s="15">
        <v>1.4500000000000001E-2</v>
      </c>
    </row>
    <row r="2580" spans="1:11" hidden="1">
      <c r="A2580" s="268"/>
      <c r="F2580"/>
      <c r="G2580" s="3"/>
      <c r="H2580"/>
      <c r="I2580"/>
      <c r="J2580" s="4"/>
      <c r="K2580" s="5" t="s">
        <v>1530</v>
      </c>
    </row>
    <row r="2581" spans="1:11" hidden="1">
      <c r="A2581" s="268"/>
      <c r="F2581"/>
      <c r="G2581" s="3"/>
      <c r="H2581"/>
      <c r="I2581"/>
      <c r="J2581" s="4"/>
      <c r="K2581" s="15">
        <v>2.23E-2</v>
      </c>
    </row>
    <row r="2582" spans="1:11" hidden="1">
      <c r="A2582" s="268"/>
      <c r="F2582"/>
      <c r="G2582" s="3"/>
      <c r="H2582"/>
      <c r="I2582"/>
      <c r="J2582" s="4"/>
      <c r="K2582" s="5" t="s">
        <v>1530</v>
      </c>
    </row>
    <row r="2583" spans="1:11" hidden="1">
      <c r="A2583" s="268"/>
      <c r="F2583"/>
      <c r="G2583" s="3"/>
      <c r="H2583"/>
      <c r="I2583"/>
      <c r="J2583" s="4"/>
      <c r="K2583"/>
    </row>
    <row r="2584" spans="1:11" hidden="1">
      <c r="A2584" s="268"/>
      <c r="F2584"/>
      <c r="G2584" s="3"/>
      <c r="H2584"/>
      <c r="I2584"/>
      <c r="J2584" s="4"/>
      <c r="K2584"/>
    </row>
    <row r="2585" spans="1:11" hidden="1">
      <c r="A2585" s="268"/>
      <c r="F2585" s="15">
        <v>2.2800000000000001E-2</v>
      </c>
      <c r="G2585" s="7" t="s">
        <v>836</v>
      </c>
      <c r="H2585" s="1" t="s">
        <v>287</v>
      </c>
      <c r="I2585" s="8">
        <f>I2554</f>
        <v>65420</v>
      </c>
      <c r="J2585" s="2" t="s">
        <v>836</v>
      </c>
      <c r="K2585" s="8">
        <f>(F2585*I2585)</f>
        <v>1491.58</v>
      </c>
    </row>
    <row r="2586" spans="1:11" hidden="1">
      <c r="A2586" s="268"/>
      <c r="F2586" s="15">
        <v>2.5000000000000001E-2</v>
      </c>
      <c r="G2586" s="7" t="s">
        <v>836</v>
      </c>
      <c r="H2586" s="1" t="s">
        <v>288</v>
      </c>
      <c r="I2586" s="8">
        <f t="shared" ref="I2586:I2595" si="84">I2555</f>
        <v>57165</v>
      </c>
      <c r="J2586" s="2" t="s">
        <v>836</v>
      </c>
      <c r="K2586" s="8">
        <f>(F2586*I2586)</f>
        <v>1429.13</v>
      </c>
    </row>
    <row r="2587" spans="1:11" hidden="1">
      <c r="A2587" s="268"/>
      <c r="F2587" s="15">
        <v>2.23E-2</v>
      </c>
      <c r="G2587" s="7" t="s">
        <v>836</v>
      </c>
      <c r="H2587" s="1" t="s">
        <v>289</v>
      </c>
      <c r="I2587" s="8">
        <f t="shared" si="84"/>
        <v>63870</v>
      </c>
      <c r="J2587" s="2" t="s">
        <v>836</v>
      </c>
      <c r="K2587" s="8">
        <f>(F2587*I2587)</f>
        <v>1424.3</v>
      </c>
    </row>
    <row r="2588" spans="1:11" hidden="1">
      <c r="A2588" s="268"/>
      <c r="F2588" s="16"/>
      <c r="G2588" s="3"/>
      <c r="H2588" s="1" t="s">
        <v>909</v>
      </c>
      <c r="I2588" s="8"/>
      <c r="J2588" s="4"/>
      <c r="K2588" s="1" t="s">
        <v>940</v>
      </c>
    </row>
    <row r="2589" spans="1:11" hidden="1">
      <c r="A2589" s="268"/>
      <c r="F2589" s="16">
        <v>2.2275</v>
      </c>
      <c r="G2589" s="7" t="s">
        <v>578</v>
      </c>
      <c r="H2589" s="1" t="s">
        <v>417</v>
      </c>
      <c r="I2589" s="8">
        <f t="shared" si="84"/>
        <v>342</v>
      </c>
      <c r="J2589" s="2" t="s">
        <v>578</v>
      </c>
      <c r="K2589" s="8">
        <f t="shared" ref="K2589:K2595" si="85">(F2589*I2589)</f>
        <v>761.81</v>
      </c>
    </row>
    <row r="2590" spans="1:11" hidden="1">
      <c r="A2590" s="268"/>
      <c r="F2590" s="8">
        <v>2</v>
      </c>
      <c r="G2590" s="7" t="s">
        <v>739</v>
      </c>
      <c r="H2590" s="1" t="s">
        <v>1406</v>
      </c>
      <c r="I2590" s="8">
        <f t="shared" si="84"/>
        <v>30</v>
      </c>
      <c r="J2590" s="2" t="s">
        <v>835</v>
      </c>
      <c r="K2590" s="8">
        <f t="shared" si="85"/>
        <v>60</v>
      </c>
    </row>
    <row r="2591" spans="1:11" hidden="1">
      <c r="A2591" s="268"/>
      <c r="F2591" s="8">
        <v>6</v>
      </c>
      <c r="G2591" s="7" t="s">
        <v>835</v>
      </c>
      <c r="H2591" s="1" t="s">
        <v>1407</v>
      </c>
      <c r="I2591" s="8">
        <f t="shared" si="84"/>
        <v>45</v>
      </c>
      <c r="J2591" s="2" t="s">
        <v>835</v>
      </c>
      <c r="K2591" s="8">
        <f t="shared" si="85"/>
        <v>270</v>
      </c>
    </row>
    <row r="2592" spans="1:11" hidden="1">
      <c r="A2592" s="268"/>
      <c r="F2592" s="8">
        <v>4</v>
      </c>
      <c r="G2592" s="7" t="s">
        <v>835</v>
      </c>
      <c r="H2592" s="1" t="s">
        <v>1408</v>
      </c>
      <c r="I2592" s="8">
        <f t="shared" si="84"/>
        <v>30</v>
      </c>
      <c r="J2592" s="2" t="s">
        <v>835</v>
      </c>
      <c r="K2592" s="8">
        <f t="shared" si="85"/>
        <v>120</v>
      </c>
    </row>
    <row r="2593" spans="1:11" hidden="1">
      <c r="A2593" s="268"/>
      <c r="F2593" s="8">
        <v>1</v>
      </c>
      <c r="G2593" s="7" t="s">
        <v>835</v>
      </c>
      <c r="H2593" s="1" t="s">
        <v>1409</v>
      </c>
      <c r="I2593" s="8">
        <f t="shared" si="84"/>
        <v>95</v>
      </c>
      <c r="J2593" s="2" t="s">
        <v>835</v>
      </c>
      <c r="K2593" s="8">
        <f t="shared" si="85"/>
        <v>95</v>
      </c>
    </row>
    <row r="2594" spans="1:11" hidden="1">
      <c r="A2594" s="268"/>
      <c r="F2594" s="8">
        <v>2</v>
      </c>
      <c r="G2594" s="7" t="s">
        <v>835</v>
      </c>
      <c r="H2594" s="1" t="s">
        <v>1410</v>
      </c>
      <c r="I2594" s="8">
        <f t="shared" si="84"/>
        <v>8</v>
      </c>
      <c r="J2594" s="2" t="s">
        <v>835</v>
      </c>
      <c r="K2594" s="8">
        <f t="shared" si="85"/>
        <v>16</v>
      </c>
    </row>
    <row r="2595" spans="1:11" hidden="1">
      <c r="A2595" s="268"/>
      <c r="F2595" s="8">
        <v>2</v>
      </c>
      <c r="G2595" s="7" t="s">
        <v>835</v>
      </c>
      <c r="H2595" s="1" t="s">
        <v>1913</v>
      </c>
      <c r="I2595" s="8">
        <f t="shared" si="84"/>
        <v>25</v>
      </c>
      <c r="J2595" s="2" t="s">
        <v>835</v>
      </c>
      <c r="K2595" s="8">
        <f t="shared" si="85"/>
        <v>50</v>
      </c>
    </row>
    <row r="2596" spans="1:11" hidden="1">
      <c r="A2596" s="268"/>
      <c r="F2596"/>
      <c r="G2596" s="3"/>
      <c r="H2596"/>
      <c r="I2596"/>
      <c r="J2596" s="4"/>
      <c r="K2596" s="5" t="s">
        <v>1530</v>
      </c>
    </row>
    <row r="2597" spans="1:11" hidden="1">
      <c r="A2597" s="268"/>
      <c r="F2597"/>
      <c r="G2597" s="3"/>
      <c r="H2597" s="1" t="s">
        <v>728</v>
      </c>
      <c r="I2597"/>
      <c r="J2597" s="4"/>
      <c r="K2597" s="8">
        <f>SUM(K2585:K2595)</f>
        <v>5717.82</v>
      </c>
    </row>
    <row r="2598" spans="1:11" hidden="1">
      <c r="A2598" s="268"/>
      <c r="F2598"/>
      <c r="G2598" s="3"/>
      <c r="H2598"/>
      <c r="I2598"/>
      <c r="J2598" s="4"/>
      <c r="K2598" s="5" t="s">
        <v>1530</v>
      </c>
    </row>
    <row r="2599" spans="1:11" hidden="1">
      <c r="A2599" s="268"/>
      <c r="F2599"/>
      <c r="G2599" s="3"/>
      <c r="H2599" s="1" t="s">
        <v>521</v>
      </c>
      <c r="I2599"/>
      <c r="J2599" s="4"/>
      <c r="K2599" s="8">
        <f>K2597/F2589</f>
        <v>2566.92</v>
      </c>
    </row>
    <row r="2600" spans="1:11" hidden="1">
      <c r="A2600" s="268"/>
      <c r="F2600"/>
      <c r="G2600" s="3"/>
      <c r="H2600" s="1"/>
      <c r="I2600"/>
      <c r="J2600" s="4"/>
      <c r="K2600" s="5" t="s">
        <v>1980</v>
      </c>
    </row>
    <row r="2601" spans="1:11" hidden="1">
      <c r="A2601" s="268"/>
      <c r="F2601"/>
      <c r="G2601" s="3"/>
      <c r="H2601"/>
      <c r="I2601"/>
      <c r="J2601" s="4"/>
      <c r="K2601"/>
    </row>
    <row r="2602" spans="1:11" hidden="1">
      <c r="A2602" s="268"/>
      <c r="F2602">
        <v>55.2</v>
      </c>
      <c r="G2602" s="3"/>
      <c r="H2602" s="4" t="s">
        <v>2997</v>
      </c>
      <c r="I2602"/>
      <c r="J2602" s="4"/>
      <c r="K2602"/>
    </row>
    <row r="2603" spans="1:11" hidden="1">
      <c r="A2603" s="268"/>
      <c r="F2603"/>
      <c r="G2603" s="3"/>
      <c r="H2603" s="334" t="s">
        <v>1530</v>
      </c>
      <c r="I2603"/>
      <c r="J2603" s="4"/>
      <c r="K2603"/>
    </row>
    <row r="2604" spans="1:11" hidden="1">
      <c r="A2604" s="268"/>
      <c r="F2604">
        <v>1</v>
      </c>
      <c r="G2604" s="3" t="s">
        <v>1337</v>
      </c>
      <c r="H2604" t="s">
        <v>2998</v>
      </c>
      <c r="I2604">
        <v>650</v>
      </c>
      <c r="J2604" s="4" t="s">
        <v>1337</v>
      </c>
      <c r="K2604">
        <f>F2604*I2604</f>
        <v>650</v>
      </c>
    </row>
    <row r="2605" spans="1:11" hidden="1">
      <c r="A2605" s="268"/>
      <c r="F2605">
        <v>0.5</v>
      </c>
      <c r="G2605" s="3" t="s">
        <v>1337</v>
      </c>
      <c r="H2605" t="s">
        <v>1983</v>
      </c>
      <c r="I2605">
        <f>C15</f>
        <v>130</v>
      </c>
      <c r="J2605" s="4" t="s">
        <v>1337</v>
      </c>
      <c r="K2605">
        <f>F2605*I2605</f>
        <v>65</v>
      </c>
    </row>
    <row r="2606" spans="1:11" hidden="1">
      <c r="A2606" s="268"/>
      <c r="F2606">
        <v>0.5</v>
      </c>
      <c r="G2606" s="3" t="s">
        <v>1337</v>
      </c>
      <c r="H2606" t="s">
        <v>2999</v>
      </c>
      <c r="I2606">
        <f>C10</f>
        <v>150</v>
      </c>
      <c r="J2606" s="4" t="s">
        <v>1337</v>
      </c>
      <c r="K2606">
        <f>F2606*I2606</f>
        <v>75</v>
      </c>
    </row>
    <row r="2607" spans="1:11" hidden="1">
      <c r="A2607" s="268"/>
      <c r="F2607">
        <v>0.5</v>
      </c>
      <c r="G2607" s="3" t="s">
        <v>1337</v>
      </c>
      <c r="H2607" t="s">
        <v>2712</v>
      </c>
      <c r="I2607">
        <f>C12</f>
        <v>95</v>
      </c>
      <c r="J2607" s="4" t="s">
        <v>1337</v>
      </c>
      <c r="K2607">
        <f>F2607*I2607</f>
        <v>47.5</v>
      </c>
    </row>
    <row r="2608" spans="1:11" hidden="1">
      <c r="A2608" s="268"/>
      <c r="F2608"/>
      <c r="G2608" s="3"/>
      <c r="H2608"/>
      <c r="I2608"/>
      <c r="J2608" s="4"/>
      <c r="K2608" s="331" t="s">
        <v>1530</v>
      </c>
    </row>
    <row r="2609" spans="1:11" hidden="1">
      <c r="A2609" s="268"/>
      <c r="F2609"/>
      <c r="G2609" s="3"/>
      <c r="H2609"/>
      <c r="I2609"/>
      <c r="J2609" s="4"/>
      <c r="K2609">
        <f>SUM(K2604:K2608)</f>
        <v>837.5</v>
      </c>
    </row>
    <row r="2610" spans="1:11" hidden="1">
      <c r="A2610" s="268"/>
      <c r="F2610"/>
      <c r="G2610" s="3"/>
      <c r="H2610"/>
      <c r="I2610"/>
      <c r="J2610" s="4"/>
      <c r="K2610" s="331" t="s">
        <v>1980</v>
      </c>
    </row>
    <row r="2611" spans="1:11" hidden="1">
      <c r="A2611" s="268"/>
      <c r="F2611">
        <v>44.2</v>
      </c>
      <c r="G2611" s="3" t="s">
        <v>2167</v>
      </c>
      <c r="H2611" t="s">
        <v>3000</v>
      </c>
      <c r="I2611"/>
      <c r="J2611" s="4"/>
      <c r="K2611"/>
    </row>
    <row r="2612" spans="1:11" hidden="1">
      <c r="A2612" s="268"/>
      <c r="F2612"/>
      <c r="G2612" s="3"/>
      <c r="H2612" s="56" t="s">
        <v>3292</v>
      </c>
      <c r="I2612"/>
      <c r="J2612" s="4"/>
      <c r="K2612"/>
    </row>
    <row r="2613" spans="1:11" hidden="1">
      <c r="A2613" s="268"/>
      <c r="F2613">
        <v>0.47</v>
      </c>
      <c r="G2613" s="3" t="s">
        <v>1289</v>
      </c>
      <c r="H2613" t="s">
        <v>335</v>
      </c>
      <c r="I2613">
        <f>K88</f>
        <v>52.93</v>
      </c>
      <c r="J2613" s="4" t="s">
        <v>2070</v>
      </c>
      <c r="K2613">
        <f>I2613*F2613</f>
        <v>24.88</v>
      </c>
    </row>
    <row r="2614" spans="1:11" hidden="1">
      <c r="A2614" s="268"/>
      <c r="F2614">
        <v>4.9000000000000004</v>
      </c>
      <c r="G2614" s="3" t="s">
        <v>794</v>
      </c>
      <c r="H2614" t="s">
        <v>3001</v>
      </c>
      <c r="I2614">
        <f>K2629</f>
        <v>50.58</v>
      </c>
      <c r="J2614" s="4" t="s">
        <v>794</v>
      </c>
      <c r="K2614">
        <f>I2614*F2614</f>
        <v>247.84</v>
      </c>
    </row>
    <row r="2615" spans="1:11" hidden="1">
      <c r="A2615" s="268"/>
      <c r="F2615">
        <v>0.59</v>
      </c>
      <c r="G2615" s="3" t="s">
        <v>1289</v>
      </c>
      <c r="H2615" t="s">
        <v>1128</v>
      </c>
      <c r="I2615" t="e">
        <f>AC15</f>
        <v>#REF!</v>
      </c>
      <c r="J2615" s="4" t="s">
        <v>2070</v>
      </c>
      <c r="K2615" t="e">
        <f>I2615*F2615</f>
        <v>#REF!</v>
      </c>
    </row>
    <row r="2616" spans="1:11" hidden="1">
      <c r="A2616" s="268"/>
      <c r="F2616">
        <v>0.79</v>
      </c>
      <c r="G2616" s="3" t="s">
        <v>2199</v>
      </c>
      <c r="H2616" t="s">
        <v>1129</v>
      </c>
      <c r="I2616" t="e">
        <f>K630</f>
        <v>#REF!</v>
      </c>
      <c r="J2616" s="4" t="s">
        <v>2199</v>
      </c>
      <c r="K2616" t="e">
        <f>I2616*F2616</f>
        <v>#REF!</v>
      </c>
    </row>
    <row r="2617" spans="1:11" hidden="1">
      <c r="A2617" s="268"/>
      <c r="F2617">
        <v>0.24</v>
      </c>
      <c r="G2617" s="3" t="s">
        <v>1289</v>
      </c>
      <c r="H2617" t="s">
        <v>875</v>
      </c>
      <c r="I2617" t="e">
        <f>AC17</f>
        <v>#REF!</v>
      </c>
      <c r="J2617" s="4" t="s">
        <v>2070</v>
      </c>
      <c r="K2617" t="e">
        <f>I2617*F2617</f>
        <v>#REF!</v>
      </c>
    </row>
    <row r="2618" spans="1:11" hidden="1">
      <c r="A2618" s="268"/>
      <c r="F2618"/>
      <c r="G2618" s="3"/>
      <c r="H2618" t="s">
        <v>2187</v>
      </c>
      <c r="I2618"/>
      <c r="J2618" s="4"/>
      <c r="K2618"/>
    </row>
    <row r="2619" spans="1:11" hidden="1">
      <c r="A2619" s="268"/>
      <c r="F2619"/>
      <c r="G2619" s="3"/>
      <c r="H2619"/>
      <c r="I2619"/>
      <c r="J2619" s="4"/>
      <c r="K2619" s="56" t="s">
        <v>3002</v>
      </c>
    </row>
    <row r="2620" spans="1:11" hidden="1">
      <c r="A2620" s="268"/>
      <c r="F2620"/>
      <c r="G2620" s="3"/>
      <c r="H2620"/>
      <c r="I2620"/>
      <c r="J2620" s="4"/>
      <c r="K2620" t="e">
        <f>SUM(K2613:K2619)</f>
        <v>#REF!</v>
      </c>
    </row>
    <row r="2621" spans="1:11" hidden="1">
      <c r="A2621" s="268"/>
      <c r="F2621"/>
      <c r="G2621" s="3"/>
      <c r="H2621"/>
      <c r="I2621"/>
      <c r="J2621" s="4"/>
      <c r="K2621" s="56" t="s">
        <v>33</v>
      </c>
    </row>
    <row r="2622" spans="1:11" hidden="1">
      <c r="A2622" s="268"/>
      <c r="F2622"/>
      <c r="G2622" s="3"/>
      <c r="H2622" s="196" t="s">
        <v>3003</v>
      </c>
      <c r="I2622"/>
      <c r="J2622" s="4"/>
      <c r="K2622"/>
    </row>
    <row r="2623" spans="1:11" hidden="1">
      <c r="A2623" s="268"/>
      <c r="F2623"/>
      <c r="G2623" s="3"/>
      <c r="H2623"/>
      <c r="I2623"/>
      <c r="J2623" s="4"/>
      <c r="K2623"/>
    </row>
    <row r="2624" spans="1:11" hidden="1">
      <c r="A2624" s="268"/>
      <c r="F2624">
        <v>0.25</v>
      </c>
      <c r="G2624" s="3" t="s">
        <v>1337</v>
      </c>
      <c r="H2624" t="s">
        <v>435</v>
      </c>
      <c r="I2624">
        <f>C11</f>
        <v>135</v>
      </c>
      <c r="J2624" s="4" t="s">
        <v>1341</v>
      </c>
      <c r="K2624">
        <f>I2624*F2624</f>
        <v>33.75</v>
      </c>
    </row>
    <row r="2625" spans="1:11" hidden="1">
      <c r="A2625" s="268"/>
      <c r="F2625">
        <v>1</v>
      </c>
      <c r="G2625" s="3" t="s">
        <v>1337</v>
      </c>
      <c r="H2625" t="s">
        <v>326</v>
      </c>
      <c r="I2625">
        <f>C12</f>
        <v>95</v>
      </c>
      <c r="J2625" s="4" t="s">
        <v>1341</v>
      </c>
      <c r="K2625">
        <f>I2625*F2625</f>
        <v>95</v>
      </c>
    </row>
    <row r="2626" spans="1:11" hidden="1">
      <c r="A2626" s="268"/>
      <c r="F2626">
        <v>1</v>
      </c>
      <c r="G2626" s="3"/>
      <c r="H2626" t="s">
        <v>3004</v>
      </c>
      <c r="I2626">
        <v>23</v>
      </c>
      <c r="J2626" s="4" t="s">
        <v>419</v>
      </c>
      <c r="K2626">
        <f>I2626*F2626</f>
        <v>23</v>
      </c>
    </row>
    <row r="2627" spans="1:11" hidden="1">
      <c r="A2627" s="268"/>
      <c r="F2627"/>
      <c r="G2627" s="3"/>
      <c r="H2627"/>
      <c r="I2627"/>
      <c r="J2627" s="4"/>
      <c r="K2627" s="56" t="s">
        <v>3002</v>
      </c>
    </row>
    <row r="2628" spans="1:11" hidden="1">
      <c r="A2628" s="268"/>
      <c r="F2628"/>
      <c r="G2628" s="3"/>
      <c r="H2628" t="s">
        <v>3005</v>
      </c>
      <c r="I2628"/>
      <c r="J2628" s="4"/>
      <c r="K2628">
        <f>SUM(K2624:K2627)</f>
        <v>151.75</v>
      </c>
    </row>
    <row r="2629" spans="1:11" hidden="1">
      <c r="A2629" s="268"/>
      <c r="F2629"/>
      <c r="G2629" s="3"/>
      <c r="H2629" t="s">
        <v>3006</v>
      </c>
      <c r="I2629"/>
      <c r="J2629" s="4"/>
      <c r="K2629">
        <f>K2628/3</f>
        <v>50.58</v>
      </c>
    </row>
    <row r="2630" spans="1:11" hidden="1">
      <c r="A2630" s="268"/>
      <c r="F2630"/>
      <c r="G2630" s="3"/>
      <c r="H2630"/>
      <c r="I2630"/>
      <c r="J2630" s="4"/>
      <c r="K2630" s="331" t="s">
        <v>1530</v>
      </c>
    </row>
    <row r="2631" spans="1:11" ht="40.5" hidden="1" customHeight="1">
      <c r="A2631" s="268"/>
      <c r="F2631">
        <v>84</v>
      </c>
      <c r="G2631" s="3"/>
      <c r="H2631" s="330" t="s">
        <v>3007</v>
      </c>
      <c r="I2631"/>
      <c r="J2631" s="4"/>
      <c r="K2631"/>
    </row>
    <row r="2632" spans="1:11" hidden="1">
      <c r="A2632" s="268"/>
      <c r="F2632"/>
      <c r="G2632" s="3"/>
      <c r="H2632" s="331" t="s">
        <v>1530</v>
      </c>
      <c r="I2632"/>
      <c r="J2632" s="4"/>
      <c r="K2632"/>
    </row>
    <row r="2633" spans="1:11" hidden="1">
      <c r="A2633" s="268"/>
      <c r="F2633" s="330">
        <v>180</v>
      </c>
      <c r="G2633" s="330" t="s">
        <v>794</v>
      </c>
      <c r="H2633" s="330" t="s">
        <v>3008</v>
      </c>
      <c r="I2633" s="330">
        <v>15.6</v>
      </c>
      <c r="J2633" s="330" t="s">
        <v>794</v>
      </c>
      <c r="K2633" s="330">
        <f>I2633*F2633</f>
        <v>2808</v>
      </c>
    </row>
    <row r="2634" spans="1:11" hidden="1">
      <c r="A2634" s="268"/>
      <c r="F2634" s="330">
        <v>4</v>
      </c>
      <c r="G2634" s="330" t="s">
        <v>1591</v>
      </c>
      <c r="H2634" s="330" t="s">
        <v>3272</v>
      </c>
      <c r="I2634" s="330">
        <v>37</v>
      </c>
      <c r="J2634" s="330" t="s">
        <v>1591</v>
      </c>
      <c r="K2634" s="330">
        <f t="shared" ref="K2634:K2640" si="86">I2634*F2634</f>
        <v>148</v>
      </c>
    </row>
    <row r="2635" spans="1:11" hidden="1">
      <c r="A2635" s="268"/>
      <c r="F2635" s="330">
        <v>180</v>
      </c>
      <c r="G2635" s="330" t="s">
        <v>1375</v>
      </c>
      <c r="H2635" s="330" t="s">
        <v>3273</v>
      </c>
      <c r="I2635" s="330">
        <v>0.25</v>
      </c>
      <c r="J2635" s="330" t="s">
        <v>1341</v>
      </c>
      <c r="K2635" s="330">
        <f t="shared" si="86"/>
        <v>45</v>
      </c>
    </row>
    <row r="2636" spans="1:11" hidden="1">
      <c r="A2636" s="268"/>
      <c r="F2636" s="330">
        <v>1</v>
      </c>
      <c r="G2636" s="330" t="s">
        <v>1591</v>
      </c>
      <c r="H2636" s="330" t="s">
        <v>3274</v>
      </c>
      <c r="I2636" s="330">
        <v>37</v>
      </c>
      <c r="J2636" s="330" t="s">
        <v>1591</v>
      </c>
      <c r="K2636" s="330">
        <f t="shared" si="86"/>
        <v>37</v>
      </c>
    </row>
    <row r="2637" spans="1:11" hidden="1">
      <c r="A2637" s="268"/>
      <c r="F2637" s="330">
        <v>1</v>
      </c>
      <c r="G2637" s="330" t="s">
        <v>1375</v>
      </c>
      <c r="H2637" s="330" t="s">
        <v>3275</v>
      </c>
      <c r="I2637" s="330">
        <v>148</v>
      </c>
      <c r="J2637" s="330" t="s">
        <v>1341</v>
      </c>
      <c r="K2637" s="330">
        <f t="shared" si="86"/>
        <v>148</v>
      </c>
    </row>
    <row r="2638" spans="1:11" hidden="1">
      <c r="A2638" s="268"/>
      <c r="F2638" s="330">
        <v>2</v>
      </c>
      <c r="G2638" s="330" t="s">
        <v>1375</v>
      </c>
      <c r="H2638" s="330" t="s">
        <v>3276</v>
      </c>
      <c r="I2638" s="330">
        <v>131</v>
      </c>
      <c r="J2638" s="330" t="s">
        <v>1341</v>
      </c>
      <c r="K2638" s="330">
        <f t="shared" si="86"/>
        <v>262</v>
      </c>
    </row>
    <row r="2639" spans="1:11" hidden="1">
      <c r="A2639" s="268"/>
      <c r="F2639" s="330">
        <v>2</v>
      </c>
      <c r="G2639" s="330" t="s">
        <v>1375</v>
      </c>
      <c r="H2639" s="330" t="s">
        <v>3277</v>
      </c>
      <c r="I2639" s="330">
        <v>117</v>
      </c>
      <c r="J2639" s="330" t="s">
        <v>1341</v>
      </c>
      <c r="K2639" s="330">
        <f t="shared" si="86"/>
        <v>234</v>
      </c>
    </row>
    <row r="2640" spans="1:11" hidden="1">
      <c r="A2640" s="268"/>
      <c r="F2640" s="330">
        <v>3</v>
      </c>
      <c r="G2640" s="330" t="s">
        <v>1375</v>
      </c>
      <c r="H2640" s="330" t="s">
        <v>2246</v>
      </c>
      <c r="I2640" s="330">
        <v>91</v>
      </c>
      <c r="J2640" s="330" t="s">
        <v>1341</v>
      </c>
      <c r="K2640" s="330">
        <f t="shared" si="86"/>
        <v>273</v>
      </c>
    </row>
    <row r="2641" spans="1:11" hidden="1">
      <c r="A2641" s="268"/>
      <c r="F2641" s="330"/>
      <c r="G2641" s="330"/>
      <c r="H2641" s="330" t="s">
        <v>3278</v>
      </c>
      <c r="I2641" s="330"/>
      <c r="J2641" s="330"/>
      <c r="K2641" s="330">
        <v>5</v>
      </c>
    </row>
    <row r="2642" spans="1:11" hidden="1">
      <c r="A2642" s="268"/>
      <c r="F2642" s="330"/>
      <c r="G2642" s="330"/>
      <c r="H2642" s="330"/>
      <c r="I2642" s="330"/>
      <c r="J2642" s="330"/>
      <c r="K2642" s="335" t="s">
        <v>1530</v>
      </c>
    </row>
    <row r="2643" spans="1:11" hidden="1">
      <c r="A2643" s="268"/>
      <c r="F2643" s="330"/>
      <c r="G2643" s="330"/>
      <c r="H2643" s="330" t="s">
        <v>3279</v>
      </c>
      <c r="I2643" s="330"/>
      <c r="J2643" s="330"/>
      <c r="K2643" s="330">
        <f>SUM(K2633:K2642)</f>
        <v>3960</v>
      </c>
    </row>
    <row r="2644" spans="1:11" hidden="1">
      <c r="A2644" s="268"/>
      <c r="F2644" s="330"/>
      <c r="G2644" s="330"/>
      <c r="H2644" s="330"/>
      <c r="I2644" s="330"/>
      <c r="J2644" s="330"/>
      <c r="K2644" s="335" t="s">
        <v>1530</v>
      </c>
    </row>
    <row r="2645" spans="1:11" hidden="1">
      <c r="A2645" s="268"/>
      <c r="F2645" s="330"/>
      <c r="G2645" s="330"/>
      <c r="H2645" s="330" t="s">
        <v>3280</v>
      </c>
      <c r="I2645" s="330"/>
      <c r="J2645" s="330"/>
      <c r="K2645" s="330">
        <f>K2643/90</f>
        <v>44</v>
      </c>
    </row>
    <row r="2646" spans="1:11" hidden="1">
      <c r="A2646" s="268"/>
      <c r="F2646" s="330"/>
      <c r="G2646" s="330"/>
      <c r="H2646" s="330"/>
      <c r="I2646" s="330"/>
      <c r="J2646" s="330"/>
      <c r="K2646" s="335" t="s">
        <v>1980</v>
      </c>
    </row>
    <row r="2647" spans="1:11" hidden="1">
      <c r="A2647" s="268"/>
      <c r="F2647" s="25"/>
      <c r="G2647" s="3"/>
      <c r="H2647" s="1" t="s">
        <v>1928</v>
      </c>
      <c r="I2647"/>
      <c r="J2647" s="4"/>
      <c r="K2647"/>
    </row>
    <row r="2648" spans="1:11" hidden="1">
      <c r="A2648" s="268"/>
      <c r="F2648"/>
      <c r="G2648" s="3"/>
      <c r="H2648" s="5" t="s">
        <v>1530</v>
      </c>
      <c r="I2648" s="5" t="s">
        <v>1530</v>
      </c>
      <c r="J2648" s="2" t="s">
        <v>1530</v>
      </c>
      <c r="K2648"/>
    </row>
    <row r="2649" spans="1:11" hidden="1">
      <c r="A2649" s="268"/>
      <c r="F2649"/>
      <c r="G2649" s="3"/>
      <c r="H2649"/>
      <c r="I2649"/>
      <c r="J2649" s="4"/>
      <c r="K2649"/>
    </row>
    <row r="2650" spans="1:11" hidden="1">
      <c r="A2650" s="268"/>
      <c r="F2650" s="29">
        <v>22.5</v>
      </c>
      <c r="G2650" s="3"/>
      <c r="H2650" s="1" t="s">
        <v>1929</v>
      </c>
      <c r="I2650"/>
      <c r="J2650" s="4"/>
      <c r="K2650"/>
    </row>
    <row r="2651" spans="1:11" hidden="1">
      <c r="A2651" s="268"/>
      <c r="F2651"/>
      <c r="G2651" s="3"/>
      <c r="H2651" s="1"/>
      <c r="I2651"/>
      <c r="J2651" s="4"/>
      <c r="K2651"/>
    </row>
    <row r="2652" spans="1:11" hidden="1">
      <c r="A2652" s="268"/>
      <c r="F2652"/>
      <c r="G2652" s="3"/>
      <c r="H2652" s="1" t="s">
        <v>1930</v>
      </c>
      <c r="I2652"/>
      <c r="J2652" s="4"/>
      <c r="K2652"/>
    </row>
    <row r="2653" spans="1:11" hidden="1">
      <c r="A2653" s="268"/>
      <c r="F2653"/>
      <c r="G2653" s="3"/>
      <c r="H2653" s="1" t="s">
        <v>424</v>
      </c>
      <c r="I2653"/>
      <c r="J2653" s="4"/>
      <c r="K2653"/>
    </row>
    <row r="2654" spans="1:11" hidden="1">
      <c r="A2654" s="268"/>
      <c r="F2654"/>
      <c r="G2654" s="3"/>
      <c r="H2654" s="1" t="s">
        <v>425</v>
      </c>
      <c r="I2654"/>
      <c r="J2654" s="4"/>
      <c r="K2654"/>
    </row>
    <row r="2655" spans="1:11" hidden="1">
      <c r="A2655" s="268"/>
      <c r="F2655"/>
      <c r="G2655" s="3"/>
      <c r="H2655" s="1" t="s">
        <v>426</v>
      </c>
      <c r="I2655"/>
      <c r="J2655" s="4"/>
      <c r="K2655"/>
    </row>
    <row r="2656" spans="1:11" hidden="1">
      <c r="A2656" s="268"/>
      <c r="F2656"/>
      <c r="G2656" s="3"/>
      <c r="H2656" s="1" t="s">
        <v>848</v>
      </c>
      <c r="I2656"/>
      <c r="J2656" s="2" t="s">
        <v>940</v>
      </c>
      <c r="K2656" s="15">
        <v>3.7699999999999997E-2</v>
      </c>
    </row>
    <row r="2657" spans="1:11" hidden="1">
      <c r="A2657" s="268"/>
      <c r="F2657"/>
      <c r="G2657" s="3"/>
      <c r="H2657" s="1" t="s">
        <v>663</v>
      </c>
      <c r="I2657"/>
      <c r="J2657" s="271" t="s">
        <v>940</v>
      </c>
      <c r="K2657" s="18" t="s">
        <v>940</v>
      </c>
    </row>
    <row r="2658" spans="1:11" hidden="1">
      <c r="A2658" s="268"/>
      <c r="F2658"/>
      <c r="G2658" s="3"/>
      <c r="H2658" s="1" t="s">
        <v>1765</v>
      </c>
      <c r="I2658"/>
      <c r="J2658" s="4"/>
      <c r="K2658" s="18" t="s">
        <v>940</v>
      </c>
    </row>
    <row r="2659" spans="1:11" hidden="1">
      <c r="A2659" s="268"/>
      <c r="F2659"/>
      <c r="G2659" s="3"/>
      <c r="H2659" s="1"/>
      <c r="I2659"/>
      <c r="J2659" s="4"/>
      <c r="K2659" s="18"/>
    </row>
    <row r="2660" spans="1:11" hidden="1">
      <c r="A2660" s="268"/>
      <c r="F2660"/>
      <c r="G2660" s="3"/>
      <c r="H2660" s="1"/>
      <c r="I2660"/>
      <c r="J2660" s="4"/>
      <c r="K2660" s="18"/>
    </row>
    <row r="2661" spans="1:11" hidden="1">
      <c r="A2661" s="268"/>
      <c r="F2661"/>
      <c r="G2661" s="3"/>
      <c r="H2661"/>
      <c r="I2661"/>
      <c r="J2661" s="4"/>
      <c r="K2661"/>
    </row>
    <row r="2662" spans="1:11" hidden="1">
      <c r="A2662" s="268"/>
      <c r="F2662" s="19">
        <v>1.18E-2</v>
      </c>
      <c r="G2662" s="7" t="s">
        <v>836</v>
      </c>
      <c r="H2662" s="1" t="s">
        <v>660</v>
      </c>
      <c r="I2662" s="8">
        <f t="shared" ref="I2662:I2671" si="87">I2260</f>
        <v>65420</v>
      </c>
      <c r="J2662" s="2" t="s">
        <v>836</v>
      </c>
      <c r="K2662" s="8">
        <f t="shared" ref="K2662:K2671" si="88">(F2662*I2662)</f>
        <v>771.96</v>
      </c>
    </row>
    <row r="2663" spans="1:11" hidden="1">
      <c r="A2663" s="268"/>
      <c r="F2663" s="19">
        <v>3.7699999999999997E-2</v>
      </c>
      <c r="G2663" s="7" t="s">
        <v>836</v>
      </c>
      <c r="H2663" s="1" t="s">
        <v>661</v>
      </c>
      <c r="I2663" s="8">
        <f t="shared" si="87"/>
        <v>57165</v>
      </c>
      <c r="J2663" s="2" t="s">
        <v>836</v>
      </c>
      <c r="K2663" s="8">
        <f t="shared" si="88"/>
        <v>2155.12</v>
      </c>
    </row>
    <row r="2664" spans="1:11" hidden="1">
      <c r="A2664" s="268"/>
      <c r="F2664" s="19">
        <v>1.8550000000000001E-2</v>
      </c>
      <c r="G2664" s="7" t="s">
        <v>836</v>
      </c>
      <c r="H2664" s="1" t="s">
        <v>853</v>
      </c>
      <c r="I2664" s="8">
        <f t="shared" si="87"/>
        <v>3035</v>
      </c>
      <c r="J2664" s="2" t="s">
        <v>836</v>
      </c>
      <c r="K2664" s="8">
        <f t="shared" si="88"/>
        <v>56.3</v>
      </c>
    </row>
    <row r="2665" spans="1:11" hidden="1">
      <c r="A2665" s="268"/>
      <c r="F2665" s="19">
        <v>1.36</v>
      </c>
      <c r="G2665" s="7" t="s">
        <v>578</v>
      </c>
      <c r="H2665" s="1" t="s">
        <v>854</v>
      </c>
      <c r="I2665" s="8">
        <f t="shared" si="87"/>
        <v>385.89</v>
      </c>
      <c r="J2665" s="2" t="s">
        <v>578</v>
      </c>
      <c r="K2665" s="8">
        <f t="shared" si="88"/>
        <v>524.80999999999995</v>
      </c>
    </row>
    <row r="2666" spans="1:11" hidden="1">
      <c r="A2666" s="268"/>
      <c r="F2666" s="19">
        <v>2.0499999999999998</v>
      </c>
      <c r="G2666" s="7" t="s">
        <v>578</v>
      </c>
      <c r="H2666" s="1" t="s">
        <v>1449</v>
      </c>
      <c r="I2666" s="8">
        <f t="shared" si="87"/>
        <v>287</v>
      </c>
      <c r="J2666" s="2" t="s">
        <v>578</v>
      </c>
      <c r="K2666" s="8">
        <f t="shared" si="88"/>
        <v>588.35</v>
      </c>
    </row>
    <row r="2667" spans="1:11" hidden="1">
      <c r="A2667" s="268"/>
      <c r="F2667" s="8">
        <v>2</v>
      </c>
      <c r="G2667" s="7" t="s">
        <v>835</v>
      </c>
      <c r="H2667" s="1" t="s">
        <v>1332</v>
      </c>
      <c r="I2667" s="8">
        <f t="shared" si="87"/>
        <v>25</v>
      </c>
      <c r="J2667" s="2" t="s">
        <v>835</v>
      </c>
      <c r="K2667" s="8">
        <f t="shared" si="88"/>
        <v>50</v>
      </c>
    </row>
    <row r="2668" spans="1:11" hidden="1">
      <c r="A2668" s="268"/>
      <c r="F2668" s="8">
        <v>6</v>
      </c>
      <c r="G2668" s="7" t="s">
        <v>835</v>
      </c>
      <c r="H2668" s="1" t="s">
        <v>1291</v>
      </c>
      <c r="I2668" s="8">
        <f t="shared" si="87"/>
        <v>25</v>
      </c>
      <c r="J2668" s="2" t="s">
        <v>835</v>
      </c>
      <c r="K2668" s="8">
        <f t="shared" si="88"/>
        <v>150</v>
      </c>
    </row>
    <row r="2669" spans="1:11" hidden="1">
      <c r="A2669" s="268"/>
      <c r="F2669" s="8">
        <v>2</v>
      </c>
      <c r="G2669" s="7" t="s">
        <v>835</v>
      </c>
      <c r="H2669" s="1" t="s">
        <v>1333</v>
      </c>
      <c r="I2669" s="8">
        <f t="shared" si="87"/>
        <v>35</v>
      </c>
      <c r="J2669" s="2" t="s">
        <v>835</v>
      </c>
      <c r="K2669" s="8">
        <f t="shared" si="88"/>
        <v>70</v>
      </c>
    </row>
    <row r="2670" spans="1:11" hidden="1">
      <c r="A2670" s="268"/>
      <c r="F2670" s="8">
        <v>1</v>
      </c>
      <c r="G2670" s="7" t="s">
        <v>835</v>
      </c>
      <c r="H2670" s="1" t="s">
        <v>1360</v>
      </c>
      <c r="I2670" s="8">
        <f t="shared" si="87"/>
        <v>60</v>
      </c>
      <c r="J2670" s="2" t="s">
        <v>835</v>
      </c>
      <c r="K2670" s="8">
        <f t="shared" si="88"/>
        <v>60</v>
      </c>
    </row>
    <row r="2671" spans="1:11" hidden="1">
      <c r="A2671" s="268"/>
      <c r="F2671" s="8">
        <v>2.52</v>
      </c>
      <c r="G2671" s="7" t="s">
        <v>578</v>
      </c>
      <c r="H2671" s="1" t="s">
        <v>1655</v>
      </c>
      <c r="I2671" s="8">
        <f t="shared" si="87"/>
        <v>51.25</v>
      </c>
      <c r="J2671" s="2" t="s">
        <v>578</v>
      </c>
      <c r="K2671" s="8">
        <f t="shared" si="88"/>
        <v>129.15</v>
      </c>
    </row>
    <row r="2672" spans="1:11" hidden="1">
      <c r="A2672" s="268"/>
      <c r="F2672"/>
      <c r="G2672" s="3"/>
      <c r="H2672" s="1" t="s">
        <v>1357</v>
      </c>
      <c r="I2672" s="2" t="s">
        <v>419</v>
      </c>
      <c r="J2672" s="4"/>
      <c r="K2672" s="8">
        <v>0.28000000000000003</v>
      </c>
    </row>
    <row r="2673" spans="1:11" hidden="1">
      <c r="A2673" s="268"/>
      <c r="F2673"/>
      <c r="G2673" s="3"/>
      <c r="H2673"/>
      <c r="I2673"/>
      <c r="J2673" s="4"/>
      <c r="K2673" s="5" t="s">
        <v>1530</v>
      </c>
    </row>
    <row r="2674" spans="1:11" hidden="1">
      <c r="A2674" s="268"/>
      <c r="F2674"/>
      <c r="G2674" s="3"/>
      <c r="H2674" s="2" t="s">
        <v>1358</v>
      </c>
      <c r="I2674"/>
      <c r="J2674" s="4"/>
      <c r="K2674" s="8">
        <f>SUM(K2662:K2672)</f>
        <v>4555.97</v>
      </c>
    </row>
    <row r="2675" spans="1:11" hidden="1">
      <c r="A2675" s="268"/>
      <c r="F2675"/>
      <c r="G2675" s="7" t="s">
        <v>940</v>
      </c>
      <c r="H2675"/>
      <c r="I2675"/>
      <c r="J2675" s="4"/>
      <c r="K2675" s="5" t="s">
        <v>1530</v>
      </c>
    </row>
    <row r="2676" spans="1:11" hidden="1">
      <c r="A2676" s="268"/>
      <c r="F2676"/>
      <c r="G2676" s="3"/>
      <c r="H2676" s="2" t="s">
        <v>521</v>
      </c>
      <c r="I2676"/>
      <c r="J2676" s="4"/>
      <c r="K2676" s="8">
        <f>K2674/F2671</f>
        <v>1807.92</v>
      </c>
    </row>
    <row r="2677" spans="1:11" hidden="1">
      <c r="A2677" s="268"/>
      <c r="F2677"/>
      <c r="G2677" s="3"/>
      <c r="H2677"/>
      <c r="I2677"/>
      <c r="J2677" s="4"/>
      <c r="K2677" s="5" t="s">
        <v>1980</v>
      </c>
    </row>
    <row r="2678" spans="1:11" hidden="1">
      <c r="A2678" s="268"/>
      <c r="F2678" s="330">
        <v>44.4</v>
      </c>
      <c r="G2678" s="330"/>
      <c r="H2678" s="330" t="s">
        <v>3281</v>
      </c>
      <c r="I2678" s="330"/>
      <c r="J2678" s="330"/>
      <c r="K2678" s="330"/>
    </row>
    <row r="2679" spans="1:11" hidden="1">
      <c r="A2679" s="268"/>
      <c r="F2679" s="330"/>
      <c r="G2679" s="330"/>
      <c r="H2679" s="331" t="s">
        <v>1530</v>
      </c>
      <c r="I2679" s="330"/>
      <c r="J2679" s="330"/>
      <c r="K2679" s="330"/>
    </row>
    <row r="2680" spans="1:11" hidden="1">
      <c r="A2680" s="268"/>
      <c r="F2680" s="330">
        <v>4.9000000000000004</v>
      </c>
      <c r="G2680" s="330" t="s">
        <v>794</v>
      </c>
      <c r="H2680" s="330" t="s">
        <v>3282</v>
      </c>
      <c r="I2680" s="330">
        <v>49.01</v>
      </c>
      <c r="J2680" s="330" t="s">
        <v>794</v>
      </c>
      <c r="K2680" s="330">
        <f>F2680*I2680</f>
        <v>240.15</v>
      </c>
    </row>
    <row r="2681" spans="1:11" hidden="1">
      <c r="A2681" s="268"/>
      <c r="F2681" s="330">
        <v>0.12</v>
      </c>
      <c r="G2681" s="330" t="s">
        <v>836</v>
      </c>
      <c r="H2681" s="330" t="s">
        <v>3283</v>
      </c>
      <c r="I2681" s="330" t="e">
        <f>AC15</f>
        <v>#REF!</v>
      </c>
      <c r="J2681" s="330" t="s">
        <v>836</v>
      </c>
      <c r="K2681" s="330" t="e">
        <f>F2681*I2681</f>
        <v>#REF!</v>
      </c>
    </row>
    <row r="2682" spans="1:11" hidden="1">
      <c r="A2682" s="268"/>
      <c r="F2682" s="336">
        <v>0.18</v>
      </c>
      <c r="G2682" s="330" t="s">
        <v>836</v>
      </c>
      <c r="H2682" s="330" t="s">
        <v>3284</v>
      </c>
      <c r="I2682" s="330" t="e">
        <f>AC14</f>
        <v>#REF!</v>
      </c>
      <c r="J2682" s="330" t="s">
        <v>836</v>
      </c>
      <c r="K2682" s="330" t="e">
        <f>F2682*I2682</f>
        <v>#REF!</v>
      </c>
    </row>
    <row r="2683" spans="1:11" hidden="1">
      <c r="A2683" s="268"/>
      <c r="F2683" s="330">
        <v>0.05</v>
      </c>
      <c r="G2683" s="330" t="s">
        <v>836</v>
      </c>
      <c r="H2683" s="330" t="s">
        <v>3285</v>
      </c>
      <c r="I2683" s="330" t="e">
        <f>AC16</f>
        <v>#REF!</v>
      </c>
      <c r="J2683" s="330" t="s">
        <v>836</v>
      </c>
      <c r="K2683" s="330" t="e">
        <f>F2683*I2683</f>
        <v>#REF!</v>
      </c>
    </row>
    <row r="2684" spans="1:11" hidden="1">
      <c r="A2684" s="268"/>
      <c r="F2684" s="330"/>
      <c r="G2684" s="330"/>
      <c r="H2684" s="330"/>
      <c r="I2684" s="330"/>
      <c r="J2684" s="330"/>
      <c r="K2684" s="335" t="s">
        <v>1530</v>
      </c>
    </row>
    <row r="2685" spans="1:11" hidden="1">
      <c r="A2685" s="268"/>
      <c r="F2685" s="330"/>
      <c r="G2685" s="330"/>
      <c r="H2685" s="330" t="s">
        <v>3031</v>
      </c>
      <c r="I2685" s="330"/>
      <c r="J2685" s="330"/>
      <c r="K2685" s="330" t="e">
        <f>SUM(K2680:K2684)</f>
        <v>#REF!</v>
      </c>
    </row>
    <row r="2686" spans="1:11" hidden="1">
      <c r="A2686" s="268"/>
      <c r="F2686" s="330"/>
      <c r="G2686" s="330"/>
      <c r="H2686" s="330"/>
      <c r="I2686" s="330"/>
      <c r="J2686" s="330"/>
      <c r="K2686" s="335" t="s">
        <v>1530</v>
      </c>
    </row>
    <row r="2687" spans="1:11" hidden="1">
      <c r="A2687" s="268"/>
      <c r="F2687" s="330"/>
      <c r="G2687" s="330"/>
      <c r="H2687" s="330" t="s">
        <v>3032</v>
      </c>
      <c r="I2687" s="330"/>
      <c r="J2687" s="330"/>
      <c r="K2687" s="330" t="e">
        <f>K2685/F2680</f>
        <v>#REF!</v>
      </c>
    </row>
    <row r="2688" spans="1:11" hidden="1">
      <c r="A2688" s="268"/>
      <c r="F2688" s="330"/>
      <c r="G2688" s="330"/>
      <c r="H2688" s="330"/>
      <c r="I2688" s="330"/>
      <c r="J2688" s="330"/>
      <c r="K2688" s="335" t="s">
        <v>1980</v>
      </c>
    </row>
    <row r="2689" spans="1:11" ht="63" hidden="1">
      <c r="A2689" s="268"/>
      <c r="F2689" s="330">
        <v>44.5</v>
      </c>
      <c r="G2689" s="330"/>
      <c r="H2689" s="330" t="s">
        <v>3295</v>
      </c>
      <c r="I2689" s="330"/>
      <c r="J2689" s="330"/>
      <c r="K2689" s="330"/>
    </row>
    <row r="2690" spans="1:11" hidden="1">
      <c r="A2690" s="268"/>
      <c r="F2690" s="330"/>
      <c r="G2690" s="330"/>
      <c r="H2690" s="331" t="s">
        <v>1530</v>
      </c>
      <c r="I2690" s="330"/>
      <c r="J2690" s="330"/>
      <c r="K2690" s="330"/>
    </row>
    <row r="2691" spans="1:11" hidden="1">
      <c r="A2691" s="268"/>
      <c r="F2691" s="330">
        <v>0.38</v>
      </c>
      <c r="G2691" s="330" t="s">
        <v>2070</v>
      </c>
      <c r="H2691" s="330" t="s">
        <v>335</v>
      </c>
      <c r="I2691" s="330">
        <f>I2613</f>
        <v>52.93</v>
      </c>
      <c r="J2691" s="330" t="s">
        <v>836</v>
      </c>
      <c r="K2691" s="330">
        <f>I2691*F2691</f>
        <v>20.11</v>
      </c>
    </row>
    <row r="2692" spans="1:11" hidden="1">
      <c r="A2692" s="268"/>
      <c r="F2692" s="330">
        <v>0.38</v>
      </c>
      <c r="G2692" s="330" t="s">
        <v>2070</v>
      </c>
      <c r="H2692" s="330" t="s">
        <v>3296</v>
      </c>
      <c r="I2692" s="330" t="e">
        <f>AC15</f>
        <v>#REF!</v>
      </c>
      <c r="J2692" s="330" t="s">
        <v>836</v>
      </c>
      <c r="K2692" s="330" t="e">
        <f>I2692*F2692</f>
        <v>#REF!</v>
      </c>
    </row>
    <row r="2693" spans="1:11" hidden="1">
      <c r="A2693" s="268"/>
      <c r="F2693" s="330">
        <v>0.12</v>
      </c>
      <c r="G2693" s="3" t="s">
        <v>2070</v>
      </c>
      <c r="H2693" s="330" t="s">
        <v>3297</v>
      </c>
      <c r="I2693" t="e">
        <f>K614</f>
        <v>#REF!</v>
      </c>
      <c r="J2693" s="330" t="s">
        <v>836</v>
      </c>
      <c r="K2693" s="330" t="e">
        <f>I2693*F2693</f>
        <v>#REF!</v>
      </c>
    </row>
    <row r="2694" spans="1:11" hidden="1">
      <c r="A2694" s="268"/>
      <c r="F2694" s="330">
        <v>9.6</v>
      </c>
      <c r="G2694" s="330" t="s">
        <v>1591</v>
      </c>
      <c r="H2694" s="330" t="s">
        <v>3298</v>
      </c>
      <c r="I2694">
        <f>AC32</f>
        <v>28000</v>
      </c>
      <c r="J2694" s="330" t="s">
        <v>494</v>
      </c>
      <c r="K2694" s="330">
        <f>I2694*F2694/1000</f>
        <v>268.8</v>
      </c>
    </row>
    <row r="2695" spans="1:11" hidden="1">
      <c r="A2695" s="268"/>
      <c r="F2695"/>
      <c r="G2695" s="3"/>
      <c r="H2695"/>
      <c r="I2695"/>
      <c r="J2695" s="4"/>
      <c r="K2695" s="331" t="s">
        <v>1530</v>
      </c>
    </row>
    <row r="2696" spans="1:11" hidden="1">
      <c r="A2696" s="268"/>
      <c r="F2696"/>
      <c r="G2696" s="3"/>
      <c r="H2696" s="330" t="s">
        <v>3299</v>
      </c>
      <c r="I2696"/>
      <c r="J2696" s="4"/>
      <c r="K2696" t="e">
        <f>SUM(K2691:K2695)</f>
        <v>#REF!</v>
      </c>
    </row>
    <row r="2697" spans="1:11" hidden="1">
      <c r="A2697" s="268"/>
      <c r="F2697"/>
      <c r="G2697" s="3"/>
      <c r="H2697"/>
      <c r="I2697"/>
      <c r="J2697" s="4"/>
      <c r="K2697" s="331" t="s">
        <v>1980</v>
      </c>
    </row>
    <row r="2698" spans="1:11" ht="63" hidden="1">
      <c r="A2698" s="268"/>
      <c r="F2698" s="337">
        <v>71.3</v>
      </c>
      <c r="G2698" s="338"/>
      <c r="H2698" s="339" t="s">
        <v>3300</v>
      </c>
      <c r="I2698" s="223"/>
      <c r="J2698" s="340"/>
      <c r="K2698" s="223"/>
    </row>
    <row r="2699" spans="1:11" hidden="1">
      <c r="A2699" s="268"/>
      <c r="F2699" s="223"/>
      <c r="G2699" s="338"/>
      <c r="H2699" s="341" t="s">
        <v>2295</v>
      </c>
      <c r="I2699" s="223"/>
      <c r="J2699" s="340"/>
      <c r="K2699" s="223"/>
    </row>
    <row r="2700" spans="1:11" hidden="1">
      <c r="A2700" s="268"/>
      <c r="F2700" s="223">
        <v>1</v>
      </c>
      <c r="G2700" s="338" t="s">
        <v>1337</v>
      </c>
      <c r="H2700" s="223" t="s">
        <v>3009</v>
      </c>
      <c r="I2700" s="223"/>
      <c r="J2700" s="340">
        <v>1880</v>
      </c>
      <c r="K2700" s="223">
        <f>J2700*F2700</f>
        <v>1880</v>
      </c>
    </row>
    <row r="2701" spans="1:11" hidden="1">
      <c r="A2701" s="268"/>
      <c r="F2701" s="223">
        <v>1</v>
      </c>
      <c r="G2701" s="338" t="s">
        <v>1337</v>
      </c>
      <c r="H2701" s="223" t="s">
        <v>3010</v>
      </c>
      <c r="I2701" s="223"/>
      <c r="J2701" s="340">
        <v>480</v>
      </c>
      <c r="K2701" s="223">
        <f>J2701*F2701</f>
        <v>480</v>
      </c>
    </row>
    <row r="2702" spans="1:11" hidden="1">
      <c r="A2702" s="268"/>
      <c r="F2702" s="223"/>
      <c r="G2702" s="338"/>
      <c r="H2702" s="223" t="s">
        <v>3011</v>
      </c>
      <c r="I2702" s="223"/>
      <c r="J2702" s="340"/>
      <c r="K2702" s="223">
        <v>35.67</v>
      </c>
    </row>
    <row r="2703" spans="1:11" hidden="1">
      <c r="A2703" s="268"/>
      <c r="F2703" s="223"/>
      <c r="G2703" s="338"/>
      <c r="H2703" s="223" t="s">
        <v>1758</v>
      </c>
      <c r="I2703" s="223"/>
      <c r="J2703" s="340"/>
      <c r="K2703" s="223">
        <f>K2711</f>
        <v>104.33</v>
      </c>
    </row>
    <row r="2704" spans="1:11" hidden="1">
      <c r="A2704" s="268"/>
      <c r="F2704" s="223"/>
      <c r="G2704" s="338"/>
      <c r="H2704" s="223"/>
      <c r="I2704" s="223"/>
      <c r="J2704" s="340"/>
      <c r="K2704" s="342" t="s">
        <v>3002</v>
      </c>
    </row>
    <row r="2705" spans="1:11" hidden="1">
      <c r="A2705" s="268"/>
      <c r="F2705" s="223"/>
      <c r="G2705" s="338"/>
      <c r="H2705" s="223"/>
      <c r="I2705" s="223"/>
      <c r="J2705" s="340"/>
      <c r="K2705" s="223">
        <f>SUM(K2700:K2704)</f>
        <v>2500</v>
      </c>
    </row>
    <row r="2706" spans="1:11" hidden="1">
      <c r="A2706" s="268"/>
      <c r="F2706" s="223"/>
      <c r="G2706" s="338"/>
      <c r="H2706" s="223" t="s">
        <v>878</v>
      </c>
      <c r="I2706" s="223"/>
      <c r="J2706" s="340"/>
      <c r="K2706" s="342" t="s">
        <v>33</v>
      </c>
    </row>
    <row r="2707" spans="1:11" hidden="1">
      <c r="A2707" s="268"/>
      <c r="F2707" s="223">
        <v>1</v>
      </c>
      <c r="G2707" s="338" t="s">
        <v>1337</v>
      </c>
      <c r="H2707" s="223" t="s">
        <v>3012</v>
      </c>
      <c r="I2707" s="223">
        <v>131</v>
      </c>
      <c r="J2707" s="340" t="s">
        <v>1341</v>
      </c>
      <c r="K2707" s="223">
        <f>I2707*F2707</f>
        <v>131</v>
      </c>
    </row>
    <row r="2708" spans="1:11" hidden="1">
      <c r="A2708" s="268"/>
      <c r="F2708" s="223">
        <v>2</v>
      </c>
      <c r="G2708" s="338" t="s">
        <v>1375</v>
      </c>
      <c r="H2708" s="223" t="s">
        <v>3013</v>
      </c>
      <c r="I2708" s="223">
        <v>91</v>
      </c>
      <c r="J2708" s="340" t="s">
        <v>1341</v>
      </c>
      <c r="K2708" s="223">
        <f>I2708*F2708</f>
        <v>182</v>
      </c>
    </row>
    <row r="2709" spans="1:11" hidden="1">
      <c r="A2709" s="268"/>
      <c r="F2709" s="223"/>
      <c r="G2709" s="338"/>
      <c r="H2709" s="223"/>
      <c r="I2709" s="223"/>
      <c r="J2709" s="340"/>
      <c r="K2709" s="342" t="s">
        <v>3014</v>
      </c>
    </row>
    <row r="2710" spans="1:11" hidden="1">
      <c r="A2710" s="268"/>
      <c r="F2710" s="223"/>
      <c r="G2710" s="338"/>
      <c r="H2710" s="338" t="s">
        <v>3015</v>
      </c>
      <c r="I2710" s="223"/>
      <c r="J2710" s="340"/>
      <c r="K2710" s="223">
        <f>SUM(K2707:K2709)</f>
        <v>313</v>
      </c>
    </row>
    <row r="2711" spans="1:11" hidden="1">
      <c r="A2711" s="268"/>
      <c r="F2711" s="223"/>
      <c r="G2711" s="338"/>
      <c r="H2711" s="338" t="s">
        <v>3016</v>
      </c>
      <c r="I2711" s="223"/>
      <c r="J2711" s="340"/>
      <c r="K2711" s="223">
        <f>K2710/3</f>
        <v>104.33</v>
      </c>
    </row>
    <row r="2712" spans="1:11" hidden="1">
      <c r="A2712" s="268"/>
      <c r="F2712"/>
      <c r="G2712" s="3"/>
      <c r="H2712"/>
      <c r="I2712"/>
      <c r="J2712" s="4"/>
      <c r="K2712"/>
    </row>
    <row r="2713" spans="1:11" ht="15.75" hidden="1" customHeight="1">
      <c r="A2713" s="268"/>
      <c r="F2713" s="343">
        <v>79.400000000000006</v>
      </c>
      <c r="G2713" s="54"/>
      <c r="H2713" s="1482" t="s">
        <v>2641</v>
      </c>
      <c r="I2713" s="1482"/>
      <c r="J2713" s="345"/>
      <c r="K2713" s="55"/>
    </row>
    <row r="2714" spans="1:11" hidden="1">
      <c r="A2714" s="268"/>
      <c r="F2714" s="346"/>
      <c r="G2714" s="54"/>
      <c r="H2714" s="344"/>
      <c r="I2714" s="344"/>
      <c r="J2714" s="345"/>
      <c r="K2714" s="55"/>
    </row>
    <row r="2715" spans="1:11" hidden="1">
      <c r="A2715" s="268"/>
      <c r="F2715" s="55">
        <v>3</v>
      </c>
      <c r="G2715" s="54" t="s">
        <v>1375</v>
      </c>
      <c r="H2715" s="55" t="s">
        <v>2642</v>
      </c>
      <c r="I2715" s="106">
        <v>190</v>
      </c>
      <c r="J2715" s="345" t="s">
        <v>1341</v>
      </c>
      <c r="K2715" s="55">
        <f>I2715*F2715</f>
        <v>570</v>
      </c>
    </row>
    <row r="2716" spans="1:11" hidden="1">
      <c r="A2716" s="268"/>
      <c r="F2716" s="55">
        <v>1</v>
      </c>
      <c r="G2716" s="54" t="s">
        <v>1337</v>
      </c>
      <c r="H2716" s="55" t="s">
        <v>2643</v>
      </c>
      <c r="I2716" s="55">
        <v>223.63</v>
      </c>
      <c r="J2716" s="345" t="s">
        <v>1341</v>
      </c>
      <c r="K2716" s="55">
        <f>I2716*F2716</f>
        <v>223.63</v>
      </c>
    </row>
    <row r="2717" spans="1:11" hidden="1">
      <c r="A2717" s="268"/>
      <c r="F2717" s="55"/>
      <c r="G2717" s="54"/>
      <c r="H2717" s="55" t="s">
        <v>878</v>
      </c>
      <c r="I2717" s="55"/>
      <c r="J2717" s="345"/>
      <c r="K2717" s="55">
        <f>K2728</f>
        <v>76.5</v>
      </c>
    </row>
    <row r="2718" spans="1:11" hidden="1">
      <c r="A2718" s="268"/>
      <c r="F2718" s="55"/>
      <c r="G2718" s="54"/>
      <c r="H2718" s="55" t="s">
        <v>2644</v>
      </c>
      <c r="I2718" s="55"/>
      <c r="J2718" s="345"/>
      <c r="K2718" s="55">
        <v>4.87</v>
      </c>
    </row>
    <row r="2719" spans="1:11" hidden="1">
      <c r="A2719" s="268"/>
      <c r="F2719" s="55"/>
      <c r="G2719" s="54"/>
      <c r="H2719" s="55"/>
      <c r="I2719" s="55"/>
      <c r="J2719" s="345"/>
      <c r="K2719" s="57" t="s">
        <v>398</v>
      </c>
    </row>
    <row r="2720" spans="1:11" hidden="1">
      <c r="A2720" s="268"/>
      <c r="F2720" s="55"/>
      <c r="G2720" s="54"/>
      <c r="H2720" s="55"/>
      <c r="I2720" s="55"/>
      <c r="J2720" s="345"/>
      <c r="K2720" s="55">
        <f>SUM(K2715:K2719)</f>
        <v>875</v>
      </c>
    </row>
    <row r="2721" spans="1:11" hidden="1">
      <c r="A2721" s="268"/>
      <c r="F2721" s="55"/>
      <c r="G2721" s="54"/>
      <c r="H2721" s="55"/>
      <c r="I2721" s="55"/>
      <c r="J2721" s="345"/>
      <c r="K2721" s="57" t="s">
        <v>144</v>
      </c>
    </row>
    <row r="2722" spans="1:11" hidden="1">
      <c r="A2722" s="268"/>
      <c r="F2722" s="55"/>
      <c r="G2722" s="54"/>
      <c r="H2722" s="55" t="s">
        <v>878</v>
      </c>
      <c r="I2722" s="55"/>
      <c r="J2722" s="345"/>
      <c r="K2722" s="55"/>
    </row>
    <row r="2723" spans="1:11" hidden="1">
      <c r="A2723" s="268"/>
      <c r="F2723" s="55">
        <v>1</v>
      </c>
      <c r="G2723" s="54" t="s">
        <v>1337</v>
      </c>
      <c r="H2723" s="55" t="s">
        <v>2645</v>
      </c>
      <c r="I2723" s="55">
        <v>131</v>
      </c>
      <c r="J2723" s="345" t="s">
        <v>1341</v>
      </c>
      <c r="K2723" s="55">
        <f>I2723*F2723</f>
        <v>131</v>
      </c>
    </row>
    <row r="2724" spans="1:11" hidden="1">
      <c r="A2724" s="268"/>
      <c r="F2724" s="55">
        <v>1</v>
      </c>
      <c r="G2724" s="54" t="s">
        <v>1337</v>
      </c>
      <c r="H2724" s="55" t="s">
        <v>2646</v>
      </c>
      <c r="I2724" s="55">
        <v>117</v>
      </c>
      <c r="J2724" s="345" t="s">
        <v>1341</v>
      </c>
      <c r="K2724" s="55">
        <f>I2724*F2724</f>
        <v>117</v>
      </c>
    </row>
    <row r="2725" spans="1:11" hidden="1">
      <c r="A2725" s="268"/>
      <c r="F2725" s="55">
        <v>4</v>
      </c>
      <c r="G2725" s="54" t="s">
        <v>1375</v>
      </c>
      <c r="H2725" s="55" t="s">
        <v>3013</v>
      </c>
      <c r="I2725" s="55">
        <v>91</v>
      </c>
      <c r="J2725" s="345" t="s">
        <v>1341</v>
      </c>
      <c r="K2725" s="55">
        <f>I2725*F2725</f>
        <v>364</v>
      </c>
    </row>
    <row r="2726" spans="1:11" hidden="1">
      <c r="A2726" s="268"/>
      <c r="F2726" s="55"/>
      <c r="G2726" s="54"/>
      <c r="H2726" s="55"/>
      <c r="I2726" s="55"/>
      <c r="J2726" s="345"/>
      <c r="K2726" s="57" t="s">
        <v>3255</v>
      </c>
    </row>
    <row r="2727" spans="1:11" hidden="1">
      <c r="A2727" s="268"/>
      <c r="F2727" s="55"/>
      <c r="G2727" s="54"/>
      <c r="H2727" s="55" t="s">
        <v>3256</v>
      </c>
      <c r="I2727" s="55"/>
      <c r="J2727" s="345"/>
      <c r="K2727" s="55">
        <f>SUM(K2723:K2726)</f>
        <v>612</v>
      </c>
    </row>
    <row r="2728" spans="1:11" hidden="1">
      <c r="A2728" s="268"/>
      <c r="F2728" s="55"/>
      <c r="G2728" s="54"/>
      <c r="H2728" s="55" t="s">
        <v>3257</v>
      </c>
      <c r="I2728" s="55"/>
      <c r="J2728" s="345"/>
      <c r="K2728" s="55">
        <f>K2727/8</f>
        <v>76.5</v>
      </c>
    </row>
    <row r="2729" spans="1:11" hidden="1">
      <c r="A2729" s="268"/>
      <c r="F2729"/>
      <c r="G2729" s="3"/>
      <c r="H2729"/>
      <c r="I2729"/>
      <c r="J2729" s="4"/>
      <c r="K2729"/>
    </row>
    <row r="2730" spans="1:11" hidden="1">
      <c r="A2730" s="268"/>
      <c r="F2730" s="347">
        <v>170</v>
      </c>
      <c r="G2730" s="3"/>
      <c r="H2730" s="28" t="s">
        <v>3258</v>
      </c>
      <c r="I2730"/>
      <c r="J2730" s="4"/>
      <c r="K2730"/>
    </row>
    <row r="2731" spans="1:11" hidden="1">
      <c r="A2731" s="268"/>
      <c r="F2731"/>
      <c r="G2731" s="3"/>
      <c r="H2731" s="331" t="s">
        <v>1530</v>
      </c>
      <c r="I2731"/>
      <c r="J2731" s="4"/>
      <c r="K2731"/>
    </row>
    <row r="2732" spans="1:11" hidden="1">
      <c r="A2732" s="268"/>
      <c r="F2732">
        <v>1</v>
      </c>
      <c r="G2732" s="3" t="s">
        <v>1337</v>
      </c>
      <c r="H2732" t="s">
        <v>2371</v>
      </c>
      <c r="I2732">
        <v>2400</v>
      </c>
      <c r="J2732" s="4" t="s">
        <v>1341</v>
      </c>
      <c r="K2732">
        <f>I2732*F2732</f>
        <v>2400</v>
      </c>
    </row>
    <row r="2733" spans="1:11" hidden="1">
      <c r="A2733" s="268"/>
      <c r="F2733">
        <v>1</v>
      </c>
      <c r="G2733" s="3" t="s">
        <v>1337</v>
      </c>
      <c r="H2733" t="s">
        <v>2947</v>
      </c>
      <c r="I2733">
        <v>485</v>
      </c>
      <c r="J2733" s="4" t="s">
        <v>1341</v>
      </c>
      <c r="K2733">
        <f>I2733*F2733</f>
        <v>485</v>
      </c>
    </row>
    <row r="2734" spans="1:11" hidden="1">
      <c r="A2734" s="268"/>
      <c r="F2734">
        <v>4</v>
      </c>
      <c r="G2734" s="3" t="s">
        <v>1375</v>
      </c>
      <c r="H2734" t="s">
        <v>2948</v>
      </c>
      <c r="I2734">
        <v>525</v>
      </c>
      <c r="J2734" s="4" t="s">
        <v>1341</v>
      </c>
      <c r="K2734">
        <f>I2734*F2734</f>
        <v>2100</v>
      </c>
    </row>
    <row r="2735" spans="1:11" hidden="1">
      <c r="A2735" s="268"/>
      <c r="F2735">
        <v>4.5</v>
      </c>
      <c r="G2735" s="3" t="s">
        <v>1591</v>
      </c>
      <c r="H2735" t="s">
        <v>2949</v>
      </c>
      <c r="I2735">
        <v>27</v>
      </c>
      <c r="J2735" s="4" t="s">
        <v>1591</v>
      </c>
      <c r="K2735">
        <f>I2735*F2735</f>
        <v>121.5</v>
      </c>
    </row>
    <row r="2736" spans="1:11" hidden="1">
      <c r="A2736" s="268"/>
      <c r="F2736"/>
      <c r="G2736" s="3"/>
      <c r="H2736" t="s">
        <v>2950</v>
      </c>
      <c r="I2736"/>
      <c r="J2736" s="4"/>
      <c r="K2736">
        <f>SUM(K2732:K2735)*1%-0.57</f>
        <v>50.5</v>
      </c>
    </row>
    <row r="2737" spans="1:11" hidden="1">
      <c r="A2737" s="268"/>
      <c r="F2737"/>
      <c r="G2737" s="3"/>
      <c r="H2737" t="s">
        <v>138</v>
      </c>
      <c r="I2737"/>
      <c r="J2737" s="4"/>
      <c r="K2737">
        <v>298</v>
      </c>
    </row>
    <row r="2738" spans="1:11" hidden="1">
      <c r="A2738" s="268"/>
      <c r="F2738"/>
      <c r="G2738" s="3"/>
      <c r="H2738"/>
      <c r="I2738"/>
      <c r="J2738" s="4"/>
      <c r="K2738" s="331" t="s">
        <v>1530</v>
      </c>
    </row>
    <row r="2739" spans="1:11" hidden="1">
      <c r="A2739" s="268"/>
      <c r="F2739"/>
      <c r="G2739" s="3"/>
      <c r="H2739"/>
      <c r="I2739"/>
      <c r="J2739" s="4"/>
      <c r="K2739">
        <f>SUM(K2732:K2738)</f>
        <v>5455</v>
      </c>
    </row>
    <row r="2740" spans="1:11" hidden="1">
      <c r="A2740" s="268"/>
      <c r="F2740"/>
      <c r="G2740" s="3"/>
      <c r="H2740"/>
      <c r="I2740"/>
      <c r="J2740" s="4"/>
      <c r="K2740" s="331" t="s">
        <v>1980</v>
      </c>
    </row>
    <row r="2741" spans="1:11" hidden="1">
      <c r="A2741" s="268"/>
      <c r="F2741" s="347">
        <v>180</v>
      </c>
      <c r="G2741" s="3"/>
      <c r="H2741" t="s">
        <v>2951</v>
      </c>
      <c r="I2741"/>
      <c r="J2741" s="4"/>
      <c r="K2741"/>
    </row>
    <row r="2742" spans="1:11" hidden="1">
      <c r="A2742" s="268"/>
      <c r="F2742"/>
      <c r="G2742" s="3"/>
      <c r="H2742" s="331" t="s">
        <v>1530</v>
      </c>
      <c r="I2742"/>
      <c r="J2742" s="4"/>
      <c r="K2742"/>
    </row>
    <row r="2743" spans="1:11" hidden="1">
      <c r="A2743" s="268"/>
      <c r="F2743">
        <v>0.8</v>
      </c>
      <c r="G2743" s="3" t="s">
        <v>1591</v>
      </c>
      <c r="H2743" t="s">
        <v>2952</v>
      </c>
      <c r="I2743">
        <v>230</v>
      </c>
      <c r="J2743" s="4" t="s">
        <v>1591</v>
      </c>
      <c r="K2743">
        <f>I2743*F2743</f>
        <v>184</v>
      </c>
    </row>
    <row r="2744" spans="1:11" hidden="1">
      <c r="A2744" s="268"/>
      <c r="F2744">
        <v>3</v>
      </c>
      <c r="G2744" s="3" t="s">
        <v>1375</v>
      </c>
      <c r="H2744" t="s">
        <v>2953</v>
      </c>
      <c r="I2744">
        <v>20</v>
      </c>
      <c r="J2744" s="4" t="s">
        <v>1341</v>
      </c>
      <c r="K2744">
        <f>I2744*F2744</f>
        <v>60</v>
      </c>
    </row>
    <row r="2745" spans="1:11" hidden="1">
      <c r="A2745" s="268"/>
      <c r="F2745"/>
      <c r="G2745" s="3"/>
      <c r="H2745" t="s">
        <v>2950</v>
      </c>
      <c r="I2745"/>
      <c r="J2745" s="4"/>
      <c r="K2745">
        <f>SUM(K2743:K2744)*1%+1.16</f>
        <v>3.6</v>
      </c>
    </row>
    <row r="2746" spans="1:11" hidden="1">
      <c r="A2746" s="268"/>
      <c r="F2746"/>
      <c r="G2746" s="3"/>
      <c r="H2746" t="s">
        <v>138</v>
      </c>
      <c r="I2746"/>
      <c r="J2746" s="4"/>
      <c r="K2746">
        <v>32.4</v>
      </c>
    </row>
    <row r="2747" spans="1:11" hidden="1">
      <c r="A2747" s="268"/>
      <c r="F2747"/>
      <c r="G2747" s="3"/>
      <c r="H2747"/>
      <c r="I2747"/>
      <c r="J2747" s="4"/>
      <c r="K2747" s="331" t="s">
        <v>1530</v>
      </c>
    </row>
    <row r="2748" spans="1:11" hidden="1">
      <c r="A2748" s="268"/>
      <c r="F2748"/>
      <c r="G2748" s="3"/>
      <c r="H2748"/>
      <c r="I2748"/>
      <c r="J2748" s="4"/>
      <c r="K2748">
        <f>SUM(K2743:K2747)</f>
        <v>280</v>
      </c>
    </row>
    <row r="2749" spans="1:11" hidden="1">
      <c r="A2749" s="268"/>
      <c r="F2749"/>
      <c r="G2749" s="3"/>
      <c r="H2749"/>
      <c r="I2749"/>
      <c r="J2749" s="4"/>
      <c r="K2749" s="331" t="s">
        <v>1980</v>
      </c>
    </row>
    <row r="2750" spans="1:11" hidden="1">
      <c r="A2750" s="268"/>
      <c r="F2750" s="347">
        <v>184</v>
      </c>
      <c r="G2750" s="3"/>
      <c r="H2750" s="28" t="s">
        <v>3160</v>
      </c>
      <c r="I2750"/>
      <c r="J2750" s="4"/>
      <c r="K2750"/>
    </row>
    <row r="2751" spans="1:11" hidden="1">
      <c r="A2751" s="268"/>
      <c r="F2751"/>
      <c r="G2751" s="3"/>
      <c r="H2751" s="331" t="s">
        <v>1530</v>
      </c>
      <c r="I2751"/>
      <c r="J2751" s="4"/>
      <c r="K2751"/>
    </row>
    <row r="2752" spans="1:11" hidden="1">
      <c r="A2752" s="268"/>
      <c r="F2752">
        <v>1</v>
      </c>
      <c r="G2752" s="3" t="s">
        <v>1337</v>
      </c>
      <c r="H2752" t="s">
        <v>3161</v>
      </c>
      <c r="I2752">
        <v>1860</v>
      </c>
      <c r="J2752" s="4" t="s">
        <v>1341</v>
      </c>
      <c r="K2752">
        <f>I2752*F2752</f>
        <v>1860</v>
      </c>
    </row>
    <row r="2753" spans="1:11" hidden="1">
      <c r="A2753" s="268"/>
      <c r="F2753">
        <v>2</v>
      </c>
      <c r="G2753" s="3" t="s">
        <v>1337</v>
      </c>
      <c r="H2753" t="s">
        <v>3162</v>
      </c>
      <c r="I2753">
        <v>46</v>
      </c>
      <c r="J2753" s="4" t="s">
        <v>1341</v>
      </c>
      <c r="K2753">
        <f t="shared" ref="K2753:K2760" si="89">I2753*F2753</f>
        <v>92</v>
      </c>
    </row>
    <row r="2754" spans="1:11" hidden="1">
      <c r="A2754" s="268"/>
      <c r="F2754">
        <v>1.5</v>
      </c>
      <c r="G2754" s="3" t="s">
        <v>794</v>
      </c>
      <c r="H2754" t="s">
        <v>3163</v>
      </c>
      <c r="I2754">
        <v>31</v>
      </c>
      <c r="J2754" s="4" t="s">
        <v>794</v>
      </c>
      <c r="K2754">
        <f t="shared" si="89"/>
        <v>46.5</v>
      </c>
    </row>
    <row r="2755" spans="1:11" hidden="1">
      <c r="A2755" s="268"/>
      <c r="F2755">
        <v>2</v>
      </c>
      <c r="G2755" s="3" t="s">
        <v>1337</v>
      </c>
      <c r="H2755" t="s">
        <v>2734</v>
      </c>
      <c r="I2755">
        <v>6</v>
      </c>
      <c r="J2755" s="4" t="s">
        <v>1341</v>
      </c>
      <c r="K2755">
        <f t="shared" si="89"/>
        <v>12</v>
      </c>
    </row>
    <row r="2756" spans="1:11" hidden="1">
      <c r="A2756" s="268"/>
      <c r="F2756">
        <v>2</v>
      </c>
      <c r="G2756" s="3" t="s">
        <v>1337</v>
      </c>
      <c r="H2756" t="s">
        <v>2735</v>
      </c>
      <c r="I2756">
        <v>12</v>
      </c>
      <c r="J2756" s="4" t="s">
        <v>1341</v>
      </c>
      <c r="K2756">
        <f t="shared" si="89"/>
        <v>24</v>
      </c>
    </row>
    <row r="2757" spans="1:11" hidden="1">
      <c r="A2757" s="268"/>
      <c r="F2757">
        <v>2</v>
      </c>
      <c r="G2757" s="3" t="s">
        <v>794</v>
      </c>
      <c r="H2757" t="s">
        <v>2736</v>
      </c>
      <c r="I2757">
        <v>7.8</v>
      </c>
      <c r="J2757" s="4" t="s">
        <v>794</v>
      </c>
      <c r="K2757">
        <f t="shared" si="89"/>
        <v>15.6</v>
      </c>
    </row>
    <row r="2758" spans="1:11" hidden="1">
      <c r="A2758" s="268"/>
      <c r="F2758">
        <v>0.1</v>
      </c>
      <c r="G2758" s="3" t="s">
        <v>1337</v>
      </c>
      <c r="H2758" t="s">
        <v>2645</v>
      </c>
      <c r="I2758">
        <f>I2867</f>
        <v>712</v>
      </c>
      <c r="J2758" s="4" t="s">
        <v>1341</v>
      </c>
      <c r="K2758">
        <f t="shared" si="89"/>
        <v>71.2</v>
      </c>
    </row>
    <row r="2759" spans="1:11" hidden="1">
      <c r="A2759" s="268"/>
      <c r="F2759">
        <v>0.2</v>
      </c>
      <c r="G2759" s="3" t="s">
        <v>1337</v>
      </c>
      <c r="H2759" t="s">
        <v>2646</v>
      </c>
      <c r="I2759">
        <f>I2868</f>
        <v>708</v>
      </c>
      <c r="J2759" s="4" t="s">
        <v>1341</v>
      </c>
      <c r="K2759">
        <f t="shared" si="89"/>
        <v>141.6</v>
      </c>
    </row>
    <row r="2760" spans="1:11" hidden="1">
      <c r="A2760" s="268"/>
      <c r="F2760">
        <v>0.3</v>
      </c>
      <c r="G2760" s="3" t="s">
        <v>1337</v>
      </c>
      <c r="H2760" t="s">
        <v>2246</v>
      </c>
      <c r="I2760">
        <f>I2869</f>
        <v>556</v>
      </c>
      <c r="J2760" s="4" t="s">
        <v>1341</v>
      </c>
      <c r="K2760">
        <f t="shared" si="89"/>
        <v>166.8</v>
      </c>
    </row>
    <row r="2761" spans="1:11" hidden="1">
      <c r="A2761" s="268"/>
      <c r="F2761"/>
      <c r="G2761" s="3"/>
      <c r="H2761" t="s">
        <v>2950</v>
      </c>
      <c r="I2761"/>
      <c r="J2761" s="4"/>
      <c r="K2761">
        <f>SUM(K2752:K2760)*1%-0.63</f>
        <v>23.67</v>
      </c>
    </row>
    <row r="2762" spans="1:11" hidden="1">
      <c r="A2762" s="268"/>
      <c r="F2762"/>
      <c r="G2762" s="3"/>
      <c r="H2762"/>
      <c r="I2762"/>
      <c r="J2762" s="4"/>
      <c r="K2762"/>
    </row>
    <row r="2763" spans="1:11" hidden="1">
      <c r="A2763" s="268"/>
      <c r="F2763"/>
      <c r="G2763" s="3"/>
      <c r="H2763"/>
      <c r="I2763"/>
      <c r="J2763" s="4"/>
      <c r="K2763" s="331" t="s">
        <v>1530</v>
      </c>
    </row>
    <row r="2764" spans="1:11" hidden="1">
      <c r="A2764" s="268"/>
      <c r="F2764"/>
      <c r="G2764" s="3"/>
      <c r="H2764"/>
      <c r="I2764"/>
      <c r="J2764" s="4"/>
      <c r="K2764">
        <f>SUM(K2752:K2763)</f>
        <v>2453.37</v>
      </c>
    </row>
    <row r="2765" spans="1:11" hidden="1">
      <c r="A2765" s="268"/>
      <c r="F2765"/>
      <c r="G2765" s="3"/>
      <c r="H2765"/>
      <c r="I2765"/>
      <c r="J2765" s="4"/>
      <c r="K2765" s="331" t="s">
        <v>1980</v>
      </c>
    </row>
    <row r="2766" spans="1:11" hidden="1">
      <c r="A2766" s="268"/>
      <c r="F2766" s="29">
        <v>53.4</v>
      </c>
      <c r="G2766" s="3"/>
      <c r="H2766" s="1" t="s">
        <v>2838</v>
      </c>
      <c r="I2766"/>
      <c r="J2766" s="4" t="s">
        <v>1341</v>
      </c>
      <c r="K2766">
        <v>957</v>
      </c>
    </row>
    <row r="2767" spans="1:11" hidden="1">
      <c r="A2767" s="268"/>
      <c r="F2767"/>
      <c r="G2767" s="3"/>
      <c r="H2767"/>
      <c r="I2767"/>
      <c r="J2767" s="4"/>
      <c r="K2767"/>
    </row>
    <row r="2768" spans="1:11" ht="31.5" hidden="1">
      <c r="A2768" s="268"/>
      <c r="F2768" s="348">
        <v>383</v>
      </c>
      <c r="G2768" s="3"/>
      <c r="H2768" s="28" t="s">
        <v>3393</v>
      </c>
      <c r="I2768"/>
      <c r="J2768" s="4" t="s">
        <v>1341</v>
      </c>
      <c r="K2768">
        <v>600</v>
      </c>
    </row>
    <row r="2769" spans="1:11" hidden="1">
      <c r="A2769" s="268"/>
      <c r="F2769"/>
      <c r="G2769" s="3"/>
      <c r="H2769"/>
      <c r="I2769"/>
      <c r="J2769" s="4"/>
      <c r="K2769"/>
    </row>
    <row r="2770" spans="1:11" hidden="1">
      <c r="A2770" s="268"/>
      <c r="F2770"/>
      <c r="G2770" s="3"/>
      <c r="H2770"/>
      <c r="I2770"/>
      <c r="J2770" s="4"/>
      <c r="K2770"/>
    </row>
    <row r="2771" spans="1:11" hidden="1">
      <c r="A2771" s="268"/>
      <c r="F2771" s="349">
        <v>344.2</v>
      </c>
      <c r="G2771" s="3"/>
      <c r="H2771" s="28" t="s">
        <v>2324</v>
      </c>
      <c r="I2771"/>
      <c r="J2771" s="4" t="s">
        <v>1341</v>
      </c>
      <c r="K2771">
        <v>300</v>
      </c>
    </row>
    <row r="2772" spans="1:11" hidden="1">
      <c r="A2772" s="268"/>
      <c r="F2772" s="348"/>
      <c r="G2772" s="3"/>
      <c r="H2772"/>
      <c r="I2772"/>
      <c r="J2772" s="4"/>
      <c r="K2772"/>
    </row>
    <row r="2773" spans="1:11" hidden="1">
      <c r="A2773" s="268"/>
      <c r="F2773" s="348"/>
      <c r="G2773" s="3"/>
      <c r="H2773"/>
      <c r="I2773"/>
      <c r="J2773" s="4"/>
      <c r="K2773"/>
    </row>
    <row r="2774" spans="1:11" hidden="1">
      <c r="A2774" s="268"/>
      <c r="F2774" s="348"/>
      <c r="G2774" s="3"/>
      <c r="H2774"/>
      <c r="I2774"/>
      <c r="J2774" s="4"/>
      <c r="K2774"/>
    </row>
    <row r="2775" spans="1:11" hidden="1">
      <c r="A2775" s="268"/>
      <c r="F2775" s="349">
        <v>344.1</v>
      </c>
      <c r="G2775" s="3"/>
      <c r="H2775" s="28" t="s">
        <v>2325</v>
      </c>
      <c r="I2775"/>
      <c r="J2775" s="4" t="s">
        <v>1341</v>
      </c>
      <c r="K2775">
        <v>260</v>
      </c>
    </row>
    <row r="2776" spans="1:11" hidden="1">
      <c r="A2776" s="268"/>
      <c r="F2776" s="229"/>
      <c r="G2776" s="3"/>
      <c r="H2776"/>
      <c r="I2776"/>
      <c r="J2776" s="4"/>
      <c r="K2776"/>
    </row>
    <row r="2777" spans="1:11" hidden="1">
      <c r="A2777" s="268"/>
      <c r="F2777" s="229"/>
      <c r="G2777" s="3"/>
      <c r="H2777"/>
      <c r="I2777"/>
      <c r="J2777" s="4"/>
      <c r="K2777"/>
    </row>
    <row r="2778" spans="1:11" hidden="1">
      <c r="A2778" s="268"/>
      <c r="F2778">
        <v>384</v>
      </c>
      <c r="G2778" s="3"/>
      <c r="H2778"/>
      <c r="I2778"/>
      <c r="J2778" s="4"/>
      <c r="K2778"/>
    </row>
    <row r="2779" spans="1:11" hidden="1">
      <c r="A2779" s="268"/>
      <c r="F2779"/>
      <c r="G2779" s="3"/>
      <c r="H2779" s="28" t="s">
        <v>2326</v>
      </c>
      <c r="I2779"/>
      <c r="J2779" s="4" t="s">
        <v>1341</v>
      </c>
      <c r="K2779">
        <v>650</v>
      </c>
    </row>
    <row r="2780" spans="1:11" hidden="1">
      <c r="A2780" s="268"/>
      <c r="F2780"/>
      <c r="G2780" s="3"/>
      <c r="H2780"/>
      <c r="I2780"/>
      <c r="J2780" s="4"/>
      <c r="K2780"/>
    </row>
    <row r="2781" spans="1:11" ht="19.5" hidden="1">
      <c r="A2781" s="268"/>
      <c r="F2781" s="350">
        <v>385</v>
      </c>
      <c r="G2781" s="3"/>
      <c r="H2781" t="s">
        <v>2737</v>
      </c>
      <c r="I2781"/>
      <c r="J2781" s="4"/>
      <c r="K2781"/>
    </row>
    <row r="2782" spans="1:11" hidden="1">
      <c r="A2782" s="268"/>
      <c r="F2782"/>
      <c r="G2782" s="3"/>
      <c r="H2782" s="56" t="s">
        <v>2738</v>
      </c>
      <c r="I2782"/>
      <c r="J2782" s="4"/>
      <c r="K2782"/>
    </row>
    <row r="2783" spans="1:11" hidden="1">
      <c r="A2783" s="268"/>
      <c r="F2783">
        <v>4</v>
      </c>
      <c r="G2783" s="3" t="s">
        <v>794</v>
      </c>
      <c r="H2783" t="s">
        <v>3155</v>
      </c>
      <c r="I2783">
        <v>110</v>
      </c>
      <c r="J2783" s="3" t="s">
        <v>794</v>
      </c>
      <c r="K2783">
        <f>I2783*F2783</f>
        <v>440</v>
      </c>
    </row>
    <row r="2784" spans="1:11" hidden="1">
      <c r="A2784" s="268"/>
      <c r="F2784">
        <v>2.52</v>
      </c>
      <c r="G2784" s="3" t="s">
        <v>1591</v>
      </c>
      <c r="H2784" t="s">
        <v>3156</v>
      </c>
      <c r="I2784">
        <v>30</v>
      </c>
      <c r="J2784" s="3" t="s">
        <v>1591</v>
      </c>
      <c r="K2784">
        <f t="shared" ref="K2784:K2790" si="90">I2784*F2784</f>
        <v>75.599999999999994</v>
      </c>
    </row>
    <row r="2785" spans="1:11" hidden="1">
      <c r="A2785" s="268"/>
      <c r="F2785">
        <v>1.1299999999999999</v>
      </c>
      <c r="G2785" s="3" t="s">
        <v>1591</v>
      </c>
      <c r="H2785" t="s">
        <v>3034</v>
      </c>
      <c r="I2785">
        <v>30</v>
      </c>
      <c r="J2785" s="3" t="s">
        <v>1591</v>
      </c>
      <c r="K2785">
        <f t="shared" si="90"/>
        <v>33.9</v>
      </c>
    </row>
    <row r="2786" spans="1:11" hidden="1">
      <c r="A2786" s="268"/>
      <c r="F2786">
        <v>0.35</v>
      </c>
      <c r="G2786" s="3" t="s">
        <v>1591</v>
      </c>
      <c r="H2786" t="s">
        <v>3035</v>
      </c>
      <c r="I2786">
        <v>30</v>
      </c>
      <c r="J2786" s="3" t="s">
        <v>1591</v>
      </c>
      <c r="K2786">
        <f t="shared" si="90"/>
        <v>10.5</v>
      </c>
    </row>
    <row r="2787" spans="1:11" hidden="1">
      <c r="A2787" s="268"/>
      <c r="F2787">
        <v>4</v>
      </c>
      <c r="G2787" s="3" t="s">
        <v>1591</v>
      </c>
      <c r="H2787" t="s">
        <v>3036</v>
      </c>
      <c r="I2787">
        <v>12.25</v>
      </c>
      <c r="J2787" s="3" t="s">
        <v>1591</v>
      </c>
      <c r="K2787">
        <f t="shared" si="90"/>
        <v>49</v>
      </c>
    </row>
    <row r="2788" spans="1:11" hidden="1">
      <c r="A2788" s="268"/>
      <c r="F2788">
        <v>6</v>
      </c>
      <c r="G2788" s="3" t="s">
        <v>1375</v>
      </c>
      <c r="H2788" t="s">
        <v>3037</v>
      </c>
      <c r="I2788">
        <v>1</v>
      </c>
      <c r="J2788" s="3" t="s">
        <v>1375</v>
      </c>
      <c r="K2788">
        <f t="shared" si="90"/>
        <v>6</v>
      </c>
    </row>
    <row r="2789" spans="1:11" hidden="1">
      <c r="A2789" s="268"/>
      <c r="F2789">
        <v>0.5</v>
      </c>
      <c r="G2789" s="3" t="s">
        <v>1375</v>
      </c>
      <c r="H2789" t="s">
        <v>326</v>
      </c>
      <c r="I2789">
        <f>C12</f>
        <v>95</v>
      </c>
      <c r="J2789" s="3" t="s">
        <v>1341</v>
      </c>
      <c r="K2789">
        <f t="shared" si="90"/>
        <v>47.5</v>
      </c>
    </row>
    <row r="2790" spans="1:11" hidden="1">
      <c r="A2790" s="268"/>
      <c r="F2790">
        <v>0.5</v>
      </c>
      <c r="G2790" s="3" t="s">
        <v>1375</v>
      </c>
      <c r="H2790" t="s">
        <v>1177</v>
      </c>
      <c r="I2790">
        <f>C13</f>
        <v>85</v>
      </c>
      <c r="J2790" s="3" t="s">
        <v>1341</v>
      </c>
      <c r="K2790">
        <f t="shared" si="90"/>
        <v>42.5</v>
      </c>
    </row>
    <row r="2791" spans="1:11" hidden="1">
      <c r="A2791" s="268"/>
      <c r="F2791"/>
      <c r="G2791" s="3"/>
      <c r="H2791"/>
      <c r="I2791"/>
      <c r="J2791" s="3"/>
      <c r="K2791" s="56" t="s">
        <v>3255</v>
      </c>
    </row>
    <row r="2792" spans="1:11" hidden="1">
      <c r="A2792" s="268"/>
      <c r="F2792"/>
      <c r="G2792" s="3"/>
      <c r="H2792" t="s">
        <v>3038</v>
      </c>
      <c r="I2792"/>
      <c r="J2792" s="4"/>
      <c r="K2792">
        <f>SUM(K2783:K2791)</f>
        <v>705</v>
      </c>
    </row>
    <row r="2793" spans="1:11" hidden="1">
      <c r="A2793" s="268"/>
      <c r="F2793"/>
      <c r="G2793" s="3"/>
      <c r="H2793"/>
      <c r="I2793"/>
      <c r="J2793" s="4"/>
      <c r="K2793" s="56" t="s">
        <v>3002</v>
      </c>
    </row>
    <row r="2794" spans="1:11" hidden="1">
      <c r="A2794" s="268"/>
      <c r="F2794"/>
      <c r="G2794" s="3"/>
      <c r="H2794" t="s">
        <v>2718</v>
      </c>
      <c r="I2794"/>
      <c r="J2794" s="4"/>
      <c r="K2794">
        <f>K2792/2</f>
        <v>352.5</v>
      </c>
    </row>
    <row r="2795" spans="1:11" hidden="1">
      <c r="A2795" s="268"/>
      <c r="F2795"/>
      <c r="G2795" s="3"/>
      <c r="H2795"/>
      <c r="I2795"/>
      <c r="J2795" s="4"/>
      <c r="K2795" s="56" t="s">
        <v>33</v>
      </c>
    </row>
    <row r="2796" spans="1:11" ht="19.5" hidden="1">
      <c r="A2796" s="268"/>
      <c r="F2796" s="332">
        <v>112.1</v>
      </c>
      <c r="G2796" s="3"/>
      <c r="H2796" s="351" t="s">
        <v>2385</v>
      </c>
      <c r="I2796"/>
      <c r="J2796" s="4"/>
      <c r="K2796"/>
    </row>
    <row r="2797" spans="1:11" hidden="1">
      <c r="A2797" s="268"/>
      <c r="F2797"/>
      <c r="G2797" s="3"/>
      <c r="H2797" s="56" t="s">
        <v>2386</v>
      </c>
      <c r="I2797"/>
      <c r="J2797" s="4"/>
      <c r="K2797"/>
    </row>
    <row r="2798" spans="1:11" hidden="1">
      <c r="A2798" s="268"/>
      <c r="F2798">
        <v>1</v>
      </c>
      <c r="G2798" s="3" t="s">
        <v>1337</v>
      </c>
      <c r="H2798" s="28" t="s">
        <v>2385</v>
      </c>
      <c r="I2798" s="166">
        <v>1059</v>
      </c>
      <c r="J2798" s="4" t="s">
        <v>1341</v>
      </c>
      <c r="K2798">
        <f>I2798*F2798</f>
        <v>1059</v>
      </c>
    </row>
    <row r="2799" spans="1:11" hidden="1">
      <c r="A2799" s="268"/>
      <c r="F2799">
        <v>1</v>
      </c>
      <c r="G2799" s="3" t="s">
        <v>1337</v>
      </c>
      <c r="H2799" s="28" t="s">
        <v>2387</v>
      </c>
      <c r="I2799">
        <v>95</v>
      </c>
      <c r="J2799" s="4" t="s">
        <v>1341</v>
      </c>
      <c r="K2799">
        <f>I2799*F2799</f>
        <v>95</v>
      </c>
    </row>
    <row r="2800" spans="1:11" hidden="1">
      <c r="A2800" s="268"/>
      <c r="F2800" t="s">
        <v>419</v>
      </c>
      <c r="G2800" s="3"/>
      <c r="H2800" s="28" t="s">
        <v>2422</v>
      </c>
      <c r="I2800"/>
      <c r="J2800" s="4" t="s">
        <v>419</v>
      </c>
      <c r="K2800">
        <v>16.64</v>
      </c>
    </row>
    <row r="2801" spans="1:11" hidden="1">
      <c r="A2801" s="268"/>
      <c r="F2801"/>
      <c r="G2801" s="3"/>
      <c r="H2801" t="s">
        <v>2423</v>
      </c>
      <c r="I2801"/>
      <c r="J2801" s="4"/>
      <c r="K2801">
        <v>10.11</v>
      </c>
    </row>
    <row r="2802" spans="1:11" hidden="1">
      <c r="A2802" s="268"/>
      <c r="F2802"/>
      <c r="G2802" s="3"/>
      <c r="H2802" t="s">
        <v>1443</v>
      </c>
      <c r="I2802"/>
      <c r="J2802" s="4" t="s">
        <v>1341</v>
      </c>
      <c r="K2802">
        <f>K2811</f>
        <v>78.25</v>
      </c>
    </row>
    <row r="2803" spans="1:11" hidden="1">
      <c r="A2803" s="268"/>
      <c r="F2803"/>
      <c r="G2803" s="3"/>
      <c r="H2803"/>
      <c r="I2803"/>
      <c r="J2803" s="4"/>
      <c r="K2803" s="56" t="s">
        <v>2243</v>
      </c>
    </row>
    <row r="2804" spans="1:11" hidden="1">
      <c r="A2804" s="268"/>
      <c r="F2804"/>
      <c r="G2804" s="3"/>
      <c r="H2804"/>
      <c r="I2804"/>
      <c r="J2804" s="4"/>
      <c r="K2804">
        <f>SUM(K2798:K2803)</f>
        <v>1259</v>
      </c>
    </row>
    <row r="2805" spans="1:11" hidden="1">
      <c r="A2805" s="268"/>
      <c r="F2805"/>
      <c r="G2805" s="3"/>
      <c r="H2805"/>
      <c r="I2805"/>
      <c r="J2805" s="4"/>
      <c r="K2805" s="56" t="s">
        <v>846</v>
      </c>
    </row>
    <row r="2806" spans="1:11" hidden="1">
      <c r="A2806" s="268"/>
      <c r="F2806" t="s">
        <v>138</v>
      </c>
      <c r="G2806" s="3"/>
      <c r="H2806"/>
      <c r="I2806"/>
      <c r="J2806" s="4"/>
      <c r="K2806"/>
    </row>
    <row r="2807" spans="1:11" hidden="1">
      <c r="A2807" s="268"/>
      <c r="F2807">
        <v>1</v>
      </c>
      <c r="G2807" s="3" t="s">
        <v>1337</v>
      </c>
      <c r="H2807" t="s">
        <v>2424</v>
      </c>
      <c r="I2807">
        <v>131</v>
      </c>
      <c r="J2807" s="4" t="s">
        <v>1341</v>
      </c>
      <c r="K2807">
        <f>I2807*F2807</f>
        <v>131</v>
      </c>
    </row>
    <row r="2808" spans="1:11" hidden="1">
      <c r="A2808" s="268"/>
      <c r="F2808">
        <v>2</v>
      </c>
      <c r="G2808" s="3" t="s">
        <v>1375</v>
      </c>
      <c r="H2808" t="s">
        <v>2246</v>
      </c>
      <c r="I2808">
        <v>91</v>
      </c>
      <c r="J2808" s="4" t="s">
        <v>1341</v>
      </c>
      <c r="K2808">
        <f>I2808*F2808</f>
        <v>182</v>
      </c>
    </row>
    <row r="2809" spans="1:11" hidden="1">
      <c r="A2809" s="268"/>
      <c r="F2809"/>
      <c r="G2809" s="3"/>
      <c r="H2809"/>
      <c r="I2809"/>
      <c r="J2809" s="4"/>
      <c r="K2809" s="56" t="s">
        <v>2243</v>
      </c>
    </row>
    <row r="2810" spans="1:11" hidden="1">
      <c r="A2810" s="268"/>
      <c r="F2810"/>
      <c r="G2810" s="3"/>
      <c r="H2810" t="s">
        <v>2425</v>
      </c>
      <c r="I2810"/>
      <c r="J2810" s="4"/>
      <c r="K2810">
        <f>SUM(K2807:K2809)</f>
        <v>313</v>
      </c>
    </row>
    <row r="2811" spans="1:11" hidden="1">
      <c r="A2811" s="268"/>
      <c r="F2811"/>
      <c r="G2811" s="3"/>
      <c r="H2811" t="s">
        <v>2426</v>
      </c>
      <c r="I2811"/>
      <c r="J2811" s="4"/>
      <c r="K2811">
        <f>K2810/4</f>
        <v>78.25</v>
      </c>
    </row>
    <row r="2812" spans="1:11" hidden="1">
      <c r="A2812" s="268"/>
      <c r="F2812"/>
      <c r="G2812" s="3"/>
      <c r="H2812" s="6"/>
      <c r="I2812"/>
      <c r="J2812" s="4"/>
      <c r="K2812" s="8"/>
    </row>
    <row r="2813" spans="1:11" hidden="1">
      <c r="A2813" s="268"/>
      <c r="F2813">
        <v>70.5</v>
      </c>
      <c r="G2813" s="3"/>
      <c r="H2813" t="s">
        <v>2427</v>
      </c>
      <c r="I2813"/>
      <c r="J2813" s="4"/>
      <c r="K2813"/>
    </row>
    <row r="2814" spans="1:11" hidden="1">
      <c r="A2814" s="268"/>
      <c r="F2814"/>
      <c r="G2814" s="3"/>
      <c r="H2814" s="331" t="s">
        <v>1530</v>
      </c>
      <c r="I2814"/>
      <c r="J2814" s="4"/>
      <c r="K2814"/>
    </row>
    <row r="2815" spans="1:11" ht="47.25" hidden="1">
      <c r="A2815" s="268"/>
      <c r="F2815" s="330">
        <v>1</v>
      </c>
      <c r="G2815" s="330" t="s">
        <v>1337</v>
      </c>
      <c r="H2815" s="330" t="s">
        <v>2808</v>
      </c>
      <c r="I2815">
        <v>322</v>
      </c>
      <c r="J2815" s="4" t="s">
        <v>1341</v>
      </c>
      <c r="K2815">
        <f>F2815*I2815</f>
        <v>322</v>
      </c>
    </row>
    <row r="2816" spans="1:11" hidden="1">
      <c r="A2816" s="268"/>
      <c r="F2816" s="330">
        <v>1</v>
      </c>
      <c r="G2816" s="330" t="s">
        <v>1337</v>
      </c>
      <c r="H2816" t="s">
        <v>2809</v>
      </c>
      <c r="I2816" s="166">
        <v>37</v>
      </c>
      <c r="J2816" s="4" t="s">
        <v>1341</v>
      </c>
      <c r="K2816">
        <f>F2816*I2816</f>
        <v>37</v>
      </c>
    </row>
    <row r="2817" spans="1:11" hidden="1">
      <c r="A2817" s="268"/>
      <c r="F2817" s="330">
        <v>2</v>
      </c>
      <c r="G2817" s="330" t="s">
        <v>1337</v>
      </c>
      <c r="H2817" t="s">
        <v>2810</v>
      </c>
      <c r="I2817">
        <v>600</v>
      </c>
      <c r="J2817" s="4" t="s">
        <v>2811</v>
      </c>
      <c r="K2817">
        <f>(F2817*I2817)/100</f>
        <v>12</v>
      </c>
    </row>
    <row r="2818" spans="1:11" hidden="1">
      <c r="A2818" s="268"/>
      <c r="F2818" s="330">
        <v>2</v>
      </c>
      <c r="G2818" s="330" t="s">
        <v>1337</v>
      </c>
      <c r="H2818" t="s">
        <v>2812</v>
      </c>
      <c r="I2818">
        <v>914.1</v>
      </c>
      <c r="J2818" s="4" t="s">
        <v>2813</v>
      </c>
      <c r="K2818">
        <f>(F2818*I2818)/100</f>
        <v>18.28</v>
      </c>
    </row>
    <row r="2819" spans="1:11" hidden="1">
      <c r="A2819" s="268"/>
      <c r="F2819" s="330"/>
      <c r="G2819" s="330"/>
      <c r="H2819" t="s">
        <v>2814</v>
      </c>
      <c r="I2819">
        <f>K2830</f>
        <v>49.25</v>
      </c>
      <c r="J2819" s="4" t="s">
        <v>419</v>
      </c>
      <c r="K2819">
        <f>I2819</f>
        <v>49.25</v>
      </c>
    </row>
    <row r="2820" spans="1:11" hidden="1">
      <c r="A2820" s="268"/>
      <c r="F2820"/>
      <c r="G2820" s="3"/>
      <c r="H2820" t="s">
        <v>2815</v>
      </c>
      <c r="I2820"/>
      <c r="J2820" s="4" t="s">
        <v>419</v>
      </c>
      <c r="K2820">
        <v>1.84</v>
      </c>
    </row>
    <row r="2821" spans="1:11" hidden="1">
      <c r="A2821" s="268"/>
      <c r="F2821"/>
      <c r="G2821" s="3"/>
      <c r="H2821"/>
      <c r="I2821"/>
      <c r="J2821" s="4"/>
      <c r="K2821" s="331" t="s">
        <v>1530</v>
      </c>
    </row>
    <row r="2822" spans="1:11" hidden="1">
      <c r="A2822" s="268"/>
      <c r="F2822"/>
      <c r="G2822" s="3"/>
      <c r="H2822" t="s">
        <v>2161</v>
      </c>
      <c r="I2822"/>
      <c r="J2822" s="4"/>
      <c r="K2822">
        <f>SUM(K2815:K2821)</f>
        <v>440.37</v>
      </c>
    </row>
    <row r="2823" spans="1:11" hidden="1">
      <c r="A2823" s="268"/>
      <c r="F2823"/>
      <c r="G2823" s="3"/>
      <c r="H2823"/>
      <c r="I2823"/>
      <c r="J2823" s="4"/>
      <c r="K2823" s="331" t="s">
        <v>1980</v>
      </c>
    </row>
    <row r="2824" spans="1:11" hidden="1">
      <c r="A2824" s="268"/>
      <c r="F2824"/>
      <c r="G2824" s="3"/>
      <c r="H2824" t="s">
        <v>2816</v>
      </c>
      <c r="I2824"/>
      <c r="J2824" s="4"/>
      <c r="K2824"/>
    </row>
    <row r="2825" spans="1:11" hidden="1">
      <c r="A2825" s="268"/>
      <c r="F2825">
        <v>1</v>
      </c>
      <c r="G2825" s="3" t="s">
        <v>1337</v>
      </c>
      <c r="H2825" t="s">
        <v>3276</v>
      </c>
      <c r="I2825">
        <v>160</v>
      </c>
      <c r="J2825" s="4" t="s">
        <v>1341</v>
      </c>
      <c r="K2825">
        <f>F2825*I2825</f>
        <v>160</v>
      </c>
    </row>
    <row r="2826" spans="1:11" hidden="1">
      <c r="A2826" s="268"/>
      <c r="F2826">
        <v>2</v>
      </c>
      <c r="G2826" s="3" t="s">
        <v>1337</v>
      </c>
      <c r="H2826" t="s">
        <v>3277</v>
      </c>
      <c r="I2826">
        <v>149</v>
      </c>
      <c r="J2826" s="4" t="s">
        <v>1341</v>
      </c>
      <c r="K2826">
        <f>F2826*I2826</f>
        <v>298</v>
      </c>
    </row>
    <row r="2827" spans="1:11" hidden="1">
      <c r="A2827" s="268"/>
      <c r="F2827">
        <v>3</v>
      </c>
      <c r="G2827" s="3" t="s">
        <v>1337</v>
      </c>
      <c r="H2827" t="s">
        <v>2246</v>
      </c>
      <c r="I2827">
        <v>110</v>
      </c>
      <c r="J2827" s="4" t="s">
        <v>1341</v>
      </c>
      <c r="K2827">
        <f>F2827*I2827</f>
        <v>330</v>
      </c>
    </row>
    <row r="2828" spans="1:11" hidden="1">
      <c r="A2828" s="268"/>
      <c r="F2828"/>
      <c r="G2828" s="3"/>
      <c r="H2828"/>
      <c r="I2828"/>
      <c r="J2828" s="4"/>
      <c r="K2828" s="331" t="s">
        <v>1530</v>
      </c>
    </row>
    <row r="2829" spans="1:11" hidden="1">
      <c r="A2829" s="268"/>
      <c r="F2829"/>
      <c r="G2829" s="3"/>
      <c r="H2829" t="s">
        <v>2817</v>
      </c>
      <c r="I2829"/>
      <c r="J2829" s="4"/>
      <c r="K2829">
        <f>SUM(K2825:K2828)</f>
        <v>788</v>
      </c>
    </row>
    <row r="2830" spans="1:11" hidden="1">
      <c r="A2830" s="268"/>
      <c r="F2830"/>
      <c r="G2830" s="3"/>
      <c r="H2830" t="s">
        <v>2818</v>
      </c>
      <c r="I2830"/>
      <c r="J2830" s="4"/>
      <c r="K2830">
        <f>K2829/16</f>
        <v>49.25</v>
      </c>
    </row>
    <row r="2831" spans="1:11" hidden="1">
      <c r="A2831" s="268"/>
      <c r="F2831"/>
      <c r="G2831" s="3"/>
      <c r="H2831"/>
      <c r="I2831"/>
      <c r="J2831" s="4"/>
      <c r="K2831" s="331" t="s">
        <v>1530</v>
      </c>
    </row>
    <row r="2832" spans="1:11">
      <c r="A2832" s="268"/>
    </row>
    <row r="2833" spans="1:18" ht="19.5">
      <c r="A2833" s="268"/>
      <c r="H2833" s="467" t="s">
        <v>3619</v>
      </c>
    </row>
    <row r="2834" spans="1:18">
      <c r="A2834" s="268"/>
      <c r="H2834" s="352" t="s">
        <v>4525</v>
      </c>
    </row>
    <row r="2835" spans="1:18">
      <c r="A2835" s="268"/>
    </row>
    <row r="2836" spans="1:18" ht="20.25" customHeight="1">
      <c r="A2836" s="268"/>
      <c r="H2836" s="466" t="s">
        <v>2819</v>
      </c>
    </row>
    <row r="2837" spans="1:18" ht="31.5">
      <c r="A2837" s="268"/>
      <c r="H2837" s="464" t="s">
        <v>2820</v>
      </c>
      <c r="O2837" s="353" t="s">
        <v>2821</v>
      </c>
    </row>
    <row r="2838" spans="1:18" ht="25.5" customHeight="1">
      <c r="A2838" s="268"/>
      <c r="H2838" s="464" t="s">
        <v>2822</v>
      </c>
    </row>
    <row r="2839" spans="1:18">
      <c r="A2839" s="268"/>
      <c r="H2839" s="465"/>
    </row>
    <row r="2840" spans="1:18" ht="25.5" customHeight="1">
      <c r="A2840" s="268"/>
      <c r="H2840" s="464" t="s">
        <v>2823</v>
      </c>
    </row>
    <row r="2841" spans="1:18">
      <c r="A2841" s="268"/>
    </row>
    <row r="2842" spans="1:18" ht="187.5" customHeight="1">
      <c r="A2842" s="268"/>
      <c r="H2842" s="354" t="s">
        <v>2300</v>
      </c>
      <c r="M2842" s="355"/>
      <c r="N2842" s="355"/>
      <c r="O2842" s="354" t="s">
        <v>2767</v>
      </c>
      <c r="P2842" s="355"/>
      <c r="Q2842" s="355"/>
      <c r="R2842" s="355"/>
    </row>
    <row r="2843" spans="1:18" ht="36.75" customHeight="1">
      <c r="A2843" s="268"/>
      <c r="F2843" s="355">
        <v>90</v>
      </c>
      <c r="G2843" s="355" t="s">
        <v>794</v>
      </c>
      <c r="H2843" s="463" t="s">
        <v>4748</v>
      </c>
      <c r="I2843" s="356">
        <v>15.5</v>
      </c>
      <c r="J2843" s="355" t="s">
        <v>2464</v>
      </c>
      <c r="K2843" s="355">
        <f>F2843*I2843</f>
        <v>1395</v>
      </c>
      <c r="M2843" s="355"/>
      <c r="N2843" s="355"/>
      <c r="O2843" s="353"/>
      <c r="P2843" s="355"/>
      <c r="Q2843" s="355"/>
      <c r="R2843" s="355"/>
    </row>
    <row r="2844" spans="1:18" ht="42.75" customHeight="1">
      <c r="A2844" s="268"/>
      <c r="E2844" s="355"/>
      <c r="F2844" s="355">
        <v>45</v>
      </c>
      <c r="G2844" s="355" t="s">
        <v>794</v>
      </c>
      <c r="H2844" s="354" t="s">
        <v>4749</v>
      </c>
      <c r="I2844" s="356">
        <v>19.100000000000001</v>
      </c>
      <c r="J2844" s="355" t="s">
        <v>2280</v>
      </c>
      <c r="K2844" s="355">
        <f t="shared" ref="K2844:K2856" si="91">F2844*I2844</f>
        <v>859.5</v>
      </c>
      <c r="L2844" s="355"/>
      <c r="M2844" s="355"/>
      <c r="N2844" s="355"/>
      <c r="P2844" s="355" t="s">
        <v>940</v>
      </c>
      <c r="Q2844" s="355"/>
      <c r="R2844" s="355"/>
    </row>
    <row r="2845" spans="1:18" ht="24.95" customHeight="1">
      <c r="A2845" s="268"/>
      <c r="E2845" s="355"/>
      <c r="F2845" s="355">
        <v>20</v>
      </c>
      <c r="G2845" s="355" t="s">
        <v>1337</v>
      </c>
      <c r="H2845" s="355" t="s">
        <v>4750</v>
      </c>
      <c r="I2845" s="356">
        <v>3</v>
      </c>
      <c r="J2845" s="355" t="s">
        <v>1337</v>
      </c>
      <c r="K2845" s="355">
        <f t="shared" si="91"/>
        <v>60</v>
      </c>
      <c r="L2845" s="355"/>
      <c r="M2845" s="355"/>
      <c r="N2845" s="355"/>
      <c r="O2845" s="355"/>
      <c r="P2845" s="355"/>
      <c r="Q2845" s="355"/>
      <c r="R2845" s="355"/>
    </row>
    <row r="2846" spans="1:18" ht="34.5" customHeight="1">
      <c r="A2846" s="268"/>
      <c r="E2846" s="355"/>
      <c r="F2846" s="355">
        <v>10</v>
      </c>
      <c r="G2846" s="355" t="s">
        <v>1337</v>
      </c>
      <c r="H2846" s="355" t="s">
        <v>4751</v>
      </c>
      <c r="I2846" s="425">
        <f>15.3/12</f>
        <v>1.28</v>
      </c>
      <c r="J2846" s="355" t="s">
        <v>1337</v>
      </c>
      <c r="K2846" s="355">
        <f t="shared" si="91"/>
        <v>12.8</v>
      </c>
      <c r="L2846" s="355"/>
      <c r="M2846" s="355">
        <v>90</v>
      </c>
      <c r="N2846" s="355" t="s">
        <v>794</v>
      </c>
      <c r="O2846" s="463" t="s">
        <v>2463</v>
      </c>
      <c r="P2846" s="355">
        <f>I2856</f>
        <v>15.5</v>
      </c>
      <c r="Q2846" s="355" t="s">
        <v>794</v>
      </c>
      <c r="R2846" s="355">
        <f>M2846*P2846</f>
        <v>1395</v>
      </c>
    </row>
    <row r="2847" spans="1:18" ht="40.5" customHeight="1">
      <c r="A2847" s="268"/>
      <c r="E2847" s="355"/>
      <c r="F2847" s="355">
        <v>1</v>
      </c>
      <c r="G2847" s="355" t="s">
        <v>1337</v>
      </c>
      <c r="H2847" s="355" t="s">
        <v>4752</v>
      </c>
      <c r="I2847" s="425">
        <v>63.1</v>
      </c>
      <c r="J2847" s="355" t="s">
        <v>1337</v>
      </c>
      <c r="K2847" s="355">
        <f t="shared" si="91"/>
        <v>63.1</v>
      </c>
      <c r="L2847" s="355"/>
      <c r="M2847" s="355">
        <v>45</v>
      </c>
      <c r="N2847" s="355" t="s">
        <v>794</v>
      </c>
      <c r="O2847" s="354" t="s">
        <v>2279</v>
      </c>
      <c r="P2847" s="355">
        <f>I2844</f>
        <v>19.100000000000001</v>
      </c>
      <c r="Q2847" s="355" t="s">
        <v>2280</v>
      </c>
      <c r="R2847" s="355">
        <f t="shared" ref="R2847:R2859" si="92">M2847*P2847</f>
        <v>859.5</v>
      </c>
    </row>
    <row r="2848" spans="1:18">
      <c r="A2848" s="268"/>
      <c r="E2848" s="355"/>
      <c r="F2848" s="355"/>
      <c r="G2848" s="355"/>
      <c r="H2848" s="355"/>
      <c r="I2848" s="355"/>
      <c r="J2848" s="355"/>
      <c r="K2848" s="355"/>
      <c r="L2848" s="355"/>
      <c r="M2848" s="355">
        <v>75</v>
      </c>
      <c r="N2848" s="355" t="s">
        <v>1337</v>
      </c>
      <c r="O2848" s="355" t="s">
        <v>4826</v>
      </c>
      <c r="P2848" s="425">
        <v>3.45</v>
      </c>
      <c r="Q2848" s="355" t="s">
        <v>3326</v>
      </c>
      <c r="R2848" s="355">
        <f>M2848*P2848/12</f>
        <v>21.56</v>
      </c>
    </row>
    <row r="2849" spans="1:20" ht="24.95" customHeight="1">
      <c r="A2849" s="268"/>
      <c r="E2849" s="355"/>
      <c r="F2849" s="358">
        <v>1.4999999999999999E-2</v>
      </c>
      <c r="G2849" s="355" t="s">
        <v>2199</v>
      </c>
      <c r="H2849" s="355" t="s">
        <v>4753</v>
      </c>
      <c r="I2849" s="356">
        <v>630</v>
      </c>
      <c r="J2849" s="355" t="s">
        <v>2199</v>
      </c>
      <c r="K2849" s="355">
        <f t="shared" si="91"/>
        <v>9.4499999999999993</v>
      </c>
      <c r="L2849" s="355"/>
      <c r="M2849" s="355">
        <v>12</v>
      </c>
      <c r="N2849" s="355" t="s">
        <v>1337</v>
      </c>
      <c r="O2849" s="355" t="s">
        <v>2281</v>
      </c>
      <c r="P2849" s="355">
        <f>I2845</f>
        <v>3</v>
      </c>
      <c r="Q2849" s="355" t="s">
        <v>1337</v>
      </c>
      <c r="R2849" s="355">
        <f t="shared" si="92"/>
        <v>36</v>
      </c>
    </row>
    <row r="2850" spans="1:20" ht="24.95" customHeight="1">
      <c r="A2850" s="268"/>
      <c r="E2850" s="355"/>
      <c r="F2850" s="355">
        <v>10</v>
      </c>
      <c r="G2850" s="355" t="s">
        <v>1337</v>
      </c>
      <c r="H2850" s="355" t="s">
        <v>4754</v>
      </c>
      <c r="I2850" s="356">
        <f>192.6/12</f>
        <v>16.05</v>
      </c>
      <c r="J2850" s="355" t="s">
        <v>1337</v>
      </c>
      <c r="K2850" s="355">
        <f t="shared" si="91"/>
        <v>160.5</v>
      </c>
      <c r="L2850" s="355"/>
      <c r="M2850" s="355">
        <v>6</v>
      </c>
      <c r="N2850" s="355" t="s">
        <v>1337</v>
      </c>
      <c r="O2850" s="355" t="s">
        <v>3323</v>
      </c>
      <c r="P2850" s="355">
        <f>I2846</f>
        <v>1.28</v>
      </c>
      <c r="Q2850" s="355" t="s">
        <v>1337</v>
      </c>
      <c r="R2850" s="355">
        <f t="shared" si="92"/>
        <v>7.68</v>
      </c>
    </row>
    <row r="2851" spans="1:20" ht="24.95" customHeight="1">
      <c r="A2851" s="268"/>
      <c r="E2851" s="355"/>
      <c r="F2851" s="355">
        <v>10</v>
      </c>
      <c r="G2851" s="355" t="s">
        <v>1337</v>
      </c>
      <c r="H2851" s="355" t="s">
        <v>4755</v>
      </c>
      <c r="I2851" s="356">
        <v>13.6</v>
      </c>
      <c r="J2851" s="355" t="s">
        <v>1337</v>
      </c>
      <c r="K2851" s="355">
        <f t="shared" si="91"/>
        <v>136</v>
      </c>
      <c r="L2851" s="355"/>
      <c r="M2851" s="355">
        <v>150</v>
      </c>
      <c r="N2851" s="355" t="s">
        <v>1375</v>
      </c>
      <c r="O2851" s="355" t="s">
        <v>4596</v>
      </c>
      <c r="P2851" s="355">
        <f>I3580</f>
        <v>287</v>
      </c>
      <c r="Q2851" s="355">
        <v>1000</v>
      </c>
      <c r="R2851" s="355">
        <f>(M2851*P2851)/1000</f>
        <v>43.05</v>
      </c>
    </row>
    <row r="2852" spans="1:20" ht="24.95" customHeight="1">
      <c r="A2852" s="268"/>
      <c r="E2852" s="355"/>
      <c r="F2852" s="355">
        <v>10</v>
      </c>
      <c r="G2852" s="355" t="s">
        <v>1337</v>
      </c>
      <c r="H2852" s="355" t="s">
        <v>4756</v>
      </c>
      <c r="I2852" s="356">
        <f>41.2/12</f>
        <v>3.43</v>
      </c>
      <c r="J2852" s="355" t="s">
        <v>1337</v>
      </c>
      <c r="K2852" s="355">
        <f t="shared" si="91"/>
        <v>34.299999999999997</v>
      </c>
      <c r="L2852" s="355"/>
      <c r="M2852" s="358">
        <v>7</v>
      </c>
      <c r="N2852" s="355" t="s">
        <v>1375</v>
      </c>
      <c r="O2852" s="355" t="s">
        <v>2556</v>
      </c>
      <c r="P2852" s="355">
        <f>I2852</f>
        <v>3.43</v>
      </c>
      <c r="Q2852" s="355" t="s">
        <v>1337</v>
      </c>
      <c r="R2852" s="355">
        <f t="shared" si="92"/>
        <v>24.01</v>
      </c>
    </row>
    <row r="2853" spans="1:20" ht="24.95" customHeight="1">
      <c r="A2853" s="268"/>
      <c r="E2853" s="355"/>
      <c r="F2853" s="355">
        <v>1.25</v>
      </c>
      <c r="G2853" s="355" t="s">
        <v>2557</v>
      </c>
      <c r="H2853" s="355" t="s">
        <v>364</v>
      </c>
      <c r="I2853" s="356">
        <f>Data!C70/20</f>
        <v>298</v>
      </c>
      <c r="J2853" s="355" t="s">
        <v>2557</v>
      </c>
      <c r="K2853" s="355">
        <f t="shared" si="91"/>
        <v>372.5</v>
      </c>
      <c r="L2853" s="355"/>
      <c r="M2853" s="355">
        <v>6</v>
      </c>
      <c r="N2853" s="355" t="s">
        <v>1337</v>
      </c>
      <c r="O2853" s="355" t="s">
        <v>2553</v>
      </c>
      <c r="P2853" s="355">
        <f>I2851</f>
        <v>13.6</v>
      </c>
      <c r="Q2853" s="355" t="s">
        <v>1341</v>
      </c>
      <c r="R2853" s="355">
        <f t="shared" si="92"/>
        <v>81.599999999999994</v>
      </c>
    </row>
    <row r="2854" spans="1:20" ht="24.95" customHeight="1">
      <c r="A2854" s="268"/>
      <c r="E2854" s="355"/>
      <c r="F2854" s="355">
        <v>10</v>
      </c>
      <c r="G2854" s="355" t="s">
        <v>1337</v>
      </c>
      <c r="H2854" s="355" t="s">
        <v>4527</v>
      </c>
      <c r="I2854" s="425">
        <f>I2847</f>
        <v>63.1</v>
      </c>
      <c r="J2854" s="355" t="s">
        <v>1337</v>
      </c>
      <c r="K2854" s="355">
        <f t="shared" si="91"/>
        <v>631</v>
      </c>
      <c r="L2854" s="355"/>
      <c r="M2854" s="355">
        <v>6</v>
      </c>
      <c r="N2854" s="355" t="s">
        <v>1337</v>
      </c>
      <c r="O2854" s="355" t="str">
        <f>H2850</f>
        <v>5 amps flush type switch p-118, Part-C,1 a ( 192.6/12=16.05)</v>
      </c>
      <c r="P2854" s="355">
        <f>I2850</f>
        <v>16.05</v>
      </c>
      <c r="Q2854" s="355" t="str">
        <f>J2850</f>
        <v>No</v>
      </c>
      <c r="R2854" s="355">
        <f>(M2854*P2854)</f>
        <v>96.3</v>
      </c>
    </row>
    <row r="2855" spans="1:20" ht="24.95" customHeight="1">
      <c r="A2855" s="268"/>
      <c r="E2855" s="355"/>
      <c r="F2855" s="355">
        <v>0.15</v>
      </c>
      <c r="G2855" s="355" t="s">
        <v>2199</v>
      </c>
      <c r="H2855" s="355" t="s">
        <v>4528</v>
      </c>
      <c r="I2855" s="356">
        <f>I2849</f>
        <v>630</v>
      </c>
      <c r="J2855" s="355" t="s">
        <v>2199</v>
      </c>
      <c r="K2855" s="355">
        <f t="shared" si="91"/>
        <v>94.5</v>
      </c>
      <c r="L2855" s="355"/>
      <c r="M2855" s="355">
        <v>1</v>
      </c>
      <c r="N2855" s="355" t="s">
        <v>2561</v>
      </c>
      <c r="O2855" s="355" t="s">
        <v>3800</v>
      </c>
      <c r="P2855" s="355">
        <f>I3579</f>
        <v>68.8</v>
      </c>
      <c r="Q2855" s="355" t="s">
        <v>2561</v>
      </c>
      <c r="R2855" s="355">
        <f>(M2855*P2855)</f>
        <v>68.8</v>
      </c>
    </row>
    <row r="2856" spans="1:20" ht="44.25" customHeight="1">
      <c r="A2856" s="268"/>
      <c r="E2856" s="355"/>
      <c r="F2856" s="355">
        <v>45</v>
      </c>
      <c r="G2856" s="355" t="s">
        <v>794</v>
      </c>
      <c r="H2856" s="463" t="s">
        <v>4526</v>
      </c>
      <c r="I2856" s="356">
        <f>I2843</f>
        <v>15.5</v>
      </c>
      <c r="J2856" s="355" t="s">
        <v>3239</v>
      </c>
      <c r="K2856" s="355">
        <f t="shared" si="91"/>
        <v>697.5</v>
      </c>
      <c r="L2856" s="355"/>
      <c r="M2856" s="355">
        <v>6</v>
      </c>
      <c r="N2856" s="355" t="s">
        <v>1375</v>
      </c>
      <c r="O2856" s="354" t="s">
        <v>4598</v>
      </c>
      <c r="P2856" s="529">
        <v>63.1</v>
      </c>
      <c r="Q2856" s="355" t="s">
        <v>1337</v>
      </c>
      <c r="R2856" s="355">
        <f t="shared" si="92"/>
        <v>378.6</v>
      </c>
    </row>
    <row r="2857" spans="1:20" ht="24.95" customHeight="1">
      <c r="A2857" s="268"/>
      <c r="E2857" s="355"/>
      <c r="F2857" s="355" t="s">
        <v>625</v>
      </c>
      <c r="G2857" s="355"/>
      <c r="H2857" s="355" t="s">
        <v>878</v>
      </c>
      <c r="I2857" s="355"/>
      <c r="J2857" s="355" t="s">
        <v>625</v>
      </c>
      <c r="K2857" s="355">
        <f>K2873</f>
        <v>10421</v>
      </c>
      <c r="L2857" s="355"/>
      <c r="M2857" s="359">
        <v>0.16666666666666666</v>
      </c>
      <c r="N2857" s="355" t="s">
        <v>3241</v>
      </c>
      <c r="O2857" s="355" t="s">
        <v>364</v>
      </c>
      <c r="P2857" s="355">
        <f>I2853</f>
        <v>298</v>
      </c>
      <c r="Q2857" s="355" t="s">
        <v>3241</v>
      </c>
      <c r="R2857" s="355">
        <f t="shared" si="92"/>
        <v>49.67</v>
      </c>
    </row>
    <row r="2858" spans="1:20" ht="54" customHeight="1">
      <c r="A2858" s="268"/>
      <c r="E2858" s="355"/>
      <c r="F2858" s="355" t="s">
        <v>625</v>
      </c>
      <c r="G2858" s="355"/>
      <c r="H2858" s="355" t="s">
        <v>2187</v>
      </c>
      <c r="I2858" s="355"/>
      <c r="J2858" s="355" t="s">
        <v>625</v>
      </c>
      <c r="K2858" s="355">
        <v>44.7</v>
      </c>
      <c r="L2858" s="355"/>
      <c r="M2858" s="355">
        <v>45</v>
      </c>
      <c r="N2858" s="355" t="s">
        <v>3391</v>
      </c>
      <c r="O2858" s="276" t="s">
        <v>2563</v>
      </c>
      <c r="P2858" s="355">
        <f>P2846</f>
        <v>15.5</v>
      </c>
      <c r="Q2858" s="355" t="s">
        <v>2199</v>
      </c>
      <c r="R2858" s="355">
        <f t="shared" si="92"/>
        <v>697.5</v>
      </c>
    </row>
    <row r="2859" spans="1:20" ht="24.95" customHeight="1">
      <c r="A2859" s="268"/>
      <c r="E2859" s="355"/>
      <c r="F2859" s="355"/>
      <c r="G2859" s="355"/>
      <c r="H2859" s="360" t="s">
        <v>3242</v>
      </c>
      <c r="I2859" s="355"/>
      <c r="J2859" s="355"/>
      <c r="K2859" s="361">
        <f>SUM(K2843:K2858)</f>
        <v>14991.85</v>
      </c>
      <c r="L2859" s="355">
        <f>1340*10</f>
        <v>13400</v>
      </c>
      <c r="M2859" s="355">
        <v>6</v>
      </c>
      <c r="N2859" s="355" t="s">
        <v>3243</v>
      </c>
      <c r="O2859" s="355" t="s">
        <v>878</v>
      </c>
      <c r="P2859" s="355">
        <f>R2877</f>
        <v>1098.17</v>
      </c>
      <c r="Q2859" s="355" t="s">
        <v>3243</v>
      </c>
      <c r="R2859" s="355">
        <f t="shared" si="92"/>
        <v>6589.02</v>
      </c>
    </row>
    <row r="2860" spans="1:20" ht="24.95" customHeight="1">
      <c r="A2860" s="268"/>
      <c r="E2860" s="355"/>
      <c r="F2860" s="355"/>
      <c r="G2860" s="355"/>
      <c r="H2860" s="362" t="s">
        <v>3244</v>
      </c>
      <c r="I2860" s="355"/>
      <c r="J2860" s="355"/>
      <c r="K2860" s="363">
        <f>K2859/10</f>
        <v>1499.19</v>
      </c>
      <c r="L2860" s="355">
        <f>L2859-K2859</f>
        <v>-1591.85</v>
      </c>
      <c r="M2860" s="355"/>
      <c r="N2860" s="355" t="s">
        <v>66</v>
      </c>
      <c r="O2860" s="355" t="s">
        <v>3245</v>
      </c>
      <c r="P2860" s="355"/>
      <c r="Q2860" s="355"/>
      <c r="R2860" s="355">
        <v>39.94</v>
      </c>
    </row>
    <row r="2861" spans="1:20">
      <c r="A2861" s="268"/>
      <c r="E2861" s="355"/>
      <c r="F2861" s="355"/>
      <c r="G2861" s="355"/>
      <c r="H2861" s="355"/>
      <c r="I2861" s="355"/>
      <c r="J2861" s="355"/>
      <c r="K2861" s="355"/>
      <c r="L2861" s="355"/>
      <c r="M2861" s="355"/>
      <c r="N2861" s="355"/>
      <c r="P2861" s="355"/>
      <c r="Q2861" s="355"/>
      <c r="R2861" s="355">
        <f>SUM(R2846:R2860)</f>
        <v>10388.23</v>
      </c>
    </row>
    <row r="2862" spans="1:20" ht="24.95" customHeight="1">
      <c r="A2862" s="268"/>
      <c r="E2862" s="355"/>
      <c r="F2862" s="355"/>
      <c r="G2862" s="355"/>
      <c r="H2862" s="363" t="s">
        <v>3246</v>
      </c>
      <c r="I2862" s="355"/>
      <c r="J2862" s="355"/>
      <c r="K2862" s="355"/>
      <c r="L2862" s="355"/>
      <c r="M2862" s="355"/>
      <c r="N2862" s="355"/>
      <c r="O2862" s="360" t="s">
        <v>3247</v>
      </c>
      <c r="P2862" s="355"/>
      <c r="Q2862" s="355"/>
      <c r="R2862" s="361"/>
    </row>
    <row r="2863" spans="1:20">
      <c r="A2863" s="268"/>
      <c r="E2863" s="355"/>
      <c r="F2863" s="355"/>
      <c r="G2863" s="355"/>
      <c r="H2863" s="355"/>
      <c r="I2863" s="355"/>
      <c r="J2863" s="355"/>
      <c r="K2863" s="355"/>
      <c r="L2863" s="355"/>
      <c r="M2863" s="355"/>
      <c r="N2863" s="355"/>
      <c r="O2863" s="362" t="s">
        <v>3244</v>
      </c>
      <c r="P2863" s="355"/>
      <c r="Q2863" s="355"/>
      <c r="R2863" s="363">
        <f>R2861/6</f>
        <v>1731.37</v>
      </c>
      <c r="S2863" s="182">
        <f>1377*6</f>
        <v>8262</v>
      </c>
      <c r="T2863" s="182">
        <f>S2863-R2862</f>
        <v>8262</v>
      </c>
    </row>
    <row r="2864" spans="1:20" ht="24.95" customHeight="1">
      <c r="A2864" s="268"/>
      <c r="E2864" s="355"/>
      <c r="F2864" s="355"/>
      <c r="G2864" s="355"/>
      <c r="H2864" s="363" t="s">
        <v>3321</v>
      </c>
      <c r="I2864" s="355"/>
      <c r="J2864" s="355"/>
      <c r="K2864" s="355"/>
      <c r="L2864" s="355"/>
      <c r="M2864" s="355"/>
      <c r="N2864" s="355"/>
      <c r="O2864" s="355"/>
      <c r="P2864" s="355"/>
      <c r="Q2864" s="355"/>
      <c r="R2864" s="355"/>
      <c r="S2864" s="182">
        <f>S2863-R2861</f>
        <v>-2126.23</v>
      </c>
    </row>
    <row r="2865" spans="1:18" ht="24.95" customHeight="1">
      <c r="A2865" s="268"/>
      <c r="E2865" s="355"/>
      <c r="F2865" s="355"/>
      <c r="G2865" s="355"/>
      <c r="H2865" s="355"/>
      <c r="I2865" s="355"/>
      <c r="J2865" s="355"/>
      <c r="K2865" s="355"/>
      <c r="L2865" s="355"/>
      <c r="M2865" s="355"/>
    </row>
    <row r="2866" spans="1:18" ht="24.95" customHeight="1">
      <c r="A2866" s="268"/>
      <c r="E2866" s="355"/>
      <c r="F2866" s="355">
        <v>1</v>
      </c>
      <c r="G2866" s="355" t="s">
        <v>1337</v>
      </c>
      <c r="H2866" s="355" t="s">
        <v>4529</v>
      </c>
      <c r="I2866" s="425">
        <v>817</v>
      </c>
      <c r="J2866" s="355" t="s">
        <v>1337</v>
      </c>
      <c r="K2866" s="355">
        <f>F2866*I2866</f>
        <v>817</v>
      </c>
      <c r="L2866" s="355"/>
      <c r="M2866" s="355"/>
      <c r="N2866" s="363" t="s">
        <v>3246</v>
      </c>
      <c r="O2866" s="355"/>
      <c r="P2866" s="355"/>
      <c r="Q2866" s="355"/>
    </row>
    <row r="2867" spans="1:18" ht="24.95" customHeight="1">
      <c r="A2867" s="268"/>
      <c r="E2867" s="355"/>
      <c r="F2867" s="355">
        <v>2</v>
      </c>
      <c r="G2867" s="355" t="s">
        <v>1337</v>
      </c>
      <c r="H2867" s="355" t="s">
        <v>4757</v>
      </c>
      <c r="I2867" s="425">
        <v>712</v>
      </c>
      <c r="J2867" s="355" t="s">
        <v>1337</v>
      </c>
      <c r="K2867" s="355">
        <f t="shared" ref="K2867:K2872" si="93">F2867*I2867</f>
        <v>1424</v>
      </c>
      <c r="L2867" s="355"/>
      <c r="M2867" s="355"/>
      <c r="N2867" s="355"/>
      <c r="O2867" s="355"/>
      <c r="P2867" s="355"/>
      <c r="Q2867" s="355"/>
    </row>
    <row r="2868" spans="1:18" ht="24.95" customHeight="1">
      <c r="A2868" s="268"/>
      <c r="E2868" s="355"/>
      <c r="F2868" s="355">
        <v>3</v>
      </c>
      <c r="G2868" s="355" t="s">
        <v>1337</v>
      </c>
      <c r="H2868" s="355" t="s">
        <v>3250</v>
      </c>
      <c r="I2868" s="425">
        <v>708</v>
      </c>
      <c r="J2868" s="355" t="s">
        <v>1337</v>
      </c>
      <c r="K2868" s="355">
        <f t="shared" si="93"/>
        <v>2124</v>
      </c>
      <c r="L2868" s="355"/>
      <c r="M2868" s="355"/>
      <c r="N2868" s="363" t="s">
        <v>3321</v>
      </c>
      <c r="O2868" s="355"/>
      <c r="P2868" s="355"/>
      <c r="Q2868" s="355"/>
    </row>
    <row r="2869" spans="1:18" ht="24.95" customHeight="1">
      <c r="A2869" s="268"/>
      <c r="E2869" s="355"/>
      <c r="F2869" s="355">
        <v>4</v>
      </c>
      <c r="G2869" s="355" t="s">
        <v>1337</v>
      </c>
      <c r="H2869" s="355" t="str">
        <f>Data!H2302</f>
        <v>Electrical HELPERp-15 it-100</v>
      </c>
      <c r="I2869" s="425">
        <v>556</v>
      </c>
      <c r="J2869" s="355" t="s">
        <v>1337</v>
      </c>
      <c r="K2869" s="355">
        <f t="shared" si="93"/>
        <v>2224</v>
      </c>
      <c r="L2869" s="355"/>
      <c r="M2869" s="355"/>
      <c r="N2869" s="355"/>
      <c r="O2869" s="355"/>
      <c r="P2869" s="355"/>
      <c r="Q2869" s="355"/>
    </row>
    <row r="2870" spans="1:18" ht="24.95" customHeight="1">
      <c r="A2870" s="268"/>
      <c r="E2870" s="355"/>
      <c r="F2870" s="355"/>
      <c r="G2870" s="355"/>
      <c r="H2870" s="363" t="s">
        <v>3026</v>
      </c>
      <c r="I2870" s="355"/>
      <c r="J2870" s="355"/>
      <c r="K2870" s="355"/>
      <c r="M2870" s="355">
        <v>1</v>
      </c>
      <c r="N2870" s="355" t="s">
        <v>1337</v>
      </c>
      <c r="O2870" s="355" t="s">
        <v>3248</v>
      </c>
      <c r="P2870" s="355">
        <f>I2866</f>
        <v>817</v>
      </c>
      <c r="Q2870" s="355" t="s">
        <v>1337</v>
      </c>
      <c r="R2870" s="355">
        <f>M2870*P2870</f>
        <v>817</v>
      </c>
    </row>
    <row r="2871" spans="1:18" ht="24.95" customHeight="1">
      <c r="A2871" s="268"/>
      <c r="E2871" s="355"/>
      <c r="F2871" s="355">
        <v>2</v>
      </c>
      <c r="G2871" s="355" t="s">
        <v>1337</v>
      </c>
      <c r="H2871" s="355" t="s">
        <v>2768</v>
      </c>
      <c r="I2871" s="425">
        <v>804</v>
      </c>
      <c r="J2871" s="355" t="s">
        <v>1337</v>
      </c>
      <c r="K2871" s="355">
        <f t="shared" si="93"/>
        <v>1608</v>
      </c>
      <c r="M2871" s="355">
        <v>2</v>
      </c>
      <c r="N2871" s="355" t="s">
        <v>1337</v>
      </c>
      <c r="O2871" s="355" t="s">
        <v>3249</v>
      </c>
      <c r="P2871" s="355">
        <f>I2867</f>
        <v>712</v>
      </c>
      <c r="Q2871" s="355" t="s">
        <v>1337</v>
      </c>
      <c r="R2871" s="355">
        <f>M2871*P2871</f>
        <v>1424</v>
      </c>
    </row>
    <row r="2872" spans="1:18" ht="24.95" customHeight="1">
      <c r="A2872" s="268"/>
      <c r="E2872" s="355"/>
      <c r="F2872" s="355">
        <v>4</v>
      </c>
      <c r="G2872" s="355" t="s">
        <v>1337</v>
      </c>
      <c r="H2872" s="355" t="str">
        <f>H2869</f>
        <v>Electrical HELPERp-15 it-100</v>
      </c>
      <c r="I2872" s="425">
        <f>I2869</f>
        <v>556</v>
      </c>
      <c r="J2872" s="355" t="s">
        <v>1337</v>
      </c>
      <c r="K2872" s="355">
        <f t="shared" si="93"/>
        <v>2224</v>
      </c>
      <c r="M2872" s="355">
        <v>3</v>
      </c>
      <c r="N2872" s="355" t="s">
        <v>1337</v>
      </c>
      <c r="O2872" s="355" t="s">
        <v>3250</v>
      </c>
      <c r="P2872" s="355">
        <f>I2868</f>
        <v>708</v>
      </c>
      <c r="Q2872" s="355" t="s">
        <v>1337</v>
      </c>
      <c r="R2872" s="355">
        <f>M2872*P2872</f>
        <v>2124</v>
      </c>
    </row>
    <row r="2873" spans="1:18" ht="24.95" customHeight="1">
      <c r="A2873" s="268"/>
      <c r="E2873" s="355"/>
      <c r="F2873" s="355"/>
      <c r="G2873" s="355"/>
      <c r="H2873" s="355"/>
      <c r="I2873" s="355"/>
      <c r="J2873" s="355"/>
      <c r="K2873" s="370">
        <f>SUM(K2866:K2872)</f>
        <v>10421</v>
      </c>
      <c r="M2873" s="355">
        <v>4</v>
      </c>
      <c r="N2873" s="355" t="s">
        <v>1337</v>
      </c>
      <c r="O2873" s="355" t="s">
        <v>2246</v>
      </c>
      <c r="P2873" s="355">
        <f>I2869</f>
        <v>556</v>
      </c>
      <c r="Q2873" s="355" t="s">
        <v>1337</v>
      </c>
      <c r="R2873" s="355">
        <f>M2873*P2873</f>
        <v>2224</v>
      </c>
    </row>
    <row r="2874" spans="1:18" ht="16.5" customHeight="1">
      <c r="A2874" s="268"/>
      <c r="E2874" s="355"/>
      <c r="F2874" s="355"/>
      <c r="G2874" s="355"/>
      <c r="H2874" s="355"/>
      <c r="I2874" s="355"/>
      <c r="J2874" s="355"/>
      <c r="K2874" s="361"/>
      <c r="M2874" s="355"/>
      <c r="N2874" s="355"/>
      <c r="O2874" s="355"/>
      <c r="P2874" s="355"/>
      <c r="Q2874" s="355"/>
      <c r="R2874" s="355"/>
    </row>
    <row r="2875" spans="1:18" ht="78.75" customHeight="1">
      <c r="A2875" s="268"/>
      <c r="E2875" s="355"/>
      <c r="F2875" s="355"/>
      <c r="G2875" s="355"/>
      <c r="H2875" s="191" t="s">
        <v>3027</v>
      </c>
      <c r="I2875" s="355"/>
      <c r="J2875" s="355"/>
      <c r="K2875" s="355"/>
      <c r="L2875" s="355"/>
      <c r="M2875" s="355"/>
      <c r="O2875" s="365" t="s">
        <v>2769</v>
      </c>
      <c r="R2875" s="366">
        <f>SUM(R2870:R2873)</f>
        <v>6589</v>
      </c>
    </row>
    <row r="2876" spans="1:18" ht="39.950000000000003" customHeight="1">
      <c r="A2876" s="268"/>
      <c r="E2876" s="355"/>
      <c r="F2876" s="355"/>
      <c r="G2876" s="355"/>
      <c r="H2876" s="191" t="s">
        <v>3332</v>
      </c>
      <c r="I2876" s="355"/>
      <c r="J2876" s="355"/>
      <c r="K2876" s="355"/>
      <c r="L2876" s="355"/>
      <c r="M2876" s="355"/>
    </row>
    <row r="2877" spans="1:18">
      <c r="A2877" s="268"/>
      <c r="E2877" s="355"/>
      <c r="F2877" s="355"/>
      <c r="G2877" s="355"/>
      <c r="H2877" s="355"/>
      <c r="I2877" s="355"/>
      <c r="J2877" s="355"/>
      <c r="K2877" s="355"/>
      <c r="L2877" s="355"/>
      <c r="M2877" s="355"/>
      <c r="Q2877" s="367" t="s">
        <v>3333</v>
      </c>
      <c r="R2877" s="192">
        <f>R2875/6</f>
        <v>1098.17</v>
      </c>
    </row>
    <row r="2878" spans="1:18" ht="215.25" customHeight="1">
      <c r="A2878" s="268"/>
      <c r="E2878" s="355"/>
      <c r="F2878" s="355"/>
      <c r="G2878" s="355"/>
      <c r="H2878" s="354" t="s">
        <v>2406</v>
      </c>
      <c r="I2878" s="355"/>
      <c r="J2878" s="355"/>
      <c r="K2878" s="355"/>
      <c r="L2878" s="355"/>
      <c r="M2878" s="355"/>
      <c r="O2878" s="354" t="s">
        <v>2368</v>
      </c>
    </row>
    <row r="2879" spans="1:18" ht="42.75" customHeight="1">
      <c r="A2879" s="268"/>
      <c r="E2879" s="355"/>
      <c r="F2879" s="355"/>
      <c r="G2879" s="355"/>
      <c r="H2879" s="355" t="s">
        <v>2369</v>
      </c>
      <c r="I2879" s="355"/>
      <c r="J2879" s="355"/>
      <c r="K2879" s="355">
        <f>K2859-K2858</f>
        <v>14947.15</v>
      </c>
      <c r="L2879" s="355"/>
      <c r="M2879" s="355">
        <v>90</v>
      </c>
      <c r="N2879" s="355" t="s">
        <v>794</v>
      </c>
      <c r="O2879" s="463" t="s">
        <v>2463</v>
      </c>
      <c r="P2879" s="355">
        <f>P2846</f>
        <v>15.5</v>
      </c>
      <c r="Q2879" s="355" t="s">
        <v>794</v>
      </c>
      <c r="R2879" s="355">
        <f>M2879*P2879</f>
        <v>1395</v>
      </c>
    </row>
    <row r="2880" spans="1:18" ht="30" customHeight="1">
      <c r="A2880" s="268"/>
      <c r="E2880" s="355"/>
      <c r="F2880" s="355"/>
      <c r="G2880" s="355"/>
      <c r="H2880" s="355" t="s">
        <v>2370</v>
      </c>
      <c r="I2880" s="355"/>
      <c r="J2880" s="355"/>
      <c r="K2880" s="355">
        <f>K2851</f>
        <v>136</v>
      </c>
      <c r="L2880" s="355"/>
      <c r="M2880" s="355">
        <v>45</v>
      </c>
      <c r="N2880" s="355" t="s">
        <v>794</v>
      </c>
      <c r="O2880" s="354" t="s">
        <v>2279</v>
      </c>
      <c r="P2880" s="355">
        <f t="shared" ref="P2880:P2887" si="94">P2847</f>
        <v>19.100000000000001</v>
      </c>
      <c r="Q2880" s="355" t="s">
        <v>2280</v>
      </c>
      <c r="R2880" s="355">
        <f>M2880*P2880</f>
        <v>859.5</v>
      </c>
    </row>
    <row r="2881" spans="1:20" ht="30" customHeight="1">
      <c r="A2881" s="268"/>
      <c r="E2881" s="355"/>
      <c r="F2881" s="355"/>
      <c r="G2881" s="355"/>
      <c r="H2881" s="425" t="s">
        <v>4758</v>
      </c>
      <c r="I2881" s="425"/>
      <c r="J2881" s="425"/>
      <c r="K2881" s="425">
        <f>16.5*10</f>
        <v>165</v>
      </c>
      <c r="L2881" s="355"/>
      <c r="M2881" s="355">
        <v>75</v>
      </c>
      <c r="N2881" s="355" t="s">
        <v>1337</v>
      </c>
      <c r="O2881" s="355" t="s">
        <v>3325</v>
      </c>
      <c r="P2881" s="355">
        <f t="shared" si="94"/>
        <v>3.45</v>
      </c>
      <c r="Q2881" s="355" t="s">
        <v>3326</v>
      </c>
      <c r="R2881" s="355">
        <f>M2881*P2881/12</f>
        <v>21.56</v>
      </c>
    </row>
    <row r="2882" spans="1:20" ht="30" customHeight="1">
      <c r="A2882" s="268"/>
      <c r="E2882" s="355"/>
      <c r="F2882" s="355"/>
      <c r="G2882" s="355"/>
      <c r="H2882" s="355" t="s">
        <v>2187</v>
      </c>
      <c r="I2882" s="355"/>
      <c r="J2882" s="355"/>
      <c r="K2882" s="355">
        <v>57.2</v>
      </c>
      <c r="L2882" s="355"/>
      <c r="M2882" s="355">
        <v>12</v>
      </c>
      <c r="N2882" s="355" t="s">
        <v>1337</v>
      </c>
      <c r="O2882" s="355" t="s">
        <v>2281</v>
      </c>
      <c r="P2882" s="355">
        <f t="shared" si="94"/>
        <v>3</v>
      </c>
      <c r="Q2882" s="355" t="s">
        <v>1337</v>
      </c>
      <c r="R2882" s="355">
        <f>M2882*P2882</f>
        <v>36</v>
      </c>
    </row>
    <row r="2883" spans="1:20" ht="39.950000000000003" customHeight="1">
      <c r="A2883" s="268"/>
      <c r="E2883" s="355"/>
      <c r="F2883" s="355"/>
      <c r="G2883" s="355"/>
      <c r="H2883" s="360" t="s">
        <v>2348</v>
      </c>
      <c r="I2883" s="355"/>
      <c r="J2883" s="355"/>
      <c r="K2883" s="361">
        <f>K2879-K2880+K2881+K2882</f>
        <v>15033.35</v>
      </c>
      <c r="L2883" s="355">
        <f>1344*10</f>
        <v>13440</v>
      </c>
      <c r="M2883" s="355">
        <v>6</v>
      </c>
      <c r="N2883" s="355" t="s">
        <v>1337</v>
      </c>
      <c r="O2883" s="355" t="s">
        <v>3323</v>
      </c>
      <c r="P2883" s="355">
        <f t="shared" si="94"/>
        <v>1.28</v>
      </c>
      <c r="Q2883" s="355" t="s">
        <v>1337</v>
      </c>
      <c r="R2883" s="355">
        <f>M2883*P2883</f>
        <v>7.68</v>
      </c>
    </row>
    <row r="2884" spans="1:20" ht="39.950000000000003" customHeight="1">
      <c r="A2884" s="268"/>
      <c r="E2884" s="355"/>
      <c r="F2884" s="355"/>
      <c r="G2884" s="355"/>
      <c r="H2884" s="362" t="s">
        <v>2349</v>
      </c>
      <c r="I2884" s="355"/>
      <c r="J2884" s="355"/>
      <c r="K2884" s="363">
        <f>K2883/10</f>
        <v>1503.34</v>
      </c>
      <c r="L2884" s="355">
        <f>L2883-K2883</f>
        <v>-1593.35</v>
      </c>
      <c r="M2884" s="355">
        <v>150</v>
      </c>
      <c r="N2884" s="355" t="s">
        <v>1375</v>
      </c>
      <c r="O2884" s="355" t="str">
        <f>O2851</f>
        <v>Teakwood plugs 1.5"x1"x2"</v>
      </c>
      <c r="P2884" s="355">
        <f t="shared" si="94"/>
        <v>287</v>
      </c>
      <c r="Q2884" s="355">
        <v>1000</v>
      </c>
      <c r="R2884" s="355">
        <f>(M2884*P2884)/1000</f>
        <v>43.05</v>
      </c>
    </row>
    <row r="2885" spans="1:20">
      <c r="A2885" s="268"/>
      <c r="E2885" s="355"/>
      <c r="F2885" s="355"/>
      <c r="G2885" s="355"/>
      <c r="H2885" s="355"/>
      <c r="I2885" s="355"/>
      <c r="J2885" s="355"/>
      <c r="K2885" s="355"/>
      <c r="L2885" s="355"/>
      <c r="M2885" s="358">
        <v>7</v>
      </c>
      <c r="N2885" s="355" t="s">
        <v>1375</v>
      </c>
      <c r="O2885" s="355" t="s">
        <v>2556</v>
      </c>
      <c r="P2885" s="355">
        <f t="shared" si="94"/>
        <v>3.43</v>
      </c>
      <c r="Q2885" s="355" t="s">
        <v>1337</v>
      </c>
      <c r="R2885" s="355">
        <f>M2885*P2885</f>
        <v>24.01</v>
      </c>
    </row>
    <row r="2886" spans="1:20" ht="24.95" customHeight="1">
      <c r="A2886" s="268"/>
      <c r="E2886" s="355"/>
      <c r="F2886" s="355"/>
      <c r="G2886" s="355"/>
      <c r="H2886" s="363" t="s">
        <v>2944</v>
      </c>
      <c r="I2886" s="355"/>
      <c r="J2886" s="355"/>
      <c r="K2886" s="355"/>
      <c r="L2886" s="355"/>
      <c r="M2886" s="355">
        <v>6</v>
      </c>
      <c r="N2886" s="355" t="s">
        <v>1337</v>
      </c>
      <c r="O2886" s="355" t="s">
        <v>2553</v>
      </c>
      <c r="P2886" s="355">
        <f t="shared" si="94"/>
        <v>13.6</v>
      </c>
      <c r="Q2886" s="355" t="s">
        <v>1341</v>
      </c>
      <c r="R2886" s="355">
        <f>M2886*P2886</f>
        <v>81.599999999999994</v>
      </c>
    </row>
    <row r="2887" spans="1:20" ht="56.25" customHeight="1">
      <c r="A2887" s="268"/>
      <c r="E2887" s="355"/>
      <c r="F2887" s="355"/>
      <c r="G2887" s="355"/>
      <c r="H2887" s="353" t="s">
        <v>2945</v>
      </c>
      <c r="I2887" s="355"/>
      <c r="J2887" s="355"/>
      <c r="K2887" s="355"/>
      <c r="L2887" s="355"/>
      <c r="M2887" s="355">
        <v>6</v>
      </c>
      <c r="N2887" s="355" t="s">
        <v>1337</v>
      </c>
      <c r="O2887" s="355" t="str">
        <f>O2854</f>
        <v>5 amps flush type switch p-118, Part-C,1 a ( 192.6/12=16.05)</v>
      </c>
      <c r="P2887" s="355">
        <f t="shared" si="94"/>
        <v>16.05</v>
      </c>
      <c r="Q2887" s="355" t="s">
        <v>3326</v>
      </c>
      <c r="R2887" s="355">
        <f>(M2887*P2887)</f>
        <v>96.3</v>
      </c>
    </row>
    <row r="2888" spans="1:20">
      <c r="A2888" s="268"/>
      <c r="E2888" s="355"/>
      <c r="F2888" s="355"/>
      <c r="G2888" s="355"/>
      <c r="H2888" s="355"/>
      <c r="I2888" s="355"/>
      <c r="J2888" s="355"/>
      <c r="K2888" s="355"/>
      <c r="L2888" s="355"/>
      <c r="M2888" s="355">
        <v>1</v>
      </c>
      <c r="N2888" s="355" t="s">
        <v>2561</v>
      </c>
      <c r="O2888" s="355" t="str">
        <f>O2855</f>
        <v>Brass screws  ( 40 mm x 6 no) P-85 Part-L c</v>
      </c>
      <c r="P2888" s="355">
        <f>P2855</f>
        <v>68.8</v>
      </c>
      <c r="Q2888" s="355" t="s">
        <v>2561</v>
      </c>
      <c r="R2888" s="355">
        <f>(M2888*P2888)</f>
        <v>68.8</v>
      </c>
    </row>
    <row r="2889" spans="1:20" ht="57.75" customHeight="1">
      <c r="A2889" s="268"/>
      <c r="E2889" s="355"/>
      <c r="F2889" s="355"/>
      <c r="G2889" s="355"/>
      <c r="H2889" s="354" t="s">
        <v>3407</v>
      </c>
      <c r="I2889" s="355"/>
      <c r="J2889" s="355"/>
      <c r="K2889" s="355"/>
      <c r="L2889" s="355"/>
      <c r="M2889" s="355">
        <v>6</v>
      </c>
      <c r="N2889" s="355" t="s">
        <v>1375</v>
      </c>
      <c r="O2889" s="354" t="s">
        <v>4597</v>
      </c>
      <c r="P2889" s="758">
        <v>52.4</v>
      </c>
      <c r="Q2889" s="355" t="s">
        <v>1656</v>
      </c>
      <c r="R2889" s="355">
        <f>M2889*P2889</f>
        <v>314.39999999999998</v>
      </c>
    </row>
    <row r="2890" spans="1:20" ht="30" customHeight="1">
      <c r="A2890" s="268"/>
      <c r="E2890" s="355"/>
      <c r="F2890" s="355"/>
      <c r="G2890" s="355"/>
      <c r="H2890" s="355" t="s">
        <v>3331</v>
      </c>
      <c r="I2890" s="355"/>
      <c r="J2890" s="355"/>
      <c r="K2890" s="355">
        <f>K2879</f>
        <v>14947.15</v>
      </c>
      <c r="L2890" s="355"/>
      <c r="M2890" s="359">
        <v>0.16666666666666666</v>
      </c>
      <c r="N2890" s="355" t="s">
        <v>3241</v>
      </c>
      <c r="O2890" s="355" t="s">
        <v>364</v>
      </c>
      <c r="P2890" s="355">
        <f>P2857</f>
        <v>298</v>
      </c>
      <c r="Q2890" s="355" t="s">
        <v>3241</v>
      </c>
      <c r="R2890" s="355">
        <f>M2890*P2890</f>
        <v>49.67</v>
      </c>
    </row>
    <row r="2891" spans="1:20" ht="30" customHeight="1">
      <c r="A2891" s="268"/>
      <c r="E2891" s="355"/>
      <c r="F2891" s="355"/>
      <c r="G2891" s="355"/>
      <c r="H2891" s="355" t="s">
        <v>2919</v>
      </c>
      <c r="I2891" s="355"/>
      <c r="J2891" s="355"/>
      <c r="K2891" s="355">
        <f>K2880</f>
        <v>136</v>
      </c>
      <c r="L2891" s="355"/>
      <c r="M2891" s="355"/>
      <c r="N2891" s="355"/>
      <c r="O2891" s="276"/>
      <c r="P2891" s="355"/>
      <c r="Q2891" s="355"/>
      <c r="R2891" s="355"/>
    </row>
    <row r="2892" spans="1:20" ht="30" customHeight="1">
      <c r="A2892" s="268"/>
      <c r="E2892" s="355"/>
      <c r="F2892" s="355"/>
      <c r="G2892" s="355"/>
      <c r="H2892" s="355" t="s">
        <v>2920</v>
      </c>
      <c r="I2892" s="355"/>
      <c r="J2892" s="355"/>
      <c r="K2892" s="355">
        <f>K2852</f>
        <v>34.299999999999997</v>
      </c>
      <c r="L2892" s="355"/>
      <c r="M2892" s="355">
        <v>6</v>
      </c>
      <c r="N2892" s="355" t="s">
        <v>3243</v>
      </c>
      <c r="O2892" s="355" t="s">
        <v>878</v>
      </c>
      <c r="P2892" s="355">
        <f>R2877</f>
        <v>1098.17</v>
      </c>
      <c r="Q2892" s="355" t="s">
        <v>3243</v>
      </c>
      <c r="R2892" s="355">
        <f>M2892*P2892</f>
        <v>6589.02</v>
      </c>
    </row>
    <row r="2893" spans="1:20" ht="30" customHeight="1">
      <c r="A2893" s="268"/>
      <c r="E2893" s="355"/>
      <c r="F2893" s="355"/>
      <c r="G2893" s="355"/>
      <c r="H2893" s="355" t="s">
        <v>2921</v>
      </c>
      <c r="I2893" s="355"/>
      <c r="J2893" s="355"/>
      <c r="K2893" s="355">
        <f>K2850</f>
        <v>160.5</v>
      </c>
      <c r="L2893" s="355"/>
      <c r="M2893" s="355"/>
      <c r="N2893" s="355" t="s">
        <v>66</v>
      </c>
      <c r="O2893" s="355" t="s">
        <v>3245</v>
      </c>
      <c r="P2893" s="355"/>
      <c r="Q2893" s="355"/>
      <c r="R2893" s="355">
        <v>17.45</v>
      </c>
    </row>
    <row r="2894" spans="1:20" ht="30" customHeight="1">
      <c r="A2894" s="268"/>
      <c r="E2894" s="355"/>
      <c r="F2894" s="355"/>
      <c r="G2894" s="355"/>
      <c r="H2894" s="355" t="s">
        <v>4759</v>
      </c>
      <c r="I2894" s="355"/>
      <c r="J2894" s="355"/>
      <c r="K2894" s="356">
        <f>10*41.3</f>
        <v>413</v>
      </c>
      <c r="L2894" s="355"/>
      <c r="M2894" s="355"/>
      <c r="N2894" s="355"/>
      <c r="P2894" s="355"/>
      <c r="Q2894" s="355"/>
      <c r="R2894" s="355"/>
    </row>
    <row r="2895" spans="1:20" ht="30" customHeight="1">
      <c r="A2895" s="268"/>
      <c r="E2895" s="355"/>
      <c r="F2895" s="355"/>
      <c r="G2895" s="355"/>
      <c r="H2895" s="355" t="s">
        <v>4949</v>
      </c>
      <c r="I2895" s="355"/>
      <c r="J2895" s="355"/>
      <c r="K2895" s="950">
        <f>10*16.5</f>
        <v>165</v>
      </c>
      <c r="L2895" s="355"/>
      <c r="M2895" s="355"/>
      <c r="N2895" s="355"/>
      <c r="O2895" s="360" t="s">
        <v>3247</v>
      </c>
      <c r="P2895" s="355"/>
      <c r="Q2895" s="355"/>
      <c r="R2895" s="361">
        <f>SUM(R2879:R2894)</f>
        <v>9604.0400000000009</v>
      </c>
      <c r="T2895" s="182">
        <f>T2896-R2895</f>
        <v>-2462.2399999999998</v>
      </c>
    </row>
    <row r="2896" spans="1:20" ht="30" customHeight="1">
      <c r="A2896" s="268"/>
      <c r="E2896" s="355"/>
      <c r="F2896" s="355"/>
      <c r="G2896" s="355"/>
      <c r="H2896" s="355" t="s">
        <v>4760</v>
      </c>
      <c r="I2896" s="355"/>
      <c r="J2896" s="355"/>
      <c r="K2896" s="356">
        <f>16.5*10</f>
        <v>165</v>
      </c>
      <c r="L2896" s="355"/>
      <c r="M2896" s="355"/>
      <c r="N2896" s="355"/>
      <c r="O2896" s="362" t="s">
        <v>3244</v>
      </c>
      <c r="P2896" s="355"/>
      <c r="Q2896" s="355"/>
      <c r="R2896" s="363">
        <f>R2895/6</f>
        <v>1600.67</v>
      </c>
      <c r="S2896" s="182" t="s">
        <v>4215</v>
      </c>
      <c r="T2896" s="182">
        <f>1190.3*6</f>
        <v>7141.8</v>
      </c>
    </row>
    <row r="2897" spans="1:19" ht="30" customHeight="1">
      <c r="A2897" s="268"/>
      <c r="E2897" s="355"/>
      <c r="F2897" s="355"/>
      <c r="G2897" s="355"/>
      <c r="H2897" s="355" t="s">
        <v>2187</v>
      </c>
      <c r="I2897" s="355"/>
      <c r="J2897" s="355"/>
      <c r="K2897" s="355">
        <v>26.3</v>
      </c>
      <c r="L2897" s="355"/>
      <c r="M2897" s="355"/>
      <c r="S2897" s="182">
        <f>1152*6</f>
        <v>6912</v>
      </c>
    </row>
    <row r="2898" spans="1:19" ht="25.5" customHeight="1">
      <c r="A2898" s="268"/>
      <c r="E2898" s="355"/>
      <c r="F2898" s="355"/>
      <c r="G2898" s="355"/>
      <c r="H2898" s="360" t="s">
        <v>2348</v>
      </c>
      <c r="I2898" s="355"/>
      <c r="J2898" s="355"/>
      <c r="K2898" s="361">
        <f>(K2890-K2891-K2892-K2893)+(K2894+K2895+K2896+K2897)</f>
        <v>15385.65</v>
      </c>
      <c r="L2898" s="355">
        <f>1372*10</f>
        <v>13720</v>
      </c>
      <c r="M2898" s="355"/>
      <c r="S2898" s="182">
        <f>S2897-R2895</f>
        <v>-2692.04</v>
      </c>
    </row>
    <row r="2899" spans="1:19" ht="27.75" customHeight="1">
      <c r="A2899" s="268"/>
      <c r="E2899" s="355"/>
      <c r="F2899" s="355"/>
      <c r="G2899" s="355"/>
      <c r="H2899" s="362" t="s">
        <v>3096</v>
      </c>
      <c r="I2899" s="355"/>
      <c r="J2899" s="355"/>
      <c r="K2899" s="363">
        <f>K2898/10</f>
        <v>1538.57</v>
      </c>
      <c r="L2899" s="355">
        <f>L2898-K2898</f>
        <v>-1665.65</v>
      </c>
      <c r="M2899" s="355"/>
    </row>
    <row r="2900" spans="1:19">
      <c r="A2900" s="268"/>
      <c r="E2900" s="355"/>
      <c r="F2900" s="355"/>
      <c r="G2900" s="355"/>
      <c r="H2900" s="355"/>
      <c r="I2900" s="355"/>
      <c r="J2900" s="355"/>
      <c r="K2900" s="355"/>
      <c r="L2900" s="355"/>
      <c r="M2900" s="355"/>
    </row>
    <row r="2901" spans="1:19">
      <c r="A2901" s="268"/>
      <c r="E2901" s="355"/>
      <c r="F2901" s="355"/>
      <c r="G2901" s="355"/>
      <c r="H2901" s="363" t="s">
        <v>3097</v>
      </c>
      <c r="I2901" s="355"/>
      <c r="J2901" s="355"/>
      <c r="K2901" s="355"/>
      <c r="L2901" s="355"/>
      <c r="M2901" s="355"/>
    </row>
    <row r="2902" spans="1:19">
      <c r="A2902" s="268"/>
      <c r="E2902" s="355"/>
      <c r="F2902" s="355"/>
      <c r="G2902" s="355"/>
      <c r="H2902" s="363" t="s">
        <v>3098</v>
      </c>
      <c r="I2902" s="355"/>
      <c r="J2902" s="355"/>
      <c r="K2902" s="355"/>
      <c r="L2902" s="355"/>
      <c r="M2902" s="355"/>
    </row>
    <row r="2903" spans="1:19" ht="141.75">
      <c r="A2903" s="268"/>
      <c r="E2903" s="355"/>
      <c r="F2903" s="355"/>
      <c r="G2903" s="355"/>
      <c r="H2903" s="354" t="s">
        <v>2707</v>
      </c>
      <c r="I2903" s="355"/>
      <c r="J2903" s="355"/>
      <c r="K2903" s="355"/>
      <c r="L2903" s="355"/>
      <c r="M2903" s="355"/>
    </row>
    <row r="2904" spans="1:19">
      <c r="A2904" s="268"/>
      <c r="E2904" s="355"/>
      <c r="F2904" s="355"/>
      <c r="G2904" s="355"/>
      <c r="H2904" s="355"/>
      <c r="I2904" s="355"/>
      <c r="J2904" s="355"/>
      <c r="K2904" s="355"/>
      <c r="L2904" s="355"/>
      <c r="M2904" s="355"/>
    </row>
    <row r="2905" spans="1:19" ht="31.5">
      <c r="A2905" s="268"/>
      <c r="E2905" s="355"/>
      <c r="F2905" s="355">
        <v>90</v>
      </c>
      <c r="G2905" s="355" t="s">
        <v>794</v>
      </c>
      <c r="H2905" s="276" t="str">
        <f t="shared" ref="H2905:I2908" si="95">H2843</f>
        <v>1.5 sqmm copper PVC insulated unsheathed single core cable (P-125 it-2/b)</v>
      </c>
      <c r="I2905" s="355">
        <f t="shared" si="95"/>
        <v>15.5</v>
      </c>
      <c r="J2905" s="355" t="s">
        <v>3239</v>
      </c>
      <c r="K2905" s="355">
        <f>F2905*I2905</f>
        <v>1395</v>
      </c>
      <c r="L2905" s="355"/>
      <c r="M2905" s="355"/>
    </row>
    <row r="2906" spans="1:19" ht="31.5">
      <c r="A2906" s="268"/>
      <c r="E2906" s="355"/>
      <c r="F2906" s="355">
        <v>45</v>
      </c>
      <c r="G2906" s="355" t="s">
        <v>794</v>
      </c>
      <c r="H2906" s="354" t="str">
        <f t="shared" si="95"/>
        <v>PVC rigid conduit pipe 19 mm / 20mm heavy duty with ISI mark p-128 part -I IX-1 b</v>
      </c>
      <c r="I2906" s="355">
        <f t="shared" si="95"/>
        <v>19.100000000000001</v>
      </c>
      <c r="J2906" s="355" t="s">
        <v>794</v>
      </c>
      <c r="K2906" s="355">
        <f t="shared" ref="K2906:K2917" si="96">F2906*I2906</f>
        <v>859.5</v>
      </c>
      <c r="L2906" s="355"/>
      <c r="M2906" s="355"/>
    </row>
    <row r="2907" spans="1:19">
      <c r="A2907" s="268"/>
      <c r="E2907" s="355"/>
      <c r="F2907" s="355">
        <v>20</v>
      </c>
      <c r="G2907" s="355" t="s">
        <v>1337</v>
      </c>
      <c r="H2907" s="355" t="str">
        <f t="shared" si="95"/>
        <v>19 mm PVC rigid bends - p-128 part -I IX-2b</v>
      </c>
      <c r="I2907" s="355">
        <f t="shared" si="95"/>
        <v>3</v>
      </c>
      <c r="J2907" s="355" t="s">
        <v>1337</v>
      </c>
      <c r="K2907" s="355">
        <f t="shared" si="96"/>
        <v>60</v>
      </c>
      <c r="L2907" s="355"/>
      <c r="M2907" s="355"/>
    </row>
    <row r="2908" spans="1:19">
      <c r="A2908" s="268"/>
      <c r="E2908" s="355"/>
      <c r="F2908" s="355">
        <v>10</v>
      </c>
      <c r="G2908" s="355" t="s">
        <v>1337</v>
      </c>
      <c r="H2908" s="355" t="str">
        <f t="shared" si="95"/>
        <v>19 mm PVC rigid tees (p-129 4b, 15.30/12=1.14)</v>
      </c>
      <c r="I2908" s="355">
        <f t="shared" si="95"/>
        <v>1.28</v>
      </c>
      <c r="J2908" s="355" t="s">
        <v>1337</v>
      </c>
      <c r="K2908" s="355">
        <f t="shared" si="96"/>
        <v>12.8</v>
      </c>
      <c r="L2908" s="355"/>
      <c r="M2908" s="355"/>
    </row>
    <row r="2909" spans="1:19">
      <c r="A2909" s="268"/>
      <c r="E2909" s="355"/>
      <c r="F2909" s="355">
        <v>10</v>
      </c>
      <c r="G2909" s="355" t="s">
        <v>1337</v>
      </c>
      <c r="H2909" s="355" t="str">
        <f>H2852</f>
        <v>19 mm PVC junction box  ( p-129,6-b( 41.20/12=3.43)</v>
      </c>
      <c r="I2909" s="355">
        <f>I2852</f>
        <v>3.43</v>
      </c>
      <c r="J2909" s="355" t="s">
        <v>1337</v>
      </c>
      <c r="K2909" s="355">
        <f t="shared" si="96"/>
        <v>34.299999999999997</v>
      </c>
      <c r="L2909" s="355"/>
      <c r="M2909" s="355"/>
    </row>
    <row r="2910" spans="1:19">
      <c r="A2910" s="268"/>
      <c r="E2910" s="355"/>
      <c r="F2910" s="355">
        <v>10</v>
      </c>
      <c r="G2910" s="355" t="s">
        <v>1337</v>
      </c>
      <c r="H2910" s="355" t="str">
        <f>H2851</f>
        <v>Ceiling rose p-116 it-27</v>
      </c>
      <c r="I2910" s="355">
        <f>I2851</f>
        <v>13.6</v>
      </c>
      <c r="J2910" s="355" t="s">
        <v>1337</v>
      </c>
      <c r="K2910" s="355">
        <f t="shared" si="96"/>
        <v>136</v>
      </c>
      <c r="L2910" s="355"/>
      <c r="M2910" s="355"/>
    </row>
    <row r="2911" spans="1:19">
      <c r="A2911" s="268"/>
      <c r="E2911" s="355"/>
      <c r="F2911" s="355">
        <v>10</v>
      </c>
      <c r="G2911" s="355" t="s">
        <v>1337</v>
      </c>
      <c r="H2911" s="355" t="str">
        <f>H2850</f>
        <v>5 amps flush type switch p-118, Part-C,1 a ( 192.6/12=16.05)</v>
      </c>
      <c r="I2911" s="355">
        <f>I2850</f>
        <v>16.05</v>
      </c>
      <c r="J2911" s="355" t="s">
        <v>1337</v>
      </c>
      <c r="K2911" s="355">
        <f t="shared" si="96"/>
        <v>160.5</v>
      </c>
      <c r="L2911" s="355"/>
      <c r="M2911" s="355"/>
    </row>
    <row r="2912" spans="1:19">
      <c r="A2912" s="268"/>
      <c r="E2912" s="355"/>
      <c r="F2912" s="355">
        <v>10</v>
      </c>
      <c r="G2912" s="355" t="s">
        <v>1337</v>
      </c>
      <c r="H2912" s="355" t="s">
        <v>4761</v>
      </c>
      <c r="I2912" s="356">
        <v>102.7</v>
      </c>
      <c r="J2912" s="355" t="s">
        <v>1337</v>
      </c>
      <c r="K2912" s="355">
        <f t="shared" si="96"/>
        <v>1027</v>
      </c>
      <c r="L2912" s="355"/>
      <c r="M2912" s="355"/>
    </row>
    <row r="2913" spans="1:13" ht="24" customHeight="1">
      <c r="A2913" s="268"/>
      <c r="E2913" s="355"/>
      <c r="F2913" s="355">
        <v>0.6</v>
      </c>
      <c r="G2913" s="355" t="s">
        <v>2199</v>
      </c>
      <c r="H2913" s="355" t="str">
        <f>H2855</f>
        <v>3 mm thick laminated Hylem sheet p-128 it-7a part-I</v>
      </c>
      <c r="I2913" s="355">
        <f>I2849</f>
        <v>630</v>
      </c>
      <c r="J2913" s="355" t="s">
        <v>2199</v>
      </c>
      <c r="K2913" s="355">
        <f t="shared" si="96"/>
        <v>378</v>
      </c>
      <c r="L2913" s="355"/>
      <c r="M2913" s="355"/>
    </row>
    <row r="2914" spans="1:13">
      <c r="A2914" s="268"/>
      <c r="E2914" s="355"/>
      <c r="F2914" s="355">
        <v>1</v>
      </c>
      <c r="G2914" s="355" t="s">
        <v>1337</v>
      </c>
      <c r="H2914" s="355" t="s">
        <v>2756</v>
      </c>
      <c r="I2914" s="355">
        <f>I2854</f>
        <v>63.1</v>
      </c>
      <c r="J2914" s="355" t="s">
        <v>1337</v>
      </c>
      <c r="K2914" s="355">
        <f t="shared" si="96"/>
        <v>63.1</v>
      </c>
      <c r="L2914" s="355"/>
      <c r="M2914" s="355"/>
    </row>
    <row r="2915" spans="1:13">
      <c r="A2915" s="268"/>
      <c r="E2915" s="355"/>
      <c r="F2915" s="358">
        <v>1.4999999999999999E-2</v>
      </c>
      <c r="G2915" s="355" t="s">
        <v>2199</v>
      </c>
      <c r="H2915" s="355" t="str">
        <f>H2913</f>
        <v>3 mm thick laminated Hylem sheet p-128 it-7a part-I</v>
      </c>
      <c r="I2915" s="355">
        <f>I2913</f>
        <v>630</v>
      </c>
      <c r="J2915" s="355" t="s">
        <v>2199</v>
      </c>
      <c r="K2915" s="355">
        <f t="shared" si="96"/>
        <v>9.4499999999999993</v>
      </c>
      <c r="L2915" s="355"/>
      <c r="M2915" s="355"/>
    </row>
    <row r="2916" spans="1:13">
      <c r="A2916" s="268"/>
      <c r="E2916" s="355"/>
      <c r="F2916" s="355">
        <v>1.25</v>
      </c>
      <c r="G2916" s="355" t="s">
        <v>2557</v>
      </c>
      <c r="H2916" s="355" t="s">
        <v>364</v>
      </c>
      <c r="I2916" s="355">
        <f>I2853</f>
        <v>298</v>
      </c>
      <c r="J2916" s="355" t="s">
        <v>2557</v>
      </c>
      <c r="K2916" s="355">
        <f t="shared" si="96"/>
        <v>372.5</v>
      </c>
      <c r="L2916" s="355"/>
      <c r="M2916" s="355"/>
    </row>
    <row r="2917" spans="1:13" ht="31.5">
      <c r="A2917" s="268"/>
      <c r="E2917" s="355"/>
      <c r="F2917" s="355">
        <v>45</v>
      </c>
      <c r="G2917" s="355" t="s">
        <v>794</v>
      </c>
      <c r="H2917" s="276" t="str">
        <f>H2856</f>
        <v>1.5 sqmm copper PVC insulated unsheathed single core cable (P-123 it-2/b)</v>
      </c>
      <c r="I2917" s="355">
        <f>I2843</f>
        <v>15.5</v>
      </c>
      <c r="J2917" s="355" t="s">
        <v>3239</v>
      </c>
      <c r="K2917" s="355">
        <f t="shared" si="96"/>
        <v>697.5</v>
      </c>
      <c r="L2917" s="355"/>
      <c r="M2917" s="355"/>
    </row>
    <row r="2918" spans="1:13">
      <c r="A2918" s="268"/>
      <c r="E2918" s="355"/>
      <c r="F2918" s="355" t="s">
        <v>625</v>
      </c>
      <c r="G2918" s="355"/>
      <c r="H2918" s="355" t="s">
        <v>878</v>
      </c>
      <c r="I2918" s="355"/>
      <c r="J2918" s="355"/>
      <c r="K2918" s="355">
        <f>K2873</f>
        <v>10421</v>
      </c>
      <c r="L2918" s="355"/>
      <c r="M2918" s="355"/>
    </row>
    <row r="2919" spans="1:13">
      <c r="A2919" s="268"/>
      <c r="E2919" s="355"/>
      <c r="F2919" s="355" t="s">
        <v>625</v>
      </c>
      <c r="G2919" s="355"/>
      <c r="H2919" s="355" t="s">
        <v>2187</v>
      </c>
      <c r="I2919" s="355"/>
      <c r="J2919" s="355"/>
      <c r="K2919" s="355">
        <v>27.35</v>
      </c>
      <c r="L2919" s="355"/>
      <c r="M2919" s="355"/>
    </row>
    <row r="2920" spans="1:13">
      <c r="A2920" s="268"/>
      <c r="E2920" s="355"/>
      <c r="F2920" s="355"/>
      <c r="G2920" s="355"/>
      <c r="H2920" s="360" t="s">
        <v>2348</v>
      </c>
      <c r="I2920" s="355"/>
      <c r="J2920" s="355"/>
      <c r="K2920" s="361">
        <f>SUM(K2905:K2919)</f>
        <v>15654</v>
      </c>
      <c r="L2920" s="355">
        <f>1398*10</f>
        <v>13980</v>
      </c>
      <c r="M2920" s="355">
        <f>11920-K2920</f>
        <v>-3734</v>
      </c>
    </row>
    <row r="2921" spans="1:13">
      <c r="A2921" s="268"/>
      <c r="E2921" s="355"/>
      <c r="F2921" s="355"/>
      <c r="G2921" s="355"/>
      <c r="H2921" s="362" t="s">
        <v>3096</v>
      </c>
      <c r="I2921" s="355"/>
      <c r="J2921" s="355"/>
      <c r="K2921" s="363">
        <f>K2920/10</f>
        <v>1565.4</v>
      </c>
      <c r="L2921" s="355">
        <f>L2920-K2920</f>
        <v>-1674</v>
      </c>
      <c r="M2921" s="355"/>
    </row>
    <row r="2922" spans="1:13">
      <c r="A2922" s="268"/>
      <c r="E2922" s="355"/>
      <c r="F2922" s="355"/>
      <c r="G2922" s="355"/>
      <c r="H2922" s="363" t="s">
        <v>3406</v>
      </c>
      <c r="I2922" s="355"/>
      <c r="J2922" s="355"/>
      <c r="K2922" s="363"/>
      <c r="L2922" s="355">
        <f>L2921*10</f>
        <v>-16740</v>
      </c>
      <c r="M2922" s="355"/>
    </row>
    <row r="2923" spans="1:13">
      <c r="A2923" s="268"/>
      <c r="E2923" s="355"/>
      <c r="F2923" s="355"/>
      <c r="G2923" s="355"/>
      <c r="H2923" s="368" t="s">
        <v>2757</v>
      </c>
      <c r="I2923" s="355">
        <f>90</f>
        <v>90</v>
      </c>
      <c r="J2923" s="355"/>
      <c r="K2923" s="363"/>
      <c r="L2923" s="355"/>
      <c r="M2923" s="355"/>
    </row>
    <row r="2924" spans="1:13">
      <c r="A2924" s="268"/>
      <c r="E2924" s="355"/>
      <c r="F2924" s="355"/>
      <c r="G2924" s="355"/>
      <c r="H2924" s="368" t="s">
        <v>2758</v>
      </c>
      <c r="I2924" s="369">
        <v>8.2500000000000004E-2</v>
      </c>
      <c r="J2924" s="355"/>
      <c r="K2924" s="363"/>
      <c r="L2924" s="355"/>
      <c r="M2924" s="355"/>
    </row>
    <row r="2925" spans="1:13" ht="18">
      <c r="A2925" s="268"/>
      <c r="E2925" s="355"/>
      <c r="F2925" s="355"/>
      <c r="G2925" s="355"/>
      <c r="H2925" s="368" t="s">
        <v>2770</v>
      </c>
      <c r="I2925" s="358">
        <v>0.13500000000000001</v>
      </c>
      <c r="J2925" s="355"/>
      <c r="K2925" s="363">
        <f>I2923*I2925/I2924</f>
        <v>147.27000000000001</v>
      </c>
      <c r="L2925" s="355"/>
      <c r="M2925" s="355"/>
    </row>
    <row r="2926" spans="1:13">
      <c r="A2926" s="268"/>
      <c r="E2926" s="355"/>
      <c r="F2926" s="355"/>
      <c r="G2926" s="355"/>
      <c r="H2926" s="362"/>
      <c r="I2926" s="355"/>
      <c r="J2926" s="355"/>
      <c r="K2926" s="363"/>
      <c r="L2926" s="355"/>
      <c r="M2926" s="355"/>
    </row>
    <row r="2927" spans="1:13">
      <c r="A2927" s="268"/>
      <c r="E2927" s="355"/>
      <c r="F2927" s="355"/>
      <c r="G2927" s="355"/>
      <c r="H2927" s="355"/>
      <c r="I2927" s="355"/>
      <c r="J2927" s="355"/>
      <c r="K2927" s="355"/>
      <c r="L2927" s="355"/>
      <c r="M2927" s="355"/>
    </row>
    <row r="2928" spans="1:13">
      <c r="A2928" s="268"/>
      <c r="E2928" s="355"/>
      <c r="F2928" s="355"/>
      <c r="G2928" s="355"/>
      <c r="H2928" s="363" t="s">
        <v>2759</v>
      </c>
      <c r="I2928" s="355"/>
      <c r="J2928" s="355"/>
      <c r="K2928" s="355"/>
      <c r="L2928" s="355"/>
      <c r="M2928" s="355"/>
    </row>
    <row r="2929" spans="1:13">
      <c r="A2929" s="268"/>
      <c r="E2929" s="355"/>
      <c r="F2929" s="355"/>
      <c r="G2929" s="355"/>
      <c r="H2929" s="363" t="s">
        <v>2760</v>
      </c>
      <c r="I2929" s="355"/>
      <c r="J2929" s="355"/>
      <c r="K2929" s="355"/>
      <c r="L2929" s="355"/>
      <c r="M2929" s="355"/>
    </row>
    <row r="2930" spans="1:13" ht="177.75" customHeight="1">
      <c r="A2930" s="268"/>
      <c r="E2930" s="355"/>
      <c r="F2930" s="355"/>
      <c r="G2930" s="355"/>
      <c r="H2930" s="354" t="s">
        <v>2365</v>
      </c>
      <c r="I2930" s="355"/>
      <c r="J2930" s="355"/>
      <c r="K2930" s="355"/>
      <c r="L2930" s="355"/>
      <c r="M2930" s="355"/>
    </row>
    <row r="2931" spans="1:13">
      <c r="A2931" s="268"/>
      <c r="E2931" s="355"/>
      <c r="F2931" s="355">
        <v>90</v>
      </c>
      <c r="G2931" s="355" t="s">
        <v>794</v>
      </c>
      <c r="H2931" s="276" t="s">
        <v>2463</v>
      </c>
      <c r="I2931" s="355">
        <f>I2843</f>
        <v>15.5</v>
      </c>
      <c r="J2931" s="355" t="s">
        <v>2464</v>
      </c>
      <c r="K2931" s="355">
        <f>F2931*I2931</f>
        <v>1395</v>
      </c>
      <c r="L2931" s="355"/>
      <c r="M2931" s="355"/>
    </row>
    <row r="2932" spans="1:13">
      <c r="A2932" s="268"/>
      <c r="E2932" s="355"/>
      <c r="F2932" s="355">
        <v>30</v>
      </c>
      <c r="G2932" s="355" t="s">
        <v>794</v>
      </c>
      <c r="H2932" s="354" t="s">
        <v>2279</v>
      </c>
      <c r="I2932" s="355">
        <f>I2906</f>
        <v>19.100000000000001</v>
      </c>
      <c r="J2932" s="355" t="s">
        <v>794</v>
      </c>
      <c r="K2932" s="355">
        <f t="shared" ref="K2932:K2941" si="97">F2932*I2932</f>
        <v>573</v>
      </c>
      <c r="L2932" s="355"/>
      <c r="M2932" s="355"/>
    </row>
    <row r="2933" spans="1:13">
      <c r="A2933" s="268"/>
      <c r="E2933" s="355"/>
      <c r="F2933" s="355">
        <v>10</v>
      </c>
      <c r="G2933" s="355" t="s">
        <v>1337</v>
      </c>
      <c r="H2933" s="355" t="s">
        <v>2281</v>
      </c>
      <c r="I2933" s="355">
        <f>I2907</f>
        <v>3</v>
      </c>
      <c r="J2933" s="355" t="s">
        <v>1337</v>
      </c>
      <c r="K2933" s="355">
        <f t="shared" si="97"/>
        <v>30</v>
      </c>
      <c r="L2933" s="355"/>
      <c r="M2933" s="355"/>
    </row>
    <row r="2934" spans="1:13">
      <c r="A2934" s="268"/>
      <c r="E2934" s="355"/>
      <c r="F2934" s="355">
        <v>5</v>
      </c>
      <c r="G2934" s="355" t="s">
        <v>1337</v>
      </c>
      <c r="H2934" s="355" t="s">
        <v>3323</v>
      </c>
      <c r="I2934" s="355">
        <f>I2908</f>
        <v>1.28</v>
      </c>
      <c r="J2934" s="355" t="s">
        <v>1337</v>
      </c>
      <c r="K2934" s="355">
        <f t="shared" si="97"/>
        <v>6.4</v>
      </c>
      <c r="L2934" s="355"/>
      <c r="M2934" s="355"/>
    </row>
    <row r="2935" spans="1:13">
      <c r="A2935" s="268"/>
      <c r="E2935" s="355"/>
      <c r="F2935" s="355">
        <v>10</v>
      </c>
      <c r="G2935" s="355" t="s">
        <v>1337</v>
      </c>
      <c r="H2935" s="354" t="s">
        <v>4762</v>
      </c>
      <c r="I2935" s="425">
        <f>239/12</f>
        <v>19.920000000000002</v>
      </c>
      <c r="J2935" s="355" t="s">
        <v>1337</v>
      </c>
      <c r="K2935" s="355">
        <f t="shared" si="97"/>
        <v>199.2</v>
      </c>
      <c r="L2935" s="355"/>
      <c r="M2935" s="355">
        <f>253/12</f>
        <v>21.08</v>
      </c>
    </row>
    <row r="2936" spans="1:13">
      <c r="A2936" s="268"/>
      <c r="E2936" s="355"/>
      <c r="F2936" s="355">
        <v>5</v>
      </c>
      <c r="G2936" s="355" t="s">
        <v>1337</v>
      </c>
      <c r="H2936" s="355" t="s">
        <v>2553</v>
      </c>
      <c r="I2936" s="355">
        <f>I2910</f>
        <v>13.6</v>
      </c>
      <c r="J2936" s="355" t="s">
        <v>1337</v>
      </c>
      <c r="K2936" s="355">
        <f t="shared" si="97"/>
        <v>68</v>
      </c>
      <c r="L2936" s="355"/>
      <c r="M2936" s="355"/>
    </row>
    <row r="2937" spans="1:13">
      <c r="A2937" s="268"/>
      <c r="E2937" s="355"/>
      <c r="F2937" s="355">
        <v>5</v>
      </c>
      <c r="G2937" s="355" t="s">
        <v>1337</v>
      </c>
      <c r="H2937" s="355" t="s">
        <v>2555</v>
      </c>
      <c r="I2937" s="355">
        <f>I2909</f>
        <v>3.43</v>
      </c>
      <c r="J2937" s="355" t="s">
        <v>1337</v>
      </c>
      <c r="K2937" s="355">
        <f t="shared" si="97"/>
        <v>17.149999999999999</v>
      </c>
      <c r="L2937" s="355"/>
      <c r="M2937" s="355"/>
    </row>
    <row r="2938" spans="1:13">
      <c r="A2938" s="268"/>
      <c r="E2938" s="355"/>
      <c r="F2938" s="355">
        <v>6</v>
      </c>
      <c r="G2938" s="355" t="s">
        <v>1337</v>
      </c>
      <c r="H2938" s="355" t="s">
        <v>2367</v>
      </c>
      <c r="I2938" s="355">
        <f>I2914</f>
        <v>63.1</v>
      </c>
      <c r="J2938" s="355" t="s">
        <v>1337</v>
      </c>
      <c r="K2938" s="355">
        <f t="shared" si="97"/>
        <v>378.6</v>
      </c>
      <c r="L2938" s="355"/>
      <c r="M2938" s="355"/>
    </row>
    <row r="2939" spans="1:13">
      <c r="A2939" s="268"/>
      <c r="E2939" s="355"/>
      <c r="F2939" s="355">
        <v>0.09</v>
      </c>
      <c r="G2939" s="355" t="s">
        <v>2199</v>
      </c>
      <c r="H2939" s="355" t="s">
        <v>2476</v>
      </c>
      <c r="I2939" s="355">
        <f>I2913</f>
        <v>630</v>
      </c>
      <c r="J2939" s="355" t="s">
        <v>2199</v>
      </c>
      <c r="K2939" s="355">
        <f t="shared" si="97"/>
        <v>56.7</v>
      </c>
      <c r="L2939" s="355"/>
      <c r="M2939" s="355"/>
    </row>
    <row r="2940" spans="1:13">
      <c r="A2940" s="268"/>
      <c r="E2940" s="355"/>
      <c r="F2940" s="355">
        <v>1.25</v>
      </c>
      <c r="G2940" s="355" t="s">
        <v>2557</v>
      </c>
      <c r="H2940" s="355" t="s">
        <v>364</v>
      </c>
      <c r="I2940" s="355">
        <f>I2916</f>
        <v>298</v>
      </c>
      <c r="J2940" s="355" t="s">
        <v>2557</v>
      </c>
      <c r="K2940" s="355">
        <f t="shared" si="97"/>
        <v>372.5</v>
      </c>
      <c r="L2940" s="355"/>
      <c r="M2940" s="355"/>
    </row>
    <row r="2941" spans="1:13" ht="31.5">
      <c r="A2941" s="268"/>
      <c r="E2941" s="355"/>
      <c r="F2941" s="355">
        <v>30</v>
      </c>
      <c r="G2941" s="355" t="s">
        <v>794</v>
      </c>
      <c r="H2941" s="276" t="s">
        <v>2563</v>
      </c>
      <c r="I2941" s="355">
        <f>I2931</f>
        <v>15.5</v>
      </c>
      <c r="J2941" s="355" t="s">
        <v>3239</v>
      </c>
      <c r="K2941" s="355">
        <f t="shared" si="97"/>
        <v>465</v>
      </c>
      <c r="L2941" s="355"/>
      <c r="M2941" s="355"/>
    </row>
    <row r="2942" spans="1:13">
      <c r="A2942" s="268"/>
      <c r="E2942" s="355"/>
      <c r="F2942" s="355"/>
      <c r="G2942" s="355"/>
      <c r="H2942" s="355" t="s">
        <v>878</v>
      </c>
      <c r="I2942" s="355"/>
      <c r="J2942" s="355"/>
      <c r="K2942" s="355">
        <f>K2873</f>
        <v>10421</v>
      </c>
      <c r="L2942" s="355"/>
      <c r="M2942" s="355"/>
    </row>
    <row r="2943" spans="1:13">
      <c r="A2943" s="268"/>
      <c r="E2943" s="355"/>
      <c r="F2943" s="355"/>
      <c r="G2943" s="355"/>
      <c r="H2943" s="355" t="s">
        <v>2187</v>
      </c>
      <c r="I2943" s="355"/>
      <c r="J2943" s="355"/>
      <c r="K2943" s="364">
        <v>27.88</v>
      </c>
      <c r="L2943" s="355"/>
      <c r="M2943" s="355"/>
    </row>
    <row r="2944" spans="1:13">
      <c r="A2944" s="268"/>
      <c r="E2944" s="355"/>
      <c r="F2944" s="355"/>
      <c r="G2944" s="355"/>
      <c r="H2944" s="360" t="s">
        <v>2477</v>
      </c>
      <c r="I2944" s="355"/>
      <c r="J2944" s="355"/>
      <c r="K2944" s="361">
        <f>SUM(K2931:K2943)</f>
        <v>14010.43</v>
      </c>
      <c r="L2944" s="355"/>
      <c r="M2944" s="355"/>
    </row>
    <row r="2945" spans="1:14">
      <c r="A2945" s="268"/>
      <c r="E2945" s="355"/>
      <c r="F2945" s="355"/>
      <c r="G2945" s="355"/>
      <c r="H2945" s="362" t="s">
        <v>3096</v>
      </c>
      <c r="I2945" s="355"/>
      <c r="J2945" s="355"/>
      <c r="K2945" s="363">
        <f>K2944/5</f>
        <v>2802.09</v>
      </c>
      <c r="L2945" s="355"/>
      <c r="M2945" s="355"/>
    </row>
    <row r="2946" spans="1:14">
      <c r="A2946" s="268"/>
      <c r="E2946" s="355"/>
      <c r="F2946" s="355"/>
      <c r="G2946" s="355"/>
      <c r="H2946" s="355"/>
      <c r="I2946" s="355"/>
      <c r="J2946" s="355"/>
      <c r="K2946" s="355"/>
      <c r="L2946" s="355"/>
      <c r="M2946" s="355"/>
    </row>
    <row r="2947" spans="1:14">
      <c r="A2947" s="268"/>
      <c r="E2947" s="355"/>
      <c r="F2947" s="355"/>
      <c r="G2947" s="355"/>
      <c r="H2947" s="363" t="s">
        <v>2478</v>
      </c>
      <c r="I2947" s="355"/>
      <c r="J2947" s="355"/>
      <c r="K2947" s="355"/>
      <c r="L2947" s="355"/>
      <c r="M2947" s="355"/>
    </row>
    <row r="2948" spans="1:14">
      <c r="A2948" s="268"/>
      <c r="E2948" s="355"/>
      <c r="F2948" s="355"/>
      <c r="G2948" s="355"/>
      <c r="H2948" s="363" t="s">
        <v>2479</v>
      </c>
      <c r="I2948" s="355"/>
      <c r="J2948" s="355"/>
      <c r="K2948" s="355"/>
      <c r="L2948" s="355"/>
      <c r="M2948" s="355"/>
    </row>
    <row r="2949" spans="1:14">
      <c r="A2949" s="268"/>
      <c r="E2949" s="355"/>
      <c r="F2949" s="355"/>
      <c r="G2949" s="355"/>
      <c r="H2949" s="355"/>
      <c r="I2949" s="355"/>
      <c r="J2949" s="355"/>
      <c r="K2949" s="355"/>
      <c r="L2949" s="355"/>
      <c r="M2949" s="355"/>
    </row>
    <row r="2950" spans="1:14" ht="141.75">
      <c r="A2950" s="268"/>
      <c r="E2950" s="355"/>
      <c r="F2950" s="355"/>
      <c r="G2950" s="355"/>
      <c r="H2950" s="354" t="s">
        <v>2647</v>
      </c>
      <c r="I2950" s="355"/>
      <c r="J2950" s="355"/>
      <c r="K2950" s="355"/>
      <c r="L2950" s="355"/>
      <c r="M2950" s="355"/>
    </row>
    <row r="2951" spans="1:14">
      <c r="A2951" s="268"/>
      <c r="E2951" s="355"/>
      <c r="F2951" s="355">
        <v>90</v>
      </c>
      <c r="G2951" s="355" t="s">
        <v>794</v>
      </c>
      <c r="H2951" s="276" t="s">
        <v>2463</v>
      </c>
      <c r="I2951" s="355">
        <f>I2931</f>
        <v>15.5</v>
      </c>
      <c r="J2951" s="355" t="s">
        <v>3239</v>
      </c>
      <c r="K2951" s="355">
        <f>F2951*I2951</f>
        <v>1395</v>
      </c>
      <c r="L2951" s="355"/>
      <c r="M2951" s="355"/>
    </row>
    <row r="2952" spans="1:14">
      <c r="E2952" s="355"/>
      <c r="F2952" s="355">
        <v>45</v>
      </c>
      <c r="G2952" s="355" t="s">
        <v>794</v>
      </c>
      <c r="H2952" s="354" t="s">
        <v>2279</v>
      </c>
      <c r="I2952" s="355">
        <f>I2932</f>
        <v>19.100000000000001</v>
      </c>
      <c r="J2952" s="355" t="s">
        <v>794</v>
      </c>
      <c r="K2952" s="355">
        <f t="shared" ref="K2952:K2961" si="98">F2952*I2952</f>
        <v>859.5</v>
      </c>
      <c r="L2952" s="355"/>
      <c r="M2952" s="355"/>
    </row>
    <row r="2953" spans="1:14" ht="20.100000000000001" customHeight="1">
      <c r="E2953" s="355"/>
      <c r="F2953" s="355">
        <v>20</v>
      </c>
      <c r="G2953" s="355" t="s">
        <v>1337</v>
      </c>
      <c r="H2953" s="355" t="s">
        <v>2281</v>
      </c>
      <c r="I2953" s="355">
        <f>I2933</f>
        <v>3</v>
      </c>
      <c r="J2953" s="355" t="s">
        <v>3326</v>
      </c>
      <c r="K2953" s="355">
        <f t="shared" si="98"/>
        <v>60</v>
      </c>
      <c r="L2953" s="355"/>
      <c r="M2953" s="355"/>
    </row>
    <row r="2954" spans="1:14" ht="20.100000000000001" customHeight="1">
      <c r="E2954" s="355"/>
      <c r="F2954" s="355">
        <v>10</v>
      </c>
      <c r="G2954" s="355" t="s">
        <v>1337</v>
      </c>
      <c r="H2954" s="355" t="s">
        <v>3323</v>
      </c>
      <c r="I2954" s="355">
        <f>I2934</f>
        <v>1.28</v>
      </c>
      <c r="J2954" s="355" t="s">
        <v>3326</v>
      </c>
      <c r="K2954" s="355">
        <f t="shared" si="98"/>
        <v>12.8</v>
      </c>
      <c r="L2954" s="355"/>
      <c r="M2954" s="355"/>
    </row>
    <row r="2955" spans="1:14" ht="20.100000000000001" customHeight="1">
      <c r="E2955" s="355"/>
      <c r="F2955" s="355">
        <v>1</v>
      </c>
      <c r="G2955" s="355" t="s">
        <v>1337</v>
      </c>
      <c r="H2955" s="355" t="s">
        <v>2367</v>
      </c>
      <c r="I2955" s="355">
        <f>I2938</f>
        <v>63.1</v>
      </c>
      <c r="J2955" s="355" t="s">
        <v>1337</v>
      </c>
      <c r="K2955" s="355">
        <f t="shared" si="98"/>
        <v>63.1</v>
      </c>
      <c r="L2955" s="355"/>
      <c r="M2955" s="355"/>
    </row>
    <row r="2956" spans="1:14" ht="20.100000000000001" customHeight="1">
      <c r="E2956" s="355"/>
      <c r="F2956" s="358">
        <v>1.4999999999999999E-2</v>
      </c>
      <c r="G2956" s="355" t="s">
        <v>2199</v>
      </c>
      <c r="H2956" s="355" t="s">
        <v>2476</v>
      </c>
      <c r="I2956" s="355">
        <f>I2849</f>
        <v>630</v>
      </c>
      <c r="J2956" s="355" t="s">
        <v>2199</v>
      </c>
      <c r="K2956" s="355">
        <f t="shared" si="98"/>
        <v>9.4499999999999993</v>
      </c>
      <c r="L2956" s="355"/>
      <c r="M2956" s="355"/>
    </row>
    <row r="2957" spans="1:14" ht="31.5" customHeight="1">
      <c r="E2957" s="355"/>
      <c r="F2957" s="355">
        <v>15</v>
      </c>
      <c r="G2957" s="355" t="s">
        <v>1337</v>
      </c>
      <c r="H2957" s="354" t="s">
        <v>4763</v>
      </c>
      <c r="I2957" s="425">
        <f>(192.6/12)+23.9</f>
        <v>39.950000000000003</v>
      </c>
      <c r="J2957" s="355" t="s">
        <v>1337</v>
      </c>
      <c r="K2957" s="355">
        <f t="shared" si="98"/>
        <v>599.25</v>
      </c>
      <c r="L2957" s="468">
        <f>192.6+239</f>
        <v>431.6</v>
      </c>
      <c r="M2957" s="355">
        <f>L2957/12</f>
        <v>35.97</v>
      </c>
      <c r="N2957" s="182">
        <f>M2957/12</f>
        <v>3</v>
      </c>
    </row>
    <row r="2958" spans="1:14" ht="20.100000000000001" customHeight="1">
      <c r="E2958" s="355"/>
      <c r="F2958" s="355">
        <v>15</v>
      </c>
      <c r="G2958" s="355" t="s">
        <v>1337</v>
      </c>
      <c r="H2958" s="355" t="s">
        <v>2367</v>
      </c>
      <c r="I2958" s="355">
        <f>I2955</f>
        <v>63.1</v>
      </c>
      <c r="J2958" s="355" t="s">
        <v>1337</v>
      </c>
      <c r="K2958" s="355">
        <f t="shared" si="98"/>
        <v>946.5</v>
      </c>
      <c r="L2958" s="355"/>
      <c r="M2958" s="355"/>
    </row>
    <row r="2959" spans="1:14" ht="20.100000000000001" customHeight="1">
      <c r="E2959" s="355"/>
      <c r="F2959" s="358">
        <v>0.22500000000000001</v>
      </c>
      <c r="G2959" s="355" t="s">
        <v>2199</v>
      </c>
      <c r="H2959" s="355" t="s">
        <v>2476</v>
      </c>
      <c r="I2959" s="355">
        <f>I2956</f>
        <v>630</v>
      </c>
      <c r="J2959" s="355" t="s">
        <v>2649</v>
      </c>
      <c r="K2959" s="355">
        <f t="shared" si="98"/>
        <v>141.75</v>
      </c>
      <c r="L2959" s="355"/>
      <c r="M2959" s="355"/>
    </row>
    <row r="2960" spans="1:14" ht="20.100000000000001" customHeight="1">
      <c r="E2960" s="355"/>
      <c r="F2960" s="355">
        <v>1.25</v>
      </c>
      <c r="G2960" s="355" t="s">
        <v>2557</v>
      </c>
      <c r="H2960" s="355" t="s">
        <v>364</v>
      </c>
      <c r="I2960" s="355">
        <f>I2940</f>
        <v>298</v>
      </c>
      <c r="J2960" s="355" t="s">
        <v>2557</v>
      </c>
      <c r="K2960" s="355">
        <f t="shared" si="98"/>
        <v>372.5</v>
      </c>
      <c r="L2960" s="355"/>
      <c r="M2960" s="355"/>
    </row>
    <row r="2961" spans="5:13" ht="31.5">
      <c r="E2961" s="355"/>
      <c r="F2961" s="355">
        <v>45</v>
      </c>
      <c r="G2961" s="355" t="s">
        <v>2199</v>
      </c>
      <c r="H2961" s="276" t="s">
        <v>2563</v>
      </c>
      <c r="I2961" s="355">
        <f>I2951</f>
        <v>15.5</v>
      </c>
      <c r="J2961" s="355" t="s">
        <v>3239</v>
      </c>
      <c r="K2961" s="355">
        <f t="shared" si="98"/>
        <v>697.5</v>
      </c>
      <c r="L2961" s="355"/>
      <c r="M2961" s="355"/>
    </row>
    <row r="2962" spans="5:13" ht="15.75" customHeight="1">
      <c r="E2962" s="355"/>
      <c r="F2962" s="355"/>
      <c r="G2962" s="355"/>
      <c r="H2962" s="355" t="s">
        <v>878</v>
      </c>
      <c r="I2962" s="355"/>
      <c r="J2962" s="355"/>
      <c r="K2962" s="355">
        <f>K2918</f>
        <v>10421</v>
      </c>
      <c r="L2962" s="355"/>
      <c r="M2962" s="355"/>
    </row>
    <row r="2963" spans="5:13" ht="17.25" customHeight="1">
      <c r="E2963" s="355"/>
      <c r="F2963" s="355"/>
      <c r="G2963" s="355"/>
      <c r="H2963" s="355" t="s">
        <v>2187</v>
      </c>
      <c r="I2963" s="355"/>
      <c r="J2963" s="355"/>
      <c r="K2963" s="355">
        <v>39.72</v>
      </c>
      <c r="L2963" s="355"/>
      <c r="M2963" s="355"/>
    </row>
    <row r="2964" spans="5:13">
      <c r="E2964" s="355"/>
      <c r="F2964" s="355"/>
      <c r="G2964" s="355"/>
      <c r="H2964" s="360" t="s">
        <v>2650</v>
      </c>
      <c r="I2964" s="355"/>
      <c r="J2964" s="355"/>
      <c r="K2964" s="361">
        <f>SUM(K2951:K2963)</f>
        <v>15618.07</v>
      </c>
      <c r="L2964" s="355">
        <f>934*15</f>
        <v>14010</v>
      </c>
      <c r="M2964" s="355"/>
    </row>
    <row r="2965" spans="5:13">
      <c r="E2965" s="355"/>
      <c r="F2965" s="355"/>
      <c r="G2965" s="355"/>
      <c r="H2965" s="362" t="s">
        <v>3096</v>
      </c>
      <c r="I2965" s="355"/>
      <c r="J2965" s="355"/>
      <c r="K2965" s="363">
        <f>K2964/15</f>
        <v>1041.2</v>
      </c>
      <c r="L2965" s="355">
        <f>L2964-K2964</f>
        <v>-1608.07</v>
      </c>
      <c r="M2965" s="355"/>
    </row>
    <row r="2966" spans="5:13" ht="12.75" customHeight="1">
      <c r="E2966" s="355"/>
      <c r="F2966" s="355"/>
      <c r="G2966" s="355"/>
      <c r="H2966" s="355"/>
      <c r="I2966" s="355"/>
      <c r="J2966" s="355"/>
      <c r="K2966" s="355"/>
      <c r="L2966" s="355"/>
      <c r="M2966" s="355"/>
    </row>
    <row r="2967" spans="5:13">
      <c r="E2967" s="355"/>
      <c r="F2967" s="355"/>
      <c r="G2967" s="355"/>
      <c r="H2967" s="363" t="s">
        <v>2651</v>
      </c>
      <c r="I2967" s="355"/>
      <c r="J2967" s="355"/>
      <c r="K2967" s="355"/>
      <c r="L2967" s="355"/>
      <c r="M2967" s="355"/>
    </row>
    <row r="2968" spans="5:13">
      <c r="E2968" s="355"/>
      <c r="F2968" s="355"/>
      <c r="G2968" s="355"/>
      <c r="H2968" s="363" t="s">
        <v>2652</v>
      </c>
      <c r="I2968" s="355"/>
      <c r="J2968" s="355"/>
      <c r="K2968" s="355"/>
      <c r="L2968" s="355"/>
      <c r="M2968" s="355"/>
    </row>
    <row r="2969" spans="5:13">
      <c r="E2969" s="355"/>
      <c r="F2969" s="355"/>
      <c r="G2969" s="355"/>
      <c r="H2969" s="355"/>
      <c r="I2969" s="355"/>
      <c r="J2969" s="355"/>
      <c r="K2969" s="355"/>
      <c r="L2969" s="355"/>
      <c r="M2969" s="355"/>
    </row>
    <row r="2970" spans="5:13" ht="141.75">
      <c r="E2970" s="355"/>
      <c r="F2970" s="355"/>
      <c r="G2970" s="355"/>
      <c r="H2970" s="354" t="s">
        <v>2454</v>
      </c>
      <c r="I2970" s="355"/>
      <c r="J2970" s="355"/>
      <c r="K2970" s="355"/>
      <c r="L2970" s="355"/>
      <c r="M2970" s="355"/>
    </row>
    <row r="2971" spans="5:13">
      <c r="E2971" s="355"/>
      <c r="F2971" s="355"/>
      <c r="G2971" s="355"/>
      <c r="H2971" s="355"/>
      <c r="I2971" s="355"/>
      <c r="J2971" s="355"/>
      <c r="K2971" s="355"/>
      <c r="L2971" s="355"/>
      <c r="M2971" s="355"/>
    </row>
    <row r="2972" spans="5:13">
      <c r="E2972" s="355"/>
      <c r="F2972" s="355">
        <v>5</v>
      </c>
      <c r="G2972" s="355" t="s">
        <v>794</v>
      </c>
      <c r="H2972" s="463" t="s">
        <v>2463</v>
      </c>
      <c r="I2972" s="355">
        <f>I2951</f>
        <v>15.5</v>
      </c>
      <c r="J2972" s="355" t="s">
        <v>2280</v>
      </c>
      <c r="K2972" s="355">
        <f>F2972*I2972</f>
        <v>77.5</v>
      </c>
      <c r="L2972" s="355"/>
      <c r="M2972" s="355"/>
    </row>
    <row r="2973" spans="5:13" ht="33" customHeight="1">
      <c r="E2973" s="355"/>
      <c r="F2973" s="355">
        <v>2.5</v>
      </c>
      <c r="G2973" s="355" t="s">
        <v>794</v>
      </c>
      <c r="H2973" s="354" t="s">
        <v>2279</v>
      </c>
      <c r="I2973" s="355">
        <f>I2952</f>
        <v>19.100000000000001</v>
      </c>
      <c r="J2973" s="355" t="s">
        <v>794</v>
      </c>
      <c r="K2973" s="355">
        <f>F2973*I2973</f>
        <v>47.75</v>
      </c>
      <c r="L2973" s="355"/>
      <c r="M2973" s="355"/>
    </row>
    <row r="2974" spans="5:13" ht="35.25" customHeight="1">
      <c r="E2974" s="355"/>
      <c r="F2974" s="355">
        <v>1</v>
      </c>
      <c r="G2974" s="355" t="s">
        <v>1337</v>
      </c>
      <c r="H2974" s="354" t="str">
        <f>H2957</f>
        <v>5 A 5 pin non - inter locking switch and plug ( flush type ) part - c (I a) + part - d (I a)( Rs. 192.60/12 + 23.90) p-118 +123 part d a</v>
      </c>
      <c r="I2974" s="356">
        <f>I2957</f>
        <v>39.950000000000003</v>
      </c>
      <c r="J2974" s="355" t="s">
        <v>1337</v>
      </c>
      <c r="K2974" s="355">
        <f>F2974*I2974</f>
        <v>39.950000000000003</v>
      </c>
      <c r="L2974" s="355"/>
      <c r="M2974" s="355"/>
    </row>
    <row r="2975" spans="5:13">
      <c r="E2975" s="355"/>
      <c r="F2975" s="355"/>
      <c r="G2975" s="355"/>
      <c r="H2975" s="355" t="s">
        <v>878</v>
      </c>
      <c r="I2975" s="355"/>
      <c r="J2975" s="355"/>
      <c r="K2975" s="355">
        <f>ROUND(K2873*5/90,2)</f>
        <v>578.94000000000005</v>
      </c>
      <c r="L2975" s="355"/>
      <c r="M2975" s="355"/>
    </row>
    <row r="2976" spans="5:13">
      <c r="E2976" s="355"/>
      <c r="F2976" s="355"/>
      <c r="G2976" s="355"/>
      <c r="H2976" s="355" t="s">
        <v>2187</v>
      </c>
      <c r="I2976" s="355"/>
      <c r="J2976" s="355"/>
      <c r="K2976" s="355">
        <v>20.77</v>
      </c>
      <c r="L2976" s="355"/>
      <c r="M2976" s="355"/>
    </row>
    <row r="2977" spans="5:13">
      <c r="E2977" s="355"/>
      <c r="F2977" s="355"/>
      <c r="G2977" s="355"/>
      <c r="H2977" s="362" t="s">
        <v>3096</v>
      </c>
      <c r="I2977" s="355"/>
      <c r="J2977" s="355"/>
      <c r="K2977" s="370">
        <f>SUM(K2972:K2976)</f>
        <v>764.91</v>
      </c>
      <c r="L2977" s="355">
        <f>688-K2977</f>
        <v>-76.91</v>
      </c>
      <c r="M2977" s="355"/>
    </row>
    <row r="2978" spans="5:13">
      <c r="E2978" s="355"/>
      <c r="F2978" s="355"/>
      <c r="G2978" s="355"/>
      <c r="H2978" s="355"/>
      <c r="I2978" s="355"/>
      <c r="J2978" s="355"/>
      <c r="K2978" s="355"/>
      <c r="L2978" s="355"/>
      <c r="M2978" s="355"/>
    </row>
    <row r="2979" spans="5:13">
      <c r="E2979" s="355"/>
      <c r="F2979" s="355"/>
      <c r="G2979" s="355"/>
      <c r="H2979" s="363" t="s">
        <v>2455</v>
      </c>
      <c r="I2979" s="355"/>
      <c r="J2979" s="355"/>
      <c r="K2979" s="355"/>
      <c r="L2979" s="355"/>
      <c r="M2979" s="355"/>
    </row>
    <row r="2980" spans="5:13" ht="14.25" customHeight="1">
      <c r="E2980" s="355"/>
      <c r="F2980" s="355"/>
      <c r="G2980" s="355"/>
      <c r="H2980" s="363" t="s">
        <v>2456</v>
      </c>
      <c r="I2980" s="355"/>
      <c r="J2980" s="355"/>
      <c r="K2980" s="355"/>
      <c r="L2980" s="355"/>
      <c r="M2980" s="355"/>
    </row>
    <row r="2981" spans="5:13">
      <c r="E2981" s="355"/>
      <c r="F2981" s="355"/>
      <c r="G2981" s="355"/>
      <c r="H2981" s="355"/>
      <c r="I2981" s="355"/>
      <c r="J2981" s="355"/>
      <c r="K2981" s="355"/>
      <c r="L2981" s="355"/>
      <c r="M2981" s="355"/>
    </row>
    <row r="2982" spans="5:13" ht="65.25" customHeight="1">
      <c r="E2982" s="355"/>
      <c r="F2982" s="355"/>
      <c r="G2982" s="355"/>
      <c r="H2982" s="354" t="s">
        <v>2771</v>
      </c>
      <c r="I2982" s="355"/>
      <c r="J2982" s="355"/>
      <c r="K2982" s="355"/>
      <c r="L2982" s="355"/>
      <c r="M2982" s="355"/>
    </row>
    <row r="2983" spans="5:13">
      <c r="E2983" s="355"/>
      <c r="F2983" s="355"/>
      <c r="G2983" s="355"/>
      <c r="H2983" s="355"/>
      <c r="I2983" s="355"/>
      <c r="J2983" s="355"/>
      <c r="K2983" s="355"/>
      <c r="L2983" s="355"/>
      <c r="M2983" s="355"/>
    </row>
    <row r="2984" spans="5:13" ht="22.5" customHeight="1">
      <c r="E2984" s="355"/>
      <c r="F2984" s="355">
        <v>1</v>
      </c>
      <c r="G2984" s="355" t="s">
        <v>1337</v>
      </c>
      <c r="H2984" s="355" t="s">
        <v>4764</v>
      </c>
      <c r="I2984" s="425">
        <v>54</v>
      </c>
      <c r="J2984" s="355" t="s">
        <v>1337</v>
      </c>
      <c r="K2984" s="355">
        <f>F2984*I2984</f>
        <v>54</v>
      </c>
      <c r="L2984" s="355"/>
      <c r="M2984" s="355"/>
    </row>
    <row r="2985" spans="5:13" ht="22.5" customHeight="1">
      <c r="E2985" s="355"/>
      <c r="F2985" s="355">
        <v>1</v>
      </c>
      <c r="G2985" s="355" t="s">
        <v>1337</v>
      </c>
      <c r="H2985" s="355" t="s">
        <v>3078</v>
      </c>
      <c r="I2985" s="355">
        <f>I2955</f>
        <v>63.1</v>
      </c>
      <c r="J2985" s="355" t="s">
        <v>1337</v>
      </c>
      <c r="K2985" s="355">
        <f>F2985*I2985</f>
        <v>63.1</v>
      </c>
      <c r="L2985" s="355"/>
      <c r="M2985" s="355"/>
    </row>
    <row r="2986" spans="5:13" ht="22.5" customHeight="1">
      <c r="E2986" s="355"/>
      <c r="F2986" s="358">
        <v>1.4999999999999999E-2</v>
      </c>
      <c r="G2986" s="355" t="s">
        <v>2199</v>
      </c>
      <c r="H2986" s="355" t="s">
        <v>3079</v>
      </c>
      <c r="I2986" s="355">
        <f>I2956</f>
        <v>630</v>
      </c>
      <c r="J2986" s="355" t="s">
        <v>2199</v>
      </c>
      <c r="K2986" s="355">
        <f>F2986*I2986</f>
        <v>9.4499999999999993</v>
      </c>
      <c r="L2986" s="355"/>
      <c r="M2986" s="355"/>
    </row>
    <row r="2987" spans="5:13" ht="17.25" customHeight="1">
      <c r="E2987" s="355"/>
      <c r="F2987" s="355" t="s">
        <v>625</v>
      </c>
      <c r="G2987" s="355"/>
      <c r="H2987" s="355" t="s">
        <v>3080</v>
      </c>
      <c r="I2987" s="355"/>
      <c r="J2987" s="355"/>
      <c r="K2987" s="355">
        <v>12.15</v>
      </c>
      <c r="L2987" s="355">
        <f>(K2984+K2985+K2986)*2%</f>
        <v>2.5299999999999998</v>
      </c>
      <c r="M2987" s="355"/>
    </row>
    <row r="2988" spans="5:13" ht="20.25" customHeight="1">
      <c r="E2988" s="355"/>
      <c r="F2988" s="355"/>
      <c r="G2988" s="355"/>
      <c r="H2988" s="362" t="s">
        <v>1024</v>
      </c>
      <c r="I2988" s="355"/>
      <c r="J2988" s="355"/>
      <c r="K2988" s="370">
        <f>SUM(K2984:K2987)</f>
        <v>138.69999999999999</v>
      </c>
      <c r="L2988" s="355">
        <f>114-K2988</f>
        <v>-24.7</v>
      </c>
      <c r="M2988" s="355"/>
    </row>
    <row r="2989" spans="5:13">
      <c r="E2989" s="355"/>
      <c r="F2989" s="355"/>
      <c r="G2989" s="355"/>
      <c r="H2989" s="355"/>
      <c r="I2989" s="355"/>
      <c r="J2989" s="355"/>
      <c r="K2989" s="355">
        <f>K2988*18</f>
        <v>2496.6</v>
      </c>
      <c r="L2989" s="355"/>
      <c r="M2989" s="355"/>
    </row>
    <row r="2990" spans="5:13">
      <c r="E2990" s="355"/>
      <c r="F2990" s="355"/>
      <c r="G2990" s="355"/>
      <c r="H2990" s="363" t="s">
        <v>3081</v>
      </c>
      <c r="I2990" s="355"/>
      <c r="J2990" s="355"/>
      <c r="K2990" s="355"/>
      <c r="L2990" s="355"/>
      <c r="M2990" s="355"/>
    </row>
    <row r="2991" spans="5:13" ht="31.5">
      <c r="E2991" s="355"/>
      <c r="F2991" s="355"/>
      <c r="G2991" s="355"/>
      <c r="H2991" s="353" t="s">
        <v>3082</v>
      </c>
      <c r="I2991" s="355"/>
      <c r="J2991" s="355"/>
      <c r="K2991" s="355"/>
      <c r="L2991" s="355"/>
      <c r="M2991" s="355"/>
    </row>
    <row r="2992" spans="5:13">
      <c r="E2992" s="355"/>
      <c r="F2992" s="355"/>
      <c r="G2992" s="355"/>
      <c r="H2992" s="353"/>
      <c r="I2992" s="355"/>
      <c r="J2992" s="355"/>
      <c r="K2992" s="355"/>
      <c r="L2992" s="355"/>
      <c r="M2992" s="355"/>
    </row>
    <row r="2993" spans="5:13" ht="210.75" customHeight="1">
      <c r="E2993" s="355"/>
      <c r="F2993" s="355"/>
      <c r="G2993" s="355"/>
      <c r="H2993" s="354" t="s">
        <v>2350</v>
      </c>
      <c r="I2993" s="355"/>
      <c r="J2993" s="355"/>
      <c r="K2993" s="355"/>
      <c r="L2993" s="355"/>
      <c r="M2993" s="355"/>
    </row>
    <row r="2994" spans="5:13">
      <c r="E2994" s="355"/>
      <c r="F2994" s="355"/>
      <c r="G2994" s="355"/>
      <c r="H2994" s="355"/>
      <c r="I2994" s="355"/>
      <c r="J2994" s="355"/>
      <c r="K2994" s="355"/>
      <c r="L2994" s="355"/>
      <c r="M2994" s="355"/>
    </row>
    <row r="2995" spans="5:13">
      <c r="E2995" s="355"/>
      <c r="F2995" s="355">
        <v>90</v>
      </c>
      <c r="G2995" s="355" t="s">
        <v>794</v>
      </c>
      <c r="H2995" s="276" t="s">
        <v>2463</v>
      </c>
      <c r="I2995" s="355">
        <f>I2843</f>
        <v>15.5</v>
      </c>
      <c r="J2995" s="355" t="s">
        <v>794</v>
      </c>
      <c r="K2995" s="355">
        <f>F2995*I2995</f>
        <v>1395</v>
      </c>
      <c r="L2995" s="355"/>
      <c r="M2995" s="355"/>
    </row>
    <row r="2996" spans="5:13">
      <c r="E2996" s="355"/>
      <c r="F2996" s="355">
        <v>45</v>
      </c>
      <c r="G2996" s="355" t="s">
        <v>794</v>
      </c>
      <c r="H2996" s="354" t="s">
        <v>2279</v>
      </c>
      <c r="I2996" s="355">
        <f>I2844</f>
        <v>19.100000000000001</v>
      </c>
      <c r="J2996" s="355" t="s">
        <v>2280</v>
      </c>
      <c r="K2996" s="355">
        <f t="shared" ref="K2996:K3007" si="99">F2996*I2996</f>
        <v>859.5</v>
      </c>
      <c r="L2996" s="355"/>
      <c r="M2996" s="355"/>
    </row>
    <row r="2997" spans="5:13">
      <c r="E2997" s="355"/>
      <c r="F2997" s="355">
        <v>12</v>
      </c>
      <c r="G2997" s="355" t="s">
        <v>1337</v>
      </c>
      <c r="H2997" s="355" t="s">
        <v>2281</v>
      </c>
      <c r="I2997" s="355">
        <f>I2845</f>
        <v>3</v>
      </c>
      <c r="J2997" s="355" t="s">
        <v>1337</v>
      </c>
      <c r="K2997" s="355">
        <f t="shared" si="99"/>
        <v>36</v>
      </c>
      <c r="L2997" s="355"/>
      <c r="M2997" s="355"/>
    </row>
    <row r="2998" spans="5:13">
      <c r="E2998" s="355"/>
      <c r="F2998" s="355">
        <v>6</v>
      </c>
      <c r="G2998" s="355" t="s">
        <v>1337</v>
      </c>
      <c r="H2998" s="355" t="s">
        <v>3323</v>
      </c>
      <c r="I2998" s="355">
        <f>I2846</f>
        <v>1.28</v>
      </c>
      <c r="J2998" s="355" t="s">
        <v>1337</v>
      </c>
      <c r="K2998" s="355">
        <f t="shared" si="99"/>
        <v>7.68</v>
      </c>
      <c r="L2998" s="355"/>
      <c r="M2998" s="355"/>
    </row>
    <row r="2999" spans="5:13">
      <c r="E2999" s="355"/>
      <c r="F2999" s="355">
        <v>1</v>
      </c>
      <c r="G2999" s="355" t="s">
        <v>1337</v>
      </c>
      <c r="H2999" s="355" t="s">
        <v>3324</v>
      </c>
      <c r="I2999" s="355">
        <f>I2847</f>
        <v>63.1</v>
      </c>
      <c r="J2999" s="355" t="s">
        <v>1337</v>
      </c>
      <c r="K2999" s="355">
        <f t="shared" si="99"/>
        <v>63.1</v>
      </c>
      <c r="L2999" s="355"/>
      <c r="M2999" s="355"/>
    </row>
    <row r="3000" spans="5:13">
      <c r="E3000" s="355"/>
      <c r="F3000" s="358">
        <v>1.4999999999999999E-2</v>
      </c>
      <c r="G3000" s="355" t="s">
        <v>2199</v>
      </c>
      <c r="H3000" s="355" t="s">
        <v>3195</v>
      </c>
      <c r="I3000" s="355">
        <f t="shared" ref="I3000:I3007" si="100">I2849</f>
        <v>630</v>
      </c>
      <c r="J3000" s="355" t="s">
        <v>2199</v>
      </c>
      <c r="K3000" s="355">
        <f t="shared" si="99"/>
        <v>9.4499999999999993</v>
      </c>
      <c r="L3000" s="355"/>
      <c r="M3000" s="355"/>
    </row>
    <row r="3001" spans="5:13">
      <c r="E3001" s="355"/>
      <c r="F3001" s="355">
        <v>6</v>
      </c>
      <c r="G3001" s="355" t="s">
        <v>1337</v>
      </c>
      <c r="H3001" s="355" t="s">
        <v>3196</v>
      </c>
      <c r="I3001" s="355">
        <f t="shared" si="100"/>
        <v>16.05</v>
      </c>
      <c r="J3001" s="355" t="s">
        <v>3326</v>
      </c>
      <c r="K3001" s="355">
        <f t="shared" si="99"/>
        <v>96.3</v>
      </c>
      <c r="L3001" s="355"/>
      <c r="M3001" s="355"/>
    </row>
    <row r="3002" spans="5:13">
      <c r="E3002" s="355"/>
      <c r="F3002" s="355">
        <v>6</v>
      </c>
      <c r="G3002" s="355" t="s">
        <v>1337</v>
      </c>
      <c r="H3002" s="355" t="s">
        <v>2553</v>
      </c>
      <c r="I3002" s="355">
        <f t="shared" si="100"/>
        <v>13.6</v>
      </c>
      <c r="J3002" s="355" t="s">
        <v>1337</v>
      </c>
      <c r="K3002" s="355">
        <f t="shared" si="99"/>
        <v>81.599999999999994</v>
      </c>
      <c r="L3002" s="355"/>
      <c r="M3002" s="355"/>
    </row>
    <row r="3003" spans="5:13">
      <c r="E3003" s="355"/>
      <c r="F3003" s="355">
        <v>6</v>
      </c>
      <c r="G3003" s="355" t="s">
        <v>1337</v>
      </c>
      <c r="H3003" s="355" t="s">
        <v>2555</v>
      </c>
      <c r="I3003" s="355">
        <f t="shared" si="100"/>
        <v>3.43</v>
      </c>
      <c r="J3003" s="355" t="s">
        <v>1337</v>
      </c>
      <c r="K3003" s="355">
        <f t="shared" si="99"/>
        <v>20.58</v>
      </c>
      <c r="L3003" s="355"/>
      <c r="M3003" s="355"/>
    </row>
    <row r="3004" spans="5:13">
      <c r="E3004" s="355"/>
      <c r="F3004" s="355">
        <v>1.25</v>
      </c>
      <c r="G3004" s="355" t="s">
        <v>2557</v>
      </c>
      <c r="H3004" s="355" t="s">
        <v>364</v>
      </c>
      <c r="I3004" s="355">
        <f t="shared" si="100"/>
        <v>298</v>
      </c>
      <c r="J3004" s="355" t="s">
        <v>2557</v>
      </c>
      <c r="K3004" s="355">
        <f t="shared" si="99"/>
        <v>372.5</v>
      </c>
      <c r="L3004" s="355"/>
      <c r="M3004" s="355"/>
    </row>
    <row r="3005" spans="5:13">
      <c r="E3005" s="355"/>
      <c r="F3005" s="355">
        <v>6</v>
      </c>
      <c r="G3005" s="355" t="s">
        <v>1337</v>
      </c>
      <c r="H3005" s="355" t="s">
        <v>2558</v>
      </c>
      <c r="I3005" s="355">
        <f t="shared" si="100"/>
        <v>63.1</v>
      </c>
      <c r="J3005" s="355" t="s">
        <v>1337</v>
      </c>
      <c r="K3005" s="355">
        <f t="shared" si="99"/>
        <v>378.6</v>
      </c>
      <c r="L3005" s="355"/>
      <c r="M3005" s="355"/>
    </row>
    <row r="3006" spans="5:13">
      <c r="E3006" s="355"/>
      <c r="F3006" s="355">
        <v>0.09</v>
      </c>
      <c r="G3006" s="355" t="s">
        <v>2199</v>
      </c>
      <c r="H3006" s="355" t="s">
        <v>2560</v>
      </c>
      <c r="I3006" s="355">
        <f t="shared" si="100"/>
        <v>630</v>
      </c>
      <c r="J3006" s="355" t="s">
        <v>2199</v>
      </c>
      <c r="K3006" s="355">
        <f t="shared" si="99"/>
        <v>56.7</v>
      </c>
      <c r="L3006" s="355"/>
      <c r="M3006" s="355"/>
    </row>
    <row r="3007" spans="5:13" ht="31.5">
      <c r="E3007" s="355"/>
      <c r="F3007" s="355">
        <v>45</v>
      </c>
      <c r="G3007" s="355"/>
      <c r="H3007" s="276" t="s">
        <v>2563</v>
      </c>
      <c r="I3007" s="355">
        <f t="shared" si="100"/>
        <v>15.5</v>
      </c>
      <c r="J3007" s="355" t="s">
        <v>3239</v>
      </c>
      <c r="K3007" s="355">
        <f t="shared" si="99"/>
        <v>697.5</v>
      </c>
      <c r="L3007" s="355"/>
      <c r="M3007" s="355"/>
    </row>
    <row r="3008" spans="5:13">
      <c r="E3008" s="355"/>
      <c r="F3008" s="355"/>
      <c r="G3008" s="355"/>
      <c r="H3008" s="355" t="s">
        <v>878</v>
      </c>
      <c r="I3008" s="355"/>
      <c r="J3008" s="355" t="s">
        <v>625</v>
      </c>
      <c r="K3008" s="355">
        <f>K2857</f>
        <v>10421</v>
      </c>
      <c r="L3008" s="355"/>
      <c r="M3008" s="355"/>
    </row>
    <row r="3009" spans="5:13">
      <c r="E3009" s="355"/>
      <c r="F3009" s="355"/>
      <c r="G3009" s="355"/>
      <c r="H3009" s="355" t="s">
        <v>2187</v>
      </c>
      <c r="I3009" s="355"/>
      <c r="J3009" s="355" t="s">
        <v>625</v>
      </c>
      <c r="K3009" s="355">
        <v>50.48</v>
      </c>
      <c r="L3009" s="355"/>
      <c r="M3009" s="355"/>
    </row>
    <row r="3010" spans="5:13" ht="30" customHeight="1">
      <c r="E3010" s="355"/>
      <c r="F3010" s="355"/>
      <c r="G3010" s="355"/>
      <c r="H3010" s="360" t="s">
        <v>3247</v>
      </c>
      <c r="I3010" s="355"/>
      <c r="J3010" s="355"/>
      <c r="K3010" s="361">
        <f>SUM(K2995:K3009)</f>
        <v>14545.99</v>
      </c>
      <c r="L3010" s="355"/>
      <c r="M3010" s="355"/>
    </row>
    <row r="3011" spans="5:13" ht="30" customHeight="1">
      <c r="E3011" s="355"/>
      <c r="F3011" s="355"/>
      <c r="G3011" s="355"/>
      <c r="H3011" s="362" t="s">
        <v>3244</v>
      </c>
      <c r="I3011" s="355"/>
      <c r="J3011" s="355"/>
      <c r="K3011" s="363">
        <f>K3010/6</f>
        <v>2424.33</v>
      </c>
      <c r="L3011" s="355">
        <f>2166*6</f>
        <v>12996</v>
      </c>
      <c r="M3011" s="355">
        <f>L3011-K3010</f>
        <v>-1549.99</v>
      </c>
    </row>
    <row r="3012" spans="5:13">
      <c r="E3012" s="355"/>
      <c r="F3012" s="355"/>
      <c r="G3012" s="355"/>
      <c r="H3012" s="355"/>
      <c r="I3012" s="355"/>
      <c r="J3012" s="355"/>
      <c r="K3012" s="355"/>
      <c r="L3012" s="355">
        <f>L3011-K3010</f>
        <v>-1549.99</v>
      </c>
      <c r="M3012" s="355"/>
    </row>
    <row r="3013" spans="5:13" ht="30" customHeight="1">
      <c r="E3013" s="355"/>
      <c r="F3013" s="355"/>
      <c r="G3013" s="355"/>
      <c r="H3013" s="363" t="s">
        <v>2351</v>
      </c>
      <c r="I3013" s="355"/>
      <c r="J3013" s="355"/>
      <c r="K3013" s="355"/>
      <c r="L3013" s="355">
        <f>L3012*6</f>
        <v>-9299.94</v>
      </c>
      <c r="M3013" s="355"/>
    </row>
    <row r="3014" spans="5:13" ht="47.25">
      <c r="E3014" s="355"/>
      <c r="F3014" s="355"/>
      <c r="G3014" s="355"/>
      <c r="H3014" s="353" t="s">
        <v>2352</v>
      </c>
      <c r="I3014" s="355"/>
      <c r="J3014" s="355"/>
      <c r="K3014" s="355"/>
      <c r="L3014" s="355"/>
      <c r="M3014" s="355"/>
    </row>
    <row r="3015" spans="5:13">
      <c r="E3015" s="355"/>
      <c r="F3015" s="355"/>
      <c r="G3015" s="355"/>
      <c r="H3015" s="355"/>
      <c r="I3015" s="355"/>
      <c r="J3015" s="355"/>
      <c r="K3015" s="355"/>
      <c r="L3015" s="355"/>
      <c r="M3015" s="355"/>
    </row>
    <row r="3016" spans="5:13" ht="213.75" customHeight="1">
      <c r="E3016" s="355"/>
      <c r="F3016" s="355"/>
      <c r="G3016" s="355"/>
      <c r="H3016" s="354" t="s">
        <v>2219</v>
      </c>
      <c r="I3016" s="355"/>
      <c r="J3016" s="355"/>
      <c r="K3016" s="355"/>
      <c r="L3016" s="355"/>
      <c r="M3016" s="355"/>
    </row>
    <row r="3017" spans="5:13">
      <c r="E3017" s="355"/>
      <c r="F3017" s="355"/>
      <c r="G3017" s="355"/>
      <c r="H3017" s="355"/>
      <c r="I3017" s="355"/>
      <c r="J3017" s="355"/>
      <c r="K3017" s="355"/>
      <c r="L3017" s="355"/>
      <c r="M3017" s="355"/>
    </row>
    <row r="3018" spans="5:13" ht="30" customHeight="1">
      <c r="E3018" s="355"/>
      <c r="F3018" s="355"/>
      <c r="G3018" s="355"/>
      <c r="H3018" s="355" t="s">
        <v>2220</v>
      </c>
      <c r="I3018" s="355"/>
      <c r="J3018" s="355"/>
      <c r="K3018" s="355">
        <f>K3010-K3009</f>
        <v>14495.51</v>
      </c>
      <c r="L3018" s="355"/>
      <c r="M3018" s="355"/>
    </row>
    <row r="3019" spans="5:13" ht="30" customHeight="1">
      <c r="E3019" s="355"/>
      <c r="F3019" s="355"/>
      <c r="G3019" s="355"/>
      <c r="H3019" s="355" t="s">
        <v>2777</v>
      </c>
      <c r="I3019" s="355"/>
      <c r="J3019" s="355"/>
      <c r="K3019" s="355">
        <f>K3002</f>
        <v>81.599999999999994</v>
      </c>
      <c r="L3019" s="355"/>
      <c r="M3019" s="355"/>
    </row>
    <row r="3020" spans="5:13" ht="30" customHeight="1">
      <c r="E3020" s="355"/>
      <c r="F3020" s="355"/>
      <c r="G3020" s="355"/>
      <c r="H3020" s="355" t="s">
        <v>4765</v>
      </c>
      <c r="I3020" s="355"/>
      <c r="J3020" s="355"/>
      <c r="K3020" s="425">
        <f>16.5*6</f>
        <v>99</v>
      </c>
      <c r="L3020" s="355"/>
      <c r="M3020" s="355"/>
    </row>
    <row r="3021" spans="5:13" ht="30" customHeight="1">
      <c r="E3021" s="355"/>
      <c r="F3021" s="355"/>
      <c r="G3021" s="355"/>
      <c r="H3021" s="355" t="s">
        <v>2187</v>
      </c>
      <c r="I3021" s="355"/>
      <c r="J3021" s="355"/>
      <c r="K3021" s="355">
        <v>39.979999999999997</v>
      </c>
      <c r="L3021" s="355"/>
      <c r="M3021" s="355"/>
    </row>
    <row r="3022" spans="5:13" ht="24" customHeight="1">
      <c r="E3022" s="355"/>
      <c r="F3022" s="355"/>
      <c r="G3022" s="355"/>
      <c r="H3022" s="360" t="s">
        <v>2778</v>
      </c>
      <c r="I3022" s="355"/>
      <c r="J3022" s="355"/>
      <c r="K3022" s="361">
        <f>(K3018-K3019)+K3020+K3021</f>
        <v>14552.89</v>
      </c>
      <c r="L3022" s="355">
        <f>2167*6</f>
        <v>13002</v>
      </c>
      <c r="M3022" s="355"/>
    </row>
    <row r="3023" spans="5:13" ht="24" customHeight="1">
      <c r="E3023" s="355"/>
      <c r="F3023" s="355"/>
      <c r="G3023" s="355"/>
      <c r="H3023" s="362" t="s">
        <v>2779</v>
      </c>
      <c r="I3023" s="355"/>
      <c r="J3023" s="355"/>
      <c r="K3023" s="363">
        <f>K3022/6</f>
        <v>2425.48</v>
      </c>
      <c r="L3023" s="355">
        <f>L3022-K3022</f>
        <v>-1550.89</v>
      </c>
      <c r="M3023" s="355"/>
    </row>
    <row r="3024" spans="5:13">
      <c r="E3024" s="355"/>
      <c r="F3024" s="355"/>
      <c r="G3024" s="355"/>
      <c r="H3024" s="355"/>
      <c r="I3024" s="355"/>
      <c r="J3024" s="355"/>
      <c r="K3024" s="355"/>
      <c r="L3024" s="355"/>
      <c r="M3024" s="355"/>
    </row>
    <row r="3025" spans="5:13">
      <c r="E3025" s="355"/>
      <c r="F3025" s="355"/>
      <c r="G3025" s="355"/>
      <c r="H3025" s="363" t="s">
        <v>2780</v>
      </c>
      <c r="I3025" s="355"/>
      <c r="J3025" s="355"/>
      <c r="K3025" s="355"/>
      <c r="L3025" s="355"/>
      <c r="M3025" s="355"/>
    </row>
    <row r="3026" spans="5:13" ht="30.75" customHeight="1">
      <c r="E3026" s="355"/>
      <c r="F3026" s="355"/>
      <c r="G3026" s="355"/>
      <c r="H3026" s="353" t="s">
        <v>2821</v>
      </c>
      <c r="I3026" s="355"/>
      <c r="J3026" s="355"/>
      <c r="K3026" s="355"/>
      <c r="L3026" s="355"/>
      <c r="M3026" s="355"/>
    </row>
    <row r="3027" spans="5:13" ht="157.5">
      <c r="E3027" s="355"/>
      <c r="F3027" s="355"/>
      <c r="G3027" s="355"/>
      <c r="H3027" s="354" t="s">
        <v>2851</v>
      </c>
      <c r="I3027" s="355"/>
      <c r="J3027" s="355"/>
      <c r="K3027" s="355"/>
      <c r="L3027" s="355"/>
      <c r="M3027" s="355"/>
    </row>
    <row r="3028" spans="5:13" ht="30.75" customHeight="1">
      <c r="E3028" s="355"/>
      <c r="F3028" s="355">
        <v>90</v>
      </c>
      <c r="G3028" s="355" t="s">
        <v>794</v>
      </c>
      <c r="H3028" s="276" t="s">
        <v>2463</v>
      </c>
      <c r="I3028" s="355">
        <f t="shared" ref="I3028:I3040" si="101">I2905</f>
        <v>15.5</v>
      </c>
      <c r="J3028" s="355" t="s">
        <v>2464</v>
      </c>
      <c r="K3028" s="355">
        <f>F3028*I3028</f>
        <v>1395</v>
      </c>
      <c r="L3028" s="355"/>
      <c r="M3028" s="355"/>
    </row>
    <row r="3029" spans="5:13" ht="27.75" customHeight="1">
      <c r="E3029" s="355"/>
      <c r="F3029" s="355">
        <v>45</v>
      </c>
      <c r="G3029" s="355" t="s">
        <v>794</v>
      </c>
      <c r="H3029" s="354" t="s">
        <v>2279</v>
      </c>
      <c r="I3029" s="355">
        <f t="shared" si="101"/>
        <v>19.100000000000001</v>
      </c>
      <c r="J3029" s="355" t="s">
        <v>794</v>
      </c>
      <c r="K3029" s="355">
        <f t="shared" ref="K3029:K3040" si="102">F3029*I3029</f>
        <v>859.5</v>
      </c>
      <c r="L3029" s="355"/>
      <c r="M3029" s="355"/>
    </row>
    <row r="3030" spans="5:13">
      <c r="E3030" s="355"/>
      <c r="F3030" s="355">
        <v>12</v>
      </c>
      <c r="G3030" s="355" t="s">
        <v>1337</v>
      </c>
      <c r="H3030" s="355" t="s">
        <v>2281</v>
      </c>
      <c r="I3030" s="355">
        <f t="shared" si="101"/>
        <v>3</v>
      </c>
      <c r="J3030" s="355" t="s">
        <v>1337</v>
      </c>
      <c r="K3030" s="355">
        <f t="shared" si="102"/>
        <v>36</v>
      </c>
      <c r="L3030" s="355"/>
      <c r="M3030" s="355"/>
    </row>
    <row r="3031" spans="5:13">
      <c r="E3031" s="355"/>
      <c r="F3031" s="355">
        <v>6</v>
      </c>
      <c r="G3031" s="355" t="s">
        <v>1337</v>
      </c>
      <c r="H3031" s="355" t="s">
        <v>3323</v>
      </c>
      <c r="I3031" s="355">
        <f t="shared" si="101"/>
        <v>1.28</v>
      </c>
      <c r="J3031" s="355" t="s">
        <v>1337</v>
      </c>
      <c r="K3031" s="355">
        <f t="shared" si="102"/>
        <v>7.68</v>
      </c>
      <c r="L3031" s="355"/>
      <c r="M3031" s="355"/>
    </row>
    <row r="3032" spans="5:13">
      <c r="E3032" s="355"/>
      <c r="F3032" s="355">
        <v>6</v>
      </c>
      <c r="G3032" s="355" t="s">
        <v>1337</v>
      </c>
      <c r="H3032" s="355" t="s">
        <v>3405</v>
      </c>
      <c r="I3032" s="355">
        <f t="shared" si="101"/>
        <v>3.43</v>
      </c>
      <c r="J3032" s="355" t="s">
        <v>1337</v>
      </c>
      <c r="K3032" s="355">
        <f t="shared" si="102"/>
        <v>20.58</v>
      </c>
      <c r="L3032" s="355"/>
      <c r="M3032" s="355"/>
    </row>
    <row r="3033" spans="5:13">
      <c r="E3033" s="355"/>
      <c r="F3033" s="355">
        <v>6</v>
      </c>
      <c r="G3033" s="355" t="s">
        <v>1337</v>
      </c>
      <c r="H3033" s="355" t="s">
        <v>2553</v>
      </c>
      <c r="I3033" s="355">
        <f t="shared" si="101"/>
        <v>13.6</v>
      </c>
      <c r="J3033" s="355" t="s">
        <v>1337</v>
      </c>
      <c r="K3033" s="355">
        <f t="shared" si="102"/>
        <v>81.599999999999994</v>
      </c>
      <c r="L3033" s="355"/>
      <c r="M3033" s="355"/>
    </row>
    <row r="3034" spans="5:13">
      <c r="E3034" s="355"/>
      <c r="F3034" s="355">
        <v>6</v>
      </c>
      <c r="G3034" s="355" t="s">
        <v>1337</v>
      </c>
      <c r="H3034" s="355" t="s">
        <v>3196</v>
      </c>
      <c r="I3034" s="355">
        <f t="shared" si="101"/>
        <v>16.05</v>
      </c>
      <c r="J3034" s="355" t="s">
        <v>3326</v>
      </c>
      <c r="K3034" s="355">
        <f t="shared" si="102"/>
        <v>96.3</v>
      </c>
      <c r="L3034" s="355"/>
      <c r="M3034" s="355"/>
    </row>
    <row r="3035" spans="5:13">
      <c r="E3035" s="355"/>
      <c r="F3035" s="355">
        <v>6</v>
      </c>
      <c r="G3035" s="355" t="s">
        <v>1337</v>
      </c>
      <c r="H3035" s="355" t="s">
        <v>3758</v>
      </c>
      <c r="I3035" s="355">
        <f t="shared" si="101"/>
        <v>102.7</v>
      </c>
      <c r="J3035" s="355" t="s">
        <v>1337</v>
      </c>
      <c r="K3035" s="355">
        <f t="shared" si="102"/>
        <v>616.20000000000005</v>
      </c>
      <c r="L3035" s="355"/>
      <c r="M3035" s="355"/>
    </row>
    <row r="3036" spans="5:13">
      <c r="E3036" s="355"/>
      <c r="F3036" s="355">
        <v>0.36</v>
      </c>
      <c r="G3036" s="355" t="s">
        <v>2199</v>
      </c>
      <c r="H3036" s="355" t="s">
        <v>2560</v>
      </c>
      <c r="I3036" s="355">
        <f t="shared" si="101"/>
        <v>630</v>
      </c>
      <c r="J3036" s="355" t="s">
        <v>2199</v>
      </c>
      <c r="K3036" s="355">
        <f t="shared" si="102"/>
        <v>226.8</v>
      </c>
      <c r="L3036" s="355"/>
      <c r="M3036" s="355"/>
    </row>
    <row r="3037" spans="5:13">
      <c r="E3037" s="355"/>
      <c r="F3037" s="355">
        <v>1</v>
      </c>
      <c r="G3037" s="355" t="s">
        <v>1337</v>
      </c>
      <c r="H3037" s="355" t="s">
        <v>2756</v>
      </c>
      <c r="I3037" s="355">
        <f t="shared" si="101"/>
        <v>63.1</v>
      </c>
      <c r="J3037" s="355" t="s">
        <v>1337</v>
      </c>
      <c r="K3037" s="355">
        <f t="shared" si="102"/>
        <v>63.1</v>
      </c>
      <c r="L3037" s="355"/>
      <c r="M3037" s="355"/>
    </row>
    <row r="3038" spans="5:13">
      <c r="E3038" s="355"/>
      <c r="F3038" s="358">
        <v>1.4999999999999999E-2</v>
      </c>
      <c r="G3038" s="355" t="s">
        <v>2199</v>
      </c>
      <c r="H3038" s="355" t="s">
        <v>2560</v>
      </c>
      <c r="I3038" s="355">
        <f t="shared" si="101"/>
        <v>630</v>
      </c>
      <c r="J3038" s="355" t="s">
        <v>2199</v>
      </c>
      <c r="K3038" s="355">
        <f t="shared" si="102"/>
        <v>9.4499999999999993</v>
      </c>
      <c r="L3038" s="355"/>
      <c r="M3038" s="355"/>
    </row>
    <row r="3039" spans="5:13">
      <c r="E3039" s="355"/>
      <c r="F3039" s="355">
        <v>1.25</v>
      </c>
      <c r="G3039" s="355" t="s">
        <v>2557</v>
      </c>
      <c r="H3039" s="355" t="s">
        <v>364</v>
      </c>
      <c r="I3039" s="355">
        <f t="shared" si="101"/>
        <v>298</v>
      </c>
      <c r="J3039" s="355" t="s">
        <v>2557</v>
      </c>
      <c r="K3039" s="355">
        <f t="shared" si="102"/>
        <v>372.5</v>
      </c>
      <c r="L3039" s="355"/>
      <c r="M3039" s="355"/>
    </row>
    <row r="3040" spans="5:13" ht="31.5">
      <c r="E3040" s="355"/>
      <c r="F3040" s="355">
        <v>45</v>
      </c>
      <c r="G3040" s="355" t="s">
        <v>794</v>
      </c>
      <c r="H3040" s="276" t="s">
        <v>2563</v>
      </c>
      <c r="I3040" s="355">
        <f t="shared" si="101"/>
        <v>15.5</v>
      </c>
      <c r="J3040" s="355" t="s">
        <v>2464</v>
      </c>
      <c r="K3040" s="355">
        <f t="shared" si="102"/>
        <v>697.5</v>
      </c>
      <c r="L3040" s="355"/>
      <c r="M3040" s="355"/>
    </row>
    <row r="3041" spans="5:13">
      <c r="E3041" s="355"/>
      <c r="F3041" s="355"/>
      <c r="G3041" s="355"/>
      <c r="H3041" s="355" t="s">
        <v>878</v>
      </c>
      <c r="I3041" s="355"/>
      <c r="J3041" s="355"/>
      <c r="K3041" s="355">
        <f>K2918</f>
        <v>10421</v>
      </c>
      <c r="L3041" s="355"/>
      <c r="M3041" s="355"/>
    </row>
    <row r="3042" spans="5:13">
      <c r="E3042" s="355"/>
      <c r="F3042" s="355"/>
      <c r="G3042" s="355"/>
      <c r="H3042" s="355" t="s">
        <v>2187</v>
      </c>
      <c r="I3042" s="355"/>
      <c r="J3042" s="355"/>
      <c r="K3042" s="355">
        <v>46.07</v>
      </c>
      <c r="L3042" s="355">
        <f>43.19-K3042</f>
        <v>-2.88</v>
      </c>
      <c r="M3042" s="355"/>
    </row>
    <row r="3043" spans="5:13">
      <c r="E3043" s="355"/>
      <c r="F3043" s="355"/>
      <c r="G3043" s="355"/>
      <c r="H3043" s="360" t="s">
        <v>2778</v>
      </c>
      <c r="I3043" s="355"/>
      <c r="J3043" s="355"/>
      <c r="K3043" s="361">
        <f>SUM(K3028:K3042)</f>
        <v>14949.28</v>
      </c>
      <c r="L3043" s="355">
        <f>2225*6</f>
        <v>13350</v>
      </c>
      <c r="M3043" s="355"/>
    </row>
    <row r="3044" spans="5:13">
      <c r="E3044" s="355"/>
      <c r="F3044" s="355"/>
      <c r="G3044" s="355"/>
      <c r="H3044" s="362" t="s">
        <v>3096</v>
      </c>
      <c r="I3044" s="355"/>
      <c r="J3044" s="355"/>
      <c r="K3044" s="363">
        <f>K3043/6</f>
        <v>2491.5500000000002</v>
      </c>
      <c r="L3044" s="355">
        <f>L3043-K3043</f>
        <v>-1599.28</v>
      </c>
      <c r="M3044" s="355"/>
    </row>
    <row r="3045" spans="5:13">
      <c r="E3045" s="355"/>
      <c r="F3045" s="355"/>
      <c r="G3045" s="355"/>
      <c r="H3045" s="355"/>
      <c r="I3045" s="355"/>
      <c r="J3045" s="355"/>
      <c r="K3045" s="355"/>
      <c r="L3045" s="355"/>
      <c r="M3045" s="355"/>
    </row>
    <row r="3046" spans="5:13">
      <c r="E3046" s="355"/>
      <c r="F3046" s="355"/>
      <c r="G3046" s="355"/>
      <c r="H3046" s="363" t="s">
        <v>2852</v>
      </c>
      <c r="I3046" s="355"/>
      <c r="J3046" s="355"/>
      <c r="K3046" s="355">
        <f>0.13*6</f>
        <v>0.78</v>
      </c>
      <c r="L3046" s="355"/>
      <c r="M3046" s="355"/>
    </row>
    <row r="3047" spans="5:13" ht="48.75" customHeight="1">
      <c r="E3047" s="355"/>
      <c r="F3047" s="355"/>
      <c r="G3047" s="355"/>
      <c r="H3047" s="353" t="s">
        <v>2305</v>
      </c>
      <c r="I3047" s="355"/>
      <c r="J3047" s="355"/>
      <c r="K3047" s="355"/>
      <c r="L3047" s="355"/>
      <c r="M3047" s="355"/>
    </row>
    <row r="3048" spans="5:13" ht="192.75" customHeight="1">
      <c r="E3048" s="355"/>
      <c r="F3048" s="355"/>
      <c r="G3048" s="355"/>
      <c r="H3048" s="354" t="s">
        <v>2886</v>
      </c>
      <c r="I3048" s="355"/>
      <c r="J3048" s="355"/>
      <c r="K3048" s="355"/>
      <c r="L3048" s="355"/>
      <c r="M3048" s="355"/>
    </row>
    <row r="3049" spans="5:13" ht="30" customHeight="1">
      <c r="E3049" s="355"/>
      <c r="F3049" s="355">
        <v>90</v>
      </c>
      <c r="G3049" s="355" t="s">
        <v>794</v>
      </c>
      <c r="H3049" s="463" t="s">
        <v>2463</v>
      </c>
      <c r="I3049" s="355">
        <f t="shared" ref="I3049:I3059" si="103">I2931</f>
        <v>15.5</v>
      </c>
      <c r="J3049" s="355" t="s">
        <v>2464</v>
      </c>
      <c r="K3049" s="355">
        <f>F3049*I3049</f>
        <v>1395</v>
      </c>
      <c r="L3049" s="355"/>
      <c r="M3049" s="355"/>
    </row>
    <row r="3050" spans="5:13" ht="27.75" customHeight="1">
      <c r="E3050" s="355"/>
      <c r="F3050" s="355">
        <v>30</v>
      </c>
      <c r="G3050" s="355" t="s">
        <v>794</v>
      </c>
      <c r="H3050" s="354" t="s">
        <v>2279</v>
      </c>
      <c r="I3050" s="355">
        <f t="shared" si="103"/>
        <v>19.100000000000001</v>
      </c>
      <c r="J3050" s="355" t="s">
        <v>794</v>
      </c>
      <c r="K3050" s="355">
        <f t="shared" ref="K3050:K3059" si="104">F3050*I3050</f>
        <v>573</v>
      </c>
      <c r="L3050" s="355"/>
      <c r="M3050" s="355"/>
    </row>
    <row r="3051" spans="5:13">
      <c r="E3051" s="355"/>
      <c r="F3051" s="355">
        <v>6</v>
      </c>
      <c r="G3051" s="355" t="s">
        <v>1337</v>
      </c>
      <c r="H3051" s="355" t="s">
        <v>2281</v>
      </c>
      <c r="I3051" s="355">
        <f t="shared" si="103"/>
        <v>3</v>
      </c>
      <c r="J3051" s="355" t="s">
        <v>1337</v>
      </c>
      <c r="K3051" s="355">
        <f t="shared" si="104"/>
        <v>18</v>
      </c>
      <c r="L3051" s="355"/>
      <c r="M3051" s="355"/>
    </row>
    <row r="3052" spans="5:13">
      <c r="E3052" s="355"/>
      <c r="F3052" s="355">
        <v>3</v>
      </c>
      <c r="G3052" s="355" t="s">
        <v>1337</v>
      </c>
      <c r="H3052" s="355" t="s">
        <v>3323</v>
      </c>
      <c r="I3052" s="355">
        <f t="shared" si="103"/>
        <v>1.28</v>
      </c>
      <c r="J3052" s="355" t="s">
        <v>1337</v>
      </c>
      <c r="K3052" s="355">
        <f t="shared" si="104"/>
        <v>3.84</v>
      </c>
      <c r="L3052" s="355"/>
      <c r="M3052" s="355"/>
    </row>
    <row r="3053" spans="5:13">
      <c r="E3053" s="355"/>
      <c r="F3053" s="355">
        <v>6</v>
      </c>
      <c r="G3053" s="355" t="s">
        <v>1337</v>
      </c>
      <c r="H3053" s="355" t="s">
        <v>2366</v>
      </c>
      <c r="I3053" s="355">
        <f t="shared" si="103"/>
        <v>19.920000000000002</v>
      </c>
      <c r="J3053" s="355" t="s">
        <v>1337</v>
      </c>
      <c r="K3053" s="355">
        <f t="shared" si="104"/>
        <v>119.52</v>
      </c>
      <c r="L3053" s="355"/>
      <c r="M3053" s="355"/>
    </row>
    <row r="3054" spans="5:13">
      <c r="E3054" s="355"/>
      <c r="F3054" s="355">
        <v>3</v>
      </c>
      <c r="G3054" s="355" t="s">
        <v>1337</v>
      </c>
      <c r="H3054" s="355" t="s">
        <v>2553</v>
      </c>
      <c r="I3054" s="355">
        <f t="shared" si="103"/>
        <v>13.6</v>
      </c>
      <c r="J3054" s="355" t="s">
        <v>1337</v>
      </c>
      <c r="K3054" s="355">
        <f t="shared" si="104"/>
        <v>40.799999999999997</v>
      </c>
      <c r="L3054" s="355"/>
      <c r="M3054" s="355"/>
    </row>
    <row r="3055" spans="5:13">
      <c r="E3055" s="355"/>
      <c r="F3055" s="355">
        <v>3</v>
      </c>
      <c r="G3055" s="355" t="s">
        <v>1337</v>
      </c>
      <c r="H3055" s="355" t="s">
        <v>2555</v>
      </c>
      <c r="I3055" s="355">
        <f t="shared" si="103"/>
        <v>3.43</v>
      </c>
      <c r="J3055" s="355" t="s">
        <v>1337</v>
      </c>
      <c r="K3055" s="355">
        <f t="shared" si="104"/>
        <v>10.29</v>
      </c>
      <c r="L3055" s="355"/>
      <c r="M3055" s="355"/>
    </row>
    <row r="3056" spans="5:13">
      <c r="E3056" s="355"/>
      <c r="F3056" s="355">
        <v>3</v>
      </c>
      <c r="G3056" s="355" t="s">
        <v>1337</v>
      </c>
      <c r="H3056" s="355" t="s">
        <v>2367</v>
      </c>
      <c r="I3056" s="355">
        <f t="shared" si="103"/>
        <v>63.1</v>
      </c>
      <c r="J3056" s="355" t="s">
        <v>1337</v>
      </c>
      <c r="K3056" s="355">
        <f t="shared" si="104"/>
        <v>189.3</v>
      </c>
      <c r="L3056" s="355"/>
      <c r="M3056" s="355"/>
    </row>
    <row r="3057" spans="5:18">
      <c r="E3057" s="355"/>
      <c r="F3057" s="358">
        <v>5.3999999999999999E-2</v>
      </c>
      <c r="G3057" s="355" t="s">
        <v>2199</v>
      </c>
      <c r="H3057" s="355" t="s">
        <v>2476</v>
      </c>
      <c r="I3057" s="355">
        <f t="shared" si="103"/>
        <v>630</v>
      </c>
      <c r="J3057" s="355" t="s">
        <v>2199</v>
      </c>
      <c r="K3057" s="355">
        <f t="shared" si="104"/>
        <v>34.020000000000003</v>
      </c>
      <c r="L3057" s="355"/>
      <c r="M3057" s="355"/>
    </row>
    <row r="3058" spans="5:18">
      <c r="E3058" s="355"/>
      <c r="F3058" s="355">
        <v>1.25</v>
      </c>
      <c r="G3058" s="355" t="s">
        <v>2557</v>
      </c>
      <c r="H3058" s="355" t="s">
        <v>364</v>
      </c>
      <c r="I3058" s="355">
        <f t="shared" si="103"/>
        <v>298</v>
      </c>
      <c r="J3058" s="355" t="s">
        <v>2557</v>
      </c>
      <c r="K3058" s="355">
        <f t="shared" si="104"/>
        <v>372.5</v>
      </c>
      <c r="L3058" s="355"/>
      <c r="M3058" s="355"/>
    </row>
    <row r="3059" spans="5:18" ht="29.25" customHeight="1">
      <c r="E3059" s="355"/>
      <c r="F3059" s="355">
        <v>30</v>
      </c>
      <c r="G3059" s="355" t="s">
        <v>794</v>
      </c>
      <c r="H3059" s="276" t="s">
        <v>2563</v>
      </c>
      <c r="I3059" s="355">
        <f t="shared" si="103"/>
        <v>15.5</v>
      </c>
      <c r="J3059" s="355" t="s">
        <v>2464</v>
      </c>
      <c r="K3059" s="355">
        <f t="shared" si="104"/>
        <v>465</v>
      </c>
      <c r="L3059" s="355"/>
      <c r="M3059" s="355"/>
    </row>
    <row r="3060" spans="5:18">
      <c r="E3060" s="355"/>
      <c r="F3060" s="355"/>
      <c r="G3060" s="355"/>
      <c r="H3060" s="355" t="s">
        <v>878</v>
      </c>
      <c r="I3060" s="355"/>
      <c r="J3060" s="355"/>
      <c r="K3060" s="355">
        <f>K2942</f>
        <v>10421</v>
      </c>
      <c r="L3060" s="355"/>
      <c r="M3060" s="355"/>
    </row>
    <row r="3061" spans="5:18">
      <c r="E3061" s="355"/>
      <c r="F3061" s="355"/>
      <c r="G3061" s="355"/>
      <c r="H3061" s="355" t="s">
        <v>2187</v>
      </c>
      <c r="I3061" s="355"/>
      <c r="J3061" s="355"/>
      <c r="K3061" s="355">
        <v>18.27</v>
      </c>
      <c r="L3061" s="355"/>
      <c r="M3061" s="355"/>
    </row>
    <row r="3062" spans="5:18">
      <c r="E3062" s="355"/>
      <c r="F3062" s="355"/>
      <c r="G3062" s="355"/>
      <c r="H3062" s="360" t="s">
        <v>2887</v>
      </c>
      <c r="I3062" s="355"/>
      <c r="J3062" s="355"/>
      <c r="K3062" s="361">
        <f>SUM(K3049:K3061)</f>
        <v>13660.54</v>
      </c>
      <c r="L3062" s="355">
        <f>4070.5*3</f>
        <v>12211.5</v>
      </c>
      <c r="M3062" s="355"/>
    </row>
    <row r="3063" spans="5:18">
      <c r="E3063" s="355"/>
      <c r="F3063" s="355"/>
      <c r="G3063" s="355"/>
      <c r="H3063" s="362" t="s">
        <v>3096</v>
      </c>
      <c r="I3063" s="355"/>
      <c r="J3063" s="355"/>
      <c r="K3063" s="363">
        <f>K3062/3</f>
        <v>4553.51</v>
      </c>
      <c r="L3063" s="355">
        <f>L3062-K3062</f>
        <v>-1449.04</v>
      </c>
      <c r="M3063" s="355"/>
    </row>
    <row r="3064" spans="5:18">
      <c r="E3064" s="355"/>
      <c r="F3064" s="355"/>
      <c r="G3064" s="355"/>
      <c r="H3064" s="355"/>
      <c r="I3064" s="355"/>
      <c r="J3064" s="355"/>
      <c r="K3064" s="355"/>
      <c r="L3064" s="355"/>
      <c r="M3064" s="355"/>
    </row>
    <row r="3065" spans="5:18" ht="22.5" customHeight="1">
      <c r="E3065" s="355"/>
      <c r="F3065" s="355"/>
      <c r="G3065" s="355"/>
      <c r="H3065" s="371" t="s">
        <v>2888</v>
      </c>
      <c r="I3065" s="355"/>
      <c r="J3065" s="355"/>
      <c r="K3065" s="355"/>
      <c r="L3065" s="355"/>
      <c r="M3065" s="355"/>
    </row>
    <row r="3066" spans="5:18">
      <c r="E3066" s="355"/>
      <c r="F3066" s="355"/>
      <c r="G3066" s="355"/>
      <c r="H3066" s="355"/>
      <c r="I3066" s="355"/>
      <c r="J3066" s="355"/>
      <c r="K3066" s="355"/>
      <c r="L3066" s="355"/>
      <c r="M3066" s="355"/>
    </row>
    <row r="3067" spans="5:18" ht="24.75" customHeight="1">
      <c r="E3067" s="355"/>
      <c r="F3067" s="355"/>
      <c r="G3067" s="355"/>
      <c r="H3067" s="363" t="s">
        <v>2889</v>
      </c>
      <c r="I3067" s="355"/>
      <c r="J3067" s="355"/>
      <c r="K3067" s="355"/>
      <c r="L3067" s="355"/>
      <c r="M3067" s="355"/>
      <c r="N3067" s="355"/>
      <c r="O3067" s="363" t="s">
        <v>2893</v>
      </c>
      <c r="P3067" s="355"/>
      <c r="Q3067" s="355"/>
      <c r="R3067" s="355"/>
    </row>
    <row r="3068" spans="5:18" ht="23.25" customHeight="1">
      <c r="E3068" s="355"/>
      <c r="F3068" s="355"/>
      <c r="G3068" s="355"/>
      <c r="H3068" s="363" t="s">
        <v>2306</v>
      </c>
      <c r="I3068" s="355"/>
      <c r="J3068" s="355"/>
      <c r="K3068" s="355"/>
      <c r="L3068" s="355"/>
      <c r="M3068" s="355"/>
      <c r="N3068" s="355"/>
      <c r="O3068" s="363" t="s">
        <v>3547</v>
      </c>
      <c r="P3068" s="355"/>
      <c r="Q3068" s="355"/>
      <c r="R3068" s="355"/>
    </row>
    <row r="3069" spans="5:18">
      <c r="E3069" s="355"/>
      <c r="F3069" s="355"/>
      <c r="G3069" s="355"/>
      <c r="H3069" s="355"/>
      <c r="I3069" s="355"/>
      <c r="J3069" s="355"/>
      <c r="K3069" s="355"/>
      <c r="L3069" s="355"/>
      <c r="M3069" s="355"/>
      <c r="N3069" s="355"/>
      <c r="O3069" s="355"/>
      <c r="P3069" s="355"/>
      <c r="Q3069" s="355"/>
      <c r="R3069" s="355"/>
    </row>
    <row r="3070" spans="5:18" ht="122.25" customHeight="1">
      <c r="E3070" s="355"/>
      <c r="F3070" s="355"/>
      <c r="G3070" s="355"/>
      <c r="H3070" s="354" t="s">
        <v>2307</v>
      </c>
      <c r="I3070" s="355"/>
      <c r="J3070" s="355"/>
      <c r="K3070" s="355"/>
      <c r="L3070" s="355"/>
      <c r="M3070" s="355"/>
      <c r="N3070" s="355"/>
      <c r="O3070" s="354" t="s">
        <v>4599</v>
      </c>
      <c r="P3070" s="355"/>
      <c r="Q3070" s="355"/>
      <c r="R3070" s="355"/>
    </row>
    <row r="3071" spans="5:18" ht="31.5">
      <c r="E3071" s="355"/>
      <c r="F3071" s="355"/>
      <c r="G3071" s="355"/>
      <c r="H3071" s="355"/>
      <c r="I3071" s="355"/>
      <c r="J3071" s="355"/>
      <c r="K3071" s="355"/>
      <c r="L3071" s="355"/>
      <c r="M3071" s="355">
        <v>180</v>
      </c>
      <c r="N3071" s="355" t="s">
        <v>794</v>
      </c>
      <c r="O3071" s="276" t="s">
        <v>4827</v>
      </c>
      <c r="P3071" s="425">
        <v>56.7</v>
      </c>
      <c r="Q3071" s="355" t="s">
        <v>2464</v>
      </c>
      <c r="R3071" s="355">
        <f>M3071*P3071</f>
        <v>10206</v>
      </c>
    </row>
    <row r="3072" spans="5:18" ht="38.25" customHeight="1">
      <c r="E3072" s="355"/>
      <c r="F3072" s="355">
        <v>180</v>
      </c>
      <c r="G3072" s="355" t="s">
        <v>794</v>
      </c>
      <c r="H3072" s="463" t="s">
        <v>2463</v>
      </c>
      <c r="I3072" s="355">
        <f>I3049</f>
        <v>15.5</v>
      </c>
      <c r="J3072" s="355" t="s">
        <v>794</v>
      </c>
      <c r="K3072" s="355">
        <f>F3072*I3072</f>
        <v>2790</v>
      </c>
      <c r="L3072" s="355"/>
      <c r="M3072" s="355">
        <v>90</v>
      </c>
      <c r="N3072" s="355" t="s">
        <v>794</v>
      </c>
      <c r="O3072" s="354" t="s">
        <v>2279</v>
      </c>
      <c r="P3072" s="461">
        <f>I3099</f>
        <v>19.100000000000001</v>
      </c>
      <c r="Q3072" s="355" t="s">
        <v>794</v>
      </c>
      <c r="R3072" s="355">
        <f>M3072*P3072</f>
        <v>1719</v>
      </c>
    </row>
    <row r="3073" spans="5:20" ht="37.5" customHeight="1">
      <c r="E3073" s="355"/>
      <c r="F3073" s="355">
        <v>90</v>
      </c>
      <c r="G3073" s="355" t="s">
        <v>794</v>
      </c>
      <c r="H3073" s="354" t="s">
        <v>2279</v>
      </c>
      <c r="I3073" s="355">
        <f>I3050</f>
        <v>19.100000000000001</v>
      </c>
      <c r="J3073" s="355" t="s">
        <v>794</v>
      </c>
      <c r="K3073" s="355">
        <f>F3073*I3073</f>
        <v>1719</v>
      </c>
      <c r="L3073" s="355"/>
      <c r="M3073" s="355">
        <v>3</v>
      </c>
      <c r="N3073" s="355" t="s">
        <v>2557</v>
      </c>
      <c r="O3073" s="355" t="s">
        <v>364</v>
      </c>
      <c r="P3073" s="461">
        <f>I3100</f>
        <v>298</v>
      </c>
      <c r="Q3073" s="355" t="s">
        <v>2557</v>
      </c>
      <c r="R3073" s="355">
        <f>M3073*P3073</f>
        <v>894</v>
      </c>
    </row>
    <row r="3074" spans="5:20" ht="35.25" customHeight="1">
      <c r="E3074" s="355"/>
      <c r="F3074" s="355">
        <v>3</v>
      </c>
      <c r="G3074" s="355" t="s">
        <v>2557</v>
      </c>
      <c r="H3074" s="355" t="s">
        <v>364</v>
      </c>
      <c r="I3074" s="355">
        <f>I3058</f>
        <v>298</v>
      </c>
      <c r="J3074" s="355" t="s">
        <v>2557</v>
      </c>
      <c r="K3074" s="355">
        <f>F3074*I3074</f>
        <v>894</v>
      </c>
      <c r="L3074" s="355"/>
      <c r="M3074" s="355">
        <v>90</v>
      </c>
      <c r="N3074" s="355" t="s">
        <v>794</v>
      </c>
      <c r="O3074" s="276" t="s">
        <v>4828</v>
      </c>
      <c r="P3074" s="461">
        <v>38.299999999999997</v>
      </c>
      <c r="Q3074" s="355" t="s">
        <v>2464</v>
      </c>
      <c r="R3074" s="355">
        <f>M3074*P3074</f>
        <v>3447</v>
      </c>
    </row>
    <row r="3075" spans="5:20" ht="39.75" customHeight="1">
      <c r="E3075" s="355"/>
      <c r="F3075" s="355">
        <v>90</v>
      </c>
      <c r="G3075" s="355" t="s">
        <v>794</v>
      </c>
      <c r="H3075" s="463" t="s">
        <v>2563</v>
      </c>
      <c r="I3075" s="355">
        <f>I3072</f>
        <v>15.5</v>
      </c>
      <c r="J3075" s="355" t="s">
        <v>2464</v>
      </c>
      <c r="K3075" s="355">
        <f>F3075*I3075</f>
        <v>1395</v>
      </c>
      <c r="L3075" s="355"/>
      <c r="M3075" s="355"/>
      <c r="N3075" s="355"/>
      <c r="O3075" s="355" t="s">
        <v>878</v>
      </c>
      <c r="P3075" s="355"/>
      <c r="Q3075" s="355"/>
      <c r="R3075" s="355">
        <f>K3102</f>
        <v>10421</v>
      </c>
    </row>
    <row r="3076" spans="5:20" ht="20.25" customHeight="1">
      <c r="E3076" s="355"/>
      <c r="F3076" s="355"/>
      <c r="G3076" s="355"/>
      <c r="H3076" s="355" t="s">
        <v>878</v>
      </c>
      <c r="I3076" s="355"/>
      <c r="J3076" s="355"/>
      <c r="K3076" s="355">
        <f>K3060</f>
        <v>10421</v>
      </c>
      <c r="L3076" s="355"/>
      <c r="M3076" s="355"/>
      <c r="N3076" s="355"/>
      <c r="O3076" s="355" t="s">
        <v>2187</v>
      </c>
      <c r="P3076" s="355"/>
      <c r="Q3076" s="355"/>
      <c r="R3076" s="355">
        <v>77.400000000000006</v>
      </c>
    </row>
    <row r="3077" spans="5:20">
      <c r="E3077" s="355"/>
      <c r="F3077" s="355"/>
      <c r="G3077" s="355"/>
      <c r="H3077" s="355"/>
      <c r="I3077" s="355"/>
      <c r="J3077" s="355"/>
      <c r="K3077" s="355">
        <f>SUM(K3072:K3076)</f>
        <v>17219</v>
      </c>
      <c r="L3077" s="355"/>
      <c r="M3077" s="355"/>
      <c r="N3077" s="355"/>
      <c r="O3077" s="360" t="s">
        <v>2308</v>
      </c>
      <c r="P3077" s="355"/>
      <c r="Q3077" s="355"/>
      <c r="R3077" s="361">
        <f>SUM(R3071:R3076)</f>
        <v>26764.400000000001</v>
      </c>
    </row>
    <row r="3078" spans="5:20" ht="20.25" customHeight="1">
      <c r="E3078" s="355"/>
      <c r="F3078" s="355"/>
      <c r="G3078" s="355"/>
      <c r="H3078" s="355" t="s">
        <v>2187</v>
      </c>
      <c r="I3078" s="355"/>
      <c r="J3078" s="355"/>
      <c r="K3078" s="355">
        <v>113</v>
      </c>
      <c r="L3078" s="355"/>
      <c r="M3078" s="355"/>
      <c r="N3078" s="355"/>
      <c r="O3078" s="362" t="s">
        <v>2309</v>
      </c>
      <c r="P3078" s="355"/>
      <c r="Q3078" s="355"/>
      <c r="R3078" s="363">
        <f>R3077/90</f>
        <v>297.38</v>
      </c>
      <c r="S3078" s="182" t="s">
        <v>4216</v>
      </c>
      <c r="T3078" s="182">
        <f>S3078-R3077</f>
        <v>-26764.400000000001</v>
      </c>
    </row>
    <row r="3079" spans="5:20">
      <c r="E3079" s="355"/>
      <c r="F3079" s="355"/>
      <c r="G3079" s="355"/>
      <c r="H3079" s="360" t="s">
        <v>2308</v>
      </c>
      <c r="I3079" s="355"/>
      <c r="J3079" s="355"/>
      <c r="K3079" s="361">
        <f>SUM(K3077:K3078)</f>
        <v>17332</v>
      </c>
      <c r="L3079" s="355"/>
      <c r="M3079" s="355"/>
      <c r="N3079" s="355"/>
      <c r="O3079" s="355"/>
      <c r="P3079" s="355"/>
      <c r="Q3079" s="355"/>
      <c r="R3079" s="355"/>
      <c r="S3079" s="182">
        <f>S3078-R3077</f>
        <v>-26764.400000000001</v>
      </c>
    </row>
    <row r="3080" spans="5:20" ht="21.75" customHeight="1">
      <c r="E3080" s="355"/>
      <c r="F3080" s="355"/>
      <c r="G3080" s="355"/>
      <c r="H3080" s="362" t="s">
        <v>2309</v>
      </c>
      <c r="I3080" s="355"/>
      <c r="J3080" s="355"/>
      <c r="K3080" s="363">
        <f>K3079/90</f>
        <v>192.58</v>
      </c>
      <c r="L3080" s="355">
        <f>171.9*90</f>
        <v>15471</v>
      </c>
      <c r="M3080" s="355"/>
      <c r="S3080" s="182">
        <f>212.5*90</f>
        <v>19125</v>
      </c>
    </row>
    <row r="3081" spans="5:20">
      <c r="E3081" s="355"/>
      <c r="F3081" s="355"/>
      <c r="G3081" s="355"/>
      <c r="H3081" s="355"/>
      <c r="I3081" s="355"/>
      <c r="J3081" s="355"/>
      <c r="K3081" s="355"/>
      <c r="L3081" s="355">
        <f>L3080-K3079</f>
        <v>-1861</v>
      </c>
      <c r="M3081" s="355"/>
      <c r="S3081" s="182">
        <f>S3080-R3077</f>
        <v>-7639.4</v>
      </c>
    </row>
    <row r="3082" spans="5:20">
      <c r="E3082" s="355"/>
      <c r="F3082" s="355"/>
      <c r="G3082" s="355"/>
      <c r="H3082" s="363" t="s">
        <v>2310</v>
      </c>
      <c r="I3082" s="355"/>
      <c r="J3082" s="355"/>
      <c r="K3082" s="355"/>
      <c r="L3082" s="355"/>
      <c r="M3082" s="355"/>
    </row>
    <row r="3083" spans="5:20">
      <c r="E3083" s="355"/>
      <c r="F3083" s="355"/>
      <c r="G3083" s="355"/>
      <c r="H3083" s="363" t="s">
        <v>2311</v>
      </c>
      <c r="I3083" s="355"/>
      <c r="J3083" s="355"/>
      <c r="K3083" s="355"/>
      <c r="L3083" s="355"/>
      <c r="M3083" s="355"/>
    </row>
    <row r="3084" spans="5:20">
      <c r="E3084" s="355"/>
      <c r="F3084" s="355"/>
      <c r="G3084" s="355"/>
      <c r="H3084" s="355"/>
      <c r="I3084" s="355"/>
      <c r="J3084" s="355"/>
      <c r="K3084" s="355"/>
      <c r="L3084" s="355"/>
      <c r="M3084" s="355"/>
    </row>
    <row r="3085" spans="5:20" ht="113.25" customHeight="1">
      <c r="E3085" s="355"/>
      <c r="F3085" s="355"/>
      <c r="G3085" s="355"/>
      <c r="H3085" s="354" t="s">
        <v>2942</v>
      </c>
      <c r="I3085" s="355"/>
      <c r="J3085" s="355"/>
      <c r="K3085" s="355"/>
      <c r="L3085" s="355"/>
      <c r="M3085" s="355"/>
    </row>
    <row r="3086" spans="5:20">
      <c r="E3086" s="355"/>
      <c r="F3086" s="355"/>
      <c r="G3086" s="355"/>
      <c r="H3086" s="355"/>
      <c r="I3086" s="355"/>
      <c r="J3086" s="355"/>
      <c r="K3086" s="355"/>
      <c r="L3086" s="355"/>
      <c r="M3086" s="355"/>
    </row>
    <row r="3087" spans="5:20">
      <c r="E3087" s="355"/>
      <c r="F3087" s="355"/>
      <c r="G3087" s="355"/>
      <c r="H3087" s="355" t="s">
        <v>2943</v>
      </c>
      <c r="I3087" s="355"/>
      <c r="J3087" s="355"/>
      <c r="K3087" s="355">
        <f>K3077</f>
        <v>17219</v>
      </c>
      <c r="L3087" s="355"/>
      <c r="M3087" s="355"/>
    </row>
    <row r="3088" spans="5:20" ht="34.5" customHeight="1">
      <c r="E3088" s="355"/>
      <c r="F3088" s="355">
        <v>180</v>
      </c>
      <c r="G3088" s="355" t="s">
        <v>794</v>
      </c>
      <c r="H3088" s="354" t="s">
        <v>4766</v>
      </c>
      <c r="I3088" s="425">
        <v>24.1</v>
      </c>
      <c r="J3088" s="355" t="s">
        <v>794</v>
      </c>
      <c r="K3088" s="355">
        <f>F3088*I3088</f>
        <v>4338</v>
      </c>
      <c r="L3088" s="355"/>
      <c r="M3088" s="355"/>
    </row>
    <row r="3089" spans="5:18" ht="36.75" customHeight="1">
      <c r="E3089" s="355"/>
      <c r="F3089" s="355">
        <v>180</v>
      </c>
      <c r="G3089" s="355" t="s">
        <v>794</v>
      </c>
      <c r="H3089" s="354" t="s">
        <v>2891</v>
      </c>
      <c r="I3089" s="355">
        <f>I3075</f>
        <v>15.5</v>
      </c>
      <c r="J3089" s="355" t="s">
        <v>2464</v>
      </c>
      <c r="K3089" s="355">
        <f>F3089*I3089</f>
        <v>2790</v>
      </c>
      <c r="L3089" s="355"/>
      <c r="M3089" s="355"/>
    </row>
    <row r="3090" spans="5:18" ht="25.5" customHeight="1">
      <c r="E3090" s="355"/>
      <c r="F3090" s="355"/>
      <c r="G3090" s="355"/>
      <c r="H3090" s="355" t="s">
        <v>2187</v>
      </c>
      <c r="I3090" s="355"/>
      <c r="J3090" s="355"/>
      <c r="K3090" s="355">
        <v>113</v>
      </c>
      <c r="L3090" s="355"/>
      <c r="M3090" s="355"/>
    </row>
    <row r="3091" spans="5:18">
      <c r="E3091" s="355"/>
      <c r="F3091" s="355"/>
      <c r="G3091" s="355"/>
      <c r="H3091" s="360" t="s">
        <v>2892</v>
      </c>
      <c r="I3091" s="355"/>
      <c r="J3091" s="355"/>
      <c r="K3091" s="361">
        <f>K3087+K3088-K3089+K3090</f>
        <v>18880</v>
      </c>
      <c r="L3091" s="355"/>
      <c r="M3091" s="355"/>
    </row>
    <row r="3092" spans="5:18">
      <c r="E3092" s="355"/>
      <c r="F3092" s="355"/>
      <c r="G3092" s="355"/>
      <c r="H3092" s="362" t="s">
        <v>2309</v>
      </c>
      <c r="I3092" s="355"/>
      <c r="J3092" s="355"/>
      <c r="K3092" s="363">
        <f>K3091/90</f>
        <v>209.78</v>
      </c>
      <c r="M3092" s="355">
        <f>M3094-K3091</f>
        <v>-2095</v>
      </c>
    </row>
    <row r="3093" spans="5:18">
      <c r="E3093" s="355"/>
      <c r="F3093" s="355"/>
      <c r="G3093" s="355"/>
      <c r="H3093" s="355"/>
      <c r="I3093" s="355"/>
      <c r="J3093" s="355"/>
      <c r="K3093" s="355"/>
      <c r="L3093" s="355">
        <f>M3094-K3091</f>
        <v>-2095</v>
      </c>
      <c r="M3093" s="355"/>
    </row>
    <row r="3094" spans="5:18">
      <c r="E3094" s="355"/>
      <c r="F3094" s="355"/>
      <c r="G3094" s="355"/>
      <c r="H3094" s="363" t="s">
        <v>2893</v>
      </c>
      <c r="I3094" s="355"/>
      <c r="J3094" s="355"/>
      <c r="K3094" s="355"/>
      <c r="L3094" s="355">
        <f>L3093-K3091</f>
        <v>-20975</v>
      </c>
      <c r="M3094" s="355">
        <f>186.5*90</f>
        <v>16785</v>
      </c>
    </row>
    <row r="3095" spans="5:18">
      <c r="E3095" s="355"/>
      <c r="F3095" s="355"/>
      <c r="G3095" s="355"/>
      <c r="H3095" s="363" t="s">
        <v>2894</v>
      </c>
      <c r="I3095" s="355"/>
      <c r="J3095" s="355"/>
      <c r="K3095" s="355"/>
      <c r="L3095" s="355"/>
      <c r="M3095" s="355"/>
    </row>
    <row r="3096" spans="5:18">
      <c r="E3096" s="355"/>
      <c r="F3096" s="355"/>
      <c r="G3096" s="355"/>
      <c r="H3096" s="355"/>
      <c r="I3096" s="355"/>
      <c r="J3096" s="355"/>
      <c r="K3096" s="355"/>
      <c r="L3096" s="355"/>
      <c r="M3096" s="355"/>
    </row>
    <row r="3097" spans="5:18" ht="111.75" customHeight="1">
      <c r="E3097" s="355"/>
      <c r="F3097" s="355"/>
      <c r="G3097" s="355"/>
      <c r="H3097" s="354" t="s">
        <v>3121</v>
      </c>
      <c r="I3097" s="355"/>
      <c r="J3097" s="355"/>
      <c r="K3097" s="355"/>
      <c r="L3097" s="355"/>
      <c r="M3097" s="355"/>
      <c r="N3097" s="355"/>
      <c r="O3097" s="354"/>
      <c r="P3097" s="355"/>
      <c r="Q3097" s="355"/>
      <c r="R3097" s="355"/>
    </row>
    <row r="3098" spans="5:18" ht="36" customHeight="1">
      <c r="E3098" s="355"/>
      <c r="F3098" s="355">
        <v>180</v>
      </c>
      <c r="G3098" s="355" t="s">
        <v>794</v>
      </c>
      <c r="H3098" s="463" t="s">
        <v>4767</v>
      </c>
      <c r="I3098" s="425">
        <v>38.299999999999997</v>
      </c>
      <c r="J3098" s="355" t="s">
        <v>2464</v>
      </c>
      <c r="K3098" s="355">
        <f>F3098*I3098</f>
        <v>6894</v>
      </c>
      <c r="L3098" s="355"/>
      <c r="M3098" s="355"/>
      <c r="N3098" s="355"/>
      <c r="O3098" s="276"/>
      <c r="P3098" s="355"/>
      <c r="Q3098" s="355"/>
      <c r="R3098" s="355"/>
    </row>
    <row r="3099" spans="5:18" ht="39" customHeight="1">
      <c r="E3099" s="355"/>
      <c r="F3099" s="355">
        <v>90</v>
      </c>
      <c r="G3099" s="355" t="s">
        <v>794</v>
      </c>
      <c r="H3099" s="354" t="s">
        <v>2279</v>
      </c>
      <c r="I3099" s="355">
        <f>I3073</f>
        <v>19.100000000000001</v>
      </c>
      <c r="J3099" s="355" t="s">
        <v>794</v>
      </c>
      <c r="K3099" s="355">
        <f>F3099*I3099</f>
        <v>1719</v>
      </c>
      <c r="L3099" s="355"/>
      <c r="M3099" s="355"/>
      <c r="N3099" s="355"/>
      <c r="O3099" s="354"/>
      <c r="P3099" s="355"/>
      <c r="Q3099" s="355"/>
      <c r="R3099" s="355"/>
    </row>
    <row r="3100" spans="5:18" ht="23.25" customHeight="1">
      <c r="E3100" s="355"/>
      <c r="F3100" s="355">
        <v>3</v>
      </c>
      <c r="G3100" s="355" t="s">
        <v>2557</v>
      </c>
      <c r="H3100" s="355" t="s">
        <v>364</v>
      </c>
      <c r="I3100" s="355">
        <f>I3074</f>
        <v>298</v>
      </c>
      <c r="J3100" s="355" t="s">
        <v>2557</v>
      </c>
      <c r="K3100" s="355">
        <f>F3100*I3100</f>
        <v>894</v>
      </c>
      <c r="L3100" s="355"/>
      <c r="M3100" s="355"/>
      <c r="N3100" s="355"/>
      <c r="O3100" s="355"/>
      <c r="P3100" s="355"/>
      <c r="Q3100" s="355"/>
      <c r="R3100" s="355"/>
    </row>
    <row r="3101" spans="5:18" ht="38.25" customHeight="1">
      <c r="E3101" s="355"/>
      <c r="F3101" s="355">
        <v>90</v>
      </c>
      <c r="G3101" s="355" t="s">
        <v>794</v>
      </c>
      <c r="H3101" s="463" t="s">
        <v>3794</v>
      </c>
      <c r="I3101" s="355">
        <f>I3088</f>
        <v>24.1</v>
      </c>
      <c r="J3101" s="355" t="s">
        <v>2464</v>
      </c>
      <c r="K3101" s="355">
        <f>F3101*I3101</f>
        <v>2169</v>
      </c>
      <c r="L3101" s="355"/>
      <c r="M3101" s="355"/>
      <c r="N3101" s="355"/>
      <c r="O3101" s="276"/>
      <c r="P3101" s="355"/>
      <c r="Q3101" s="355"/>
      <c r="R3101" s="355"/>
    </row>
    <row r="3102" spans="5:18">
      <c r="E3102" s="355"/>
      <c r="F3102" s="355"/>
      <c r="G3102" s="355"/>
      <c r="H3102" s="355" t="s">
        <v>878</v>
      </c>
      <c r="I3102" s="355"/>
      <c r="J3102" s="355"/>
      <c r="K3102" s="355">
        <f>K3076</f>
        <v>10421</v>
      </c>
      <c r="L3102" s="355"/>
      <c r="M3102" s="355"/>
      <c r="N3102" s="355"/>
      <c r="O3102" s="355"/>
      <c r="P3102" s="355"/>
      <c r="Q3102" s="355"/>
      <c r="R3102" s="355"/>
    </row>
    <row r="3103" spans="5:18">
      <c r="E3103" s="355"/>
      <c r="F3103" s="355"/>
      <c r="G3103" s="355"/>
      <c r="H3103" s="355" t="s">
        <v>2187</v>
      </c>
      <c r="I3103" s="355"/>
      <c r="J3103" s="355"/>
      <c r="K3103" s="355">
        <v>104</v>
      </c>
      <c r="L3103" s="355"/>
      <c r="M3103" s="355"/>
      <c r="N3103" s="355"/>
      <c r="O3103" s="355"/>
      <c r="P3103" s="355"/>
      <c r="Q3103" s="355"/>
      <c r="R3103" s="355"/>
    </row>
    <row r="3104" spans="5:18">
      <c r="E3104" s="355"/>
      <c r="F3104" s="355"/>
      <c r="G3104" s="355"/>
      <c r="H3104" s="360" t="s">
        <v>2308</v>
      </c>
      <c r="I3104" s="355"/>
      <c r="J3104" s="355"/>
      <c r="K3104" s="361">
        <f>SUM(K3098:K3103)</f>
        <v>22201</v>
      </c>
      <c r="L3104" s="355"/>
      <c r="M3104" s="355"/>
      <c r="N3104" s="355"/>
      <c r="O3104" s="360"/>
      <c r="P3104" s="355"/>
      <c r="Q3104" s="355"/>
      <c r="R3104" s="361"/>
    </row>
    <row r="3105" spans="5:21">
      <c r="E3105" s="355"/>
      <c r="F3105" s="355"/>
      <c r="G3105" s="355"/>
      <c r="H3105" s="362" t="s">
        <v>2309</v>
      </c>
      <c r="I3105" s="355"/>
      <c r="J3105" s="355"/>
      <c r="K3105" s="363">
        <f>K3104/90</f>
        <v>246.68</v>
      </c>
      <c r="L3105" s="355">
        <f>218.6*90</f>
        <v>19674</v>
      </c>
      <c r="M3105" s="355"/>
      <c r="N3105" s="355"/>
      <c r="O3105" s="362"/>
      <c r="P3105" s="355"/>
      <c r="Q3105" s="355"/>
      <c r="R3105" s="363"/>
    </row>
    <row r="3106" spans="5:21">
      <c r="E3106" s="355"/>
      <c r="F3106" s="355"/>
      <c r="G3106" s="355"/>
      <c r="H3106" s="355"/>
      <c r="I3106" s="355"/>
      <c r="J3106" s="355"/>
      <c r="K3106" s="355"/>
      <c r="L3106" s="355">
        <f>L3105-K3104</f>
        <v>-2527</v>
      </c>
      <c r="M3106" s="355"/>
    </row>
    <row r="3107" spans="5:21">
      <c r="E3107" s="355"/>
      <c r="F3107" s="355"/>
      <c r="G3107" s="355"/>
      <c r="H3107" s="355"/>
      <c r="I3107" s="355"/>
      <c r="J3107" s="355"/>
      <c r="K3107" s="355"/>
      <c r="L3107" s="355"/>
      <c r="M3107" s="355"/>
    </row>
    <row r="3108" spans="5:21">
      <c r="E3108" s="355"/>
      <c r="F3108" s="355"/>
      <c r="G3108" s="355"/>
      <c r="H3108" s="363" t="s">
        <v>3123</v>
      </c>
      <c r="I3108" s="355"/>
      <c r="J3108" s="355"/>
      <c r="K3108" s="355"/>
      <c r="L3108" s="355"/>
      <c r="M3108" s="355"/>
      <c r="N3108" s="355"/>
      <c r="O3108" s="363" t="s">
        <v>3123</v>
      </c>
      <c r="P3108" s="355"/>
      <c r="Q3108" s="355"/>
      <c r="R3108" s="355"/>
      <c r="S3108" s="355"/>
    </row>
    <row r="3109" spans="5:21">
      <c r="E3109" s="355"/>
      <c r="F3109" s="355"/>
      <c r="G3109" s="355"/>
      <c r="H3109" s="363" t="s">
        <v>2251</v>
      </c>
      <c r="I3109" s="355"/>
      <c r="J3109" s="355"/>
      <c r="K3109" s="355"/>
      <c r="L3109" s="355"/>
      <c r="M3109" s="355"/>
      <c r="N3109" s="355"/>
      <c r="O3109" s="363" t="s">
        <v>3543</v>
      </c>
      <c r="P3109" s="355"/>
      <c r="Q3109" s="355"/>
      <c r="R3109" s="355"/>
      <c r="S3109" s="355"/>
    </row>
    <row r="3110" spans="5:21">
      <c r="E3110" s="355"/>
      <c r="F3110" s="355"/>
      <c r="G3110" s="355"/>
      <c r="H3110" s="355"/>
      <c r="I3110" s="355"/>
      <c r="J3110" s="355"/>
      <c r="K3110" s="355"/>
      <c r="L3110" s="355"/>
      <c r="M3110" s="355"/>
      <c r="N3110" s="355"/>
      <c r="O3110" s="355"/>
      <c r="P3110" s="355"/>
      <c r="Q3110" s="355"/>
      <c r="R3110" s="355"/>
      <c r="S3110" s="355"/>
    </row>
    <row r="3111" spans="5:21" ht="115.5" customHeight="1">
      <c r="E3111" s="355"/>
      <c r="F3111" s="355"/>
      <c r="G3111" s="355"/>
      <c r="H3111" s="354" t="s">
        <v>2260</v>
      </c>
      <c r="I3111" s="355"/>
      <c r="J3111" s="355"/>
      <c r="K3111" s="355"/>
      <c r="L3111" s="355"/>
      <c r="M3111" s="355"/>
      <c r="N3111" s="355"/>
      <c r="O3111" s="1475" t="s">
        <v>3544</v>
      </c>
      <c r="P3111" s="1475"/>
      <c r="Q3111" s="355"/>
      <c r="R3111" s="355"/>
      <c r="S3111" s="355"/>
    </row>
    <row r="3112" spans="5:21" ht="34.5" customHeight="1">
      <c r="E3112" s="355"/>
      <c r="F3112" s="355">
        <v>360</v>
      </c>
      <c r="G3112" s="355"/>
      <c r="H3112" s="463" t="s">
        <v>4530</v>
      </c>
      <c r="I3112" s="425">
        <f>I3098</f>
        <v>38.299999999999997</v>
      </c>
      <c r="J3112" s="355" t="s">
        <v>2464</v>
      </c>
      <c r="K3112" s="355">
        <f>F3112*I3112</f>
        <v>13788</v>
      </c>
      <c r="L3112" s="355"/>
      <c r="M3112" s="355">
        <v>360</v>
      </c>
      <c r="N3112" s="355"/>
      <c r="O3112" s="276" t="s">
        <v>4544</v>
      </c>
      <c r="P3112" s="461">
        <f>P3071</f>
        <v>56.7</v>
      </c>
      <c r="Q3112" s="355" t="s">
        <v>2464</v>
      </c>
      <c r="R3112" s="355">
        <f>M3112*P3112</f>
        <v>20412</v>
      </c>
      <c r="S3112" s="355"/>
    </row>
    <row r="3113" spans="5:21" ht="36" customHeight="1">
      <c r="E3113" s="355"/>
      <c r="F3113" s="355">
        <v>90</v>
      </c>
      <c r="G3113" s="355"/>
      <c r="H3113" s="354" t="s">
        <v>4768</v>
      </c>
      <c r="I3113" s="425">
        <v>28.4</v>
      </c>
      <c r="J3113" s="355" t="s">
        <v>794</v>
      </c>
      <c r="K3113" s="355">
        <f>F3113*I3113</f>
        <v>2556</v>
      </c>
      <c r="L3113" s="355"/>
      <c r="M3113" s="355">
        <v>90</v>
      </c>
      <c r="N3113" s="355"/>
      <c r="O3113" s="354" t="s">
        <v>3793</v>
      </c>
      <c r="P3113" s="461">
        <f>I3113</f>
        <v>28.4</v>
      </c>
      <c r="Q3113" s="355" t="s">
        <v>794</v>
      </c>
      <c r="R3113" s="355">
        <f>M3113*P3113</f>
        <v>2556</v>
      </c>
      <c r="S3113" s="355"/>
    </row>
    <row r="3114" spans="5:21" ht="21" customHeight="1">
      <c r="E3114" s="355"/>
      <c r="F3114" s="355">
        <v>3</v>
      </c>
      <c r="G3114" s="355"/>
      <c r="H3114" s="355" t="s">
        <v>364</v>
      </c>
      <c r="I3114" s="355">
        <f>I3100</f>
        <v>298</v>
      </c>
      <c r="J3114" s="355" t="s">
        <v>2557</v>
      </c>
      <c r="K3114" s="355">
        <f>F3114*I3114</f>
        <v>894</v>
      </c>
      <c r="L3114" s="355"/>
      <c r="M3114" s="355">
        <v>3</v>
      </c>
      <c r="N3114" s="355"/>
      <c r="O3114" s="355" t="s">
        <v>364</v>
      </c>
      <c r="P3114" s="461">
        <f>I3114</f>
        <v>298</v>
      </c>
      <c r="Q3114" s="355" t="s">
        <v>2557</v>
      </c>
      <c r="R3114" s="355">
        <f>M3114*P3114</f>
        <v>894</v>
      </c>
      <c r="S3114" s="355"/>
    </row>
    <row r="3115" spans="5:21" ht="33.75" customHeight="1">
      <c r="E3115" s="355"/>
      <c r="F3115" s="355">
        <v>90</v>
      </c>
      <c r="G3115" s="355"/>
      <c r="H3115" s="463" t="s">
        <v>4191</v>
      </c>
      <c r="I3115" s="355">
        <f>I3101</f>
        <v>24.1</v>
      </c>
      <c r="J3115" s="355" t="s">
        <v>2464</v>
      </c>
      <c r="K3115" s="355">
        <f>F3115*I3115</f>
        <v>2169</v>
      </c>
      <c r="L3115" s="355"/>
      <c r="M3115" s="355">
        <v>90</v>
      </c>
      <c r="N3115" s="355"/>
      <c r="O3115" s="276" t="s">
        <v>4830</v>
      </c>
      <c r="P3115" s="461">
        <f>P3074</f>
        <v>38.299999999999997</v>
      </c>
      <c r="Q3115" s="355" t="s">
        <v>2464</v>
      </c>
      <c r="R3115" s="355">
        <f>M3115*P3115</f>
        <v>3447</v>
      </c>
      <c r="S3115" s="355"/>
    </row>
    <row r="3116" spans="5:21">
      <c r="E3116" s="355"/>
      <c r="F3116" s="355"/>
      <c r="G3116" s="355"/>
      <c r="H3116" s="355" t="s">
        <v>878</v>
      </c>
      <c r="I3116" s="355"/>
      <c r="J3116" s="355"/>
      <c r="K3116" s="355">
        <f>I3122</f>
        <v>13715.5</v>
      </c>
      <c r="L3116" s="355"/>
      <c r="M3116" s="355"/>
      <c r="N3116" s="355"/>
      <c r="O3116" s="355" t="s">
        <v>878</v>
      </c>
      <c r="P3116" s="355"/>
      <c r="Q3116" s="355"/>
      <c r="R3116" s="355">
        <f>K3116</f>
        <v>13715.5</v>
      </c>
      <c r="S3116" s="355"/>
    </row>
    <row r="3117" spans="5:21">
      <c r="E3117" s="355"/>
      <c r="F3117" s="355"/>
      <c r="G3117" s="355"/>
      <c r="H3117" s="355" t="s">
        <v>2187</v>
      </c>
      <c r="I3117" s="355"/>
      <c r="J3117" s="355"/>
      <c r="K3117" s="355">
        <v>48.5</v>
      </c>
      <c r="L3117" s="355"/>
      <c r="M3117" s="355"/>
      <c r="N3117" s="355"/>
      <c r="O3117" s="355" t="s">
        <v>2187</v>
      </c>
      <c r="P3117" s="355"/>
      <c r="Q3117" s="355"/>
      <c r="R3117" s="355">
        <f>111.6+83.67</f>
        <v>195.27</v>
      </c>
      <c r="S3117" s="355"/>
    </row>
    <row r="3118" spans="5:21">
      <c r="E3118" s="355"/>
      <c r="F3118" s="355"/>
      <c r="G3118" s="355"/>
      <c r="H3118" s="360" t="s">
        <v>2308</v>
      </c>
      <c r="I3118" s="355"/>
      <c r="J3118" s="355"/>
      <c r="K3118" s="361">
        <f>SUM(K3112:K3117)</f>
        <v>33171</v>
      </c>
      <c r="L3118" s="355"/>
      <c r="M3118" s="355"/>
      <c r="N3118" s="355"/>
      <c r="O3118" s="360" t="s">
        <v>2308</v>
      </c>
      <c r="P3118" s="355"/>
      <c r="Q3118" s="355"/>
      <c r="R3118" s="361">
        <f>SUM(R3112:R3117)</f>
        <v>41219.769999999997</v>
      </c>
      <c r="S3118" s="355">
        <f>217.3*90</f>
        <v>19557</v>
      </c>
    </row>
    <row r="3119" spans="5:21">
      <c r="E3119" s="355"/>
      <c r="F3119" s="355"/>
      <c r="G3119" s="355"/>
      <c r="H3119" s="362" t="s">
        <v>2309</v>
      </c>
      <c r="I3119" s="355"/>
      <c r="J3119" s="355"/>
      <c r="K3119" s="363">
        <f>K3118/90</f>
        <v>368.57</v>
      </c>
      <c r="L3119" s="355">
        <f>325.8*90</f>
        <v>29322</v>
      </c>
      <c r="M3119" s="355"/>
      <c r="N3119" s="355"/>
      <c r="O3119" s="362" t="s">
        <v>2309</v>
      </c>
      <c r="P3119" s="355"/>
      <c r="Q3119" s="355"/>
      <c r="R3119" s="363">
        <f>R3118/90</f>
        <v>458</v>
      </c>
      <c r="S3119" s="355">
        <f>336*90</f>
        <v>30240</v>
      </c>
      <c r="T3119" s="182">
        <f>375.8*90</f>
        <v>33822</v>
      </c>
      <c r="U3119" s="182">
        <f>T3119-R3118</f>
        <v>-7397.77</v>
      </c>
    </row>
    <row r="3120" spans="5:21">
      <c r="E3120" s="355"/>
      <c r="F3120" s="355"/>
      <c r="G3120" s="355"/>
      <c r="H3120" s="355"/>
      <c r="I3120" s="355"/>
      <c r="J3120" s="355"/>
      <c r="K3120" s="355"/>
      <c r="L3120" s="355">
        <f>L3119-K3118</f>
        <v>-3849</v>
      </c>
      <c r="M3120" s="355"/>
      <c r="S3120" s="182">
        <f>S3119-R3118</f>
        <v>-10979.77</v>
      </c>
    </row>
    <row r="3121" spans="5:19">
      <c r="E3121" s="355"/>
      <c r="F3121" s="355"/>
      <c r="G3121" s="355"/>
      <c r="H3121" s="363" t="s">
        <v>2262</v>
      </c>
      <c r="I3121" s="355"/>
      <c r="J3121" s="355"/>
      <c r="K3121" s="355"/>
      <c r="L3121" s="355"/>
      <c r="M3121" s="355"/>
    </row>
    <row r="3122" spans="5:19" s="431" customFormat="1">
      <c r="E3122" s="429"/>
      <c r="F3122" s="429"/>
      <c r="G3122" s="429"/>
      <c r="H3122" s="429" t="s">
        <v>4769</v>
      </c>
      <c r="I3122" s="430">
        <f>(1.5*K2873)-((K2871+K2872)/2)</f>
        <v>13715.5</v>
      </c>
      <c r="J3122" s="429"/>
      <c r="K3122" s="429"/>
      <c r="L3122" s="429">
        <f>(1.5*5914)-((888+1232)/2)</f>
        <v>7811</v>
      </c>
      <c r="M3122" s="355"/>
      <c r="N3122" s="355"/>
      <c r="O3122" s="363" t="s">
        <v>3123</v>
      </c>
      <c r="P3122" s="355"/>
      <c r="Q3122" s="355"/>
      <c r="R3122" s="355"/>
    </row>
    <row r="3123" spans="5:19">
      <c r="E3123" s="355"/>
      <c r="F3123" s="355"/>
      <c r="G3123" s="355"/>
      <c r="H3123" s="355">
        <f>1.5*K2873-(K2871+K2872)/2</f>
        <v>13715.5</v>
      </c>
      <c r="I3123" s="355"/>
      <c r="J3123" s="355"/>
      <c r="K3123" s="355"/>
      <c r="L3123" s="355"/>
      <c r="M3123" s="355"/>
      <c r="N3123" s="355"/>
      <c r="O3123" s="363" t="s">
        <v>3545</v>
      </c>
      <c r="P3123" s="355"/>
      <c r="Q3123" s="355"/>
      <c r="R3123" s="355"/>
    </row>
    <row r="3124" spans="5:19">
      <c r="E3124" s="355"/>
      <c r="F3124" s="355"/>
      <c r="G3124" s="355"/>
      <c r="H3124" s="355"/>
      <c r="I3124" s="355"/>
      <c r="J3124" s="355"/>
      <c r="K3124" s="355"/>
      <c r="L3124" s="355"/>
      <c r="M3124" s="355"/>
      <c r="N3124" s="355"/>
      <c r="O3124" s="355"/>
      <c r="P3124" s="355"/>
      <c r="Q3124" s="355"/>
      <c r="R3124" s="355"/>
    </row>
    <row r="3125" spans="5:19" ht="96" customHeight="1">
      <c r="E3125" s="355"/>
      <c r="F3125" s="355"/>
      <c r="G3125" s="355"/>
      <c r="I3125" s="355"/>
      <c r="J3125" s="355"/>
      <c r="K3125" s="355"/>
      <c r="L3125" s="355"/>
      <c r="M3125" s="355"/>
      <c r="N3125" s="355"/>
      <c r="O3125" s="354" t="s">
        <v>3546</v>
      </c>
      <c r="P3125" s="355"/>
      <c r="Q3125" s="355"/>
      <c r="R3125" s="355"/>
    </row>
    <row r="3126" spans="5:19" ht="31.5">
      <c r="E3126" s="355"/>
      <c r="F3126" s="355"/>
      <c r="G3126" s="355"/>
      <c r="H3126" s="371" t="s">
        <v>2263</v>
      </c>
      <c r="I3126" s="355"/>
      <c r="J3126" s="355"/>
      <c r="K3126" s="355"/>
      <c r="L3126" s="355"/>
      <c r="M3126" s="355">
        <v>360</v>
      </c>
      <c r="N3126" s="355"/>
      <c r="O3126" s="481" t="s">
        <v>4831</v>
      </c>
      <c r="P3126" s="425">
        <v>85.3</v>
      </c>
      <c r="Q3126" s="355" t="s">
        <v>2464</v>
      </c>
      <c r="R3126" s="355">
        <f>M3126*P3126</f>
        <v>30708</v>
      </c>
    </row>
    <row r="3127" spans="5:19" ht="18" customHeight="1">
      <c r="E3127" s="355"/>
      <c r="F3127" s="355"/>
      <c r="G3127" s="355"/>
      <c r="H3127" s="363" t="s">
        <v>2264</v>
      </c>
      <c r="I3127" s="355"/>
      <c r="J3127" s="355"/>
      <c r="K3127" s="355"/>
      <c r="L3127" s="355"/>
      <c r="M3127" s="355">
        <v>90</v>
      </c>
      <c r="N3127" s="355"/>
      <c r="O3127" s="354" t="s">
        <v>3795</v>
      </c>
      <c r="P3127" s="461">
        <f>P3113</f>
        <v>28.4</v>
      </c>
      <c r="Q3127" s="355" t="s">
        <v>794</v>
      </c>
      <c r="R3127" s="355">
        <f>M3127*P3127</f>
        <v>2556</v>
      </c>
    </row>
    <row r="3128" spans="5:19">
      <c r="E3128" s="355"/>
      <c r="F3128" s="355"/>
      <c r="G3128" s="355"/>
      <c r="H3128" s="355"/>
      <c r="I3128" s="355"/>
      <c r="J3128" s="355"/>
      <c r="K3128" s="355"/>
      <c r="L3128" s="355"/>
      <c r="M3128" s="355">
        <v>3</v>
      </c>
      <c r="N3128" s="355"/>
      <c r="O3128" s="355" t="s">
        <v>364</v>
      </c>
      <c r="P3128" s="461">
        <f>P3114</f>
        <v>298</v>
      </c>
      <c r="Q3128" s="355" t="s">
        <v>2557</v>
      </c>
      <c r="R3128" s="355">
        <f>M3128*P3128</f>
        <v>894</v>
      </c>
    </row>
    <row r="3129" spans="5:19" ht="33.75" customHeight="1">
      <c r="E3129" s="355"/>
      <c r="F3129" s="355"/>
      <c r="G3129" s="355"/>
      <c r="H3129" s="363" t="s">
        <v>4566</v>
      </c>
      <c r="I3129" s="355"/>
      <c r="J3129" s="355"/>
      <c r="K3129" s="355"/>
      <c r="L3129" s="355"/>
      <c r="M3129" s="355">
        <v>90</v>
      </c>
      <c r="N3129" s="355"/>
      <c r="O3129" s="276" t="s">
        <v>4832</v>
      </c>
      <c r="P3129" s="461">
        <f>P3112</f>
        <v>56.7</v>
      </c>
      <c r="Q3129" s="355" t="s">
        <v>2464</v>
      </c>
      <c r="R3129" s="355">
        <f>M3129*P3129</f>
        <v>5103</v>
      </c>
    </row>
    <row r="3130" spans="5:19">
      <c r="E3130" s="355"/>
      <c r="F3130" s="355"/>
      <c r="G3130" s="355"/>
      <c r="H3130" s="355"/>
      <c r="I3130" s="355"/>
      <c r="J3130" s="355"/>
      <c r="K3130" s="355"/>
      <c r="L3130" s="355"/>
      <c r="M3130" s="355"/>
      <c r="N3130" s="355"/>
      <c r="O3130" s="355" t="s">
        <v>878</v>
      </c>
      <c r="P3130" s="355"/>
      <c r="Q3130" s="355"/>
      <c r="R3130" s="355">
        <f>R3116</f>
        <v>13715.5</v>
      </c>
    </row>
    <row r="3131" spans="5:19" ht="47.25">
      <c r="E3131" s="355"/>
      <c r="F3131" s="355"/>
      <c r="G3131" s="355"/>
      <c r="H3131" s="354" t="s">
        <v>2266</v>
      </c>
      <c r="I3131" s="355"/>
      <c r="J3131" s="355"/>
      <c r="K3131" s="355"/>
      <c r="L3131" s="355"/>
      <c r="M3131" s="355"/>
      <c r="N3131" s="355"/>
      <c r="O3131" s="355" t="s">
        <v>2187</v>
      </c>
      <c r="P3131" s="355"/>
      <c r="Q3131" s="355"/>
      <c r="R3131" s="355">
        <v>57.6</v>
      </c>
    </row>
    <row r="3132" spans="5:19">
      <c r="E3132" s="355"/>
      <c r="F3132" s="355">
        <v>1</v>
      </c>
      <c r="G3132" s="355" t="s">
        <v>1337</v>
      </c>
      <c r="H3132" s="355" t="s">
        <v>4770</v>
      </c>
      <c r="I3132" s="425">
        <v>274.89999999999998</v>
      </c>
      <c r="J3132" s="355" t="s">
        <v>1337</v>
      </c>
      <c r="K3132" s="355">
        <f>F3132*I3132</f>
        <v>274.89999999999998</v>
      </c>
      <c r="L3132" s="355"/>
      <c r="M3132" s="355"/>
      <c r="N3132" s="355"/>
      <c r="O3132" s="360" t="s">
        <v>2308</v>
      </c>
      <c r="P3132" s="355"/>
      <c r="Q3132" s="355"/>
      <c r="R3132" s="361">
        <f>SUM(R3126:R3131)</f>
        <v>53034.1</v>
      </c>
    </row>
    <row r="3133" spans="5:19">
      <c r="E3133" s="355"/>
      <c r="F3133" s="355"/>
      <c r="G3133" s="355"/>
      <c r="H3133" s="355" t="s">
        <v>2187</v>
      </c>
      <c r="I3133" s="355"/>
      <c r="J3133" s="355"/>
      <c r="K3133" s="355">
        <v>6</v>
      </c>
      <c r="L3133" s="355">
        <f>K3132*5%</f>
        <v>13.75</v>
      </c>
      <c r="M3133" s="355"/>
      <c r="N3133" s="355"/>
      <c r="O3133" s="362" t="s">
        <v>2309</v>
      </c>
      <c r="P3133" s="355"/>
      <c r="Q3133" s="355"/>
      <c r="R3133" s="363">
        <f>R3132/90</f>
        <v>589.27</v>
      </c>
      <c r="S3133" s="182">
        <f>440*90</f>
        <v>39600</v>
      </c>
    </row>
    <row r="3134" spans="5:19">
      <c r="E3134" s="355"/>
      <c r="F3134" s="355"/>
      <c r="G3134" s="355"/>
      <c r="H3134" s="355" t="s">
        <v>878</v>
      </c>
      <c r="I3134" s="355"/>
      <c r="J3134" s="355"/>
      <c r="K3134" s="355">
        <f>K3142</f>
        <v>205.6</v>
      </c>
      <c r="L3134" s="355"/>
      <c r="M3134" s="355"/>
      <c r="S3134" s="182">
        <f>S3133-R3132</f>
        <v>-13434.1</v>
      </c>
    </row>
    <row r="3135" spans="5:19">
      <c r="E3135" s="355"/>
      <c r="F3135" s="355"/>
      <c r="G3135" s="355"/>
      <c r="H3135" s="362" t="s">
        <v>2267</v>
      </c>
      <c r="I3135" s="355"/>
      <c r="J3135" s="355"/>
      <c r="K3135" s="363">
        <f>SUM(K3132:K3134)</f>
        <v>486.5</v>
      </c>
      <c r="L3135" s="355">
        <f>K3135-401</f>
        <v>85.5</v>
      </c>
      <c r="M3135" s="355"/>
    </row>
    <row r="3136" spans="5:19">
      <c r="E3136" s="355"/>
      <c r="F3136" s="355"/>
      <c r="G3136" s="355"/>
      <c r="H3136" s="355"/>
      <c r="I3136" s="355"/>
      <c r="J3136" s="355"/>
      <c r="K3136" s="355"/>
      <c r="L3136" s="355"/>
      <c r="M3136" s="355"/>
    </row>
    <row r="3137" spans="5:13">
      <c r="E3137" s="355"/>
      <c r="F3137" s="355"/>
      <c r="G3137" s="355"/>
      <c r="H3137" s="355"/>
      <c r="I3137" s="355"/>
      <c r="J3137" s="355"/>
      <c r="K3137" s="355"/>
      <c r="L3137" s="355"/>
      <c r="M3137" s="355"/>
    </row>
    <row r="3138" spans="5:13">
      <c r="E3138" s="355"/>
      <c r="F3138" s="355"/>
      <c r="G3138" s="355"/>
      <c r="H3138" s="370" t="s">
        <v>2268</v>
      </c>
      <c r="I3138" s="355"/>
      <c r="J3138" s="355"/>
      <c r="K3138" s="355"/>
      <c r="L3138" s="355"/>
      <c r="M3138" s="355"/>
    </row>
    <row r="3139" spans="5:13" ht="19.5" customHeight="1">
      <c r="E3139" s="355"/>
      <c r="F3139" s="355">
        <v>2</v>
      </c>
      <c r="G3139" s="355" t="s">
        <v>1337</v>
      </c>
      <c r="H3139" s="355" t="s">
        <v>2510</v>
      </c>
      <c r="I3139" s="355">
        <f>I2868</f>
        <v>708</v>
      </c>
      <c r="J3139" s="355" t="s">
        <v>1337</v>
      </c>
      <c r="K3139" s="355">
        <f>F3139*I3139</f>
        <v>1416</v>
      </c>
      <c r="L3139" s="355"/>
      <c r="M3139" s="355"/>
    </row>
    <row r="3140" spans="5:13" ht="19.5" customHeight="1">
      <c r="E3140" s="355"/>
      <c r="F3140" s="355">
        <v>3</v>
      </c>
      <c r="G3140" s="355" t="s">
        <v>1337</v>
      </c>
      <c r="H3140" s="355" t="s">
        <v>2511</v>
      </c>
      <c r="I3140" s="355">
        <f>I2869</f>
        <v>556</v>
      </c>
      <c r="J3140" s="355" t="s">
        <v>1337</v>
      </c>
      <c r="K3140" s="355">
        <f>F3140*I3140</f>
        <v>1668</v>
      </c>
      <c r="L3140" s="355"/>
      <c r="M3140" s="355"/>
    </row>
    <row r="3141" spans="5:13" ht="19.5" customHeight="1">
      <c r="E3141" s="355"/>
      <c r="F3141" s="355"/>
      <c r="G3141" s="355"/>
      <c r="H3141" s="360" t="s">
        <v>3378</v>
      </c>
      <c r="I3141" s="355"/>
      <c r="J3141" s="355"/>
      <c r="K3141" s="361">
        <f>SUM(K3139:K3140)</f>
        <v>3084</v>
      </c>
      <c r="L3141" s="355"/>
      <c r="M3141" s="355"/>
    </row>
    <row r="3142" spans="5:13" ht="19.5" customHeight="1">
      <c r="E3142" s="355"/>
      <c r="F3142" s="355"/>
      <c r="G3142" s="355"/>
      <c r="H3142" s="362" t="s">
        <v>2718</v>
      </c>
      <c r="I3142" s="355"/>
      <c r="J3142" s="355"/>
      <c r="K3142" s="363">
        <f>K3141/15</f>
        <v>205.6</v>
      </c>
      <c r="L3142" s="355"/>
      <c r="M3142" s="355"/>
    </row>
    <row r="3143" spans="5:13">
      <c r="E3143" s="355"/>
      <c r="F3143" s="355"/>
      <c r="G3143" s="355"/>
      <c r="H3143" s="355"/>
      <c r="I3143" s="355"/>
      <c r="J3143" s="355"/>
      <c r="K3143" s="355"/>
      <c r="L3143" s="355"/>
      <c r="M3143" s="355"/>
    </row>
    <row r="3144" spans="5:13">
      <c r="E3144" s="355"/>
      <c r="F3144" s="355"/>
      <c r="G3144" s="355"/>
      <c r="H3144" s="363" t="s">
        <v>3379</v>
      </c>
      <c r="I3144" s="355"/>
      <c r="J3144" s="355"/>
      <c r="K3144" s="355"/>
      <c r="L3144" s="355"/>
      <c r="M3144" s="355"/>
    </row>
    <row r="3145" spans="5:13">
      <c r="E3145" s="355"/>
      <c r="F3145" s="355"/>
      <c r="G3145" s="355"/>
      <c r="H3145" s="355"/>
      <c r="I3145" s="355"/>
      <c r="J3145" s="355"/>
      <c r="K3145" s="355"/>
      <c r="L3145" s="355"/>
      <c r="M3145" s="355"/>
    </row>
    <row r="3146" spans="5:13" ht="65.25" customHeight="1">
      <c r="E3146" s="355"/>
      <c r="F3146" s="355"/>
      <c r="G3146" s="355"/>
      <c r="H3146" s="353" t="s">
        <v>3380</v>
      </c>
      <c r="I3146" s="355"/>
      <c r="J3146" s="355"/>
      <c r="K3146" s="355"/>
      <c r="L3146" s="355"/>
      <c r="M3146" s="355"/>
    </row>
    <row r="3147" spans="5:13">
      <c r="E3147" s="355"/>
      <c r="F3147" s="355"/>
      <c r="G3147" s="355"/>
      <c r="H3147" s="355"/>
      <c r="I3147" s="355"/>
      <c r="J3147" s="355"/>
      <c r="K3147" s="355"/>
      <c r="L3147" s="355"/>
      <c r="M3147" s="355"/>
    </row>
    <row r="3148" spans="5:13" ht="78" customHeight="1">
      <c r="E3148" s="355"/>
      <c r="F3148" s="355"/>
      <c r="G3148" s="355"/>
      <c r="H3148" s="354" t="s">
        <v>2687</v>
      </c>
      <c r="I3148" s="355"/>
      <c r="J3148" s="355"/>
      <c r="K3148" s="355"/>
      <c r="L3148" s="355"/>
      <c r="M3148" s="355"/>
    </row>
    <row r="3149" spans="5:13">
      <c r="E3149" s="355"/>
      <c r="F3149" s="355"/>
      <c r="G3149" s="355"/>
      <c r="H3149" s="355"/>
      <c r="I3149" s="355"/>
      <c r="J3149" s="355"/>
      <c r="K3149" s="355"/>
      <c r="L3149" s="355"/>
      <c r="M3149" s="355"/>
    </row>
    <row r="3150" spans="5:13" s="154" customFormat="1">
      <c r="E3150" s="367"/>
      <c r="F3150" s="367">
        <v>1</v>
      </c>
      <c r="G3150" s="367" t="s">
        <v>1337</v>
      </c>
      <c r="H3150" s="951" t="s">
        <v>4567</v>
      </c>
      <c r="I3150" s="952">
        <v>341</v>
      </c>
      <c r="J3150" s="367" t="s">
        <v>1337</v>
      </c>
      <c r="K3150" s="367">
        <f>F3150*I3150</f>
        <v>341</v>
      </c>
      <c r="L3150" s="367"/>
      <c r="M3150" s="367"/>
    </row>
    <row r="3151" spans="5:13" s="154" customFormat="1" ht="31.5">
      <c r="E3151" s="367"/>
      <c r="F3151" s="367">
        <v>1</v>
      </c>
      <c r="G3151" s="367" t="s">
        <v>1337</v>
      </c>
      <c r="H3151" s="951" t="s">
        <v>4568</v>
      </c>
      <c r="I3151" s="953">
        <v>59.9</v>
      </c>
      <c r="J3151" s="367" t="s">
        <v>1337</v>
      </c>
      <c r="K3151" s="367">
        <f>F3151*I3151</f>
        <v>59.9</v>
      </c>
      <c r="L3151" s="367"/>
      <c r="M3151" s="367"/>
    </row>
    <row r="3152" spans="5:13">
      <c r="E3152" s="355"/>
      <c r="F3152" s="355"/>
      <c r="G3152" s="355"/>
      <c r="H3152" s="354" t="s">
        <v>2690</v>
      </c>
      <c r="I3152" s="355"/>
      <c r="J3152" s="355"/>
      <c r="K3152" s="355">
        <f>24.1</f>
        <v>24.1</v>
      </c>
      <c r="L3152" s="355"/>
      <c r="M3152" s="355"/>
    </row>
    <row r="3153" spans="5:13">
      <c r="E3153" s="355"/>
      <c r="F3153" s="355"/>
      <c r="G3153" s="355"/>
      <c r="H3153" s="355" t="s">
        <v>878</v>
      </c>
      <c r="I3153" s="355"/>
      <c r="J3153" s="355"/>
      <c r="K3153" s="355">
        <f>K3161</f>
        <v>456</v>
      </c>
      <c r="L3153" s="355"/>
      <c r="M3153" s="355"/>
    </row>
    <row r="3154" spans="5:13" ht="19.5" customHeight="1">
      <c r="E3154" s="355"/>
      <c r="F3154" s="355"/>
      <c r="G3154" s="355"/>
      <c r="H3154" s="362" t="s">
        <v>2718</v>
      </c>
      <c r="I3154" s="355"/>
      <c r="J3154" s="355"/>
      <c r="K3154" s="363">
        <f>SUM(K3150:K3153)</f>
        <v>881</v>
      </c>
      <c r="L3154" s="355">
        <f>K3154-590</f>
        <v>291</v>
      </c>
      <c r="M3154" s="355">
        <f>577-576.75</f>
        <v>0.25</v>
      </c>
    </row>
    <row r="3155" spans="5:13">
      <c r="E3155" s="355"/>
      <c r="F3155" s="355"/>
      <c r="G3155" s="355"/>
      <c r="H3155" s="355"/>
      <c r="I3155" s="355"/>
      <c r="J3155" s="355"/>
      <c r="K3155" s="355"/>
      <c r="L3155" s="355"/>
      <c r="M3155" s="355"/>
    </row>
    <row r="3156" spans="5:13">
      <c r="E3156" s="355"/>
      <c r="F3156" s="355"/>
      <c r="G3156" s="355"/>
      <c r="H3156" s="355"/>
      <c r="I3156" s="355"/>
      <c r="J3156" s="355"/>
      <c r="K3156" s="355"/>
      <c r="L3156" s="355"/>
      <c r="M3156" s="355"/>
    </row>
    <row r="3157" spans="5:13">
      <c r="E3157" s="355"/>
      <c r="F3157" s="355"/>
      <c r="G3157" s="355"/>
      <c r="H3157" s="370" t="s">
        <v>878</v>
      </c>
      <c r="I3157" s="355"/>
      <c r="J3157" s="355"/>
      <c r="K3157" s="355"/>
      <c r="L3157" s="355"/>
      <c r="M3157" s="355"/>
    </row>
    <row r="3158" spans="5:13" ht="18.75" customHeight="1">
      <c r="E3158" s="355"/>
      <c r="F3158" s="355">
        <v>1</v>
      </c>
      <c r="G3158" s="355" t="s">
        <v>1337</v>
      </c>
      <c r="H3158" s="355" t="s">
        <v>2691</v>
      </c>
      <c r="I3158" s="355">
        <f>I2867</f>
        <v>712</v>
      </c>
      <c r="J3158" s="355" t="s">
        <v>1337</v>
      </c>
      <c r="K3158" s="355">
        <f>F3158*I3158</f>
        <v>712</v>
      </c>
      <c r="L3158" s="355"/>
      <c r="M3158" s="355"/>
    </row>
    <row r="3159" spans="5:13" ht="18.75" customHeight="1">
      <c r="E3159" s="355"/>
      <c r="F3159" s="355">
        <v>2</v>
      </c>
      <c r="G3159" s="355" t="s">
        <v>1337</v>
      </c>
      <c r="H3159" s="355" t="s">
        <v>2511</v>
      </c>
      <c r="I3159" s="355">
        <f>I3140</f>
        <v>556</v>
      </c>
      <c r="J3159" s="355" t="s">
        <v>1337</v>
      </c>
      <c r="K3159" s="355">
        <f>F3159*I3159</f>
        <v>1112</v>
      </c>
      <c r="L3159" s="355"/>
      <c r="M3159" s="355"/>
    </row>
    <row r="3160" spans="5:13" ht="15" customHeight="1">
      <c r="E3160" s="355"/>
      <c r="F3160" s="355"/>
      <c r="G3160" s="355"/>
      <c r="H3160" s="360" t="s">
        <v>2692</v>
      </c>
      <c r="I3160" s="355"/>
      <c r="J3160" s="355"/>
      <c r="K3160" s="361">
        <f>SUM(K3158:K3159)</f>
        <v>1824</v>
      </c>
      <c r="L3160" s="355"/>
      <c r="M3160" s="355"/>
    </row>
    <row r="3161" spans="5:13" ht="20.25" customHeight="1">
      <c r="E3161" s="355"/>
      <c r="F3161" s="355"/>
      <c r="G3161" s="355"/>
      <c r="H3161" s="362" t="s">
        <v>2818</v>
      </c>
      <c r="I3161" s="355"/>
      <c r="J3161" s="355"/>
      <c r="K3161" s="363">
        <f>K3160/4</f>
        <v>456</v>
      </c>
      <c r="L3161" s="355"/>
      <c r="M3161" s="355"/>
    </row>
    <row r="3162" spans="5:13">
      <c r="E3162" s="355"/>
      <c r="F3162" s="355"/>
      <c r="G3162" s="355"/>
      <c r="H3162" s="355"/>
      <c r="I3162" s="355"/>
      <c r="J3162" s="355"/>
      <c r="K3162" s="355"/>
      <c r="L3162" s="355"/>
      <c r="M3162" s="355"/>
    </row>
    <row r="3163" spans="5:13">
      <c r="E3163" s="355"/>
      <c r="F3163" s="355"/>
      <c r="G3163" s="355"/>
      <c r="H3163" s="363" t="s">
        <v>2693</v>
      </c>
      <c r="I3163" s="355"/>
      <c r="J3163" s="355"/>
      <c r="K3163" s="355"/>
      <c r="L3163" s="355"/>
      <c r="M3163" s="355"/>
    </row>
    <row r="3164" spans="5:13">
      <c r="E3164" s="355"/>
      <c r="F3164" s="355"/>
      <c r="G3164" s="355"/>
      <c r="H3164" s="355"/>
      <c r="I3164" s="355"/>
      <c r="J3164" s="355"/>
      <c r="K3164" s="355"/>
      <c r="L3164" s="355"/>
      <c r="M3164" s="355"/>
    </row>
    <row r="3165" spans="5:13" ht="47.25">
      <c r="E3165" s="355"/>
      <c r="F3165" s="355"/>
      <c r="G3165" s="355"/>
      <c r="H3165" s="353" t="s">
        <v>2694</v>
      </c>
      <c r="I3165" s="355"/>
      <c r="J3165" s="355"/>
      <c r="K3165" s="355"/>
      <c r="L3165" s="355"/>
      <c r="M3165" s="355"/>
    </row>
    <row r="3166" spans="5:13">
      <c r="E3166" s="355"/>
      <c r="F3166" s="355"/>
      <c r="G3166" s="355"/>
      <c r="H3166" s="355"/>
      <c r="I3166" s="355"/>
      <c r="J3166" s="355"/>
      <c r="K3166" s="355"/>
      <c r="L3166" s="355"/>
      <c r="M3166" s="355"/>
    </row>
    <row r="3167" spans="5:13" ht="63">
      <c r="E3167" s="355"/>
      <c r="F3167" s="355"/>
      <c r="G3167" s="355"/>
      <c r="H3167" s="354" t="s">
        <v>3152</v>
      </c>
      <c r="I3167" s="355"/>
      <c r="J3167" s="355"/>
      <c r="K3167" s="355"/>
      <c r="L3167" s="355"/>
      <c r="M3167" s="355"/>
    </row>
    <row r="3168" spans="5:13">
      <c r="E3168" s="355"/>
      <c r="F3168" s="355"/>
      <c r="G3168" s="355"/>
      <c r="H3168" s="355"/>
      <c r="I3168" s="355"/>
      <c r="J3168" s="355"/>
      <c r="K3168" s="355"/>
      <c r="L3168" s="355"/>
      <c r="M3168" s="355"/>
    </row>
    <row r="3169" spans="5:13" s="954" customFormat="1" ht="39.75" customHeight="1">
      <c r="E3169" s="953"/>
      <c r="F3169" s="953">
        <v>1</v>
      </c>
      <c r="G3169" s="953" t="s">
        <v>1337</v>
      </c>
      <c r="H3169" s="951" t="s">
        <v>4569</v>
      </c>
      <c r="I3169" s="952">
        <v>768</v>
      </c>
      <c r="J3169" s="953" t="s">
        <v>1337</v>
      </c>
      <c r="K3169" s="953">
        <f>F3169*I3169</f>
        <v>768</v>
      </c>
      <c r="L3169" s="953"/>
      <c r="M3169" s="953"/>
    </row>
    <row r="3170" spans="5:13" s="954" customFormat="1" ht="39" customHeight="1">
      <c r="E3170" s="953"/>
      <c r="F3170" s="953">
        <v>1</v>
      </c>
      <c r="G3170" s="953" t="s">
        <v>1337</v>
      </c>
      <c r="H3170" s="951" t="s">
        <v>2689</v>
      </c>
      <c r="I3170" s="953">
        <f>I3151</f>
        <v>59.9</v>
      </c>
      <c r="J3170" s="953" t="s">
        <v>1337</v>
      </c>
      <c r="K3170" s="953">
        <f>F3170*I3170</f>
        <v>59.9</v>
      </c>
      <c r="L3170" s="953"/>
      <c r="M3170" s="953"/>
    </row>
    <row r="3171" spans="5:13" ht="42.75" customHeight="1">
      <c r="E3171" s="355"/>
      <c r="F3171" s="355"/>
      <c r="G3171" s="355"/>
      <c r="H3171" s="354" t="s">
        <v>2690</v>
      </c>
      <c r="I3171" s="355"/>
      <c r="J3171" s="355"/>
      <c r="K3171" s="355">
        <f>K3152</f>
        <v>24.1</v>
      </c>
      <c r="L3171" s="355"/>
      <c r="M3171" s="355"/>
    </row>
    <row r="3172" spans="5:13" ht="20.100000000000001" customHeight="1">
      <c r="E3172" s="355"/>
      <c r="F3172" s="355"/>
      <c r="G3172" s="355"/>
      <c r="H3172" s="355" t="s">
        <v>878</v>
      </c>
      <c r="I3172" s="355"/>
      <c r="J3172" s="355"/>
      <c r="K3172" s="355">
        <f>K3161</f>
        <v>456</v>
      </c>
      <c r="L3172" s="355"/>
      <c r="M3172" s="355"/>
    </row>
    <row r="3173" spans="5:13" ht="30" customHeight="1">
      <c r="E3173" s="355"/>
      <c r="F3173" s="355"/>
      <c r="G3173" s="355"/>
      <c r="H3173" s="362" t="s">
        <v>2718</v>
      </c>
      <c r="I3173" s="355"/>
      <c r="J3173" s="355"/>
      <c r="K3173" s="363">
        <f>SUM(K3169:K3172)</f>
        <v>1308</v>
      </c>
      <c r="L3173" s="355"/>
      <c r="M3173" s="355">
        <f>K3173-817</f>
        <v>491</v>
      </c>
    </row>
    <row r="3174" spans="5:13">
      <c r="E3174" s="355"/>
      <c r="F3174" s="355"/>
      <c r="G3174" s="355"/>
      <c r="H3174" s="355"/>
      <c r="I3174" s="355"/>
      <c r="J3174" s="355"/>
      <c r="K3174" s="355"/>
      <c r="L3174" s="355"/>
      <c r="M3174" s="355"/>
    </row>
    <row r="3175" spans="5:13">
      <c r="E3175" s="355"/>
      <c r="F3175" s="355"/>
      <c r="G3175" s="355"/>
      <c r="H3175" s="355"/>
      <c r="I3175" s="355"/>
      <c r="J3175" s="355"/>
      <c r="K3175" s="355"/>
      <c r="L3175" s="355"/>
      <c r="M3175" s="355"/>
    </row>
    <row r="3176" spans="5:13" ht="20.100000000000001" customHeight="1">
      <c r="E3176" s="355"/>
      <c r="F3176" s="355"/>
      <c r="G3176" s="355"/>
      <c r="H3176" s="363" t="s">
        <v>3159</v>
      </c>
      <c r="I3176" s="355"/>
      <c r="J3176" s="355"/>
      <c r="K3176" s="355"/>
      <c r="L3176" s="355"/>
      <c r="M3176" s="355"/>
    </row>
    <row r="3177" spans="5:13">
      <c r="E3177" s="355"/>
      <c r="F3177" s="355"/>
      <c r="G3177" s="355"/>
      <c r="H3177" s="355"/>
      <c r="I3177" s="355"/>
      <c r="J3177" s="355"/>
      <c r="K3177" s="355"/>
      <c r="L3177" s="355"/>
      <c r="M3177" s="355"/>
    </row>
    <row r="3178" spans="5:13" ht="58.5" customHeight="1">
      <c r="E3178" s="355"/>
      <c r="F3178" s="355"/>
      <c r="G3178" s="355"/>
      <c r="H3178" s="354" t="s">
        <v>2321</v>
      </c>
      <c r="I3178" s="355"/>
      <c r="J3178" s="355"/>
      <c r="K3178" s="355"/>
      <c r="L3178" s="355"/>
      <c r="M3178" s="355"/>
    </row>
    <row r="3179" spans="5:13">
      <c r="E3179" s="355"/>
      <c r="F3179" s="355"/>
      <c r="G3179" s="355"/>
      <c r="H3179" s="355"/>
      <c r="I3179" s="355"/>
      <c r="J3179" s="355"/>
      <c r="K3179" s="355"/>
      <c r="L3179" s="355"/>
      <c r="M3179" s="355"/>
    </row>
    <row r="3180" spans="5:13" ht="40.5" customHeight="1">
      <c r="E3180" s="355"/>
      <c r="F3180" s="355">
        <v>1</v>
      </c>
      <c r="G3180" s="355" t="s">
        <v>1337</v>
      </c>
      <c r="H3180" s="354" t="s">
        <v>4771</v>
      </c>
      <c r="I3180" s="356">
        <v>458</v>
      </c>
      <c r="J3180" s="355" t="s">
        <v>1337</v>
      </c>
      <c r="K3180" s="355">
        <f>F3180*I3180</f>
        <v>458</v>
      </c>
      <c r="L3180" s="355"/>
      <c r="M3180" s="355"/>
    </row>
    <row r="3181" spans="5:13" ht="20.100000000000001" customHeight="1">
      <c r="E3181" s="355"/>
      <c r="F3181" s="355">
        <v>1</v>
      </c>
      <c r="G3181" s="355" t="s">
        <v>1337</v>
      </c>
      <c r="H3181" s="355" t="s">
        <v>4570</v>
      </c>
      <c r="I3181" s="355">
        <f>I3170</f>
        <v>59.9</v>
      </c>
      <c r="J3181" s="355" t="s">
        <v>1337</v>
      </c>
      <c r="K3181" s="355">
        <f>F3181*I3181</f>
        <v>59.9</v>
      </c>
      <c r="L3181" s="355"/>
      <c r="M3181" s="355"/>
    </row>
    <row r="3182" spans="5:13" ht="20.100000000000001" customHeight="1">
      <c r="E3182" s="355"/>
      <c r="F3182" s="355"/>
      <c r="G3182" s="355"/>
      <c r="H3182" s="355" t="s">
        <v>2187</v>
      </c>
      <c r="I3182" s="355"/>
      <c r="J3182" s="355"/>
      <c r="K3182" s="355">
        <v>25.1</v>
      </c>
      <c r="L3182" s="355"/>
      <c r="M3182" s="355"/>
    </row>
    <row r="3183" spans="5:13" ht="19.5" customHeight="1">
      <c r="E3183" s="355"/>
      <c r="F3183" s="355"/>
      <c r="G3183" s="355"/>
      <c r="H3183" s="355" t="s">
        <v>2323</v>
      </c>
      <c r="I3183" s="355"/>
      <c r="J3183" s="355"/>
      <c r="K3183" s="355">
        <f>K3161</f>
        <v>456</v>
      </c>
      <c r="L3183" s="355"/>
      <c r="M3183" s="355"/>
    </row>
    <row r="3184" spans="5:13" ht="30" customHeight="1">
      <c r="E3184" s="355"/>
      <c r="F3184" s="355"/>
      <c r="G3184" s="355"/>
      <c r="H3184" s="362" t="s">
        <v>1024</v>
      </c>
      <c r="I3184" s="355"/>
      <c r="J3184" s="355"/>
      <c r="K3184" s="363">
        <f>SUM(K3180:K3183)</f>
        <v>999</v>
      </c>
      <c r="L3184" s="355">
        <f>K3184-830</f>
        <v>169</v>
      </c>
      <c r="M3184" s="355">
        <f>917-K3184</f>
        <v>-82</v>
      </c>
    </row>
    <row r="3185" spans="5:13">
      <c r="E3185" s="355"/>
      <c r="F3185" s="355"/>
      <c r="G3185" s="355"/>
      <c r="H3185" s="355"/>
      <c r="I3185" s="355"/>
      <c r="J3185" s="355"/>
      <c r="K3185" s="355"/>
      <c r="L3185" s="355"/>
      <c r="M3185" s="355"/>
    </row>
    <row r="3186" spans="5:13" ht="20.100000000000001" customHeight="1">
      <c r="E3186" s="355"/>
      <c r="F3186" s="355"/>
      <c r="G3186" s="355"/>
      <c r="H3186" s="363" t="s">
        <v>2693</v>
      </c>
      <c r="I3186" s="355"/>
      <c r="J3186" s="355"/>
      <c r="K3186" s="355"/>
      <c r="L3186" s="355"/>
      <c r="M3186" s="355"/>
    </row>
    <row r="3187" spans="5:13" ht="28.5" customHeight="1">
      <c r="E3187" s="355"/>
      <c r="F3187" s="355"/>
      <c r="G3187" s="355"/>
      <c r="H3187" s="355"/>
      <c r="I3187" s="355"/>
      <c r="J3187" s="355"/>
      <c r="K3187" s="355"/>
      <c r="L3187" s="355"/>
      <c r="M3187" s="355"/>
    </row>
    <row r="3188" spans="5:13" ht="52.5" customHeight="1">
      <c r="E3188" s="355"/>
      <c r="F3188" s="355"/>
      <c r="G3188" s="355"/>
      <c r="H3188" s="353" t="s">
        <v>3366</v>
      </c>
      <c r="I3188" s="355"/>
      <c r="J3188" s="355"/>
      <c r="K3188" s="355"/>
      <c r="L3188" s="355"/>
      <c r="M3188" s="355"/>
    </row>
    <row r="3189" spans="5:13">
      <c r="E3189" s="355"/>
      <c r="F3189" s="355"/>
      <c r="G3189" s="355"/>
      <c r="H3189" s="355"/>
      <c r="I3189" s="355"/>
      <c r="J3189" s="355"/>
      <c r="K3189" s="355"/>
      <c r="L3189" s="355"/>
      <c r="M3189" s="355"/>
    </row>
    <row r="3190" spans="5:13" ht="88.5" customHeight="1">
      <c r="E3190" s="355"/>
      <c r="F3190" s="355"/>
      <c r="G3190" s="355"/>
      <c r="H3190" s="354" t="s">
        <v>3367</v>
      </c>
      <c r="I3190" s="355"/>
      <c r="J3190" s="355"/>
      <c r="K3190" s="355"/>
      <c r="L3190" s="355"/>
      <c r="M3190" s="355"/>
    </row>
    <row r="3191" spans="5:13" ht="38.25" customHeight="1">
      <c r="E3191" s="355"/>
      <c r="F3191" s="355">
        <v>1</v>
      </c>
      <c r="G3191" s="355" t="s">
        <v>1337</v>
      </c>
      <c r="H3191" s="483" t="s">
        <v>4571</v>
      </c>
      <c r="I3191" s="461">
        <v>881</v>
      </c>
      <c r="J3191" s="355" t="s">
        <v>1337</v>
      </c>
      <c r="K3191" s="355">
        <f>F3191*I3191</f>
        <v>881</v>
      </c>
      <c r="L3191" s="355"/>
      <c r="M3191" s="355"/>
    </row>
    <row r="3192" spans="5:13" ht="40.5" customHeight="1">
      <c r="E3192" s="355"/>
      <c r="F3192" s="355">
        <v>1</v>
      </c>
      <c r="G3192" s="355" t="s">
        <v>1337</v>
      </c>
      <c r="H3192" s="354" t="s">
        <v>4572</v>
      </c>
      <c r="I3192" s="355">
        <v>159.69999999999999</v>
      </c>
      <c r="J3192" s="355" t="s">
        <v>1337</v>
      </c>
      <c r="K3192" s="355">
        <f>F3192*I3192</f>
        <v>159.69999999999999</v>
      </c>
      <c r="L3192" s="355"/>
      <c r="M3192" s="355"/>
    </row>
    <row r="3193" spans="5:13" ht="38.25" customHeight="1">
      <c r="E3193" s="355"/>
      <c r="F3193" s="355"/>
      <c r="G3193" s="355"/>
      <c r="H3193" s="354" t="s">
        <v>2522</v>
      </c>
      <c r="I3193" s="355"/>
      <c r="J3193" s="355"/>
      <c r="K3193" s="355">
        <v>11.3</v>
      </c>
      <c r="L3193" s="355"/>
      <c r="M3193" s="355"/>
    </row>
    <row r="3194" spans="5:13" ht="23.25" customHeight="1">
      <c r="E3194" s="355"/>
      <c r="F3194" s="355"/>
      <c r="G3194" s="355"/>
      <c r="H3194" s="355" t="s">
        <v>878</v>
      </c>
      <c r="I3194" s="355"/>
      <c r="J3194" s="355"/>
      <c r="K3194" s="355">
        <f>K3201</f>
        <v>608</v>
      </c>
      <c r="L3194" s="355"/>
      <c r="M3194" s="355"/>
    </row>
    <row r="3195" spans="5:13" ht="30" customHeight="1">
      <c r="E3195" s="355"/>
      <c r="F3195" s="355"/>
      <c r="G3195" s="355"/>
      <c r="H3195" s="362" t="s">
        <v>1024</v>
      </c>
      <c r="I3195" s="355"/>
      <c r="J3195" s="355"/>
      <c r="K3195" s="363">
        <f>SUM(K3191:K3194)</f>
        <v>1660</v>
      </c>
      <c r="L3195" s="355">
        <f>1167-K3195</f>
        <v>-493</v>
      </c>
      <c r="M3195" s="355">
        <f>K3195-1003</f>
        <v>657</v>
      </c>
    </row>
    <row r="3196" spans="5:13">
      <c r="E3196" s="355"/>
      <c r="F3196" s="355"/>
      <c r="G3196" s="355"/>
      <c r="H3196" s="355"/>
      <c r="I3196" s="355"/>
      <c r="J3196" s="355"/>
      <c r="K3196" s="355"/>
      <c r="L3196" s="355"/>
      <c r="M3196" s="355"/>
    </row>
    <row r="3197" spans="5:13" ht="20.100000000000001" customHeight="1">
      <c r="E3197" s="355"/>
      <c r="F3197" s="355"/>
      <c r="G3197" s="355"/>
      <c r="H3197" s="361" t="s">
        <v>878</v>
      </c>
      <c r="I3197" s="355"/>
      <c r="J3197" s="355"/>
      <c r="K3197" s="355"/>
      <c r="L3197" s="355"/>
      <c r="M3197" s="355"/>
    </row>
    <row r="3198" spans="5:13">
      <c r="E3198" s="355"/>
      <c r="F3198" s="355">
        <v>1</v>
      </c>
      <c r="G3198" s="355" t="s">
        <v>1337</v>
      </c>
      <c r="H3198" s="355" t="s">
        <v>2523</v>
      </c>
      <c r="I3198" s="355">
        <f>I3158</f>
        <v>712</v>
      </c>
      <c r="J3198" s="355" t="s">
        <v>1337</v>
      </c>
      <c r="K3198" s="355">
        <f>F3198*I3198</f>
        <v>712</v>
      </c>
      <c r="L3198" s="355"/>
      <c r="M3198" s="355"/>
    </row>
    <row r="3199" spans="5:13">
      <c r="E3199" s="355"/>
      <c r="F3199" s="355">
        <v>2</v>
      </c>
      <c r="G3199" s="355" t="s">
        <v>1337</v>
      </c>
      <c r="H3199" s="355" t="s">
        <v>3013</v>
      </c>
      <c r="I3199" s="355">
        <f>I3159</f>
        <v>556</v>
      </c>
      <c r="J3199" s="355" t="s">
        <v>1337</v>
      </c>
      <c r="K3199" s="355">
        <f>F3199*I3199</f>
        <v>1112</v>
      </c>
      <c r="L3199" s="355"/>
      <c r="M3199" s="355"/>
    </row>
    <row r="3200" spans="5:13" ht="20.100000000000001" customHeight="1">
      <c r="E3200" s="355"/>
      <c r="F3200" s="355"/>
      <c r="G3200" s="355"/>
      <c r="H3200" s="360" t="s">
        <v>3015</v>
      </c>
      <c r="I3200" s="355"/>
      <c r="J3200" s="355"/>
      <c r="K3200" s="355">
        <f>SUM(K3198:K3199)</f>
        <v>1824</v>
      </c>
      <c r="L3200" s="355"/>
      <c r="M3200" s="355"/>
    </row>
    <row r="3201" spans="5:13" ht="20.100000000000001" customHeight="1">
      <c r="E3201" s="355"/>
      <c r="F3201" s="355"/>
      <c r="G3201" s="355"/>
      <c r="H3201" s="362" t="s">
        <v>2718</v>
      </c>
      <c r="I3201" s="355"/>
      <c r="J3201" s="355"/>
      <c r="K3201" s="363">
        <f>K3200/3</f>
        <v>608</v>
      </c>
      <c r="L3201" s="355"/>
      <c r="M3201" s="355"/>
    </row>
    <row r="3202" spans="5:13">
      <c r="E3202" s="355"/>
      <c r="F3202" s="355"/>
      <c r="G3202" s="355"/>
      <c r="H3202" s="355"/>
      <c r="I3202" s="355"/>
      <c r="J3202" s="355"/>
      <c r="K3202" s="355"/>
      <c r="L3202" s="355"/>
      <c r="M3202" s="355"/>
    </row>
    <row r="3203" spans="5:13" ht="30" customHeight="1">
      <c r="E3203" s="355"/>
      <c r="F3203" s="355"/>
      <c r="G3203" s="355"/>
      <c r="H3203" s="363" t="s">
        <v>2524</v>
      </c>
      <c r="I3203" s="355"/>
      <c r="J3203" s="355"/>
      <c r="K3203" s="355"/>
      <c r="L3203" s="355"/>
      <c r="M3203" s="355"/>
    </row>
    <row r="3204" spans="5:13">
      <c r="E3204" s="355"/>
      <c r="F3204" s="355"/>
      <c r="G3204" s="355"/>
      <c r="H3204" s="355"/>
      <c r="I3204" s="355"/>
      <c r="J3204" s="355"/>
      <c r="K3204" s="355"/>
      <c r="L3204" s="355"/>
      <c r="M3204" s="355"/>
    </row>
    <row r="3205" spans="5:13" ht="91.5" customHeight="1">
      <c r="E3205" s="355"/>
      <c r="F3205" s="355"/>
      <c r="G3205" s="355"/>
      <c r="H3205" s="353" t="s">
        <v>2772</v>
      </c>
      <c r="I3205" s="355"/>
      <c r="J3205" s="355"/>
      <c r="K3205" s="355"/>
      <c r="L3205" s="355"/>
      <c r="M3205" s="355"/>
    </row>
    <row r="3206" spans="5:13" ht="30" customHeight="1">
      <c r="E3206" s="355"/>
      <c r="F3206" s="355">
        <v>1</v>
      </c>
      <c r="G3206" s="355" t="s">
        <v>1337</v>
      </c>
      <c r="H3206" s="355" t="s">
        <v>4573</v>
      </c>
      <c r="I3206" s="461">
        <v>1302</v>
      </c>
      <c r="J3206" s="355" t="s">
        <v>1337</v>
      </c>
      <c r="K3206" s="355">
        <f>F3206*I3206</f>
        <v>1302</v>
      </c>
      <c r="L3206" s="355"/>
      <c r="M3206" s="355"/>
    </row>
    <row r="3207" spans="5:13" ht="43.5" customHeight="1">
      <c r="E3207" s="355"/>
      <c r="F3207" s="355">
        <v>1</v>
      </c>
      <c r="G3207" s="355" t="s">
        <v>1337</v>
      </c>
      <c r="H3207" s="354" t="s">
        <v>4572</v>
      </c>
      <c r="I3207" s="355">
        <f>I3192</f>
        <v>159.69999999999999</v>
      </c>
      <c r="J3207" s="355" t="s">
        <v>1337</v>
      </c>
      <c r="K3207" s="355">
        <f>F3207*I3207</f>
        <v>159.69999999999999</v>
      </c>
      <c r="L3207" s="355"/>
      <c r="M3207" s="355"/>
    </row>
    <row r="3208" spans="5:13" ht="41.25" customHeight="1">
      <c r="E3208" s="355"/>
      <c r="F3208" s="355"/>
      <c r="G3208" s="355"/>
      <c r="H3208" s="354" t="s">
        <v>2522</v>
      </c>
      <c r="I3208" s="355"/>
      <c r="J3208" s="355"/>
      <c r="K3208" s="355">
        <v>14.3</v>
      </c>
      <c r="L3208" s="355"/>
      <c r="M3208" s="355"/>
    </row>
    <row r="3209" spans="5:13" ht="30" customHeight="1">
      <c r="E3209" s="355"/>
      <c r="F3209" s="355"/>
      <c r="G3209" s="355"/>
      <c r="H3209" s="355" t="s">
        <v>878</v>
      </c>
      <c r="I3209" s="355"/>
      <c r="J3209" s="355"/>
      <c r="K3209" s="355">
        <f>K3201</f>
        <v>608</v>
      </c>
      <c r="L3209" s="355"/>
      <c r="M3209" s="355"/>
    </row>
    <row r="3210" spans="5:13" ht="30" customHeight="1">
      <c r="E3210" s="355"/>
      <c r="F3210" s="355"/>
      <c r="G3210" s="355"/>
      <c r="H3210" s="362" t="s">
        <v>1024</v>
      </c>
      <c r="I3210" s="355"/>
      <c r="J3210" s="355"/>
      <c r="K3210" s="363">
        <f>SUM(K3206:K3209)</f>
        <v>2084</v>
      </c>
      <c r="L3210" s="355">
        <f>1485-K3210</f>
        <v>-599</v>
      </c>
      <c r="M3210" s="355">
        <f>1322-K3210</f>
        <v>-762</v>
      </c>
    </row>
    <row r="3211" spans="5:13">
      <c r="E3211" s="355"/>
      <c r="F3211" s="355"/>
      <c r="G3211" s="355"/>
      <c r="H3211" s="355"/>
      <c r="I3211" s="355"/>
      <c r="J3211" s="355"/>
      <c r="K3211" s="355"/>
      <c r="L3211" s="355"/>
      <c r="M3211" s="355"/>
    </row>
    <row r="3212" spans="5:13" ht="30" customHeight="1">
      <c r="E3212" s="355"/>
      <c r="F3212" s="355"/>
      <c r="G3212" s="355"/>
      <c r="H3212" s="363" t="s">
        <v>2539</v>
      </c>
      <c r="I3212" s="355"/>
      <c r="J3212" s="355"/>
      <c r="K3212" s="355"/>
      <c r="L3212" s="355"/>
      <c r="M3212" s="355"/>
    </row>
    <row r="3213" spans="5:13" ht="30.75" customHeight="1">
      <c r="E3213" s="355"/>
      <c r="F3213" s="355"/>
      <c r="G3213" s="355"/>
      <c r="H3213" s="355"/>
      <c r="I3213" s="355"/>
      <c r="J3213" s="355"/>
      <c r="K3213" s="355"/>
      <c r="L3213" s="355"/>
      <c r="M3213" s="355"/>
    </row>
    <row r="3214" spans="5:13" ht="74.25" customHeight="1">
      <c r="E3214" s="355"/>
      <c r="F3214" s="355"/>
      <c r="G3214" s="355"/>
      <c r="H3214" s="353" t="s">
        <v>3072</v>
      </c>
      <c r="I3214" s="355"/>
      <c r="J3214" s="355"/>
      <c r="K3214" s="355"/>
      <c r="L3214" s="355"/>
      <c r="M3214" s="355"/>
    </row>
    <row r="3215" spans="5:13" ht="95.25" customHeight="1">
      <c r="E3215" s="355"/>
      <c r="F3215" s="355"/>
      <c r="G3215" s="355"/>
      <c r="H3215" s="354" t="s">
        <v>3337</v>
      </c>
      <c r="I3215" s="355"/>
      <c r="J3215" s="355"/>
      <c r="K3215" s="355"/>
      <c r="L3215" s="355"/>
      <c r="M3215" s="355"/>
    </row>
    <row r="3216" spans="5:13">
      <c r="E3216" s="355"/>
      <c r="F3216" s="355"/>
      <c r="G3216" s="355"/>
      <c r="H3216" s="355"/>
      <c r="I3216" s="355"/>
      <c r="J3216" s="355"/>
      <c r="K3216" s="355"/>
      <c r="L3216" s="355"/>
      <c r="M3216" s="355"/>
    </row>
    <row r="3217" spans="5:14" ht="45" customHeight="1">
      <c r="E3217" s="355"/>
      <c r="F3217" s="355">
        <v>1</v>
      </c>
      <c r="G3217" s="355" t="s">
        <v>1337</v>
      </c>
      <c r="H3217" s="354" t="s">
        <v>4772</v>
      </c>
      <c r="I3217" s="356">
        <v>2289</v>
      </c>
      <c r="J3217" s="355" t="s">
        <v>1337</v>
      </c>
      <c r="K3217" s="355">
        <f>F3217*I3217</f>
        <v>2289</v>
      </c>
      <c r="L3217" s="355"/>
      <c r="M3217" s="355"/>
    </row>
    <row r="3218" spans="5:14" ht="30" customHeight="1">
      <c r="E3218" s="355"/>
      <c r="F3218" s="355">
        <v>1</v>
      </c>
      <c r="G3218" s="355" t="s">
        <v>1337</v>
      </c>
      <c r="H3218" s="355" t="s">
        <v>3338</v>
      </c>
      <c r="I3218" s="356">
        <f>K3222</f>
        <v>417.56</v>
      </c>
      <c r="J3218" s="355" t="s">
        <v>1337</v>
      </c>
      <c r="K3218" s="355">
        <f>F3218*I3218</f>
        <v>417.56</v>
      </c>
      <c r="L3218" s="355"/>
      <c r="M3218" s="355"/>
    </row>
    <row r="3219" spans="5:14" ht="44.25" customHeight="1">
      <c r="E3219" s="355"/>
      <c r="F3219" s="355"/>
      <c r="G3219" s="355"/>
      <c r="H3219" s="354" t="s">
        <v>3339</v>
      </c>
      <c r="I3219" s="355"/>
      <c r="J3219" s="355"/>
      <c r="K3219" s="355">
        <v>28.29</v>
      </c>
      <c r="L3219" s="355"/>
      <c r="M3219" s="355"/>
    </row>
    <row r="3220" spans="5:14" ht="30" customHeight="1">
      <c r="E3220" s="355"/>
      <c r="F3220" s="355"/>
      <c r="G3220" s="355"/>
      <c r="H3220" s="355" t="s">
        <v>878</v>
      </c>
      <c r="I3220" s="355"/>
      <c r="J3220" s="355"/>
      <c r="K3220" s="355">
        <f>K3201</f>
        <v>608</v>
      </c>
      <c r="L3220" s="355"/>
      <c r="M3220" s="355"/>
    </row>
    <row r="3221" spans="5:14" ht="30" customHeight="1">
      <c r="E3221" s="355"/>
      <c r="F3221" s="355"/>
      <c r="G3221" s="355"/>
      <c r="H3221" s="362" t="s">
        <v>1024</v>
      </c>
      <c r="I3221" s="355"/>
      <c r="J3221" s="355"/>
      <c r="K3221" s="363">
        <f>SUM(K3217:K3220)</f>
        <v>3342.85</v>
      </c>
      <c r="L3221" s="355">
        <f>3000-K3221</f>
        <v>-342.85</v>
      </c>
      <c r="M3221" s="355">
        <f>3533-K3221</f>
        <v>190.15</v>
      </c>
    </row>
    <row r="3222" spans="5:14" ht="42.75" customHeight="1">
      <c r="E3222" s="355"/>
      <c r="F3222" s="355"/>
      <c r="G3222" s="355"/>
      <c r="H3222" s="354" t="s">
        <v>4773</v>
      </c>
      <c r="I3222" s="356">
        <f>N3222</f>
        <v>103100</v>
      </c>
      <c r="J3222" s="372">
        <f>0.75*0.45*0.012</f>
        <v>4.0499999999999998E-3</v>
      </c>
      <c r="K3222" s="355">
        <f>J3222*I3222</f>
        <v>417.56</v>
      </c>
      <c r="L3222" s="355"/>
      <c r="M3222" s="355">
        <f>10275+93100</f>
        <v>103375</v>
      </c>
      <c r="N3222" s="182">
        <f>11800 +91300</f>
        <v>103100</v>
      </c>
    </row>
    <row r="3223" spans="5:14" ht="30" customHeight="1">
      <c r="E3223" s="355"/>
      <c r="F3223" s="355"/>
      <c r="G3223" s="355"/>
      <c r="H3223" s="363" t="s">
        <v>3340</v>
      </c>
      <c r="I3223" s="355"/>
      <c r="J3223" s="355"/>
      <c r="K3223" s="355"/>
      <c r="L3223" s="355"/>
      <c r="M3223" s="355"/>
    </row>
    <row r="3224" spans="5:14">
      <c r="E3224" s="355"/>
      <c r="F3224" s="355"/>
      <c r="G3224" s="355"/>
      <c r="H3224" s="355"/>
      <c r="I3224" s="355"/>
      <c r="J3224" s="355"/>
      <c r="K3224" s="355"/>
      <c r="L3224" s="355"/>
      <c r="M3224" s="355"/>
    </row>
    <row r="3225" spans="5:14" ht="92.25" customHeight="1">
      <c r="E3225" s="355"/>
      <c r="F3225" s="355"/>
      <c r="G3225" s="355"/>
      <c r="H3225" s="353" t="s">
        <v>2507</v>
      </c>
      <c r="I3225" s="355"/>
      <c r="J3225" s="355"/>
      <c r="K3225" s="355"/>
      <c r="L3225" s="355"/>
      <c r="M3225" s="355"/>
    </row>
    <row r="3226" spans="5:14">
      <c r="E3226" s="355"/>
      <c r="F3226" s="355"/>
      <c r="G3226" s="355"/>
      <c r="H3226" s="355"/>
      <c r="I3226" s="355"/>
      <c r="J3226" s="355"/>
      <c r="K3226" s="355"/>
      <c r="L3226" s="355"/>
      <c r="M3226" s="355"/>
    </row>
    <row r="3227" spans="5:14" ht="30" customHeight="1">
      <c r="E3227" s="355"/>
      <c r="F3227" s="355"/>
      <c r="G3227" s="355"/>
      <c r="H3227" s="355" t="s">
        <v>2508</v>
      </c>
      <c r="I3227" s="355"/>
      <c r="J3227" s="355"/>
      <c r="K3227" s="355"/>
      <c r="L3227" s="355"/>
      <c r="M3227" s="355"/>
    </row>
    <row r="3228" spans="5:14">
      <c r="E3228" s="355"/>
      <c r="F3228" s="355"/>
      <c r="G3228" s="355"/>
      <c r="H3228" s="355"/>
      <c r="I3228" s="355"/>
      <c r="J3228" s="355"/>
      <c r="K3228" s="355"/>
      <c r="L3228" s="355"/>
      <c r="M3228" s="355"/>
    </row>
    <row r="3229" spans="5:14" ht="30" customHeight="1">
      <c r="E3229" s="355"/>
      <c r="F3229" s="355"/>
      <c r="G3229" s="355"/>
      <c r="H3229" s="355" t="s">
        <v>2896</v>
      </c>
      <c r="I3229" s="355"/>
      <c r="J3229" s="355"/>
      <c r="K3229" s="355">
        <f>K3221</f>
        <v>3342.85</v>
      </c>
      <c r="L3229" s="355"/>
      <c r="M3229" s="355"/>
    </row>
    <row r="3230" spans="5:14" ht="30" customHeight="1">
      <c r="E3230" s="355"/>
      <c r="F3230" s="355">
        <v>1</v>
      </c>
      <c r="G3230" s="355" t="s">
        <v>1337</v>
      </c>
      <c r="H3230" s="355" t="s">
        <v>4774</v>
      </c>
      <c r="I3230" s="356">
        <v>3063</v>
      </c>
      <c r="J3230" s="355" t="s">
        <v>1337</v>
      </c>
      <c r="K3230" s="355">
        <f>F3230*I3230</f>
        <v>3063</v>
      </c>
      <c r="L3230" s="355"/>
      <c r="M3230" s="355"/>
    </row>
    <row r="3231" spans="5:14" ht="30" customHeight="1">
      <c r="E3231" s="355"/>
      <c r="F3231" s="355">
        <v>1</v>
      </c>
      <c r="G3231" s="355" t="s">
        <v>1337</v>
      </c>
      <c r="H3231" s="355" t="s">
        <v>4531</v>
      </c>
      <c r="I3231" s="425">
        <f>I3217</f>
        <v>2289</v>
      </c>
      <c r="J3231" s="355" t="s">
        <v>1337</v>
      </c>
      <c r="K3231" s="355">
        <f>F3231*I3231</f>
        <v>2289</v>
      </c>
      <c r="L3231" s="355"/>
      <c r="M3231" s="355"/>
    </row>
    <row r="3232" spans="5:14" ht="30" customHeight="1">
      <c r="E3232" s="355"/>
      <c r="F3232" s="355"/>
      <c r="G3232" s="355"/>
      <c r="H3232" s="355" t="s">
        <v>2187</v>
      </c>
      <c r="I3232" s="355"/>
      <c r="J3232" s="355"/>
      <c r="K3232" s="355"/>
      <c r="L3232" s="355"/>
      <c r="M3232" s="355"/>
    </row>
    <row r="3233" spans="5:19" ht="30" customHeight="1">
      <c r="E3233" s="355"/>
      <c r="F3233" s="355"/>
      <c r="G3233" s="355"/>
      <c r="H3233" s="362" t="s">
        <v>1024</v>
      </c>
      <c r="I3233" s="355"/>
      <c r="J3233" s="355"/>
      <c r="K3233" s="363">
        <f>K3229+K3230-K3231+K3232</f>
        <v>4116.8500000000004</v>
      </c>
      <c r="L3233" s="355">
        <f>4017-K3233</f>
        <v>-99.85</v>
      </c>
      <c r="M3233" s="355"/>
    </row>
    <row r="3234" spans="5:19" ht="39.75" customHeight="1">
      <c r="E3234" s="355"/>
      <c r="F3234" s="355"/>
      <c r="G3234" s="355"/>
      <c r="H3234" s="355"/>
      <c r="I3234" s="355"/>
      <c r="J3234" s="355"/>
      <c r="K3234" s="355">
        <f>K3233*2</f>
        <v>8233.7000000000007</v>
      </c>
      <c r="L3234" s="355"/>
      <c r="M3234" s="355"/>
    </row>
    <row r="3235" spans="5:19" ht="24.95" customHeight="1">
      <c r="E3235" s="355"/>
      <c r="F3235" s="355"/>
      <c r="G3235" s="355"/>
      <c r="H3235" s="363" t="s">
        <v>2524</v>
      </c>
      <c r="I3235" s="355"/>
      <c r="J3235" s="355"/>
      <c r="K3235" s="355"/>
      <c r="L3235" s="355"/>
      <c r="M3235" s="355"/>
    </row>
    <row r="3236" spans="5:19">
      <c r="E3236" s="355"/>
      <c r="F3236" s="355"/>
      <c r="G3236" s="355"/>
      <c r="H3236" s="355"/>
      <c r="I3236" s="355"/>
      <c r="J3236" s="355"/>
      <c r="K3236" s="355"/>
      <c r="L3236" s="355"/>
      <c r="M3236" s="355"/>
      <c r="P3236" s="182" t="s">
        <v>4615</v>
      </c>
    </row>
    <row r="3237" spans="5:19" ht="39" customHeight="1">
      <c r="E3237" s="355"/>
      <c r="F3237" s="355"/>
      <c r="G3237" s="355"/>
      <c r="H3237" s="353" t="s">
        <v>3286</v>
      </c>
      <c r="I3237" s="355"/>
      <c r="J3237" s="355"/>
      <c r="K3237" s="355"/>
      <c r="L3237" s="355"/>
      <c r="M3237" s="355"/>
      <c r="O3237" s="353" t="s">
        <v>4610</v>
      </c>
    </row>
    <row r="3238" spans="5:19">
      <c r="E3238" s="355"/>
      <c r="F3238" s="355"/>
      <c r="G3238" s="355"/>
      <c r="H3238" s="355"/>
      <c r="I3238" s="355"/>
      <c r="J3238" s="355"/>
      <c r="K3238" s="355"/>
      <c r="L3238" s="355"/>
      <c r="M3238" s="355"/>
    </row>
    <row r="3239" spans="5:19" ht="95.25" customHeight="1">
      <c r="E3239" s="355"/>
      <c r="F3239" s="355"/>
      <c r="G3239" s="355"/>
      <c r="H3239" s="354" t="s">
        <v>2238</v>
      </c>
      <c r="I3239" s="355"/>
      <c r="J3239" s="355"/>
      <c r="K3239" s="355"/>
      <c r="L3239" s="355"/>
      <c r="M3239" s="355">
        <v>1</v>
      </c>
      <c r="N3239" s="355" t="s">
        <v>1337</v>
      </c>
      <c r="O3239" s="465" t="s">
        <v>4611</v>
      </c>
      <c r="P3239" s="355">
        <v>2487</v>
      </c>
      <c r="Q3239" s="355" t="s">
        <v>1337</v>
      </c>
      <c r="R3239" s="355">
        <f>P3239*M3239</f>
        <v>2487</v>
      </c>
    </row>
    <row r="3240" spans="5:19" ht="24.95" customHeight="1">
      <c r="E3240" s="355"/>
      <c r="F3240" s="355">
        <v>2</v>
      </c>
      <c r="G3240" s="355" t="s">
        <v>1337</v>
      </c>
      <c r="H3240" s="355" t="s">
        <v>4775</v>
      </c>
      <c r="I3240" s="356">
        <v>558</v>
      </c>
      <c r="J3240" s="355" t="s">
        <v>2811</v>
      </c>
      <c r="K3240" s="355">
        <f>F3240*(I3240/100)</f>
        <v>11.16</v>
      </c>
      <c r="L3240" s="355"/>
      <c r="M3240" s="355"/>
      <c r="N3240" s="355"/>
      <c r="O3240" s="355"/>
      <c r="P3240" s="356"/>
      <c r="Q3240" s="355"/>
      <c r="R3240" s="355"/>
    </row>
    <row r="3241" spans="5:19" ht="24.95" customHeight="1">
      <c r="E3241" s="355"/>
      <c r="F3241" s="355">
        <v>2</v>
      </c>
      <c r="G3241" s="355" t="s">
        <v>794</v>
      </c>
      <c r="H3241" s="355" t="s">
        <v>2239</v>
      </c>
      <c r="I3241" s="445">
        <v>980</v>
      </c>
      <c r="J3241" s="355" t="s">
        <v>2240</v>
      </c>
      <c r="K3241" s="355">
        <f>F3241*(I3241/100)</f>
        <v>19.600000000000001</v>
      </c>
      <c r="L3241" s="355"/>
      <c r="M3241" s="355">
        <v>1</v>
      </c>
      <c r="N3241" s="355" t="s">
        <v>794</v>
      </c>
      <c r="O3241" s="355" t="s">
        <v>4612</v>
      </c>
      <c r="P3241" s="445">
        <v>8.5500000000000007</v>
      </c>
      <c r="Q3241" s="355" t="s">
        <v>4613</v>
      </c>
      <c r="R3241" s="355">
        <f>P3241*M3241</f>
        <v>8.5500000000000007</v>
      </c>
      <c r="S3241" s="182">
        <f>R3239+R3241</f>
        <v>2495.5500000000002</v>
      </c>
    </row>
    <row r="3242" spans="5:19" ht="24.95" customHeight="1">
      <c r="E3242" s="355"/>
      <c r="F3242" s="355"/>
      <c r="G3242" s="355"/>
      <c r="H3242" s="355" t="s">
        <v>2241</v>
      </c>
      <c r="I3242" s="355"/>
      <c r="J3242" s="355"/>
      <c r="K3242" s="355">
        <v>8.5</v>
      </c>
      <c r="L3242" s="355"/>
      <c r="M3242" s="355"/>
      <c r="N3242" s="355"/>
      <c r="O3242" s="355" t="s">
        <v>4614</v>
      </c>
      <c r="P3242" s="355"/>
      <c r="Q3242" s="355"/>
      <c r="R3242" s="355">
        <f>24.71-0.32</f>
        <v>24.39</v>
      </c>
    </row>
    <row r="3243" spans="5:19" ht="24.95" customHeight="1">
      <c r="E3243" s="355"/>
      <c r="F3243" s="355"/>
      <c r="G3243" s="355"/>
      <c r="H3243" s="355" t="s">
        <v>3301</v>
      </c>
      <c r="I3243" s="355"/>
      <c r="J3243" s="355"/>
      <c r="K3243" s="355">
        <f>K3251</f>
        <v>237.25</v>
      </c>
      <c r="L3243" s="355"/>
      <c r="M3243" s="355"/>
      <c r="N3243" s="355"/>
      <c r="O3243" s="355" t="s">
        <v>3301</v>
      </c>
      <c r="P3243" s="355"/>
      <c r="Q3243" s="355"/>
      <c r="R3243" s="355">
        <f>K3243</f>
        <v>237.25</v>
      </c>
    </row>
    <row r="3244" spans="5:19" ht="24.95" customHeight="1">
      <c r="E3244" s="355"/>
      <c r="F3244" s="355"/>
      <c r="G3244" s="355"/>
      <c r="H3244" s="362" t="s">
        <v>1024</v>
      </c>
      <c r="I3244" s="355"/>
      <c r="J3244" s="355"/>
      <c r="K3244" s="363">
        <f>SUM(K3240:K3243)</f>
        <v>276.51</v>
      </c>
      <c r="L3244" s="355">
        <f>384.3+249</f>
        <v>633.29999999999995</v>
      </c>
      <c r="M3244" s="355"/>
      <c r="N3244" s="355"/>
      <c r="O3244" s="362" t="s">
        <v>1024</v>
      </c>
      <c r="P3244" s="355"/>
      <c r="Q3244" s="355"/>
      <c r="R3244" s="363">
        <f>SUM(R3239:R3243)</f>
        <v>2757.19</v>
      </c>
    </row>
    <row r="3245" spans="5:19">
      <c r="E3245" s="355"/>
      <c r="F3245" s="355"/>
      <c r="G3245" s="355"/>
      <c r="H3245" s="355"/>
      <c r="I3245" s="355"/>
      <c r="J3245" s="355"/>
      <c r="K3245" s="355"/>
      <c r="L3245" s="355"/>
      <c r="M3245" s="355"/>
    </row>
    <row r="3246" spans="5:19">
      <c r="E3246" s="355"/>
      <c r="F3246" s="355"/>
      <c r="H3246" s="361" t="s">
        <v>3302</v>
      </c>
      <c r="I3246" s="355"/>
      <c r="J3246" s="355"/>
      <c r="K3246" s="355"/>
      <c r="L3246" s="355"/>
      <c r="M3246" s="355"/>
    </row>
    <row r="3247" spans="5:19">
      <c r="E3247" s="355"/>
      <c r="F3247" s="355">
        <v>1</v>
      </c>
      <c r="G3247" s="355" t="s">
        <v>1337</v>
      </c>
      <c r="H3247" s="355" t="s">
        <v>2691</v>
      </c>
      <c r="I3247" s="355">
        <f>I2867</f>
        <v>712</v>
      </c>
      <c r="J3247" s="355" t="s">
        <v>1337</v>
      </c>
      <c r="K3247" s="355">
        <f>F3247*I3247</f>
        <v>712</v>
      </c>
      <c r="L3247" s="355"/>
      <c r="M3247" s="355"/>
    </row>
    <row r="3248" spans="5:19">
      <c r="E3248" s="355"/>
      <c r="F3248" s="355">
        <v>2</v>
      </c>
      <c r="G3248" s="355" t="s">
        <v>1337</v>
      </c>
      <c r="H3248" s="355" t="s">
        <v>2510</v>
      </c>
      <c r="I3248" s="355">
        <f>I2868</f>
        <v>708</v>
      </c>
      <c r="J3248" s="355" t="s">
        <v>1337</v>
      </c>
      <c r="K3248" s="355">
        <f>F3248*I3248</f>
        <v>1416</v>
      </c>
      <c r="L3248" s="355"/>
      <c r="M3248" s="355"/>
    </row>
    <row r="3249" spans="5:13">
      <c r="E3249" s="355"/>
      <c r="F3249" s="355">
        <v>3</v>
      </c>
      <c r="G3249" s="355" t="s">
        <v>1337</v>
      </c>
      <c r="H3249" s="355" t="s">
        <v>3013</v>
      </c>
      <c r="I3249" s="355">
        <f>I2869</f>
        <v>556</v>
      </c>
      <c r="J3249" s="355" t="s">
        <v>1337</v>
      </c>
      <c r="K3249" s="355">
        <f>F3249*I3249</f>
        <v>1668</v>
      </c>
      <c r="L3249" s="355"/>
      <c r="M3249" s="355"/>
    </row>
    <row r="3250" spans="5:13">
      <c r="E3250" s="355"/>
      <c r="F3250" s="355"/>
      <c r="G3250" s="355"/>
      <c r="H3250" s="360" t="s">
        <v>3303</v>
      </c>
      <c r="I3250" s="355"/>
      <c r="J3250" s="355"/>
      <c r="K3250" s="361">
        <f>SUM(K3247:K3249)</f>
        <v>3796</v>
      </c>
      <c r="L3250" s="355"/>
      <c r="M3250" s="355"/>
    </row>
    <row r="3251" spans="5:13">
      <c r="E3251" s="355"/>
      <c r="F3251" s="355"/>
      <c r="G3251" s="355"/>
      <c r="H3251" s="362" t="s">
        <v>2718</v>
      </c>
      <c r="I3251" s="355"/>
      <c r="J3251" s="355"/>
      <c r="K3251" s="363">
        <f>K3250/16</f>
        <v>237.25</v>
      </c>
      <c r="L3251" s="355"/>
      <c r="M3251" s="355"/>
    </row>
    <row r="3252" spans="5:13">
      <c r="E3252" s="355"/>
      <c r="F3252" s="355"/>
      <c r="G3252" s="355"/>
      <c r="H3252" s="355"/>
      <c r="I3252" s="355"/>
      <c r="J3252" s="355"/>
      <c r="K3252" s="355"/>
      <c r="L3252" s="355"/>
      <c r="M3252" s="355"/>
    </row>
    <row r="3253" spans="5:13">
      <c r="E3253" s="355"/>
      <c r="F3253" s="355"/>
      <c r="G3253" s="355"/>
      <c r="H3253" s="363" t="s">
        <v>3304</v>
      </c>
      <c r="I3253" s="355"/>
      <c r="J3253" s="355"/>
      <c r="K3253" s="355"/>
      <c r="L3253" s="355"/>
      <c r="M3253" s="355"/>
    </row>
    <row r="3254" spans="5:13" ht="36" customHeight="1">
      <c r="E3254" s="355"/>
      <c r="F3254" s="355"/>
      <c r="G3254" s="355"/>
      <c r="H3254" s="353" t="s">
        <v>3305</v>
      </c>
      <c r="I3254" s="355"/>
      <c r="J3254" s="355"/>
      <c r="K3254" s="355"/>
      <c r="L3254" s="355"/>
      <c r="M3254" s="355"/>
    </row>
    <row r="3255" spans="5:13">
      <c r="E3255" s="355"/>
      <c r="F3255" s="355"/>
      <c r="G3255" s="355"/>
      <c r="H3255" s="355"/>
      <c r="I3255" s="355"/>
      <c r="J3255" s="355"/>
      <c r="K3255" s="355"/>
      <c r="L3255" s="355"/>
      <c r="M3255" s="355"/>
    </row>
    <row r="3256" spans="5:13" ht="112.5" customHeight="1">
      <c r="E3256" s="355"/>
      <c r="F3256" s="355"/>
      <c r="G3256" s="355"/>
      <c r="H3256" s="354" t="s">
        <v>2666</v>
      </c>
      <c r="I3256" s="355"/>
      <c r="J3256" s="355"/>
      <c r="K3256" s="355"/>
      <c r="L3256" s="355"/>
      <c r="M3256" s="355"/>
    </row>
    <row r="3257" spans="5:13">
      <c r="E3257" s="355"/>
      <c r="F3257" s="355">
        <v>1.5</v>
      </c>
      <c r="G3257" s="355" t="s">
        <v>794</v>
      </c>
      <c r="H3257" s="355" t="s">
        <v>4776</v>
      </c>
      <c r="I3257" s="356">
        <v>32.299999999999997</v>
      </c>
      <c r="J3257" s="355" t="s">
        <v>794</v>
      </c>
      <c r="K3257" s="355">
        <f>F3257*I3257</f>
        <v>48.45</v>
      </c>
      <c r="L3257" s="355"/>
      <c r="M3257" s="355"/>
    </row>
    <row r="3258" spans="5:13">
      <c r="E3258" s="355"/>
      <c r="F3258" s="355">
        <v>2</v>
      </c>
      <c r="G3258" s="355" t="s">
        <v>1337</v>
      </c>
      <c r="H3258" s="355" t="s">
        <v>2667</v>
      </c>
      <c r="I3258" s="355">
        <f>I3240</f>
        <v>558</v>
      </c>
      <c r="J3258" s="355" t="s">
        <v>2811</v>
      </c>
      <c r="K3258" s="355">
        <f>F3258*(I3258/100)</f>
        <v>11.16</v>
      </c>
      <c r="L3258" s="355"/>
      <c r="M3258" s="355"/>
    </row>
    <row r="3259" spans="5:13">
      <c r="E3259" s="355"/>
      <c r="F3259" s="355">
        <v>2</v>
      </c>
      <c r="G3259" s="355" t="s">
        <v>794</v>
      </c>
      <c r="H3259" s="355" t="s">
        <v>2239</v>
      </c>
      <c r="I3259" s="355">
        <f>I3241</f>
        <v>980</v>
      </c>
      <c r="J3259" s="355" t="s">
        <v>794</v>
      </c>
      <c r="K3259" s="355">
        <f>F3259*(I3259/100)</f>
        <v>19.600000000000001</v>
      </c>
      <c r="L3259" s="355"/>
      <c r="M3259" s="355"/>
    </row>
    <row r="3260" spans="5:13" ht="31.5" customHeight="1">
      <c r="E3260" s="355"/>
      <c r="F3260" s="355"/>
      <c r="G3260" s="355"/>
      <c r="H3260" s="354" t="s">
        <v>2668</v>
      </c>
      <c r="I3260" s="355"/>
      <c r="J3260" s="355"/>
      <c r="K3260" s="355">
        <v>6.11</v>
      </c>
      <c r="L3260" s="355"/>
      <c r="M3260" s="355"/>
    </row>
    <row r="3261" spans="5:13">
      <c r="E3261" s="355"/>
      <c r="F3261" s="355"/>
      <c r="G3261" s="355"/>
      <c r="H3261" s="355" t="s">
        <v>878</v>
      </c>
      <c r="I3261" s="355"/>
      <c r="J3261" s="355"/>
      <c r="K3261" s="355">
        <f>K3269</f>
        <v>379.6</v>
      </c>
      <c r="L3261" s="355"/>
      <c r="M3261" s="355"/>
    </row>
    <row r="3262" spans="5:13" ht="24.95" customHeight="1">
      <c r="E3262" s="355"/>
      <c r="F3262" s="355"/>
      <c r="G3262" s="355"/>
      <c r="H3262" s="362" t="s">
        <v>1024</v>
      </c>
      <c r="I3262" s="355"/>
      <c r="J3262" s="355"/>
      <c r="K3262" s="363">
        <f>SUM(K3257:K3261)</f>
        <v>464.92</v>
      </c>
      <c r="L3262" s="355">
        <f>K3262-320</f>
        <v>144.91999999999999</v>
      </c>
      <c r="M3262" s="355"/>
    </row>
    <row r="3263" spans="5:13">
      <c r="E3263" s="355"/>
      <c r="F3263" s="355"/>
      <c r="G3263" s="355"/>
      <c r="H3263" s="355"/>
      <c r="I3263" s="355"/>
      <c r="J3263" s="355"/>
      <c r="K3263" s="355"/>
      <c r="L3263" s="355"/>
      <c r="M3263" s="355"/>
    </row>
    <row r="3264" spans="5:13">
      <c r="E3264" s="355"/>
      <c r="F3264" s="355"/>
      <c r="G3264" s="355"/>
      <c r="H3264" s="363" t="s">
        <v>138</v>
      </c>
      <c r="I3264" s="355"/>
      <c r="J3264" s="355"/>
      <c r="K3264" s="355"/>
      <c r="L3264" s="355"/>
      <c r="M3264" s="355"/>
    </row>
    <row r="3265" spans="5:13">
      <c r="E3265" s="355"/>
      <c r="F3265" s="355">
        <v>1</v>
      </c>
      <c r="G3265" s="355" t="s">
        <v>1337</v>
      </c>
      <c r="H3265" s="355" t="s">
        <v>2691</v>
      </c>
      <c r="I3265" s="355">
        <f>I3247</f>
        <v>712</v>
      </c>
      <c r="J3265" s="355" t="s">
        <v>1337</v>
      </c>
      <c r="K3265" s="355">
        <f>F3265*I3265</f>
        <v>712</v>
      </c>
      <c r="L3265" s="355"/>
      <c r="M3265" s="355"/>
    </row>
    <row r="3266" spans="5:13">
      <c r="E3266" s="355"/>
      <c r="F3266" s="355">
        <v>2</v>
      </c>
      <c r="G3266" s="355" t="s">
        <v>1337</v>
      </c>
      <c r="H3266" s="355" t="s">
        <v>2510</v>
      </c>
      <c r="I3266" s="355">
        <f>I3248</f>
        <v>708</v>
      </c>
      <c r="J3266" s="355" t="s">
        <v>1337</v>
      </c>
      <c r="K3266" s="355">
        <f>F3266*I3266</f>
        <v>1416</v>
      </c>
      <c r="L3266" s="355"/>
      <c r="M3266" s="355"/>
    </row>
    <row r="3267" spans="5:13">
      <c r="E3267" s="355"/>
      <c r="F3267" s="355">
        <v>3</v>
      </c>
      <c r="G3267" s="355" t="s">
        <v>1337</v>
      </c>
      <c r="H3267" s="355" t="s">
        <v>3013</v>
      </c>
      <c r="I3267" s="355">
        <f>I3249</f>
        <v>556</v>
      </c>
      <c r="J3267" s="355" t="s">
        <v>1337</v>
      </c>
      <c r="K3267" s="355">
        <f>F3267*I3267</f>
        <v>1668</v>
      </c>
      <c r="L3267" s="355"/>
      <c r="M3267" s="355"/>
    </row>
    <row r="3268" spans="5:13">
      <c r="E3268" s="355"/>
      <c r="F3268" s="355"/>
      <c r="G3268" s="355"/>
      <c r="H3268" s="360" t="s">
        <v>2669</v>
      </c>
      <c r="I3268" s="355"/>
      <c r="J3268" s="355"/>
      <c r="K3268" s="361">
        <f>SUM(K3265:K3267)</f>
        <v>3796</v>
      </c>
      <c r="L3268" s="355"/>
      <c r="M3268" s="355"/>
    </row>
    <row r="3269" spans="5:13">
      <c r="E3269" s="355"/>
      <c r="F3269" s="355"/>
      <c r="G3269" s="355"/>
      <c r="H3269" s="362" t="s">
        <v>2718</v>
      </c>
      <c r="I3269" s="355"/>
      <c r="J3269" s="355"/>
      <c r="K3269" s="363">
        <f>K3268/10</f>
        <v>379.6</v>
      </c>
      <c r="L3269" s="355"/>
      <c r="M3269" s="355"/>
    </row>
    <row r="3270" spans="5:13">
      <c r="E3270" s="355"/>
      <c r="F3270" s="355"/>
      <c r="G3270" s="355"/>
      <c r="H3270" s="355"/>
      <c r="I3270" s="355"/>
      <c r="J3270" s="355"/>
      <c r="K3270" s="355"/>
      <c r="L3270" s="355"/>
      <c r="M3270" s="355"/>
    </row>
    <row r="3271" spans="5:13">
      <c r="E3271" s="355"/>
      <c r="F3271" s="355"/>
      <c r="G3271" s="355"/>
      <c r="H3271" s="363" t="s">
        <v>3340</v>
      </c>
      <c r="I3271" s="355"/>
      <c r="J3271" s="355"/>
      <c r="K3271" s="355"/>
      <c r="L3271" s="355"/>
      <c r="M3271" s="355"/>
    </row>
    <row r="3272" spans="5:13" ht="83.25" customHeight="1">
      <c r="E3272" s="355"/>
      <c r="F3272" s="355"/>
      <c r="G3272" s="355"/>
      <c r="H3272" s="354" t="s">
        <v>3052</v>
      </c>
      <c r="I3272" s="355"/>
      <c r="J3272" s="355"/>
      <c r="K3272" s="355"/>
      <c r="L3272" s="355"/>
      <c r="M3272" s="355"/>
    </row>
    <row r="3273" spans="5:13">
      <c r="E3273" s="355"/>
      <c r="F3273" s="355"/>
      <c r="G3273" s="355"/>
      <c r="H3273" s="355"/>
      <c r="I3273" s="355"/>
      <c r="J3273" s="355"/>
      <c r="K3273" s="355"/>
      <c r="L3273" s="355"/>
      <c r="M3273" s="355"/>
    </row>
    <row r="3274" spans="5:13" ht="22.5" customHeight="1">
      <c r="E3274" s="355"/>
      <c r="F3274" s="355">
        <v>1</v>
      </c>
      <c r="G3274" s="355" t="s">
        <v>794</v>
      </c>
      <c r="H3274" s="355" t="s">
        <v>2239</v>
      </c>
      <c r="I3274" s="355">
        <f>I3259</f>
        <v>980</v>
      </c>
      <c r="J3274" s="355" t="s">
        <v>3053</v>
      </c>
      <c r="K3274" s="355">
        <f>F3274*(I3274/100)</f>
        <v>9.8000000000000007</v>
      </c>
      <c r="L3274" s="355"/>
      <c r="M3274" s="355"/>
    </row>
    <row r="3275" spans="5:13" ht="24.95" customHeight="1">
      <c r="E3275" s="355"/>
      <c r="F3275" s="355"/>
      <c r="G3275" s="355"/>
      <c r="H3275" s="355" t="s">
        <v>138</v>
      </c>
      <c r="I3275" s="355"/>
      <c r="J3275" s="355"/>
      <c r="K3275" s="355">
        <f>K3282</f>
        <v>506.4</v>
      </c>
      <c r="L3275" s="355"/>
      <c r="M3275" s="355"/>
    </row>
    <row r="3276" spans="5:13" ht="24.95" customHeight="1">
      <c r="E3276" s="355"/>
      <c r="F3276" s="355"/>
      <c r="G3276" s="355"/>
      <c r="H3276" s="355" t="s">
        <v>2242</v>
      </c>
      <c r="J3276" s="355"/>
      <c r="K3276" s="355">
        <v>5.26</v>
      </c>
      <c r="L3276" s="355"/>
      <c r="M3276" s="355"/>
    </row>
    <row r="3277" spans="5:13" ht="24.95" customHeight="1">
      <c r="E3277" s="355"/>
      <c r="F3277" s="355"/>
      <c r="G3277" s="355"/>
      <c r="H3277" s="361" t="s">
        <v>3054</v>
      </c>
      <c r="I3277" s="363" t="s">
        <v>1024</v>
      </c>
      <c r="J3277" s="355"/>
      <c r="K3277" s="363">
        <f>SUM(K3274:K3276)</f>
        <v>521.46</v>
      </c>
      <c r="L3277" s="355">
        <f>467-K3277</f>
        <v>-54.46</v>
      </c>
      <c r="M3277" s="355"/>
    </row>
    <row r="3278" spans="5:13" ht="21" customHeight="1">
      <c r="E3278" s="355"/>
      <c r="F3278" s="355">
        <v>1</v>
      </c>
      <c r="G3278" s="355" t="s">
        <v>1337</v>
      </c>
      <c r="H3278" s="355" t="s">
        <v>2691</v>
      </c>
      <c r="I3278" s="355">
        <f>I3265</f>
        <v>712</v>
      </c>
      <c r="J3278" s="355" t="s">
        <v>1337</v>
      </c>
      <c r="K3278" s="355">
        <f>F3278*I3278</f>
        <v>712</v>
      </c>
      <c r="L3278" s="355"/>
      <c r="M3278" s="355"/>
    </row>
    <row r="3279" spans="5:13" ht="21" customHeight="1">
      <c r="E3279" s="355"/>
      <c r="F3279" s="355">
        <v>1</v>
      </c>
      <c r="G3279" s="355" t="s">
        <v>1337</v>
      </c>
      <c r="H3279" s="355" t="s">
        <v>2510</v>
      </c>
      <c r="I3279" s="355">
        <f>I3266</f>
        <v>708</v>
      </c>
      <c r="J3279" s="355" t="s">
        <v>1337</v>
      </c>
      <c r="K3279" s="355">
        <f>F3279*I3279</f>
        <v>708</v>
      </c>
      <c r="L3279" s="355"/>
      <c r="M3279" s="355"/>
    </row>
    <row r="3280" spans="5:13" ht="21" customHeight="1">
      <c r="E3280" s="355"/>
      <c r="F3280" s="355">
        <v>2</v>
      </c>
      <c r="G3280" s="355" t="s">
        <v>1337</v>
      </c>
      <c r="H3280" s="355" t="s">
        <v>3013</v>
      </c>
      <c r="I3280" s="355">
        <f>I3267</f>
        <v>556</v>
      </c>
      <c r="J3280" s="355" t="s">
        <v>1337</v>
      </c>
      <c r="K3280" s="355">
        <f>F3280*I3280</f>
        <v>1112</v>
      </c>
      <c r="L3280" s="355"/>
      <c r="M3280" s="355"/>
    </row>
    <row r="3281" spans="5:13" ht="24.95" customHeight="1">
      <c r="E3281" s="355"/>
      <c r="F3281" s="355"/>
      <c r="G3281" s="355"/>
      <c r="H3281" s="360" t="s">
        <v>3055</v>
      </c>
      <c r="I3281" s="355"/>
      <c r="J3281" s="355"/>
      <c r="K3281" s="361">
        <f>SUM(K3278:K3280)</f>
        <v>2532</v>
      </c>
      <c r="L3281" s="355"/>
      <c r="M3281" s="355"/>
    </row>
    <row r="3282" spans="5:13" ht="19.5" customHeight="1">
      <c r="E3282" s="355"/>
      <c r="F3282" s="355"/>
      <c r="G3282" s="355"/>
      <c r="H3282" s="362" t="s">
        <v>1024</v>
      </c>
      <c r="I3282" s="355"/>
      <c r="J3282" s="355"/>
      <c r="K3282" s="363">
        <f>K3281/5</f>
        <v>506.4</v>
      </c>
      <c r="L3282" s="355"/>
      <c r="M3282" s="355"/>
    </row>
    <row r="3283" spans="5:13" ht="24.95" customHeight="1">
      <c r="E3283" s="355"/>
      <c r="F3283" s="355"/>
      <c r="G3283" s="355"/>
      <c r="H3283" s="373" t="s">
        <v>3056</v>
      </c>
      <c r="I3283" s="355"/>
      <c r="J3283" s="355"/>
      <c r="K3283" s="355"/>
      <c r="L3283" s="355"/>
      <c r="M3283" s="355"/>
    </row>
    <row r="3284" spans="5:13">
      <c r="E3284" s="355"/>
      <c r="F3284" s="355"/>
      <c r="G3284" s="355"/>
      <c r="H3284" s="363" t="s">
        <v>3057</v>
      </c>
      <c r="I3284" s="355"/>
      <c r="J3284" s="355"/>
      <c r="K3284" s="355"/>
      <c r="L3284" s="355"/>
      <c r="M3284" s="355"/>
    </row>
    <row r="3285" spans="5:13">
      <c r="E3285" s="355"/>
      <c r="F3285" s="355"/>
      <c r="G3285" s="355"/>
      <c r="H3285" s="363" t="s">
        <v>3058</v>
      </c>
      <c r="I3285" s="355"/>
      <c r="J3285" s="355"/>
      <c r="K3285" s="355"/>
      <c r="L3285" s="355"/>
      <c r="M3285" s="355"/>
    </row>
    <row r="3286" spans="5:13">
      <c r="E3286" s="355"/>
      <c r="F3286" s="355"/>
      <c r="G3286" s="355"/>
      <c r="H3286" s="364" t="s">
        <v>3059</v>
      </c>
      <c r="I3286" s="355"/>
      <c r="J3286" s="355"/>
      <c r="K3286" s="355"/>
      <c r="L3286" s="355"/>
      <c r="M3286" s="355"/>
    </row>
    <row r="3287" spans="5:13" ht="68.25" customHeight="1">
      <c r="E3287" s="355"/>
      <c r="F3287" s="355"/>
      <c r="G3287" s="355"/>
      <c r="H3287" s="354" t="s">
        <v>3392</v>
      </c>
      <c r="I3287" s="355"/>
      <c r="J3287" s="355"/>
      <c r="K3287" s="355"/>
      <c r="L3287" s="355"/>
      <c r="M3287" s="355"/>
    </row>
    <row r="3288" spans="5:13">
      <c r="E3288" s="355"/>
      <c r="F3288" s="355"/>
      <c r="G3288" s="355"/>
      <c r="H3288" s="355"/>
      <c r="I3288" s="355"/>
      <c r="J3288" s="355"/>
      <c r="K3288" s="355"/>
      <c r="L3288" s="355"/>
      <c r="M3288" s="355"/>
    </row>
    <row r="3289" spans="5:13">
      <c r="E3289" s="355"/>
      <c r="F3289" s="355">
        <v>9.5</v>
      </c>
      <c r="G3289" s="355" t="s">
        <v>1591</v>
      </c>
      <c r="H3289" s="355" t="s">
        <v>4532</v>
      </c>
      <c r="I3289" s="356">
        <v>94.9</v>
      </c>
      <c r="J3289" s="355" t="s">
        <v>1591</v>
      </c>
      <c r="K3289" s="355">
        <f>F3289*I3289</f>
        <v>901.55</v>
      </c>
      <c r="L3289" s="355"/>
      <c r="M3289" s="355"/>
    </row>
    <row r="3290" spans="5:13">
      <c r="E3290" s="355"/>
      <c r="F3290" s="355">
        <v>0.5</v>
      </c>
      <c r="G3290" s="355" t="s">
        <v>1591</v>
      </c>
      <c r="H3290" s="355" t="s">
        <v>4533</v>
      </c>
      <c r="I3290" s="529">
        <v>19.22</v>
      </c>
      <c r="J3290" s="355"/>
      <c r="K3290" s="355">
        <f>F3290*I3290</f>
        <v>9.61</v>
      </c>
      <c r="L3290" s="355"/>
      <c r="M3290" s="355"/>
    </row>
    <row r="3291" spans="5:13">
      <c r="E3291" s="355"/>
      <c r="F3291" s="355"/>
      <c r="G3291" s="355"/>
      <c r="H3291" s="355" t="s">
        <v>1758</v>
      </c>
      <c r="I3291" s="355"/>
      <c r="J3291" s="355"/>
      <c r="K3291" s="355">
        <f>K3299</f>
        <v>1264</v>
      </c>
      <c r="L3291" s="355"/>
      <c r="M3291" s="355"/>
    </row>
    <row r="3292" spans="5:13">
      <c r="E3292" s="355"/>
      <c r="F3292" s="355"/>
      <c r="G3292" s="355"/>
      <c r="H3292" s="355" t="s">
        <v>2187</v>
      </c>
      <c r="I3292" s="355"/>
      <c r="J3292" s="355"/>
      <c r="K3292" s="355">
        <v>7.95</v>
      </c>
      <c r="L3292" s="355"/>
      <c r="M3292" s="355"/>
    </row>
    <row r="3293" spans="5:13">
      <c r="E3293" s="355"/>
      <c r="F3293" s="355"/>
      <c r="G3293" s="355"/>
      <c r="H3293" s="360" t="s">
        <v>3308</v>
      </c>
      <c r="I3293" s="355"/>
      <c r="J3293" s="355"/>
      <c r="K3293" s="361">
        <f>SUM(K3289:K3292)</f>
        <v>2183.11</v>
      </c>
      <c r="L3293" s="355"/>
      <c r="M3293" s="355"/>
    </row>
    <row r="3294" spans="5:13">
      <c r="E3294" s="355"/>
      <c r="F3294" s="355"/>
      <c r="G3294" s="355"/>
      <c r="H3294" s="362" t="s">
        <v>2686</v>
      </c>
      <c r="I3294" s="355"/>
      <c r="J3294" s="355"/>
      <c r="K3294" s="363">
        <f>K3293/90-0.47</f>
        <v>23.79</v>
      </c>
      <c r="L3294" s="355">
        <f>18*90</f>
        <v>1620</v>
      </c>
      <c r="M3294" s="355">
        <f>L3294-K3293</f>
        <v>-563.11</v>
      </c>
    </row>
    <row r="3295" spans="5:13">
      <c r="E3295" s="355"/>
      <c r="F3295" s="355"/>
      <c r="G3295" s="355"/>
      <c r="H3295" s="355"/>
      <c r="I3295" s="355"/>
      <c r="J3295" s="355"/>
      <c r="K3295" s="363"/>
      <c r="L3295" s="355">
        <f>L3294-K3293</f>
        <v>-563.11</v>
      </c>
      <c r="M3295" s="355"/>
    </row>
    <row r="3296" spans="5:13">
      <c r="E3296" s="355"/>
      <c r="F3296" s="355"/>
      <c r="G3296" s="355"/>
      <c r="H3296" s="361" t="s">
        <v>2568</v>
      </c>
      <c r="I3296" s="355"/>
      <c r="J3296" s="355"/>
      <c r="K3296" s="355"/>
      <c r="L3296" s="355"/>
      <c r="M3296" s="355"/>
    </row>
    <row r="3297" spans="5:13">
      <c r="E3297" s="355"/>
      <c r="F3297" s="355">
        <v>1</v>
      </c>
      <c r="G3297" s="355"/>
      <c r="H3297" s="355" t="s">
        <v>2510</v>
      </c>
      <c r="I3297" s="355">
        <f>I3279</f>
        <v>708</v>
      </c>
      <c r="J3297" s="355" t="s">
        <v>1337</v>
      </c>
      <c r="K3297" s="355">
        <f>F3297*I3297</f>
        <v>708</v>
      </c>
      <c r="L3297" s="355"/>
      <c r="M3297" s="355"/>
    </row>
    <row r="3298" spans="5:13">
      <c r="E3298" s="355"/>
      <c r="F3298" s="355">
        <v>1</v>
      </c>
      <c r="G3298" s="355"/>
      <c r="H3298" s="355" t="s">
        <v>3013</v>
      </c>
      <c r="I3298" s="355">
        <f>I3280</f>
        <v>556</v>
      </c>
      <c r="J3298" s="355" t="s">
        <v>1337</v>
      </c>
      <c r="K3298" s="355">
        <f>F3298*I3298</f>
        <v>556</v>
      </c>
      <c r="L3298" s="355"/>
      <c r="M3298" s="355"/>
    </row>
    <row r="3299" spans="5:13" ht="24.75">
      <c r="E3299" s="355"/>
      <c r="F3299" s="355"/>
      <c r="G3299" s="355"/>
      <c r="H3299" s="355"/>
      <c r="I3299" s="355"/>
      <c r="J3299" s="355"/>
      <c r="K3299" s="363">
        <f>SUM(K3297:K3298)</f>
        <v>1264</v>
      </c>
      <c r="L3299" s="839" t="s">
        <v>4574</v>
      </c>
      <c r="M3299" s="355"/>
    </row>
    <row r="3300" spans="5:13">
      <c r="E3300" s="355"/>
      <c r="F3300" s="355" t="s">
        <v>2569</v>
      </c>
      <c r="G3300" s="355"/>
      <c r="H3300" s="355"/>
      <c r="I3300" s="355"/>
      <c r="J3300" s="355"/>
      <c r="K3300" s="355"/>
      <c r="L3300" s="355"/>
      <c r="M3300" s="355"/>
    </row>
    <row r="3301" spans="5:13">
      <c r="E3301" s="355"/>
      <c r="F3301" s="355"/>
      <c r="G3301" s="355"/>
      <c r="H3301" s="355"/>
      <c r="I3301" s="355"/>
      <c r="J3301" s="355"/>
      <c r="K3301" s="355"/>
      <c r="L3301" s="355"/>
      <c r="M3301" s="355"/>
    </row>
    <row r="3302" spans="5:13">
      <c r="E3302" s="355"/>
      <c r="F3302" s="355"/>
      <c r="G3302" s="355"/>
      <c r="H3302" s="363" t="s">
        <v>2570</v>
      </c>
      <c r="I3302" s="355"/>
      <c r="J3302" s="355"/>
      <c r="K3302" s="355"/>
      <c r="L3302" s="355"/>
      <c r="M3302" s="355"/>
    </row>
    <row r="3303" spans="5:13">
      <c r="E3303" s="355"/>
      <c r="F3303" s="355"/>
      <c r="G3303" s="355"/>
      <c r="H3303" s="363" t="s">
        <v>2571</v>
      </c>
      <c r="I3303" s="355"/>
      <c r="J3303" s="355"/>
      <c r="K3303" s="355"/>
      <c r="L3303" s="355"/>
      <c r="M3303" s="355"/>
    </row>
    <row r="3304" spans="5:13">
      <c r="E3304" s="355"/>
      <c r="F3304" s="355"/>
      <c r="G3304" s="355"/>
      <c r="H3304" s="355"/>
      <c r="I3304" s="355"/>
      <c r="J3304" s="355"/>
      <c r="K3304" s="355"/>
      <c r="L3304" s="355"/>
      <c r="M3304" s="355"/>
    </row>
    <row r="3305" spans="5:13" ht="57" customHeight="1">
      <c r="E3305" s="355"/>
      <c r="F3305" s="355"/>
      <c r="G3305" s="355"/>
      <c r="H3305" s="354" t="s">
        <v>2572</v>
      </c>
      <c r="I3305" s="355"/>
      <c r="J3305" s="355"/>
      <c r="K3305" s="355"/>
      <c r="L3305" s="355"/>
      <c r="M3305" s="355"/>
    </row>
    <row r="3306" spans="5:13">
      <c r="E3306" s="355"/>
      <c r="F3306" s="355">
        <v>2.5</v>
      </c>
      <c r="G3306" s="355" t="s">
        <v>794</v>
      </c>
      <c r="H3306" s="355" t="s">
        <v>4777</v>
      </c>
      <c r="I3306" s="356">
        <v>163</v>
      </c>
      <c r="J3306" s="355" t="s">
        <v>794</v>
      </c>
      <c r="K3306" s="355">
        <f>F3306*I3306</f>
        <v>407.5</v>
      </c>
      <c r="L3306" s="355"/>
      <c r="M3306" s="355"/>
    </row>
    <row r="3307" spans="5:13">
      <c r="E3307" s="355"/>
      <c r="F3307" s="355">
        <v>1</v>
      </c>
      <c r="G3307" s="355" t="s">
        <v>794</v>
      </c>
      <c r="H3307" s="355" t="s">
        <v>4534</v>
      </c>
      <c r="I3307" s="356">
        <v>98.6</v>
      </c>
      <c r="J3307" s="355" t="s">
        <v>794</v>
      </c>
      <c r="K3307" s="355">
        <f t="shared" ref="K3307:K3316" si="105">F3307*I3307</f>
        <v>98.6</v>
      </c>
      <c r="L3307" s="355"/>
      <c r="M3307" s="355"/>
    </row>
    <row r="3308" spans="5:13">
      <c r="E3308" s="355"/>
      <c r="F3308" s="355">
        <v>1</v>
      </c>
      <c r="G3308" s="355" t="s">
        <v>794</v>
      </c>
      <c r="H3308" s="355" t="s">
        <v>4535</v>
      </c>
      <c r="I3308" s="356">
        <v>69.8</v>
      </c>
      <c r="J3308" s="355" t="s">
        <v>794</v>
      </c>
      <c r="K3308" s="355">
        <f t="shared" si="105"/>
        <v>69.8</v>
      </c>
      <c r="L3308" s="355"/>
      <c r="M3308" s="355"/>
    </row>
    <row r="3309" spans="5:13">
      <c r="E3309" s="355"/>
      <c r="F3309" s="355">
        <v>1</v>
      </c>
      <c r="G3309" s="355" t="s">
        <v>1337</v>
      </c>
      <c r="H3309" s="355" t="s">
        <v>4536</v>
      </c>
      <c r="I3309" s="356">
        <v>52</v>
      </c>
      <c r="J3309" s="355" t="s">
        <v>1337</v>
      </c>
      <c r="K3309" s="355">
        <f t="shared" si="105"/>
        <v>52</v>
      </c>
      <c r="L3309" s="355"/>
      <c r="M3309" s="355"/>
    </row>
    <row r="3310" spans="5:13">
      <c r="E3310" s="355"/>
      <c r="F3310" s="355">
        <v>1</v>
      </c>
      <c r="G3310" s="355" t="s">
        <v>265</v>
      </c>
      <c r="H3310" s="355" t="s">
        <v>2576</v>
      </c>
      <c r="I3310" s="355" t="s">
        <v>625</v>
      </c>
      <c r="J3310" s="355" t="s">
        <v>265</v>
      </c>
      <c r="K3310" s="355">
        <v>15</v>
      </c>
      <c r="L3310" s="355"/>
      <c r="M3310" s="355"/>
    </row>
    <row r="3311" spans="5:13">
      <c r="E3311" s="355"/>
      <c r="F3311" s="355"/>
      <c r="G3311" s="355" t="s">
        <v>625</v>
      </c>
      <c r="H3311" s="355" t="s">
        <v>4601</v>
      </c>
      <c r="I3311" s="355" t="s">
        <v>625</v>
      </c>
      <c r="J3311" s="355" t="s">
        <v>625</v>
      </c>
      <c r="K3311" s="355">
        <v>383</v>
      </c>
      <c r="L3311" s="355"/>
      <c r="M3311" s="355"/>
    </row>
    <row r="3312" spans="5:13">
      <c r="E3312" s="355"/>
      <c r="F3312" s="355">
        <v>1</v>
      </c>
      <c r="G3312" s="355" t="s">
        <v>1337</v>
      </c>
      <c r="H3312" s="355" t="s">
        <v>2578</v>
      </c>
      <c r="I3312" s="529">
        <v>100</v>
      </c>
      <c r="J3312" s="355" t="s">
        <v>1337</v>
      </c>
      <c r="K3312" s="355">
        <f t="shared" si="105"/>
        <v>100</v>
      </c>
      <c r="L3312" s="355"/>
      <c r="M3312" s="355"/>
    </row>
    <row r="3313" spans="5:14">
      <c r="E3313" s="355"/>
      <c r="F3313" s="355">
        <v>40</v>
      </c>
      <c r="G3313" s="355" t="s">
        <v>1591</v>
      </c>
      <c r="H3313" s="355" t="s">
        <v>4262</v>
      </c>
      <c r="I3313" s="425">
        <v>4.96</v>
      </c>
      <c r="J3313" s="355" t="s">
        <v>1591</v>
      </c>
      <c r="K3313" s="355">
        <f t="shared" si="105"/>
        <v>198.4</v>
      </c>
      <c r="L3313" s="355">
        <f>100.7/20.32</f>
        <v>4.96</v>
      </c>
      <c r="M3313" s="355"/>
    </row>
    <row r="3314" spans="5:14">
      <c r="E3314" s="355"/>
      <c r="F3314" s="355">
        <v>2</v>
      </c>
      <c r="G3314" s="355" t="s">
        <v>1337</v>
      </c>
      <c r="H3314" s="355" t="s">
        <v>4537</v>
      </c>
      <c r="I3314" s="356">
        <v>13.6</v>
      </c>
      <c r="J3314" s="355" t="s">
        <v>1337</v>
      </c>
      <c r="K3314" s="355">
        <f t="shared" si="105"/>
        <v>27.2</v>
      </c>
      <c r="L3314" s="355"/>
      <c r="M3314" s="355"/>
      <c r="N3314" s="182">
        <f>97.15/20.32</f>
        <v>4.78</v>
      </c>
    </row>
    <row r="3315" spans="5:14">
      <c r="E3315" s="355"/>
      <c r="F3315" s="355">
        <v>4</v>
      </c>
      <c r="G3315" s="355" t="s">
        <v>1337</v>
      </c>
      <c r="H3315" s="355" t="s">
        <v>4538</v>
      </c>
      <c r="I3315" s="356">
        <v>13.6</v>
      </c>
      <c r="J3315" s="355" t="s">
        <v>1337</v>
      </c>
      <c r="K3315" s="355">
        <f t="shared" si="105"/>
        <v>54.4</v>
      </c>
      <c r="L3315" s="355"/>
      <c r="M3315" s="355"/>
    </row>
    <row r="3316" spans="5:14">
      <c r="E3316" s="355"/>
      <c r="F3316" s="355">
        <v>10</v>
      </c>
      <c r="G3316" s="355" t="s">
        <v>1591</v>
      </c>
      <c r="H3316" s="355" t="s">
        <v>4260</v>
      </c>
      <c r="I3316" s="356">
        <v>3.7</v>
      </c>
      <c r="J3316" s="355" t="s">
        <v>1591</v>
      </c>
      <c r="K3316" s="355">
        <f t="shared" si="105"/>
        <v>37</v>
      </c>
      <c r="L3316" s="355"/>
      <c r="M3316" s="355"/>
    </row>
    <row r="3317" spans="5:14">
      <c r="E3317" s="355"/>
      <c r="F3317" s="355"/>
      <c r="G3317" s="355"/>
      <c r="H3317" s="355" t="s">
        <v>2187</v>
      </c>
      <c r="I3317" s="355"/>
      <c r="J3317" s="355"/>
      <c r="K3317" s="355">
        <v>12.1</v>
      </c>
      <c r="L3317" s="355"/>
      <c r="M3317" s="355"/>
    </row>
    <row r="3318" spans="5:14">
      <c r="E3318" s="355"/>
      <c r="F3318" s="355"/>
      <c r="G3318" s="355"/>
      <c r="H3318" s="355" t="s">
        <v>878</v>
      </c>
      <c r="I3318" s="355"/>
      <c r="J3318" s="355"/>
      <c r="K3318" s="364">
        <f>K3324</f>
        <v>1268</v>
      </c>
      <c r="L3318" s="355"/>
      <c r="M3318" s="355"/>
    </row>
    <row r="3319" spans="5:14">
      <c r="E3319" s="355"/>
      <c r="F3319" s="355"/>
      <c r="G3319" s="355"/>
      <c r="H3319" s="362" t="s">
        <v>1024</v>
      </c>
      <c r="I3319" s="355"/>
      <c r="J3319" s="355"/>
      <c r="K3319" s="363">
        <f>SUM(K3306:K3318)</f>
        <v>2723</v>
      </c>
      <c r="L3319" s="355">
        <f>K3319-2020</f>
        <v>703</v>
      </c>
      <c r="M3319" s="355"/>
    </row>
    <row r="3320" spans="5:14">
      <c r="E3320" s="355"/>
      <c r="F3320" s="355"/>
      <c r="G3320" s="355"/>
      <c r="H3320" s="355"/>
      <c r="I3320" s="355"/>
      <c r="J3320" s="355"/>
      <c r="K3320" s="355"/>
      <c r="L3320" s="355"/>
      <c r="M3320" s="355"/>
    </row>
    <row r="3321" spans="5:14">
      <c r="E3321" s="355"/>
      <c r="F3321" s="355"/>
      <c r="G3321" s="355"/>
      <c r="H3321" s="361" t="s">
        <v>878</v>
      </c>
      <c r="I3321" s="355"/>
      <c r="J3321" s="355"/>
      <c r="K3321" s="355"/>
      <c r="L3321" s="355"/>
      <c r="M3321" s="355"/>
    </row>
    <row r="3322" spans="5:14">
      <c r="E3322" s="355"/>
      <c r="F3322" s="355">
        <v>1</v>
      </c>
      <c r="G3322" s="355" t="s">
        <v>1337</v>
      </c>
      <c r="H3322" s="355" t="s">
        <v>2691</v>
      </c>
      <c r="I3322" s="355">
        <f>I3278</f>
        <v>712</v>
      </c>
      <c r="J3322" s="355" t="s">
        <v>1337</v>
      </c>
      <c r="K3322" s="355">
        <f>F3322*I3322</f>
        <v>712</v>
      </c>
      <c r="L3322" s="355"/>
      <c r="M3322" s="355"/>
    </row>
    <row r="3323" spans="5:14">
      <c r="E3323" s="355"/>
      <c r="F3323" s="355">
        <v>1</v>
      </c>
      <c r="G3323" s="355" t="s">
        <v>1337</v>
      </c>
      <c r="H3323" s="355" t="s">
        <v>3013</v>
      </c>
      <c r="I3323" s="355">
        <f>I3298</f>
        <v>556</v>
      </c>
      <c r="J3323" s="355" t="s">
        <v>1337</v>
      </c>
      <c r="K3323" s="355">
        <f>F3323*I3323</f>
        <v>556</v>
      </c>
      <c r="L3323" s="355"/>
      <c r="M3323" s="355"/>
    </row>
    <row r="3324" spans="5:14">
      <c r="E3324" s="355"/>
      <c r="F3324" s="355"/>
      <c r="G3324" s="355"/>
      <c r="H3324" s="355"/>
      <c r="I3324" s="355"/>
      <c r="J3324" s="355"/>
      <c r="K3324" s="363">
        <f>SUM(K3322:K3323)</f>
        <v>1268</v>
      </c>
      <c r="L3324" s="355"/>
      <c r="M3324" s="355"/>
    </row>
    <row r="3325" spans="5:14">
      <c r="E3325" s="355"/>
      <c r="F3325" s="355"/>
      <c r="G3325" s="355"/>
      <c r="H3325" s="363" t="s">
        <v>2583</v>
      </c>
      <c r="I3325" s="355"/>
      <c r="J3325" s="355"/>
      <c r="K3325" s="355"/>
      <c r="L3325" s="355"/>
      <c r="M3325" s="355"/>
    </row>
    <row r="3326" spans="5:14">
      <c r="E3326" s="355"/>
      <c r="F3326" s="355"/>
      <c r="G3326" s="355"/>
      <c r="H3326" s="363" t="s">
        <v>2584</v>
      </c>
      <c r="I3326" s="355"/>
      <c r="J3326" s="355"/>
      <c r="K3326" s="355"/>
      <c r="L3326" s="355"/>
      <c r="M3326" s="355"/>
    </row>
    <row r="3327" spans="5:14">
      <c r="E3327" s="355"/>
      <c r="F3327" s="355"/>
      <c r="G3327" s="355"/>
      <c r="H3327" s="355"/>
      <c r="I3327" s="355"/>
      <c r="J3327" s="355"/>
      <c r="K3327" s="355"/>
      <c r="L3327" s="355"/>
      <c r="M3327" s="355"/>
    </row>
    <row r="3328" spans="5:14" ht="86.25" customHeight="1">
      <c r="E3328" s="355"/>
      <c r="F3328" s="355"/>
      <c r="G3328" s="355"/>
      <c r="H3328" s="354" t="s">
        <v>3251</v>
      </c>
      <c r="I3328" s="355"/>
      <c r="J3328" s="355"/>
      <c r="K3328" s="355"/>
      <c r="L3328" s="355"/>
      <c r="M3328" s="355"/>
    </row>
    <row r="3329" spans="5:13">
      <c r="E3329" s="355"/>
      <c r="F3329" s="355"/>
      <c r="G3329" s="355"/>
      <c r="H3329" s="355"/>
      <c r="I3329" s="355"/>
      <c r="J3329" s="355"/>
      <c r="K3329" s="355"/>
      <c r="L3329" s="355"/>
      <c r="M3329" s="355"/>
    </row>
    <row r="3330" spans="5:13">
      <c r="E3330" s="355"/>
      <c r="F3330" s="355">
        <v>1</v>
      </c>
      <c r="G3330" s="355" t="s">
        <v>1337</v>
      </c>
      <c r="H3330" s="355" t="s">
        <v>3124</v>
      </c>
      <c r="I3330" s="355">
        <f>K3335</f>
        <v>61.86</v>
      </c>
      <c r="J3330" s="355" t="s">
        <v>1341</v>
      </c>
      <c r="K3330" s="355">
        <f>F3330*I3330</f>
        <v>61.86</v>
      </c>
      <c r="L3330" s="355"/>
      <c r="M3330" s="355"/>
    </row>
    <row r="3331" spans="5:13" ht="56.25" customHeight="1">
      <c r="E3331" s="355"/>
      <c r="F3331" s="355"/>
      <c r="G3331" s="355"/>
      <c r="H3331" s="354" t="s">
        <v>3125</v>
      </c>
      <c r="I3331" s="355"/>
      <c r="J3331" s="355" t="s">
        <v>625</v>
      </c>
      <c r="K3331" s="355">
        <v>15.55</v>
      </c>
      <c r="L3331" s="355"/>
      <c r="M3331" s="355"/>
    </row>
    <row r="3332" spans="5:13">
      <c r="E3332" s="355"/>
      <c r="F3332" s="355"/>
      <c r="G3332" s="355"/>
      <c r="H3332" s="355" t="s">
        <v>138</v>
      </c>
      <c r="I3332" s="355"/>
      <c r="J3332" s="355"/>
      <c r="K3332" s="355">
        <f>K3340</f>
        <v>283.60000000000002</v>
      </c>
      <c r="L3332" s="355"/>
      <c r="M3332" s="355"/>
    </row>
    <row r="3333" spans="5:13">
      <c r="E3333" s="355"/>
      <c r="F3333" s="355"/>
      <c r="G3333" s="355"/>
      <c r="H3333" s="362" t="s">
        <v>1024</v>
      </c>
      <c r="I3333" s="355"/>
      <c r="J3333" s="355"/>
      <c r="K3333" s="363">
        <f>SUM(K3330:K3332)</f>
        <v>361.01</v>
      </c>
      <c r="L3333" s="355">
        <f>K3333-261</f>
        <v>100.01</v>
      </c>
      <c r="M3333" s="355"/>
    </row>
    <row r="3334" spans="5:13">
      <c r="E3334" s="355"/>
      <c r="F3334" s="355"/>
      <c r="G3334" s="355"/>
      <c r="H3334" s="355"/>
      <c r="I3334" s="355"/>
      <c r="J3334" s="355"/>
      <c r="K3334" s="355"/>
      <c r="L3334" s="355"/>
      <c r="M3334" s="355"/>
    </row>
    <row r="3335" spans="5:13">
      <c r="E3335" s="355"/>
      <c r="F3335" s="355"/>
      <c r="G3335" s="355"/>
      <c r="H3335" s="363" t="s">
        <v>3126</v>
      </c>
      <c r="I3335" s="461">
        <f>I3222</f>
        <v>103100</v>
      </c>
      <c r="J3335" s="462">
        <v>5.9999999999999995E-4</v>
      </c>
      <c r="K3335" s="461">
        <f>ROUND(I3335*J3335,2)</f>
        <v>61.86</v>
      </c>
      <c r="L3335" s="355"/>
      <c r="M3335" s="355"/>
    </row>
    <row r="3336" spans="5:13">
      <c r="E3336" s="355"/>
      <c r="F3336" s="355"/>
      <c r="G3336" s="355"/>
      <c r="H3336" s="355" t="s">
        <v>138</v>
      </c>
      <c r="I3336" s="355"/>
      <c r="J3336" s="355"/>
      <c r="K3336" s="355"/>
      <c r="L3336" s="355"/>
      <c r="M3336" s="355"/>
    </row>
    <row r="3337" spans="5:13">
      <c r="E3337" s="355"/>
      <c r="F3337" s="355">
        <v>1</v>
      </c>
      <c r="G3337" s="355" t="s">
        <v>1337</v>
      </c>
      <c r="H3337" s="355" t="s">
        <v>3127</v>
      </c>
      <c r="I3337" s="355">
        <f>I3278</f>
        <v>712</v>
      </c>
      <c r="J3337" s="355" t="s">
        <v>1341</v>
      </c>
      <c r="K3337" s="355">
        <f>F3337*I3337</f>
        <v>712</v>
      </c>
      <c r="L3337" s="355"/>
      <c r="M3337" s="355"/>
    </row>
    <row r="3338" spans="5:13">
      <c r="E3338" s="355"/>
      <c r="F3338" s="355">
        <v>3</v>
      </c>
      <c r="G3338" s="355" t="s">
        <v>1337</v>
      </c>
      <c r="H3338" s="355" t="s">
        <v>2510</v>
      </c>
      <c r="I3338" s="355">
        <f>I3279</f>
        <v>708</v>
      </c>
      <c r="J3338" s="355" t="s">
        <v>1341</v>
      </c>
      <c r="K3338" s="355">
        <f>F3338*I3338</f>
        <v>2124</v>
      </c>
      <c r="L3338" s="355"/>
      <c r="M3338" s="355"/>
    </row>
    <row r="3339" spans="5:13">
      <c r="E3339" s="355"/>
      <c r="F3339" s="355"/>
      <c r="G3339" s="355"/>
      <c r="H3339" s="360" t="s">
        <v>3128</v>
      </c>
      <c r="I3339" s="355"/>
      <c r="J3339" s="355"/>
      <c r="K3339" s="364">
        <f>SUM(K3337:K3338)</f>
        <v>2836</v>
      </c>
      <c r="L3339" s="355"/>
      <c r="M3339" s="355"/>
    </row>
    <row r="3340" spans="5:13">
      <c r="E3340" s="355"/>
      <c r="F3340" s="355"/>
      <c r="G3340" s="355"/>
      <c r="H3340" s="360" t="s">
        <v>3129</v>
      </c>
      <c r="I3340" s="355"/>
      <c r="J3340" s="355"/>
      <c r="K3340" s="363">
        <f>K3339/10</f>
        <v>283.60000000000002</v>
      </c>
      <c r="L3340" s="355"/>
      <c r="M3340" s="355"/>
    </row>
    <row r="3341" spans="5:13">
      <c r="E3341" s="355"/>
      <c r="F3341" s="355"/>
      <c r="G3341" s="355"/>
      <c r="H3341" s="355"/>
      <c r="I3341" s="355"/>
      <c r="J3341" s="355"/>
      <c r="K3341" s="355"/>
      <c r="L3341" s="355"/>
      <c r="M3341" s="355"/>
    </row>
    <row r="3342" spans="5:13">
      <c r="E3342" s="355"/>
      <c r="F3342" s="355"/>
      <c r="G3342" s="355"/>
      <c r="H3342" s="363" t="s">
        <v>3130</v>
      </c>
      <c r="I3342" s="355"/>
      <c r="J3342" s="355"/>
      <c r="K3342" s="355"/>
      <c r="L3342" s="355"/>
      <c r="M3342" s="355"/>
    </row>
    <row r="3343" spans="5:13" ht="103.5" customHeight="1">
      <c r="E3343" s="355"/>
      <c r="F3343" s="355"/>
      <c r="G3343" s="355"/>
      <c r="H3343" s="354" t="s">
        <v>3131</v>
      </c>
      <c r="I3343" s="355"/>
      <c r="J3343" s="355"/>
      <c r="K3343" s="355"/>
      <c r="L3343" s="355"/>
      <c r="M3343" s="355"/>
    </row>
    <row r="3344" spans="5:13">
      <c r="E3344" s="355"/>
      <c r="F3344" s="355"/>
      <c r="G3344" s="355"/>
      <c r="H3344" s="355"/>
      <c r="I3344" s="355"/>
      <c r="J3344" s="355"/>
      <c r="K3344" s="355"/>
      <c r="L3344" s="355"/>
      <c r="M3344" s="355"/>
    </row>
    <row r="3345" spans="5:13">
      <c r="E3345" s="355"/>
      <c r="F3345" s="355">
        <v>1</v>
      </c>
      <c r="G3345" s="355" t="s">
        <v>1337</v>
      </c>
      <c r="H3345" s="355" t="s">
        <v>4778</v>
      </c>
      <c r="I3345" s="356">
        <v>310</v>
      </c>
      <c r="J3345" s="355" t="s">
        <v>1337</v>
      </c>
      <c r="K3345" s="355">
        <f>F3345*I3345</f>
        <v>310</v>
      </c>
      <c r="L3345" s="355"/>
      <c r="M3345" s="355"/>
    </row>
    <row r="3346" spans="5:13" ht="52.5" customHeight="1">
      <c r="E3346" s="355"/>
      <c r="F3346" s="355"/>
      <c r="G3346" s="355"/>
      <c r="H3346" s="354" t="s">
        <v>3133</v>
      </c>
      <c r="I3346" s="355"/>
      <c r="J3346" s="355"/>
      <c r="K3346" s="355">
        <v>21.35</v>
      </c>
      <c r="L3346" s="355"/>
      <c r="M3346" s="355"/>
    </row>
    <row r="3347" spans="5:13">
      <c r="E3347" s="355"/>
      <c r="F3347" s="355"/>
      <c r="G3347" s="355"/>
      <c r="H3347" s="355" t="s">
        <v>878</v>
      </c>
      <c r="I3347" s="355"/>
      <c r="J3347" s="355"/>
      <c r="K3347" s="355">
        <f>K3356</f>
        <v>382.25</v>
      </c>
      <c r="L3347" s="355"/>
      <c r="M3347" s="355"/>
    </row>
    <row r="3348" spans="5:13">
      <c r="E3348" s="355"/>
      <c r="F3348" s="355"/>
      <c r="G3348" s="355"/>
      <c r="H3348" s="362" t="s">
        <v>1024</v>
      </c>
      <c r="I3348" s="355"/>
      <c r="J3348" s="355"/>
      <c r="K3348" s="363">
        <f>SUM(K3345:K3347)</f>
        <v>713.6</v>
      </c>
      <c r="L3348" s="355">
        <f>537-K3348</f>
        <v>-176.6</v>
      </c>
      <c r="M3348" s="355"/>
    </row>
    <row r="3349" spans="5:13">
      <c r="E3349" s="355"/>
      <c r="F3349" s="355"/>
      <c r="G3349" s="355"/>
      <c r="H3349" s="362"/>
      <c r="I3349" s="355"/>
      <c r="J3349" s="355"/>
      <c r="K3349" s="363"/>
      <c r="L3349" s="355"/>
      <c r="M3349" s="355"/>
    </row>
    <row r="3350" spans="5:13">
      <c r="E3350" s="355"/>
      <c r="F3350" s="355"/>
      <c r="G3350" s="355"/>
      <c r="H3350" s="355" t="s">
        <v>138</v>
      </c>
      <c r="I3350" s="355"/>
      <c r="J3350" s="355"/>
      <c r="K3350" s="355"/>
      <c r="L3350" s="355"/>
      <c r="M3350" s="355"/>
    </row>
    <row r="3351" spans="5:13">
      <c r="E3351" s="355"/>
      <c r="F3351" s="355">
        <v>1</v>
      </c>
      <c r="G3351" s="355"/>
      <c r="H3351" s="355" t="s">
        <v>2691</v>
      </c>
      <c r="I3351" s="355">
        <f>I2867</f>
        <v>712</v>
      </c>
      <c r="J3351" s="355" t="s">
        <v>1337</v>
      </c>
      <c r="K3351" s="355">
        <f>F3351*I3351</f>
        <v>712</v>
      </c>
      <c r="L3351" s="355"/>
      <c r="M3351" s="355"/>
    </row>
    <row r="3352" spans="5:13">
      <c r="E3352" s="355"/>
      <c r="F3352" s="355">
        <v>3</v>
      </c>
      <c r="G3352" s="355"/>
      <c r="H3352" s="355" t="s">
        <v>2510</v>
      </c>
      <c r="I3352" s="355">
        <f>I2868</f>
        <v>708</v>
      </c>
      <c r="J3352" s="355" t="s">
        <v>1337</v>
      </c>
      <c r="K3352" s="355">
        <f>F3352*I3352</f>
        <v>2124</v>
      </c>
      <c r="L3352" s="355"/>
      <c r="M3352" s="355"/>
    </row>
    <row r="3353" spans="5:13">
      <c r="E3353" s="355"/>
      <c r="F3353" s="355">
        <v>1</v>
      </c>
      <c r="G3353" s="355"/>
      <c r="H3353" s="355" t="s">
        <v>2246</v>
      </c>
      <c r="I3353" s="355">
        <f>I2869</f>
        <v>556</v>
      </c>
      <c r="J3353" s="355" t="s">
        <v>1337</v>
      </c>
      <c r="K3353" s="355">
        <f>F3353*I3353</f>
        <v>556</v>
      </c>
      <c r="L3353" s="355"/>
      <c r="M3353" s="355"/>
    </row>
    <row r="3354" spans="5:13">
      <c r="E3354" s="355"/>
      <c r="F3354" s="355">
        <v>0.5</v>
      </c>
      <c r="G3354" s="355"/>
      <c r="H3354" s="355" t="s">
        <v>4779</v>
      </c>
      <c r="I3354" s="356">
        <v>861</v>
      </c>
      <c r="J3354" s="355" t="s">
        <v>1337</v>
      </c>
      <c r="K3354" s="355">
        <f>F3354*I3354</f>
        <v>430.5</v>
      </c>
      <c r="L3354" s="355"/>
      <c r="M3354" s="355"/>
    </row>
    <row r="3355" spans="5:13">
      <c r="E3355" s="355"/>
      <c r="F3355" s="355"/>
      <c r="G3355" s="355"/>
      <c r="H3355" s="360" t="s">
        <v>3134</v>
      </c>
      <c r="I3355" s="355"/>
      <c r="J3355" s="355"/>
      <c r="K3355" s="361">
        <f>SUM(K3351:K3354)</f>
        <v>3822.5</v>
      </c>
      <c r="L3355" s="355"/>
      <c r="M3355" s="355"/>
    </row>
    <row r="3356" spans="5:13">
      <c r="E3356" s="355"/>
      <c r="F3356" s="355"/>
      <c r="G3356" s="355"/>
      <c r="H3356" s="362" t="s">
        <v>3135</v>
      </c>
      <c r="I3356" s="363"/>
      <c r="J3356" s="363"/>
      <c r="K3356" s="363">
        <f>K3355/10</f>
        <v>382.25</v>
      </c>
      <c r="L3356" s="355"/>
      <c r="M3356" s="355"/>
    </row>
    <row r="3357" spans="5:13">
      <c r="E3357" s="355"/>
      <c r="F3357" s="355"/>
      <c r="G3357" s="355"/>
      <c r="H3357" s="355"/>
      <c r="I3357" s="355"/>
      <c r="J3357" s="355"/>
      <c r="K3357" s="355"/>
      <c r="L3357" s="355"/>
      <c r="M3357" s="355"/>
    </row>
    <row r="3358" spans="5:13">
      <c r="E3358" s="355"/>
      <c r="F3358" s="355"/>
      <c r="G3358" s="355"/>
      <c r="H3358" s="363" t="s">
        <v>3136</v>
      </c>
      <c r="I3358" s="355"/>
      <c r="J3358" s="355"/>
      <c r="K3358" s="355"/>
      <c r="L3358" s="355"/>
      <c r="M3358" s="355"/>
    </row>
    <row r="3359" spans="5:13">
      <c r="E3359" s="355"/>
      <c r="F3359" s="355"/>
      <c r="G3359" s="355"/>
      <c r="H3359" s="363" t="s">
        <v>3137</v>
      </c>
      <c r="I3359" s="355"/>
      <c r="J3359" s="355"/>
      <c r="K3359" s="355"/>
      <c r="L3359" s="355"/>
      <c r="M3359" s="355"/>
    </row>
    <row r="3360" spans="5:13">
      <c r="E3360" s="355"/>
      <c r="F3360" s="355"/>
      <c r="G3360" s="355"/>
      <c r="H3360" s="355"/>
      <c r="I3360" s="355"/>
      <c r="J3360" s="355"/>
      <c r="K3360" s="355"/>
      <c r="L3360" s="355"/>
      <c r="M3360" s="355"/>
    </row>
    <row r="3361" spans="5:13" ht="103.5" customHeight="1">
      <c r="E3361" s="355"/>
      <c r="F3361" s="355"/>
      <c r="G3361" s="355"/>
      <c r="H3361" s="354" t="s">
        <v>3167</v>
      </c>
      <c r="I3361" s="355"/>
      <c r="J3361" s="355"/>
      <c r="K3361" s="355"/>
      <c r="L3361" s="355"/>
      <c r="M3361" s="355"/>
    </row>
    <row r="3362" spans="5:13">
      <c r="E3362" s="355"/>
      <c r="F3362" s="355"/>
      <c r="G3362" s="355"/>
      <c r="H3362" s="355"/>
      <c r="I3362" s="355"/>
      <c r="J3362" s="355"/>
      <c r="K3362" s="355"/>
      <c r="L3362" s="355"/>
      <c r="M3362" s="355"/>
    </row>
    <row r="3363" spans="5:13">
      <c r="E3363" s="355"/>
      <c r="F3363" s="355">
        <v>1</v>
      </c>
      <c r="G3363" s="355" t="s">
        <v>1337</v>
      </c>
      <c r="H3363" s="355" t="s">
        <v>3168</v>
      </c>
      <c r="I3363" s="355">
        <f>K3368</f>
        <v>123.72</v>
      </c>
      <c r="J3363" s="355" t="s">
        <v>1341</v>
      </c>
      <c r="K3363" s="355">
        <f>F3363*I3363</f>
        <v>123.72</v>
      </c>
      <c r="L3363" s="355"/>
      <c r="M3363" s="355"/>
    </row>
    <row r="3364" spans="5:13" ht="51" customHeight="1">
      <c r="E3364" s="355"/>
      <c r="F3364" s="355" t="s">
        <v>625</v>
      </c>
      <c r="G3364" s="355" t="s">
        <v>625</v>
      </c>
      <c r="H3364" s="354" t="s">
        <v>3169</v>
      </c>
      <c r="I3364" s="355" t="s">
        <v>625</v>
      </c>
      <c r="J3364" s="355" t="s">
        <v>625</v>
      </c>
      <c r="K3364" s="355">
        <v>42.61</v>
      </c>
      <c r="L3364" s="355"/>
      <c r="M3364" s="355"/>
    </row>
    <row r="3365" spans="5:13">
      <c r="E3365" s="355"/>
      <c r="F3365" s="355"/>
      <c r="G3365" s="355"/>
      <c r="H3365" s="355" t="s">
        <v>138</v>
      </c>
      <c r="I3365" s="355"/>
      <c r="J3365" s="355"/>
      <c r="K3365" s="355">
        <f>K3340</f>
        <v>283.60000000000002</v>
      </c>
      <c r="L3365" s="355"/>
      <c r="M3365" s="355"/>
    </row>
    <row r="3366" spans="5:13">
      <c r="E3366" s="355"/>
      <c r="F3366" s="355"/>
      <c r="G3366" s="355"/>
      <c r="H3366" s="362" t="s">
        <v>1024</v>
      </c>
      <c r="I3366" s="355"/>
      <c r="J3366" s="355"/>
      <c r="K3366" s="363">
        <f>SUM(K3363:K3365)</f>
        <v>449.93</v>
      </c>
      <c r="L3366" s="355">
        <f>K3366-345</f>
        <v>104.93</v>
      </c>
      <c r="M3366" s="355"/>
    </row>
    <row r="3367" spans="5:13">
      <c r="E3367" s="355"/>
      <c r="F3367" s="355"/>
      <c r="G3367" s="355"/>
      <c r="H3367" s="355"/>
      <c r="I3367" s="355"/>
      <c r="J3367" s="355"/>
      <c r="K3367" s="363"/>
      <c r="L3367" s="355"/>
      <c r="M3367" s="355"/>
    </row>
    <row r="3368" spans="5:13">
      <c r="E3368" s="355"/>
      <c r="F3368" s="355"/>
      <c r="G3368" s="355"/>
      <c r="H3368" s="363" t="s">
        <v>3168</v>
      </c>
      <c r="I3368" s="355">
        <f>I3335</f>
        <v>103100</v>
      </c>
      <c r="J3368" s="369">
        <f>0.0012</f>
        <v>1.1999999999999999E-3</v>
      </c>
      <c r="K3368" s="363">
        <f>I3368*J3368</f>
        <v>123.72</v>
      </c>
      <c r="L3368" s="355"/>
      <c r="M3368" s="355"/>
    </row>
    <row r="3369" spans="5:13">
      <c r="E3369" s="355"/>
      <c r="F3369" s="355"/>
      <c r="G3369" s="355"/>
      <c r="H3369" s="355"/>
      <c r="I3369" s="355"/>
      <c r="J3369" s="355"/>
      <c r="K3369" s="355"/>
      <c r="L3369" s="355"/>
      <c r="M3369" s="355"/>
    </row>
    <row r="3370" spans="5:13">
      <c r="E3370" s="355"/>
      <c r="F3370" s="355"/>
      <c r="G3370" s="355"/>
      <c r="H3370" s="363" t="s">
        <v>2583</v>
      </c>
      <c r="I3370" s="355"/>
      <c r="J3370" s="355"/>
      <c r="K3370" s="355"/>
      <c r="L3370" s="355"/>
      <c r="M3370" s="355"/>
    </row>
    <row r="3371" spans="5:13">
      <c r="E3371" s="355"/>
      <c r="F3371" s="355"/>
      <c r="G3371" s="355"/>
      <c r="H3371" s="355"/>
      <c r="I3371" s="355"/>
      <c r="J3371" s="355"/>
      <c r="K3371" s="355"/>
      <c r="L3371" s="355"/>
      <c r="M3371" s="355"/>
    </row>
    <row r="3372" spans="5:13">
      <c r="E3372" s="355"/>
      <c r="F3372" s="355"/>
      <c r="G3372" s="355"/>
      <c r="H3372" s="363" t="s">
        <v>2457</v>
      </c>
      <c r="I3372" s="355"/>
      <c r="J3372" s="355"/>
      <c r="K3372" s="355"/>
      <c r="L3372" s="355"/>
      <c r="M3372" s="355"/>
    </row>
    <row r="3373" spans="5:13">
      <c r="E3373" s="355"/>
      <c r="F3373" s="355"/>
      <c r="G3373" s="355"/>
      <c r="H3373" s="355"/>
      <c r="I3373" s="355"/>
      <c r="J3373" s="355"/>
      <c r="K3373" s="355"/>
      <c r="L3373" s="355"/>
      <c r="M3373" s="355"/>
    </row>
    <row r="3374" spans="5:13" ht="102" customHeight="1">
      <c r="E3374" s="355"/>
      <c r="F3374" s="355"/>
      <c r="G3374" s="355"/>
      <c r="H3374" s="354" t="s">
        <v>2327</v>
      </c>
      <c r="I3374" s="355"/>
      <c r="J3374" s="355"/>
      <c r="K3374" s="355"/>
      <c r="L3374" s="355"/>
      <c r="M3374" s="355"/>
    </row>
    <row r="3375" spans="5:13">
      <c r="E3375" s="355"/>
      <c r="F3375" s="355"/>
      <c r="G3375" s="355"/>
      <c r="H3375" s="355"/>
      <c r="I3375" s="355"/>
      <c r="J3375" s="355"/>
      <c r="K3375" s="355"/>
      <c r="L3375" s="355"/>
      <c r="M3375" s="355"/>
    </row>
    <row r="3376" spans="5:13">
      <c r="E3376" s="355"/>
      <c r="F3376" s="355">
        <v>1</v>
      </c>
      <c r="G3376" s="355" t="s">
        <v>1337</v>
      </c>
      <c r="H3376" s="355" t="s">
        <v>3132</v>
      </c>
      <c r="I3376" s="355">
        <f>I3345</f>
        <v>310</v>
      </c>
      <c r="J3376" s="355" t="s">
        <v>1337</v>
      </c>
      <c r="K3376" s="355">
        <f>F3376*I3376</f>
        <v>310</v>
      </c>
      <c r="L3376" s="355"/>
      <c r="M3376" s="355"/>
    </row>
    <row r="3377" spans="5:13" ht="31.5">
      <c r="E3377" s="355"/>
      <c r="F3377" s="355"/>
      <c r="G3377" s="355"/>
      <c r="H3377" s="354" t="s">
        <v>3133</v>
      </c>
      <c r="I3377" s="355"/>
      <c r="J3377" s="355"/>
      <c r="K3377" s="355">
        <v>35.35</v>
      </c>
      <c r="L3377" s="355"/>
      <c r="M3377" s="355"/>
    </row>
    <row r="3378" spans="5:13">
      <c r="E3378" s="355"/>
      <c r="F3378" s="355"/>
      <c r="G3378" s="355"/>
      <c r="H3378" s="355" t="s">
        <v>878</v>
      </c>
      <c r="I3378" s="355"/>
      <c r="J3378" s="355"/>
      <c r="K3378" s="355">
        <f>K3356</f>
        <v>382.25</v>
      </c>
      <c r="L3378" s="355"/>
      <c r="M3378" s="355"/>
    </row>
    <row r="3379" spans="5:13">
      <c r="E3379" s="355"/>
      <c r="F3379" s="355"/>
      <c r="G3379" s="355"/>
      <c r="H3379" s="362" t="s">
        <v>1024</v>
      </c>
      <c r="I3379" s="355"/>
      <c r="J3379" s="355"/>
      <c r="K3379" s="363">
        <f>SUM(K3376:K3378)</f>
        <v>727.6</v>
      </c>
      <c r="L3379" s="355">
        <f>K3379-551</f>
        <v>176.6</v>
      </c>
      <c r="M3379" s="355"/>
    </row>
    <row r="3380" spans="5:13">
      <c r="E3380" s="355"/>
      <c r="F3380" s="355"/>
      <c r="G3380" s="355"/>
      <c r="H3380" s="355"/>
      <c r="I3380" s="355"/>
      <c r="J3380" s="355"/>
      <c r="K3380" s="355"/>
      <c r="L3380" s="355"/>
      <c r="M3380" s="355"/>
    </row>
    <row r="3381" spans="5:13">
      <c r="E3381" s="355"/>
      <c r="F3381" s="355"/>
      <c r="G3381" s="355"/>
      <c r="H3381" s="363" t="s">
        <v>2328</v>
      </c>
      <c r="I3381" s="355"/>
      <c r="J3381" s="355"/>
      <c r="K3381" s="355"/>
      <c r="L3381" s="355"/>
      <c r="M3381" s="355"/>
    </row>
    <row r="3382" spans="5:13">
      <c r="E3382" s="355"/>
      <c r="F3382" s="355"/>
      <c r="G3382" s="355"/>
      <c r="H3382" s="363" t="s">
        <v>2329</v>
      </c>
      <c r="I3382" s="355"/>
      <c r="J3382" s="355"/>
      <c r="K3382" s="355"/>
      <c r="L3382" s="355"/>
      <c r="M3382" s="355"/>
    </row>
    <row r="3383" spans="5:13">
      <c r="E3383" s="355"/>
      <c r="F3383" s="355"/>
      <c r="G3383" s="355"/>
      <c r="H3383" s="355"/>
      <c r="I3383" s="355"/>
      <c r="J3383" s="355"/>
      <c r="K3383" s="355"/>
      <c r="L3383" s="355"/>
      <c r="M3383" s="355"/>
    </row>
    <row r="3384" spans="5:13" ht="39" customHeight="1">
      <c r="E3384" s="355"/>
      <c r="F3384" s="355">
        <v>1</v>
      </c>
      <c r="G3384" s="355" t="s">
        <v>1337</v>
      </c>
      <c r="H3384" s="354" t="s">
        <v>4780</v>
      </c>
      <c r="I3384" s="356">
        <v>1754</v>
      </c>
      <c r="J3384" s="355" t="s">
        <v>1337</v>
      </c>
      <c r="K3384" s="363">
        <f>F3384*I3384</f>
        <v>1754</v>
      </c>
      <c r="L3384" s="355"/>
      <c r="M3384" s="355"/>
    </row>
    <row r="3385" spans="5:13">
      <c r="E3385" s="355"/>
      <c r="F3385" s="355"/>
      <c r="G3385" s="355"/>
      <c r="H3385" s="355"/>
      <c r="I3385" s="355"/>
      <c r="J3385" s="355"/>
      <c r="K3385" s="355"/>
      <c r="L3385" s="355"/>
      <c r="M3385" s="355"/>
    </row>
    <row r="3386" spans="5:13">
      <c r="E3386" s="355"/>
      <c r="F3386" s="355"/>
      <c r="G3386" s="355"/>
      <c r="H3386" s="363" t="s">
        <v>2330</v>
      </c>
      <c r="I3386" s="355"/>
      <c r="J3386" s="355"/>
      <c r="K3386" s="355"/>
      <c r="L3386" s="355"/>
      <c r="M3386" s="355"/>
    </row>
    <row r="3387" spans="5:13">
      <c r="E3387" s="355"/>
      <c r="F3387" s="355"/>
      <c r="G3387" s="355"/>
      <c r="H3387" s="363" t="s">
        <v>2317</v>
      </c>
      <c r="I3387" s="355"/>
      <c r="J3387" s="355"/>
      <c r="K3387" s="355"/>
      <c r="L3387" s="355"/>
      <c r="M3387" s="355"/>
    </row>
    <row r="3388" spans="5:13">
      <c r="E3388" s="355"/>
      <c r="F3388" s="355"/>
      <c r="G3388" s="355"/>
      <c r="H3388" s="355"/>
      <c r="I3388" s="355"/>
      <c r="J3388" s="355"/>
      <c r="K3388" s="355"/>
      <c r="L3388" s="355"/>
      <c r="M3388" s="355"/>
    </row>
    <row r="3389" spans="5:13" ht="36.75" customHeight="1">
      <c r="E3389" s="355"/>
      <c r="F3389" s="355">
        <v>1</v>
      </c>
      <c r="G3389" s="355" t="s">
        <v>1337</v>
      </c>
      <c r="H3389" s="354" t="s">
        <v>4781</v>
      </c>
      <c r="I3389" s="356">
        <v>1858</v>
      </c>
      <c r="J3389" s="355" t="s">
        <v>1337</v>
      </c>
      <c r="K3389" s="363">
        <f>F3389*I3389</f>
        <v>1858</v>
      </c>
      <c r="L3389" s="355"/>
      <c r="M3389" s="355"/>
    </row>
    <row r="3390" spans="5:13" ht="7.5" customHeight="1">
      <c r="E3390" s="355"/>
      <c r="F3390" s="355"/>
      <c r="G3390" s="355"/>
      <c r="H3390" s="355"/>
      <c r="I3390" s="355"/>
      <c r="J3390" s="355"/>
      <c r="K3390" s="355"/>
      <c r="L3390" s="355"/>
      <c r="M3390" s="355"/>
    </row>
    <row r="3391" spans="5:13">
      <c r="E3391" s="355"/>
      <c r="F3391" s="355"/>
      <c r="G3391" s="355"/>
      <c r="H3391" s="363" t="s">
        <v>2318</v>
      </c>
      <c r="I3391" s="355"/>
      <c r="J3391" s="355"/>
      <c r="K3391" s="355"/>
      <c r="L3391" s="355"/>
      <c r="M3391" s="355"/>
    </row>
    <row r="3392" spans="5:13">
      <c r="E3392" s="355"/>
      <c r="F3392" s="355"/>
      <c r="G3392" s="355"/>
      <c r="H3392" s="363" t="s">
        <v>2319</v>
      </c>
      <c r="I3392" s="355"/>
      <c r="J3392" s="355"/>
      <c r="K3392" s="355"/>
      <c r="L3392" s="355"/>
      <c r="M3392" s="355"/>
    </row>
    <row r="3393" spans="5:16">
      <c r="E3393" s="355"/>
      <c r="F3393" s="355"/>
      <c r="G3393" s="355"/>
      <c r="H3393" s="361" t="s">
        <v>2320</v>
      </c>
      <c r="I3393" s="355"/>
      <c r="J3393" s="355"/>
      <c r="K3393" s="355"/>
      <c r="L3393" s="355"/>
      <c r="M3393" s="355"/>
    </row>
    <row r="3394" spans="5:16">
      <c r="E3394" s="355"/>
      <c r="F3394" s="355"/>
      <c r="G3394" s="355"/>
      <c r="H3394" s="355"/>
      <c r="I3394" s="355"/>
      <c r="J3394" s="355"/>
      <c r="K3394" s="355"/>
      <c r="L3394" s="355"/>
      <c r="M3394" s="355"/>
    </row>
    <row r="3395" spans="5:16" ht="63">
      <c r="E3395" s="355"/>
      <c r="F3395" s="355"/>
      <c r="G3395" s="355"/>
      <c r="H3395" s="354" t="s">
        <v>2632</v>
      </c>
      <c r="I3395" s="355"/>
      <c r="J3395" s="355"/>
      <c r="K3395" s="355"/>
      <c r="L3395" s="354" t="s">
        <v>3410</v>
      </c>
      <c r="M3395" s="354" t="s">
        <v>3411</v>
      </c>
      <c r="N3395" s="354" t="s">
        <v>3617</v>
      </c>
      <c r="O3395" s="354" t="s">
        <v>3760</v>
      </c>
    </row>
    <row r="3396" spans="5:16">
      <c r="E3396" s="355"/>
      <c r="F3396" s="355">
        <v>1</v>
      </c>
      <c r="G3396" s="355" t="s">
        <v>1337</v>
      </c>
      <c r="H3396" s="355" t="s">
        <v>4782</v>
      </c>
      <c r="I3396" s="356">
        <v>84.4</v>
      </c>
      <c r="J3396" s="355" t="s">
        <v>1337</v>
      </c>
      <c r="K3396" s="355">
        <f>F3396*I3396</f>
        <v>84.4</v>
      </c>
      <c r="L3396" s="355">
        <v>188.4</v>
      </c>
      <c r="M3396" s="355">
        <v>47.6</v>
      </c>
      <c r="N3396" s="355">
        <v>340.3</v>
      </c>
      <c r="O3396" s="367">
        <v>550</v>
      </c>
    </row>
    <row r="3397" spans="5:16">
      <c r="E3397" s="355"/>
      <c r="F3397" s="355">
        <v>1</v>
      </c>
      <c r="G3397" s="355" t="s">
        <v>1337</v>
      </c>
      <c r="H3397" s="355" t="s">
        <v>2634</v>
      </c>
      <c r="I3397" s="355">
        <f>K3402</f>
        <v>30.93</v>
      </c>
      <c r="J3397" s="355" t="s">
        <v>1337</v>
      </c>
      <c r="K3397" s="355">
        <f>F3397*I3397</f>
        <v>30.93</v>
      </c>
      <c r="L3397" s="355">
        <f t="shared" ref="L3397:M3399" si="106">K3397</f>
        <v>30.93</v>
      </c>
      <c r="M3397" s="355">
        <f t="shared" si="106"/>
        <v>30.93</v>
      </c>
      <c r="N3397" s="355">
        <f t="shared" ref="N3397:O3399" si="107">M3397</f>
        <v>30.93</v>
      </c>
      <c r="O3397" s="183">
        <f t="shared" si="107"/>
        <v>30.93</v>
      </c>
    </row>
    <row r="3398" spans="5:16">
      <c r="E3398" s="355"/>
      <c r="F3398" s="355"/>
      <c r="G3398" s="355"/>
      <c r="H3398" s="355" t="s">
        <v>878</v>
      </c>
      <c r="I3398" s="355"/>
      <c r="J3398" s="355"/>
      <c r="K3398" s="355">
        <f>K3409</f>
        <v>386</v>
      </c>
      <c r="L3398" s="355">
        <f t="shared" si="106"/>
        <v>386</v>
      </c>
      <c r="M3398" s="355">
        <f t="shared" si="106"/>
        <v>386</v>
      </c>
      <c r="N3398" s="355">
        <f t="shared" si="107"/>
        <v>386</v>
      </c>
      <c r="O3398" s="183">
        <f t="shared" si="107"/>
        <v>386</v>
      </c>
    </row>
    <row r="3399" spans="5:16">
      <c r="E3399" s="355"/>
      <c r="F3399" s="355"/>
      <c r="G3399" s="355"/>
      <c r="H3399" s="355" t="s">
        <v>2635</v>
      </c>
      <c r="I3399" s="355" t="s">
        <v>625</v>
      </c>
      <c r="J3399" s="355"/>
      <c r="K3399" s="355">
        <v>6.93</v>
      </c>
      <c r="L3399" s="355">
        <f t="shared" si="106"/>
        <v>6.93</v>
      </c>
      <c r="M3399" s="355">
        <f t="shared" si="106"/>
        <v>6.93</v>
      </c>
      <c r="N3399" s="355">
        <f t="shared" si="107"/>
        <v>6.93</v>
      </c>
      <c r="O3399" s="183">
        <f>N3399</f>
        <v>6.93</v>
      </c>
      <c r="P3399" s="367">
        <f>6.75+0.18</f>
        <v>6.93</v>
      </c>
    </row>
    <row r="3400" spans="5:16">
      <c r="E3400" s="355"/>
      <c r="F3400" s="355"/>
      <c r="G3400" s="355"/>
      <c r="H3400" s="362" t="s">
        <v>1024</v>
      </c>
      <c r="I3400" s="355"/>
      <c r="J3400" s="355"/>
      <c r="K3400" s="363">
        <f>SUM(K3396:K3399)</f>
        <v>508.26</v>
      </c>
      <c r="L3400" s="363">
        <f>SUM(L3396:L3399)</f>
        <v>612.26</v>
      </c>
      <c r="M3400" s="363">
        <f>SUM(M3396:M3399)</f>
        <v>471.46</v>
      </c>
      <c r="N3400" s="363">
        <f>SUM(N3396:N3399)</f>
        <v>764.16</v>
      </c>
      <c r="O3400" s="363">
        <f>SUM(O3396:O3399)</f>
        <v>973.86</v>
      </c>
    </row>
    <row r="3401" spans="5:16" ht="9.75" customHeight="1">
      <c r="E3401" s="355"/>
      <c r="F3401" s="355"/>
      <c r="G3401" s="355"/>
      <c r="H3401" s="355"/>
      <c r="I3401" s="355"/>
      <c r="J3401" s="355"/>
      <c r="K3401" s="355"/>
      <c r="L3401" s="355"/>
      <c r="M3401" s="355"/>
    </row>
    <row r="3402" spans="5:16">
      <c r="E3402" s="355"/>
      <c r="F3402" s="355"/>
      <c r="G3402" s="355"/>
      <c r="H3402" s="363" t="s">
        <v>2636</v>
      </c>
      <c r="I3402" s="355">
        <f>I3368</f>
        <v>103100</v>
      </c>
      <c r="J3402" s="369">
        <v>2.9999999999999997E-4</v>
      </c>
      <c r="K3402" s="363">
        <f>I3402*J3402</f>
        <v>30.93</v>
      </c>
      <c r="L3402" s="355">
        <f>K3400-368</f>
        <v>140.26</v>
      </c>
      <c r="M3402" s="355"/>
    </row>
    <row r="3403" spans="5:16">
      <c r="E3403" s="355"/>
      <c r="F3403" s="355"/>
      <c r="G3403" s="355"/>
      <c r="H3403" s="355"/>
      <c r="I3403" s="355"/>
      <c r="J3403" s="355"/>
      <c r="K3403" s="355"/>
      <c r="L3403" s="355"/>
      <c r="M3403" s="355"/>
    </row>
    <row r="3404" spans="5:16">
      <c r="E3404" s="355"/>
      <c r="F3404" s="355"/>
      <c r="G3404" s="355"/>
      <c r="H3404" s="361" t="s">
        <v>138</v>
      </c>
      <c r="I3404" s="355"/>
      <c r="J3404" s="355"/>
      <c r="K3404" s="355"/>
      <c r="L3404" s="355"/>
      <c r="M3404" s="355"/>
    </row>
    <row r="3405" spans="5:16">
      <c r="E3405" s="355"/>
      <c r="F3405" s="355">
        <v>1</v>
      </c>
      <c r="G3405" s="355" t="s">
        <v>1337</v>
      </c>
      <c r="H3405" s="355" t="s">
        <v>2691</v>
      </c>
      <c r="I3405" s="355">
        <f>I3351</f>
        <v>712</v>
      </c>
      <c r="J3405" s="355" t="s">
        <v>1337</v>
      </c>
      <c r="K3405" s="355">
        <f>F3405*I3405</f>
        <v>712</v>
      </c>
      <c r="L3405" s="355"/>
      <c r="M3405" s="355"/>
    </row>
    <row r="3406" spans="5:16">
      <c r="E3406" s="355"/>
      <c r="F3406" s="355">
        <v>1</v>
      </c>
      <c r="G3406" s="355" t="s">
        <v>1337</v>
      </c>
      <c r="H3406" s="355" t="s">
        <v>2510</v>
      </c>
      <c r="I3406" s="355">
        <f>I3352</f>
        <v>708</v>
      </c>
      <c r="J3406" s="355" t="s">
        <v>1337</v>
      </c>
      <c r="K3406" s="355">
        <f>F3406*I3406</f>
        <v>708</v>
      </c>
      <c r="L3406" s="355"/>
      <c r="M3406" s="355"/>
    </row>
    <row r="3407" spans="5:16">
      <c r="E3407" s="355"/>
      <c r="F3407" s="355">
        <v>3</v>
      </c>
      <c r="G3407" s="355" t="s">
        <v>1337</v>
      </c>
      <c r="H3407" s="355" t="s">
        <v>2246</v>
      </c>
      <c r="I3407" s="355">
        <f>I3353</f>
        <v>556</v>
      </c>
      <c r="J3407" s="355" t="s">
        <v>1337</v>
      </c>
      <c r="K3407" s="355">
        <f>F3407*I3407</f>
        <v>1668</v>
      </c>
      <c r="L3407" s="355"/>
      <c r="M3407" s="355"/>
    </row>
    <row r="3408" spans="5:16">
      <c r="E3408" s="355"/>
      <c r="F3408" s="355"/>
      <c r="G3408" s="355"/>
      <c r="H3408" s="360" t="s">
        <v>2585</v>
      </c>
      <c r="I3408" s="355"/>
      <c r="J3408" s="355"/>
      <c r="K3408" s="355">
        <f>SUM(K3405:K3407)</f>
        <v>3088</v>
      </c>
      <c r="L3408" s="355"/>
      <c r="M3408" s="355"/>
    </row>
    <row r="3409" spans="5:15">
      <c r="E3409" s="355"/>
      <c r="F3409" s="355"/>
      <c r="G3409" s="355"/>
      <c r="H3409" s="362" t="s">
        <v>2718</v>
      </c>
      <c r="I3409" s="355"/>
      <c r="J3409" s="355"/>
      <c r="K3409" s="363">
        <f>K3408/8</f>
        <v>386</v>
      </c>
      <c r="L3409" s="355"/>
      <c r="M3409" s="355"/>
    </row>
    <row r="3410" spans="5:15" ht="9" customHeight="1">
      <c r="E3410" s="355"/>
      <c r="F3410" s="355"/>
      <c r="G3410" s="355"/>
      <c r="H3410" s="355"/>
      <c r="I3410" s="355"/>
      <c r="J3410" s="355"/>
      <c r="K3410" s="355"/>
      <c r="L3410" s="355"/>
      <c r="M3410" s="355"/>
    </row>
    <row r="3411" spans="5:15">
      <c r="E3411" s="355"/>
      <c r="F3411" s="355"/>
      <c r="G3411" s="355"/>
      <c r="H3411" s="363" t="s">
        <v>2586</v>
      </c>
      <c r="I3411" s="355"/>
      <c r="J3411" s="355"/>
      <c r="K3411" s="355"/>
      <c r="L3411" s="355"/>
      <c r="M3411" s="355"/>
    </row>
    <row r="3412" spans="5:15">
      <c r="E3412" s="355"/>
      <c r="F3412" s="355"/>
      <c r="G3412" s="355"/>
      <c r="H3412" s="363" t="s">
        <v>2587</v>
      </c>
      <c r="I3412" s="355"/>
      <c r="J3412" s="355"/>
      <c r="K3412" s="355"/>
      <c r="L3412" s="355"/>
      <c r="M3412" s="355"/>
    </row>
    <row r="3413" spans="5:15">
      <c r="E3413" s="355"/>
      <c r="F3413" s="355"/>
      <c r="G3413" s="355"/>
      <c r="H3413" s="355"/>
      <c r="I3413" s="355"/>
      <c r="J3413" s="355"/>
      <c r="K3413" s="355"/>
      <c r="L3413" s="355"/>
      <c r="M3413" s="355"/>
    </row>
    <row r="3414" spans="5:15" ht="63">
      <c r="E3414" s="355"/>
      <c r="F3414" s="355"/>
      <c r="G3414" s="355"/>
      <c r="H3414" s="354" t="s">
        <v>2592</v>
      </c>
      <c r="I3414" s="355"/>
      <c r="J3414" s="355"/>
      <c r="K3414" s="355"/>
      <c r="L3414" s="355" t="s">
        <v>3467</v>
      </c>
      <c r="M3414" s="354" t="s">
        <v>3411</v>
      </c>
      <c r="N3414" s="354" t="s">
        <v>3617</v>
      </c>
      <c r="O3414" s="354" t="s">
        <v>3760</v>
      </c>
    </row>
    <row r="3415" spans="5:15">
      <c r="E3415" s="355"/>
      <c r="F3415" s="355">
        <v>3</v>
      </c>
      <c r="G3415" s="355" t="s">
        <v>1337</v>
      </c>
      <c r="H3415" s="355" t="str">
        <f>H3396</f>
        <v>32 Amps 500 V fuse units P-120 6-b</v>
      </c>
      <c r="I3415" s="425">
        <f>I3396</f>
        <v>84.4</v>
      </c>
      <c r="J3415" s="355" t="s">
        <v>1341</v>
      </c>
      <c r="K3415" s="355">
        <f>F3415*I3415</f>
        <v>253.2</v>
      </c>
      <c r="L3415" s="355">
        <f>L3396*3</f>
        <v>565.20000000000005</v>
      </c>
      <c r="M3415" s="355">
        <f>M3396*3</f>
        <v>142.80000000000001</v>
      </c>
      <c r="N3415" s="355">
        <f>N3396*3</f>
        <v>1020.9</v>
      </c>
    </row>
    <row r="3416" spans="5:15">
      <c r="E3416" s="355"/>
      <c r="F3416" s="355">
        <v>1</v>
      </c>
      <c r="G3416" s="355" t="s">
        <v>1337</v>
      </c>
      <c r="H3416" s="355" t="s">
        <v>3124</v>
      </c>
      <c r="I3416" s="355">
        <f>K3421</f>
        <v>61.86</v>
      </c>
      <c r="J3416" s="355" t="s">
        <v>1337</v>
      </c>
      <c r="K3416" s="355">
        <f>F3416*I3416</f>
        <v>61.86</v>
      </c>
      <c r="L3416" s="355">
        <f t="shared" ref="L3416:N3418" si="108">K3416</f>
        <v>61.86</v>
      </c>
      <c r="M3416" s="355">
        <f t="shared" si="108"/>
        <v>61.86</v>
      </c>
      <c r="N3416" s="355">
        <f t="shared" si="108"/>
        <v>61.86</v>
      </c>
    </row>
    <row r="3417" spans="5:15">
      <c r="E3417" s="355"/>
      <c r="F3417" s="355"/>
      <c r="G3417" s="355"/>
      <c r="H3417" s="355" t="s">
        <v>878</v>
      </c>
      <c r="I3417" s="355"/>
      <c r="J3417" s="355"/>
      <c r="K3417" s="355">
        <f>K3428</f>
        <v>455.5</v>
      </c>
      <c r="L3417" s="355">
        <f t="shared" si="108"/>
        <v>455.5</v>
      </c>
      <c r="M3417" s="355">
        <f t="shared" si="108"/>
        <v>455.5</v>
      </c>
      <c r="N3417" s="355">
        <f t="shared" si="108"/>
        <v>455.5</v>
      </c>
    </row>
    <row r="3418" spans="5:15">
      <c r="E3418" s="355"/>
      <c r="F3418" s="355"/>
      <c r="G3418" s="355"/>
      <c r="H3418" s="355" t="s">
        <v>2635</v>
      </c>
      <c r="I3418" s="355" t="s">
        <v>625</v>
      </c>
      <c r="J3418" s="355"/>
      <c r="K3418" s="355">
        <v>7.44</v>
      </c>
      <c r="L3418" s="355">
        <f t="shared" si="108"/>
        <v>7.44</v>
      </c>
      <c r="M3418" s="355">
        <f t="shared" si="108"/>
        <v>7.44</v>
      </c>
      <c r="N3418" s="355">
        <f t="shared" si="108"/>
        <v>7.44</v>
      </c>
    </row>
    <row r="3419" spans="5:15">
      <c r="E3419" s="355"/>
      <c r="F3419" s="355"/>
      <c r="G3419" s="355"/>
      <c r="H3419" s="362" t="s">
        <v>1024</v>
      </c>
      <c r="I3419" s="355"/>
      <c r="J3419" s="355"/>
      <c r="K3419" s="363">
        <f>SUM(K3415:K3418)</f>
        <v>778</v>
      </c>
      <c r="L3419" s="355">
        <f>SUM(L3415:L3418)</f>
        <v>1090</v>
      </c>
      <c r="M3419" s="355">
        <f>SUM(M3415:M3418)</f>
        <v>667.6</v>
      </c>
      <c r="N3419" s="355">
        <f>SUM(N3415:N3418)</f>
        <v>1545.7</v>
      </c>
    </row>
    <row r="3420" spans="5:15">
      <c r="E3420" s="355"/>
      <c r="F3420" s="355"/>
      <c r="G3420" s="355"/>
      <c r="H3420" s="362"/>
      <c r="I3420" s="355"/>
      <c r="J3420" s="355"/>
      <c r="K3420" s="363"/>
      <c r="L3420" s="355">
        <f>600-K3419</f>
        <v>-178</v>
      </c>
      <c r="M3420" s="355"/>
    </row>
    <row r="3421" spans="5:15">
      <c r="E3421" s="355"/>
      <c r="F3421" s="355"/>
      <c r="G3421" s="355"/>
      <c r="H3421" s="363" t="s">
        <v>3124</v>
      </c>
      <c r="I3421" s="355">
        <f>I3402</f>
        <v>103100</v>
      </c>
      <c r="J3421" s="369">
        <v>5.9999999999999995E-4</v>
      </c>
      <c r="K3421" s="363">
        <f>I3421*J3421</f>
        <v>61.86</v>
      </c>
      <c r="L3421" s="355"/>
      <c r="M3421" s="355"/>
    </row>
    <row r="3422" spans="5:15">
      <c r="E3422" s="355"/>
      <c r="F3422" s="355"/>
      <c r="G3422" s="355"/>
      <c r="H3422" s="362"/>
      <c r="I3422" s="355"/>
      <c r="J3422" s="355"/>
      <c r="K3422" s="355"/>
      <c r="L3422" s="355"/>
      <c r="M3422" s="355"/>
    </row>
    <row r="3423" spans="5:15">
      <c r="E3423" s="355"/>
      <c r="F3423" s="355"/>
      <c r="G3423" s="355"/>
      <c r="H3423" s="361" t="s">
        <v>138</v>
      </c>
      <c r="I3423" s="355"/>
      <c r="J3423" s="355"/>
      <c r="K3423" s="355"/>
      <c r="L3423" s="355"/>
      <c r="M3423" s="355"/>
    </row>
    <row r="3424" spans="5:15">
      <c r="E3424" s="355"/>
      <c r="F3424" s="355">
        <v>1</v>
      </c>
      <c r="G3424" s="355" t="s">
        <v>1337</v>
      </c>
      <c r="H3424" s="355" t="s">
        <v>2691</v>
      </c>
      <c r="I3424" s="355">
        <f>I3405</f>
        <v>712</v>
      </c>
      <c r="J3424" s="355" t="s">
        <v>1337</v>
      </c>
      <c r="K3424" s="355">
        <f>F3424*I3424</f>
        <v>712</v>
      </c>
      <c r="L3424" s="355"/>
      <c r="M3424" s="355"/>
    </row>
    <row r="3425" spans="5:13">
      <c r="E3425" s="355"/>
      <c r="F3425" s="355">
        <v>1</v>
      </c>
      <c r="G3425" s="355" t="s">
        <v>1337</v>
      </c>
      <c r="H3425" s="355" t="s">
        <v>2510</v>
      </c>
      <c r="I3425" s="355">
        <f>I3406</f>
        <v>708</v>
      </c>
      <c r="J3425" s="355" t="s">
        <v>1337</v>
      </c>
      <c r="K3425" s="355">
        <f>F3425*I3425</f>
        <v>708</v>
      </c>
      <c r="L3425" s="355"/>
      <c r="M3425" s="355"/>
    </row>
    <row r="3426" spans="5:13">
      <c r="E3426" s="355"/>
      <c r="F3426" s="355">
        <v>4</v>
      </c>
      <c r="G3426" s="355" t="s">
        <v>1337</v>
      </c>
      <c r="H3426" s="355" t="s">
        <v>2246</v>
      </c>
      <c r="I3426" s="355">
        <f>I3407</f>
        <v>556</v>
      </c>
      <c r="J3426" s="355" t="s">
        <v>1337</v>
      </c>
      <c r="K3426" s="355">
        <f>F3426*I3426</f>
        <v>2224</v>
      </c>
      <c r="L3426" s="355"/>
      <c r="M3426" s="355"/>
    </row>
    <row r="3427" spans="5:13">
      <c r="E3427" s="355"/>
      <c r="F3427" s="355"/>
      <c r="G3427" s="355"/>
      <c r="H3427" s="360" t="s">
        <v>2585</v>
      </c>
      <c r="I3427" s="355"/>
      <c r="J3427" s="355"/>
      <c r="K3427" s="355">
        <f>SUM(K3424:K3426)</f>
        <v>3644</v>
      </c>
      <c r="L3427" s="355"/>
      <c r="M3427" s="355"/>
    </row>
    <row r="3428" spans="5:13">
      <c r="E3428" s="355"/>
      <c r="F3428" s="355"/>
      <c r="G3428" s="355"/>
      <c r="H3428" s="362" t="s">
        <v>2818</v>
      </c>
      <c r="I3428" s="355"/>
      <c r="J3428" s="355"/>
      <c r="K3428" s="363">
        <f>K3427/8</f>
        <v>455.5</v>
      </c>
      <c r="L3428" s="355"/>
      <c r="M3428" s="355"/>
    </row>
    <row r="3429" spans="5:13">
      <c r="E3429" s="355"/>
      <c r="F3429" s="355"/>
      <c r="G3429" s="355"/>
      <c r="H3429" s="355"/>
      <c r="I3429" s="355"/>
      <c r="J3429" s="355"/>
      <c r="K3429" s="355"/>
      <c r="L3429" s="355"/>
      <c r="M3429" s="355"/>
    </row>
    <row r="3430" spans="5:13">
      <c r="E3430" s="355"/>
      <c r="F3430" s="355"/>
      <c r="G3430" s="355"/>
      <c r="H3430" s="363" t="s">
        <v>2593</v>
      </c>
      <c r="I3430" s="355"/>
      <c r="J3430" s="355"/>
      <c r="K3430" s="355"/>
      <c r="L3430" s="355"/>
      <c r="M3430" s="355"/>
    </row>
    <row r="3431" spans="5:13">
      <c r="E3431" s="355"/>
      <c r="F3431" s="355"/>
      <c r="G3431" s="355"/>
      <c r="H3431" s="355"/>
      <c r="I3431" s="355"/>
      <c r="J3431" s="355"/>
      <c r="K3431" s="355"/>
      <c r="L3431" s="355"/>
      <c r="M3431" s="355"/>
    </row>
    <row r="3432" spans="5:13">
      <c r="E3432" s="355"/>
      <c r="F3432" s="355"/>
      <c r="G3432" s="355"/>
      <c r="H3432" s="363" t="s">
        <v>2594</v>
      </c>
      <c r="I3432" s="355"/>
      <c r="J3432" s="355"/>
      <c r="K3432" s="355"/>
      <c r="L3432" s="355"/>
      <c r="M3432" s="355"/>
    </row>
    <row r="3433" spans="5:13">
      <c r="E3433" s="355"/>
      <c r="F3433" s="355"/>
      <c r="G3433" s="355"/>
      <c r="H3433" s="355"/>
      <c r="I3433" s="355"/>
      <c r="J3433" s="355"/>
      <c r="K3433" s="355"/>
      <c r="L3433" s="355"/>
      <c r="M3433" s="355"/>
    </row>
    <row r="3434" spans="5:13" ht="81" customHeight="1">
      <c r="E3434" s="355"/>
      <c r="F3434" s="355"/>
      <c r="G3434" s="355"/>
      <c r="H3434" s="354" t="s">
        <v>2282</v>
      </c>
      <c r="I3434" s="355"/>
      <c r="J3434" s="355"/>
      <c r="K3434" s="355"/>
      <c r="L3434" s="355"/>
      <c r="M3434" s="355"/>
    </row>
    <row r="3435" spans="5:13">
      <c r="E3435" s="355"/>
      <c r="F3435" s="355"/>
      <c r="G3435" s="355"/>
      <c r="H3435" s="355"/>
      <c r="I3435" s="355"/>
      <c r="J3435" s="355"/>
      <c r="K3435" s="355"/>
      <c r="L3435" s="355"/>
      <c r="M3435" s="355"/>
    </row>
    <row r="3436" spans="5:13">
      <c r="E3436" s="355"/>
      <c r="F3436" s="355">
        <v>1</v>
      </c>
      <c r="G3436" s="355" t="s">
        <v>1337</v>
      </c>
      <c r="H3436" s="355" t="s">
        <v>4783</v>
      </c>
      <c r="I3436" s="425">
        <v>47.6</v>
      </c>
      <c r="J3436" s="355" t="s">
        <v>1337</v>
      </c>
      <c r="K3436" s="355">
        <f>F3436*I3436</f>
        <v>47.6</v>
      </c>
      <c r="L3436" s="355"/>
      <c r="M3436" s="355"/>
    </row>
    <row r="3437" spans="5:13">
      <c r="E3437" s="355"/>
      <c r="F3437" s="355">
        <v>1</v>
      </c>
      <c r="G3437" s="355" t="s">
        <v>1337</v>
      </c>
      <c r="H3437" s="354" t="s">
        <v>2283</v>
      </c>
      <c r="I3437" s="355">
        <f>K3443</f>
        <v>231.98</v>
      </c>
      <c r="J3437" s="355" t="s">
        <v>1337</v>
      </c>
      <c r="K3437" s="355">
        <f>F3437*I3437</f>
        <v>231.98</v>
      </c>
      <c r="L3437" s="355"/>
      <c r="M3437" s="355"/>
    </row>
    <row r="3438" spans="5:13">
      <c r="E3438" s="355"/>
      <c r="F3438" s="355">
        <v>1</v>
      </c>
      <c r="G3438" s="355" t="s">
        <v>1337</v>
      </c>
      <c r="H3438" s="355" t="s">
        <v>2284</v>
      </c>
      <c r="I3438" s="445">
        <v>25</v>
      </c>
      <c r="J3438" s="355" t="s">
        <v>2285</v>
      </c>
      <c r="K3438" s="355">
        <f>F3438*I3438</f>
        <v>25</v>
      </c>
      <c r="L3438" s="355"/>
      <c r="M3438" s="355"/>
    </row>
    <row r="3439" spans="5:13">
      <c r="E3439" s="355"/>
      <c r="F3439" s="355"/>
      <c r="G3439" s="355"/>
      <c r="H3439" s="355" t="s">
        <v>138</v>
      </c>
      <c r="I3439" s="355"/>
      <c r="J3439" s="355"/>
      <c r="K3439" s="355">
        <f>K3449</f>
        <v>456</v>
      </c>
      <c r="L3439" s="355"/>
      <c r="M3439" s="355"/>
    </row>
    <row r="3440" spans="5:13">
      <c r="E3440" s="355"/>
      <c r="F3440" s="355"/>
      <c r="G3440" s="355"/>
      <c r="H3440" s="355" t="s">
        <v>2286</v>
      </c>
      <c r="I3440" s="355"/>
      <c r="J3440" s="355"/>
      <c r="K3440" s="355">
        <v>9.76</v>
      </c>
      <c r="L3440" s="355"/>
      <c r="M3440" s="355"/>
    </row>
    <row r="3441" spans="5:13">
      <c r="E3441" s="355"/>
      <c r="F3441" s="355"/>
      <c r="G3441" s="355"/>
      <c r="H3441" s="362" t="s">
        <v>2287</v>
      </c>
      <c r="I3441" s="355"/>
      <c r="J3441" s="355"/>
      <c r="K3441" s="363">
        <f>SUM(K3436:K3440)</f>
        <v>770.34</v>
      </c>
      <c r="L3441" s="355">
        <f>K3441-592</f>
        <v>178.34</v>
      </c>
      <c r="M3441" s="355"/>
    </row>
    <row r="3442" spans="5:13" ht="8.25" customHeight="1">
      <c r="E3442" s="355"/>
      <c r="F3442" s="355"/>
      <c r="G3442" s="355"/>
      <c r="H3442" s="355"/>
      <c r="I3442" s="355"/>
      <c r="J3442" s="355"/>
      <c r="K3442" s="355"/>
      <c r="L3442" s="355"/>
      <c r="M3442" s="355"/>
    </row>
    <row r="3443" spans="5:13">
      <c r="E3443" s="355"/>
      <c r="F3443" s="355"/>
      <c r="G3443" s="355"/>
      <c r="H3443" s="363" t="s">
        <v>2288</v>
      </c>
      <c r="I3443" s="355">
        <f>I3421</f>
        <v>103100</v>
      </c>
      <c r="J3443" s="375">
        <v>2.2499999999999998E-3</v>
      </c>
      <c r="K3443" s="355">
        <f>I3443*J3443</f>
        <v>231.98</v>
      </c>
      <c r="L3443" s="355"/>
      <c r="M3443" s="355"/>
    </row>
    <row r="3444" spans="5:13" ht="7.5" customHeight="1">
      <c r="E3444" s="355"/>
      <c r="F3444" s="355"/>
      <c r="G3444" s="355"/>
      <c r="H3444" s="355"/>
      <c r="I3444" s="355"/>
      <c r="J3444" s="355"/>
      <c r="K3444" s="355"/>
      <c r="L3444" s="355"/>
      <c r="M3444" s="355"/>
    </row>
    <row r="3445" spans="5:13">
      <c r="E3445" s="355"/>
      <c r="F3445" s="355"/>
      <c r="G3445" s="355"/>
      <c r="H3445" s="363" t="s">
        <v>878</v>
      </c>
      <c r="I3445" s="355"/>
      <c r="J3445" s="355"/>
      <c r="K3445" s="355"/>
      <c r="L3445" s="355"/>
      <c r="M3445" s="355"/>
    </row>
    <row r="3446" spans="5:13">
      <c r="E3446" s="355"/>
      <c r="F3446" s="355">
        <v>1</v>
      </c>
      <c r="G3446" s="355" t="s">
        <v>1337</v>
      </c>
      <c r="H3446" s="355" t="s">
        <v>2691</v>
      </c>
      <c r="I3446" s="183">
        <f>I3424</f>
        <v>712</v>
      </c>
      <c r="J3446" s="355" t="s">
        <v>1337</v>
      </c>
      <c r="K3446" s="355">
        <f>F3446*I3446</f>
        <v>712</v>
      </c>
      <c r="L3446" s="355"/>
      <c r="M3446" s="355"/>
    </row>
    <row r="3447" spans="5:13">
      <c r="E3447" s="355"/>
      <c r="F3447" s="355">
        <v>2</v>
      </c>
      <c r="G3447" s="355" t="s">
        <v>1337</v>
      </c>
      <c r="H3447" s="355" t="s">
        <v>2511</v>
      </c>
      <c r="I3447" s="183">
        <f>I3426</f>
        <v>556</v>
      </c>
      <c r="J3447" s="355" t="s">
        <v>1337</v>
      </c>
      <c r="K3447" s="355">
        <f>F3447*I3447</f>
        <v>1112</v>
      </c>
      <c r="L3447" s="355"/>
      <c r="M3447" s="355"/>
    </row>
    <row r="3448" spans="5:13">
      <c r="E3448" s="355"/>
      <c r="F3448" s="355"/>
      <c r="G3448" s="355"/>
      <c r="H3448" s="360" t="s">
        <v>2692</v>
      </c>
      <c r="I3448" s="355"/>
      <c r="J3448" s="355"/>
      <c r="K3448" s="355">
        <f>SUM(K3446:K3447)</f>
        <v>1824</v>
      </c>
      <c r="L3448" s="355"/>
      <c r="M3448" s="355"/>
    </row>
    <row r="3449" spans="5:13">
      <c r="E3449" s="355"/>
      <c r="F3449" s="355"/>
      <c r="G3449" s="355"/>
      <c r="H3449" s="362" t="s">
        <v>2718</v>
      </c>
      <c r="I3449" s="355"/>
      <c r="J3449" s="355"/>
      <c r="K3449" s="363">
        <f>K3448/4</f>
        <v>456</v>
      </c>
      <c r="L3449" s="355"/>
      <c r="M3449" s="355"/>
    </row>
    <row r="3450" spans="5:13">
      <c r="E3450" s="355"/>
      <c r="F3450" s="355"/>
      <c r="G3450" s="355"/>
      <c r="H3450" s="355"/>
      <c r="I3450" s="355"/>
      <c r="J3450" s="355"/>
      <c r="K3450" s="355"/>
      <c r="L3450" s="355"/>
      <c r="M3450" s="355"/>
    </row>
    <row r="3451" spans="5:13">
      <c r="E3451" s="355"/>
      <c r="F3451" s="355"/>
      <c r="G3451" s="355"/>
      <c r="H3451" s="363" t="s">
        <v>2289</v>
      </c>
      <c r="I3451" s="355"/>
      <c r="J3451" s="355"/>
      <c r="K3451" s="355"/>
      <c r="L3451" s="355"/>
      <c r="M3451" s="355"/>
    </row>
    <row r="3452" spans="5:13">
      <c r="E3452" s="355"/>
      <c r="F3452" s="355"/>
      <c r="G3452" s="355"/>
      <c r="H3452" s="363" t="s">
        <v>2290</v>
      </c>
      <c r="I3452" s="355"/>
      <c r="J3452" s="355"/>
      <c r="K3452" s="355"/>
      <c r="L3452" s="355"/>
      <c r="M3452" s="355"/>
    </row>
    <row r="3453" spans="5:13">
      <c r="E3453" s="355"/>
      <c r="F3453" s="355"/>
      <c r="G3453" s="355"/>
      <c r="H3453" s="355" t="s">
        <v>940</v>
      </c>
      <c r="I3453" s="355"/>
      <c r="J3453" s="355"/>
      <c r="K3453" s="355"/>
      <c r="L3453" s="355"/>
      <c r="M3453" s="355"/>
    </row>
    <row r="3454" spans="5:13">
      <c r="E3454" s="355"/>
      <c r="F3454" s="355">
        <v>1</v>
      </c>
      <c r="G3454" s="355" t="s">
        <v>1337</v>
      </c>
      <c r="H3454" s="355" t="s">
        <v>4195</v>
      </c>
      <c r="I3454" s="425">
        <f>I3384</f>
        <v>1754</v>
      </c>
      <c r="J3454" s="355" t="s">
        <v>1337</v>
      </c>
      <c r="K3454" s="355">
        <f>F3454*I3454</f>
        <v>1754</v>
      </c>
      <c r="L3454" s="355"/>
      <c r="M3454" s="355"/>
    </row>
    <row r="3455" spans="5:13">
      <c r="E3455" s="355"/>
      <c r="F3455" s="355">
        <v>3</v>
      </c>
      <c r="G3455" s="355" t="s">
        <v>1337</v>
      </c>
      <c r="H3455" s="355" t="s">
        <v>4784</v>
      </c>
      <c r="I3455" s="425">
        <v>127</v>
      </c>
      <c r="J3455" s="355" t="s">
        <v>1337</v>
      </c>
      <c r="K3455" s="355">
        <f>F3455*I3455</f>
        <v>381</v>
      </c>
      <c r="L3455" s="355"/>
      <c r="M3455" s="355"/>
    </row>
    <row r="3456" spans="5:13">
      <c r="E3456" s="355"/>
      <c r="F3456" s="355"/>
      <c r="G3456" s="355"/>
      <c r="H3456" s="355" t="s">
        <v>2419</v>
      </c>
      <c r="I3456" s="355"/>
      <c r="J3456" s="355"/>
      <c r="K3456" s="355">
        <f>K3348</f>
        <v>713.6</v>
      </c>
      <c r="L3456" s="355"/>
      <c r="M3456" s="355"/>
    </row>
    <row r="3457" spans="5:13">
      <c r="E3457" s="355"/>
      <c r="F3457" s="355"/>
      <c r="G3457" s="355"/>
      <c r="H3457" s="355" t="s">
        <v>2187</v>
      </c>
      <c r="I3457" s="355"/>
      <c r="J3457" s="355"/>
      <c r="K3457" s="355">
        <v>2</v>
      </c>
      <c r="L3457" s="355"/>
      <c r="M3457" s="355"/>
    </row>
    <row r="3458" spans="5:13">
      <c r="E3458" s="355"/>
      <c r="F3458" s="355"/>
      <c r="G3458" s="355"/>
      <c r="H3458" s="362" t="s">
        <v>2420</v>
      </c>
      <c r="I3458" s="355"/>
      <c r="J3458" s="355"/>
      <c r="K3458" s="363">
        <f>SUM(K3454:K3457)</f>
        <v>2850.6</v>
      </c>
      <c r="L3458" s="355"/>
      <c r="M3458" s="355"/>
    </row>
    <row r="3459" spans="5:13">
      <c r="E3459" s="355"/>
      <c r="F3459" s="355"/>
      <c r="G3459" s="355"/>
      <c r="H3459" s="355"/>
      <c r="I3459" s="355"/>
      <c r="J3459" s="355"/>
      <c r="K3459" s="355"/>
      <c r="L3459" s="355"/>
      <c r="M3459" s="355"/>
    </row>
    <row r="3460" spans="5:13">
      <c r="E3460" s="355"/>
      <c r="F3460" s="355"/>
      <c r="G3460" s="355"/>
      <c r="H3460" s="363" t="s">
        <v>2289</v>
      </c>
      <c r="I3460" s="355"/>
      <c r="J3460" s="355"/>
      <c r="K3460" s="355"/>
      <c r="L3460" s="355"/>
      <c r="M3460" s="355"/>
    </row>
    <row r="3461" spans="5:13">
      <c r="E3461" s="355"/>
      <c r="F3461" s="355"/>
      <c r="G3461" s="355"/>
      <c r="H3461" s="355"/>
      <c r="I3461" s="355"/>
      <c r="J3461" s="355"/>
      <c r="K3461" s="355"/>
      <c r="L3461" s="355"/>
      <c r="M3461" s="355"/>
    </row>
    <row r="3462" spans="5:13">
      <c r="E3462" s="355"/>
      <c r="F3462" s="355"/>
      <c r="G3462" s="355"/>
      <c r="H3462" s="363" t="s">
        <v>2421</v>
      </c>
      <c r="I3462" s="355"/>
      <c r="J3462" s="355"/>
      <c r="K3462" s="355"/>
      <c r="L3462" s="355"/>
      <c r="M3462" s="355"/>
    </row>
    <row r="3463" spans="5:13">
      <c r="E3463" s="355"/>
      <c r="F3463" s="355"/>
      <c r="G3463" s="355"/>
      <c r="H3463" s="355"/>
      <c r="I3463" s="355"/>
      <c r="J3463" s="355"/>
      <c r="K3463" s="355"/>
      <c r="L3463" s="355"/>
      <c r="M3463" s="355"/>
    </row>
    <row r="3464" spans="5:13">
      <c r="E3464" s="355"/>
      <c r="F3464" s="355">
        <v>1</v>
      </c>
      <c r="G3464" s="355" t="s">
        <v>1337</v>
      </c>
      <c r="H3464" s="355" t="s">
        <v>4197</v>
      </c>
      <c r="I3464" s="183">
        <f>I3389</f>
        <v>1858</v>
      </c>
      <c r="J3464" s="355" t="s">
        <v>1337</v>
      </c>
      <c r="K3464" s="355">
        <f>F3464*I3464</f>
        <v>1858</v>
      </c>
      <c r="L3464" s="355"/>
      <c r="M3464" s="355"/>
    </row>
    <row r="3465" spans="5:13">
      <c r="E3465" s="355"/>
      <c r="F3465" s="355">
        <v>3</v>
      </c>
      <c r="G3465" s="355" t="s">
        <v>1337</v>
      </c>
      <c r="H3465" s="355" t="s">
        <v>4196</v>
      </c>
      <c r="I3465" s="355">
        <f>I3455</f>
        <v>127</v>
      </c>
      <c r="J3465" s="355" t="s">
        <v>1337</v>
      </c>
      <c r="K3465" s="355">
        <f>F3465*I3465</f>
        <v>381</v>
      </c>
      <c r="L3465" s="355"/>
      <c r="M3465" s="355"/>
    </row>
    <row r="3466" spans="5:13">
      <c r="E3466" s="355"/>
      <c r="F3466" s="355"/>
      <c r="G3466" s="355"/>
      <c r="H3466" s="355" t="s">
        <v>2786</v>
      </c>
      <c r="I3466" s="355"/>
      <c r="J3466" s="355"/>
      <c r="K3466" s="355">
        <f>K3379</f>
        <v>727.6</v>
      </c>
      <c r="L3466" s="355"/>
      <c r="M3466" s="355"/>
    </row>
    <row r="3467" spans="5:13">
      <c r="E3467" s="355"/>
      <c r="F3467" s="355"/>
      <c r="G3467" s="355"/>
      <c r="H3467" s="355" t="s">
        <v>2187</v>
      </c>
      <c r="I3467" s="355"/>
      <c r="J3467" s="355"/>
      <c r="K3467" s="355">
        <f>5</f>
        <v>5</v>
      </c>
      <c r="L3467" s="355"/>
      <c r="M3467" s="355"/>
    </row>
    <row r="3468" spans="5:13">
      <c r="E3468" s="355"/>
      <c r="F3468" s="355"/>
      <c r="G3468" s="355"/>
      <c r="H3468" s="362" t="s">
        <v>2787</v>
      </c>
      <c r="I3468" s="355"/>
      <c r="J3468" s="355"/>
      <c r="K3468" s="363">
        <f>SUM(K3464:K3467)</f>
        <v>2971.6</v>
      </c>
      <c r="L3468" s="355">
        <f>K3468-2695</f>
        <v>276.60000000000002</v>
      </c>
      <c r="M3468" s="355"/>
    </row>
    <row r="3469" spans="5:13">
      <c r="E3469" s="355"/>
      <c r="F3469" s="355"/>
      <c r="G3469" s="355"/>
      <c r="H3469" s="355"/>
      <c r="I3469" s="355"/>
      <c r="J3469" s="355"/>
      <c r="K3469" s="355"/>
      <c r="L3469" s="355"/>
      <c r="M3469" s="355"/>
    </row>
    <row r="3470" spans="5:13">
      <c r="E3470" s="355"/>
      <c r="F3470" s="355"/>
      <c r="G3470" s="355"/>
      <c r="H3470" s="363" t="s">
        <v>2788</v>
      </c>
      <c r="I3470" s="355"/>
      <c r="J3470" s="355"/>
      <c r="K3470" s="355"/>
      <c r="L3470" s="355"/>
      <c r="M3470" s="355"/>
    </row>
    <row r="3471" spans="5:13">
      <c r="E3471" s="355"/>
      <c r="F3471" s="355"/>
      <c r="G3471" s="355"/>
      <c r="H3471" s="355"/>
      <c r="I3471" s="355"/>
      <c r="J3471" s="355"/>
      <c r="K3471" s="355"/>
      <c r="L3471" s="355"/>
      <c r="M3471" s="355"/>
    </row>
    <row r="3472" spans="5:13">
      <c r="E3472" s="355"/>
      <c r="F3472" s="355"/>
      <c r="G3472" s="355"/>
      <c r="H3472" s="363" t="s">
        <v>2789</v>
      </c>
      <c r="I3472" s="355"/>
      <c r="J3472" s="355"/>
      <c r="K3472" s="355"/>
      <c r="L3472" s="355"/>
      <c r="M3472" s="355"/>
    </row>
    <row r="3473" spans="5:13">
      <c r="E3473" s="355"/>
      <c r="F3473" s="355"/>
      <c r="G3473" s="355"/>
      <c r="H3473" s="355"/>
      <c r="I3473" s="355"/>
      <c r="J3473" s="355"/>
      <c r="K3473" s="355"/>
      <c r="L3473" s="355"/>
      <c r="M3473" s="355"/>
    </row>
    <row r="3474" spans="5:13" ht="63">
      <c r="E3474" s="355"/>
      <c r="F3474" s="355"/>
      <c r="G3474" s="355"/>
      <c r="H3474" s="354" t="s">
        <v>3327</v>
      </c>
      <c r="I3474" s="355"/>
      <c r="J3474" s="355"/>
      <c r="K3474" s="355"/>
      <c r="L3474" s="355"/>
      <c r="M3474" s="355"/>
    </row>
    <row r="3475" spans="5:13">
      <c r="E3475" s="355"/>
      <c r="F3475" s="355"/>
      <c r="G3475" s="355"/>
      <c r="H3475" s="355"/>
      <c r="I3475" s="355"/>
      <c r="J3475" s="355"/>
      <c r="K3475" s="355"/>
      <c r="L3475" s="355"/>
      <c r="M3475" s="355"/>
    </row>
    <row r="3476" spans="5:13" ht="24.95" customHeight="1">
      <c r="E3476" s="355"/>
      <c r="F3476" s="355">
        <v>3</v>
      </c>
      <c r="G3476" s="355" t="s">
        <v>1337</v>
      </c>
      <c r="H3476" s="355" t="s">
        <v>2790</v>
      </c>
      <c r="I3476" s="355">
        <f>I3396</f>
        <v>84.4</v>
      </c>
      <c r="J3476" s="355" t="s">
        <v>1337</v>
      </c>
      <c r="K3476" s="355">
        <f>F3476*I3476</f>
        <v>253.2</v>
      </c>
      <c r="L3476" s="355"/>
      <c r="M3476" s="355"/>
    </row>
    <row r="3477" spans="5:13" ht="24.95" customHeight="1">
      <c r="E3477" s="355"/>
      <c r="F3477" s="355">
        <v>1</v>
      </c>
      <c r="G3477" s="355" t="s">
        <v>1337</v>
      </c>
      <c r="H3477" s="354" t="s">
        <v>2791</v>
      </c>
      <c r="I3477" s="355">
        <f>K3483</f>
        <v>347.96</v>
      </c>
      <c r="J3477" s="355" t="s">
        <v>1337</v>
      </c>
      <c r="K3477" s="355">
        <f>F3477*I3477</f>
        <v>347.96</v>
      </c>
      <c r="L3477" s="355"/>
      <c r="M3477" s="355"/>
    </row>
    <row r="3478" spans="5:13" ht="24.95" customHeight="1">
      <c r="E3478" s="355"/>
      <c r="F3478" s="355">
        <v>1</v>
      </c>
      <c r="G3478" s="355" t="s">
        <v>1337</v>
      </c>
      <c r="H3478" s="355" t="s">
        <v>2284</v>
      </c>
      <c r="I3478" s="355">
        <f>I3438</f>
        <v>25</v>
      </c>
      <c r="J3478" s="355" t="s">
        <v>2285</v>
      </c>
      <c r="K3478" s="355">
        <f>F3478*I3478</f>
        <v>25</v>
      </c>
      <c r="L3478" s="355"/>
      <c r="M3478" s="355"/>
    </row>
    <row r="3479" spans="5:13" ht="24.95" customHeight="1">
      <c r="E3479" s="355"/>
      <c r="F3479" s="355"/>
      <c r="G3479" s="355"/>
      <c r="H3479" s="355" t="s">
        <v>138</v>
      </c>
      <c r="I3479" s="355"/>
      <c r="J3479" s="355"/>
      <c r="K3479" s="355">
        <f>K3489</f>
        <v>608</v>
      </c>
      <c r="L3479" s="355"/>
      <c r="M3479" s="355"/>
    </row>
    <row r="3480" spans="5:13">
      <c r="E3480" s="355"/>
      <c r="F3480" s="355"/>
      <c r="G3480" s="355"/>
      <c r="H3480" s="355" t="s">
        <v>2286</v>
      </c>
      <c r="I3480" s="355"/>
      <c r="J3480" s="355"/>
      <c r="K3480" s="355">
        <v>8.0500000000000007</v>
      </c>
      <c r="L3480" s="355"/>
      <c r="M3480" s="355"/>
    </row>
    <row r="3481" spans="5:13" ht="24.95" customHeight="1">
      <c r="E3481" s="355"/>
      <c r="F3481" s="355"/>
      <c r="G3481" s="355"/>
      <c r="H3481" s="362" t="s">
        <v>2287</v>
      </c>
      <c r="I3481" s="355"/>
      <c r="J3481" s="355"/>
      <c r="K3481" s="363">
        <f>SUM(K3476:K3480)</f>
        <v>1242.21</v>
      </c>
      <c r="L3481" s="355">
        <f>990-K3481</f>
        <v>-252.21</v>
      </c>
      <c r="M3481" s="355"/>
    </row>
    <row r="3482" spans="5:13">
      <c r="E3482" s="355"/>
      <c r="F3482" s="355"/>
      <c r="G3482" s="355"/>
      <c r="H3482" s="355"/>
      <c r="I3482" s="355"/>
      <c r="J3482" s="355"/>
      <c r="K3482" s="355"/>
      <c r="L3482" s="355"/>
      <c r="M3482" s="355"/>
    </row>
    <row r="3483" spans="5:13">
      <c r="E3483" s="355"/>
      <c r="F3483" s="355"/>
      <c r="G3483" s="355"/>
      <c r="H3483" s="363" t="s">
        <v>2792</v>
      </c>
      <c r="I3483" s="355">
        <f>I3443</f>
        <v>103100</v>
      </c>
      <c r="J3483" s="375">
        <v>3.375E-3</v>
      </c>
      <c r="K3483" s="355">
        <f>I3483*J3483</f>
        <v>347.96</v>
      </c>
      <c r="L3483" s="355"/>
      <c r="M3483" s="355"/>
    </row>
    <row r="3484" spans="5:13">
      <c r="E3484" s="355"/>
      <c r="F3484" s="355"/>
      <c r="G3484" s="355"/>
      <c r="H3484" s="355"/>
      <c r="I3484" s="355"/>
      <c r="J3484" s="355"/>
      <c r="K3484" s="355"/>
      <c r="L3484" s="355"/>
      <c r="M3484" s="355"/>
    </row>
    <row r="3485" spans="5:13" ht="21.75" customHeight="1">
      <c r="E3485" s="355"/>
      <c r="F3485" s="355"/>
      <c r="G3485" s="355"/>
      <c r="H3485" s="361" t="s">
        <v>878</v>
      </c>
      <c r="I3485" s="355"/>
      <c r="J3485" s="355"/>
      <c r="K3485" s="355"/>
      <c r="L3485" s="355"/>
      <c r="M3485" s="355"/>
    </row>
    <row r="3486" spans="5:13" ht="21.75" customHeight="1">
      <c r="E3486" s="355"/>
      <c r="F3486" s="355">
        <v>1</v>
      </c>
      <c r="G3486" s="355" t="s">
        <v>1337</v>
      </c>
      <c r="H3486" s="355" t="s">
        <v>2691</v>
      </c>
      <c r="I3486" s="355">
        <f>I3446</f>
        <v>712</v>
      </c>
      <c r="J3486" s="355" t="s">
        <v>1337</v>
      </c>
      <c r="K3486" s="355">
        <f>F3486*I3486</f>
        <v>712</v>
      </c>
      <c r="L3486" s="355"/>
      <c r="M3486" s="355"/>
    </row>
    <row r="3487" spans="5:13" ht="21.75" customHeight="1">
      <c r="E3487" s="355"/>
      <c r="F3487" s="355">
        <v>2</v>
      </c>
      <c r="G3487" s="355" t="s">
        <v>1337</v>
      </c>
      <c r="H3487" s="355" t="s">
        <v>2511</v>
      </c>
      <c r="I3487" s="355">
        <f>I3447</f>
        <v>556</v>
      </c>
      <c r="J3487" s="355" t="s">
        <v>1337</v>
      </c>
      <c r="K3487" s="355">
        <f>F3487*I3487</f>
        <v>1112</v>
      </c>
      <c r="L3487" s="355"/>
      <c r="M3487" s="355"/>
    </row>
    <row r="3488" spans="5:13" ht="21.75" customHeight="1">
      <c r="E3488" s="355"/>
      <c r="F3488" s="355"/>
      <c r="G3488" s="355"/>
      <c r="H3488" s="360" t="s">
        <v>2793</v>
      </c>
      <c r="I3488" s="355"/>
      <c r="J3488" s="363"/>
      <c r="K3488" s="364">
        <f>SUM(K3486:K3487)</f>
        <v>1824</v>
      </c>
      <c r="L3488" s="355"/>
      <c r="M3488" s="355"/>
    </row>
    <row r="3489" spans="5:20" ht="21.75" customHeight="1">
      <c r="E3489" s="355"/>
      <c r="F3489" s="355"/>
      <c r="G3489" s="355"/>
      <c r="H3489" s="362" t="s">
        <v>2718</v>
      </c>
      <c r="I3489" s="355"/>
      <c r="J3489" s="363"/>
      <c r="K3489" s="363">
        <f>K3488/3</f>
        <v>608</v>
      </c>
      <c r="L3489" s="355"/>
      <c r="M3489" s="355"/>
    </row>
    <row r="3490" spans="5:20">
      <c r="E3490" s="355"/>
      <c r="F3490" s="355"/>
      <c r="G3490" s="355"/>
      <c r="H3490" s="355"/>
      <c r="I3490" s="355"/>
      <c r="J3490" s="355"/>
      <c r="K3490" s="355"/>
      <c r="L3490" s="355"/>
      <c r="M3490" s="355"/>
    </row>
    <row r="3491" spans="5:20">
      <c r="E3491" s="355"/>
      <c r="F3491" s="355"/>
      <c r="G3491" s="355"/>
      <c r="H3491" s="363" t="s">
        <v>2794</v>
      </c>
      <c r="I3491" s="355"/>
      <c r="J3491" s="355"/>
      <c r="K3491" s="355"/>
      <c r="L3491" s="355"/>
      <c r="M3491" s="355"/>
    </row>
    <row r="3492" spans="5:20">
      <c r="E3492" s="355"/>
      <c r="F3492" s="355"/>
      <c r="G3492" s="355"/>
      <c r="H3492" s="355"/>
      <c r="I3492" s="355"/>
      <c r="J3492" s="355"/>
      <c r="K3492" s="355"/>
      <c r="L3492" s="355"/>
      <c r="M3492" s="355"/>
    </row>
    <row r="3493" spans="5:20" ht="61.5" customHeight="1">
      <c r="E3493" s="355"/>
      <c r="F3493" s="355"/>
      <c r="G3493" s="355"/>
      <c r="H3493" s="353" t="s">
        <v>2624</v>
      </c>
      <c r="I3493" s="355"/>
      <c r="J3493" s="355"/>
      <c r="K3493" s="355"/>
      <c r="L3493" s="355"/>
      <c r="M3493" s="355"/>
      <c r="N3493" s="355"/>
      <c r="O3493" s="353" t="s">
        <v>283</v>
      </c>
      <c r="P3493" s="355"/>
      <c r="Q3493" s="355"/>
      <c r="R3493" s="355"/>
    </row>
    <row r="3494" spans="5:20" ht="36" customHeight="1">
      <c r="E3494" s="355"/>
      <c r="F3494" s="355">
        <v>180</v>
      </c>
      <c r="G3494" s="355" t="s">
        <v>794</v>
      </c>
      <c r="H3494" s="354" t="s">
        <v>3798</v>
      </c>
      <c r="I3494" s="461">
        <f>I3112</f>
        <v>38.299999999999997</v>
      </c>
      <c r="J3494" s="355" t="s">
        <v>794</v>
      </c>
      <c r="K3494" s="355">
        <f>F3494*I3494</f>
        <v>6894</v>
      </c>
      <c r="L3494" s="355"/>
      <c r="M3494" s="355">
        <v>180</v>
      </c>
      <c r="N3494" s="355" t="s">
        <v>794</v>
      </c>
      <c r="O3494" s="354" t="s">
        <v>3797</v>
      </c>
      <c r="P3494" s="356">
        <f>I3101</f>
        <v>24.1</v>
      </c>
      <c r="Q3494" s="355" t="s">
        <v>794</v>
      </c>
      <c r="R3494" s="355">
        <f>M3494*P3494</f>
        <v>4338</v>
      </c>
    </row>
    <row r="3495" spans="5:20" ht="24.95" customHeight="1">
      <c r="E3495" s="355"/>
      <c r="F3495" s="355">
        <v>4</v>
      </c>
      <c r="G3495" s="355" t="s">
        <v>1591</v>
      </c>
      <c r="H3495" s="355" t="s">
        <v>4575</v>
      </c>
      <c r="I3495" s="356">
        <v>82.6</v>
      </c>
      <c r="J3495" s="355" t="s">
        <v>1591</v>
      </c>
      <c r="K3495" s="355">
        <f>F3495*I3495</f>
        <v>330.4</v>
      </c>
      <c r="L3495" s="355"/>
      <c r="M3495" s="355">
        <v>4</v>
      </c>
      <c r="N3495" s="355" t="s">
        <v>1591</v>
      </c>
      <c r="O3495" s="355" t="s">
        <v>3272</v>
      </c>
      <c r="P3495" s="356">
        <f>I3495</f>
        <v>82.6</v>
      </c>
      <c r="Q3495" s="355" t="s">
        <v>1591</v>
      </c>
      <c r="R3495" s="355">
        <f>M3495*P3495</f>
        <v>330.4</v>
      </c>
    </row>
    <row r="3496" spans="5:20" ht="24.95" customHeight="1">
      <c r="E3496" s="355"/>
      <c r="F3496" s="355">
        <v>180</v>
      </c>
      <c r="G3496" s="355" t="s">
        <v>1341</v>
      </c>
      <c r="H3496" s="355" t="s">
        <v>4576</v>
      </c>
      <c r="I3496" s="356">
        <f>ROUND(6.3/12,2)</f>
        <v>0.53</v>
      </c>
      <c r="J3496" s="355" t="s">
        <v>1341</v>
      </c>
      <c r="K3496" s="355">
        <f>F3496*I3496</f>
        <v>95.4</v>
      </c>
      <c r="L3496" s="355"/>
      <c r="M3496" s="355">
        <v>180</v>
      </c>
      <c r="N3496" s="355" t="s">
        <v>1341</v>
      </c>
      <c r="O3496" s="355" t="s">
        <v>2626</v>
      </c>
      <c r="P3496" s="356">
        <f>I3496</f>
        <v>0.53</v>
      </c>
      <c r="Q3496" s="355" t="s">
        <v>1341</v>
      </c>
      <c r="R3496" s="355">
        <f>M3496*P3496</f>
        <v>95.4</v>
      </c>
    </row>
    <row r="3497" spans="5:20" ht="24.95" customHeight="1">
      <c r="E3497" s="355"/>
      <c r="F3497" s="355">
        <v>1</v>
      </c>
      <c r="G3497" s="355" t="s">
        <v>1591</v>
      </c>
      <c r="H3497" s="355" t="s">
        <v>2627</v>
      </c>
      <c r="I3497" s="461">
        <f>I3495</f>
        <v>82.6</v>
      </c>
      <c r="J3497" s="355" t="s">
        <v>1591</v>
      </c>
      <c r="K3497" s="355">
        <f>F3497*I3497</f>
        <v>82.6</v>
      </c>
      <c r="L3497" s="355"/>
      <c r="M3497" s="355">
        <v>1</v>
      </c>
      <c r="N3497" s="355" t="s">
        <v>1591</v>
      </c>
      <c r="O3497" s="355" t="s">
        <v>2627</v>
      </c>
      <c r="P3497" s="356">
        <f>I3497</f>
        <v>82.6</v>
      </c>
      <c r="Q3497" s="355" t="s">
        <v>1591</v>
      </c>
      <c r="R3497" s="355">
        <f>M3497*P3497</f>
        <v>82.6</v>
      </c>
    </row>
    <row r="3498" spans="5:20" ht="24.95" customHeight="1">
      <c r="E3498" s="355"/>
      <c r="F3498" s="355"/>
      <c r="G3498" s="355"/>
      <c r="H3498" s="355" t="s">
        <v>878</v>
      </c>
      <c r="I3498" s="355"/>
      <c r="J3498" s="355"/>
      <c r="K3498" s="355">
        <f>K3507</f>
        <v>5325</v>
      </c>
      <c r="L3498" s="355"/>
      <c r="M3498" s="355"/>
      <c r="N3498" s="355"/>
      <c r="O3498" s="355" t="s">
        <v>878</v>
      </c>
      <c r="P3498" s="355"/>
      <c r="Q3498" s="355"/>
      <c r="R3498" s="355">
        <f>R3507</f>
        <v>5325</v>
      </c>
    </row>
    <row r="3499" spans="5:20" ht="24.95" customHeight="1">
      <c r="E3499" s="355"/>
      <c r="F3499" s="355"/>
      <c r="G3499" s="355"/>
      <c r="H3499" s="355" t="s">
        <v>2628</v>
      </c>
      <c r="I3499" s="355"/>
      <c r="J3499" s="355"/>
      <c r="K3499" s="355">
        <v>79</v>
      </c>
      <c r="L3499" s="355"/>
      <c r="M3499" s="355"/>
      <c r="N3499" s="355"/>
      <c r="O3499" s="355" t="s">
        <v>2628</v>
      </c>
      <c r="P3499" s="355"/>
      <c r="Q3499" s="355"/>
      <c r="R3499" s="355">
        <v>42.5</v>
      </c>
    </row>
    <row r="3500" spans="5:20" ht="24.95" customHeight="1">
      <c r="E3500" s="355"/>
      <c r="F3500" s="355"/>
      <c r="G3500" s="355"/>
      <c r="H3500" s="360" t="s">
        <v>2629</v>
      </c>
      <c r="I3500" s="355"/>
      <c r="J3500" s="355"/>
      <c r="K3500" s="355">
        <f>SUM(K3494:K3499)</f>
        <v>12806.4</v>
      </c>
      <c r="L3500" s="355">
        <f>K3500-L3502</f>
        <v>13</v>
      </c>
      <c r="M3500" s="355"/>
      <c r="N3500" s="355"/>
      <c r="O3500" s="360" t="s">
        <v>2629</v>
      </c>
      <c r="P3500" s="355"/>
      <c r="Q3500" s="355"/>
      <c r="R3500" s="355">
        <f>SUM(R3494:R3499)</f>
        <v>10213.9</v>
      </c>
    </row>
    <row r="3501" spans="5:20" ht="24.95" customHeight="1">
      <c r="E3501" s="355"/>
      <c r="F3501" s="355"/>
      <c r="G3501" s="355"/>
      <c r="H3501" s="362" t="s">
        <v>2309</v>
      </c>
      <c r="I3501" s="355"/>
      <c r="J3501" s="355"/>
      <c r="K3501" s="363">
        <f>K3500/90</f>
        <v>142.29</v>
      </c>
      <c r="L3501" s="355">
        <f>K3501-110</f>
        <v>32.29</v>
      </c>
      <c r="M3501" s="355"/>
      <c r="N3501" s="355"/>
      <c r="O3501" s="362" t="s">
        <v>2309</v>
      </c>
      <c r="P3501" s="355"/>
      <c r="Q3501" s="355"/>
      <c r="R3501" s="363">
        <f>R3500/90</f>
        <v>113.49</v>
      </c>
      <c r="S3501" s="182">
        <f>86.5*90</f>
        <v>7785</v>
      </c>
      <c r="T3501" s="182">
        <f>S3501-R3500</f>
        <v>-2428.9</v>
      </c>
    </row>
    <row r="3502" spans="5:20">
      <c r="E3502" s="355"/>
      <c r="F3502" s="355"/>
      <c r="G3502" s="355"/>
      <c r="H3502" s="361" t="s">
        <v>2568</v>
      </c>
      <c r="I3502" s="355"/>
      <c r="J3502" s="355"/>
      <c r="K3502" s="355"/>
      <c r="L3502" s="355">
        <f>K3500-13</f>
        <v>12793.4</v>
      </c>
      <c r="M3502" s="355"/>
      <c r="N3502" s="355"/>
      <c r="O3502" s="361" t="s">
        <v>2568</v>
      </c>
      <c r="P3502" s="355"/>
      <c r="Q3502" s="355"/>
      <c r="R3502" s="355"/>
    </row>
    <row r="3503" spans="5:20">
      <c r="E3503" s="355"/>
      <c r="F3503" s="355">
        <v>1</v>
      </c>
      <c r="G3503" s="355" t="s">
        <v>1337</v>
      </c>
      <c r="H3503" s="364" t="s">
        <v>2630</v>
      </c>
      <c r="I3503" s="355">
        <f>I2866</f>
        <v>817</v>
      </c>
      <c r="J3503" s="355" t="s">
        <v>1337</v>
      </c>
      <c r="K3503" s="355">
        <f>F3503*I3503</f>
        <v>817</v>
      </c>
      <c r="L3503" s="355"/>
      <c r="M3503" s="355">
        <v>1</v>
      </c>
      <c r="N3503" s="355" t="s">
        <v>1337</v>
      </c>
      <c r="O3503" s="364" t="s">
        <v>2630</v>
      </c>
      <c r="P3503" s="355">
        <f>I3503</f>
        <v>817</v>
      </c>
      <c r="Q3503" s="355" t="s">
        <v>1337</v>
      </c>
      <c r="R3503" s="355">
        <f>M3503*P3503</f>
        <v>817</v>
      </c>
    </row>
    <row r="3504" spans="5:20">
      <c r="E3504" s="355"/>
      <c r="F3504" s="355">
        <v>2</v>
      </c>
      <c r="G3504" s="355" t="s">
        <v>1337</v>
      </c>
      <c r="H3504" s="355" t="s">
        <v>2691</v>
      </c>
      <c r="I3504" s="355">
        <f>I2867</f>
        <v>712</v>
      </c>
      <c r="J3504" s="355" t="s">
        <v>1337</v>
      </c>
      <c r="K3504" s="355">
        <f>F3504*I3504</f>
        <v>1424</v>
      </c>
      <c r="L3504" s="355"/>
      <c r="M3504" s="355">
        <v>2</v>
      </c>
      <c r="N3504" s="355" t="s">
        <v>1337</v>
      </c>
      <c r="O3504" s="355" t="s">
        <v>2691</v>
      </c>
      <c r="P3504" s="355">
        <f>I3504</f>
        <v>712</v>
      </c>
      <c r="Q3504" s="355" t="s">
        <v>1337</v>
      </c>
      <c r="R3504" s="355">
        <f>M3504*P3504</f>
        <v>1424</v>
      </c>
    </row>
    <row r="3505" spans="5:18">
      <c r="E3505" s="355"/>
      <c r="F3505" s="355">
        <v>2</v>
      </c>
      <c r="G3505" s="355" t="s">
        <v>1337</v>
      </c>
      <c r="H3505" s="355" t="s">
        <v>2510</v>
      </c>
      <c r="I3505" s="355">
        <f>I2868</f>
        <v>708</v>
      </c>
      <c r="J3505" s="355" t="s">
        <v>1337</v>
      </c>
      <c r="K3505" s="355">
        <f>F3505*I3505</f>
        <v>1416</v>
      </c>
      <c r="L3505" s="355"/>
      <c r="M3505" s="355">
        <v>2</v>
      </c>
      <c r="N3505" s="355" t="s">
        <v>1337</v>
      </c>
      <c r="O3505" s="355" t="s">
        <v>2510</v>
      </c>
      <c r="P3505" s="355">
        <f>I3505</f>
        <v>708</v>
      </c>
      <c r="Q3505" s="355" t="s">
        <v>1337</v>
      </c>
      <c r="R3505" s="355">
        <f>M3505*P3505</f>
        <v>1416</v>
      </c>
    </row>
    <row r="3506" spans="5:18">
      <c r="E3506" s="355"/>
      <c r="F3506" s="355">
        <v>3</v>
      </c>
      <c r="G3506" s="355" t="s">
        <v>1337</v>
      </c>
      <c r="H3506" s="355" t="s">
        <v>2246</v>
      </c>
      <c r="I3506" s="355">
        <f>I2869</f>
        <v>556</v>
      </c>
      <c r="J3506" s="355" t="s">
        <v>1337</v>
      </c>
      <c r="K3506" s="355">
        <f>F3506*I3506</f>
        <v>1668</v>
      </c>
      <c r="L3506" s="355"/>
      <c r="M3506" s="355">
        <v>3</v>
      </c>
      <c r="N3506" s="355" t="s">
        <v>1337</v>
      </c>
      <c r="O3506" s="355" t="s">
        <v>2246</v>
      </c>
      <c r="P3506" s="355">
        <f>I3506</f>
        <v>556</v>
      </c>
      <c r="Q3506" s="355" t="s">
        <v>1337</v>
      </c>
      <c r="R3506" s="355">
        <f>M3506*P3506</f>
        <v>1668</v>
      </c>
    </row>
    <row r="3507" spans="5:18" ht="24.95" customHeight="1">
      <c r="E3507" s="355"/>
      <c r="F3507" s="355"/>
      <c r="G3507" s="355"/>
      <c r="H3507" s="355"/>
      <c r="I3507" s="355"/>
      <c r="J3507" s="355"/>
      <c r="K3507" s="363">
        <f>SUM(K3503:K3506)</f>
        <v>5325</v>
      </c>
      <c r="L3507" s="355"/>
      <c r="M3507" s="355"/>
      <c r="N3507" s="355"/>
      <c r="O3507" s="355"/>
      <c r="P3507" s="355"/>
      <c r="Q3507" s="355"/>
      <c r="R3507" s="363">
        <f>SUM(R3503:R3506)</f>
        <v>5325</v>
      </c>
    </row>
    <row r="3508" spans="5:18" ht="4.5" customHeight="1">
      <c r="E3508" s="355"/>
      <c r="F3508" s="355"/>
      <c r="G3508" s="355"/>
      <c r="H3508" s="355"/>
      <c r="I3508" s="355"/>
      <c r="J3508" s="355"/>
      <c r="K3508" s="355"/>
      <c r="L3508" s="355"/>
      <c r="M3508" s="355"/>
    </row>
    <row r="3509" spans="5:18" ht="4.5" customHeight="1">
      <c r="E3509" s="355"/>
      <c r="F3509" s="355"/>
      <c r="G3509" s="355"/>
      <c r="H3509" s="363" t="s">
        <v>2631</v>
      </c>
      <c r="I3509" s="355"/>
      <c r="J3509" s="355"/>
      <c r="K3509" s="355"/>
      <c r="L3509" s="355"/>
      <c r="M3509" s="355"/>
    </row>
    <row r="3510" spans="5:18" ht="29.25" customHeight="1">
      <c r="E3510" s="355"/>
      <c r="F3510" s="355"/>
      <c r="G3510" s="355"/>
      <c r="H3510" s="353" t="s">
        <v>2221</v>
      </c>
      <c r="I3510" s="355"/>
      <c r="J3510" s="355"/>
      <c r="K3510" s="355"/>
      <c r="L3510" s="355"/>
      <c r="M3510" s="355"/>
    </row>
    <row r="3511" spans="5:18" ht="18" customHeight="1">
      <c r="E3511" s="355"/>
      <c r="F3511" s="355"/>
      <c r="G3511" s="355"/>
      <c r="H3511" s="355"/>
      <c r="I3511" s="355"/>
      <c r="J3511" s="355"/>
      <c r="K3511" s="355"/>
      <c r="L3511" s="355"/>
      <c r="M3511" s="355"/>
    </row>
    <row r="3512" spans="5:18" ht="47.25" customHeight="1">
      <c r="E3512" s="355"/>
      <c r="F3512" s="355"/>
      <c r="G3512" s="355"/>
      <c r="H3512" s="354" t="s">
        <v>3799</v>
      </c>
      <c r="I3512" s="355"/>
      <c r="J3512" s="355"/>
      <c r="K3512" s="355"/>
      <c r="L3512" s="355"/>
      <c r="M3512" s="355"/>
    </row>
    <row r="3513" spans="5:18">
      <c r="E3513" s="355"/>
      <c r="F3513" s="355">
        <v>1</v>
      </c>
      <c r="G3513" s="355" t="s">
        <v>794</v>
      </c>
      <c r="H3513" s="355" t="s">
        <v>4785</v>
      </c>
      <c r="I3513" s="356">
        <v>128</v>
      </c>
      <c r="J3513" s="355" t="s">
        <v>794</v>
      </c>
      <c r="K3513" s="360">
        <f>F3513*I3513</f>
        <v>128</v>
      </c>
      <c r="L3513" s="355"/>
      <c r="M3513" s="355"/>
    </row>
    <row r="3514" spans="5:18">
      <c r="E3514" s="355"/>
      <c r="F3514" s="355"/>
      <c r="G3514" s="355"/>
      <c r="H3514" s="355" t="s">
        <v>2187</v>
      </c>
      <c r="I3514" s="355"/>
      <c r="J3514" s="355"/>
      <c r="K3514" s="360">
        <v>2</v>
      </c>
      <c r="L3514" s="355"/>
      <c r="M3514" s="355"/>
    </row>
    <row r="3515" spans="5:18">
      <c r="E3515" s="355"/>
      <c r="F3515" s="355"/>
      <c r="G3515" s="355"/>
      <c r="H3515" s="362" t="s">
        <v>3311</v>
      </c>
      <c r="I3515" s="355"/>
      <c r="J3515" s="355"/>
      <c r="K3515" s="362">
        <f>SUM(K3513:K3514)</f>
        <v>130</v>
      </c>
      <c r="L3515" s="355"/>
      <c r="M3515" s="355">
        <f>K3515-123</f>
        <v>7</v>
      </c>
    </row>
    <row r="3516" spans="5:18" ht="9.75" customHeight="1">
      <c r="E3516" s="355"/>
      <c r="F3516" s="355"/>
      <c r="G3516" s="355"/>
      <c r="H3516" s="355"/>
      <c r="I3516" s="355"/>
      <c r="J3516" s="355"/>
      <c r="K3516" s="355"/>
      <c r="L3516" s="355"/>
      <c r="M3516" s="355"/>
    </row>
    <row r="3517" spans="5:18">
      <c r="E3517" s="355"/>
      <c r="F3517" s="355"/>
      <c r="G3517" s="355"/>
      <c r="H3517" s="363" t="s">
        <v>3312</v>
      </c>
      <c r="I3517" s="355"/>
      <c r="J3517" s="355"/>
      <c r="K3517" s="355"/>
      <c r="L3517" s="355"/>
      <c r="M3517" s="355"/>
    </row>
    <row r="3518" spans="5:18">
      <c r="E3518" s="355"/>
      <c r="F3518" s="355"/>
      <c r="G3518" s="355"/>
      <c r="H3518" s="363" t="s">
        <v>3313</v>
      </c>
      <c r="I3518" s="355"/>
      <c r="J3518" s="355"/>
      <c r="K3518" s="355"/>
      <c r="L3518" s="355"/>
      <c r="M3518" s="355"/>
    </row>
    <row r="3519" spans="5:18">
      <c r="E3519" s="355"/>
      <c r="F3519" s="355"/>
      <c r="G3519" s="355"/>
      <c r="H3519" s="355"/>
      <c r="I3519" s="355"/>
      <c r="J3519" s="355"/>
      <c r="K3519" s="355"/>
      <c r="L3519" s="355"/>
      <c r="M3519" s="355"/>
    </row>
    <row r="3520" spans="5:18" ht="49.5" customHeight="1">
      <c r="E3520" s="355"/>
      <c r="F3520" s="355"/>
      <c r="G3520" s="355"/>
      <c r="H3520" s="376" t="s">
        <v>3314</v>
      </c>
      <c r="I3520" s="355"/>
      <c r="J3520" s="355"/>
      <c r="K3520" s="355"/>
      <c r="L3520" s="355"/>
      <c r="M3520" s="355"/>
    </row>
    <row r="3521" spans="5:13">
      <c r="E3521" s="355"/>
      <c r="F3521" s="355">
        <v>1</v>
      </c>
      <c r="G3521" s="355" t="s">
        <v>794</v>
      </c>
      <c r="H3521" s="355" t="s">
        <v>4786</v>
      </c>
      <c r="I3521" s="356">
        <v>51.4</v>
      </c>
      <c r="J3521" s="355" t="s">
        <v>337</v>
      </c>
      <c r="K3521" s="355">
        <f>F3522*I3521</f>
        <v>167.05</v>
      </c>
      <c r="L3521" s="355"/>
      <c r="M3521" s="355"/>
    </row>
    <row r="3522" spans="5:13">
      <c r="E3522" s="355"/>
      <c r="F3522" s="355">
        <v>3.25</v>
      </c>
      <c r="G3522" s="355" t="s">
        <v>3315</v>
      </c>
      <c r="H3522" s="355"/>
      <c r="I3522" s="355"/>
      <c r="J3522" s="355"/>
      <c r="K3522" s="355"/>
      <c r="L3522" s="355"/>
      <c r="M3522" s="355"/>
    </row>
    <row r="3523" spans="5:13">
      <c r="E3523" s="355"/>
      <c r="F3523" s="355"/>
      <c r="G3523" s="355"/>
      <c r="H3523" s="355" t="s">
        <v>2187</v>
      </c>
      <c r="I3523" s="355"/>
      <c r="J3523" s="355"/>
      <c r="K3523" s="355">
        <v>2.72</v>
      </c>
      <c r="L3523" s="355"/>
      <c r="M3523" s="355"/>
    </row>
    <row r="3524" spans="5:13">
      <c r="E3524" s="355"/>
      <c r="F3524" s="355"/>
      <c r="G3524" s="355"/>
      <c r="H3524" s="362" t="s">
        <v>2686</v>
      </c>
      <c r="I3524" s="355"/>
      <c r="J3524" s="355"/>
      <c r="K3524" s="363">
        <f>SUM(K3521:K3523)</f>
        <v>169.77</v>
      </c>
      <c r="L3524" s="355">
        <f>K3524-145</f>
        <v>24.77</v>
      </c>
      <c r="M3524" s="355"/>
    </row>
    <row r="3525" spans="5:13">
      <c r="E3525" s="355"/>
      <c r="F3525" s="355"/>
      <c r="G3525" s="355"/>
      <c r="H3525" s="362"/>
      <c r="I3525" s="355"/>
      <c r="J3525" s="355"/>
      <c r="K3525" s="363"/>
      <c r="L3525" s="355"/>
      <c r="M3525" s="355"/>
    </row>
    <row r="3526" spans="5:13">
      <c r="E3526" s="355"/>
      <c r="F3526" s="355"/>
      <c r="G3526" s="355"/>
      <c r="H3526" s="363" t="s">
        <v>3316</v>
      </c>
      <c r="I3526" s="355"/>
      <c r="J3526" s="355"/>
      <c r="K3526" s="355"/>
      <c r="L3526" s="355"/>
      <c r="M3526" s="355"/>
    </row>
    <row r="3527" spans="5:13">
      <c r="E3527" s="355"/>
      <c r="F3527" s="355"/>
      <c r="G3527" s="355"/>
      <c r="H3527" s="355"/>
      <c r="I3527" s="355"/>
      <c r="J3527" s="355"/>
      <c r="K3527" s="355"/>
      <c r="L3527" s="355"/>
      <c r="M3527" s="355"/>
    </row>
    <row r="3528" spans="5:13" ht="45" customHeight="1">
      <c r="E3528" s="355"/>
      <c r="F3528" s="355"/>
      <c r="G3528" s="355"/>
      <c r="H3528" s="353" t="s">
        <v>3317</v>
      </c>
      <c r="I3528" s="355"/>
      <c r="J3528" s="355"/>
      <c r="K3528" s="355"/>
      <c r="L3528" s="355"/>
      <c r="M3528" s="355"/>
    </row>
    <row r="3529" spans="5:13">
      <c r="E3529" s="355"/>
      <c r="F3529" s="355"/>
      <c r="G3529" s="355"/>
      <c r="H3529" s="355"/>
      <c r="I3529" s="355"/>
      <c r="J3529" s="355"/>
      <c r="K3529" s="355"/>
      <c r="L3529" s="355"/>
      <c r="M3529" s="355"/>
    </row>
    <row r="3530" spans="5:13" ht="135.75" customHeight="1">
      <c r="E3530" s="355"/>
      <c r="F3530" s="355"/>
      <c r="G3530" s="355"/>
      <c r="H3530" s="376" t="s">
        <v>2848</v>
      </c>
      <c r="I3530" s="355"/>
      <c r="J3530" s="355"/>
      <c r="K3530" s="355"/>
      <c r="L3530" s="355"/>
      <c r="M3530" s="355"/>
    </row>
    <row r="3531" spans="5:13">
      <c r="E3531" s="355"/>
      <c r="F3531" s="355"/>
      <c r="G3531" s="355"/>
      <c r="H3531" s="355"/>
      <c r="I3531" s="355"/>
      <c r="J3531" s="355"/>
      <c r="K3531" s="355"/>
      <c r="L3531" s="355"/>
      <c r="M3531" s="355"/>
    </row>
    <row r="3532" spans="5:13" ht="37.5" customHeight="1">
      <c r="E3532" s="355"/>
      <c r="F3532" s="355">
        <v>360</v>
      </c>
      <c r="G3532" s="355" t="s">
        <v>794</v>
      </c>
      <c r="H3532" s="354" t="s">
        <v>3798</v>
      </c>
      <c r="I3532" s="355">
        <f>I3494</f>
        <v>38.299999999999997</v>
      </c>
      <c r="J3532" s="355" t="s">
        <v>794</v>
      </c>
      <c r="K3532" s="355">
        <f>F3532*I3532</f>
        <v>13788</v>
      </c>
      <c r="L3532" s="355"/>
      <c r="M3532" s="355"/>
    </row>
    <row r="3533" spans="5:13" ht="15.75" customHeight="1">
      <c r="E3533" s="355"/>
      <c r="F3533" s="355">
        <v>4</v>
      </c>
      <c r="G3533" s="355" t="s">
        <v>1591</v>
      </c>
      <c r="H3533" s="355" t="s">
        <v>3272</v>
      </c>
      <c r="I3533" s="355">
        <f>I3495</f>
        <v>82.6</v>
      </c>
      <c r="J3533" s="355" t="s">
        <v>1591</v>
      </c>
      <c r="K3533" s="355">
        <f>F3533*I3533</f>
        <v>330.4</v>
      </c>
      <c r="L3533" s="355"/>
      <c r="M3533" s="355"/>
    </row>
    <row r="3534" spans="5:13">
      <c r="E3534" s="355"/>
      <c r="F3534" s="355">
        <v>360</v>
      </c>
      <c r="G3534" s="355" t="s">
        <v>1341</v>
      </c>
      <c r="H3534" s="355" t="s">
        <v>2626</v>
      </c>
      <c r="I3534" s="355">
        <f>I3496</f>
        <v>0.53</v>
      </c>
      <c r="J3534" s="355" t="s">
        <v>1341</v>
      </c>
      <c r="K3534" s="355">
        <f>F3534*I3534</f>
        <v>190.8</v>
      </c>
      <c r="L3534" s="355"/>
      <c r="M3534" s="355"/>
    </row>
    <row r="3535" spans="5:13">
      <c r="E3535" s="355"/>
      <c r="F3535" s="355">
        <v>1.5</v>
      </c>
      <c r="G3535" s="355" t="s">
        <v>1591</v>
      </c>
      <c r="H3535" s="355" t="s">
        <v>2627</v>
      </c>
      <c r="I3535" s="355">
        <f>I3497</f>
        <v>82.6</v>
      </c>
      <c r="J3535" s="355" t="s">
        <v>1591</v>
      </c>
      <c r="K3535" s="355">
        <f>F3535*I3535</f>
        <v>123.9</v>
      </c>
      <c r="L3535" s="355"/>
      <c r="M3535" s="355"/>
    </row>
    <row r="3536" spans="5:13">
      <c r="E3536" s="355"/>
      <c r="F3536" s="355"/>
      <c r="G3536" s="355"/>
      <c r="H3536" s="355" t="s">
        <v>4577</v>
      </c>
      <c r="I3536" s="355"/>
      <c r="J3536" s="355"/>
      <c r="K3536" s="355">
        <f>K3507*1.5</f>
        <v>7987.5</v>
      </c>
      <c r="L3536" s="355"/>
      <c r="M3536" s="355"/>
    </row>
    <row r="3537" spans="5:13">
      <c r="E3537" s="355"/>
      <c r="F3537" s="355"/>
      <c r="G3537" s="355"/>
      <c r="H3537" s="355" t="s">
        <v>2628</v>
      </c>
      <c r="I3537" s="355"/>
      <c r="J3537" s="355"/>
      <c r="K3537" s="355">
        <v>118</v>
      </c>
      <c r="L3537" s="355"/>
      <c r="M3537" s="355"/>
    </row>
    <row r="3538" spans="5:13">
      <c r="E3538" s="355"/>
      <c r="F3538" s="355"/>
      <c r="G3538" s="355"/>
      <c r="H3538" s="360" t="s">
        <v>2629</v>
      </c>
      <c r="I3538" s="355"/>
      <c r="J3538" s="355"/>
      <c r="K3538" s="355">
        <f>SUM(K3532:K3537)</f>
        <v>22538.6</v>
      </c>
      <c r="L3538" s="355"/>
      <c r="M3538" s="355"/>
    </row>
    <row r="3539" spans="5:13">
      <c r="E3539" s="355"/>
      <c r="F3539" s="355"/>
      <c r="G3539" s="355"/>
      <c r="H3539" s="362" t="s">
        <v>2309</v>
      </c>
      <c r="I3539" s="355"/>
      <c r="J3539" s="355"/>
      <c r="K3539" s="363">
        <f>K3538/90</f>
        <v>250.43</v>
      </c>
      <c r="L3539" s="355">
        <f>197*90</f>
        <v>17730</v>
      </c>
      <c r="M3539" s="355"/>
    </row>
    <row r="3540" spans="5:13" ht="20.25" customHeight="1">
      <c r="E3540" s="355"/>
      <c r="F3540" s="355"/>
      <c r="G3540" s="355"/>
      <c r="H3540" s="355"/>
      <c r="I3540" s="355"/>
      <c r="J3540" s="355"/>
      <c r="K3540" s="355"/>
      <c r="L3540" s="355">
        <f>L3539-K3538</f>
        <v>-4808.6000000000004</v>
      </c>
      <c r="M3540" s="355"/>
    </row>
    <row r="3541" spans="5:13">
      <c r="E3541" s="355"/>
      <c r="F3541" s="355"/>
      <c r="G3541" s="355"/>
      <c r="H3541" s="363" t="s">
        <v>2850</v>
      </c>
      <c r="I3541" s="355"/>
      <c r="J3541" s="355"/>
      <c r="K3541" s="355"/>
      <c r="L3541" s="355"/>
      <c r="M3541" s="355"/>
    </row>
    <row r="3542" spans="5:13" ht="32.25" customHeight="1">
      <c r="E3542" s="355"/>
      <c r="F3542" s="355"/>
      <c r="G3542" s="355"/>
      <c r="H3542" s="353" t="s">
        <v>2291</v>
      </c>
      <c r="I3542" s="355"/>
      <c r="J3542" s="355"/>
      <c r="K3542" s="355"/>
      <c r="L3542" s="355"/>
      <c r="M3542" s="355"/>
    </row>
    <row r="3543" spans="5:13">
      <c r="E3543" s="355"/>
      <c r="F3543" s="355"/>
      <c r="G3543" s="355"/>
      <c r="H3543" s="355"/>
      <c r="I3543" s="355"/>
      <c r="J3543" s="355"/>
      <c r="K3543" s="355"/>
      <c r="L3543" s="355"/>
      <c r="M3543" s="355"/>
    </row>
    <row r="3544" spans="5:13" ht="47.25" customHeight="1">
      <c r="E3544" s="355"/>
      <c r="F3544" s="355"/>
      <c r="G3544" s="355"/>
      <c r="H3544" s="376" t="s">
        <v>2222</v>
      </c>
      <c r="I3544" s="355"/>
      <c r="J3544" s="355"/>
      <c r="K3544" s="355"/>
      <c r="L3544" s="355"/>
      <c r="M3544" s="355"/>
    </row>
    <row r="3545" spans="5:13">
      <c r="E3545" s="355"/>
      <c r="F3545" s="355">
        <v>1</v>
      </c>
      <c r="G3545" s="355" t="s">
        <v>794</v>
      </c>
      <c r="H3545" s="355" t="s">
        <v>4787</v>
      </c>
      <c r="I3545" s="425">
        <v>163</v>
      </c>
      <c r="J3545" s="355" t="s">
        <v>794</v>
      </c>
      <c r="K3545" s="360">
        <f>F3545*I3545</f>
        <v>163</v>
      </c>
      <c r="L3545" s="355"/>
      <c r="M3545" s="355"/>
    </row>
    <row r="3546" spans="5:13">
      <c r="E3546" s="355"/>
      <c r="F3546" s="355"/>
      <c r="G3546" s="355"/>
      <c r="H3546" s="355" t="s">
        <v>2187</v>
      </c>
      <c r="I3546" s="355"/>
      <c r="J3546" s="355"/>
      <c r="K3546" s="360">
        <v>2</v>
      </c>
      <c r="L3546" s="355"/>
      <c r="M3546" s="355"/>
    </row>
    <row r="3547" spans="5:13">
      <c r="E3547" s="355"/>
      <c r="F3547" s="355"/>
      <c r="G3547" s="355"/>
      <c r="H3547" s="362" t="s">
        <v>3311</v>
      </c>
      <c r="I3547" s="355"/>
      <c r="J3547" s="355"/>
      <c r="K3547" s="362">
        <f>SUM(K3545:K3546)</f>
        <v>165</v>
      </c>
      <c r="L3547" s="355"/>
      <c r="M3547" s="355">
        <f>K3547-154</f>
        <v>11</v>
      </c>
    </row>
    <row r="3548" spans="5:13" ht="7.5" customHeight="1">
      <c r="E3548" s="355"/>
      <c r="F3548" s="355"/>
      <c r="G3548" s="355"/>
      <c r="H3548" s="355"/>
      <c r="I3548" s="355"/>
      <c r="J3548" s="355"/>
      <c r="K3548" s="355"/>
      <c r="L3548" s="355"/>
      <c r="M3548" s="355"/>
    </row>
    <row r="3549" spans="5:13">
      <c r="E3549" s="355"/>
      <c r="F3549" s="355"/>
      <c r="G3549" s="355"/>
      <c r="H3549" s="363" t="s">
        <v>2223</v>
      </c>
      <c r="I3549" s="355"/>
      <c r="J3549" s="355"/>
      <c r="K3549" s="355"/>
      <c r="L3549" s="355"/>
      <c r="M3549" s="355"/>
    </row>
    <row r="3550" spans="5:13">
      <c r="E3550" s="355"/>
      <c r="F3550" s="355"/>
      <c r="G3550" s="355"/>
      <c r="H3550" s="363" t="s">
        <v>3313</v>
      </c>
      <c r="I3550" s="355"/>
      <c r="J3550" s="355"/>
      <c r="K3550" s="355"/>
      <c r="L3550" s="355"/>
      <c r="M3550" s="355"/>
    </row>
    <row r="3551" spans="5:13">
      <c r="E3551" s="355"/>
      <c r="F3551" s="355"/>
      <c r="G3551" s="355"/>
      <c r="H3551" s="355"/>
      <c r="I3551" s="355"/>
      <c r="J3551" s="355"/>
      <c r="K3551" s="355"/>
      <c r="L3551" s="355"/>
      <c r="M3551" s="355"/>
    </row>
    <row r="3552" spans="5:13" ht="47.25">
      <c r="E3552" s="355"/>
      <c r="F3552" s="355"/>
      <c r="G3552" s="355"/>
      <c r="H3552" s="376" t="s">
        <v>3314</v>
      </c>
      <c r="I3552" s="355"/>
      <c r="J3552" s="355"/>
      <c r="K3552" s="355"/>
      <c r="L3552" s="355"/>
      <c r="M3552" s="355"/>
    </row>
    <row r="3553" spans="5:15">
      <c r="E3553" s="355"/>
      <c r="F3553" s="355">
        <v>1</v>
      </c>
      <c r="G3553" s="355" t="s">
        <v>794</v>
      </c>
      <c r="H3553" s="355" t="str">
        <f>H3521</f>
        <v>40 x 40 x 6 mm MS angle (P-126  part -G)</v>
      </c>
      <c r="I3553" s="355">
        <f>I3521</f>
        <v>51.4</v>
      </c>
      <c r="J3553" s="355" t="s">
        <v>337</v>
      </c>
      <c r="K3553" s="355">
        <f>F3554*I3553</f>
        <v>167.05</v>
      </c>
      <c r="L3553" s="355"/>
      <c r="M3553" s="355"/>
    </row>
    <row r="3554" spans="5:15">
      <c r="E3554" s="355"/>
      <c r="F3554" s="355">
        <v>3.25</v>
      </c>
      <c r="G3554" s="355" t="s">
        <v>3315</v>
      </c>
      <c r="H3554" s="355"/>
      <c r="I3554" s="355"/>
      <c r="J3554" s="355"/>
      <c r="K3554" s="355"/>
      <c r="L3554" s="355"/>
      <c r="M3554" s="355"/>
    </row>
    <row r="3555" spans="5:15">
      <c r="E3555" s="355"/>
      <c r="F3555" s="355"/>
      <c r="G3555" s="355"/>
      <c r="H3555" s="355" t="s">
        <v>2187</v>
      </c>
      <c r="I3555" s="355"/>
      <c r="J3555" s="355"/>
      <c r="K3555" s="355">
        <v>2.72</v>
      </c>
      <c r="L3555" s="355"/>
      <c r="M3555" s="355"/>
    </row>
    <row r="3556" spans="5:15">
      <c r="E3556" s="355"/>
      <c r="F3556" s="355"/>
      <c r="G3556" s="355"/>
      <c r="H3556" s="362" t="s">
        <v>2686</v>
      </c>
      <c r="I3556" s="355"/>
      <c r="J3556" s="355"/>
      <c r="K3556" s="363">
        <f>SUM(K3553:K3555)</f>
        <v>169.77</v>
      </c>
      <c r="L3556" s="355">
        <f>K3556-146</f>
        <v>23.77</v>
      </c>
      <c r="M3556" s="355">
        <f>147.6-148.6</f>
        <v>-1</v>
      </c>
    </row>
    <row r="3557" spans="5:15">
      <c r="E3557" s="355"/>
      <c r="F3557" s="355"/>
      <c r="G3557" s="355"/>
      <c r="H3557" s="355"/>
      <c r="I3557" s="355"/>
      <c r="J3557" s="355"/>
      <c r="K3557" s="355"/>
      <c r="L3557" s="355"/>
      <c r="M3557" s="355"/>
    </row>
    <row r="3558" spans="5:15">
      <c r="E3558" s="355"/>
      <c r="F3558" s="355"/>
      <c r="G3558" s="355"/>
      <c r="H3558" s="363" t="s">
        <v>2224</v>
      </c>
      <c r="I3558" s="355"/>
      <c r="J3558" s="355"/>
      <c r="K3558" s="355"/>
      <c r="L3558" s="355"/>
      <c r="M3558" s="355"/>
    </row>
    <row r="3559" spans="5:15">
      <c r="E3559" s="355"/>
      <c r="F3559" s="355"/>
      <c r="G3559" s="355"/>
      <c r="H3559" s="355"/>
      <c r="I3559" s="355"/>
      <c r="J3559" s="355"/>
      <c r="K3559" s="355"/>
      <c r="L3559" s="355"/>
      <c r="M3559" s="355"/>
    </row>
    <row r="3560" spans="5:15" ht="80.25" customHeight="1">
      <c r="E3560" s="355"/>
      <c r="F3560" s="355"/>
      <c r="G3560" s="355"/>
      <c r="H3560" s="376" t="s">
        <v>3328</v>
      </c>
      <c r="I3560" s="355"/>
      <c r="J3560" s="355"/>
      <c r="K3560" s="355"/>
      <c r="L3560" s="355"/>
      <c r="M3560" s="355"/>
    </row>
    <row r="3561" spans="5:15" ht="15.75" customHeight="1">
      <c r="E3561" s="355"/>
      <c r="F3561" s="355">
        <v>30.42</v>
      </c>
      <c r="G3561" s="355" t="s">
        <v>2070</v>
      </c>
      <c r="H3561" s="355" t="s">
        <v>4788</v>
      </c>
      <c r="I3561" s="434">
        <f>96.6+96.6+(33.6/3)</f>
        <v>204.4</v>
      </c>
      <c r="J3561" s="355" t="s">
        <v>2070</v>
      </c>
      <c r="K3561" s="355">
        <f>F3561*I3561</f>
        <v>6217.85</v>
      </c>
      <c r="L3561" s="355">
        <f>61.1*2</f>
        <v>122.2</v>
      </c>
      <c r="M3561" s="355">
        <f>21.4/3</f>
        <v>7.13</v>
      </c>
      <c r="N3561" s="182">
        <f>73.1+73.1</f>
        <v>146.19999999999999</v>
      </c>
      <c r="O3561" s="182">
        <f>M3561+N3561</f>
        <v>153.33000000000001</v>
      </c>
    </row>
    <row r="3562" spans="5:15" ht="15.75" customHeight="1">
      <c r="E3562" s="355"/>
      <c r="F3562" s="355">
        <v>6.1</v>
      </c>
      <c r="G3562" s="355" t="s">
        <v>2070</v>
      </c>
      <c r="H3562" s="1" t="s">
        <v>4158</v>
      </c>
      <c r="I3562" s="355">
        <f>Data!Y16</f>
        <v>1280</v>
      </c>
      <c r="J3562" s="355" t="s">
        <v>2070</v>
      </c>
      <c r="K3562" s="355">
        <f>F3562*I3562</f>
        <v>7808</v>
      </c>
      <c r="L3562" s="355">
        <f>L3561+M3561</f>
        <v>129.33000000000001</v>
      </c>
      <c r="M3562" s="355"/>
      <c r="N3562" s="182">
        <f>25.5/3</f>
        <v>8.5</v>
      </c>
    </row>
    <row r="3563" spans="5:15" ht="15.75" customHeight="1">
      <c r="E3563" s="355"/>
      <c r="F3563" s="355">
        <v>750</v>
      </c>
      <c r="G3563" s="355" t="s">
        <v>1337</v>
      </c>
      <c r="H3563" s="355" t="s">
        <v>4539</v>
      </c>
      <c r="I3563" s="355">
        <f>Data!Y18</f>
        <v>5570</v>
      </c>
      <c r="J3563" s="355" t="s">
        <v>1424</v>
      </c>
      <c r="K3563" s="355">
        <f>F3563*I3563/1000</f>
        <v>4177.5</v>
      </c>
      <c r="L3563" s="355"/>
      <c r="M3563" s="355"/>
      <c r="N3563" s="182">
        <f>SUM(N3561:N3562)</f>
        <v>154.69999999999999</v>
      </c>
    </row>
    <row r="3564" spans="5:15" ht="15.75" customHeight="1">
      <c r="E3564" s="355"/>
      <c r="F3564" s="355"/>
      <c r="G3564" s="355"/>
      <c r="H3564" s="355" t="s">
        <v>878</v>
      </c>
      <c r="I3564" s="355"/>
      <c r="J3564" s="355"/>
      <c r="K3564" s="355">
        <f>K3573</f>
        <v>3753</v>
      </c>
      <c r="L3564" s="355"/>
      <c r="M3564" s="355"/>
    </row>
    <row r="3565" spans="5:15" ht="15.75" customHeight="1">
      <c r="E3565" s="355"/>
      <c r="F3565" s="355"/>
      <c r="G3565" s="355"/>
      <c r="H3565" s="355" t="s">
        <v>2187</v>
      </c>
      <c r="I3565" s="355"/>
      <c r="J3565" s="355"/>
      <c r="K3565" s="355">
        <f>138-2.7</f>
        <v>135.30000000000001</v>
      </c>
      <c r="L3565" s="355">
        <f>112.2-K3565</f>
        <v>-23.1</v>
      </c>
      <c r="M3565" s="355"/>
    </row>
    <row r="3566" spans="5:15" ht="15.75" customHeight="1">
      <c r="E3566" s="355"/>
      <c r="F3566" s="355"/>
      <c r="G3566" s="355"/>
      <c r="H3566" s="360" t="s">
        <v>2629</v>
      </c>
      <c r="I3566" s="355"/>
      <c r="J3566" s="355"/>
      <c r="K3566" s="355">
        <f>SUM(K3561:K3565)</f>
        <v>22091.65</v>
      </c>
      <c r="L3566" s="355">
        <f>K3566-14460</f>
        <v>7631.65</v>
      </c>
      <c r="M3566" s="355"/>
    </row>
    <row r="3567" spans="5:15" ht="37.5" customHeight="1">
      <c r="E3567" s="355"/>
      <c r="F3567" s="355"/>
      <c r="G3567" s="355"/>
      <c r="H3567" s="362" t="s">
        <v>2309</v>
      </c>
      <c r="I3567" s="355"/>
      <c r="J3567" s="355"/>
      <c r="K3567" s="363">
        <f>K3566/90</f>
        <v>245.46</v>
      </c>
      <c r="L3567" s="355"/>
      <c r="M3567" s="355">
        <f>128*90</f>
        <v>11520</v>
      </c>
    </row>
    <row r="3568" spans="5:15" ht="25.5" customHeight="1">
      <c r="E3568" s="355"/>
      <c r="F3568" s="355"/>
      <c r="G3568" s="355"/>
      <c r="H3568" s="355"/>
      <c r="I3568" s="355"/>
      <c r="J3568" s="355"/>
      <c r="K3568" s="355"/>
      <c r="L3568" s="355"/>
      <c r="M3568" s="355">
        <f>M3567-K3566</f>
        <v>-10571.65</v>
      </c>
    </row>
    <row r="3569" spans="5:13" ht="15.75" customHeight="1">
      <c r="E3569" s="355"/>
      <c r="F3569" s="355"/>
      <c r="G3569" s="355"/>
      <c r="H3569" s="361" t="s">
        <v>138</v>
      </c>
      <c r="K3569" s="355"/>
      <c r="L3569" s="355"/>
      <c r="M3569" s="355"/>
    </row>
    <row r="3570" spans="5:13" ht="15.75" customHeight="1">
      <c r="E3570" s="355"/>
      <c r="F3570" s="355">
        <v>1</v>
      </c>
      <c r="G3570" s="355" t="s">
        <v>1337</v>
      </c>
      <c r="H3570" s="364" t="s">
        <v>2630</v>
      </c>
      <c r="I3570" s="183">
        <f>I3503</f>
        <v>817</v>
      </c>
      <c r="J3570" s="355" t="s">
        <v>1337</v>
      </c>
      <c r="K3570" s="355">
        <f>F3570*I3570</f>
        <v>817</v>
      </c>
      <c r="L3570" s="355"/>
      <c r="M3570" s="355"/>
    </row>
    <row r="3571" spans="5:13" ht="15.75" customHeight="1">
      <c r="E3571" s="355"/>
      <c r="F3571" s="355">
        <v>1</v>
      </c>
      <c r="G3571" s="355" t="s">
        <v>1337</v>
      </c>
      <c r="H3571" s="355" t="s">
        <v>2691</v>
      </c>
      <c r="I3571" s="183">
        <f>I3504</f>
        <v>712</v>
      </c>
      <c r="J3571" s="355" t="s">
        <v>1337</v>
      </c>
      <c r="K3571" s="355">
        <f>F3571*I3571</f>
        <v>712</v>
      </c>
      <c r="L3571" s="355"/>
      <c r="M3571" s="355"/>
    </row>
    <row r="3572" spans="5:13" ht="15.75" customHeight="1">
      <c r="E3572" s="355"/>
      <c r="F3572" s="355">
        <v>4</v>
      </c>
      <c r="G3572" s="355" t="s">
        <v>1337</v>
      </c>
      <c r="H3572" s="355" t="s">
        <v>2246</v>
      </c>
      <c r="I3572" s="355">
        <f>I3506</f>
        <v>556</v>
      </c>
      <c r="J3572" s="355" t="s">
        <v>1337</v>
      </c>
      <c r="K3572" s="355">
        <f>F3572*I3572</f>
        <v>2224</v>
      </c>
      <c r="L3572" s="355"/>
      <c r="M3572" s="355"/>
    </row>
    <row r="3573" spans="5:13" ht="15.75" customHeight="1">
      <c r="E3573" s="355"/>
      <c r="F3573" s="355"/>
      <c r="G3573" s="355"/>
      <c r="H3573" s="355"/>
      <c r="I3573" s="355"/>
      <c r="J3573" s="355"/>
      <c r="K3573" s="363">
        <f>SUM(K3570:K3572)</f>
        <v>3753</v>
      </c>
      <c r="L3573" s="355"/>
      <c r="M3573" s="355"/>
    </row>
    <row r="3574" spans="5:13">
      <c r="E3574" s="355"/>
      <c r="F3574" s="355"/>
      <c r="G3574" s="355"/>
      <c r="H3574" s="363" t="s">
        <v>2292</v>
      </c>
      <c r="I3574" s="355"/>
      <c r="J3574" s="355"/>
      <c r="K3574" s="355"/>
      <c r="L3574" s="355"/>
      <c r="M3574" s="355"/>
    </row>
    <row r="3575" spans="5:13">
      <c r="E3575" s="355"/>
      <c r="F3575" s="355"/>
      <c r="G3575" s="355"/>
      <c r="H3575" s="355"/>
      <c r="I3575" s="355"/>
      <c r="J3575" s="355"/>
      <c r="K3575" s="355"/>
      <c r="L3575" s="355"/>
      <c r="M3575" s="355"/>
    </row>
    <row r="3576" spans="5:13" ht="29.25" customHeight="1">
      <c r="E3576" s="355"/>
      <c r="F3576" s="355"/>
      <c r="G3576" s="355"/>
      <c r="H3576" s="363" t="s">
        <v>3254</v>
      </c>
      <c r="I3576" s="355"/>
      <c r="J3576" s="355"/>
      <c r="K3576" s="355"/>
      <c r="L3576" s="355"/>
      <c r="M3576" s="355"/>
    </row>
    <row r="3577" spans="5:13" ht="75" customHeight="1">
      <c r="E3577" s="355"/>
      <c r="F3577" s="355"/>
      <c r="G3577" s="355"/>
      <c r="H3577" s="376" t="s">
        <v>2674</v>
      </c>
      <c r="I3577" s="355"/>
      <c r="J3577" s="355"/>
      <c r="K3577" s="355"/>
      <c r="L3577" s="355"/>
      <c r="M3577" s="355"/>
    </row>
    <row r="3578" spans="5:13" ht="26.25" customHeight="1">
      <c r="E3578" s="355"/>
      <c r="F3578" s="355">
        <v>1</v>
      </c>
      <c r="G3578" s="355" t="s">
        <v>2561</v>
      </c>
      <c r="H3578" s="355" t="s">
        <v>4789</v>
      </c>
      <c r="I3578" s="356">
        <v>59.6</v>
      </c>
      <c r="J3578" s="355" t="s">
        <v>2561</v>
      </c>
      <c r="K3578" s="355">
        <f>F3578*I3578</f>
        <v>59.6</v>
      </c>
      <c r="L3578" s="355"/>
      <c r="M3578" s="355"/>
    </row>
    <row r="3579" spans="5:13" ht="26.25" customHeight="1">
      <c r="E3579" s="355"/>
      <c r="F3579" s="355">
        <v>300</v>
      </c>
      <c r="G3579" s="355" t="s">
        <v>1337</v>
      </c>
      <c r="H3579" s="355" t="s">
        <v>4790</v>
      </c>
      <c r="I3579" s="356">
        <v>68.8</v>
      </c>
      <c r="J3579" s="355" t="s">
        <v>2561</v>
      </c>
      <c r="K3579" s="355">
        <f>F3579*(I3579/144)</f>
        <v>143.33000000000001</v>
      </c>
      <c r="L3579" s="355"/>
      <c r="M3579" s="355"/>
    </row>
    <row r="3580" spans="5:13" ht="26.25" customHeight="1">
      <c r="E3580" s="355"/>
      <c r="F3580" s="355">
        <v>300</v>
      </c>
      <c r="G3580" s="355" t="s">
        <v>1337</v>
      </c>
      <c r="H3580" s="355" t="s">
        <v>4791</v>
      </c>
      <c r="I3580" s="356">
        <v>287</v>
      </c>
      <c r="J3580" s="355" t="s">
        <v>1424</v>
      </c>
      <c r="K3580" s="355">
        <f>F3580*(I3580/1000)</f>
        <v>86.1</v>
      </c>
      <c r="L3580" s="355"/>
      <c r="M3580" s="355"/>
    </row>
    <row r="3581" spans="5:13" ht="26.25" customHeight="1">
      <c r="E3581" s="355"/>
      <c r="F3581" s="355"/>
      <c r="G3581" s="355"/>
      <c r="H3581" s="355" t="s">
        <v>2675</v>
      </c>
      <c r="I3581" s="355"/>
      <c r="J3581" s="355"/>
      <c r="K3581" s="355">
        <v>6.72</v>
      </c>
      <c r="L3581" s="355"/>
      <c r="M3581" s="355"/>
    </row>
    <row r="3582" spans="5:13" ht="26.25" customHeight="1">
      <c r="E3582" s="355"/>
      <c r="F3582" s="355"/>
      <c r="G3582" s="355"/>
      <c r="H3582" s="355" t="s">
        <v>878</v>
      </c>
      <c r="I3582" s="355"/>
      <c r="J3582" s="355"/>
      <c r="K3582" s="355">
        <f>K3592</f>
        <v>13266</v>
      </c>
      <c r="L3582" s="355"/>
      <c r="M3582" s="355"/>
    </row>
    <row r="3583" spans="5:13" ht="26.25" customHeight="1">
      <c r="E3583" s="355"/>
      <c r="F3583" s="355"/>
      <c r="G3583" s="355"/>
      <c r="H3583" s="360" t="s">
        <v>2676</v>
      </c>
      <c r="I3583" s="355"/>
      <c r="J3583" s="355"/>
      <c r="K3583" s="361">
        <f>SUM(K3578:K3582)</f>
        <v>13561.75</v>
      </c>
      <c r="L3583" s="355"/>
      <c r="M3583" s="355"/>
    </row>
    <row r="3584" spans="5:13" ht="26.25" customHeight="1">
      <c r="E3584" s="355"/>
      <c r="F3584" s="355"/>
      <c r="G3584" s="355"/>
      <c r="H3584" s="362" t="s">
        <v>2686</v>
      </c>
      <c r="I3584" s="355"/>
      <c r="J3584" s="355"/>
      <c r="K3584" s="363">
        <f>K3583/90</f>
        <v>150.69</v>
      </c>
      <c r="L3584" s="355">
        <f>100*90</f>
        <v>9000</v>
      </c>
      <c r="M3584" s="355">
        <f>L3584-K3583</f>
        <v>-4561.75</v>
      </c>
    </row>
    <row r="3585" spans="5:13">
      <c r="E3585" s="355"/>
      <c r="F3585" s="355"/>
      <c r="G3585" s="355"/>
      <c r="H3585" s="355"/>
      <c r="I3585" s="355"/>
      <c r="J3585" s="355"/>
      <c r="K3585" s="355"/>
      <c r="L3585" s="355"/>
      <c r="M3585" s="355"/>
    </row>
    <row r="3586" spans="5:13" ht="24.95" customHeight="1">
      <c r="E3586" s="355"/>
      <c r="F3586" s="355"/>
      <c r="G3586" s="355"/>
      <c r="H3586" s="361" t="s">
        <v>2568</v>
      </c>
      <c r="I3586" s="355"/>
      <c r="J3586" s="355"/>
      <c r="K3586" s="355"/>
      <c r="L3586" s="355"/>
      <c r="M3586" s="355"/>
    </row>
    <row r="3587" spans="5:13" ht="24.95" customHeight="1">
      <c r="E3587" s="355"/>
      <c r="F3587" s="355">
        <v>1</v>
      </c>
      <c r="G3587" s="355" t="s">
        <v>1337</v>
      </c>
      <c r="H3587" s="364" t="s">
        <v>2677</v>
      </c>
      <c r="I3587" s="355">
        <f>I3354</f>
        <v>861</v>
      </c>
      <c r="J3587" s="355" t="s">
        <v>1337</v>
      </c>
      <c r="K3587" s="355">
        <f>F3587*I3587</f>
        <v>861</v>
      </c>
      <c r="L3587" s="355"/>
      <c r="M3587" s="355"/>
    </row>
    <row r="3588" spans="5:13" ht="24.95" customHeight="1">
      <c r="E3588" s="355"/>
      <c r="F3588" s="355">
        <v>2</v>
      </c>
      <c r="G3588" s="355" t="s">
        <v>1337</v>
      </c>
      <c r="H3588" s="355" t="s">
        <v>2691</v>
      </c>
      <c r="I3588" s="355">
        <f>I3504</f>
        <v>712</v>
      </c>
      <c r="J3588" s="355" t="s">
        <v>1337</v>
      </c>
      <c r="K3588" s="355">
        <f>F3588*I3588</f>
        <v>1424</v>
      </c>
      <c r="L3588" s="355"/>
      <c r="M3588" s="355"/>
    </row>
    <row r="3589" spans="5:13" ht="24.95" customHeight="1">
      <c r="E3589" s="355"/>
      <c r="F3589" s="355">
        <v>3</v>
      </c>
      <c r="G3589" s="355" t="s">
        <v>1337</v>
      </c>
      <c r="H3589" s="355" t="s">
        <v>2510</v>
      </c>
      <c r="I3589" s="355">
        <f>I3505</f>
        <v>708</v>
      </c>
      <c r="J3589" s="355" t="s">
        <v>1337</v>
      </c>
      <c r="K3589" s="355">
        <f>F3589*I3589</f>
        <v>2124</v>
      </c>
      <c r="L3589" s="355"/>
      <c r="M3589" s="355"/>
    </row>
    <row r="3590" spans="5:13" ht="24.95" customHeight="1">
      <c r="E3590" s="355"/>
      <c r="F3590" s="355">
        <v>4</v>
      </c>
      <c r="G3590" s="355" t="s">
        <v>1337</v>
      </c>
      <c r="H3590" s="355" t="s">
        <v>2246</v>
      </c>
      <c r="I3590" s="355">
        <f>I3506</f>
        <v>556</v>
      </c>
      <c r="J3590" s="355" t="s">
        <v>1337</v>
      </c>
      <c r="K3590" s="355">
        <f>F3590*I3590</f>
        <v>2224</v>
      </c>
      <c r="L3590" s="355"/>
      <c r="M3590" s="355"/>
    </row>
    <row r="3591" spans="5:13" ht="24.95" customHeight="1">
      <c r="E3591" s="355"/>
      <c r="F3591" s="355"/>
      <c r="G3591" s="355"/>
      <c r="H3591" s="360" t="s">
        <v>2678</v>
      </c>
      <c r="I3591" s="355"/>
      <c r="J3591" s="355"/>
      <c r="K3591" s="355">
        <f>SUM(K3587:K3590)</f>
        <v>6633</v>
      </c>
      <c r="L3591" s="355"/>
      <c r="M3591" s="355"/>
    </row>
    <row r="3592" spans="5:13" ht="24.95" customHeight="1">
      <c r="E3592" s="355"/>
      <c r="F3592" s="355"/>
      <c r="G3592" s="355"/>
      <c r="H3592" s="362" t="s">
        <v>2679</v>
      </c>
      <c r="I3592" s="355"/>
      <c r="J3592" s="355"/>
      <c r="K3592" s="363">
        <f>K3591*2</f>
        <v>13266</v>
      </c>
      <c r="L3592" s="355"/>
      <c r="M3592" s="355"/>
    </row>
    <row r="3593" spans="5:13">
      <c r="E3593" s="355"/>
      <c r="F3593" s="355"/>
      <c r="G3593" s="355"/>
      <c r="H3593" s="355"/>
      <c r="I3593" s="355"/>
      <c r="J3593" s="355"/>
      <c r="K3593" s="355"/>
      <c r="L3593" s="355"/>
      <c r="M3593" s="355"/>
    </row>
    <row r="3594" spans="5:13" ht="21" customHeight="1">
      <c r="E3594" s="355"/>
      <c r="F3594" s="355"/>
      <c r="G3594" s="355"/>
      <c r="H3594" s="363" t="s">
        <v>2680</v>
      </c>
      <c r="I3594" s="355"/>
      <c r="J3594" s="355"/>
      <c r="K3594" s="355"/>
      <c r="L3594" s="355"/>
      <c r="M3594" s="355"/>
    </row>
    <row r="3595" spans="5:13">
      <c r="E3595" s="355"/>
      <c r="F3595" s="355"/>
      <c r="G3595" s="355"/>
      <c r="H3595" s="355"/>
      <c r="I3595" s="355"/>
      <c r="J3595" s="355"/>
      <c r="K3595" s="355"/>
      <c r="L3595" s="355"/>
      <c r="M3595" s="355"/>
    </row>
    <row r="3596" spans="5:13" ht="27" customHeight="1">
      <c r="E3596" s="355"/>
      <c r="F3596" s="355"/>
      <c r="G3596" s="355"/>
      <c r="H3596" s="363" t="s">
        <v>2681</v>
      </c>
      <c r="I3596" s="355"/>
      <c r="J3596" s="355"/>
      <c r="K3596" s="355"/>
      <c r="L3596" s="355"/>
      <c r="M3596" s="355"/>
    </row>
    <row r="3597" spans="5:13">
      <c r="E3597" s="355"/>
      <c r="F3597" s="355"/>
      <c r="G3597" s="355"/>
      <c r="H3597" s="355"/>
      <c r="I3597" s="355"/>
      <c r="J3597" s="355"/>
      <c r="K3597" s="355"/>
      <c r="L3597" s="355"/>
      <c r="M3597" s="355"/>
    </row>
    <row r="3598" spans="5:13" ht="182.25" customHeight="1">
      <c r="E3598" s="355"/>
      <c r="F3598" s="355"/>
      <c r="G3598" s="355"/>
      <c r="H3598" s="376" t="s">
        <v>3043</v>
      </c>
      <c r="I3598" s="355"/>
      <c r="J3598" s="355"/>
      <c r="K3598" s="355"/>
      <c r="L3598" s="355"/>
      <c r="M3598" s="355"/>
    </row>
    <row r="3599" spans="5:13" ht="26.25" customHeight="1">
      <c r="E3599" s="355"/>
      <c r="F3599" s="355"/>
      <c r="G3599" s="355"/>
      <c r="H3599" s="363" t="s">
        <v>3033</v>
      </c>
      <c r="I3599" s="355"/>
      <c r="J3599" s="355"/>
      <c r="K3599" s="355"/>
      <c r="L3599" s="355"/>
      <c r="M3599" s="355"/>
    </row>
    <row r="3600" spans="5:13">
      <c r="E3600" s="355"/>
      <c r="F3600" s="355"/>
      <c r="G3600" s="355"/>
      <c r="H3600" s="355"/>
      <c r="I3600" s="355"/>
      <c r="J3600" s="355"/>
      <c r="K3600" s="355"/>
      <c r="L3600" s="355"/>
      <c r="M3600" s="355"/>
    </row>
    <row r="3601" spans="5:18" ht="225" customHeight="1">
      <c r="E3601" s="355"/>
      <c r="F3601" s="355"/>
      <c r="G3601" s="355"/>
      <c r="H3601" s="376" t="s">
        <v>2740</v>
      </c>
      <c r="I3601" s="355"/>
      <c r="J3601" s="355"/>
      <c r="K3601" s="355"/>
      <c r="L3601" s="355"/>
      <c r="M3601" s="355"/>
    </row>
    <row r="3602" spans="5:18" ht="22.5" customHeight="1">
      <c r="E3602" s="355"/>
      <c r="F3602" s="355"/>
      <c r="G3602" s="355"/>
      <c r="H3602" s="361" t="s">
        <v>2741</v>
      </c>
      <c r="I3602" s="361" t="s">
        <v>2742</v>
      </c>
      <c r="J3602" s="361" t="s">
        <v>2743</v>
      </c>
      <c r="K3602" s="361" t="s">
        <v>2744</v>
      </c>
      <c r="L3602" s="361" t="s">
        <v>2745</v>
      </c>
      <c r="M3602" s="355"/>
    </row>
    <row r="3603" spans="5:18" ht="22.5" customHeight="1">
      <c r="E3603" s="355"/>
      <c r="F3603" s="355"/>
      <c r="G3603" s="355"/>
      <c r="H3603" s="355" t="s">
        <v>4202</v>
      </c>
      <c r="I3603" s="356">
        <v>3110</v>
      </c>
      <c r="J3603" s="529">
        <v>2970</v>
      </c>
      <c r="K3603" s="356">
        <v>2983</v>
      </c>
      <c r="L3603" s="356">
        <v>3025</v>
      </c>
      <c r="M3603" s="355"/>
    </row>
    <row r="3604" spans="5:18" ht="22.5" customHeight="1">
      <c r="E3604" s="355"/>
      <c r="F3604" s="355"/>
      <c r="G3604" s="355"/>
      <c r="H3604" s="355" t="s">
        <v>4792</v>
      </c>
      <c r="I3604" s="425">
        <v>173.7</v>
      </c>
      <c r="J3604" s="425">
        <v>424</v>
      </c>
      <c r="K3604" s="377">
        <v>572</v>
      </c>
      <c r="L3604" s="377">
        <v>668</v>
      </c>
      <c r="M3604" s="355"/>
    </row>
    <row r="3605" spans="5:18" ht="29.25" customHeight="1">
      <c r="E3605" s="355"/>
      <c r="F3605" s="355"/>
      <c r="G3605" s="355"/>
      <c r="H3605" s="362" t="s">
        <v>2746</v>
      </c>
      <c r="I3605" s="363">
        <f>SUM(I3603:I3604)</f>
        <v>3283.7</v>
      </c>
      <c r="J3605" s="363">
        <f>SUM(J3603:J3604)</f>
        <v>3394</v>
      </c>
      <c r="K3605" s="374">
        <f>SUM(K3603:K3604)</f>
        <v>3555</v>
      </c>
      <c r="L3605" s="374">
        <f>SUM(L3603:L3604)</f>
        <v>3693</v>
      </c>
      <c r="M3605" s="355"/>
    </row>
    <row r="3606" spans="5:18">
      <c r="E3606" s="355"/>
      <c r="F3606" s="355"/>
      <c r="G3606" s="355"/>
      <c r="H3606" s="355"/>
      <c r="I3606" s="355"/>
      <c r="J3606" s="355"/>
      <c r="K3606" s="355"/>
      <c r="L3606" s="355"/>
      <c r="M3606" s="355"/>
    </row>
    <row r="3607" spans="5:18">
      <c r="E3607" s="355"/>
      <c r="F3607" s="355"/>
      <c r="G3607" s="355"/>
      <c r="H3607" s="363" t="s">
        <v>2747</v>
      </c>
      <c r="I3607" s="355"/>
      <c r="J3607" s="355"/>
      <c r="K3607" s="355"/>
      <c r="L3607" s="355"/>
      <c r="M3607" s="355"/>
    </row>
    <row r="3608" spans="5:18" ht="15.75" customHeight="1">
      <c r="E3608" s="355"/>
      <c r="F3608" s="355"/>
      <c r="G3608" s="355"/>
      <c r="H3608" s="355"/>
      <c r="I3608" s="355"/>
      <c r="J3608" s="355"/>
      <c r="K3608" s="355"/>
      <c r="L3608" s="355"/>
      <c r="M3608" s="355"/>
    </row>
    <row r="3609" spans="5:18">
      <c r="E3609" s="355"/>
      <c r="F3609" s="355"/>
      <c r="G3609" s="355"/>
      <c r="H3609" s="363" t="s">
        <v>2748</v>
      </c>
      <c r="I3609" s="355"/>
      <c r="J3609" s="355"/>
      <c r="K3609" s="355"/>
      <c r="L3609" s="355"/>
      <c r="M3609" s="355"/>
    </row>
    <row r="3610" spans="5:18" ht="69" customHeight="1">
      <c r="E3610" s="355"/>
      <c r="F3610" s="355"/>
      <c r="G3610" s="355"/>
      <c r="H3610" s="376" t="s">
        <v>2803</v>
      </c>
      <c r="I3610" s="355"/>
      <c r="J3610" s="355"/>
      <c r="K3610" s="355"/>
      <c r="L3610" s="355"/>
      <c r="M3610" s="1476" t="s">
        <v>4590</v>
      </c>
      <c r="N3610" s="1476"/>
      <c r="O3610" s="1476"/>
      <c r="P3610" s="1476"/>
      <c r="Q3610" s="1476"/>
      <c r="R3610" s="1476"/>
    </row>
    <row r="3611" spans="5:18" ht="15.75" customHeight="1">
      <c r="E3611" s="355"/>
      <c r="F3611" s="355"/>
      <c r="G3611" s="355"/>
      <c r="H3611" s="355"/>
      <c r="I3611" s="355"/>
      <c r="J3611" s="355"/>
      <c r="K3611" s="355"/>
      <c r="L3611" s="355"/>
      <c r="M3611" s="1477" t="s">
        <v>4591</v>
      </c>
      <c r="N3611" s="1477"/>
      <c r="O3611" s="1477"/>
      <c r="P3611" s="1477"/>
      <c r="Q3611" s="1477"/>
      <c r="R3611" s="1477"/>
    </row>
    <row r="3612" spans="5:18" ht="26.25" customHeight="1">
      <c r="E3612" s="355"/>
      <c r="F3612" s="355">
        <v>2</v>
      </c>
      <c r="G3612" s="355" t="s">
        <v>794</v>
      </c>
      <c r="H3612" s="355" t="s">
        <v>4793</v>
      </c>
      <c r="I3612" s="356">
        <v>98.6</v>
      </c>
      <c r="J3612" s="355" t="s">
        <v>794</v>
      </c>
      <c r="K3612" s="355">
        <f>F3612*I3612</f>
        <v>197.2</v>
      </c>
      <c r="L3612" s="355"/>
      <c r="M3612" s="470"/>
      <c r="N3612" s="470"/>
      <c r="O3612" s="470"/>
      <c r="P3612" s="470"/>
      <c r="Q3612" s="470"/>
      <c r="R3612" s="470"/>
    </row>
    <row r="3613" spans="5:18" ht="26.25" customHeight="1">
      <c r="E3613" s="355"/>
      <c r="F3613" s="355">
        <v>2</v>
      </c>
      <c r="G3613" s="355" t="s">
        <v>1924</v>
      </c>
      <c r="H3613" s="355" t="s">
        <v>2804</v>
      </c>
      <c r="I3613" s="355">
        <v>35</v>
      </c>
      <c r="J3613" s="355" t="s">
        <v>1924</v>
      </c>
      <c r="K3613" s="355">
        <f>F3613*I3613</f>
        <v>70</v>
      </c>
      <c r="L3613" s="355"/>
      <c r="M3613" s="472">
        <v>1.5</v>
      </c>
      <c r="N3613" s="470" t="s">
        <v>794</v>
      </c>
      <c r="O3613" s="470" t="s">
        <v>4214</v>
      </c>
      <c r="P3613" s="472">
        <f>I3513</f>
        <v>128</v>
      </c>
      <c r="Q3613" s="470" t="s">
        <v>794</v>
      </c>
      <c r="R3613" s="472">
        <f>P3613*M3613</f>
        <v>192</v>
      </c>
    </row>
    <row r="3614" spans="5:18" ht="26.25" customHeight="1">
      <c r="E3614" s="355"/>
      <c r="F3614" s="355">
        <v>1</v>
      </c>
      <c r="G3614" s="355" t="s">
        <v>1337</v>
      </c>
      <c r="H3614" s="355" t="s">
        <v>4203</v>
      </c>
      <c r="I3614" s="355">
        <f>M3396</f>
        <v>47.6</v>
      </c>
      <c r="J3614" s="355" t="s">
        <v>1341</v>
      </c>
      <c r="K3614" s="355">
        <f>F3614*I3614</f>
        <v>47.6</v>
      </c>
      <c r="L3614" s="355"/>
      <c r="M3614" s="472">
        <v>2</v>
      </c>
      <c r="N3614" s="470" t="s">
        <v>1924</v>
      </c>
      <c r="O3614" s="470" t="s">
        <v>2804</v>
      </c>
      <c r="P3614" s="472">
        <f>I3613</f>
        <v>35</v>
      </c>
      <c r="Q3614" s="470" t="s">
        <v>1924</v>
      </c>
      <c r="R3614" s="472">
        <f>M3614*P3614</f>
        <v>70</v>
      </c>
    </row>
    <row r="3615" spans="5:18" ht="26.25" customHeight="1">
      <c r="E3615" s="355"/>
      <c r="F3615" s="355">
        <v>1</v>
      </c>
      <c r="G3615" s="355" t="s">
        <v>1337</v>
      </c>
      <c r="H3615" s="355" t="s">
        <v>2805</v>
      </c>
      <c r="I3615" s="355">
        <f>K3628</f>
        <v>30.93</v>
      </c>
      <c r="J3615" s="355" t="s">
        <v>1341</v>
      </c>
      <c r="K3615" s="355">
        <f>F3615*I3615</f>
        <v>30.93</v>
      </c>
      <c r="L3615" s="355"/>
      <c r="M3615" s="472"/>
      <c r="N3615" s="470"/>
      <c r="O3615" s="470"/>
      <c r="P3615" s="473"/>
      <c r="Q3615" s="470"/>
      <c r="R3615" s="472"/>
    </row>
    <row r="3616" spans="5:18" ht="26.25" customHeight="1">
      <c r="E3616" s="355"/>
      <c r="F3616" s="355">
        <v>8</v>
      </c>
      <c r="G3616" s="355" t="s">
        <v>794</v>
      </c>
      <c r="H3616" s="355" t="s">
        <v>2806</v>
      </c>
      <c r="I3616" s="355">
        <f>I3101</f>
        <v>24.1</v>
      </c>
      <c r="J3616" s="355" t="s">
        <v>3239</v>
      </c>
      <c r="K3616" s="355">
        <f>F3616*I3616</f>
        <v>192.8</v>
      </c>
      <c r="L3616" s="355"/>
      <c r="M3616" s="472"/>
      <c r="N3616" s="470"/>
      <c r="O3616" s="470"/>
      <c r="P3616" s="472"/>
      <c r="Q3616" s="470"/>
      <c r="R3616" s="472"/>
    </row>
    <row r="3617" spans="5:18" ht="25.5" customHeight="1">
      <c r="E3617" s="355"/>
      <c r="F3617" s="355">
        <v>1</v>
      </c>
      <c r="G3617" s="355" t="s">
        <v>1337</v>
      </c>
      <c r="H3617" s="376" t="s">
        <v>2807</v>
      </c>
      <c r="I3617" s="355"/>
      <c r="J3617" s="355"/>
      <c r="K3617" s="355">
        <f>K3627</f>
        <v>1537.67</v>
      </c>
      <c r="L3617" s="355"/>
      <c r="M3617" s="472">
        <v>8</v>
      </c>
      <c r="N3617" s="470" t="s">
        <v>794</v>
      </c>
      <c r="O3617" s="474" t="s">
        <v>2806</v>
      </c>
      <c r="P3617" s="472">
        <f>I3616</f>
        <v>24.1</v>
      </c>
      <c r="Q3617" s="470" t="s">
        <v>3239</v>
      </c>
      <c r="R3617" s="472">
        <f>M3617*P3617</f>
        <v>192.8</v>
      </c>
    </row>
    <row r="3618" spans="5:18" ht="49.5" customHeight="1">
      <c r="E3618" s="355"/>
      <c r="F3618" s="355"/>
      <c r="G3618" s="355"/>
      <c r="H3618" s="376" t="s">
        <v>2415</v>
      </c>
      <c r="I3618" s="355" t="s">
        <v>625</v>
      </c>
      <c r="J3618" s="355"/>
      <c r="K3618" s="355">
        <v>15.8</v>
      </c>
      <c r="L3618" s="355"/>
      <c r="M3618" s="472">
        <v>1</v>
      </c>
      <c r="N3618" s="470" t="s">
        <v>1337</v>
      </c>
      <c r="O3618" s="474" t="s">
        <v>2807</v>
      </c>
      <c r="P3618" s="472">
        <f>R3628</f>
        <v>1537.67</v>
      </c>
      <c r="Q3618" s="470" t="s">
        <v>1341</v>
      </c>
      <c r="R3618" s="472">
        <f>R3628</f>
        <v>1537.67</v>
      </c>
    </row>
    <row r="3619" spans="5:18" ht="29.25" customHeight="1">
      <c r="E3619" s="355"/>
      <c r="F3619" s="355"/>
      <c r="G3619" s="355"/>
      <c r="H3619" s="362" t="s">
        <v>2287</v>
      </c>
      <c r="I3619" s="355"/>
      <c r="J3619" s="355"/>
      <c r="K3619" s="363">
        <f>SUM(K3612:K3618)</f>
        <v>2092</v>
      </c>
      <c r="L3619" s="355">
        <f>K3619-1616</f>
        <v>476</v>
      </c>
      <c r="M3619" s="472"/>
      <c r="N3619" s="470"/>
      <c r="O3619" s="474" t="s">
        <v>2415</v>
      </c>
      <c r="P3619" s="1478" t="s">
        <v>625</v>
      </c>
      <c r="Q3619" s="1478"/>
      <c r="R3619" s="472">
        <v>15.67</v>
      </c>
    </row>
    <row r="3620" spans="5:18">
      <c r="E3620" s="355"/>
      <c r="F3620" s="355"/>
      <c r="G3620" s="355"/>
      <c r="H3620" s="355"/>
      <c r="I3620" s="355"/>
      <c r="J3620" s="355"/>
      <c r="K3620" s="355"/>
      <c r="L3620" s="355"/>
      <c r="M3620" s="472"/>
      <c r="N3620" s="470"/>
      <c r="O3620" s="475" t="s">
        <v>2287</v>
      </c>
      <c r="P3620" s="470"/>
      <c r="Q3620" s="470"/>
      <c r="R3620" s="475">
        <f>SUM(R3613:R3619)</f>
        <v>2008.14</v>
      </c>
    </row>
    <row r="3621" spans="5:18">
      <c r="E3621" s="355"/>
      <c r="F3621" s="355"/>
      <c r="G3621" s="355"/>
      <c r="H3621" s="361" t="s">
        <v>2416</v>
      </c>
      <c r="I3621" s="355"/>
      <c r="J3621" s="355"/>
      <c r="K3621" s="355"/>
      <c r="L3621" s="355"/>
      <c r="M3621" s="472"/>
      <c r="N3621" s="470"/>
      <c r="O3621" s="470"/>
      <c r="P3621" s="470"/>
      <c r="Q3621" s="470"/>
      <c r="R3621" s="470"/>
    </row>
    <row r="3622" spans="5:18">
      <c r="E3622" s="355"/>
      <c r="F3622" s="355">
        <v>1</v>
      </c>
      <c r="G3622" s="355" t="s">
        <v>1337</v>
      </c>
      <c r="H3622" s="364" t="s">
        <v>2630</v>
      </c>
      <c r="I3622" s="355">
        <f>I3503</f>
        <v>817</v>
      </c>
      <c r="J3622" s="355" t="s">
        <v>1337</v>
      </c>
      <c r="K3622" s="355">
        <f>F3622*I3622</f>
        <v>817</v>
      </c>
      <c r="L3622" s="355"/>
      <c r="M3622" s="472"/>
      <c r="N3622" s="470"/>
      <c r="O3622" s="476" t="s">
        <v>2416</v>
      </c>
      <c r="P3622" s="470"/>
      <c r="Q3622" s="470"/>
      <c r="R3622" s="470"/>
    </row>
    <row r="3623" spans="5:18">
      <c r="E3623" s="355"/>
      <c r="F3623" s="355">
        <v>1</v>
      </c>
      <c r="G3623" s="355" t="s">
        <v>1337</v>
      </c>
      <c r="H3623" s="355" t="s">
        <v>2691</v>
      </c>
      <c r="I3623" s="355">
        <f>I3504</f>
        <v>712</v>
      </c>
      <c r="J3623" s="355" t="s">
        <v>1337</v>
      </c>
      <c r="K3623" s="355">
        <f>F3623*I3623</f>
        <v>712</v>
      </c>
      <c r="L3623" s="355"/>
      <c r="M3623" s="472">
        <v>1</v>
      </c>
      <c r="N3623" s="470" t="s">
        <v>1337</v>
      </c>
      <c r="O3623" s="470" t="s">
        <v>2630</v>
      </c>
      <c r="P3623" s="472">
        <f>I3622</f>
        <v>817</v>
      </c>
      <c r="Q3623" s="470" t="s">
        <v>1337</v>
      </c>
      <c r="R3623" s="470">
        <f>M3623*P3623</f>
        <v>817</v>
      </c>
    </row>
    <row r="3624" spans="5:18">
      <c r="E3624" s="355"/>
      <c r="F3624" s="355">
        <v>2</v>
      </c>
      <c r="G3624" s="355" t="s">
        <v>1337</v>
      </c>
      <c r="H3624" s="355" t="s">
        <v>2510</v>
      </c>
      <c r="I3624" s="355">
        <f>I3505</f>
        <v>708</v>
      </c>
      <c r="J3624" s="355" t="s">
        <v>1337</v>
      </c>
      <c r="K3624" s="355">
        <f>F3624*I3624</f>
        <v>1416</v>
      </c>
      <c r="L3624" s="355"/>
      <c r="M3624" s="472">
        <v>1</v>
      </c>
      <c r="N3624" s="470" t="s">
        <v>1337</v>
      </c>
      <c r="O3624" s="470" t="s">
        <v>2691</v>
      </c>
      <c r="P3624" s="472">
        <f>I3623</f>
        <v>712</v>
      </c>
      <c r="Q3624" s="470" t="s">
        <v>1337</v>
      </c>
      <c r="R3624" s="470">
        <f>M3624*P3624</f>
        <v>712</v>
      </c>
    </row>
    <row r="3625" spans="5:18">
      <c r="E3625" s="355"/>
      <c r="F3625" s="355">
        <v>3</v>
      </c>
      <c r="G3625" s="355" t="s">
        <v>1337</v>
      </c>
      <c r="H3625" s="355" t="s">
        <v>2246</v>
      </c>
      <c r="I3625" s="355">
        <f>I3506</f>
        <v>556</v>
      </c>
      <c r="J3625" s="355" t="s">
        <v>1337</v>
      </c>
      <c r="K3625" s="355">
        <f>F3625*I3625</f>
        <v>1668</v>
      </c>
      <c r="L3625" s="355"/>
      <c r="M3625" s="472">
        <v>2</v>
      </c>
      <c r="N3625" s="470" t="s">
        <v>1337</v>
      </c>
      <c r="O3625" s="470" t="s">
        <v>2510</v>
      </c>
      <c r="P3625" s="472">
        <f>I3624</f>
        <v>708</v>
      </c>
      <c r="Q3625" s="470" t="s">
        <v>1337</v>
      </c>
      <c r="R3625" s="470">
        <f>M3625*P3625</f>
        <v>1416</v>
      </c>
    </row>
    <row r="3626" spans="5:18">
      <c r="E3626" s="355"/>
      <c r="F3626" s="355"/>
      <c r="G3626" s="355"/>
      <c r="H3626" s="360" t="s">
        <v>2793</v>
      </c>
      <c r="I3626" s="355"/>
      <c r="J3626" s="355"/>
      <c r="K3626" s="361">
        <f>SUM(K3622:K3625)</f>
        <v>4613</v>
      </c>
      <c r="L3626" s="355"/>
      <c r="M3626" s="472">
        <v>3</v>
      </c>
      <c r="N3626" s="470" t="s">
        <v>1337</v>
      </c>
      <c r="O3626" s="470" t="s">
        <v>2246</v>
      </c>
      <c r="P3626" s="472">
        <f>I3625</f>
        <v>556</v>
      </c>
      <c r="Q3626" s="470" t="s">
        <v>1337</v>
      </c>
      <c r="R3626" s="470">
        <f>M3626*P3626</f>
        <v>1668</v>
      </c>
    </row>
    <row r="3627" spans="5:18">
      <c r="E3627" s="355"/>
      <c r="F3627" s="355"/>
      <c r="G3627" s="355"/>
      <c r="H3627" s="362" t="s">
        <v>2718</v>
      </c>
      <c r="I3627" s="355"/>
      <c r="J3627" s="355"/>
      <c r="K3627" s="363">
        <f>K3626/3</f>
        <v>1537.67</v>
      </c>
      <c r="L3627" s="355"/>
      <c r="M3627" s="470"/>
      <c r="N3627" s="470"/>
      <c r="O3627" s="472" t="s">
        <v>2793</v>
      </c>
      <c r="P3627" s="470"/>
      <c r="Q3627" s="470"/>
      <c r="R3627" s="476">
        <f>SUM(R3623:R3626)</f>
        <v>4613</v>
      </c>
    </row>
    <row r="3628" spans="5:18">
      <c r="E3628" s="355"/>
      <c r="F3628" s="355"/>
      <c r="G3628" s="355"/>
      <c r="H3628" s="363" t="s">
        <v>2417</v>
      </c>
      <c r="I3628" s="355">
        <f>I3483</f>
        <v>103100</v>
      </c>
      <c r="J3628" s="369">
        <v>2.9999999999999997E-4</v>
      </c>
      <c r="K3628" s="363">
        <f>I3628*J3628</f>
        <v>30.93</v>
      </c>
      <c r="L3628" s="355"/>
      <c r="M3628" s="470"/>
      <c r="N3628" s="470"/>
      <c r="O3628" s="475" t="s">
        <v>2718</v>
      </c>
      <c r="P3628" s="470"/>
      <c r="Q3628" s="470"/>
      <c r="R3628" s="471">
        <f>R3627/3</f>
        <v>1537.67</v>
      </c>
    </row>
    <row r="3629" spans="5:18">
      <c r="E3629" s="355"/>
      <c r="F3629" s="355"/>
      <c r="G3629" s="355"/>
      <c r="H3629" s="355"/>
      <c r="I3629" s="355"/>
      <c r="J3629" s="355"/>
      <c r="K3629" s="355"/>
      <c r="L3629" s="355"/>
      <c r="M3629" s="470"/>
      <c r="N3629" s="470"/>
      <c r="O3629" s="477"/>
      <c r="P3629" s="478"/>
      <c r="Q3629" s="479"/>
      <c r="R3629" s="477"/>
    </row>
    <row r="3630" spans="5:18" ht="23.25" customHeight="1">
      <c r="E3630" s="355"/>
      <c r="F3630" s="355"/>
      <c r="G3630" s="355"/>
      <c r="H3630" s="363" t="s">
        <v>2289</v>
      </c>
      <c r="I3630" s="355"/>
      <c r="J3630" s="355"/>
      <c r="K3630" s="355"/>
      <c r="L3630" s="355"/>
      <c r="M3630" s="470"/>
      <c r="N3630" s="470"/>
      <c r="O3630" s="470"/>
      <c r="P3630" s="470"/>
      <c r="Q3630" s="470"/>
      <c r="R3630" s="470"/>
    </row>
    <row r="3631" spans="5:18" ht="15.75" customHeight="1">
      <c r="E3631" s="355"/>
      <c r="F3631" s="355"/>
      <c r="G3631" s="355"/>
      <c r="H3631" s="355"/>
      <c r="I3631" s="355"/>
      <c r="J3631" s="355"/>
      <c r="K3631" s="355"/>
      <c r="L3631" s="355"/>
      <c r="M3631" s="470"/>
      <c r="N3631" s="470"/>
      <c r="O3631" s="471" t="s">
        <v>2289</v>
      </c>
      <c r="P3631" s="470"/>
      <c r="Q3631" s="470"/>
      <c r="R3631" s="470"/>
    </row>
    <row r="3632" spans="5:18" ht="24.95" customHeight="1">
      <c r="E3632" s="355"/>
      <c r="F3632" s="355"/>
      <c r="G3632" s="355"/>
      <c r="H3632" s="363" t="s">
        <v>3041</v>
      </c>
      <c r="I3632" s="355"/>
      <c r="J3632" s="355"/>
      <c r="K3632" s="355"/>
      <c r="L3632" s="355"/>
      <c r="M3632" s="470"/>
      <c r="N3632" s="470"/>
      <c r="O3632" s="471"/>
      <c r="P3632" s="470"/>
      <c r="Q3632" s="470"/>
      <c r="R3632" s="470"/>
    </row>
    <row r="3633" spans="5:19" ht="15.75" customHeight="1">
      <c r="E3633" s="355"/>
      <c r="F3633" s="355"/>
      <c r="G3633" s="355"/>
      <c r="H3633" s="355"/>
      <c r="I3633" s="355"/>
      <c r="J3633" s="355"/>
      <c r="K3633" s="355"/>
      <c r="L3633" s="355"/>
      <c r="M3633" s="470"/>
      <c r="N3633" s="470"/>
      <c r="O3633" s="471" t="s">
        <v>4592</v>
      </c>
      <c r="P3633" s="470"/>
      <c r="Q3633" s="470"/>
      <c r="R3633" s="470"/>
    </row>
    <row r="3634" spans="5:19" ht="24.95" customHeight="1">
      <c r="E3634" s="355"/>
      <c r="F3634" s="355">
        <v>1</v>
      </c>
      <c r="G3634" s="355" t="s">
        <v>1337</v>
      </c>
      <c r="H3634" s="354" t="s">
        <v>4794</v>
      </c>
      <c r="I3634" s="425">
        <v>642</v>
      </c>
      <c r="J3634" s="355" t="s">
        <v>1337</v>
      </c>
      <c r="K3634" s="355">
        <f>F3634*I3634</f>
        <v>642</v>
      </c>
      <c r="L3634" s="355"/>
      <c r="M3634" s="470"/>
      <c r="N3634" s="470"/>
      <c r="O3634" s="471"/>
      <c r="P3634" s="470"/>
      <c r="Q3634" s="470"/>
      <c r="R3634" s="470"/>
    </row>
    <row r="3635" spans="5:19" ht="45" customHeight="1">
      <c r="E3635" s="355"/>
      <c r="F3635" s="355">
        <v>1</v>
      </c>
      <c r="G3635" s="355" t="s">
        <v>1337</v>
      </c>
      <c r="H3635" s="354" t="s">
        <v>4795</v>
      </c>
      <c r="I3635" s="425">
        <v>35.9</v>
      </c>
      <c r="J3635" s="355" t="s">
        <v>1337</v>
      </c>
      <c r="K3635" s="355">
        <f>F3635*I3635</f>
        <v>35.9</v>
      </c>
      <c r="L3635" s="355"/>
      <c r="M3635" s="470">
        <v>1</v>
      </c>
      <c r="N3635" s="470" t="s">
        <v>1337</v>
      </c>
      <c r="O3635" s="474" t="s">
        <v>4593</v>
      </c>
      <c r="P3635" s="480">
        <v>1182</v>
      </c>
      <c r="Q3635" s="470" t="s">
        <v>1337</v>
      </c>
      <c r="R3635" s="470">
        <f>M3635*P3635</f>
        <v>1182</v>
      </c>
    </row>
    <row r="3636" spans="5:19" ht="39.75" customHeight="1">
      <c r="E3636" s="355"/>
      <c r="F3636" s="355">
        <v>1</v>
      </c>
      <c r="G3636" s="355" t="s">
        <v>1337</v>
      </c>
      <c r="H3636" s="376" t="s">
        <v>878</v>
      </c>
      <c r="I3636" s="355">
        <f>K3619</f>
        <v>2092</v>
      </c>
      <c r="J3636" s="355" t="s">
        <v>1337</v>
      </c>
      <c r="K3636" s="355">
        <f>F3636*I3636</f>
        <v>2092</v>
      </c>
      <c r="L3636" s="355"/>
      <c r="M3636" s="470">
        <v>1</v>
      </c>
      <c r="N3636" s="470" t="s">
        <v>1337</v>
      </c>
      <c r="O3636" s="474" t="s">
        <v>878</v>
      </c>
      <c r="P3636" s="480">
        <f>R3620</f>
        <v>2008.14</v>
      </c>
      <c r="Q3636" s="470" t="s">
        <v>1337</v>
      </c>
      <c r="R3636" s="470">
        <f>M3636*P3636</f>
        <v>2008.14</v>
      </c>
    </row>
    <row r="3637" spans="5:19" ht="24.95" customHeight="1">
      <c r="E3637" s="355"/>
      <c r="F3637" s="355"/>
      <c r="G3637" s="355"/>
      <c r="H3637" s="354" t="s">
        <v>2187</v>
      </c>
      <c r="I3637" s="355"/>
      <c r="J3637" s="355"/>
      <c r="K3637" s="355">
        <v>4.4000000000000004</v>
      </c>
      <c r="L3637" s="355"/>
      <c r="M3637" s="470"/>
      <c r="N3637" s="470"/>
      <c r="O3637" s="474" t="s">
        <v>2187</v>
      </c>
      <c r="P3637" s="470"/>
      <c r="Q3637" s="470"/>
      <c r="R3637" s="470"/>
    </row>
    <row r="3638" spans="5:19" ht="24.95" customHeight="1">
      <c r="E3638" s="355"/>
      <c r="F3638" s="355"/>
      <c r="G3638" s="355"/>
      <c r="H3638" s="362" t="s">
        <v>1024</v>
      </c>
      <c r="I3638" s="355"/>
      <c r="J3638" s="355"/>
      <c r="K3638" s="363">
        <f>SUM(K3634:K3637)</f>
        <v>2774.3</v>
      </c>
      <c r="L3638" s="355">
        <f>K3638-2268</f>
        <v>506.3</v>
      </c>
      <c r="M3638" s="470"/>
      <c r="N3638" s="470"/>
      <c r="O3638" s="475" t="s">
        <v>1024</v>
      </c>
      <c r="P3638" s="470"/>
      <c r="Q3638" s="470"/>
      <c r="R3638" s="471">
        <f>SUM(R3635:R3637)</f>
        <v>3190.14</v>
      </c>
      <c r="S3638" s="182">
        <f>R3638-2219</f>
        <v>971.14</v>
      </c>
    </row>
    <row r="3639" spans="5:19">
      <c r="E3639" s="355"/>
      <c r="F3639" s="355"/>
      <c r="G3639" s="355"/>
      <c r="H3639" s="355"/>
      <c r="I3639" s="355"/>
      <c r="J3639" s="355"/>
      <c r="K3639" s="355"/>
      <c r="L3639" s="355"/>
      <c r="M3639" s="470"/>
      <c r="N3639" s="470"/>
      <c r="P3639" s="470"/>
      <c r="Q3639" s="470"/>
      <c r="R3639" s="471"/>
    </row>
    <row r="3640" spans="5:19" ht="24.75" customHeight="1">
      <c r="E3640" s="355"/>
      <c r="F3640" s="355"/>
      <c r="G3640" s="355"/>
      <c r="H3640" s="363" t="s">
        <v>3028</v>
      </c>
      <c r="I3640" s="355"/>
      <c r="J3640" s="355"/>
      <c r="K3640" s="355"/>
      <c r="L3640" s="355"/>
      <c r="M3640" s="355"/>
    </row>
    <row r="3641" spans="5:19" ht="63">
      <c r="E3641" s="355"/>
      <c r="F3641" s="355"/>
      <c r="G3641" s="355"/>
      <c r="H3641" s="376" t="s">
        <v>3029</v>
      </c>
      <c r="I3641" s="355"/>
      <c r="J3641" s="355"/>
      <c r="K3641" s="355"/>
      <c r="L3641" s="355"/>
      <c r="M3641" s="1476" t="s">
        <v>4043</v>
      </c>
      <c r="N3641" s="1476"/>
      <c r="O3641" s="1476"/>
      <c r="P3641" s="1476"/>
      <c r="Q3641" s="1476"/>
      <c r="R3641" s="1476"/>
    </row>
    <row r="3642" spans="5:19">
      <c r="E3642" s="355"/>
      <c r="F3642" s="355"/>
      <c r="G3642" s="355"/>
      <c r="H3642" s="355"/>
      <c r="I3642" s="355"/>
      <c r="J3642" s="355"/>
      <c r="K3642" s="355"/>
      <c r="L3642" s="355"/>
      <c r="M3642" s="671">
        <v>1</v>
      </c>
      <c r="N3642" s="671" t="s">
        <v>1337</v>
      </c>
      <c r="O3642" s="671" t="s">
        <v>4044</v>
      </c>
      <c r="P3642" s="913">
        <v>7000</v>
      </c>
      <c r="Q3642" s="671" t="s">
        <v>4045</v>
      </c>
      <c r="R3642" s="671">
        <f>P3642*M3642</f>
        <v>7000</v>
      </c>
    </row>
    <row r="3643" spans="5:19" ht="24.75" customHeight="1">
      <c r="E3643" s="355"/>
      <c r="F3643" s="355">
        <v>1.5</v>
      </c>
      <c r="G3643" s="355" t="s">
        <v>794</v>
      </c>
      <c r="H3643" s="355" t="s">
        <v>4796</v>
      </c>
      <c r="I3643" s="356">
        <v>209</v>
      </c>
      <c r="J3643" s="355" t="s">
        <v>794</v>
      </c>
      <c r="K3643" s="355">
        <f>F3643*I3643</f>
        <v>313.5</v>
      </c>
      <c r="L3643" s="355"/>
      <c r="M3643" s="472">
        <v>2</v>
      </c>
      <c r="N3643" s="470" t="s">
        <v>1924</v>
      </c>
      <c r="O3643" s="470" t="s">
        <v>2804</v>
      </c>
      <c r="P3643" s="914">
        <f>I3613</f>
        <v>35</v>
      </c>
      <c r="Q3643" s="470" t="s">
        <v>1924</v>
      </c>
      <c r="R3643" s="671">
        <f>P3643*M3643</f>
        <v>70</v>
      </c>
    </row>
    <row r="3644" spans="5:19" ht="24.75" customHeight="1">
      <c r="E3644" s="355"/>
      <c r="F3644" s="355">
        <v>2</v>
      </c>
      <c r="G3644" s="355" t="s">
        <v>3039</v>
      </c>
      <c r="H3644" s="355" t="s">
        <v>3040</v>
      </c>
      <c r="I3644" s="355">
        <f>I3613</f>
        <v>35</v>
      </c>
      <c r="J3644" s="355" t="s">
        <v>3039</v>
      </c>
      <c r="K3644" s="355">
        <f>F3644*I3644</f>
        <v>70</v>
      </c>
      <c r="L3644" s="355"/>
      <c r="M3644" s="472">
        <v>1</v>
      </c>
      <c r="N3644" s="470" t="s">
        <v>1337</v>
      </c>
      <c r="O3644" s="474" t="s">
        <v>2807</v>
      </c>
      <c r="P3644" s="472">
        <f>R3653</f>
        <v>1537.67</v>
      </c>
      <c r="Q3644" s="470" t="s">
        <v>1341</v>
      </c>
      <c r="R3644" s="671">
        <f>P3644*M3644</f>
        <v>1537.67</v>
      </c>
    </row>
    <row r="3645" spans="5:19" ht="24.75" customHeight="1">
      <c r="E3645" s="355"/>
      <c r="F3645" s="355">
        <v>1</v>
      </c>
      <c r="G3645" s="355" t="s">
        <v>1337</v>
      </c>
      <c r="H3645" s="355" t="s">
        <v>3931</v>
      </c>
      <c r="I3645" s="355">
        <f>I3614</f>
        <v>47.6</v>
      </c>
      <c r="J3645" s="355" t="s">
        <v>1337</v>
      </c>
      <c r="K3645" s="355">
        <f>F3645*I3645</f>
        <v>47.6</v>
      </c>
      <c r="L3645" s="355"/>
      <c r="M3645" s="465"/>
      <c r="N3645" s="465"/>
      <c r="O3645" s="474" t="s">
        <v>2415</v>
      </c>
      <c r="P3645" s="1478" t="s">
        <v>625</v>
      </c>
      <c r="Q3645" s="1478"/>
      <c r="R3645" s="472">
        <v>16.670000000000002</v>
      </c>
    </row>
    <row r="3646" spans="5:19" ht="24.75" customHeight="1">
      <c r="E3646" s="355"/>
      <c r="F3646" s="355">
        <v>1</v>
      </c>
      <c r="G3646" s="355" t="s">
        <v>1337</v>
      </c>
      <c r="H3646" s="355" t="s">
        <v>3164</v>
      </c>
      <c r="I3646" s="355">
        <f>I3615</f>
        <v>30.93</v>
      </c>
      <c r="J3646" s="355" t="s">
        <v>1337</v>
      </c>
      <c r="K3646" s="355">
        <f>F3646*I3646</f>
        <v>30.93</v>
      </c>
      <c r="L3646" s="355"/>
      <c r="M3646" s="472"/>
      <c r="N3646" s="470"/>
      <c r="O3646" s="471" t="s">
        <v>2718</v>
      </c>
      <c r="P3646" s="672"/>
      <c r="Q3646" s="471"/>
      <c r="R3646" s="475">
        <f>SUM(R3642:R3645)</f>
        <v>8624.34</v>
      </c>
      <c r="S3646" s="182">
        <f>R3646-8095</f>
        <v>529.34</v>
      </c>
    </row>
    <row r="3647" spans="5:19" ht="24.75" customHeight="1">
      <c r="E3647" s="355"/>
      <c r="F3647" s="355">
        <v>8</v>
      </c>
      <c r="G3647" s="355" t="s">
        <v>794</v>
      </c>
      <c r="H3647" s="355" t="s">
        <v>2806</v>
      </c>
      <c r="I3647" s="355">
        <f>I3616</f>
        <v>24.1</v>
      </c>
      <c r="J3647" s="355" t="s">
        <v>3239</v>
      </c>
      <c r="K3647" s="355">
        <f>F3647*I3647</f>
        <v>192.8</v>
      </c>
      <c r="L3647" s="355"/>
      <c r="M3647" s="472"/>
      <c r="N3647" s="470"/>
      <c r="O3647" s="476" t="s">
        <v>2416</v>
      </c>
      <c r="P3647" s="470"/>
      <c r="Q3647" s="470"/>
      <c r="R3647" s="470"/>
    </row>
    <row r="3648" spans="5:19" ht="61.5" customHeight="1">
      <c r="E3648" s="355"/>
      <c r="F3648" s="355"/>
      <c r="G3648" s="355"/>
      <c r="H3648" s="376" t="s">
        <v>2807</v>
      </c>
      <c r="I3648" s="355"/>
      <c r="J3648" s="355"/>
      <c r="K3648" s="355">
        <f>K3627</f>
        <v>1537.67</v>
      </c>
      <c r="L3648" s="355"/>
      <c r="M3648" s="472">
        <v>1</v>
      </c>
      <c r="N3648" s="470" t="s">
        <v>1337</v>
      </c>
      <c r="O3648" s="470" t="s">
        <v>2630</v>
      </c>
      <c r="P3648" s="472">
        <f>P3623</f>
        <v>817</v>
      </c>
      <c r="Q3648" s="470" t="s">
        <v>1337</v>
      </c>
      <c r="R3648" s="470">
        <f>M3648*P3648</f>
        <v>817</v>
      </c>
    </row>
    <row r="3649" spans="5:18" ht="52.5" customHeight="1">
      <c r="E3649" s="355"/>
      <c r="F3649" s="355"/>
      <c r="G3649" s="355"/>
      <c r="H3649" s="376" t="s">
        <v>2415</v>
      </c>
      <c r="I3649" s="355"/>
      <c r="J3649" s="355" t="s">
        <v>625</v>
      </c>
      <c r="K3649" s="355">
        <v>14.5</v>
      </c>
      <c r="L3649" s="355"/>
      <c r="M3649" s="472">
        <v>1</v>
      </c>
      <c r="N3649" s="470" t="s">
        <v>1337</v>
      </c>
      <c r="O3649" s="470" t="s">
        <v>2691</v>
      </c>
      <c r="P3649" s="472">
        <f>P3624</f>
        <v>712</v>
      </c>
      <c r="Q3649" s="470" t="s">
        <v>1337</v>
      </c>
      <c r="R3649" s="470">
        <f>M3649*P3649</f>
        <v>712</v>
      </c>
    </row>
    <row r="3650" spans="5:18" ht="24" customHeight="1">
      <c r="E3650" s="355"/>
      <c r="F3650" s="355"/>
      <c r="G3650" s="355"/>
      <c r="H3650" s="362" t="s">
        <v>2287</v>
      </c>
      <c r="I3650" s="355"/>
      <c r="J3650" s="355"/>
      <c r="K3650" s="363">
        <f>SUM(K3643:K3649)</f>
        <v>2207</v>
      </c>
      <c r="L3650" s="355">
        <f>1625-K3650</f>
        <v>-582</v>
      </c>
      <c r="M3650" s="472">
        <v>2</v>
      </c>
      <c r="N3650" s="470" t="s">
        <v>1337</v>
      </c>
      <c r="O3650" s="470" t="s">
        <v>2510</v>
      </c>
      <c r="P3650" s="472">
        <f>P3625</f>
        <v>708</v>
      </c>
      <c r="Q3650" s="470" t="s">
        <v>1337</v>
      </c>
      <c r="R3650" s="470">
        <f>M3650*P3650</f>
        <v>1416</v>
      </c>
    </row>
    <row r="3651" spans="5:18">
      <c r="E3651" s="355"/>
      <c r="F3651" s="355"/>
      <c r="G3651" s="355"/>
      <c r="H3651" s="355"/>
      <c r="I3651" s="355"/>
      <c r="J3651" s="355"/>
      <c r="K3651" s="355"/>
      <c r="L3651" s="355"/>
      <c r="M3651" s="472">
        <v>3</v>
      </c>
      <c r="N3651" s="470" t="s">
        <v>1337</v>
      </c>
      <c r="O3651" s="470" t="s">
        <v>2246</v>
      </c>
      <c r="P3651" s="472">
        <f>P3626</f>
        <v>556</v>
      </c>
      <c r="Q3651" s="470" t="s">
        <v>1337</v>
      </c>
      <c r="R3651" s="470">
        <f>M3651*P3651</f>
        <v>1668</v>
      </c>
    </row>
    <row r="3652" spans="5:18">
      <c r="E3652" s="355"/>
      <c r="F3652" s="355"/>
      <c r="G3652" s="355"/>
      <c r="H3652" s="355"/>
      <c r="I3652" s="355"/>
      <c r="J3652" s="355"/>
      <c r="K3652" s="355"/>
      <c r="L3652" s="355"/>
      <c r="M3652" s="470"/>
      <c r="N3652" s="470"/>
      <c r="O3652" s="472" t="s">
        <v>2793</v>
      </c>
      <c r="P3652" s="470"/>
      <c r="Q3652" s="470"/>
      <c r="R3652" s="476">
        <f>SUM(R3648:R3651)</f>
        <v>4613</v>
      </c>
    </row>
    <row r="3653" spans="5:18">
      <c r="E3653" s="355"/>
      <c r="F3653" s="355"/>
      <c r="G3653" s="355"/>
      <c r="H3653" s="355"/>
      <c r="I3653" s="355"/>
      <c r="J3653" s="355"/>
      <c r="K3653" s="355"/>
      <c r="L3653" s="355"/>
      <c r="M3653" s="470"/>
      <c r="N3653" s="470"/>
      <c r="O3653" s="475" t="s">
        <v>2718</v>
      </c>
      <c r="P3653" s="470"/>
      <c r="Q3653" s="470"/>
      <c r="R3653" s="471">
        <f>R3652/3</f>
        <v>1537.67</v>
      </c>
    </row>
    <row r="3654" spans="5:18">
      <c r="E3654" s="355"/>
      <c r="F3654" s="355"/>
      <c r="G3654" s="355"/>
      <c r="H3654" s="355"/>
      <c r="I3654" s="355"/>
      <c r="J3654" s="355"/>
      <c r="K3654" s="355"/>
      <c r="L3654" s="355"/>
      <c r="M3654" s="355"/>
    </row>
    <row r="3655" spans="5:18">
      <c r="E3655" s="355"/>
      <c r="F3655" s="355"/>
      <c r="G3655" s="355"/>
      <c r="H3655" s="374" t="s">
        <v>2747</v>
      </c>
      <c r="I3655" s="355"/>
      <c r="J3655" s="355"/>
      <c r="K3655" s="355"/>
      <c r="L3655" s="355"/>
      <c r="M3655" s="355"/>
    </row>
    <row r="3656" spans="5:18">
      <c r="E3656" s="355"/>
      <c r="F3656" s="355"/>
      <c r="G3656" s="355"/>
      <c r="H3656" s="355"/>
      <c r="I3656" s="355"/>
      <c r="J3656" s="355"/>
      <c r="K3656" s="355"/>
      <c r="L3656" s="355"/>
      <c r="M3656" s="355"/>
    </row>
    <row r="3657" spans="5:18">
      <c r="E3657" s="355"/>
      <c r="F3657" s="355"/>
      <c r="G3657" s="355"/>
      <c r="H3657" s="374" t="s">
        <v>2946</v>
      </c>
      <c r="I3657" s="355"/>
      <c r="J3657" s="355"/>
      <c r="K3657" s="355"/>
      <c r="L3657" s="355"/>
      <c r="M3657" s="355"/>
    </row>
    <row r="3658" spans="5:18">
      <c r="E3658" s="355"/>
      <c r="F3658" s="355"/>
      <c r="G3658" s="355"/>
      <c r="H3658" s="355"/>
      <c r="I3658" s="355"/>
      <c r="J3658" s="355"/>
      <c r="K3658" s="355"/>
      <c r="L3658" s="355"/>
      <c r="M3658" s="355"/>
    </row>
    <row r="3659" spans="5:18" ht="267.75">
      <c r="E3659" s="355"/>
      <c r="F3659" s="355"/>
      <c r="G3659" s="355"/>
      <c r="H3659" s="376" t="s">
        <v>2458</v>
      </c>
      <c r="I3659" s="355"/>
      <c r="J3659" s="355"/>
      <c r="K3659" s="355"/>
      <c r="L3659" s="355"/>
      <c r="M3659" s="1483" t="s">
        <v>4621</v>
      </c>
      <c r="N3659" s="1483"/>
      <c r="O3659" s="1483"/>
      <c r="P3659" s="1483"/>
      <c r="Q3659" s="1483"/>
      <c r="R3659" s="1483"/>
    </row>
    <row r="3660" spans="5:18">
      <c r="E3660" s="355"/>
      <c r="F3660" s="355"/>
      <c r="G3660" s="355"/>
      <c r="H3660" s="355"/>
      <c r="I3660" s="355"/>
      <c r="J3660" s="355"/>
      <c r="K3660" s="355"/>
      <c r="L3660" s="355"/>
      <c r="M3660" s="470"/>
      <c r="N3660" s="470"/>
      <c r="O3660" s="470"/>
      <c r="P3660" s="470"/>
      <c r="Q3660" s="470"/>
      <c r="R3660" s="470"/>
    </row>
    <row r="3661" spans="5:18">
      <c r="E3661" s="355"/>
      <c r="F3661" s="355"/>
      <c r="G3661" s="355"/>
      <c r="H3661" s="363" t="s">
        <v>2763</v>
      </c>
      <c r="I3661" s="355"/>
      <c r="K3661" s="355"/>
      <c r="L3661" s="355"/>
      <c r="M3661" s="472">
        <v>1</v>
      </c>
      <c r="N3661" s="470" t="s">
        <v>529</v>
      </c>
      <c r="O3661" s="470" t="s">
        <v>4833</v>
      </c>
      <c r="P3661" s="915">
        <v>5310</v>
      </c>
      <c r="Q3661" s="470" t="s">
        <v>529</v>
      </c>
      <c r="R3661" s="472">
        <f>P3661*M3661</f>
        <v>5310</v>
      </c>
    </row>
    <row r="3662" spans="5:18" ht="47.25">
      <c r="E3662" s="355"/>
      <c r="F3662" s="355">
        <v>1</v>
      </c>
      <c r="G3662" s="355" t="s">
        <v>1337</v>
      </c>
      <c r="H3662" s="354" t="s">
        <v>4204</v>
      </c>
      <c r="I3662" s="461">
        <f>I3376</f>
        <v>310</v>
      </c>
      <c r="J3662" s="355" t="s">
        <v>1337</v>
      </c>
      <c r="K3662" s="355">
        <f>F3662*I3662</f>
        <v>310</v>
      </c>
      <c r="L3662" s="355"/>
      <c r="M3662" s="876">
        <v>1</v>
      </c>
      <c r="N3662" s="877" t="s">
        <v>529</v>
      </c>
      <c r="O3662" s="877" t="s">
        <v>4834</v>
      </c>
      <c r="P3662" s="916">
        <v>1287</v>
      </c>
      <c r="Q3662" s="877" t="s">
        <v>529</v>
      </c>
      <c r="R3662" s="876">
        <f>M3662*P3662</f>
        <v>1287</v>
      </c>
    </row>
    <row r="3663" spans="5:18" ht="20.100000000000001" customHeight="1">
      <c r="E3663" s="355"/>
      <c r="F3663" s="355">
        <v>1</v>
      </c>
      <c r="G3663" s="355" t="s">
        <v>1337</v>
      </c>
      <c r="H3663" s="355" t="s">
        <v>2764</v>
      </c>
      <c r="I3663" s="355">
        <f>K3677</f>
        <v>278.37</v>
      </c>
      <c r="J3663" s="355" t="s">
        <v>1337</v>
      </c>
      <c r="K3663" s="355">
        <f t="shared" ref="K3663:K3673" si="109">F3663*I3663</f>
        <v>278.37</v>
      </c>
      <c r="L3663" s="355"/>
      <c r="M3663" s="876">
        <v>3</v>
      </c>
      <c r="N3663" s="877" t="s">
        <v>529</v>
      </c>
      <c r="O3663" s="877" t="s">
        <v>4835</v>
      </c>
      <c r="P3663" s="916">
        <v>1591</v>
      </c>
      <c r="Q3663" s="877" t="s">
        <v>529</v>
      </c>
      <c r="R3663" s="876">
        <f>M3663*P3663</f>
        <v>4773</v>
      </c>
    </row>
    <row r="3664" spans="5:18" ht="20.100000000000001" customHeight="1">
      <c r="E3664" s="355"/>
      <c r="F3664" s="355">
        <v>1</v>
      </c>
      <c r="G3664" s="355" t="s">
        <v>1337</v>
      </c>
      <c r="H3664" s="355" t="s">
        <v>3762</v>
      </c>
      <c r="I3664" s="461">
        <f>I3415</f>
        <v>84.4</v>
      </c>
      <c r="J3664" s="355" t="s">
        <v>1337</v>
      </c>
      <c r="K3664" s="355">
        <f t="shared" si="109"/>
        <v>84.4</v>
      </c>
      <c r="L3664" s="355"/>
      <c r="M3664" s="876">
        <v>3</v>
      </c>
      <c r="N3664" s="877" t="s">
        <v>529</v>
      </c>
      <c r="O3664" s="877" t="s">
        <v>4622</v>
      </c>
      <c r="P3664" s="916">
        <v>581</v>
      </c>
      <c r="Q3664" s="877" t="s">
        <v>529</v>
      </c>
      <c r="R3664" s="876">
        <f>M3664*P3664</f>
        <v>1743</v>
      </c>
    </row>
    <row r="3665" spans="4:18" ht="20.100000000000001" customHeight="1">
      <c r="E3665" s="355"/>
      <c r="F3665" s="355">
        <v>1</v>
      </c>
      <c r="G3665" s="355" t="s">
        <v>1337</v>
      </c>
      <c r="H3665" s="355" t="s">
        <v>2766</v>
      </c>
      <c r="I3665" s="355">
        <f>I3478</f>
        <v>25</v>
      </c>
      <c r="J3665" s="355" t="s">
        <v>1337</v>
      </c>
      <c r="K3665" s="355">
        <f t="shared" si="109"/>
        <v>25</v>
      </c>
      <c r="L3665" s="355"/>
      <c r="M3665" s="472">
        <v>12</v>
      </c>
      <c r="N3665" s="877" t="s">
        <v>529</v>
      </c>
      <c r="O3665" s="474" t="s">
        <v>4623</v>
      </c>
      <c r="P3665" s="472">
        <v>127</v>
      </c>
      <c r="Q3665" s="877" t="s">
        <v>529</v>
      </c>
      <c r="R3665" s="472">
        <f>M3665*P3665</f>
        <v>1524</v>
      </c>
    </row>
    <row r="3666" spans="4:18" ht="20.100000000000001" customHeight="1">
      <c r="E3666" s="355"/>
      <c r="F3666" s="355">
        <v>5</v>
      </c>
      <c r="G3666" s="355" t="s">
        <v>794</v>
      </c>
      <c r="H3666" s="355" t="s">
        <v>4540</v>
      </c>
      <c r="I3666" s="356">
        <f>I3612</f>
        <v>98.6</v>
      </c>
      <c r="J3666" s="355" t="s">
        <v>794</v>
      </c>
      <c r="K3666" s="355">
        <f t="shared" si="109"/>
        <v>493</v>
      </c>
      <c r="L3666" s="355"/>
      <c r="M3666" s="472"/>
      <c r="N3666" s="470" t="s">
        <v>625</v>
      </c>
      <c r="O3666" s="474" t="s">
        <v>4624</v>
      </c>
      <c r="P3666" s="472"/>
      <c r="Q3666" s="470" t="s">
        <v>625</v>
      </c>
      <c r="R3666" s="472">
        <v>52.7</v>
      </c>
    </row>
    <row r="3667" spans="4:18">
      <c r="E3667" s="355"/>
      <c r="F3667" s="355">
        <v>20</v>
      </c>
      <c r="G3667" s="355" t="s">
        <v>794</v>
      </c>
      <c r="H3667" s="376" t="s">
        <v>2625</v>
      </c>
      <c r="I3667" s="355">
        <f>I3098</f>
        <v>38.299999999999997</v>
      </c>
      <c r="J3667" s="355" t="s">
        <v>794</v>
      </c>
      <c r="K3667" s="355">
        <f t="shared" si="109"/>
        <v>766</v>
      </c>
      <c r="L3667" s="355"/>
      <c r="M3667" s="472"/>
      <c r="N3667" s="470" t="s">
        <v>625</v>
      </c>
      <c r="O3667" s="474" t="s">
        <v>4625</v>
      </c>
      <c r="P3667" s="1478" t="s">
        <v>625</v>
      </c>
      <c r="Q3667" s="1478"/>
      <c r="R3667" s="472">
        <v>21</v>
      </c>
    </row>
    <row r="3668" spans="4:18" ht="20.100000000000001" customHeight="1">
      <c r="E3668" s="355"/>
      <c r="F3668" s="355"/>
      <c r="G3668" s="355"/>
      <c r="H3668" s="363" t="s">
        <v>3158</v>
      </c>
      <c r="I3668" s="355"/>
      <c r="J3668" s="355"/>
      <c r="K3668" s="355"/>
      <c r="L3668" s="355"/>
      <c r="M3668" s="472"/>
      <c r="N3668" s="470"/>
      <c r="P3668" s="470"/>
      <c r="Q3668" s="470"/>
      <c r="R3668" s="475">
        <f>SUM(R3661:R3667)</f>
        <v>14710.7</v>
      </c>
    </row>
    <row r="3669" spans="4:18" ht="56.25" customHeight="1">
      <c r="E3669" s="355"/>
      <c r="F3669" s="355">
        <v>1</v>
      </c>
      <c r="G3669" s="355" t="s">
        <v>1337</v>
      </c>
      <c r="H3669" s="376" t="s">
        <v>3192</v>
      </c>
      <c r="I3669" s="355">
        <f>I3662</f>
        <v>310</v>
      </c>
      <c r="J3669" s="355" t="s">
        <v>1337</v>
      </c>
      <c r="K3669" s="355">
        <f t="shared" si="109"/>
        <v>310</v>
      </c>
      <c r="L3669" s="355"/>
      <c r="M3669" s="472"/>
      <c r="N3669" s="470"/>
      <c r="O3669" s="877" t="s">
        <v>2423</v>
      </c>
      <c r="P3669" s="877"/>
      <c r="Q3669" s="877"/>
      <c r="R3669" s="876">
        <f>R3668*1%</f>
        <v>147.11000000000001</v>
      </c>
    </row>
    <row r="3670" spans="4:18">
      <c r="E3670" s="355"/>
      <c r="F3670" s="355">
        <v>1</v>
      </c>
      <c r="G3670" s="355" t="s">
        <v>1337</v>
      </c>
      <c r="H3670" s="355" t="s">
        <v>4797</v>
      </c>
      <c r="I3670" s="425">
        <v>768</v>
      </c>
      <c r="J3670" s="355" t="s">
        <v>1337</v>
      </c>
      <c r="K3670" s="355">
        <f t="shared" si="109"/>
        <v>768</v>
      </c>
      <c r="L3670" s="355"/>
      <c r="M3670" s="355"/>
      <c r="O3670" s="878" t="s">
        <v>4626</v>
      </c>
      <c r="R3670" s="182">
        <v>1696.5</v>
      </c>
    </row>
    <row r="3671" spans="4:18">
      <c r="E3671" s="355"/>
      <c r="F3671" s="355">
        <v>1</v>
      </c>
      <c r="G3671" s="355" t="s">
        <v>1337</v>
      </c>
      <c r="H3671" s="355" t="s">
        <v>3193</v>
      </c>
      <c r="I3671" s="757">
        <v>93.5</v>
      </c>
      <c r="J3671" s="355" t="s">
        <v>1337</v>
      </c>
      <c r="K3671" s="355">
        <f t="shared" si="109"/>
        <v>93.5</v>
      </c>
      <c r="L3671" s="355"/>
      <c r="M3671" s="355"/>
      <c r="O3671" s="475" t="s">
        <v>2287</v>
      </c>
      <c r="R3671" s="182">
        <f>R3670+R3669+R3668</f>
        <v>16554.310000000001</v>
      </c>
    </row>
    <row r="3672" spans="4:18">
      <c r="E3672" s="355"/>
      <c r="F3672" s="355">
        <v>1</v>
      </c>
      <c r="G3672" s="355" t="s">
        <v>1337</v>
      </c>
      <c r="H3672" s="355" t="s">
        <v>3194</v>
      </c>
      <c r="I3672" s="757">
        <v>89.6</v>
      </c>
      <c r="J3672" s="355" t="s">
        <v>1337</v>
      </c>
      <c r="K3672" s="355">
        <f t="shared" si="109"/>
        <v>89.6</v>
      </c>
      <c r="L3672" s="355"/>
      <c r="M3672" s="355"/>
      <c r="O3672" s="475" t="s">
        <v>4121</v>
      </c>
      <c r="R3672" s="191">
        <v>16417</v>
      </c>
    </row>
    <row r="3673" spans="4:18">
      <c r="E3673" s="355"/>
      <c r="F3673" s="355">
        <v>1</v>
      </c>
      <c r="G3673" s="355" t="s">
        <v>1337</v>
      </c>
      <c r="H3673" s="355" t="s">
        <v>2764</v>
      </c>
      <c r="I3673" s="355">
        <f>K3677</f>
        <v>278.37</v>
      </c>
      <c r="J3673" s="355" t="s">
        <v>1337</v>
      </c>
      <c r="K3673" s="355">
        <f t="shared" si="109"/>
        <v>278.37</v>
      </c>
      <c r="L3673" s="355"/>
      <c r="M3673" s="355"/>
    </row>
    <row r="3674" spans="4:18">
      <c r="D3674" s="378">
        <f>0.6*0.225*0.02</f>
        <v>2.7000000000000001E-3</v>
      </c>
      <c r="E3674" s="355"/>
      <c r="F3674" s="355"/>
      <c r="G3674" s="355"/>
      <c r="H3674" s="355" t="s">
        <v>2545</v>
      </c>
      <c r="I3674" s="355"/>
      <c r="J3674" s="355"/>
      <c r="K3674" s="355">
        <f>K3627</f>
        <v>1537.67</v>
      </c>
      <c r="L3674" s="355"/>
      <c r="M3674" s="355"/>
    </row>
    <row r="3675" spans="4:18" ht="41.25" customHeight="1">
      <c r="E3675" s="355"/>
      <c r="F3675" s="355"/>
      <c r="G3675" s="355"/>
      <c r="H3675" s="376" t="s">
        <v>2546</v>
      </c>
      <c r="I3675" s="355"/>
      <c r="J3675" s="355"/>
      <c r="K3675" s="355">
        <v>10.47</v>
      </c>
      <c r="L3675" s="355"/>
      <c r="M3675" s="355">
        <f>4685-K3676</f>
        <v>-359.38</v>
      </c>
    </row>
    <row r="3676" spans="4:18" ht="24.95" customHeight="1">
      <c r="E3676" s="355"/>
      <c r="F3676" s="355"/>
      <c r="G3676" s="355"/>
      <c r="H3676" s="360" t="s">
        <v>1024</v>
      </c>
      <c r="I3676" s="355"/>
      <c r="J3676" s="355"/>
      <c r="K3676" s="363">
        <f>SUM(K3662:K3675)</f>
        <v>5044.38</v>
      </c>
      <c r="L3676" s="355"/>
      <c r="M3676" s="355">
        <f>K3676-4190</f>
        <v>854.38</v>
      </c>
    </row>
    <row r="3677" spans="4:18" ht="20.100000000000001" customHeight="1">
      <c r="E3677" s="355"/>
      <c r="F3677" s="355"/>
      <c r="G3677" s="355"/>
      <c r="H3677" s="363" t="s">
        <v>4578</v>
      </c>
      <c r="I3677" s="355">
        <f>I3628</f>
        <v>103100</v>
      </c>
      <c r="J3677" s="369">
        <v>2.7000000000000001E-3</v>
      </c>
      <c r="K3677" s="363">
        <f>I3677*J3677</f>
        <v>278.37</v>
      </c>
      <c r="L3677" s="355"/>
      <c r="M3677" s="355"/>
    </row>
    <row r="3678" spans="4:18">
      <c r="E3678" s="355"/>
      <c r="F3678" s="355"/>
      <c r="G3678" s="355"/>
      <c r="H3678" s="363" t="s">
        <v>2547</v>
      </c>
      <c r="I3678" s="355"/>
      <c r="J3678" s="355"/>
      <c r="K3678" s="355"/>
      <c r="L3678" s="355"/>
      <c r="M3678" s="355"/>
    </row>
    <row r="3679" spans="4:18">
      <c r="E3679" s="355"/>
      <c r="F3679" s="355"/>
      <c r="G3679" s="355"/>
      <c r="H3679" s="363"/>
      <c r="I3679" s="355"/>
      <c r="J3679" s="355"/>
      <c r="K3679" s="355"/>
      <c r="L3679" s="355"/>
      <c r="M3679" s="355"/>
    </row>
    <row r="3680" spans="4:18" ht="31.5">
      <c r="E3680" s="355"/>
      <c r="F3680" s="355"/>
      <c r="G3680" s="355"/>
      <c r="H3680" s="353" t="s">
        <v>1663</v>
      </c>
      <c r="I3680" s="355"/>
      <c r="J3680" s="355"/>
      <c r="K3680" s="355"/>
      <c r="L3680" s="355"/>
      <c r="M3680" s="355"/>
    </row>
    <row r="3681" spans="5:13">
      <c r="E3681" s="355"/>
      <c r="F3681" s="355"/>
      <c r="G3681" s="355"/>
      <c r="H3681" s="355" t="s">
        <v>767</v>
      </c>
      <c r="I3681" s="355"/>
      <c r="J3681" s="355"/>
      <c r="K3681" s="355"/>
      <c r="L3681" s="355"/>
      <c r="M3681" s="355"/>
    </row>
    <row r="3682" spans="5:13" ht="35.25" customHeight="1">
      <c r="E3682" s="355"/>
      <c r="F3682" s="355">
        <v>90</v>
      </c>
      <c r="G3682" s="355" t="s">
        <v>347</v>
      </c>
      <c r="H3682" s="354" t="s">
        <v>2132</v>
      </c>
      <c r="I3682" s="461">
        <f>I2996</f>
        <v>19.100000000000001</v>
      </c>
      <c r="J3682" s="355" t="s">
        <v>347</v>
      </c>
      <c r="K3682" s="355">
        <f>F3682*I3682</f>
        <v>1719</v>
      </c>
      <c r="L3682" s="355"/>
      <c r="M3682" s="355"/>
    </row>
    <row r="3683" spans="5:13">
      <c r="E3683" s="355"/>
      <c r="F3683" s="355">
        <v>0.15</v>
      </c>
      <c r="G3683" s="355" t="s">
        <v>494</v>
      </c>
      <c r="H3683" s="355" t="s">
        <v>829</v>
      </c>
      <c r="I3683" s="461">
        <f>Data!Y31</f>
        <v>5960</v>
      </c>
      <c r="J3683" s="355" t="s">
        <v>494</v>
      </c>
      <c r="K3683" s="355">
        <f>F3683*I3683</f>
        <v>894</v>
      </c>
      <c r="L3683" s="355"/>
      <c r="M3683" s="355"/>
    </row>
    <row r="3684" spans="5:13">
      <c r="E3684" s="355"/>
      <c r="F3684" s="355">
        <v>1</v>
      </c>
      <c r="G3684" s="355" t="s">
        <v>739</v>
      </c>
      <c r="H3684" s="355" t="s">
        <v>346</v>
      </c>
      <c r="I3684" s="355">
        <f>I3623</f>
        <v>712</v>
      </c>
      <c r="J3684" s="355" t="s">
        <v>739</v>
      </c>
      <c r="K3684" s="355">
        <f>F3684*I3684</f>
        <v>712</v>
      </c>
      <c r="L3684" s="355"/>
      <c r="M3684" s="355"/>
    </row>
    <row r="3685" spans="5:13">
      <c r="E3685" s="355"/>
      <c r="F3685" s="355">
        <v>2</v>
      </c>
      <c r="G3685" s="355" t="s">
        <v>739</v>
      </c>
      <c r="H3685" s="355" t="s">
        <v>1654</v>
      </c>
      <c r="I3685" s="461">
        <f>I2871</f>
        <v>804</v>
      </c>
      <c r="J3685" s="355" t="s">
        <v>739</v>
      </c>
      <c r="K3685" s="355">
        <f>F3685*I3685</f>
        <v>1608</v>
      </c>
      <c r="L3685" s="355"/>
      <c r="M3685" s="355"/>
    </row>
    <row r="3686" spans="5:13">
      <c r="E3686" s="355"/>
      <c r="F3686" s="355">
        <v>4</v>
      </c>
      <c r="G3686" s="355" t="s">
        <v>739</v>
      </c>
      <c r="H3686" s="355" t="s">
        <v>1237</v>
      </c>
      <c r="I3686" s="355">
        <f>I3590</f>
        <v>556</v>
      </c>
      <c r="J3686" s="355" t="s">
        <v>739</v>
      </c>
      <c r="K3686" s="355">
        <f>F3686*I3686</f>
        <v>2224</v>
      </c>
      <c r="L3686" s="355"/>
      <c r="M3686" s="355"/>
    </row>
    <row r="3687" spans="5:13" ht="30" customHeight="1">
      <c r="E3687" s="355"/>
      <c r="F3687" s="355"/>
      <c r="G3687" s="355"/>
      <c r="H3687" s="354" t="s">
        <v>348</v>
      </c>
      <c r="I3687" s="355"/>
      <c r="J3687" s="355"/>
      <c r="K3687" s="355">
        <v>101</v>
      </c>
      <c r="L3687" s="355"/>
      <c r="M3687" s="355"/>
    </row>
    <row r="3688" spans="5:13" ht="18.75" customHeight="1">
      <c r="E3688" s="355"/>
      <c r="F3688" s="355"/>
      <c r="G3688" s="355"/>
      <c r="H3688" s="360" t="s">
        <v>2183</v>
      </c>
      <c r="I3688" s="355"/>
      <c r="J3688" s="355"/>
      <c r="K3688" s="355">
        <f>SUM(K3682:K3687)</f>
        <v>7258</v>
      </c>
      <c r="L3688" s="355"/>
      <c r="M3688" s="355">
        <f>K3688-M3689</f>
        <v>1534</v>
      </c>
    </row>
    <row r="3689" spans="5:13" ht="18.75" customHeight="1">
      <c r="E3689" s="355"/>
      <c r="F3689" s="355"/>
      <c r="G3689" s="355"/>
      <c r="H3689" s="362" t="s">
        <v>1083</v>
      </c>
      <c r="I3689" s="355"/>
      <c r="J3689" s="355"/>
      <c r="K3689" s="379">
        <f>K3688/90</f>
        <v>80.64</v>
      </c>
      <c r="L3689" s="355">
        <f>58.5*90</f>
        <v>5265</v>
      </c>
      <c r="M3689" s="355">
        <f>63.6*90</f>
        <v>5724</v>
      </c>
    </row>
    <row r="3690" spans="5:13">
      <c r="E3690" s="355"/>
      <c r="F3690" s="355"/>
      <c r="G3690" s="355"/>
      <c r="H3690" s="355"/>
      <c r="I3690" s="355"/>
      <c r="J3690" s="355"/>
      <c r="K3690" s="355"/>
      <c r="L3690" s="355">
        <f>L3689-K3688</f>
        <v>-1993</v>
      </c>
      <c r="M3690" s="355"/>
    </row>
    <row r="3691" spans="5:13" ht="20.25" customHeight="1">
      <c r="E3691" s="355"/>
      <c r="F3691" s="355"/>
      <c r="G3691" s="355"/>
      <c r="H3691" s="363" t="s">
        <v>2548</v>
      </c>
      <c r="I3691" s="355"/>
      <c r="J3691" s="355"/>
      <c r="K3691" s="355"/>
      <c r="L3691" s="355"/>
      <c r="M3691" s="355"/>
    </row>
    <row r="3692" spans="5:13" ht="20.25" customHeight="1">
      <c r="E3692" s="355"/>
      <c r="F3692" s="355"/>
      <c r="G3692" s="355"/>
      <c r="H3692" s="355" t="s">
        <v>2549</v>
      </c>
      <c r="I3692" s="355"/>
      <c r="J3692" s="355"/>
      <c r="K3692" s="355">
        <f>K3689</f>
        <v>80.64</v>
      </c>
      <c r="L3692" s="355"/>
      <c r="M3692" s="355"/>
    </row>
    <row r="3693" spans="5:13" ht="20.25" customHeight="1">
      <c r="E3693" s="355"/>
      <c r="F3693" s="355">
        <v>1</v>
      </c>
      <c r="G3693" s="355" t="s">
        <v>794</v>
      </c>
      <c r="H3693" s="355" t="s">
        <v>3932</v>
      </c>
      <c r="I3693" s="355">
        <f>I3682</f>
        <v>19.100000000000001</v>
      </c>
      <c r="J3693" s="355" t="s">
        <v>794</v>
      </c>
      <c r="K3693" s="355">
        <f>F3693*I3693</f>
        <v>19.100000000000001</v>
      </c>
      <c r="L3693" s="355"/>
      <c r="M3693" s="355"/>
    </row>
    <row r="3694" spans="5:13" ht="20.25" customHeight="1">
      <c r="E3694" s="355"/>
      <c r="F3694" s="355">
        <v>1</v>
      </c>
      <c r="G3694" s="355" t="s">
        <v>794</v>
      </c>
      <c r="H3694" s="355" t="s">
        <v>4205</v>
      </c>
      <c r="I3694" s="355">
        <f>I3113</f>
        <v>28.4</v>
      </c>
      <c r="J3694" s="355" t="s">
        <v>794</v>
      </c>
      <c r="K3694" s="355">
        <f>F3694*I3694</f>
        <v>28.4</v>
      </c>
      <c r="L3694" s="355"/>
      <c r="M3694" s="355"/>
    </row>
    <row r="3695" spans="5:13" ht="20.25" customHeight="1">
      <c r="E3695" s="355"/>
      <c r="F3695" s="355"/>
      <c r="G3695" s="355"/>
      <c r="H3695" s="355"/>
      <c r="I3695" s="355"/>
      <c r="J3695" s="355"/>
      <c r="K3695" s="363">
        <f>(K3692-K3693)+K3694</f>
        <v>89.94</v>
      </c>
      <c r="L3695" s="355"/>
      <c r="M3695" s="355"/>
    </row>
    <row r="3696" spans="5:13" ht="20.25" customHeight="1">
      <c r="E3696" s="355"/>
      <c r="F3696" s="355"/>
      <c r="G3696" s="355"/>
      <c r="H3696" s="363" t="s">
        <v>2551</v>
      </c>
      <c r="I3696" s="355"/>
      <c r="J3696" s="355"/>
      <c r="K3696" s="355"/>
      <c r="L3696" s="355"/>
      <c r="M3696" s="355"/>
    </row>
    <row r="3697" spans="5:13">
      <c r="E3697" s="355"/>
      <c r="F3697" s="355"/>
      <c r="G3697" s="355"/>
      <c r="H3697" s="363"/>
      <c r="I3697" s="355"/>
      <c r="J3697" s="355"/>
      <c r="K3697" s="355"/>
      <c r="L3697" s="355"/>
      <c r="M3697" s="355"/>
    </row>
    <row r="3698" spans="5:13" ht="19.5" customHeight="1">
      <c r="E3698" s="355"/>
      <c r="F3698" s="355"/>
      <c r="G3698" s="355"/>
      <c r="H3698" s="363" t="s">
        <v>2552</v>
      </c>
      <c r="I3698" s="355"/>
      <c r="J3698" s="355"/>
      <c r="K3698" s="355"/>
      <c r="L3698" s="355"/>
      <c r="M3698" s="355"/>
    </row>
    <row r="3699" spans="5:13" ht="21.75" customHeight="1">
      <c r="E3699" s="355"/>
      <c r="F3699" s="355">
        <v>1</v>
      </c>
      <c r="G3699" s="355" t="s">
        <v>1337</v>
      </c>
      <c r="H3699" s="355" t="s">
        <v>4798</v>
      </c>
      <c r="I3699" s="356">
        <v>37.1</v>
      </c>
      <c r="J3699" s="355" t="s">
        <v>1337</v>
      </c>
      <c r="K3699" s="355">
        <f>F3699*I3699</f>
        <v>37.1</v>
      </c>
      <c r="L3699" s="355"/>
      <c r="M3699" s="355"/>
    </row>
    <row r="3700" spans="5:13" ht="21.75" customHeight="1">
      <c r="E3700" s="355"/>
      <c r="F3700" s="358">
        <v>1.4999999999999999E-2</v>
      </c>
      <c r="G3700" s="355" t="s">
        <v>2199</v>
      </c>
      <c r="H3700" s="376" t="s">
        <v>3408</v>
      </c>
      <c r="I3700" s="355">
        <f>I3000</f>
        <v>630</v>
      </c>
      <c r="J3700" s="355" t="s">
        <v>2199</v>
      </c>
      <c r="K3700" s="355">
        <f>F3700*I3700</f>
        <v>9.4499999999999993</v>
      </c>
      <c r="L3700" s="355"/>
      <c r="M3700" s="355"/>
    </row>
    <row r="3701" spans="5:13" ht="21.75" customHeight="1">
      <c r="E3701" s="355"/>
      <c r="F3701" s="355"/>
      <c r="G3701" s="355"/>
      <c r="H3701" s="355" t="s">
        <v>3398</v>
      </c>
      <c r="I3701" s="355"/>
      <c r="J3701" s="355" t="s">
        <v>625</v>
      </c>
      <c r="K3701" s="355">
        <v>7.45</v>
      </c>
      <c r="L3701" s="355"/>
      <c r="M3701" s="355"/>
    </row>
    <row r="3702" spans="5:13" ht="21.75" customHeight="1">
      <c r="E3702" s="355"/>
      <c r="F3702" s="355"/>
      <c r="G3702" s="355"/>
      <c r="H3702" s="362" t="s">
        <v>1024</v>
      </c>
      <c r="I3702" s="355"/>
      <c r="J3702" s="355"/>
      <c r="K3702" s="363">
        <f>SUM(K3699:K3701)</f>
        <v>54</v>
      </c>
      <c r="L3702" s="355">
        <f>K3702-49</f>
        <v>5</v>
      </c>
      <c r="M3702" s="355"/>
    </row>
    <row r="3703" spans="5:13">
      <c r="E3703" s="355"/>
      <c r="F3703" s="355"/>
      <c r="G3703" s="355"/>
      <c r="H3703" s="355"/>
      <c r="I3703" s="355"/>
      <c r="J3703" s="355"/>
      <c r="K3703" s="355"/>
      <c r="L3703" s="355"/>
      <c r="M3703" s="355"/>
    </row>
    <row r="3704" spans="5:13">
      <c r="E3704" s="355"/>
      <c r="F3704" s="355"/>
      <c r="G3704" s="355"/>
      <c r="H3704" s="363" t="s">
        <v>3399</v>
      </c>
      <c r="I3704" s="355"/>
      <c r="J3704" s="355"/>
      <c r="K3704" s="355"/>
      <c r="L3704" s="355"/>
      <c r="M3704" s="355"/>
    </row>
    <row r="3705" spans="5:13">
      <c r="E3705" s="355"/>
      <c r="F3705" s="355"/>
      <c r="G3705" s="355"/>
      <c r="H3705" s="355"/>
      <c r="I3705" s="355"/>
      <c r="J3705" s="355"/>
      <c r="K3705" s="355"/>
      <c r="L3705" s="355"/>
      <c r="M3705" s="355"/>
    </row>
    <row r="3706" spans="5:13" ht="57.75" customHeight="1">
      <c r="E3706" s="355"/>
      <c r="F3706" s="355"/>
      <c r="G3706" s="355"/>
      <c r="H3706" s="483" t="s">
        <v>3329</v>
      </c>
      <c r="I3706" s="355"/>
      <c r="J3706" s="355"/>
      <c r="K3706" s="355"/>
      <c r="L3706" s="355"/>
      <c r="M3706" s="355"/>
    </row>
    <row r="3707" spans="5:13">
      <c r="E3707" s="355"/>
      <c r="F3707" s="355"/>
      <c r="G3707" s="355"/>
      <c r="H3707" s="355"/>
      <c r="I3707" s="355"/>
      <c r="J3707" s="355"/>
      <c r="K3707" s="355"/>
      <c r="L3707" s="355"/>
      <c r="M3707" s="355"/>
    </row>
    <row r="3708" spans="5:13" ht="21.75" customHeight="1">
      <c r="E3708" s="355"/>
      <c r="F3708" s="355">
        <v>1</v>
      </c>
      <c r="G3708" s="355" t="s">
        <v>1337</v>
      </c>
      <c r="H3708" s="355" t="s">
        <v>4799</v>
      </c>
      <c r="I3708" s="356">
        <v>13.8</v>
      </c>
      <c r="J3708" s="355" t="s">
        <v>1337</v>
      </c>
      <c r="K3708" s="355">
        <f>F3708*I3708</f>
        <v>13.8</v>
      </c>
      <c r="L3708" s="355"/>
      <c r="M3708" s="355"/>
    </row>
    <row r="3709" spans="5:13" ht="21.75" customHeight="1">
      <c r="E3709" s="355"/>
      <c r="F3709" s="355">
        <v>0.01</v>
      </c>
      <c r="G3709" s="355" t="s">
        <v>3400</v>
      </c>
      <c r="H3709" s="355" t="s">
        <v>3408</v>
      </c>
      <c r="I3709" s="355">
        <f>I3700</f>
        <v>630</v>
      </c>
      <c r="J3709" s="355" t="s">
        <v>2199</v>
      </c>
      <c r="K3709" s="355">
        <f>F3709*I3709</f>
        <v>6.3</v>
      </c>
      <c r="L3709" s="355"/>
      <c r="M3709" s="355"/>
    </row>
    <row r="3710" spans="5:13" ht="21.75" customHeight="1">
      <c r="E3710" s="355"/>
      <c r="F3710" s="355">
        <v>1</v>
      </c>
      <c r="G3710" s="355" t="s">
        <v>1337</v>
      </c>
      <c r="H3710" s="355" t="s">
        <v>3401</v>
      </c>
      <c r="I3710" s="529">
        <v>49.5</v>
      </c>
      <c r="J3710" s="355" t="s">
        <v>1337</v>
      </c>
      <c r="K3710" s="355">
        <f>F3710*I3710</f>
        <v>49.5</v>
      </c>
      <c r="L3710" s="355"/>
      <c r="M3710" s="355"/>
    </row>
    <row r="3711" spans="5:13" ht="21.75" customHeight="1">
      <c r="E3711" s="355"/>
      <c r="F3711" s="355"/>
      <c r="G3711" s="355"/>
      <c r="H3711" s="355" t="s">
        <v>3402</v>
      </c>
      <c r="I3711" s="355" t="s">
        <v>625</v>
      </c>
      <c r="J3711" s="355"/>
      <c r="K3711" s="355">
        <v>7.07</v>
      </c>
      <c r="L3711" s="355"/>
      <c r="M3711" s="355"/>
    </row>
    <row r="3712" spans="5:13" ht="21.75" customHeight="1">
      <c r="E3712" s="355"/>
      <c r="F3712" s="355"/>
      <c r="G3712" s="355"/>
      <c r="H3712" s="362" t="s">
        <v>3403</v>
      </c>
      <c r="I3712" s="355"/>
      <c r="J3712" s="355"/>
      <c r="K3712" s="363">
        <f>SUM(K3708:K3711)</f>
        <v>76.67</v>
      </c>
      <c r="L3712" s="355"/>
      <c r="M3712" s="355">
        <f>K3712-75</f>
        <v>1.67</v>
      </c>
    </row>
    <row r="3713" spans="5:13">
      <c r="E3713" s="355"/>
      <c r="F3713" s="355"/>
      <c r="G3713" s="355"/>
      <c r="H3713" s="355"/>
      <c r="I3713" s="355"/>
      <c r="J3713" s="355"/>
      <c r="K3713" s="355"/>
      <c r="L3713" s="355"/>
      <c r="M3713" s="355"/>
    </row>
    <row r="3714" spans="5:13">
      <c r="E3714" s="355"/>
      <c r="F3714" s="355"/>
      <c r="G3714" s="355"/>
      <c r="H3714" s="363" t="s">
        <v>3404</v>
      </c>
      <c r="I3714" s="355"/>
      <c r="J3714" s="355"/>
      <c r="K3714" s="355"/>
      <c r="L3714" s="355"/>
      <c r="M3714" s="355"/>
    </row>
    <row r="3715" spans="5:13">
      <c r="E3715" s="355"/>
      <c r="F3715" s="355"/>
      <c r="G3715" s="355"/>
      <c r="H3715" s="355"/>
      <c r="I3715" s="355"/>
      <c r="J3715" s="355"/>
      <c r="K3715" s="355"/>
      <c r="L3715" s="355"/>
      <c r="M3715" s="355"/>
    </row>
    <row r="3716" spans="5:13" ht="287.25" customHeight="1">
      <c r="E3716" s="355"/>
      <c r="F3716" s="355"/>
      <c r="G3716" s="355"/>
      <c r="H3716" s="469" t="s">
        <v>2912</v>
      </c>
      <c r="I3716" s="355"/>
      <c r="J3716" s="355"/>
      <c r="K3716" s="355"/>
      <c r="L3716" s="355"/>
      <c r="M3716" s="355"/>
    </row>
    <row r="3717" spans="5:13">
      <c r="E3717" s="355"/>
      <c r="F3717" s="355"/>
      <c r="G3717" s="355"/>
      <c r="H3717" s="355"/>
      <c r="I3717" s="355"/>
      <c r="J3717" s="355"/>
      <c r="K3717" s="355"/>
      <c r="L3717" s="355"/>
      <c r="M3717" s="355"/>
    </row>
    <row r="3718" spans="5:13" ht="22.5" customHeight="1">
      <c r="F3718" s="355">
        <v>6</v>
      </c>
      <c r="G3718" s="355" t="s">
        <v>794</v>
      </c>
      <c r="H3718" s="355" t="s">
        <v>4800</v>
      </c>
      <c r="I3718" s="356">
        <v>244.4</v>
      </c>
      <c r="J3718" s="355" t="s">
        <v>794</v>
      </c>
      <c r="K3718" s="355">
        <f>F3718*I3718</f>
        <v>1466.4</v>
      </c>
      <c r="L3718" s="355"/>
      <c r="M3718" s="355"/>
    </row>
    <row r="3719" spans="5:13" ht="22.5" customHeight="1">
      <c r="F3719" s="355">
        <v>2</v>
      </c>
      <c r="G3719" s="355" t="s">
        <v>794</v>
      </c>
      <c r="H3719" s="355" t="str">
        <f>H3666</f>
        <v>20 mm dia 'B' class GI pipe p- 50 it-142 iv</v>
      </c>
      <c r="I3719" s="355">
        <f>I3666</f>
        <v>98.6</v>
      </c>
      <c r="J3719" s="355" t="s">
        <v>794</v>
      </c>
      <c r="K3719" s="355">
        <f>F3719*I3719</f>
        <v>197.2</v>
      </c>
      <c r="L3719" s="355"/>
      <c r="M3719" s="355"/>
    </row>
    <row r="3720" spans="5:13" ht="22.5" customHeight="1">
      <c r="F3720" s="355">
        <v>1</v>
      </c>
      <c r="G3720" s="355" t="s">
        <v>1337</v>
      </c>
      <c r="H3720" s="355" t="s">
        <v>4579</v>
      </c>
      <c r="I3720" s="425">
        <v>194.1</v>
      </c>
      <c r="J3720" s="355" t="s">
        <v>1337</v>
      </c>
      <c r="K3720" s="355">
        <f>F3720*I3720</f>
        <v>194.1</v>
      </c>
      <c r="L3720" s="355"/>
      <c r="M3720" s="355"/>
    </row>
    <row r="3721" spans="5:13" ht="22.5" customHeight="1">
      <c r="F3721" s="355">
        <v>1</v>
      </c>
      <c r="G3721" s="355" t="s">
        <v>1337</v>
      </c>
      <c r="H3721" s="355" t="s">
        <v>4801</v>
      </c>
      <c r="I3721" s="425">
        <v>102.7</v>
      </c>
      <c r="J3721" s="355" t="s">
        <v>1337</v>
      </c>
      <c r="K3721" s="355">
        <f>F3721*I3721</f>
        <v>102.7</v>
      </c>
      <c r="L3721" s="355"/>
      <c r="M3721" s="355"/>
    </row>
    <row r="3722" spans="5:13" ht="22.5" customHeight="1">
      <c r="F3722" s="358">
        <v>0.23799999999999999</v>
      </c>
      <c r="G3722" s="355" t="s">
        <v>2070</v>
      </c>
      <c r="H3722" s="355" t="s">
        <v>4580</v>
      </c>
      <c r="I3722" s="529">
        <v>6400</v>
      </c>
      <c r="J3722" s="355" t="s">
        <v>2070</v>
      </c>
      <c r="K3722" s="355">
        <f>F3722*I3722</f>
        <v>1523.2</v>
      </c>
      <c r="L3722" s="355"/>
      <c r="M3722" s="355"/>
    </row>
    <row r="3723" spans="5:13" ht="43.5" customHeight="1">
      <c r="F3723" s="355"/>
      <c r="G3723" s="355" t="s">
        <v>625</v>
      </c>
      <c r="H3723" s="376" t="s">
        <v>2994</v>
      </c>
      <c r="I3723" s="355" t="s">
        <v>625</v>
      </c>
      <c r="J3723" s="355"/>
      <c r="K3723" s="355">
        <v>250</v>
      </c>
      <c r="L3723" s="355"/>
      <c r="M3723" s="355"/>
    </row>
    <row r="3724" spans="5:13" ht="60.75" customHeight="1">
      <c r="F3724" s="355">
        <v>1</v>
      </c>
      <c r="G3724" s="355" t="s">
        <v>1337</v>
      </c>
      <c r="H3724" s="354" t="s">
        <v>2637</v>
      </c>
      <c r="I3724" s="355" t="s">
        <v>625</v>
      </c>
      <c r="J3724" s="355"/>
      <c r="K3724" s="355">
        <v>97.7</v>
      </c>
      <c r="L3724" s="355"/>
      <c r="M3724" s="355"/>
    </row>
    <row r="3725" spans="5:13" ht="37.5" customHeight="1">
      <c r="F3725" s="355">
        <v>8</v>
      </c>
      <c r="G3725" s="355" t="s">
        <v>794</v>
      </c>
      <c r="H3725" s="376" t="s">
        <v>2638</v>
      </c>
      <c r="I3725" s="355">
        <f>I2843</f>
        <v>15.5</v>
      </c>
      <c r="J3725" s="355"/>
      <c r="K3725" s="355">
        <f>F3725*I3725</f>
        <v>124</v>
      </c>
      <c r="L3725" s="355"/>
      <c r="M3725" s="355"/>
    </row>
    <row r="3726" spans="5:13">
      <c r="E3726" s="355"/>
      <c r="F3726" s="355"/>
      <c r="G3726" s="355"/>
      <c r="H3726" s="355" t="s">
        <v>878</v>
      </c>
      <c r="I3726" s="355"/>
      <c r="J3726" s="355"/>
      <c r="K3726" s="355">
        <f>K3733</f>
        <v>2884</v>
      </c>
      <c r="L3726" s="355"/>
      <c r="M3726" s="355"/>
    </row>
    <row r="3727" spans="5:13">
      <c r="E3727" s="355"/>
      <c r="F3727" s="355"/>
      <c r="G3727" s="355"/>
      <c r="H3727" s="362" t="s">
        <v>1024</v>
      </c>
      <c r="I3727" s="355"/>
      <c r="J3727" s="355"/>
      <c r="K3727" s="363">
        <f>SUM(K3718:K3726)+1.1</f>
        <v>6840.4</v>
      </c>
      <c r="L3727" s="355"/>
      <c r="M3727" s="355">
        <f>K3727-5160</f>
        <v>1680.4</v>
      </c>
    </row>
    <row r="3728" spans="5:13" ht="3.75" customHeight="1">
      <c r="E3728" s="355"/>
      <c r="F3728" s="355"/>
      <c r="G3728" s="355"/>
      <c r="H3728" s="355"/>
      <c r="I3728" s="355"/>
      <c r="J3728" s="355"/>
      <c r="K3728" s="355"/>
      <c r="L3728" s="355"/>
      <c r="M3728" s="355"/>
    </row>
    <row r="3729" spans="5:13">
      <c r="E3729" s="355"/>
      <c r="F3729" s="355"/>
      <c r="G3729" s="355"/>
      <c r="H3729" s="361" t="s">
        <v>138</v>
      </c>
      <c r="I3729" s="355"/>
      <c r="J3729" s="355"/>
      <c r="K3729" s="355"/>
      <c r="L3729" s="355"/>
      <c r="M3729" s="355"/>
    </row>
    <row r="3730" spans="5:13">
      <c r="E3730" s="355"/>
      <c r="F3730" s="355">
        <v>0.5</v>
      </c>
      <c r="G3730" s="355" t="s">
        <v>1337</v>
      </c>
      <c r="H3730" s="355" t="s">
        <v>2691</v>
      </c>
      <c r="I3730" s="355">
        <f>I3623</f>
        <v>712</v>
      </c>
      <c r="J3730" s="355" t="s">
        <v>1337</v>
      </c>
      <c r="K3730" s="355">
        <f>F3730*I3730</f>
        <v>356</v>
      </c>
      <c r="L3730" s="355"/>
      <c r="M3730" s="355"/>
    </row>
    <row r="3731" spans="5:13">
      <c r="E3731" s="355"/>
      <c r="F3731" s="355">
        <v>2</v>
      </c>
      <c r="G3731" s="355" t="s">
        <v>1337</v>
      </c>
      <c r="H3731" s="355" t="s">
        <v>2510</v>
      </c>
      <c r="I3731" s="355">
        <f>I3624</f>
        <v>708</v>
      </c>
      <c r="J3731" s="355" t="s">
        <v>1337</v>
      </c>
      <c r="K3731" s="355">
        <f>F3731*I3731</f>
        <v>1416</v>
      </c>
      <c r="L3731" s="355"/>
      <c r="M3731" s="355"/>
    </row>
    <row r="3732" spans="5:13">
      <c r="E3732" s="355"/>
      <c r="F3732" s="355">
        <v>2</v>
      </c>
      <c r="G3732" s="355" t="s">
        <v>1337</v>
      </c>
      <c r="H3732" s="355" t="s">
        <v>2246</v>
      </c>
      <c r="I3732" s="355">
        <f>I3625</f>
        <v>556</v>
      </c>
      <c r="J3732" s="355" t="s">
        <v>1337</v>
      </c>
      <c r="K3732" s="355">
        <f>F3732*I3732</f>
        <v>1112</v>
      </c>
      <c r="L3732" s="355"/>
      <c r="M3732" s="355"/>
    </row>
    <row r="3733" spans="5:13">
      <c r="E3733" s="355"/>
      <c r="F3733" s="355"/>
      <c r="G3733" s="355"/>
      <c r="H3733" s="355"/>
      <c r="I3733" s="355"/>
      <c r="J3733" s="355"/>
      <c r="K3733" s="361">
        <f>SUM(K3730:K3732)</f>
        <v>2884</v>
      </c>
      <c r="L3733" s="355"/>
      <c r="M3733" s="355"/>
    </row>
    <row r="3734" spans="5:13">
      <c r="E3734" s="355"/>
      <c r="F3734" s="355"/>
      <c r="G3734" s="355"/>
      <c r="H3734" s="355"/>
      <c r="I3734" s="355"/>
      <c r="J3734" s="355"/>
      <c r="K3734" s="355"/>
      <c r="L3734" s="355"/>
      <c r="M3734" s="355"/>
    </row>
    <row r="3735" spans="5:13" ht="24.95" customHeight="1">
      <c r="E3735" s="355"/>
      <c r="F3735" s="355"/>
      <c r="G3735" s="355"/>
      <c r="H3735" s="363" t="s">
        <v>2639</v>
      </c>
      <c r="I3735" s="355"/>
      <c r="J3735" s="355"/>
      <c r="K3735" s="355"/>
      <c r="L3735" s="355"/>
      <c r="M3735" s="355"/>
    </row>
    <row r="3736" spans="5:13">
      <c r="E3736" s="355"/>
      <c r="F3736" s="355"/>
      <c r="G3736" s="355"/>
      <c r="H3736" s="355"/>
      <c r="I3736" s="355"/>
      <c r="J3736" s="355"/>
      <c r="K3736" s="355"/>
      <c r="L3736" s="355"/>
      <c r="M3736" s="355"/>
    </row>
    <row r="3737" spans="5:13" ht="24.95" customHeight="1">
      <c r="E3737" s="355"/>
      <c r="F3737" s="355"/>
      <c r="G3737" s="355"/>
      <c r="H3737" s="363" t="s">
        <v>4581</v>
      </c>
      <c r="I3737" s="355"/>
      <c r="J3737" s="355"/>
      <c r="K3737" s="355"/>
      <c r="L3737" s="355"/>
      <c r="M3737" s="355"/>
    </row>
    <row r="3738" spans="5:13">
      <c r="E3738" s="355"/>
      <c r="F3738" s="355"/>
      <c r="G3738" s="355"/>
      <c r="H3738" s="355"/>
      <c r="I3738" s="355"/>
      <c r="J3738" s="355"/>
      <c r="K3738" s="355"/>
      <c r="L3738" s="355"/>
      <c r="M3738" s="355"/>
    </row>
    <row r="3739" spans="5:13">
      <c r="E3739" s="355"/>
      <c r="F3739" s="355">
        <v>1</v>
      </c>
      <c r="G3739" s="355" t="s">
        <v>1337</v>
      </c>
      <c r="H3739" s="355" t="s">
        <v>4802</v>
      </c>
      <c r="I3739" s="377">
        <v>1340</v>
      </c>
      <c r="J3739" s="355" t="s">
        <v>1337</v>
      </c>
      <c r="K3739" s="355">
        <f>F3739*I3739</f>
        <v>1340</v>
      </c>
      <c r="L3739" s="355"/>
      <c r="M3739" s="355"/>
    </row>
    <row r="3740" spans="5:13">
      <c r="E3740" s="355"/>
      <c r="F3740" s="355"/>
      <c r="G3740" s="355"/>
      <c r="H3740" s="355" t="s">
        <v>2387</v>
      </c>
      <c r="I3740" s="356">
        <v>274.10000000000002</v>
      </c>
      <c r="J3740" s="355" t="s">
        <v>1337</v>
      </c>
      <c r="K3740" s="355">
        <f>I3740</f>
        <v>274.10000000000002</v>
      </c>
      <c r="L3740" s="355"/>
      <c r="M3740" s="355"/>
    </row>
    <row r="3741" spans="5:13" ht="39" customHeight="1">
      <c r="E3741" s="355"/>
      <c r="F3741" s="355"/>
      <c r="G3741" s="355"/>
      <c r="H3741" s="354" t="s">
        <v>4541</v>
      </c>
      <c r="I3741" s="355"/>
      <c r="J3741" s="355"/>
      <c r="K3741" s="356">
        <v>25.7</v>
      </c>
      <c r="L3741" s="355"/>
      <c r="M3741" s="355">
        <f>K3739+K3740+K3741</f>
        <v>1639.8</v>
      </c>
    </row>
    <row r="3742" spans="5:13">
      <c r="E3742" s="355"/>
      <c r="F3742" s="355"/>
      <c r="G3742" s="355"/>
      <c r="H3742" s="355" t="s">
        <v>2796</v>
      </c>
      <c r="I3742" s="355"/>
      <c r="J3742" s="364">
        <f>SUM(K3739:K3741)</f>
        <v>1639.8</v>
      </c>
      <c r="K3742" s="355">
        <v>14.7</v>
      </c>
      <c r="L3742" s="355"/>
      <c r="M3742" s="355"/>
    </row>
    <row r="3743" spans="5:13">
      <c r="E3743" s="355"/>
      <c r="F3743" s="355"/>
      <c r="G3743" s="355"/>
      <c r="H3743" s="355" t="s">
        <v>2797</v>
      </c>
      <c r="I3743" s="355"/>
      <c r="J3743" s="355"/>
      <c r="K3743" s="355">
        <f>K3750</f>
        <v>456</v>
      </c>
      <c r="L3743" s="355"/>
      <c r="M3743" s="355"/>
    </row>
    <row r="3744" spans="5:13" ht="24.95" customHeight="1">
      <c r="E3744" s="355"/>
      <c r="F3744" s="355"/>
      <c r="G3744" s="355"/>
      <c r="H3744" s="362" t="s">
        <v>2798</v>
      </c>
      <c r="I3744" s="355"/>
      <c r="J3744" s="355"/>
      <c r="K3744" s="363">
        <f>SUM(K3739:K3743)</f>
        <v>2110.5</v>
      </c>
      <c r="L3744" s="355">
        <f>14.97-0.27</f>
        <v>14.7</v>
      </c>
      <c r="M3744" s="355">
        <f>1883-K3744</f>
        <v>-227.5</v>
      </c>
    </row>
    <row r="3745" spans="5:13">
      <c r="E3745" s="355"/>
      <c r="F3745" s="355"/>
      <c r="G3745" s="355"/>
      <c r="H3745" s="355"/>
      <c r="I3745" s="355"/>
      <c r="J3745" s="355"/>
      <c r="K3745" s="355"/>
      <c r="L3745" s="355"/>
      <c r="M3745" s="355"/>
    </row>
    <row r="3746" spans="5:13">
      <c r="E3746" s="355"/>
      <c r="F3746" s="355"/>
      <c r="G3746" s="355"/>
      <c r="H3746" s="361" t="s">
        <v>878</v>
      </c>
      <c r="I3746" s="355"/>
      <c r="J3746" s="355"/>
      <c r="K3746" s="355"/>
      <c r="L3746" s="355"/>
      <c r="M3746" s="355"/>
    </row>
    <row r="3747" spans="5:13">
      <c r="E3747" s="355"/>
      <c r="F3747" s="355">
        <v>1</v>
      </c>
      <c r="G3747" s="355" t="s">
        <v>1337</v>
      </c>
      <c r="H3747" s="355" t="s">
        <v>2691</v>
      </c>
      <c r="I3747" s="355">
        <f>I3730</f>
        <v>712</v>
      </c>
      <c r="J3747" s="355" t="s">
        <v>1337</v>
      </c>
      <c r="K3747" s="355">
        <f>F3747*I3747</f>
        <v>712</v>
      </c>
      <c r="L3747" s="355"/>
      <c r="M3747" s="355"/>
    </row>
    <row r="3748" spans="5:13">
      <c r="E3748" s="355"/>
      <c r="F3748" s="355">
        <v>2</v>
      </c>
      <c r="G3748" s="355" t="s">
        <v>1337</v>
      </c>
      <c r="H3748" s="355" t="s">
        <v>2246</v>
      </c>
      <c r="I3748" s="355">
        <f>I3732</f>
        <v>556</v>
      </c>
      <c r="J3748" s="355" t="s">
        <v>1337</v>
      </c>
      <c r="K3748" s="355">
        <f>F3748*I3748</f>
        <v>1112</v>
      </c>
      <c r="L3748" s="355"/>
      <c r="M3748" s="355"/>
    </row>
    <row r="3749" spans="5:13">
      <c r="E3749" s="355"/>
      <c r="F3749" s="355"/>
      <c r="G3749" s="355"/>
      <c r="H3749" s="360" t="s">
        <v>2799</v>
      </c>
      <c r="I3749" s="355"/>
      <c r="J3749" s="355"/>
      <c r="K3749" s="361">
        <f>SUM(K3747:K3748)</f>
        <v>1824</v>
      </c>
      <c r="L3749" s="355"/>
      <c r="M3749" s="355"/>
    </row>
    <row r="3750" spans="5:13" ht="24.95" customHeight="1">
      <c r="E3750" s="355"/>
      <c r="F3750" s="355"/>
      <c r="G3750" s="355"/>
      <c r="H3750" s="362" t="s">
        <v>2718</v>
      </c>
      <c r="I3750" s="355"/>
      <c r="J3750" s="355"/>
      <c r="K3750" s="363">
        <f>K3749/4</f>
        <v>456</v>
      </c>
      <c r="L3750" s="355"/>
      <c r="M3750" s="355"/>
    </row>
    <row r="3751" spans="5:13">
      <c r="E3751" s="355"/>
      <c r="F3751" s="355"/>
      <c r="G3751" s="355"/>
      <c r="H3751" s="355"/>
      <c r="I3751" s="355"/>
      <c r="J3751" s="355"/>
      <c r="K3751" s="355"/>
      <c r="L3751" s="355"/>
      <c r="M3751" s="355"/>
    </row>
    <row r="3752" spans="5:13">
      <c r="E3752" s="355"/>
      <c r="F3752" s="355"/>
      <c r="G3752" s="355"/>
      <c r="H3752" s="355"/>
      <c r="I3752" s="355"/>
      <c r="J3752" s="355"/>
      <c r="K3752" s="355"/>
      <c r="L3752" s="355"/>
      <c r="M3752" s="355"/>
    </row>
    <row r="3753" spans="5:13" ht="24.95" customHeight="1">
      <c r="E3753" s="355"/>
      <c r="F3753" s="355"/>
      <c r="G3753" s="355"/>
      <c r="H3753" s="363" t="s">
        <v>2800</v>
      </c>
      <c r="I3753" s="355"/>
      <c r="J3753" s="355"/>
      <c r="K3753" s="355"/>
      <c r="L3753" s="355"/>
      <c r="M3753" s="355"/>
    </row>
    <row r="3754" spans="5:13">
      <c r="E3754" s="355"/>
      <c r="F3754" s="355"/>
      <c r="G3754" s="355"/>
      <c r="H3754" s="355"/>
      <c r="I3754" s="355"/>
      <c r="J3754" s="355"/>
      <c r="K3754" s="355"/>
      <c r="L3754" s="355"/>
      <c r="M3754" s="355"/>
    </row>
    <row r="3755" spans="5:13" ht="24.95" customHeight="1">
      <c r="E3755" s="355"/>
      <c r="F3755" s="355"/>
      <c r="G3755" s="355"/>
      <c r="H3755" s="363" t="s">
        <v>2801</v>
      </c>
      <c r="I3755" s="355"/>
      <c r="J3755" s="355"/>
      <c r="K3755" s="355"/>
      <c r="L3755" s="355"/>
      <c r="M3755" s="355"/>
    </row>
    <row r="3756" spans="5:13">
      <c r="E3756" s="355"/>
      <c r="F3756" s="355"/>
      <c r="G3756" s="355"/>
      <c r="H3756" s="355"/>
      <c r="I3756" s="355"/>
      <c r="J3756" s="355"/>
      <c r="K3756" s="355"/>
      <c r="L3756" s="355"/>
      <c r="M3756" s="355"/>
    </row>
    <row r="3757" spans="5:13">
      <c r="E3757" s="355"/>
      <c r="F3757" s="355"/>
      <c r="G3757" s="355"/>
      <c r="H3757" s="355" t="s">
        <v>4803</v>
      </c>
      <c r="I3757" s="377">
        <v>1172</v>
      </c>
      <c r="J3757" s="355" t="s">
        <v>1337</v>
      </c>
      <c r="K3757" s="355">
        <f>I3757</f>
        <v>1172</v>
      </c>
      <c r="L3757" s="355"/>
      <c r="M3757" s="355"/>
    </row>
    <row r="3758" spans="5:13">
      <c r="E3758" s="355"/>
      <c r="F3758" s="355"/>
      <c r="G3758" s="355"/>
      <c r="H3758" s="355" t="s">
        <v>2387</v>
      </c>
      <c r="I3758" s="355">
        <f>I3740</f>
        <v>274.10000000000002</v>
      </c>
      <c r="J3758" s="355" t="s">
        <v>1337</v>
      </c>
      <c r="K3758" s="355">
        <f>I3758</f>
        <v>274.10000000000002</v>
      </c>
      <c r="L3758" s="355"/>
      <c r="M3758" s="355"/>
    </row>
    <row r="3759" spans="5:13" ht="31.5">
      <c r="E3759" s="355"/>
      <c r="F3759" s="355"/>
      <c r="G3759" s="355"/>
      <c r="H3759" s="376" t="str">
        <f>H3741</f>
        <v>Clamp fixing by cheche screws bolts and nuts including connections ( as per SD-114, Elec Data 2018-19)</v>
      </c>
      <c r="I3759" s="355"/>
      <c r="J3759" s="355"/>
      <c r="K3759" s="425">
        <f>K3741</f>
        <v>25.7</v>
      </c>
      <c r="L3759" s="355">
        <f>K3757+K3758+K3759</f>
        <v>1471.8</v>
      </c>
      <c r="M3759" s="355"/>
    </row>
    <row r="3760" spans="5:13">
      <c r="E3760" s="355"/>
      <c r="F3760" s="355"/>
      <c r="G3760" s="355"/>
      <c r="H3760" s="355" t="s">
        <v>2796</v>
      </c>
      <c r="I3760" s="355"/>
      <c r="J3760" s="355"/>
      <c r="K3760" s="355">
        <v>13.7</v>
      </c>
      <c r="L3760" s="355"/>
      <c r="M3760" s="355"/>
    </row>
    <row r="3761" spans="5:13">
      <c r="E3761" s="355"/>
      <c r="F3761" s="355"/>
      <c r="G3761" s="355"/>
      <c r="H3761" s="355" t="s">
        <v>2797</v>
      </c>
      <c r="I3761" s="355"/>
      <c r="J3761" s="355"/>
      <c r="K3761" s="355">
        <f>K3743</f>
        <v>456</v>
      </c>
      <c r="L3761" s="355"/>
      <c r="M3761" s="355"/>
    </row>
    <row r="3762" spans="5:13" ht="24.95" customHeight="1">
      <c r="E3762" s="355"/>
      <c r="F3762" s="355"/>
      <c r="G3762" s="355"/>
      <c r="H3762" s="362" t="s">
        <v>2798</v>
      </c>
      <c r="I3762" s="355"/>
      <c r="J3762" s="355"/>
      <c r="K3762" s="363">
        <f>SUM(K3757:K3761)</f>
        <v>1941.5</v>
      </c>
      <c r="L3762" s="355">
        <f>K3762*2</f>
        <v>3883</v>
      </c>
      <c r="M3762" s="355"/>
    </row>
    <row r="3763" spans="5:13">
      <c r="E3763" s="355"/>
      <c r="F3763" s="355"/>
      <c r="G3763" s="355"/>
      <c r="H3763" s="355"/>
      <c r="I3763" s="355"/>
      <c r="J3763" s="355"/>
      <c r="K3763" s="355"/>
      <c r="L3763" s="355"/>
      <c r="M3763" s="355"/>
    </row>
    <row r="3764" spans="5:13" ht="24.95" customHeight="1">
      <c r="E3764" s="355"/>
      <c r="F3764" s="355"/>
      <c r="G3764" s="355"/>
      <c r="H3764" s="363" t="s">
        <v>2802</v>
      </c>
      <c r="I3764" s="355"/>
      <c r="J3764" s="355"/>
      <c r="K3764" s="355"/>
      <c r="L3764" s="355"/>
      <c r="M3764" s="355"/>
    </row>
    <row r="3765" spans="5:13" ht="24.95" customHeight="1">
      <c r="E3765" s="355"/>
      <c r="F3765" s="355">
        <v>1</v>
      </c>
      <c r="G3765" s="355" t="s">
        <v>1337</v>
      </c>
      <c r="H3765" s="355" t="s">
        <v>4804</v>
      </c>
      <c r="I3765" s="356">
        <v>1265</v>
      </c>
      <c r="J3765" s="355" t="s">
        <v>1337</v>
      </c>
      <c r="K3765" s="355">
        <f>F3765*I3765</f>
        <v>1265</v>
      </c>
      <c r="L3765" s="355"/>
      <c r="M3765" s="355"/>
    </row>
    <row r="3766" spans="5:13" ht="24.95" customHeight="1">
      <c r="E3766" s="355"/>
      <c r="F3766" s="355">
        <v>1</v>
      </c>
      <c r="G3766" s="355" t="s">
        <v>1337</v>
      </c>
      <c r="H3766" s="355" t="s">
        <v>4805</v>
      </c>
      <c r="I3766" s="425">
        <v>172.2</v>
      </c>
      <c r="J3766" s="355" t="s">
        <v>1337</v>
      </c>
      <c r="K3766" s="355">
        <f>F3766*I3766</f>
        <v>172.2</v>
      </c>
      <c r="L3766" s="355"/>
      <c r="M3766" s="355"/>
    </row>
    <row r="3767" spans="5:13" ht="24.95" customHeight="1">
      <c r="E3767" s="355"/>
      <c r="F3767" s="355"/>
      <c r="G3767" s="355"/>
      <c r="H3767" s="362" t="s">
        <v>2798</v>
      </c>
      <c r="I3767" s="355"/>
      <c r="J3767" s="355"/>
      <c r="K3767" s="363">
        <f>SUM(K3765:K3766)+0.2</f>
        <v>1437.4</v>
      </c>
      <c r="L3767" s="355"/>
      <c r="M3767" s="355"/>
    </row>
    <row r="3768" spans="5:13" ht="23.25" customHeight="1">
      <c r="E3768" s="355"/>
      <c r="F3768" s="355"/>
      <c r="G3768" s="355"/>
      <c r="H3768" s="362"/>
      <c r="I3768" s="355"/>
      <c r="J3768" s="355"/>
      <c r="K3768" s="363"/>
      <c r="L3768" s="355"/>
      <c r="M3768" s="355"/>
    </row>
    <row r="3769" spans="5:13" ht="24.95" customHeight="1">
      <c r="E3769" s="355"/>
      <c r="F3769" s="355"/>
      <c r="G3769" s="355"/>
      <c r="H3769" s="484" t="s">
        <v>2354</v>
      </c>
      <c r="I3769" s="355"/>
      <c r="J3769" s="355"/>
      <c r="K3769" s="355"/>
      <c r="L3769" s="355"/>
      <c r="M3769" s="355"/>
    </row>
    <row r="3770" spans="5:13" ht="24.95" customHeight="1">
      <c r="E3770" s="355"/>
      <c r="F3770" s="355">
        <v>1</v>
      </c>
      <c r="G3770" s="355" t="s">
        <v>1337</v>
      </c>
      <c r="H3770" s="355" t="s">
        <v>4806</v>
      </c>
      <c r="I3770" s="425">
        <v>306</v>
      </c>
      <c r="J3770" s="355" t="s">
        <v>1337</v>
      </c>
      <c r="K3770" s="355">
        <f>F3770*I3770</f>
        <v>306</v>
      </c>
      <c r="L3770" s="355"/>
      <c r="M3770" s="355"/>
    </row>
    <row r="3771" spans="5:13" ht="24.95" customHeight="1">
      <c r="E3771" s="355"/>
      <c r="F3771" s="355">
        <v>1</v>
      </c>
      <c r="G3771" s="355" t="s">
        <v>1337</v>
      </c>
      <c r="H3771" s="355" t="s">
        <v>4807</v>
      </c>
      <c r="I3771" s="425">
        <v>35.9</v>
      </c>
      <c r="J3771" s="355" t="s">
        <v>1337</v>
      </c>
      <c r="K3771" s="355">
        <f>F3771*I3771</f>
        <v>35.9</v>
      </c>
      <c r="L3771" s="355"/>
      <c r="M3771" s="355"/>
    </row>
    <row r="3772" spans="5:13" ht="24.95" customHeight="1">
      <c r="E3772" s="355"/>
      <c r="F3772" s="355"/>
      <c r="G3772" s="355"/>
      <c r="H3772" s="355" t="s">
        <v>2357</v>
      </c>
      <c r="I3772" s="355"/>
      <c r="J3772" s="355"/>
      <c r="K3772" s="355">
        <f>K3243</f>
        <v>237.25</v>
      </c>
      <c r="L3772" s="355"/>
      <c r="M3772" s="355"/>
    </row>
    <row r="3773" spans="5:13" ht="24.95" customHeight="1">
      <c r="E3773" s="355"/>
      <c r="F3773" s="355"/>
      <c r="G3773" s="355"/>
      <c r="H3773" s="355" t="s">
        <v>2187</v>
      </c>
      <c r="I3773" s="355"/>
      <c r="J3773" s="355"/>
      <c r="K3773" s="355">
        <v>3.34</v>
      </c>
      <c r="L3773" s="355"/>
      <c r="M3773" s="355"/>
    </row>
    <row r="3774" spans="5:13" ht="24.95" customHeight="1">
      <c r="E3774" s="355"/>
      <c r="F3774" s="355"/>
      <c r="G3774" s="355"/>
      <c r="H3774" s="362" t="s">
        <v>2798</v>
      </c>
      <c r="I3774" s="355"/>
      <c r="J3774" s="355"/>
      <c r="K3774" s="363">
        <f>SUM(K3770:K3773)</f>
        <v>582.49</v>
      </c>
      <c r="L3774" s="355">
        <f>K3774-697</f>
        <v>-114.51</v>
      </c>
      <c r="M3774" s="355"/>
    </row>
    <row r="3775" spans="5:13">
      <c r="E3775" s="355"/>
      <c r="F3775" s="355"/>
      <c r="G3775" s="355"/>
      <c r="H3775" s="355"/>
      <c r="I3775" s="355"/>
      <c r="J3775" s="355"/>
      <c r="K3775" s="355"/>
      <c r="L3775" s="355"/>
      <c r="M3775" s="355"/>
    </row>
    <row r="3776" spans="5:13" ht="24.95" customHeight="1">
      <c r="E3776" s="355"/>
      <c r="F3776" s="355"/>
      <c r="G3776" s="355"/>
      <c r="H3776" s="484" t="s">
        <v>2358</v>
      </c>
      <c r="I3776" s="355"/>
      <c r="J3776" s="355"/>
      <c r="K3776" s="355"/>
      <c r="L3776" s="355"/>
      <c r="M3776" s="355"/>
    </row>
    <row r="3777" spans="5:13" ht="24.95" customHeight="1">
      <c r="E3777" s="355"/>
      <c r="F3777" s="355">
        <v>1</v>
      </c>
      <c r="G3777" s="355" t="s">
        <v>1337</v>
      </c>
      <c r="H3777" s="355" t="s">
        <v>4808</v>
      </c>
      <c r="I3777" s="425">
        <v>261</v>
      </c>
      <c r="J3777" s="355" t="s">
        <v>1337</v>
      </c>
      <c r="K3777" s="355">
        <f>F3777*I3777</f>
        <v>261</v>
      </c>
      <c r="L3777" s="355"/>
      <c r="M3777" s="355"/>
    </row>
    <row r="3778" spans="5:13" ht="24.95" customHeight="1">
      <c r="E3778" s="355"/>
      <c r="F3778" s="355">
        <v>1</v>
      </c>
      <c r="G3778" s="355" t="s">
        <v>1337</v>
      </c>
      <c r="H3778" s="355" t="s">
        <v>4809</v>
      </c>
      <c r="I3778" s="425">
        <v>35.1</v>
      </c>
      <c r="J3778" s="355" t="s">
        <v>1337</v>
      </c>
      <c r="K3778" s="355">
        <f>F3778*I3778</f>
        <v>35.1</v>
      </c>
      <c r="L3778" s="355"/>
      <c r="M3778" s="355"/>
    </row>
    <row r="3779" spans="5:13" ht="24.95" customHeight="1">
      <c r="E3779" s="355"/>
      <c r="F3779" s="355"/>
      <c r="G3779" s="355"/>
      <c r="H3779" s="355" t="s">
        <v>2357</v>
      </c>
      <c r="I3779" s="355"/>
      <c r="J3779" s="355"/>
      <c r="K3779" s="355">
        <f>K3772</f>
        <v>237.25</v>
      </c>
      <c r="L3779" s="355"/>
      <c r="M3779" s="355"/>
    </row>
    <row r="3780" spans="5:13" ht="24.95" customHeight="1">
      <c r="E3780" s="355"/>
      <c r="F3780" s="355"/>
      <c r="G3780" s="355"/>
      <c r="H3780" s="355" t="s">
        <v>2187</v>
      </c>
      <c r="I3780" s="355"/>
      <c r="J3780" s="355"/>
      <c r="K3780" s="355">
        <v>2.14</v>
      </c>
      <c r="L3780" s="355"/>
      <c r="M3780" s="355"/>
    </row>
    <row r="3781" spans="5:13" ht="24.95" customHeight="1">
      <c r="E3781" s="355"/>
      <c r="F3781" s="355"/>
      <c r="G3781" s="355"/>
      <c r="H3781" s="362" t="s">
        <v>2798</v>
      </c>
      <c r="I3781" s="355"/>
      <c r="J3781" s="355"/>
      <c r="K3781" s="363">
        <f>SUM(K3777:K3780)</f>
        <v>535.49</v>
      </c>
      <c r="L3781" s="355">
        <f>K3781-496</f>
        <v>39.49</v>
      </c>
      <c r="M3781" s="355"/>
    </row>
    <row r="3782" spans="5:13">
      <c r="E3782" s="355"/>
      <c r="F3782" s="355"/>
      <c r="G3782" s="355"/>
      <c r="H3782" s="355"/>
      <c r="I3782" s="355"/>
      <c r="J3782" s="355"/>
      <c r="K3782" s="355"/>
      <c r="L3782" s="355"/>
      <c r="M3782" s="355"/>
    </row>
    <row r="3783" spans="5:13">
      <c r="E3783" s="355"/>
      <c r="F3783" s="355"/>
      <c r="G3783" s="355"/>
      <c r="H3783" s="355"/>
      <c r="I3783" s="355"/>
      <c r="J3783" s="355"/>
      <c r="K3783" s="355"/>
      <c r="L3783" s="355"/>
      <c r="M3783" s="355"/>
    </row>
    <row r="3784" spans="5:13">
      <c r="E3784" s="355"/>
      <c r="F3784" s="355"/>
      <c r="G3784" s="355"/>
      <c r="H3784" s="355"/>
      <c r="I3784" s="355"/>
      <c r="J3784" s="355"/>
      <c r="K3784" s="355"/>
      <c r="L3784" s="355"/>
      <c r="M3784" s="355"/>
    </row>
    <row r="3785" spans="5:13" ht="30" customHeight="1">
      <c r="E3785" s="355"/>
      <c r="F3785" s="355"/>
      <c r="G3785" s="355"/>
      <c r="H3785" s="840" t="s">
        <v>4548</v>
      </c>
      <c r="I3785" s="355"/>
      <c r="J3785" s="355"/>
      <c r="K3785" s="355"/>
      <c r="L3785" s="355"/>
      <c r="M3785" s="355"/>
    </row>
    <row r="3786" spans="5:13">
      <c r="E3786" s="355"/>
      <c r="F3786" s="355">
        <v>1</v>
      </c>
      <c r="G3786" s="355" t="s">
        <v>1337</v>
      </c>
      <c r="H3786" s="355" t="s">
        <v>4542</v>
      </c>
      <c r="I3786" s="425">
        <v>388</v>
      </c>
      <c r="J3786" s="355" t="s">
        <v>1337</v>
      </c>
      <c r="K3786" s="355">
        <f>F3786*I3786</f>
        <v>388</v>
      </c>
      <c r="L3786" s="355"/>
      <c r="M3786" s="355"/>
    </row>
    <row r="3787" spans="5:13">
      <c r="E3787" s="355"/>
      <c r="F3787" s="355"/>
      <c r="G3787" s="355"/>
      <c r="H3787" s="355"/>
      <c r="I3787" s="425"/>
      <c r="J3787" s="355" t="s">
        <v>1337</v>
      </c>
      <c r="K3787" s="355">
        <f>F3787*I3787</f>
        <v>0</v>
      </c>
      <c r="L3787" s="355"/>
      <c r="M3787" s="355"/>
    </row>
    <row r="3788" spans="5:13">
      <c r="E3788" s="355"/>
      <c r="F3788" s="355"/>
      <c r="G3788" s="355"/>
      <c r="H3788" s="355" t="s">
        <v>4582</v>
      </c>
      <c r="I3788" s="355"/>
      <c r="J3788" s="355"/>
      <c r="K3788" s="355">
        <f>K3244</f>
        <v>276.51</v>
      </c>
      <c r="L3788" s="355"/>
      <c r="M3788" s="355"/>
    </row>
    <row r="3789" spans="5:13">
      <c r="E3789" s="355"/>
      <c r="F3789" s="355"/>
      <c r="G3789" s="355"/>
      <c r="H3789" s="355" t="s">
        <v>2187</v>
      </c>
      <c r="I3789" s="355"/>
      <c r="J3789" s="355"/>
      <c r="K3789" s="355">
        <v>0.7</v>
      </c>
      <c r="L3789" s="355"/>
      <c r="M3789" s="355"/>
    </row>
    <row r="3790" spans="5:13">
      <c r="E3790" s="355"/>
      <c r="F3790" s="355"/>
      <c r="G3790" s="355"/>
      <c r="H3790" s="362" t="s">
        <v>2798</v>
      </c>
      <c r="I3790" s="355"/>
      <c r="J3790" s="355"/>
      <c r="K3790" s="363">
        <f>SUM(K3786:K3789)</f>
        <v>665.21</v>
      </c>
      <c r="L3790" s="355">
        <f>635-K3790</f>
        <v>-30.21</v>
      </c>
      <c r="M3790" s="355"/>
    </row>
    <row r="3791" spans="5:13">
      <c r="E3791" s="355"/>
      <c r="F3791" s="355"/>
      <c r="G3791" s="355"/>
      <c r="H3791" s="355"/>
      <c r="I3791" s="355"/>
      <c r="J3791" s="355"/>
      <c r="K3791" s="355"/>
      <c r="L3791" s="355"/>
      <c r="M3791" s="355"/>
    </row>
    <row r="3792" spans="5:13">
      <c r="E3792" s="355"/>
      <c r="F3792" s="355"/>
      <c r="G3792" s="355"/>
      <c r="H3792" s="355"/>
      <c r="I3792" s="355"/>
      <c r="J3792" s="355"/>
      <c r="K3792" s="355"/>
      <c r="L3792" s="355"/>
      <c r="M3792" s="355"/>
    </row>
    <row r="3793" spans="5:13">
      <c r="E3793" s="355"/>
      <c r="F3793" s="355"/>
      <c r="G3793" s="355"/>
      <c r="H3793" s="355"/>
      <c r="I3793" s="355"/>
      <c r="J3793" s="355"/>
      <c r="K3793" s="355"/>
      <c r="L3793" s="355"/>
      <c r="M3793" s="355"/>
    </row>
    <row r="3794" spans="5:13">
      <c r="E3794" s="355"/>
      <c r="F3794" s="355"/>
      <c r="G3794" s="355"/>
      <c r="H3794" s="355"/>
      <c r="I3794" s="355"/>
      <c r="J3794" s="355"/>
      <c r="K3794" s="355"/>
      <c r="L3794" s="355"/>
      <c r="M3794" s="355"/>
    </row>
    <row r="3795" spans="5:13">
      <c r="E3795" s="355"/>
      <c r="F3795" s="355"/>
      <c r="G3795" s="355"/>
      <c r="H3795" s="355"/>
      <c r="I3795" s="355"/>
      <c r="J3795" s="355"/>
      <c r="K3795" s="355"/>
      <c r="L3795" s="355"/>
      <c r="M3795" s="355"/>
    </row>
    <row r="3796" spans="5:13">
      <c r="E3796" s="355"/>
      <c r="F3796" s="355"/>
      <c r="G3796" s="355"/>
      <c r="J3796" s="182"/>
      <c r="L3796" s="355"/>
      <c r="M3796" s="355"/>
    </row>
    <row r="3797" spans="5:13">
      <c r="E3797" s="355"/>
      <c r="F3797" s="355"/>
      <c r="G3797" s="355"/>
      <c r="H3797" s="355"/>
      <c r="I3797" s="355"/>
      <c r="J3797" s="355"/>
      <c r="K3797" s="363"/>
      <c r="L3797" s="355"/>
      <c r="M3797" s="355"/>
    </row>
    <row r="3798" spans="5:13">
      <c r="E3798" s="355"/>
      <c r="F3798" s="355"/>
      <c r="G3798" s="355"/>
      <c r="H3798" s="355"/>
      <c r="I3798" s="355"/>
      <c r="J3798" s="355"/>
      <c r="K3798" s="355"/>
      <c r="L3798" s="355"/>
      <c r="M3798" s="355"/>
    </row>
    <row r="3799" spans="5:13">
      <c r="E3799" s="355"/>
      <c r="H3799" s="191" t="s">
        <v>2364</v>
      </c>
      <c r="L3799" s="355"/>
      <c r="M3799" s="355"/>
    </row>
    <row r="3800" spans="5:13">
      <c r="E3800" s="355"/>
      <c r="L3800" s="355"/>
      <c r="M3800" s="355"/>
    </row>
    <row r="3801" spans="5:13">
      <c r="E3801" s="355"/>
      <c r="H3801" s="191" t="s">
        <v>2206</v>
      </c>
      <c r="L3801" s="355"/>
      <c r="M3801" s="355"/>
    </row>
    <row r="3802" spans="5:13">
      <c r="E3802" s="355"/>
      <c r="L3802" s="355"/>
      <c r="M3802" s="355"/>
    </row>
    <row r="3803" spans="5:13" ht="141.75">
      <c r="E3803" s="355"/>
      <c r="H3803" s="354" t="s">
        <v>2598</v>
      </c>
      <c r="L3803" s="355"/>
      <c r="M3803" s="355"/>
    </row>
    <row r="3804" spans="5:13">
      <c r="E3804" s="355"/>
      <c r="F3804" s="355">
        <v>90</v>
      </c>
      <c r="G3804" s="355" t="s">
        <v>794</v>
      </c>
      <c r="H3804" s="276" t="s">
        <v>2463</v>
      </c>
      <c r="I3804" s="355">
        <f>I2843</f>
        <v>15.5</v>
      </c>
      <c r="J3804" s="355" t="s">
        <v>2464</v>
      </c>
      <c r="K3804" s="355">
        <f>F3804*I3804</f>
        <v>1395</v>
      </c>
      <c r="L3804" s="355"/>
      <c r="M3804" s="355"/>
    </row>
    <row r="3805" spans="5:13">
      <c r="E3805" s="355"/>
      <c r="F3805" s="355">
        <v>45</v>
      </c>
      <c r="G3805" s="355" t="s">
        <v>794</v>
      </c>
      <c r="H3805" s="354" t="s">
        <v>2279</v>
      </c>
      <c r="I3805" s="355">
        <f>I2844</f>
        <v>19.100000000000001</v>
      </c>
      <c r="J3805" s="355" t="s">
        <v>2280</v>
      </c>
      <c r="K3805" s="355">
        <f>F3805*I3805</f>
        <v>859.5</v>
      </c>
      <c r="L3805" s="355"/>
      <c r="M3805" s="355"/>
    </row>
    <row r="3806" spans="5:13">
      <c r="E3806" s="355"/>
      <c r="F3806" s="355">
        <v>20</v>
      </c>
      <c r="G3806" s="355" t="s">
        <v>1337</v>
      </c>
      <c r="H3806" s="355" t="s">
        <v>2281</v>
      </c>
      <c r="I3806" s="355">
        <f>I2845</f>
        <v>3</v>
      </c>
      <c r="J3806" s="355" t="s">
        <v>1337</v>
      </c>
      <c r="K3806" s="355">
        <f>F3806*I3806</f>
        <v>60</v>
      </c>
      <c r="L3806" s="355"/>
      <c r="M3806" s="355"/>
    </row>
    <row r="3807" spans="5:13">
      <c r="E3807" s="355"/>
      <c r="F3807" s="355">
        <v>150</v>
      </c>
      <c r="G3807" s="355" t="s">
        <v>1337</v>
      </c>
      <c r="H3807" s="355" t="s">
        <v>4209</v>
      </c>
      <c r="I3807" s="356">
        <f>I3943</f>
        <v>287</v>
      </c>
      <c r="J3807" s="355" t="s">
        <v>2600</v>
      </c>
      <c r="K3807" s="355">
        <f>(F3807*I3807)/1000</f>
        <v>43.05</v>
      </c>
      <c r="L3807" s="355"/>
      <c r="M3807" s="355"/>
    </row>
    <row r="3808" spans="5:13">
      <c r="E3808" s="355"/>
      <c r="F3808" s="355">
        <v>10</v>
      </c>
      <c r="G3808" s="355" t="s">
        <v>1337</v>
      </c>
      <c r="H3808" s="355" t="s">
        <v>3323</v>
      </c>
      <c r="I3808" s="355">
        <f>I2846</f>
        <v>1.28</v>
      </c>
      <c r="J3808" s="355" t="s">
        <v>1337</v>
      </c>
      <c r="K3808" s="355">
        <f>F3808*I3808</f>
        <v>12.8</v>
      </c>
      <c r="L3808" s="355"/>
      <c r="M3808" s="355"/>
    </row>
    <row r="3809" spans="5:13">
      <c r="E3809" s="355"/>
      <c r="F3809" s="355">
        <v>10</v>
      </c>
      <c r="G3809" s="355" t="s">
        <v>1337</v>
      </c>
      <c r="H3809" s="355" t="s">
        <v>4810</v>
      </c>
      <c r="I3809" s="425">
        <v>41.2</v>
      </c>
      <c r="J3809" s="355" t="s">
        <v>3326</v>
      </c>
      <c r="K3809" s="355">
        <f>(F3809*I3809)/12</f>
        <v>34.33</v>
      </c>
      <c r="L3809" s="355"/>
      <c r="M3809" s="355"/>
    </row>
    <row r="3810" spans="5:13">
      <c r="E3810" s="355"/>
      <c r="F3810" s="358">
        <v>1.4999999999999999E-2</v>
      </c>
      <c r="G3810" s="355" t="s">
        <v>2199</v>
      </c>
      <c r="H3810" s="355" t="s">
        <v>3195</v>
      </c>
      <c r="I3810" s="355">
        <f>I2849</f>
        <v>630</v>
      </c>
      <c r="J3810" s="355" t="s">
        <v>2199</v>
      </c>
      <c r="K3810" s="355">
        <f t="shared" ref="K3810:K3820" si="110">F3810*I3810</f>
        <v>9.4499999999999993</v>
      </c>
      <c r="L3810" s="355"/>
      <c r="M3810" s="355"/>
    </row>
    <row r="3811" spans="5:13">
      <c r="E3811" s="355"/>
      <c r="F3811" s="355">
        <v>10</v>
      </c>
      <c r="G3811" s="355" t="s">
        <v>1337</v>
      </c>
      <c r="H3811" s="355" t="s">
        <v>3196</v>
      </c>
      <c r="I3811" s="355">
        <f>I2850</f>
        <v>16.05</v>
      </c>
      <c r="J3811" s="355" t="s">
        <v>1337</v>
      </c>
      <c r="K3811" s="355">
        <f>(F3811*I3811)</f>
        <v>160.5</v>
      </c>
      <c r="L3811" s="355"/>
      <c r="M3811" s="355"/>
    </row>
    <row r="3812" spans="5:13">
      <c r="E3812" s="355"/>
      <c r="F3812" s="355">
        <v>10</v>
      </c>
      <c r="G3812" s="355" t="s">
        <v>1337</v>
      </c>
      <c r="H3812" s="355" t="s">
        <v>2553</v>
      </c>
      <c r="I3812" s="355">
        <f>I2851</f>
        <v>13.6</v>
      </c>
      <c r="J3812" s="355" t="s">
        <v>1337</v>
      </c>
      <c r="K3812" s="355">
        <f t="shared" si="110"/>
        <v>136</v>
      </c>
      <c r="L3812" s="355"/>
      <c r="M3812" s="355"/>
    </row>
    <row r="3813" spans="5:13">
      <c r="E3813" s="355"/>
      <c r="F3813" s="355">
        <v>1</v>
      </c>
      <c r="G3813" s="355" t="s">
        <v>2561</v>
      </c>
      <c r="H3813" s="355" t="s">
        <v>4543</v>
      </c>
      <c r="I3813" s="355">
        <f>I3579</f>
        <v>68.8</v>
      </c>
      <c r="J3813" s="355" t="s">
        <v>2561</v>
      </c>
      <c r="K3813" s="355">
        <f>F3813*I3813</f>
        <v>68.8</v>
      </c>
      <c r="L3813" s="355"/>
      <c r="M3813" s="355"/>
    </row>
    <row r="3814" spans="5:13">
      <c r="E3814" s="355"/>
      <c r="F3814" s="355">
        <v>72</v>
      </c>
      <c r="G3814" s="355" t="s">
        <v>1337</v>
      </c>
      <c r="H3814" s="355" t="s">
        <v>2602</v>
      </c>
      <c r="I3814" s="624">
        <v>47.7</v>
      </c>
      <c r="J3814" s="355" t="s">
        <v>2561</v>
      </c>
      <c r="K3814" s="355">
        <f>(F3814*I3814)/144</f>
        <v>23.85</v>
      </c>
      <c r="L3814" s="355"/>
      <c r="M3814" s="355"/>
    </row>
    <row r="3815" spans="5:13">
      <c r="E3815" s="355"/>
      <c r="F3815" s="359">
        <v>0.16666666666666666</v>
      </c>
      <c r="G3815" s="355" t="s">
        <v>2557</v>
      </c>
      <c r="H3815" s="355" t="s">
        <v>364</v>
      </c>
      <c r="I3815" s="546">
        <f>I3100</f>
        <v>298</v>
      </c>
      <c r="J3815" s="355" t="s">
        <v>2557</v>
      </c>
      <c r="K3815" s="355">
        <f t="shared" si="110"/>
        <v>49.67</v>
      </c>
      <c r="L3815" s="355"/>
      <c r="M3815" s="355"/>
    </row>
    <row r="3816" spans="5:13">
      <c r="E3816" s="355"/>
      <c r="F3816" s="355">
        <v>10</v>
      </c>
      <c r="G3816" s="355" t="s">
        <v>1337</v>
      </c>
      <c r="H3816" s="355" t="s">
        <v>4811</v>
      </c>
      <c r="I3816" s="425">
        <v>13.8</v>
      </c>
      <c r="J3816" s="355" t="s">
        <v>1337</v>
      </c>
      <c r="K3816" s="355">
        <f t="shared" si="110"/>
        <v>138</v>
      </c>
      <c r="L3816" s="355"/>
      <c r="M3816" s="355"/>
    </row>
    <row r="3817" spans="5:13">
      <c r="E3817" s="355"/>
      <c r="F3817" s="355">
        <v>1</v>
      </c>
      <c r="G3817" s="355" t="s">
        <v>1337</v>
      </c>
      <c r="H3817" s="355" t="s">
        <v>4812</v>
      </c>
      <c r="I3817" s="425">
        <v>16.5</v>
      </c>
      <c r="J3817" s="355" t="s">
        <v>1337</v>
      </c>
      <c r="K3817" s="355">
        <f t="shared" si="110"/>
        <v>16.5</v>
      </c>
      <c r="L3817" s="355"/>
      <c r="M3817" s="355"/>
    </row>
    <row r="3818" spans="5:13">
      <c r="E3818" s="355"/>
      <c r="F3818" s="355">
        <v>0.1</v>
      </c>
      <c r="G3818" s="355" t="s">
        <v>2199</v>
      </c>
      <c r="H3818" s="355" t="s">
        <v>2961</v>
      </c>
      <c r="I3818" s="355">
        <f>I2855</f>
        <v>630</v>
      </c>
      <c r="J3818" s="355" t="s">
        <v>2199</v>
      </c>
      <c r="K3818" s="355">
        <f t="shared" si="110"/>
        <v>63</v>
      </c>
      <c r="L3818" s="355"/>
      <c r="M3818" s="355"/>
    </row>
    <row r="3819" spans="5:13" ht="31.5">
      <c r="E3819" s="355"/>
      <c r="F3819" s="355">
        <v>45</v>
      </c>
      <c r="G3819" s="355" t="s">
        <v>794</v>
      </c>
      <c r="H3819" s="276" t="s">
        <v>2563</v>
      </c>
      <c r="I3819" s="355">
        <f>I2856</f>
        <v>15.5</v>
      </c>
      <c r="J3819" s="355" t="s">
        <v>3239</v>
      </c>
      <c r="K3819" s="355">
        <f t="shared" si="110"/>
        <v>697.5</v>
      </c>
      <c r="L3819" s="355"/>
      <c r="M3819" s="355"/>
    </row>
    <row r="3820" spans="5:13">
      <c r="E3820" s="355"/>
      <c r="F3820" s="359">
        <v>0.5</v>
      </c>
      <c r="G3820" s="355" t="s">
        <v>52</v>
      </c>
      <c r="H3820" s="276" t="s">
        <v>3801</v>
      </c>
      <c r="I3820" s="355">
        <f>Data!I3244</f>
        <v>225.4</v>
      </c>
      <c r="J3820" s="355" t="s">
        <v>52</v>
      </c>
      <c r="K3820" s="355">
        <f t="shared" si="110"/>
        <v>112.7</v>
      </c>
      <c r="L3820" s="355"/>
      <c r="M3820" s="355"/>
    </row>
    <row r="3821" spans="5:13">
      <c r="E3821" s="355"/>
      <c r="F3821" s="355">
        <v>10</v>
      </c>
      <c r="G3821" s="355" t="s">
        <v>3243</v>
      </c>
      <c r="H3821" s="355" t="s">
        <v>878</v>
      </c>
      <c r="I3821" s="355"/>
      <c r="J3821" s="355" t="s">
        <v>625</v>
      </c>
      <c r="K3821" s="355">
        <f>K3840</f>
        <v>4392.67</v>
      </c>
      <c r="L3821" s="355"/>
      <c r="M3821" s="355"/>
    </row>
    <row r="3822" spans="5:13">
      <c r="E3822" s="355"/>
      <c r="F3822" s="355" t="s">
        <v>625</v>
      </c>
      <c r="G3822" s="355"/>
      <c r="H3822" s="355" t="s">
        <v>2962</v>
      </c>
      <c r="I3822" s="355"/>
      <c r="J3822" s="355" t="s">
        <v>625</v>
      </c>
      <c r="K3822" s="355">
        <v>26.75</v>
      </c>
      <c r="L3822" s="355"/>
      <c r="M3822" s="355"/>
    </row>
    <row r="3823" spans="5:13">
      <c r="E3823" s="355"/>
      <c r="F3823" s="355"/>
      <c r="G3823" s="355"/>
      <c r="H3823" s="360" t="s">
        <v>3242</v>
      </c>
      <c r="I3823" s="355"/>
      <c r="J3823" s="355"/>
      <c r="K3823" s="361">
        <f>SUM(K3804:K3822)</f>
        <v>8300.07</v>
      </c>
      <c r="L3823" s="355"/>
      <c r="M3823" s="355"/>
    </row>
    <row r="3824" spans="5:13">
      <c r="E3824" s="355"/>
      <c r="F3824" s="355"/>
      <c r="G3824" s="355"/>
      <c r="H3824" s="362" t="s">
        <v>3244</v>
      </c>
      <c r="I3824" s="355"/>
      <c r="J3824" s="355"/>
      <c r="K3824" s="363">
        <f>K3823/10</f>
        <v>830.01</v>
      </c>
      <c r="L3824" s="355">
        <f>628*10</f>
        <v>6280</v>
      </c>
      <c r="M3824" s="355">
        <f>L3824-K3823</f>
        <v>-2020.07</v>
      </c>
    </row>
    <row r="3825" spans="5:13">
      <c r="E3825" s="355"/>
      <c r="F3825" s="355"/>
      <c r="G3825" s="355"/>
      <c r="H3825" s="355"/>
      <c r="I3825" s="355"/>
      <c r="J3825" s="355"/>
      <c r="K3825" s="355"/>
      <c r="L3825" s="355"/>
      <c r="M3825" s="355"/>
    </row>
    <row r="3826" spans="5:13">
      <c r="E3826" s="355"/>
      <c r="F3826" s="355"/>
      <c r="G3826" s="355"/>
      <c r="H3826" s="355"/>
      <c r="I3826" s="355"/>
      <c r="J3826" s="355"/>
      <c r="K3826" s="355"/>
      <c r="L3826" s="355"/>
      <c r="M3826" s="355"/>
    </row>
    <row r="3827" spans="5:13">
      <c r="E3827" s="355"/>
      <c r="F3827" s="355"/>
      <c r="G3827" s="355"/>
      <c r="H3827" s="355"/>
      <c r="I3827" s="355"/>
      <c r="J3827" s="355"/>
      <c r="K3827" s="355"/>
      <c r="L3827" s="355"/>
      <c r="M3827" s="355"/>
    </row>
    <row r="3828" spans="5:13">
      <c r="E3828" s="355"/>
      <c r="F3828" s="355"/>
      <c r="G3828" s="355"/>
      <c r="H3828" s="355"/>
      <c r="I3828" s="355"/>
      <c r="J3828" s="355"/>
      <c r="K3828" s="355"/>
      <c r="L3828" s="355"/>
      <c r="M3828" s="355"/>
    </row>
    <row r="3829" spans="5:13">
      <c r="E3829" s="355"/>
      <c r="F3829" s="355"/>
      <c r="G3829" s="363" t="s">
        <v>3246</v>
      </c>
      <c r="H3829" s="355"/>
      <c r="I3829" s="355"/>
      <c r="J3829" s="355"/>
      <c r="M3829" s="355"/>
    </row>
    <row r="3830" spans="5:13">
      <c r="E3830" s="355"/>
      <c r="F3830" s="355"/>
      <c r="G3830" s="355"/>
      <c r="H3830" s="355"/>
      <c r="I3830" s="355"/>
      <c r="J3830" s="355"/>
      <c r="M3830" s="355"/>
    </row>
    <row r="3831" spans="5:13">
      <c r="E3831" s="355"/>
      <c r="F3831" s="355"/>
      <c r="G3831" s="363" t="s">
        <v>3321</v>
      </c>
      <c r="H3831" s="355"/>
      <c r="I3831" s="355"/>
      <c r="J3831" s="355"/>
      <c r="M3831" s="355"/>
    </row>
    <row r="3832" spans="5:13">
      <c r="E3832" s="355"/>
      <c r="F3832" s="355"/>
      <c r="G3832" s="355"/>
      <c r="H3832" s="355"/>
      <c r="I3832" s="355"/>
      <c r="J3832" s="355"/>
      <c r="M3832" s="355"/>
    </row>
    <row r="3833" spans="5:13">
      <c r="F3833" s="355">
        <v>1</v>
      </c>
      <c r="G3833" s="355" t="s">
        <v>1337</v>
      </c>
      <c r="H3833" s="355" t="s">
        <v>3248</v>
      </c>
      <c r="I3833" s="355">
        <f>I2866</f>
        <v>817</v>
      </c>
      <c r="J3833" s="355" t="s">
        <v>1337</v>
      </c>
      <c r="K3833" s="355">
        <f>F3833*I3833</f>
        <v>817</v>
      </c>
      <c r="L3833" s="355"/>
      <c r="M3833" s="355"/>
    </row>
    <row r="3834" spans="5:13">
      <c r="F3834" s="355">
        <v>2</v>
      </c>
      <c r="G3834" s="355" t="s">
        <v>1337</v>
      </c>
      <c r="H3834" s="355" t="s">
        <v>3249</v>
      </c>
      <c r="I3834" s="355">
        <f>I2867</f>
        <v>712</v>
      </c>
      <c r="J3834" s="355" t="s">
        <v>1337</v>
      </c>
      <c r="K3834" s="355">
        <f>F3834*I3834</f>
        <v>1424</v>
      </c>
      <c r="L3834" s="355"/>
      <c r="M3834" s="355"/>
    </row>
    <row r="3835" spans="5:13">
      <c r="F3835" s="355">
        <v>3</v>
      </c>
      <c r="G3835" s="355" t="s">
        <v>1337</v>
      </c>
      <c r="H3835" s="355" t="s">
        <v>3250</v>
      </c>
      <c r="I3835" s="355">
        <f>I2868</f>
        <v>708</v>
      </c>
      <c r="J3835" s="355" t="s">
        <v>1337</v>
      </c>
      <c r="K3835" s="355">
        <f>F3835*I3835</f>
        <v>2124</v>
      </c>
      <c r="L3835" s="355"/>
      <c r="M3835" s="355"/>
    </row>
    <row r="3836" spans="5:13">
      <c r="F3836" s="355">
        <v>4</v>
      </c>
      <c r="G3836" s="355" t="s">
        <v>1337</v>
      </c>
      <c r="H3836" s="355" t="s">
        <v>2246</v>
      </c>
      <c r="I3836" s="355">
        <f>I2869</f>
        <v>556</v>
      </c>
      <c r="J3836" s="355" t="s">
        <v>1337</v>
      </c>
      <c r="K3836" s="355">
        <f>F3836*I3836</f>
        <v>2224</v>
      </c>
      <c r="L3836" s="355"/>
      <c r="M3836" s="355"/>
    </row>
    <row r="3837" spans="5:13">
      <c r="F3837" s="355"/>
      <c r="G3837" s="355"/>
      <c r="H3837" s="355"/>
      <c r="I3837" s="355"/>
      <c r="J3837" s="355"/>
      <c r="K3837" s="355"/>
      <c r="L3837" s="355"/>
      <c r="M3837" s="355"/>
    </row>
    <row r="3838" spans="5:13">
      <c r="E3838" s="355"/>
      <c r="F3838" s="355"/>
      <c r="G3838" s="182"/>
      <c r="H3838" s="365"/>
      <c r="J3838" s="182"/>
      <c r="K3838" s="366">
        <f>SUM(K3833:K3836)</f>
        <v>6589</v>
      </c>
      <c r="L3838" s="366"/>
      <c r="M3838" s="355"/>
    </row>
    <row r="3839" spans="5:13">
      <c r="E3839" s="355"/>
      <c r="F3839" s="355"/>
      <c r="G3839" s="182"/>
      <c r="H3839" s="365"/>
      <c r="J3839" s="182"/>
      <c r="M3839" s="355"/>
    </row>
    <row r="3840" spans="5:13" ht="51">
      <c r="E3840" s="355"/>
      <c r="F3840" s="355"/>
      <c r="G3840" s="182"/>
      <c r="H3840" s="365" t="s">
        <v>2769</v>
      </c>
      <c r="J3840" s="367"/>
      <c r="K3840" s="192">
        <f>K3838*2/3</f>
        <v>4392.67</v>
      </c>
      <c r="L3840" s="192"/>
      <c r="M3840" s="355"/>
    </row>
    <row r="3841" spans="5:13">
      <c r="E3841" s="355"/>
      <c r="F3841" s="355"/>
      <c r="G3841" s="355"/>
      <c r="H3841" s="355"/>
      <c r="I3841" s="355"/>
      <c r="J3841" s="355"/>
      <c r="K3841" s="355"/>
      <c r="L3841" s="355"/>
      <c r="M3841" s="355"/>
    </row>
    <row r="3842" spans="5:13">
      <c r="E3842" s="355"/>
      <c r="F3842" s="355"/>
      <c r="G3842" s="355"/>
      <c r="H3842" s="191" t="s">
        <v>2963</v>
      </c>
      <c r="I3842" s="355"/>
      <c r="J3842" s="355"/>
      <c r="K3842" s="355"/>
      <c r="L3842" s="355"/>
      <c r="M3842" s="355"/>
    </row>
    <row r="3843" spans="5:13">
      <c r="E3843" s="355"/>
      <c r="F3843" s="355"/>
      <c r="G3843" s="355"/>
      <c r="H3843" s="355"/>
      <c r="I3843" s="355"/>
      <c r="J3843" s="355"/>
      <c r="K3843" s="355"/>
      <c r="L3843" s="355"/>
      <c r="M3843" s="355"/>
    </row>
    <row r="3844" spans="5:13" ht="141.75">
      <c r="E3844" s="355"/>
      <c r="F3844" s="355"/>
      <c r="G3844" s="355"/>
      <c r="H3844" s="354" t="s">
        <v>2981</v>
      </c>
      <c r="I3844" s="355"/>
      <c r="J3844" s="355"/>
      <c r="K3844" s="355"/>
      <c r="L3844" s="355"/>
      <c r="M3844" s="355"/>
    </row>
    <row r="3845" spans="5:13">
      <c r="E3845" s="355"/>
      <c r="F3845" s="355"/>
      <c r="G3845" s="355"/>
      <c r="H3845" s="355" t="s">
        <v>2369</v>
      </c>
      <c r="I3845" s="355"/>
      <c r="J3845" s="355"/>
      <c r="K3845" s="355">
        <f>K3823-K3822</f>
        <v>8273.32</v>
      </c>
      <c r="L3845" s="355"/>
      <c r="M3845" s="355"/>
    </row>
    <row r="3846" spans="5:13">
      <c r="E3846" s="355"/>
      <c r="F3846" s="355"/>
      <c r="G3846" s="355"/>
      <c r="H3846" s="355" t="s">
        <v>2370</v>
      </c>
      <c r="I3846" s="355"/>
      <c r="J3846" s="355"/>
      <c r="K3846" s="355">
        <f>K3812</f>
        <v>136</v>
      </c>
      <c r="L3846" s="355"/>
      <c r="M3846" s="355"/>
    </row>
    <row r="3847" spans="5:13">
      <c r="E3847" s="355"/>
      <c r="F3847" s="355"/>
      <c r="G3847" s="355"/>
      <c r="H3847" s="355" t="str">
        <f>H2881</f>
        <v>Add cost of Bakelite battern type holders 10 Nos @ Rs 16.50 / Each p-116,  it-25</v>
      </c>
      <c r="I3847" s="355"/>
      <c r="J3847" s="355"/>
      <c r="K3847" s="355">
        <f>K2881</f>
        <v>165</v>
      </c>
      <c r="L3847" s="355"/>
      <c r="M3847" s="355"/>
    </row>
    <row r="3848" spans="5:13">
      <c r="E3848" s="355"/>
      <c r="F3848" s="355"/>
      <c r="G3848" s="355"/>
      <c r="H3848" s="355" t="s">
        <v>2187</v>
      </c>
      <c r="I3848" s="355"/>
      <c r="J3848" s="355"/>
      <c r="K3848" s="355">
        <v>29.25</v>
      </c>
      <c r="L3848" s="355"/>
      <c r="M3848" s="355"/>
    </row>
    <row r="3849" spans="5:13">
      <c r="E3849" s="355"/>
      <c r="F3849" s="355"/>
      <c r="G3849" s="355"/>
      <c r="H3849" s="360" t="s">
        <v>2348</v>
      </c>
      <c r="I3849" s="355"/>
      <c r="J3849" s="355"/>
      <c r="K3849" s="361">
        <f>K3845-K3846+K3847+K3848</f>
        <v>8331.57</v>
      </c>
      <c r="L3849" s="355">
        <f>L3850-K3849</f>
        <v>-2031.57</v>
      </c>
      <c r="M3849" s="355"/>
    </row>
    <row r="3850" spans="5:13">
      <c r="E3850" s="355"/>
      <c r="F3850" s="355"/>
      <c r="G3850" s="355"/>
      <c r="H3850" s="362" t="s">
        <v>2349</v>
      </c>
      <c r="I3850" s="355"/>
      <c r="J3850" s="355"/>
      <c r="K3850" s="363">
        <f>K3849/10</f>
        <v>833.16</v>
      </c>
      <c r="L3850" s="355">
        <f>630*10</f>
        <v>6300</v>
      </c>
      <c r="M3850" s="355"/>
    </row>
    <row r="3851" spans="5:13">
      <c r="E3851" s="355"/>
      <c r="F3851" s="355"/>
      <c r="G3851" s="355"/>
      <c r="H3851" s="355"/>
      <c r="I3851" s="355"/>
      <c r="J3851" s="355"/>
      <c r="K3851" s="355"/>
      <c r="L3851" s="355">
        <f>L3850-K3849</f>
        <v>-2031.57</v>
      </c>
      <c r="M3851" s="355"/>
    </row>
    <row r="3852" spans="5:13">
      <c r="E3852" s="355"/>
      <c r="F3852" s="355"/>
      <c r="G3852" s="355"/>
      <c r="H3852" s="355"/>
      <c r="I3852" s="355"/>
      <c r="J3852" s="355"/>
      <c r="K3852" s="355"/>
      <c r="L3852" s="355"/>
      <c r="M3852" s="355"/>
    </row>
    <row r="3853" spans="5:13">
      <c r="E3853" s="355"/>
      <c r="F3853" s="355"/>
      <c r="G3853" s="355"/>
      <c r="H3853" s="355"/>
      <c r="I3853" s="355"/>
      <c r="J3853" s="355"/>
      <c r="K3853" s="355"/>
      <c r="L3853" s="355"/>
      <c r="M3853" s="355"/>
    </row>
    <row r="3854" spans="5:13" ht="47.25">
      <c r="E3854" s="355"/>
      <c r="F3854" s="355"/>
      <c r="G3854" s="355"/>
      <c r="H3854" s="353" t="s">
        <v>3322</v>
      </c>
      <c r="I3854" s="355"/>
      <c r="J3854" s="355"/>
      <c r="K3854" s="355"/>
      <c r="L3854" s="355"/>
      <c r="M3854" s="355"/>
    </row>
    <row r="3855" spans="5:13">
      <c r="E3855" s="355"/>
      <c r="F3855" s="355"/>
      <c r="G3855" s="355"/>
      <c r="H3855" s="355"/>
      <c r="I3855" s="355"/>
      <c r="J3855" s="355"/>
      <c r="K3855" s="355"/>
      <c r="L3855" s="355"/>
      <c r="M3855" s="355"/>
    </row>
    <row r="3856" spans="5:13" ht="157.5">
      <c r="E3856" s="355"/>
      <c r="F3856" s="355"/>
      <c r="G3856" s="355"/>
      <c r="H3856" s="354" t="s">
        <v>3309</v>
      </c>
      <c r="I3856" s="355"/>
      <c r="J3856" s="355"/>
      <c r="K3856" s="355"/>
      <c r="L3856" s="355"/>
      <c r="M3856" s="355"/>
    </row>
    <row r="3857" spans="5:13">
      <c r="E3857" s="355"/>
      <c r="F3857" s="355"/>
      <c r="G3857" s="355"/>
      <c r="H3857" s="355" t="s">
        <v>3331</v>
      </c>
      <c r="I3857" s="355"/>
      <c r="J3857" s="355"/>
      <c r="K3857" s="355">
        <f>K3845</f>
        <v>8273.32</v>
      </c>
      <c r="L3857" s="355"/>
      <c r="M3857" s="355"/>
    </row>
    <row r="3858" spans="5:13">
      <c r="E3858" s="355"/>
      <c r="F3858" s="355"/>
      <c r="G3858" s="355"/>
      <c r="H3858" s="355" t="s">
        <v>2919</v>
      </c>
      <c r="I3858" s="355"/>
      <c r="J3858" s="355"/>
      <c r="K3858" s="355">
        <f>K3846</f>
        <v>136</v>
      </c>
      <c r="L3858" s="355"/>
      <c r="M3858" s="355"/>
    </row>
    <row r="3859" spans="5:13">
      <c r="E3859" s="355"/>
      <c r="F3859" s="355"/>
      <c r="G3859" s="355"/>
      <c r="H3859" s="355" t="s">
        <v>2920</v>
      </c>
      <c r="I3859" s="355"/>
      <c r="J3859" s="355"/>
      <c r="K3859" s="355">
        <f>K3809</f>
        <v>34.33</v>
      </c>
      <c r="L3859" s="355"/>
      <c r="M3859" s="355"/>
    </row>
    <row r="3860" spans="5:13">
      <c r="E3860" s="355"/>
      <c r="F3860" s="355"/>
      <c r="G3860" s="355"/>
      <c r="H3860" s="355" t="s">
        <v>2921</v>
      </c>
      <c r="I3860" s="355"/>
      <c r="J3860" s="355"/>
      <c r="K3860" s="355">
        <f>K2893</f>
        <v>160.5</v>
      </c>
      <c r="L3860" s="355"/>
      <c r="M3860" s="355"/>
    </row>
    <row r="3861" spans="5:13">
      <c r="E3861" s="355"/>
      <c r="F3861" s="355"/>
      <c r="G3861" s="355"/>
      <c r="H3861" s="355" t="s">
        <v>4210</v>
      </c>
      <c r="I3861" s="355"/>
      <c r="J3861" s="355"/>
      <c r="K3861" s="425">
        <f>K2894</f>
        <v>413</v>
      </c>
      <c r="L3861" s="355"/>
      <c r="M3861" s="355"/>
    </row>
    <row r="3862" spans="5:13">
      <c r="E3862" s="355"/>
      <c r="F3862" s="355"/>
      <c r="H3862" s="355" t="s">
        <v>4813</v>
      </c>
      <c r="I3862" s="355"/>
      <c r="J3862" s="355"/>
      <c r="K3862" s="425">
        <f>10*16.05</f>
        <v>160.5</v>
      </c>
      <c r="L3862" s="355"/>
      <c r="M3862" s="355"/>
    </row>
    <row r="3863" spans="5:13">
      <c r="E3863" s="355"/>
      <c r="F3863" s="355"/>
      <c r="G3863" s="355"/>
      <c r="H3863" s="355" t="s">
        <v>4814</v>
      </c>
      <c r="I3863" s="355"/>
      <c r="J3863" s="355"/>
      <c r="K3863" s="425">
        <f>16.5*10</f>
        <v>165</v>
      </c>
      <c r="L3863" s="355"/>
      <c r="M3863" s="355"/>
    </row>
    <row r="3864" spans="5:13">
      <c r="E3864" s="355"/>
      <c r="F3864" s="355"/>
      <c r="G3864" s="355"/>
      <c r="H3864" s="355" t="s">
        <v>2187</v>
      </c>
      <c r="I3864" s="355"/>
      <c r="J3864" s="355"/>
      <c r="K3864" s="355">
        <v>31.92</v>
      </c>
      <c r="L3864" s="355"/>
      <c r="M3864" s="355"/>
    </row>
    <row r="3865" spans="5:13">
      <c r="E3865" s="355"/>
      <c r="F3865" s="355"/>
      <c r="G3865" s="355"/>
      <c r="H3865" s="360" t="s">
        <v>2348</v>
      </c>
      <c r="I3865" s="355"/>
      <c r="J3865" s="355"/>
      <c r="K3865" s="361">
        <f>(K3857-K3858-K3859-K3860)+(K3861+K3862+K3863+K3864)</f>
        <v>8712.91</v>
      </c>
      <c r="L3865" s="355"/>
      <c r="M3865" s="355"/>
    </row>
    <row r="3866" spans="5:13">
      <c r="E3866" s="355"/>
      <c r="F3866" s="355"/>
      <c r="G3866" s="355"/>
      <c r="H3866" s="362" t="s">
        <v>3096</v>
      </c>
      <c r="I3866" s="355"/>
      <c r="J3866" s="355"/>
      <c r="K3866" s="363">
        <f>K3865/10</f>
        <v>871.29</v>
      </c>
      <c r="L3866" s="355">
        <f>669*10</f>
        <v>6690</v>
      </c>
      <c r="M3866" s="355">
        <f>L3866-K3865</f>
        <v>-2022.91</v>
      </c>
    </row>
    <row r="3867" spans="5:13">
      <c r="E3867" s="355"/>
      <c r="F3867" s="355"/>
      <c r="G3867" s="355"/>
      <c r="H3867" s="355"/>
      <c r="I3867" s="355"/>
      <c r="J3867" s="355"/>
      <c r="K3867" s="355"/>
      <c r="L3867" s="355"/>
      <c r="M3867" s="355"/>
    </row>
    <row r="3868" spans="5:13">
      <c r="E3868" s="355"/>
      <c r="F3868" s="355"/>
      <c r="G3868" s="355"/>
      <c r="H3868" s="355"/>
      <c r="I3868" s="355"/>
      <c r="J3868" s="355"/>
      <c r="K3868" s="355"/>
      <c r="L3868" s="355"/>
      <c r="M3868" s="355"/>
    </row>
    <row r="3869" spans="5:13">
      <c r="E3869" s="355"/>
      <c r="F3869" s="355"/>
      <c r="G3869" s="355"/>
      <c r="H3869" s="355"/>
      <c r="I3869" s="355"/>
      <c r="J3869" s="355"/>
      <c r="K3869" s="355"/>
      <c r="L3869" s="355"/>
      <c r="M3869" s="355"/>
    </row>
    <row r="3870" spans="5:13">
      <c r="E3870" s="355"/>
      <c r="F3870" s="355"/>
      <c r="G3870" s="355"/>
      <c r="H3870" s="355"/>
      <c r="I3870" s="355"/>
      <c r="J3870" s="355"/>
      <c r="K3870" s="355"/>
      <c r="L3870" s="355"/>
      <c r="M3870" s="355"/>
    </row>
    <row r="3871" spans="5:13">
      <c r="E3871" s="355"/>
      <c r="F3871" s="355"/>
      <c r="G3871" s="355"/>
      <c r="H3871" s="355"/>
      <c r="I3871" s="355"/>
      <c r="J3871" s="355"/>
      <c r="K3871" s="355"/>
      <c r="L3871" s="355"/>
      <c r="M3871" s="355"/>
    </row>
    <row r="3872" spans="5:13">
      <c r="E3872" s="355"/>
      <c r="F3872" s="355"/>
      <c r="G3872" s="355"/>
      <c r="H3872" s="353" t="s">
        <v>4587</v>
      </c>
      <c r="I3872" s="355"/>
      <c r="J3872" s="355"/>
      <c r="K3872" s="355"/>
      <c r="L3872" s="355"/>
      <c r="M3872" s="355"/>
    </row>
    <row r="3873" spans="5:13">
      <c r="E3873" s="355"/>
      <c r="F3873" s="355"/>
      <c r="G3873" s="355"/>
      <c r="I3873" s="355"/>
      <c r="J3873" s="355"/>
      <c r="K3873" s="355"/>
      <c r="L3873" s="355"/>
      <c r="M3873" s="355"/>
    </row>
    <row r="3874" spans="5:13">
      <c r="E3874" s="355"/>
      <c r="F3874" s="355"/>
      <c r="G3874" s="355"/>
      <c r="I3874" s="355"/>
      <c r="J3874" s="355"/>
      <c r="K3874" s="355"/>
      <c r="L3874" s="355"/>
      <c r="M3874" s="355"/>
    </row>
    <row r="3875" spans="5:13">
      <c r="E3875" s="355"/>
      <c r="F3875" s="355"/>
      <c r="G3875" s="355"/>
      <c r="I3875" s="355"/>
      <c r="J3875" s="355"/>
      <c r="K3875" s="355"/>
      <c r="L3875" s="355"/>
      <c r="M3875" s="355"/>
    </row>
    <row r="3876" spans="5:13">
      <c r="E3876" s="355"/>
      <c r="F3876" s="355"/>
      <c r="G3876" s="355"/>
      <c r="I3876" s="355"/>
      <c r="J3876" s="355"/>
      <c r="K3876" s="355"/>
      <c r="L3876" s="355"/>
      <c r="M3876" s="355"/>
    </row>
    <row r="3877" spans="5:13" ht="141.75">
      <c r="E3877" s="355"/>
      <c r="F3877" s="355"/>
      <c r="G3877" s="355"/>
      <c r="H3877" s="354" t="s">
        <v>4583</v>
      </c>
      <c r="I3877" s="355"/>
      <c r="J3877" s="355"/>
      <c r="K3877" s="355"/>
      <c r="L3877" s="355"/>
      <c r="M3877" s="355"/>
    </row>
    <row r="3878" spans="5:13">
      <c r="E3878" s="355"/>
      <c r="F3878" s="355"/>
      <c r="G3878" s="355"/>
      <c r="H3878" s="355"/>
      <c r="I3878" s="355"/>
      <c r="J3878" s="355"/>
      <c r="K3878" s="355"/>
      <c r="L3878" s="355"/>
      <c r="M3878" s="355"/>
    </row>
    <row r="3879" spans="5:13">
      <c r="E3879" s="355"/>
      <c r="F3879" s="355"/>
      <c r="G3879" s="355"/>
      <c r="H3879" s="355"/>
      <c r="I3879" s="355"/>
      <c r="J3879" s="355"/>
      <c r="K3879" s="355"/>
      <c r="L3879" s="355"/>
      <c r="M3879" s="355"/>
    </row>
    <row r="3880" spans="5:13">
      <c r="E3880" s="355"/>
      <c r="F3880" s="355"/>
      <c r="G3880" s="355"/>
      <c r="H3880" s="355"/>
      <c r="I3880" s="355"/>
      <c r="J3880" s="355"/>
      <c r="K3880" s="355"/>
      <c r="L3880" s="355"/>
      <c r="M3880" s="355"/>
    </row>
    <row r="3881" spans="5:13">
      <c r="E3881" s="355"/>
      <c r="F3881" s="355"/>
      <c r="G3881" s="355"/>
      <c r="H3881" s="355" t="s">
        <v>2369</v>
      </c>
      <c r="I3881" s="355"/>
      <c r="J3881" s="355"/>
      <c r="K3881" s="355">
        <f>K3857</f>
        <v>8273.32</v>
      </c>
      <c r="L3881" s="355"/>
      <c r="M3881" s="355"/>
    </row>
    <row r="3882" spans="5:13">
      <c r="E3882" s="355"/>
      <c r="F3882" s="355"/>
      <c r="G3882" s="355"/>
      <c r="H3882" s="355" t="s">
        <v>4584</v>
      </c>
      <c r="I3882" s="355"/>
      <c r="J3882" s="355"/>
      <c r="K3882" s="355">
        <f>K3816</f>
        <v>138</v>
      </c>
      <c r="L3882" s="355"/>
      <c r="M3882" s="355"/>
    </row>
    <row r="3883" spans="5:13">
      <c r="E3883" s="355"/>
      <c r="F3883" s="355"/>
      <c r="G3883" s="355"/>
      <c r="H3883" s="355" t="s">
        <v>2739</v>
      </c>
      <c r="I3883" s="355"/>
      <c r="J3883" s="355"/>
      <c r="K3883" s="355">
        <f>K3818</f>
        <v>63</v>
      </c>
      <c r="L3883" s="355"/>
      <c r="M3883" s="355"/>
    </row>
    <row r="3884" spans="5:13" ht="33.75" customHeight="1">
      <c r="E3884" s="355"/>
      <c r="F3884" s="355"/>
      <c r="G3884" s="355"/>
      <c r="H3884" s="354" t="s">
        <v>4815</v>
      </c>
      <c r="I3884" s="355"/>
      <c r="J3884" s="355"/>
      <c r="K3884" s="425">
        <f>69.9*10</f>
        <v>699</v>
      </c>
      <c r="L3884" s="355"/>
      <c r="M3884" s="355"/>
    </row>
    <row r="3885" spans="5:13">
      <c r="E3885" s="355"/>
      <c r="F3885" s="355"/>
      <c r="G3885" s="355"/>
      <c r="H3885" s="355" t="s">
        <v>4816</v>
      </c>
      <c r="I3885" s="355"/>
      <c r="J3885" s="355"/>
      <c r="K3885" s="425">
        <f>0.6*630</f>
        <v>378</v>
      </c>
      <c r="L3885" s="355"/>
      <c r="M3885" s="355"/>
    </row>
    <row r="3886" spans="5:13">
      <c r="E3886" s="355"/>
      <c r="F3886" s="355"/>
      <c r="G3886" s="355"/>
      <c r="H3886" s="355" t="s">
        <v>2964</v>
      </c>
      <c r="I3886" s="355"/>
      <c r="J3886" s="355"/>
      <c r="K3886" s="355">
        <v>24.25</v>
      </c>
      <c r="L3886" s="355"/>
      <c r="M3886" s="355"/>
    </row>
    <row r="3887" spans="5:13">
      <c r="E3887" s="355"/>
      <c r="F3887" s="355"/>
      <c r="G3887" s="355"/>
      <c r="H3887" s="360" t="s">
        <v>2348</v>
      </c>
      <c r="I3887" s="355"/>
      <c r="J3887" s="355"/>
      <c r="K3887" s="361">
        <f>K3881-K3882-K3883+K3884+K3885+K3886</f>
        <v>9173.57</v>
      </c>
      <c r="L3887" s="355"/>
      <c r="M3887" s="355"/>
    </row>
    <row r="3888" spans="5:13">
      <c r="E3888" s="355"/>
      <c r="F3888" s="355"/>
      <c r="G3888" s="355"/>
      <c r="H3888" s="362" t="s">
        <v>2349</v>
      </c>
      <c r="I3888" s="355"/>
      <c r="J3888" s="355"/>
      <c r="K3888" s="363">
        <f>K3887/10</f>
        <v>917.36</v>
      </c>
      <c r="L3888" s="355">
        <f>670*10</f>
        <v>6700</v>
      </c>
      <c r="M3888" s="355"/>
    </row>
    <row r="3889" spans="5:13">
      <c r="E3889" s="355"/>
      <c r="F3889" s="355"/>
      <c r="G3889" s="355"/>
      <c r="H3889" s="355"/>
      <c r="I3889" s="355"/>
      <c r="J3889" s="355"/>
      <c r="K3889" s="355"/>
      <c r="L3889" s="355">
        <f>L3888-K3887</f>
        <v>-2473.5700000000002</v>
      </c>
      <c r="M3889" s="355"/>
    </row>
    <row r="3890" spans="5:13">
      <c r="E3890" s="355"/>
      <c r="F3890" s="355"/>
      <c r="G3890" s="355"/>
      <c r="H3890" s="355"/>
      <c r="I3890" s="355"/>
      <c r="J3890" s="355"/>
      <c r="K3890" s="355">
        <f>K3888*6</f>
        <v>5504.16</v>
      </c>
      <c r="L3890" s="355"/>
      <c r="M3890" s="355"/>
    </row>
    <row r="3891" spans="5:13">
      <c r="E3891" s="355"/>
      <c r="F3891" s="355"/>
      <c r="G3891" s="355"/>
      <c r="H3891" s="355"/>
      <c r="I3891" s="355"/>
      <c r="J3891" s="355"/>
      <c r="K3891" s="355"/>
      <c r="L3891" s="355"/>
      <c r="M3891" s="355"/>
    </row>
    <row r="3892" spans="5:13">
      <c r="E3892" s="355"/>
      <c r="F3892" s="355"/>
      <c r="G3892" s="355"/>
      <c r="H3892" s="353" t="s">
        <v>4586</v>
      </c>
      <c r="I3892" s="355"/>
      <c r="J3892" s="355"/>
      <c r="K3892" s="355"/>
      <c r="L3892" s="355"/>
      <c r="M3892" s="355"/>
    </row>
    <row r="3893" spans="5:13" ht="189" customHeight="1">
      <c r="E3893" s="355"/>
      <c r="F3893" s="355"/>
      <c r="G3893" s="355"/>
      <c r="H3893" s="354" t="s">
        <v>4585</v>
      </c>
      <c r="I3893" s="355"/>
      <c r="J3893" s="355"/>
      <c r="K3893" s="355"/>
      <c r="L3893" s="355"/>
      <c r="M3893" s="355"/>
    </row>
    <row r="3894" spans="5:13">
      <c r="E3894" s="355"/>
      <c r="F3894" s="355">
        <v>90</v>
      </c>
      <c r="G3894" s="355" t="s">
        <v>794</v>
      </c>
      <c r="H3894" s="276" t="s">
        <v>2463</v>
      </c>
      <c r="I3894" s="355">
        <f>I3049</f>
        <v>15.5</v>
      </c>
      <c r="J3894" s="355" t="s">
        <v>2464</v>
      </c>
      <c r="K3894" s="355">
        <f>F3894*I3894</f>
        <v>1395</v>
      </c>
      <c r="L3894" s="355"/>
      <c r="M3894" s="355"/>
    </row>
    <row r="3895" spans="5:13">
      <c r="E3895" s="355"/>
      <c r="F3895" s="355">
        <v>30</v>
      </c>
      <c r="G3895" s="355" t="s">
        <v>794</v>
      </c>
      <c r="H3895" s="354" t="s">
        <v>2279</v>
      </c>
      <c r="I3895" s="355">
        <f>I3050</f>
        <v>19.100000000000001</v>
      </c>
      <c r="J3895" s="355" t="s">
        <v>794</v>
      </c>
      <c r="K3895" s="355">
        <f t="shared" ref="K3895:K3904" si="111">F3895*I3895</f>
        <v>573</v>
      </c>
      <c r="L3895" s="355"/>
      <c r="M3895" s="355"/>
    </row>
    <row r="3896" spans="5:13">
      <c r="E3896" s="355"/>
      <c r="F3896" s="355">
        <v>10</v>
      </c>
      <c r="G3896" s="355" t="s">
        <v>1337</v>
      </c>
      <c r="H3896" s="355" t="s">
        <v>2281</v>
      </c>
      <c r="I3896" s="355">
        <f>I3051</f>
        <v>3</v>
      </c>
      <c r="J3896" s="355" t="s">
        <v>1337</v>
      </c>
      <c r="K3896" s="355">
        <f t="shared" si="111"/>
        <v>30</v>
      </c>
      <c r="L3896" s="355"/>
      <c r="M3896" s="355"/>
    </row>
    <row r="3897" spans="5:13">
      <c r="E3897" s="355"/>
      <c r="F3897" s="355">
        <v>5</v>
      </c>
      <c r="G3897" s="355" t="s">
        <v>1337</v>
      </c>
      <c r="H3897" s="355" t="s">
        <v>3323</v>
      </c>
      <c r="I3897" s="355">
        <f>I3052</f>
        <v>1.28</v>
      </c>
      <c r="J3897" s="355" t="s">
        <v>1337</v>
      </c>
      <c r="K3897" s="355">
        <f t="shared" si="111"/>
        <v>6.4</v>
      </c>
      <c r="L3897" s="355"/>
      <c r="M3897" s="355"/>
    </row>
    <row r="3898" spans="5:13">
      <c r="E3898" s="355"/>
      <c r="F3898" s="355">
        <v>10</v>
      </c>
      <c r="G3898" s="355" t="s">
        <v>1337</v>
      </c>
      <c r="H3898" s="355" t="s">
        <v>2366</v>
      </c>
      <c r="I3898" s="355">
        <f>I3053</f>
        <v>19.920000000000002</v>
      </c>
      <c r="J3898" s="355" t="s">
        <v>1337</v>
      </c>
      <c r="K3898" s="355">
        <f t="shared" si="111"/>
        <v>199.2</v>
      </c>
      <c r="L3898" s="355"/>
      <c r="M3898" s="355"/>
    </row>
    <row r="3899" spans="5:13">
      <c r="E3899" s="355"/>
      <c r="F3899" s="355">
        <v>5</v>
      </c>
      <c r="G3899" s="355" t="s">
        <v>1337</v>
      </c>
      <c r="H3899" s="355" t="s">
        <v>4589</v>
      </c>
      <c r="I3899" s="758">
        <v>5.58</v>
      </c>
      <c r="J3899" s="355" t="s">
        <v>1341</v>
      </c>
      <c r="K3899" s="355">
        <f t="shared" si="111"/>
        <v>27.9</v>
      </c>
      <c r="L3899" s="355"/>
      <c r="M3899" s="355"/>
    </row>
    <row r="3900" spans="5:13">
      <c r="E3900" s="355"/>
      <c r="F3900" s="355">
        <v>5</v>
      </c>
      <c r="G3900" s="355" t="s">
        <v>1337</v>
      </c>
      <c r="H3900" s="355" t="s">
        <v>2553</v>
      </c>
      <c r="I3900" s="355">
        <f>I3054</f>
        <v>13.6</v>
      </c>
      <c r="J3900" s="355" t="s">
        <v>1337</v>
      </c>
      <c r="K3900" s="355">
        <f t="shared" si="111"/>
        <v>68</v>
      </c>
      <c r="L3900" s="355"/>
      <c r="M3900" s="355"/>
    </row>
    <row r="3901" spans="5:13">
      <c r="E3901" s="355"/>
      <c r="F3901" s="358">
        <v>0.09</v>
      </c>
      <c r="G3901" s="355" t="s">
        <v>2199</v>
      </c>
      <c r="H3901" s="355" t="s">
        <v>2476</v>
      </c>
      <c r="I3901" s="355">
        <f>I3057</f>
        <v>630</v>
      </c>
      <c r="J3901" s="355" t="s">
        <v>2199</v>
      </c>
      <c r="K3901" s="355">
        <f t="shared" si="111"/>
        <v>56.7</v>
      </c>
      <c r="L3901" s="355"/>
      <c r="M3901" s="355"/>
    </row>
    <row r="3902" spans="5:13">
      <c r="E3902" s="355"/>
      <c r="F3902" s="355">
        <v>1</v>
      </c>
      <c r="G3902" s="355" t="s">
        <v>2557</v>
      </c>
      <c r="H3902" s="355" t="s">
        <v>364</v>
      </c>
      <c r="I3902" s="355">
        <f>Data!Y31/20</f>
        <v>298</v>
      </c>
      <c r="J3902" s="355" t="s">
        <v>2557</v>
      </c>
      <c r="K3902" s="355">
        <f t="shared" si="111"/>
        <v>298</v>
      </c>
      <c r="L3902" s="355"/>
      <c r="M3902" s="355"/>
    </row>
    <row r="3903" spans="5:13">
      <c r="E3903" s="355"/>
      <c r="F3903" s="355">
        <v>6</v>
      </c>
      <c r="G3903" s="355" t="s">
        <v>1337</v>
      </c>
      <c r="H3903" s="355" t="s">
        <v>4588</v>
      </c>
      <c r="I3903" s="355">
        <f>I3817</f>
        <v>16.5</v>
      </c>
      <c r="J3903" s="355" t="s">
        <v>1341</v>
      </c>
      <c r="K3903" s="355">
        <f t="shared" si="111"/>
        <v>99</v>
      </c>
      <c r="L3903" s="355"/>
      <c r="M3903" s="355"/>
    </row>
    <row r="3904" spans="5:13" ht="31.5">
      <c r="E3904" s="355"/>
      <c r="F3904" s="355">
        <v>30</v>
      </c>
      <c r="G3904" s="355" t="s">
        <v>794</v>
      </c>
      <c r="H3904" s="276" t="s">
        <v>2563</v>
      </c>
      <c r="I3904" s="355">
        <f>I3894</f>
        <v>15.5</v>
      </c>
      <c r="J3904" s="355" t="s">
        <v>2464</v>
      </c>
      <c r="K3904" s="355">
        <f t="shared" si="111"/>
        <v>465</v>
      </c>
      <c r="L3904" s="355"/>
      <c r="M3904" s="355"/>
    </row>
    <row r="3905" spans="5:13">
      <c r="E3905" s="355"/>
      <c r="F3905" s="355"/>
      <c r="G3905" s="355"/>
      <c r="H3905" s="355" t="s">
        <v>878</v>
      </c>
      <c r="I3905" s="355"/>
      <c r="J3905" s="355"/>
      <c r="K3905" s="355">
        <f>K3838</f>
        <v>6589</v>
      </c>
      <c r="L3905" s="355"/>
      <c r="M3905" s="355"/>
    </row>
    <row r="3906" spans="5:13">
      <c r="E3906" s="355"/>
      <c r="F3906" s="355"/>
      <c r="G3906" s="355"/>
      <c r="H3906" s="355" t="s">
        <v>2187</v>
      </c>
      <c r="I3906" s="355"/>
      <c r="J3906" s="355"/>
      <c r="K3906" s="355">
        <v>12.25</v>
      </c>
      <c r="L3906" s="355"/>
      <c r="M3906" s="355"/>
    </row>
    <row r="3907" spans="5:13">
      <c r="E3907" s="355"/>
      <c r="F3907" s="355"/>
      <c r="G3907" s="355"/>
      <c r="H3907" s="360" t="s">
        <v>2477</v>
      </c>
      <c r="I3907" s="355"/>
      <c r="J3907" s="355"/>
      <c r="K3907" s="361">
        <f>SUM(K3894:K3906)</f>
        <v>9819.4500000000007</v>
      </c>
      <c r="L3907" s="355"/>
      <c r="M3907" s="355"/>
    </row>
    <row r="3908" spans="5:13">
      <c r="E3908" s="355"/>
      <c r="F3908" s="355"/>
      <c r="G3908" s="355"/>
      <c r="H3908" s="362" t="s">
        <v>3096</v>
      </c>
      <c r="I3908" s="355"/>
      <c r="J3908" s="355"/>
      <c r="K3908" s="363">
        <f>K3907/5</f>
        <v>1963.89</v>
      </c>
      <c r="L3908" s="355">
        <f>1425*5</f>
        <v>7125</v>
      </c>
      <c r="M3908" s="355">
        <f>K3907/5</f>
        <v>1963.89</v>
      </c>
    </row>
    <row r="3909" spans="5:13">
      <c r="E3909" s="355"/>
      <c r="F3909" s="355"/>
      <c r="G3909" s="355"/>
      <c r="H3909" s="363"/>
      <c r="I3909" s="355"/>
      <c r="J3909" s="355"/>
      <c r="K3909" s="355"/>
      <c r="L3909" s="355">
        <f>L3908-K3907</f>
        <v>-2694.45</v>
      </c>
      <c r="M3909" s="355"/>
    </row>
    <row r="3910" spans="5:13">
      <c r="E3910" s="355"/>
      <c r="F3910" s="355"/>
      <c r="G3910" s="355"/>
      <c r="H3910" s="363" t="s">
        <v>1462</v>
      </c>
      <c r="I3910" s="355"/>
      <c r="J3910" s="355"/>
      <c r="K3910" s="355"/>
      <c r="L3910" s="355"/>
      <c r="M3910" s="355"/>
    </row>
    <row r="3911" spans="5:13">
      <c r="E3911" s="355"/>
      <c r="F3911" s="355"/>
      <c r="G3911" s="355"/>
      <c r="H3911" s="355"/>
      <c r="I3911" s="355"/>
      <c r="J3911" s="355"/>
      <c r="K3911" s="355"/>
      <c r="L3911" s="355"/>
      <c r="M3911" s="355"/>
    </row>
    <row r="3912" spans="5:13" ht="141.75">
      <c r="E3912" s="355"/>
      <c r="F3912" s="355"/>
      <c r="G3912" s="355"/>
      <c r="H3912" s="354" t="s">
        <v>2647</v>
      </c>
      <c r="I3912" s="355"/>
      <c r="J3912" s="355"/>
      <c r="K3912" s="355"/>
      <c r="L3912" s="355"/>
      <c r="M3912" s="355"/>
    </row>
    <row r="3913" spans="5:13">
      <c r="E3913" s="355"/>
      <c r="F3913" s="355">
        <v>90</v>
      </c>
      <c r="G3913" s="355" t="s">
        <v>794</v>
      </c>
      <c r="H3913" s="276" t="s">
        <v>2463</v>
      </c>
      <c r="I3913" s="355">
        <f>I2951</f>
        <v>15.5</v>
      </c>
      <c r="J3913" s="355" t="s">
        <v>794</v>
      </c>
      <c r="K3913" s="355">
        <f>F3913*I3913</f>
        <v>1395</v>
      </c>
      <c r="L3913" s="355"/>
      <c r="M3913" s="355"/>
    </row>
    <row r="3914" spans="5:13">
      <c r="E3914" s="355"/>
      <c r="F3914" s="355">
        <v>45</v>
      </c>
      <c r="G3914" s="355" t="s">
        <v>794</v>
      </c>
      <c r="H3914" s="354" t="s">
        <v>2279</v>
      </c>
      <c r="I3914" s="355">
        <f t="shared" ref="I3914:I3923" si="112">I2952</f>
        <v>19.100000000000001</v>
      </c>
      <c r="J3914" s="355" t="s">
        <v>794</v>
      </c>
      <c r="K3914" s="355">
        <f t="shared" ref="K3914:K3923" si="113">F3914*I3914</f>
        <v>859.5</v>
      </c>
      <c r="L3914" s="355"/>
      <c r="M3914" s="355"/>
    </row>
    <row r="3915" spans="5:13">
      <c r="E3915" s="355"/>
      <c r="F3915" s="355">
        <v>20</v>
      </c>
      <c r="G3915" s="355" t="s">
        <v>1337</v>
      </c>
      <c r="H3915" s="355" t="s">
        <v>2281</v>
      </c>
      <c r="I3915" s="355">
        <f t="shared" si="112"/>
        <v>3</v>
      </c>
      <c r="J3915" s="355" t="s">
        <v>3326</v>
      </c>
      <c r="K3915" s="355">
        <f t="shared" si="113"/>
        <v>60</v>
      </c>
      <c r="L3915" s="355"/>
      <c r="M3915" s="355"/>
    </row>
    <row r="3916" spans="5:13">
      <c r="E3916" s="355"/>
      <c r="F3916" s="355">
        <v>10</v>
      </c>
      <c r="G3916" s="355" t="s">
        <v>1337</v>
      </c>
      <c r="H3916" s="355" t="s">
        <v>3323</v>
      </c>
      <c r="I3916" s="355">
        <f t="shared" si="112"/>
        <v>1.28</v>
      </c>
      <c r="J3916" s="355" t="s">
        <v>3326</v>
      </c>
      <c r="K3916" s="355">
        <f t="shared" si="113"/>
        <v>12.8</v>
      </c>
      <c r="L3916" s="355"/>
      <c r="M3916" s="355"/>
    </row>
    <row r="3917" spans="5:13">
      <c r="E3917" s="355"/>
      <c r="F3917" s="355">
        <v>1</v>
      </c>
      <c r="G3917" s="355" t="s">
        <v>1337</v>
      </c>
      <c r="H3917" s="355" t="s">
        <v>2367</v>
      </c>
      <c r="I3917" s="355">
        <f t="shared" si="112"/>
        <v>63.1</v>
      </c>
      <c r="J3917" s="355" t="s">
        <v>1337</v>
      </c>
      <c r="K3917" s="355">
        <f t="shared" si="113"/>
        <v>63.1</v>
      </c>
      <c r="L3917" s="355"/>
      <c r="M3917" s="355"/>
    </row>
    <row r="3918" spans="5:13">
      <c r="E3918" s="355"/>
      <c r="F3918" s="358">
        <v>1.4999999999999999E-2</v>
      </c>
      <c r="G3918" s="355" t="s">
        <v>2199</v>
      </c>
      <c r="H3918" s="355" t="s">
        <v>2476</v>
      </c>
      <c r="I3918" s="355">
        <f t="shared" si="112"/>
        <v>630</v>
      </c>
      <c r="J3918" s="355" t="s">
        <v>2199</v>
      </c>
      <c r="K3918" s="355">
        <f t="shared" si="113"/>
        <v>9.4499999999999993</v>
      </c>
      <c r="L3918" s="355"/>
      <c r="M3918" s="355"/>
    </row>
    <row r="3919" spans="5:13">
      <c r="E3919" s="355"/>
      <c r="F3919" s="355">
        <v>15</v>
      </c>
      <c r="G3919" s="355" t="s">
        <v>1337</v>
      </c>
      <c r="H3919" s="355" t="s">
        <v>2648</v>
      </c>
      <c r="I3919" s="355">
        <f t="shared" si="112"/>
        <v>39.950000000000003</v>
      </c>
      <c r="J3919" s="355" t="s">
        <v>1337</v>
      </c>
      <c r="K3919" s="355">
        <f t="shared" si="113"/>
        <v>599.25</v>
      </c>
      <c r="L3919" s="355"/>
      <c r="M3919" s="355"/>
    </row>
    <row r="3920" spans="5:13">
      <c r="E3920" s="355"/>
      <c r="F3920" s="355">
        <v>15</v>
      </c>
      <c r="G3920" s="355" t="s">
        <v>1337</v>
      </c>
      <c r="H3920" s="355" t="s">
        <v>2367</v>
      </c>
      <c r="I3920" s="355">
        <f t="shared" si="112"/>
        <v>63.1</v>
      </c>
      <c r="J3920" s="355" t="s">
        <v>1337</v>
      </c>
      <c r="K3920" s="355">
        <f t="shared" si="113"/>
        <v>946.5</v>
      </c>
      <c r="L3920" s="355"/>
      <c r="M3920" s="355"/>
    </row>
    <row r="3921" spans="5:13">
      <c r="E3921" s="355"/>
      <c r="F3921" s="358">
        <v>0.22500000000000001</v>
      </c>
      <c r="G3921" s="355" t="s">
        <v>2199</v>
      </c>
      <c r="H3921" s="355" t="s">
        <v>2476</v>
      </c>
      <c r="I3921" s="355">
        <f t="shared" si="112"/>
        <v>630</v>
      </c>
      <c r="J3921" s="355" t="s">
        <v>2649</v>
      </c>
      <c r="K3921" s="355">
        <f t="shared" si="113"/>
        <v>141.75</v>
      </c>
      <c r="L3921" s="355"/>
      <c r="M3921" s="355"/>
    </row>
    <row r="3922" spans="5:13">
      <c r="E3922" s="355"/>
      <c r="F3922" s="355">
        <v>1.25</v>
      </c>
      <c r="G3922" s="355" t="s">
        <v>2557</v>
      </c>
      <c r="H3922" s="355" t="s">
        <v>364</v>
      </c>
      <c r="I3922" s="355">
        <f t="shared" si="112"/>
        <v>298</v>
      </c>
      <c r="J3922" s="355" t="s">
        <v>2557</v>
      </c>
      <c r="K3922" s="355">
        <f t="shared" si="113"/>
        <v>372.5</v>
      </c>
      <c r="L3922" s="355"/>
      <c r="M3922" s="355"/>
    </row>
    <row r="3923" spans="5:13" ht="31.5">
      <c r="E3923" s="355"/>
      <c r="F3923" s="355">
        <v>45</v>
      </c>
      <c r="G3923" s="355" t="s">
        <v>2199</v>
      </c>
      <c r="H3923" s="276" t="s">
        <v>2563</v>
      </c>
      <c r="I3923" s="355">
        <f t="shared" si="112"/>
        <v>15.5</v>
      </c>
      <c r="J3923" s="355" t="s">
        <v>794</v>
      </c>
      <c r="K3923" s="355">
        <f t="shared" si="113"/>
        <v>697.5</v>
      </c>
      <c r="L3923" s="355"/>
      <c r="M3923" s="355"/>
    </row>
    <row r="3924" spans="5:13">
      <c r="E3924" s="355"/>
      <c r="F3924" s="355"/>
      <c r="G3924" s="355"/>
      <c r="H3924" s="355" t="s">
        <v>878</v>
      </c>
      <c r="I3924" s="355"/>
      <c r="J3924" s="355"/>
      <c r="K3924" s="355">
        <f>K3840</f>
        <v>4392.67</v>
      </c>
      <c r="L3924" s="355"/>
      <c r="M3924" s="355"/>
    </row>
    <row r="3925" spans="5:13">
      <c r="E3925" s="355"/>
      <c r="F3925" s="355"/>
      <c r="G3925" s="355"/>
      <c r="H3925" s="355" t="s">
        <v>2187</v>
      </c>
      <c r="I3925" s="355"/>
      <c r="J3925" s="355"/>
      <c r="K3925" s="355">
        <v>26.7</v>
      </c>
      <c r="L3925" s="355"/>
      <c r="M3925" s="355"/>
    </row>
    <row r="3926" spans="5:13">
      <c r="E3926" s="355"/>
      <c r="F3926" s="355"/>
      <c r="G3926" s="355"/>
      <c r="H3926" s="360" t="s">
        <v>2650</v>
      </c>
      <c r="I3926" s="355"/>
      <c r="J3926" s="355"/>
      <c r="K3926" s="361">
        <f>SUM(K3913:K3925)</f>
        <v>9576.7199999999993</v>
      </c>
      <c r="L3926" s="355"/>
      <c r="M3926" s="355"/>
    </row>
    <row r="3927" spans="5:13">
      <c r="E3927" s="355"/>
      <c r="F3927" s="355"/>
      <c r="G3927" s="355"/>
      <c r="H3927" s="362" t="s">
        <v>3096</v>
      </c>
      <c r="I3927" s="355"/>
      <c r="J3927" s="355"/>
      <c r="K3927" s="363">
        <f>K3926/15</f>
        <v>638.45000000000005</v>
      </c>
      <c r="L3927" s="355">
        <f>K3927-492</f>
        <v>146.44999999999999</v>
      </c>
      <c r="M3927" s="355">
        <f>L3927-K3926</f>
        <v>-9430.27</v>
      </c>
    </row>
    <row r="3928" spans="5:13">
      <c r="E3928" s="355"/>
      <c r="F3928" s="355"/>
      <c r="G3928" s="355"/>
      <c r="H3928" s="363" t="s">
        <v>878</v>
      </c>
      <c r="I3928" s="355"/>
      <c r="J3928" s="355"/>
      <c r="K3928" s="363"/>
      <c r="L3928" s="355">
        <f>L3927*15</f>
        <v>2196.75</v>
      </c>
      <c r="M3928" s="355"/>
    </row>
    <row r="3929" spans="5:13">
      <c r="E3929" s="355"/>
      <c r="F3929" s="355">
        <v>1</v>
      </c>
      <c r="G3929" s="355" t="s">
        <v>1337</v>
      </c>
      <c r="H3929" s="355" t="s">
        <v>3248</v>
      </c>
      <c r="I3929" s="355">
        <f>I2866</f>
        <v>817</v>
      </c>
      <c r="J3929" s="355" t="s">
        <v>1337</v>
      </c>
      <c r="K3929" s="355">
        <f>F3929*I3929</f>
        <v>817</v>
      </c>
      <c r="L3929" s="355"/>
      <c r="M3929" s="355"/>
    </row>
    <row r="3930" spans="5:13">
      <c r="E3930" s="355"/>
      <c r="F3930" s="355">
        <v>2</v>
      </c>
      <c r="G3930" s="355" t="s">
        <v>1337</v>
      </c>
      <c r="H3930" s="355" t="s">
        <v>3249</v>
      </c>
      <c r="I3930" s="355">
        <f>I2867</f>
        <v>712</v>
      </c>
      <c r="J3930" s="355" t="s">
        <v>1337</v>
      </c>
      <c r="K3930" s="355">
        <f>F3930*I3930</f>
        <v>1424</v>
      </c>
      <c r="L3930" s="355"/>
      <c r="M3930" s="355"/>
    </row>
    <row r="3931" spans="5:13">
      <c r="E3931" s="355"/>
      <c r="F3931" s="355">
        <v>3</v>
      </c>
      <c r="G3931" s="355" t="s">
        <v>1337</v>
      </c>
      <c r="H3931" s="355" t="s">
        <v>3250</v>
      </c>
      <c r="I3931" s="355">
        <f>I2868</f>
        <v>708</v>
      </c>
      <c r="J3931" s="355" t="s">
        <v>1337</v>
      </c>
      <c r="K3931" s="355">
        <f>F3931*I3931</f>
        <v>2124</v>
      </c>
      <c r="L3931" s="355"/>
      <c r="M3931" s="355"/>
    </row>
    <row r="3932" spans="5:13">
      <c r="E3932" s="355"/>
      <c r="F3932" s="355">
        <v>4</v>
      </c>
      <c r="G3932" s="355" t="s">
        <v>1337</v>
      </c>
      <c r="H3932" s="355" t="s">
        <v>2246</v>
      </c>
      <c r="I3932" s="355">
        <f>I2869</f>
        <v>556</v>
      </c>
      <c r="J3932" s="355" t="s">
        <v>1337</v>
      </c>
      <c r="K3932" s="355">
        <f>F3932*I3932</f>
        <v>2224</v>
      </c>
      <c r="L3932" s="355"/>
      <c r="M3932" s="355"/>
    </row>
    <row r="3933" spans="5:13">
      <c r="E3933" s="355"/>
      <c r="F3933" s="355"/>
      <c r="G3933" s="355"/>
      <c r="H3933" s="362"/>
      <c r="I3933" s="355"/>
      <c r="J3933" s="355"/>
      <c r="K3933" s="363">
        <f>SUM(K3929:K3932)</f>
        <v>6589</v>
      </c>
      <c r="L3933" s="355"/>
      <c r="M3933" s="355"/>
    </row>
    <row r="3934" spans="5:13">
      <c r="E3934" s="355"/>
      <c r="F3934" s="355"/>
      <c r="G3934" s="355"/>
      <c r="H3934" s="362"/>
      <c r="I3934" s="355"/>
      <c r="J3934" s="355"/>
      <c r="K3934" s="363"/>
      <c r="L3934" s="355"/>
      <c r="M3934" s="355"/>
    </row>
    <row r="3935" spans="5:13">
      <c r="E3935" s="355"/>
      <c r="F3935" s="355"/>
      <c r="G3935" s="355"/>
      <c r="H3935" s="362"/>
      <c r="I3935" s="355"/>
      <c r="J3935" s="355"/>
      <c r="K3935" s="363"/>
      <c r="L3935" s="355"/>
      <c r="M3935" s="355"/>
    </row>
    <row r="3936" spans="5:13">
      <c r="E3936" s="355"/>
      <c r="F3936" s="355"/>
      <c r="G3936" s="355"/>
      <c r="H3936" s="363" t="s">
        <v>2306</v>
      </c>
      <c r="I3936" s="355"/>
      <c r="J3936" s="355"/>
      <c r="K3936" s="355"/>
      <c r="L3936" s="355"/>
      <c r="M3936" s="355"/>
    </row>
    <row r="3937" spans="5:13">
      <c r="E3937" s="355"/>
      <c r="F3937" s="355"/>
      <c r="G3937" s="355"/>
      <c r="H3937" s="355"/>
      <c r="I3937" s="355"/>
      <c r="J3937" s="355"/>
      <c r="K3937" s="355"/>
      <c r="L3937" s="355"/>
      <c r="M3937" s="355"/>
    </row>
    <row r="3938" spans="5:13" ht="94.5">
      <c r="E3938" s="355"/>
      <c r="F3938" s="355"/>
      <c r="G3938" s="355"/>
      <c r="H3938" s="354" t="s">
        <v>3466</v>
      </c>
      <c r="I3938" s="355"/>
      <c r="J3938" s="355"/>
      <c r="K3938" s="355"/>
      <c r="L3938" s="355"/>
      <c r="M3938" s="355"/>
    </row>
    <row r="3939" spans="5:13">
      <c r="E3939" s="355"/>
      <c r="F3939" s="355"/>
      <c r="G3939" s="355"/>
      <c r="H3939" s="355"/>
      <c r="I3939" s="355"/>
      <c r="J3939" s="355"/>
      <c r="K3939" s="355"/>
      <c r="L3939" s="355"/>
      <c r="M3939" s="355"/>
    </row>
    <row r="3940" spans="5:13">
      <c r="E3940" s="355"/>
      <c r="F3940" s="355">
        <v>180</v>
      </c>
      <c r="G3940" s="355" t="s">
        <v>794</v>
      </c>
      <c r="H3940" s="276" t="s">
        <v>2463</v>
      </c>
      <c r="I3940" s="355">
        <f>I3072</f>
        <v>15.5</v>
      </c>
      <c r="J3940" s="355" t="s">
        <v>794</v>
      </c>
      <c r="K3940" s="355">
        <f>I3940*F3940</f>
        <v>2790</v>
      </c>
      <c r="L3940" s="355"/>
      <c r="M3940" s="355"/>
    </row>
    <row r="3941" spans="5:13">
      <c r="E3941" s="355"/>
      <c r="F3941" s="355">
        <v>90</v>
      </c>
      <c r="G3941" s="355" t="s">
        <v>794</v>
      </c>
      <c r="H3941" s="354" t="s">
        <v>2279</v>
      </c>
      <c r="I3941" s="355">
        <f>I3073</f>
        <v>19.100000000000001</v>
      </c>
      <c r="J3941" s="355" t="s">
        <v>794</v>
      </c>
      <c r="K3941" s="355">
        <f t="shared" ref="K3941:K3946" si="114">I3941*F3941</f>
        <v>1719</v>
      </c>
      <c r="L3941" s="355"/>
      <c r="M3941" s="355"/>
    </row>
    <row r="3942" spans="5:13">
      <c r="E3942" s="355"/>
      <c r="F3942" s="355">
        <v>1</v>
      </c>
      <c r="G3942" s="355" t="s">
        <v>3064</v>
      </c>
      <c r="H3942" s="354" t="s">
        <v>4594</v>
      </c>
      <c r="I3942" s="425">
        <v>39</v>
      </c>
      <c r="J3942" s="355" t="s">
        <v>3064</v>
      </c>
      <c r="K3942" s="355">
        <f t="shared" si="114"/>
        <v>39</v>
      </c>
      <c r="L3942" s="355"/>
      <c r="M3942" s="355"/>
    </row>
    <row r="3943" spans="5:13">
      <c r="E3943" s="355"/>
      <c r="F3943" s="355">
        <v>300</v>
      </c>
      <c r="G3943" s="355" t="s">
        <v>1375</v>
      </c>
      <c r="H3943" s="354" t="s">
        <v>4595</v>
      </c>
      <c r="I3943" s="355">
        <f>I3580</f>
        <v>287</v>
      </c>
      <c r="J3943" s="355" t="s">
        <v>3068</v>
      </c>
      <c r="K3943" s="355">
        <f>(I3943*F3943)/1000</f>
        <v>86.1</v>
      </c>
      <c r="L3943" s="355"/>
      <c r="M3943" s="355"/>
    </row>
    <row r="3944" spans="5:13">
      <c r="E3944" s="355"/>
      <c r="F3944" s="355">
        <v>2</v>
      </c>
      <c r="G3944" s="355" t="s">
        <v>2561</v>
      </c>
      <c r="H3944" s="354" t="s">
        <v>3067</v>
      </c>
      <c r="I3944" s="355">
        <f>I3813</f>
        <v>68.8</v>
      </c>
      <c r="J3944" s="355" t="s">
        <v>3064</v>
      </c>
      <c r="K3944" s="355">
        <f t="shared" si="114"/>
        <v>137.6</v>
      </c>
      <c r="L3944" s="355"/>
      <c r="M3944" s="355"/>
    </row>
    <row r="3945" spans="5:13">
      <c r="E3945" s="355"/>
      <c r="F3945" s="355">
        <v>0.33</v>
      </c>
      <c r="G3945" s="355" t="s">
        <v>2557</v>
      </c>
      <c r="H3945" s="355" t="s">
        <v>364</v>
      </c>
      <c r="I3945" s="355">
        <f>I3074</f>
        <v>298</v>
      </c>
      <c r="J3945" s="355" t="s">
        <v>2557</v>
      </c>
      <c r="K3945" s="355">
        <f t="shared" si="114"/>
        <v>98.34</v>
      </c>
      <c r="L3945" s="355"/>
      <c r="M3945" s="355"/>
    </row>
    <row r="3946" spans="5:13" ht="31.5">
      <c r="E3946" s="355"/>
      <c r="F3946" s="355">
        <v>90</v>
      </c>
      <c r="G3946" s="355" t="s">
        <v>794</v>
      </c>
      <c r="H3946" s="276" t="s">
        <v>2563</v>
      </c>
      <c r="I3946" s="355">
        <f>I3075</f>
        <v>15.5</v>
      </c>
      <c r="J3946" s="355" t="s">
        <v>2464</v>
      </c>
      <c r="K3946" s="355">
        <f t="shared" si="114"/>
        <v>1395</v>
      </c>
      <c r="L3946" s="355"/>
      <c r="M3946" s="355"/>
    </row>
    <row r="3947" spans="5:13">
      <c r="E3947" s="355"/>
      <c r="F3947" s="403" t="s">
        <v>3071</v>
      </c>
      <c r="G3947" s="355"/>
      <c r="H3947" s="355" t="s">
        <v>878</v>
      </c>
      <c r="I3947" s="355">
        <f>K3933</f>
        <v>6589</v>
      </c>
      <c r="J3947" s="355"/>
      <c r="K3947" s="355">
        <f>2/3*I3947</f>
        <v>4392.67</v>
      </c>
      <c r="L3947" s="355"/>
      <c r="M3947" s="355"/>
    </row>
    <row r="3948" spans="5:13">
      <c r="E3948" s="355"/>
      <c r="F3948" s="355"/>
      <c r="G3948" s="355"/>
      <c r="H3948" s="355"/>
      <c r="I3948" s="355"/>
      <c r="J3948" s="355"/>
      <c r="K3948" s="355">
        <f>SUM(K3940:K3947)</f>
        <v>10657.71</v>
      </c>
      <c r="L3948" s="355"/>
      <c r="M3948" s="355"/>
    </row>
    <row r="3949" spans="5:13">
      <c r="E3949" s="355"/>
      <c r="F3949" s="355"/>
      <c r="G3949" s="355"/>
      <c r="H3949" s="355" t="s">
        <v>2187</v>
      </c>
      <c r="I3949" s="355"/>
      <c r="J3949" s="355"/>
      <c r="K3949" s="355">
        <v>73</v>
      </c>
      <c r="L3949" s="355"/>
      <c r="M3949" s="355"/>
    </row>
    <row r="3950" spans="5:13">
      <c r="E3950" s="355"/>
      <c r="F3950" s="355"/>
      <c r="G3950" s="355"/>
      <c r="H3950" s="360" t="s">
        <v>2308</v>
      </c>
      <c r="I3950" s="355"/>
      <c r="J3950" s="355"/>
      <c r="K3950" s="361">
        <f>SUM(K3948:K3949)</f>
        <v>10730.71</v>
      </c>
      <c r="L3950" s="355">
        <f>93*90</f>
        <v>8370</v>
      </c>
      <c r="M3950" s="355">
        <f>L3950-K3950</f>
        <v>-2360.71</v>
      </c>
    </row>
    <row r="3951" spans="5:13">
      <c r="E3951" s="355"/>
      <c r="F3951" s="355"/>
      <c r="G3951" s="355"/>
      <c r="H3951" s="362" t="s">
        <v>2309</v>
      </c>
      <c r="I3951" s="355"/>
      <c r="J3951" s="355"/>
      <c r="K3951" s="363">
        <f>K3950/90</f>
        <v>119.23</v>
      </c>
      <c r="L3951" s="355">
        <f>93*90</f>
        <v>8370</v>
      </c>
      <c r="M3951" s="355"/>
    </row>
    <row r="3952" spans="5:13">
      <c r="E3952" s="355"/>
      <c r="F3952" s="355"/>
      <c r="G3952" s="355"/>
      <c r="H3952" s="355"/>
      <c r="I3952" s="355"/>
      <c r="J3952" s="355"/>
      <c r="K3952" s="355"/>
      <c r="L3952" s="355">
        <f>L3951-K3950</f>
        <v>-2360.71</v>
      </c>
      <c r="M3952" s="355"/>
    </row>
    <row r="3953" spans="5:13">
      <c r="E3953" s="355"/>
      <c r="F3953" s="355"/>
      <c r="G3953" s="355"/>
      <c r="H3953" s="363" t="s">
        <v>3069</v>
      </c>
      <c r="I3953" s="355"/>
      <c r="J3953" s="355"/>
      <c r="K3953" s="355"/>
      <c r="L3953" s="355"/>
      <c r="M3953" s="355"/>
    </row>
    <row r="3954" spans="5:13">
      <c r="E3954" s="355"/>
      <c r="F3954" s="355"/>
      <c r="G3954" s="355"/>
      <c r="H3954" s="355"/>
      <c r="I3954" s="355"/>
      <c r="J3954" s="355"/>
      <c r="K3954" s="355"/>
      <c r="L3954" s="355"/>
      <c r="M3954" s="355"/>
    </row>
    <row r="3955" spans="5:13" ht="94.5">
      <c r="E3955" s="355"/>
      <c r="F3955" s="355"/>
      <c r="G3955" s="355"/>
      <c r="H3955" s="354" t="s">
        <v>2942</v>
      </c>
      <c r="I3955" s="355"/>
      <c r="J3955" s="355"/>
      <c r="K3955" s="355"/>
      <c r="L3955" s="355"/>
      <c r="M3955" s="355"/>
    </row>
    <row r="3956" spans="5:13">
      <c r="E3956" s="355"/>
      <c r="F3956" s="355"/>
      <c r="G3956" s="355"/>
      <c r="H3956" s="355"/>
      <c r="I3956" s="355"/>
      <c r="J3956" s="355"/>
      <c r="K3956" s="355"/>
      <c r="L3956" s="355"/>
      <c r="M3956" s="355"/>
    </row>
    <row r="3957" spans="5:13">
      <c r="E3957" s="355"/>
      <c r="F3957" s="355"/>
      <c r="G3957" s="355"/>
      <c r="H3957" s="355" t="s">
        <v>3070</v>
      </c>
      <c r="I3957" s="355"/>
      <c r="J3957" s="355"/>
      <c r="K3957" s="355">
        <f>K3950</f>
        <v>10730.71</v>
      </c>
      <c r="L3957" s="355"/>
      <c r="M3957" s="355"/>
    </row>
    <row r="3958" spans="5:13">
      <c r="E3958" s="355"/>
      <c r="F3958" s="355">
        <v>180</v>
      </c>
      <c r="G3958" s="355" t="s">
        <v>794</v>
      </c>
      <c r="H3958" s="354" t="s">
        <v>3175</v>
      </c>
      <c r="I3958" s="355">
        <f>I3088</f>
        <v>24.1</v>
      </c>
      <c r="J3958" s="355" t="s">
        <v>794</v>
      </c>
      <c r="K3958" s="355">
        <f>F3958*I3958</f>
        <v>4338</v>
      </c>
      <c r="L3958" s="355"/>
      <c r="M3958" s="355"/>
    </row>
    <row r="3959" spans="5:13">
      <c r="E3959" s="355"/>
      <c r="F3959" s="355">
        <v>180</v>
      </c>
      <c r="G3959" s="355" t="s">
        <v>794</v>
      </c>
      <c r="H3959" s="354" t="s">
        <v>2891</v>
      </c>
      <c r="I3959" s="355">
        <f>I3940</f>
        <v>15.5</v>
      </c>
      <c r="J3959" s="355" t="s">
        <v>2464</v>
      </c>
      <c r="K3959" s="355">
        <f>F3959*I3959</f>
        <v>2790</v>
      </c>
      <c r="L3959" s="355"/>
      <c r="M3959" s="355"/>
    </row>
    <row r="3960" spans="5:13">
      <c r="E3960" s="355"/>
      <c r="F3960" s="355"/>
      <c r="G3960" s="355"/>
      <c r="H3960" s="355" t="s">
        <v>2187</v>
      </c>
      <c r="I3960" s="355"/>
      <c r="J3960" s="355"/>
      <c r="K3960" s="355"/>
      <c r="L3960" s="355"/>
      <c r="M3960" s="355"/>
    </row>
    <row r="3961" spans="5:13">
      <c r="E3961" s="355"/>
      <c r="F3961" s="355"/>
      <c r="G3961" s="355"/>
      <c r="H3961" s="360" t="s">
        <v>2892</v>
      </c>
      <c r="I3961" s="355"/>
      <c r="J3961" s="355"/>
      <c r="K3961" s="361">
        <f>K3957+K3958-K3959+K3960</f>
        <v>12278.71</v>
      </c>
      <c r="L3961" s="355"/>
      <c r="M3961" s="355"/>
    </row>
    <row r="3962" spans="5:13">
      <c r="E3962" s="355"/>
      <c r="F3962" s="355"/>
      <c r="G3962" s="355"/>
      <c r="H3962" s="362" t="s">
        <v>2309</v>
      </c>
      <c r="I3962" s="355"/>
      <c r="J3962" s="355"/>
      <c r="K3962" s="363">
        <f>K3961/90</f>
        <v>136.43</v>
      </c>
      <c r="L3962" s="355">
        <f>K3962*30</f>
        <v>4092.9</v>
      </c>
      <c r="M3962" s="355"/>
    </row>
    <row r="3963" spans="5:13">
      <c r="E3963" s="355"/>
      <c r="F3963" s="355"/>
      <c r="G3963" s="355"/>
      <c r="H3963" s="355"/>
      <c r="I3963" s="355"/>
      <c r="J3963" s="355"/>
      <c r="K3963" s="355"/>
      <c r="L3963" s="355"/>
      <c r="M3963" s="355"/>
    </row>
    <row r="3964" spans="5:13">
      <c r="E3964" s="355"/>
      <c r="F3964" s="355"/>
      <c r="G3964" s="355"/>
      <c r="H3964" s="355"/>
      <c r="I3964" s="355"/>
      <c r="J3964" s="355"/>
      <c r="K3964" s="355"/>
      <c r="L3964" s="355"/>
      <c r="M3964" s="355"/>
    </row>
    <row r="3965" spans="5:13">
      <c r="E3965" s="355"/>
      <c r="F3965" s="355"/>
      <c r="G3965" s="355"/>
      <c r="H3965" s="363"/>
      <c r="I3965" s="355"/>
      <c r="J3965" s="355"/>
      <c r="K3965" s="355"/>
      <c r="L3965" s="355"/>
      <c r="M3965" s="355"/>
    </row>
    <row r="3966" spans="5:13">
      <c r="E3966" s="355"/>
      <c r="F3966" s="355"/>
      <c r="G3966" s="355"/>
      <c r="H3966" s="363" t="s">
        <v>3934</v>
      </c>
      <c r="I3966" s="355"/>
      <c r="J3966" s="355"/>
      <c r="K3966" s="355"/>
      <c r="L3966" s="355"/>
      <c r="M3966" s="355"/>
    </row>
    <row r="3967" spans="5:13">
      <c r="E3967" s="355"/>
      <c r="F3967" s="355"/>
      <c r="G3967" s="355"/>
      <c r="H3967" s="355"/>
      <c r="I3967" s="355"/>
      <c r="J3967" s="355"/>
      <c r="K3967" s="355"/>
      <c r="L3967" s="355"/>
      <c r="M3967" s="355"/>
    </row>
    <row r="3968" spans="5:13" ht="94.5">
      <c r="E3968" s="355"/>
      <c r="F3968" s="355"/>
      <c r="G3968" s="355"/>
      <c r="H3968" s="354" t="s">
        <v>2942</v>
      </c>
      <c r="I3968" s="355"/>
      <c r="J3968" s="355"/>
      <c r="K3968" s="355"/>
      <c r="L3968" s="355"/>
      <c r="M3968" s="355"/>
    </row>
    <row r="3969" spans="5:13">
      <c r="E3969" s="355"/>
      <c r="F3969" s="355"/>
      <c r="G3969" s="355"/>
      <c r="H3969" s="355"/>
      <c r="I3969" s="355"/>
      <c r="J3969" s="355"/>
      <c r="K3969" s="355"/>
      <c r="L3969" s="355"/>
      <c r="M3969" s="355"/>
    </row>
    <row r="3970" spans="5:13">
      <c r="E3970" s="355"/>
      <c r="F3970" s="355"/>
      <c r="G3970" s="355"/>
      <c r="H3970" s="355" t="s">
        <v>3070</v>
      </c>
      <c r="I3970" s="355"/>
      <c r="J3970" s="355"/>
      <c r="K3970" s="355">
        <f>K3957</f>
        <v>10730.71</v>
      </c>
      <c r="L3970" s="355"/>
      <c r="M3970" s="355"/>
    </row>
    <row r="3971" spans="5:13" ht="31.5">
      <c r="E3971" s="355"/>
      <c r="F3971" s="355">
        <v>180</v>
      </c>
      <c r="G3971" s="355" t="s">
        <v>794</v>
      </c>
      <c r="H3971" s="354" t="s">
        <v>4211</v>
      </c>
      <c r="I3971" s="355">
        <f>I3532</f>
        <v>38.299999999999997</v>
      </c>
      <c r="J3971" s="355" t="s">
        <v>794</v>
      </c>
      <c r="K3971" s="355">
        <f>F3971*I3971</f>
        <v>6894</v>
      </c>
      <c r="L3971" s="355"/>
      <c r="M3971" s="355"/>
    </row>
    <row r="3972" spans="5:13">
      <c r="E3972" s="355"/>
      <c r="F3972" s="355">
        <v>180</v>
      </c>
      <c r="G3972" s="355" t="s">
        <v>794</v>
      </c>
      <c r="H3972" s="354" t="s">
        <v>2891</v>
      </c>
      <c r="I3972" s="355">
        <f>I3959</f>
        <v>15.5</v>
      </c>
      <c r="J3972" s="355" t="s">
        <v>2464</v>
      </c>
      <c r="K3972" s="355">
        <f>F3972*I3972</f>
        <v>2790</v>
      </c>
      <c r="L3972" s="355"/>
      <c r="M3972" s="355"/>
    </row>
    <row r="3973" spans="5:13">
      <c r="E3973" s="355"/>
      <c r="F3973" s="355"/>
      <c r="G3973" s="355"/>
      <c r="H3973" s="355" t="s">
        <v>2187</v>
      </c>
      <c r="I3973" s="355"/>
      <c r="J3973" s="355"/>
      <c r="K3973" s="355"/>
      <c r="L3973" s="355"/>
      <c r="M3973" s="355"/>
    </row>
    <row r="3974" spans="5:13">
      <c r="E3974" s="355"/>
      <c r="F3974" s="355"/>
      <c r="G3974" s="355"/>
      <c r="H3974" s="360" t="s">
        <v>2892</v>
      </c>
      <c r="I3974" s="355"/>
      <c r="J3974" s="355"/>
      <c r="K3974" s="361">
        <f>K3970+K3971-K3972+K3973</f>
        <v>14834.71</v>
      </c>
      <c r="L3974" s="355"/>
      <c r="M3974" s="355"/>
    </row>
    <row r="3975" spans="5:13">
      <c r="E3975" s="355"/>
      <c r="F3975" s="355"/>
      <c r="G3975" s="355"/>
      <c r="H3975" s="362" t="s">
        <v>2309</v>
      </c>
      <c r="I3975" s="355"/>
      <c r="J3975" s="355"/>
      <c r="K3975" s="363">
        <f>K3974/90</f>
        <v>164.83</v>
      </c>
      <c r="L3975" s="355"/>
      <c r="M3975" s="355"/>
    </row>
    <row r="3976" spans="5:13">
      <c r="E3976" s="355"/>
      <c r="F3976" s="355"/>
      <c r="G3976" s="355"/>
      <c r="H3976" s="355"/>
      <c r="I3976" s="355"/>
      <c r="J3976" s="355"/>
      <c r="K3976" s="355"/>
      <c r="L3976" s="355"/>
      <c r="M3976" s="355"/>
    </row>
    <row r="3977" spans="5:13">
      <c r="E3977" s="355"/>
      <c r="F3977" s="355"/>
      <c r="G3977" s="355"/>
      <c r="H3977" s="276"/>
      <c r="I3977" s="355"/>
      <c r="J3977" s="355"/>
      <c r="K3977" s="355"/>
      <c r="L3977" s="355"/>
      <c r="M3977" s="355"/>
    </row>
    <row r="3978" spans="5:13">
      <c r="E3978" s="355"/>
      <c r="F3978" s="355"/>
      <c r="G3978" s="355"/>
      <c r="H3978" s="363" t="s">
        <v>3935</v>
      </c>
      <c r="I3978" s="355"/>
      <c r="J3978" s="355"/>
      <c r="K3978" s="355"/>
      <c r="L3978" s="355"/>
      <c r="M3978" s="355"/>
    </row>
    <row r="3979" spans="5:13">
      <c r="E3979" s="355"/>
      <c r="F3979" s="355"/>
      <c r="G3979" s="355"/>
      <c r="H3979" s="355"/>
      <c r="I3979" s="355"/>
      <c r="J3979" s="355"/>
      <c r="K3979" s="355"/>
      <c r="L3979" s="355"/>
      <c r="M3979" s="355"/>
    </row>
    <row r="3980" spans="5:13" ht="94.5">
      <c r="E3980" s="355"/>
      <c r="F3980" s="355"/>
      <c r="G3980" s="355"/>
      <c r="H3980" s="354" t="s">
        <v>2942</v>
      </c>
      <c r="I3980" s="355"/>
      <c r="J3980" s="355"/>
      <c r="K3980" s="355"/>
      <c r="L3980" s="355"/>
      <c r="M3980" s="355"/>
    </row>
    <row r="3981" spans="5:13">
      <c r="E3981" s="355"/>
      <c r="F3981" s="355"/>
      <c r="G3981" s="355"/>
      <c r="H3981" s="355"/>
      <c r="I3981" s="355"/>
      <c r="J3981" s="355"/>
      <c r="K3981" s="355"/>
      <c r="L3981" s="355"/>
      <c r="M3981" s="355"/>
    </row>
    <row r="3982" spans="5:13">
      <c r="E3982" s="355"/>
      <c r="F3982" s="355"/>
      <c r="G3982" s="355"/>
      <c r="H3982" s="355" t="s">
        <v>3070</v>
      </c>
      <c r="I3982" s="355"/>
      <c r="J3982" s="355"/>
      <c r="K3982" s="355">
        <f>K3970</f>
        <v>10730.71</v>
      </c>
      <c r="L3982" s="355"/>
      <c r="M3982" s="355"/>
    </row>
    <row r="3983" spans="5:13" ht="31.5">
      <c r="E3983" s="355"/>
      <c r="F3983" s="355">
        <v>360</v>
      </c>
      <c r="G3983" s="355" t="s">
        <v>794</v>
      </c>
      <c r="H3983" s="354" t="s">
        <v>4212</v>
      </c>
      <c r="I3983" s="425">
        <v>85.3</v>
      </c>
      <c r="J3983" s="355" t="s">
        <v>794</v>
      </c>
      <c r="K3983" s="355">
        <f>F3983*I3983</f>
        <v>30708</v>
      </c>
      <c r="L3983" s="355"/>
      <c r="M3983" s="355"/>
    </row>
    <row r="3984" spans="5:13">
      <c r="E3984" s="355"/>
      <c r="F3984" s="355">
        <v>180</v>
      </c>
      <c r="G3984" s="355" t="s">
        <v>794</v>
      </c>
      <c r="H3984" s="354" t="s">
        <v>2891</v>
      </c>
      <c r="I3984" s="355">
        <v>15.5</v>
      </c>
      <c r="J3984" s="355" t="s">
        <v>2464</v>
      </c>
      <c r="K3984" s="355">
        <f>F3984*I3984</f>
        <v>2790</v>
      </c>
      <c r="L3984" s="355"/>
      <c r="M3984" s="355"/>
    </row>
    <row r="3985" spans="5:13">
      <c r="E3985" s="355"/>
      <c r="F3985" s="355"/>
      <c r="G3985" s="355"/>
      <c r="H3985" s="355" t="s">
        <v>2187</v>
      </c>
      <c r="I3985" s="355"/>
      <c r="J3985" s="355"/>
      <c r="K3985" s="355"/>
      <c r="L3985" s="355"/>
      <c r="M3985" s="355"/>
    </row>
    <row r="3986" spans="5:13">
      <c r="E3986" s="355"/>
      <c r="F3986" s="355"/>
      <c r="G3986" s="355"/>
      <c r="H3986" s="360" t="s">
        <v>2892</v>
      </c>
      <c r="I3986" s="355"/>
      <c r="J3986" s="355"/>
      <c r="K3986" s="361">
        <f>K3982+K3983-K3984+K3985</f>
        <v>38648.71</v>
      </c>
      <c r="L3986" s="355"/>
      <c r="M3986" s="355"/>
    </row>
    <row r="3987" spans="5:13">
      <c r="E3987" s="355"/>
      <c r="F3987" s="355"/>
      <c r="G3987" s="355"/>
      <c r="H3987" s="362" t="s">
        <v>2309</v>
      </c>
      <c r="I3987" s="355"/>
      <c r="J3987" s="355"/>
      <c r="K3987" s="363">
        <f>K3986/90</f>
        <v>429.43</v>
      </c>
      <c r="L3987" s="355">
        <f>K3987-163</f>
        <v>266.43</v>
      </c>
      <c r="M3987" s="355"/>
    </row>
    <row r="3988" spans="5:13">
      <c r="E3988" s="355"/>
      <c r="F3988" s="355"/>
      <c r="G3988" s="355"/>
      <c r="H3988" s="355"/>
      <c r="I3988" s="355"/>
      <c r="J3988" s="355"/>
      <c r="K3988" s="355"/>
      <c r="L3988" s="355">
        <f>163*90</f>
        <v>14670</v>
      </c>
      <c r="M3988" s="355"/>
    </row>
    <row r="3989" spans="5:13">
      <c r="E3989" s="355"/>
      <c r="F3989" s="355"/>
      <c r="G3989" s="355"/>
      <c r="H3989" s="355"/>
      <c r="I3989" s="355"/>
      <c r="J3989" s="355"/>
      <c r="K3989" s="355"/>
      <c r="L3989" s="355">
        <f>K3986-L3988</f>
        <v>23978.71</v>
      </c>
      <c r="M3989" s="355"/>
    </row>
    <row r="3990" spans="5:13">
      <c r="E3990" s="355"/>
      <c r="F3990" s="355"/>
      <c r="G3990" s="355"/>
      <c r="H3990" s="355"/>
      <c r="I3990" s="355"/>
      <c r="J3990" s="355"/>
      <c r="K3990" s="355"/>
      <c r="L3990" s="355"/>
      <c r="M3990" s="355"/>
    </row>
    <row r="3991" spans="5:13">
      <c r="E3991" s="355"/>
      <c r="F3991" s="355"/>
      <c r="G3991" s="355"/>
      <c r="H3991" s="355"/>
      <c r="I3991" s="355"/>
      <c r="J3991" s="355"/>
      <c r="K3991" s="355"/>
      <c r="L3991" s="355"/>
      <c r="M3991" s="355"/>
    </row>
    <row r="3992" spans="5:13">
      <c r="E3992" s="355"/>
      <c r="F3992" s="355"/>
      <c r="G3992" s="355"/>
      <c r="H3992" s="355"/>
      <c r="I3992" s="355"/>
      <c r="J3992" s="355"/>
      <c r="K3992" s="355"/>
      <c r="L3992" s="355"/>
      <c r="M3992" s="355"/>
    </row>
    <row r="3993" spans="5:13">
      <c r="E3993" s="355"/>
      <c r="F3993" s="355"/>
      <c r="G3993" s="355"/>
      <c r="H3993" s="355"/>
      <c r="I3993" s="355"/>
      <c r="J3993" s="355"/>
      <c r="K3993" s="355"/>
      <c r="L3993" s="355"/>
      <c r="M3993" s="355"/>
    </row>
    <row r="3994" spans="5:13">
      <c r="E3994" s="355"/>
      <c r="F3994" s="355"/>
      <c r="G3994" s="355"/>
      <c r="H3994" s="355"/>
      <c r="I3994" s="355"/>
      <c r="J3994" s="355"/>
      <c r="K3994" s="355"/>
      <c r="L3994" s="355"/>
      <c r="M3994" s="355"/>
    </row>
    <row r="3995" spans="5:13">
      <c r="E3995" s="355"/>
      <c r="F3995" s="355"/>
      <c r="G3995" s="355"/>
      <c r="H3995" s="355"/>
      <c r="I3995" s="355"/>
      <c r="J3995" s="355"/>
      <c r="K3995" s="355"/>
      <c r="L3995" s="355"/>
      <c r="M3995" s="355"/>
    </row>
    <row r="3996" spans="5:13">
      <c r="E3996" s="355"/>
      <c r="F3996" s="355"/>
      <c r="G3996" s="355"/>
      <c r="H3996" s="355"/>
      <c r="I3996" s="355"/>
      <c r="J3996" s="355"/>
      <c r="K3996" s="355"/>
      <c r="L3996" s="355"/>
      <c r="M3996" s="355"/>
    </row>
    <row r="3997" spans="5:13">
      <c r="E3997" s="355"/>
      <c r="F3997" s="355"/>
      <c r="G3997" s="355"/>
      <c r="H3997" s="355"/>
      <c r="I3997" s="355"/>
      <c r="J3997" s="355"/>
      <c r="K3997" s="355"/>
      <c r="L3997" s="355"/>
      <c r="M3997" s="355"/>
    </row>
    <row r="3998" spans="5:13">
      <c r="E3998" s="355"/>
      <c r="F3998" s="355"/>
      <c r="G3998" s="355"/>
      <c r="H3998" s="355"/>
      <c r="I3998" s="355"/>
      <c r="J3998" s="355"/>
      <c r="K3998" s="355"/>
      <c r="L3998" s="355"/>
      <c r="M3998" s="355"/>
    </row>
    <row r="3999" spans="5:13">
      <c r="E3999" s="355"/>
      <c r="F3999" s="355"/>
      <c r="G3999" s="355"/>
      <c r="H3999" s="363" t="s">
        <v>4272</v>
      </c>
      <c r="I3999" s="355"/>
      <c r="J3999" s="355"/>
      <c r="K3999" s="355"/>
      <c r="L3999" s="355"/>
      <c r="M3999" s="355"/>
    </row>
    <row r="4000" spans="5:13">
      <c r="E4000" s="355"/>
      <c r="F4000" s="355"/>
      <c r="G4000" s="355"/>
      <c r="H4000" s="355"/>
      <c r="I4000" s="355"/>
      <c r="J4000" s="355"/>
      <c r="K4000" s="355"/>
      <c r="L4000" s="355"/>
      <c r="M4000" s="355"/>
    </row>
    <row r="4001" spans="5:13" ht="94.5">
      <c r="E4001" s="355"/>
      <c r="F4001" s="355"/>
      <c r="G4001" s="355"/>
      <c r="H4001" s="354" t="s">
        <v>2942</v>
      </c>
      <c r="I4001" s="355"/>
      <c r="J4001" s="355"/>
      <c r="K4001" s="355"/>
      <c r="L4001" s="355"/>
      <c r="M4001" s="355"/>
    </row>
    <row r="4002" spans="5:13">
      <c r="E4002" s="355"/>
      <c r="F4002" s="355"/>
      <c r="G4002" s="355"/>
      <c r="H4002" s="355"/>
      <c r="I4002" s="355"/>
      <c r="J4002" s="355"/>
      <c r="K4002" s="355"/>
      <c r="L4002" s="355"/>
      <c r="M4002" s="355"/>
    </row>
    <row r="4003" spans="5:13">
      <c r="E4003" s="355"/>
      <c r="F4003" s="355"/>
      <c r="G4003" s="355"/>
      <c r="H4003" s="355" t="s">
        <v>3070</v>
      </c>
      <c r="I4003" s="355"/>
      <c r="J4003" s="355"/>
      <c r="K4003" s="355">
        <f>K3982</f>
        <v>10730.71</v>
      </c>
      <c r="L4003" s="355"/>
      <c r="M4003" s="355"/>
    </row>
    <row r="4004" spans="5:13" ht="31.5">
      <c r="E4004" s="355"/>
      <c r="F4004" s="355">
        <v>360</v>
      </c>
      <c r="G4004" s="355" t="s">
        <v>794</v>
      </c>
      <c r="H4004" s="354" t="s">
        <v>4273</v>
      </c>
      <c r="I4004" s="425">
        <v>56.7</v>
      </c>
      <c r="J4004" s="355" t="s">
        <v>794</v>
      </c>
      <c r="K4004" s="355">
        <f>F4004*I4004</f>
        <v>20412</v>
      </c>
      <c r="L4004" s="355"/>
      <c r="M4004" s="355"/>
    </row>
    <row r="4005" spans="5:13">
      <c r="E4005" s="355"/>
      <c r="F4005" s="355">
        <v>180</v>
      </c>
      <c r="G4005" s="355" t="s">
        <v>794</v>
      </c>
      <c r="H4005" s="354" t="s">
        <v>2891</v>
      </c>
      <c r="I4005" s="355">
        <f>I3972</f>
        <v>15.5</v>
      </c>
      <c r="J4005" s="355" t="s">
        <v>2464</v>
      </c>
      <c r="K4005" s="355">
        <f>F4005*I4005</f>
        <v>2790</v>
      </c>
      <c r="L4005" s="355"/>
      <c r="M4005" s="355"/>
    </row>
    <row r="4006" spans="5:13">
      <c r="E4006" s="355"/>
      <c r="F4006" s="355"/>
      <c r="G4006" s="355"/>
      <c r="H4006" s="355" t="s">
        <v>2187</v>
      </c>
      <c r="I4006" s="355"/>
      <c r="J4006" s="355"/>
      <c r="K4006" s="355"/>
      <c r="L4006" s="355"/>
      <c r="M4006" s="355"/>
    </row>
    <row r="4007" spans="5:13">
      <c r="E4007" s="355"/>
      <c r="F4007" s="355"/>
      <c r="G4007" s="355"/>
      <c r="H4007" s="360" t="s">
        <v>2892</v>
      </c>
      <c r="I4007" s="355"/>
      <c r="J4007" s="355"/>
      <c r="K4007" s="361">
        <f>K4003+K4004-K4005+K4006</f>
        <v>28352.71</v>
      </c>
      <c r="L4007" s="355"/>
      <c r="M4007" s="355"/>
    </row>
    <row r="4008" spans="5:13">
      <c r="E4008" s="355"/>
      <c r="F4008" s="355"/>
      <c r="G4008" s="355"/>
      <c r="H4008" s="362" t="s">
        <v>2309</v>
      </c>
      <c r="I4008" s="355"/>
      <c r="J4008" s="355"/>
      <c r="K4008" s="363">
        <f>K4007/90</f>
        <v>315.02999999999997</v>
      </c>
      <c r="L4008" s="355"/>
      <c r="M4008" s="355"/>
    </row>
    <row r="4009" spans="5:13">
      <c r="E4009" s="355"/>
      <c r="F4009" s="355"/>
      <c r="G4009" s="355"/>
      <c r="H4009" s="355"/>
      <c r="I4009" s="355"/>
      <c r="J4009" s="355"/>
      <c r="K4009" s="355"/>
      <c r="L4009" s="355"/>
      <c r="M4009" s="355"/>
    </row>
    <row r="4010" spans="5:13">
      <c r="E4010" s="355"/>
      <c r="F4010" s="355"/>
      <c r="G4010" s="355"/>
      <c r="H4010" s="355"/>
      <c r="I4010" s="355"/>
      <c r="J4010" s="355"/>
      <c r="K4010" s="355"/>
      <c r="L4010" s="355"/>
      <c r="M4010" s="355"/>
    </row>
    <row r="4011" spans="5:13">
      <c r="E4011" s="355"/>
      <c r="F4011" s="355"/>
      <c r="G4011" s="355"/>
      <c r="H4011" s="355"/>
      <c r="I4011" s="355"/>
      <c r="J4011" s="355"/>
      <c r="K4011" s="355"/>
      <c r="L4011" s="355"/>
      <c r="M4011" s="355"/>
    </row>
    <row r="4012" spans="5:13">
      <c r="E4012" s="355"/>
      <c r="F4012" s="355"/>
      <c r="G4012" s="355"/>
      <c r="H4012" s="355"/>
      <c r="I4012" s="355"/>
      <c r="J4012" s="355"/>
      <c r="K4012" s="355"/>
      <c r="L4012" s="355"/>
      <c r="M4012" s="355"/>
    </row>
    <row r="4013" spans="5:13">
      <c r="E4013" s="355"/>
      <c r="F4013" s="355"/>
      <c r="G4013" s="355"/>
      <c r="H4013" s="355"/>
      <c r="I4013" s="355"/>
      <c r="J4013" s="355"/>
      <c r="K4013" s="355"/>
      <c r="L4013" s="355"/>
      <c r="M4013" s="355"/>
    </row>
    <row r="4014" spans="5:13">
      <c r="E4014" s="355"/>
      <c r="F4014" s="355"/>
      <c r="G4014" s="355"/>
      <c r="H4014" s="363" t="s">
        <v>4274</v>
      </c>
      <c r="I4014" s="355"/>
      <c r="J4014" s="355"/>
      <c r="K4014" s="355"/>
      <c r="L4014" s="355"/>
      <c r="M4014" s="355"/>
    </row>
    <row r="4015" spans="5:13">
      <c r="E4015" s="355"/>
      <c r="F4015" s="355"/>
      <c r="G4015" s="355"/>
      <c r="H4015" s="355"/>
      <c r="I4015" s="355"/>
      <c r="J4015" s="355"/>
      <c r="K4015" s="355"/>
      <c r="L4015" s="355"/>
      <c r="M4015" s="355"/>
    </row>
    <row r="4016" spans="5:13" ht="94.5">
      <c r="E4016" s="355"/>
      <c r="F4016" s="355"/>
      <c r="G4016" s="355"/>
      <c r="H4016" s="354" t="s">
        <v>2942</v>
      </c>
      <c r="I4016" s="355"/>
      <c r="J4016" s="355"/>
      <c r="K4016" s="355"/>
      <c r="L4016" s="355"/>
      <c r="M4016" s="355"/>
    </row>
    <row r="4017" spans="5:13">
      <c r="E4017" s="355"/>
      <c r="F4017" s="355"/>
      <c r="G4017" s="355"/>
      <c r="H4017" s="355"/>
      <c r="I4017" s="355"/>
      <c r="J4017" s="355"/>
      <c r="K4017" s="355"/>
      <c r="L4017" s="355"/>
      <c r="M4017" s="355"/>
    </row>
    <row r="4018" spans="5:13">
      <c r="E4018" s="355"/>
      <c r="F4018" s="355"/>
      <c r="G4018" s="355"/>
      <c r="H4018" s="355" t="s">
        <v>3070</v>
      </c>
      <c r="I4018" s="355"/>
      <c r="J4018" s="355"/>
      <c r="K4018" s="355">
        <f>K4003</f>
        <v>10730.71</v>
      </c>
      <c r="L4018" s="355"/>
      <c r="M4018" s="355"/>
    </row>
    <row r="4019" spans="5:13" ht="31.5">
      <c r="E4019" s="355"/>
      <c r="F4019" s="355">
        <v>360</v>
      </c>
      <c r="G4019" s="355" t="s">
        <v>794</v>
      </c>
      <c r="H4019" s="354" t="s">
        <v>4275</v>
      </c>
      <c r="I4019" s="425">
        <v>38.299999999999997</v>
      </c>
      <c r="J4019" s="355" t="s">
        <v>794</v>
      </c>
      <c r="K4019" s="355">
        <f>F4019*I4019</f>
        <v>13788</v>
      </c>
      <c r="L4019" s="355"/>
      <c r="M4019" s="355"/>
    </row>
    <row r="4020" spans="5:13">
      <c r="E4020" s="355"/>
      <c r="F4020" s="355">
        <v>180</v>
      </c>
      <c r="G4020" s="355" t="s">
        <v>794</v>
      </c>
      <c r="H4020" s="354" t="s">
        <v>2891</v>
      </c>
      <c r="I4020" s="355">
        <f>I4005</f>
        <v>15.5</v>
      </c>
      <c r="J4020" s="355" t="s">
        <v>2464</v>
      </c>
      <c r="K4020" s="355">
        <f>F4020*I4020</f>
        <v>2790</v>
      </c>
      <c r="L4020" s="355"/>
      <c r="M4020" s="355"/>
    </row>
    <row r="4021" spans="5:13">
      <c r="E4021" s="355"/>
      <c r="F4021" s="355"/>
      <c r="G4021" s="355"/>
      <c r="H4021" s="355" t="s">
        <v>2187</v>
      </c>
      <c r="I4021" s="355"/>
      <c r="J4021" s="355"/>
      <c r="K4021" s="355"/>
      <c r="L4021" s="355"/>
      <c r="M4021" s="355"/>
    </row>
    <row r="4022" spans="5:13">
      <c r="E4022" s="355"/>
      <c r="F4022" s="355"/>
      <c r="G4022" s="355"/>
      <c r="H4022" s="360" t="s">
        <v>2892</v>
      </c>
      <c r="I4022" s="355"/>
      <c r="J4022" s="355"/>
      <c r="K4022" s="361">
        <f>K4018+K4019-K4020+K4021</f>
        <v>21728.71</v>
      </c>
      <c r="L4022" s="355"/>
      <c r="M4022" s="355"/>
    </row>
    <row r="4023" spans="5:13">
      <c r="E4023" s="355"/>
      <c r="F4023" s="355"/>
      <c r="G4023" s="355"/>
      <c r="H4023" s="362" t="s">
        <v>2309</v>
      </c>
      <c r="I4023" s="355"/>
      <c r="J4023" s="355"/>
      <c r="K4023" s="363">
        <f>K4022/90</f>
        <v>241.43</v>
      </c>
      <c r="L4023" s="355"/>
      <c r="M4023" s="355"/>
    </row>
    <row r="4024" spans="5:13">
      <c r="E4024" s="355"/>
      <c r="F4024" s="355"/>
      <c r="G4024" s="355"/>
      <c r="H4024" s="355"/>
      <c r="I4024" s="355"/>
      <c r="J4024" s="355"/>
      <c r="K4024" s="355"/>
      <c r="L4024" s="355"/>
      <c r="M4024" s="355"/>
    </row>
    <row r="4025" spans="5:13">
      <c r="E4025" s="355"/>
      <c r="F4025" s="355"/>
      <c r="G4025" s="355"/>
      <c r="H4025" s="355"/>
      <c r="I4025" s="355"/>
      <c r="J4025" s="355"/>
      <c r="K4025" s="355"/>
      <c r="L4025" s="355"/>
      <c r="M4025" s="355"/>
    </row>
    <row r="4026" spans="5:13">
      <c r="E4026" s="355"/>
      <c r="F4026" s="355"/>
      <c r="G4026" s="355"/>
      <c r="H4026" s="355"/>
      <c r="I4026" s="355"/>
      <c r="J4026" s="355"/>
      <c r="K4026" s="355"/>
      <c r="L4026" s="355"/>
      <c r="M4026" s="355"/>
    </row>
    <row r="4027" spans="5:13">
      <c r="E4027" s="355"/>
      <c r="F4027" s="673"/>
      <c r="G4027" s="674"/>
      <c r="H4027" s="675" t="s">
        <v>4046</v>
      </c>
      <c r="I4027" s="673"/>
      <c r="J4027" s="676"/>
      <c r="K4027" s="677"/>
      <c r="L4027" s="355"/>
      <c r="M4027" s="355"/>
    </row>
    <row r="4028" spans="5:13">
      <c r="E4028" s="355"/>
      <c r="F4028" s="673"/>
      <c r="G4028" s="674"/>
      <c r="H4028" s="678" t="s">
        <v>4047</v>
      </c>
      <c r="I4028" s="673"/>
      <c r="J4028" s="676"/>
      <c r="K4028" s="673"/>
      <c r="L4028" s="355"/>
      <c r="M4028" s="355"/>
    </row>
    <row r="4029" spans="5:13">
      <c r="E4029" s="355"/>
      <c r="F4029" s="673"/>
      <c r="G4029" s="674"/>
      <c r="H4029" s="679" t="s">
        <v>4048</v>
      </c>
      <c r="I4029" s="673"/>
      <c r="J4029" s="676"/>
      <c r="K4029" s="673"/>
      <c r="L4029" s="355"/>
      <c r="M4029" s="355"/>
    </row>
    <row r="4030" spans="5:13">
      <c r="E4030" s="355"/>
      <c r="F4030" s="673"/>
      <c r="G4030" s="674"/>
      <c r="H4030" s="678" t="s">
        <v>4049</v>
      </c>
      <c r="I4030" s="673"/>
      <c r="J4030" s="676">
        <f>3.3*3.3*2+6.6+6.6+6.6</f>
        <v>41.58</v>
      </c>
      <c r="K4030" s="673"/>
      <c r="L4030" s="355"/>
      <c r="M4030" s="355"/>
    </row>
    <row r="4031" spans="5:13">
      <c r="E4031" s="355"/>
      <c r="F4031" s="673"/>
      <c r="G4031" s="674"/>
      <c r="H4031" s="678" t="s">
        <v>4050</v>
      </c>
      <c r="I4031" s="673"/>
      <c r="J4031" s="676"/>
      <c r="K4031" s="673"/>
      <c r="L4031" s="355"/>
      <c r="M4031" s="355"/>
    </row>
    <row r="4032" spans="5:13">
      <c r="E4032" s="355"/>
      <c r="F4032" s="673"/>
      <c r="G4032" s="674"/>
      <c r="H4032" s="678" t="s">
        <v>4051</v>
      </c>
      <c r="I4032" s="673"/>
      <c r="J4032" s="676"/>
      <c r="K4032" s="673"/>
      <c r="L4032" s="355"/>
      <c r="M4032" s="355"/>
    </row>
    <row r="4033" spans="5:13">
      <c r="E4033" s="355"/>
      <c r="F4033" s="673"/>
      <c r="G4033" s="674"/>
      <c r="H4033" s="678" t="s">
        <v>4052</v>
      </c>
      <c r="I4033" s="673"/>
      <c r="J4033" s="676"/>
      <c r="K4033" s="673"/>
      <c r="L4033" s="355"/>
      <c r="M4033" s="355"/>
    </row>
    <row r="4034" spans="5:13">
      <c r="E4034" s="355"/>
      <c r="F4034" s="673"/>
      <c r="G4034" s="674"/>
      <c r="H4034" s="678" t="s">
        <v>4053</v>
      </c>
      <c r="I4034" s="673"/>
      <c r="J4034" s="676"/>
      <c r="K4034" s="673"/>
      <c r="L4034" s="355"/>
      <c r="M4034" s="355"/>
    </row>
    <row r="4035" spans="5:13">
      <c r="E4035" s="355"/>
      <c r="F4035" s="673"/>
      <c r="G4035" s="674"/>
      <c r="H4035" s="679"/>
      <c r="I4035" s="673"/>
      <c r="J4035" s="676"/>
      <c r="K4035" s="673"/>
      <c r="L4035" s="355"/>
      <c r="M4035" s="355"/>
    </row>
    <row r="4036" spans="5:13">
      <c r="E4036" s="355"/>
      <c r="F4036" s="673"/>
      <c r="G4036" s="674"/>
      <c r="H4036" s="678" t="s">
        <v>4054</v>
      </c>
      <c r="I4036" s="673"/>
      <c r="J4036" s="676"/>
      <c r="K4036" s="673"/>
      <c r="L4036" s="355"/>
      <c r="M4036" s="355"/>
    </row>
    <row r="4037" spans="5:13">
      <c r="E4037" s="355"/>
      <c r="F4037" s="680"/>
      <c r="G4037" s="674"/>
      <c r="H4037" s="679" t="s">
        <v>4055</v>
      </c>
      <c r="I4037" s="673"/>
      <c r="J4037" s="676"/>
      <c r="K4037" s="673"/>
      <c r="L4037" s="355"/>
      <c r="M4037" s="355"/>
    </row>
    <row r="4038" spans="5:13">
      <c r="E4038" s="355"/>
      <c r="F4038" s="673"/>
      <c r="G4038" s="674"/>
      <c r="H4038" s="678" t="s">
        <v>4056</v>
      </c>
      <c r="I4038" s="673"/>
      <c r="J4038" s="676"/>
      <c r="K4038" s="673"/>
      <c r="L4038" s="355"/>
      <c r="M4038" s="355"/>
    </row>
    <row r="4039" spans="5:13">
      <c r="E4039" s="355"/>
      <c r="F4039" s="681">
        <v>53.512999999999998</v>
      </c>
      <c r="G4039" s="674" t="s">
        <v>876</v>
      </c>
      <c r="H4039" s="678" t="s">
        <v>4213</v>
      </c>
      <c r="I4039" s="911">
        <v>47.3</v>
      </c>
      <c r="J4039" s="676" t="s">
        <v>876</v>
      </c>
      <c r="K4039" s="673">
        <f>I4039*F4039</f>
        <v>2531.16</v>
      </c>
      <c r="L4039" s="355"/>
      <c r="M4039" s="355"/>
    </row>
    <row r="4040" spans="5:13">
      <c r="E4040" s="355"/>
      <c r="F4040" s="680"/>
      <c r="G4040" s="674"/>
      <c r="H4040" s="679" t="s">
        <v>4057</v>
      </c>
      <c r="I4040" s="673"/>
      <c r="J4040" s="676"/>
      <c r="K4040" s="673"/>
      <c r="L4040" s="355"/>
      <c r="M4040" s="355"/>
    </row>
    <row r="4041" spans="5:13">
      <c r="E4041" s="355"/>
      <c r="F4041" s="673"/>
      <c r="G4041" s="674"/>
      <c r="H4041" s="678" t="s">
        <v>4058</v>
      </c>
      <c r="I4041" s="673"/>
      <c r="J4041" s="676"/>
      <c r="K4041" s="673"/>
      <c r="L4041" s="355"/>
      <c r="M4041" s="355"/>
    </row>
    <row r="4042" spans="5:13">
      <c r="E4042" s="355"/>
      <c r="F4042" s="673"/>
      <c r="G4042" s="674"/>
      <c r="H4042" s="678" t="s">
        <v>4059</v>
      </c>
      <c r="I4042" s="673"/>
      <c r="J4042" s="676"/>
      <c r="K4042" s="673"/>
      <c r="L4042" s="355"/>
      <c r="M4042" s="355"/>
    </row>
    <row r="4043" spans="5:13">
      <c r="E4043" s="355"/>
      <c r="F4043" s="673"/>
      <c r="G4043" s="674"/>
      <c r="H4043" s="678" t="s">
        <v>4060</v>
      </c>
      <c r="I4043" s="673"/>
      <c r="J4043" s="676"/>
      <c r="K4043" s="673"/>
      <c r="L4043" s="355"/>
      <c r="M4043" s="355"/>
    </row>
    <row r="4044" spans="5:13">
      <c r="E4044" s="355"/>
      <c r="F4044" s="673"/>
      <c r="G4044" s="674"/>
      <c r="H4044" s="678" t="s">
        <v>4061</v>
      </c>
      <c r="I4044" s="673"/>
      <c r="J4044" s="676"/>
      <c r="K4044" s="673"/>
      <c r="L4044" s="355"/>
      <c r="M4044" s="355"/>
    </row>
    <row r="4045" spans="5:13" ht="25.5">
      <c r="E4045" s="355"/>
      <c r="F4045" s="673"/>
      <c r="G4045" s="674"/>
      <c r="H4045" s="678" t="s">
        <v>4062</v>
      </c>
      <c r="I4045" s="673"/>
      <c r="J4045" s="676"/>
      <c r="K4045" s="673"/>
      <c r="L4045" s="355"/>
      <c r="M4045" s="355"/>
    </row>
    <row r="4046" spans="5:13">
      <c r="E4046" s="355"/>
      <c r="F4046" s="673"/>
      <c r="G4046" s="674"/>
      <c r="H4046" s="678" t="s">
        <v>4063</v>
      </c>
      <c r="I4046" s="673"/>
      <c r="J4046" s="676"/>
      <c r="K4046" s="673"/>
      <c r="L4046" s="355"/>
      <c r="M4046" s="355"/>
    </row>
    <row r="4047" spans="5:13">
      <c r="E4047" s="355"/>
      <c r="F4047" s="673"/>
      <c r="G4047" s="674"/>
      <c r="H4047" s="678" t="s">
        <v>4064</v>
      </c>
      <c r="I4047" s="673"/>
      <c r="J4047" s="676"/>
      <c r="K4047" s="673"/>
      <c r="L4047" s="355"/>
      <c r="M4047" s="355"/>
    </row>
    <row r="4048" spans="5:13">
      <c r="E4048" s="355"/>
      <c r="F4048" s="673">
        <v>18.600000000000001</v>
      </c>
      <c r="G4048" s="674" t="s">
        <v>876</v>
      </c>
      <c r="H4048" s="678" t="s">
        <v>4065</v>
      </c>
      <c r="I4048" s="673">
        <f>I4039</f>
        <v>47.3</v>
      </c>
      <c r="J4048" s="676" t="s">
        <v>876</v>
      </c>
      <c r="K4048" s="673">
        <f>SUM(F4048*I4048)</f>
        <v>879.78</v>
      </c>
      <c r="L4048" s="355"/>
      <c r="M4048" s="355"/>
    </row>
    <row r="4049" spans="5:13">
      <c r="E4049" s="355"/>
      <c r="F4049" s="673"/>
      <c r="G4049" s="674"/>
      <c r="H4049" s="679" t="s">
        <v>4066</v>
      </c>
      <c r="I4049" s="673"/>
      <c r="J4049" s="676"/>
      <c r="K4049" s="673"/>
      <c r="L4049" s="355"/>
      <c r="M4049" s="355"/>
    </row>
    <row r="4050" spans="5:13">
      <c r="E4050" s="355"/>
      <c r="F4050" s="673"/>
      <c r="G4050" s="674"/>
      <c r="H4050" s="678" t="s">
        <v>4067</v>
      </c>
      <c r="I4050" s="673"/>
      <c r="J4050" s="676"/>
      <c r="K4050" s="673"/>
      <c r="L4050" s="355"/>
      <c r="M4050" s="355"/>
    </row>
    <row r="4051" spans="5:13">
      <c r="E4051" s="355"/>
      <c r="F4051" s="673"/>
      <c r="G4051" s="674"/>
      <c r="H4051" s="678" t="s">
        <v>4068</v>
      </c>
      <c r="I4051" s="673"/>
      <c r="J4051" s="676"/>
      <c r="K4051" s="673"/>
      <c r="L4051" s="355"/>
      <c r="M4051" s="355"/>
    </row>
    <row r="4052" spans="5:13">
      <c r="E4052" s="355"/>
      <c r="F4052" s="673"/>
      <c r="G4052" s="674"/>
      <c r="H4052" s="678" t="s">
        <v>4069</v>
      </c>
      <c r="I4052" s="673"/>
      <c r="J4052" s="676"/>
      <c r="K4052" s="673"/>
      <c r="L4052" s="355"/>
      <c r="M4052" s="355"/>
    </row>
    <row r="4053" spans="5:13">
      <c r="E4053" s="355"/>
      <c r="F4053" s="673"/>
      <c r="G4053" s="674"/>
      <c r="H4053" s="678" t="s">
        <v>4070</v>
      </c>
      <c r="I4053" s="673"/>
      <c r="J4053" s="676"/>
      <c r="K4053" s="673"/>
      <c r="L4053" s="355"/>
      <c r="M4053" s="355"/>
    </row>
    <row r="4054" spans="5:13">
      <c r="E4054" s="355"/>
      <c r="F4054" s="673"/>
      <c r="G4054" s="674"/>
      <c r="H4054" s="678" t="s">
        <v>4071</v>
      </c>
      <c r="I4054" s="673"/>
      <c r="J4054" s="676"/>
      <c r="K4054" s="673"/>
      <c r="L4054" s="355"/>
      <c r="M4054" s="355"/>
    </row>
    <row r="4055" spans="5:13" ht="25.5">
      <c r="E4055" s="355"/>
      <c r="F4055" s="673"/>
      <c r="G4055" s="674"/>
      <c r="H4055" s="678" t="s">
        <v>4072</v>
      </c>
      <c r="I4055" s="673"/>
      <c r="J4055" s="676"/>
      <c r="K4055" s="673"/>
      <c r="L4055" s="355"/>
      <c r="M4055" s="355"/>
    </row>
    <row r="4056" spans="5:13">
      <c r="E4056" s="355"/>
      <c r="F4056" s="673"/>
      <c r="G4056" s="674"/>
      <c r="H4056" s="678" t="s">
        <v>4073</v>
      </c>
      <c r="I4056" s="673"/>
      <c r="J4056" s="676"/>
      <c r="K4056" s="673"/>
      <c r="L4056" s="355"/>
      <c r="M4056" s="355"/>
    </row>
    <row r="4057" spans="5:13">
      <c r="E4057" s="355"/>
      <c r="F4057" s="673"/>
      <c r="G4057" s="674"/>
      <c r="H4057" s="678" t="s">
        <v>4074</v>
      </c>
      <c r="I4057" s="673"/>
      <c r="J4057" s="676"/>
      <c r="K4057" s="673"/>
      <c r="L4057" s="355"/>
      <c r="M4057" s="355"/>
    </row>
    <row r="4058" spans="5:13" ht="25.5">
      <c r="E4058" s="355"/>
      <c r="F4058" s="673"/>
      <c r="G4058" s="674"/>
      <c r="H4058" s="678" t="s">
        <v>4075</v>
      </c>
      <c r="I4058" s="673"/>
      <c r="J4058" s="676"/>
      <c r="K4058" s="673"/>
      <c r="L4058" s="355"/>
      <c r="M4058" s="355"/>
    </row>
    <row r="4059" spans="5:13">
      <c r="E4059" s="355"/>
      <c r="F4059" s="673"/>
      <c r="G4059" s="674"/>
      <c r="H4059" s="678" t="s">
        <v>4076</v>
      </c>
      <c r="I4059" s="673"/>
      <c r="J4059" s="676"/>
      <c r="K4059" s="673"/>
      <c r="L4059" s="355"/>
      <c r="M4059" s="355"/>
    </row>
    <row r="4060" spans="5:13">
      <c r="E4060" s="355"/>
      <c r="F4060" s="673"/>
      <c r="G4060" s="674"/>
      <c r="H4060" s="678"/>
      <c r="I4060" s="673"/>
      <c r="J4060" s="676"/>
      <c r="K4060" s="673"/>
      <c r="L4060" s="355"/>
      <c r="M4060" s="355"/>
    </row>
    <row r="4061" spans="5:13">
      <c r="E4061" s="355"/>
      <c r="F4061" s="673"/>
      <c r="G4061" s="674"/>
      <c r="H4061" s="678" t="s">
        <v>4077</v>
      </c>
      <c r="I4061" s="673"/>
      <c r="J4061" s="676"/>
      <c r="K4061" s="673"/>
      <c r="L4061" s="355"/>
      <c r="M4061" s="355"/>
    </row>
    <row r="4062" spans="5:13">
      <c r="E4062" s="355"/>
      <c r="F4062" s="673"/>
      <c r="G4062" s="674"/>
      <c r="H4062" s="678"/>
      <c r="I4062" s="673"/>
      <c r="J4062" s="676"/>
      <c r="K4062" s="673"/>
      <c r="L4062" s="355"/>
      <c r="M4062" s="355"/>
    </row>
    <row r="4063" spans="5:13">
      <c r="E4063" s="355"/>
      <c r="F4063" s="673">
        <v>5.92</v>
      </c>
      <c r="G4063" s="674" t="s">
        <v>876</v>
      </c>
      <c r="H4063" s="678" t="s">
        <v>4817</v>
      </c>
      <c r="I4063" s="911">
        <v>526</v>
      </c>
      <c r="J4063" s="676" t="s">
        <v>876</v>
      </c>
      <c r="K4063" s="673">
        <f>SUM(F4063*I4063)</f>
        <v>3113.92</v>
      </c>
      <c r="L4063" s="355"/>
      <c r="M4063" s="355"/>
    </row>
    <row r="4064" spans="5:13">
      <c r="E4064" s="355"/>
      <c r="F4064" s="673">
        <f>F4063</f>
        <v>5.92</v>
      </c>
      <c r="G4064" s="674" t="s">
        <v>876</v>
      </c>
      <c r="H4064" s="678" t="s">
        <v>4078</v>
      </c>
      <c r="I4064" s="912">
        <v>10</v>
      </c>
      <c r="J4064" s="676" t="s">
        <v>876</v>
      </c>
      <c r="K4064" s="673">
        <f>SUM(F4064*I4064)</f>
        <v>59.2</v>
      </c>
      <c r="L4064" s="355"/>
      <c r="M4064" s="355"/>
    </row>
    <row r="4065" spans="5:13">
      <c r="E4065" s="355"/>
      <c r="F4065" s="673"/>
      <c r="G4065" s="674"/>
      <c r="H4065" s="678"/>
      <c r="I4065" s="673"/>
      <c r="J4065" s="676"/>
      <c r="K4065" s="673"/>
      <c r="L4065" s="355"/>
      <c r="M4065" s="355"/>
    </row>
    <row r="4066" spans="5:13">
      <c r="E4066" s="355"/>
      <c r="F4066" s="673"/>
      <c r="G4066" s="674"/>
      <c r="H4066" s="679" t="s">
        <v>4079</v>
      </c>
      <c r="I4066" s="673"/>
      <c r="J4066" s="676"/>
      <c r="K4066" s="673"/>
      <c r="L4066" s="355"/>
      <c r="M4066" s="355"/>
    </row>
    <row r="4067" spans="5:13">
      <c r="E4067" s="355"/>
      <c r="F4067" s="673"/>
      <c r="G4067" s="674"/>
      <c r="H4067" s="678" t="s">
        <v>4080</v>
      </c>
      <c r="I4067" s="673"/>
      <c r="J4067" s="676"/>
      <c r="K4067" s="673"/>
      <c r="L4067" s="355"/>
      <c r="M4067" s="355"/>
    </row>
    <row r="4068" spans="5:13">
      <c r="E4068" s="355"/>
      <c r="F4068" s="673"/>
      <c r="G4068" s="674"/>
      <c r="H4068" s="678" t="s">
        <v>4081</v>
      </c>
      <c r="I4068" s="673"/>
      <c r="J4068" s="676"/>
      <c r="K4068" s="673"/>
      <c r="L4068" s="355"/>
      <c r="M4068" s="355"/>
    </row>
    <row r="4069" spans="5:13">
      <c r="E4069" s="355"/>
      <c r="F4069" s="673"/>
      <c r="G4069" s="674"/>
      <c r="H4069" s="678" t="s">
        <v>4082</v>
      </c>
      <c r="I4069" s="673"/>
      <c r="J4069" s="676"/>
      <c r="K4069" s="673"/>
      <c r="L4069" s="355"/>
      <c r="M4069" s="355"/>
    </row>
    <row r="4070" spans="5:13">
      <c r="E4070" s="355"/>
      <c r="F4070" s="673">
        <v>3.6</v>
      </c>
      <c r="G4070" s="674" t="s">
        <v>876</v>
      </c>
      <c r="H4070" s="678" t="s">
        <v>4818</v>
      </c>
      <c r="I4070" s="911">
        <v>94.9</v>
      </c>
      <c r="J4070" s="676" t="s">
        <v>876</v>
      </c>
      <c r="K4070" s="673">
        <f>I4070*F4070</f>
        <v>341.64</v>
      </c>
      <c r="L4070" s="355"/>
      <c r="M4070" s="355"/>
    </row>
    <row r="4071" spans="5:13">
      <c r="E4071" s="355"/>
      <c r="F4071" s="673"/>
      <c r="G4071" s="674"/>
      <c r="H4071" s="679" t="s">
        <v>4083</v>
      </c>
      <c r="I4071" s="673"/>
      <c r="J4071" s="676"/>
      <c r="K4071" s="673"/>
      <c r="L4071" s="355"/>
      <c r="M4071" s="355"/>
    </row>
    <row r="4072" spans="5:13">
      <c r="E4072" s="355"/>
      <c r="F4072" s="673">
        <v>3</v>
      </c>
      <c r="G4072" s="674" t="s">
        <v>998</v>
      </c>
      <c r="H4072" s="678" t="s">
        <v>4819</v>
      </c>
      <c r="I4072" s="911">
        <v>550</v>
      </c>
      <c r="J4072" s="676" t="s">
        <v>1341</v>
      </c>
      <c r="K4072" s="673">
        <f>I4072*F4072</f>
        <v>1650</v>
      </c>
      <c r="L4072" s="355"/>
      <c r="M4072" s="355"/>
    </row>
    <row r="4073" spans="5:13">
      <c r="E4073" s="355"/>
      <c r="F4073" s="673">
        <v>1</v>
      </c>
      <c r="G4073" s="674" t="s">
        <v>998</v>
      </c>
      <c r="H4073" s="678" t="s">
        <v>4820</v>
      </c>
      <c r="I4073" s="911">
        <v>340.3</v>
      </c>
      <c r="J4073" s="676" t="s">
        <v>1341</v>
      </c>
      <c r="K4073" s="673">
        <f>I4073*F4073</f>
        <v>340.3</v>
      </c>
      <c r="L4073" s="355"/>
      <c r="M4073" s="355"/>
    </row>
    <row r="4074" spans="5:13">
      <c r="E4074" s="355"/>
      <c r="F4074" s="673">
        <v>1</v>
      </c>
      <c r="G4074" s="674" t="s">
        <v>998</v>
      </c>
      <c r="H4074" s="678" t="s">
        <v>4084</v>
      </c>
      <c r="I4074" s="912">
        <f>I4073</f>
        <v>340.3</v>
      </c>
      <c r="J4074" s="676" t="s">
        <v>1341</v>
      </c>
      <c r="K4074" s="673">
        <f>I4074*F4074</f>
        <v>340.3</v>
      </c>
      <c r="L4074" s="355"/>
      <c r="M4074" s="355"/>
    </row>
    <row r="4075" spans="5:13">
      <c r="E4075" s="355"/>
      <c r="F4075" s="682">
        <v>800</v>
      </c>
      <c r="G4075" s="676" t="s">
        <v>4085</v>
      </c>
      <c r="H4075" s="678" t="s">
        <v>4086</v>
      </c>
      <c r="I4075" s="673">
        <v>1</v>
      </c>
      <c r="J4075" s="676" t="s">
        <v>4085</v>
      </c>
      <c r="K4075" s="673">
        <f>SUM(F4075*I4075)</f>
        <v>800</v>
      </c>
      <c r="L4075" s="355"/>
      <c r="M4075" s="355"/>
    </row>
    <row r="4076" spans="5:13">
      <c r="E4076" s="355"/>
      <c r="F4076" s="673"/>
      <c r="G4076" s="674"/>
      <c r="H4076" s="678" t="s">
        <v>4087</v>
      </c>
      <c r="I4076" s="673"/>
      <c r="J4076" s="676"/>
      <c r="K4076" s="673"/>
      <c r="L4076" s="355"/>
      <c r="M4076" s="355"/>
    </row>
    <row r="4077" spans="5:13">
      <c r="E4077" s="355"/>
      <c r="F4077" s="673"/>
      <c r="G4077" s="674"/>
      <c r="H4077" s="678" t="s">
        <v>4088</v>
      </c>
      <c r="I4077" s="673"/>
      <c r="J4077" s="676"/>
      <c r="K4077" s="673"/>
      <c r="L4077" s="355"/>
      <c r="M4077" s="355"/>
    </row>
    <row r="4078" spans="5:13">
      <c r="E4078" s="355"/>
      <c r="F4078" s="683">
        <v>0.27</v>
      </c>
      <c r="G4078" s="674" t="s">
        <v>4089</v>
      </c>
      <c r="H4078" s="678" t="s">
        <v>4821</v>
      </c>
      <c r="I4078" s="673">
        <f>630*2</f>
        <v>1260</v>
      </c>
      <c r="J4078" s="684" t="s">
        <v>4089</v>
      </c>
      <c r="K4078" s="673">
        <f t="shared" ref="K4078:K4085" si="115">SUM(F4078*I4078)</f>
        <v>340.2</v>
      </c>
      <c r="L4078" s="355"/>
      <c r="M4078" s="355"/>
    </row>
    <row r="4079" spans="5:13">
      <c r="E4079" s="355"/>
      <c r="F4079" s="673">
        <v>9</v>
      </c>
      <c r="G4079" s="674" t="s">
        <v>1375</v>
      </c>
      <c r="H4079" s="678" t="s">
        <v>4090</v>
      </c>
      <c r="I4079" s="912">
        <v>20</v>
      </c>
      <c r="J4079" s="676" t="s">
        <v>1656</v>
      </c>
      <c r="K4079" s="673">
        <f t="shared" si="115"/>
        <v>180</v>
      </c>
      <c r="L4079" s="355"/>
      <c r="M4079" s="355"/>
    </row>
    <row r="4080" spans="5:13">
      <c r="E4080" s="355"/>
      <c r="F4080" s="673">
        <v>2</v>
      </c>
      <c r="G4080" s="674" t="s">
        <v>143</v>
      </c>
      <c r="H4080" s="678" t="s">
        <v>4091</v>
      </c>
      <c r="I4080" s="912">
        <v>280</v>
      </c>
      <c r="J4080" s="676" t="s">
        <v>143</v>
      </c>
      <c r="K4080" s="673">
        <f t="shared" si="115"/>
        <v>560</v>
      </c>
      <c r="L4080" s="355"/>
      <c r="M4080" s="355"/>
    </row>
    <row r="4081" spans="5:13">
      <c r="E4081" s="355"/>
      <c r="F4081" s="673">
        <v>5</v>
      </c>
      <c r="G4081" s="674" t="s">
        <v>3391</v>
      </c>
      <c r="H4081" s="678" t="s">
        <v>4822</v>
      </c>
      <c r="I4081" s="911">
        <v>9.8000000000000007</v>
      </c>
      <c r="J4081" s="684" t="s">
        <v>3391</v>
      </c>
      <c r="K4081" s="673">
        <f t="shared" si="115"/>
        <v>49</v>
      </c>
      <c r="L4081" s="355"/>
      <c r="M4081" s="355"/>
    </row>
    <row r="4082" spans="5:13">
      <c r="E4082" s="355"/>
      <c r="F4082" s="685">
        <v>53.512999999999998</v>
      </c>
      <c r="G4082" s="686" t="s">
        <v>876</v>
      </c>
      <c r="H4082" s="678" t="s">
        <v>4823</v>
      </c>
      <c r="I4082" s="687">
        <v>47.8</v>
      </c>
      <c r="J4082" s="688" t="s">
        <v>876</v>
      </c>
      <c r="K4082" s="687">
        <f t="shared" si="115"/>
        <v>2557.92</v>
      </c>
      <c r="L4082" s="355"/>
      <c r="M4082" s="355"/>
    </row>
    <row r="4083" spans="5:13">
      <c r="E4083" s="355"/>
      <c r="F4083" s="685">
        <v>18.600000000000001</v>
      </c>
      <c r="G4083" s="686" t="s">
        <v>876</v>
      </c>
      <c r="H4083" s="678" t="s">
        <v>4824</v>
      </c>
      <c r="I4083" s="687">
        <v>47.8</v>
      </c>
      <c r="J4083" s="688" t="s">
        <v>876</v>
      </c>
      <c r="K4083" s="687">
        <f>SUM(F4083*I4083)</f>
        <v>889.08</v>
      </c>
      <c r="L4083" s="355"/>
      <c r="M4083" s="355"/>
    </row>
    <row r="4084" spans="5:13">
      <c r="E4084" s="355"/>
      <c r="F4084" s="673">
        <v>12</v>
      </c>
      <c r="G4084" s="674" t="s">
        <v>1375</v>
      </c>
      <c r="H4084" s="678" t="s">
        <v>4092</v>
      </c>
      <c r="I4084" s="673">
        <v>1696.5</v>
      </c>
      <c r="J4084" s="684" t="s">
        <v>1341</v>
      </c>
      <c r="K4084" s="673">
        <f t="shared" si="115"/>
        <v>20358</v>
      </c>
      <c r="L4084" s="355"/>
      <c r="M4084" s="355"/>
    </row>
    <row r="4085" spans="5:13">
      <c r="E4085" s="355"/>
      <c r="F4085" s="673">
        <v>83.16</v>
      </c>
      <c r="G4085" s="674" t="s">
        <v>4093</v>
      </c>
      <c r="H4085" s="678" t="s">
        <v>4094</v>
      </c>
      <c r="I4085" s="673">
        <v>10</v>
      </c>
      <c r="J4085" s="684" t="s">
        <v>4095</v>
      </c>
      <c r="K4085" s="673">
        <f t="shared" si="115"/>
        <v>831.6</v>
      </c>
      <c r="L4085" s="355"/>
      <c r="M4085" s="355"/>
    </row>
    <row r="4086" spans="5:13" ht="25.5">
      <c r="E4086" s="355"/>
      <c r="F4086" s="680">
        <v>24</v>
      </c>
      <c r="G4086" s="674" t="s">
        <v>4096</v>
      </c>
      <c r="H4086" s="689" t="s">
        <v>4825</v>
      </c>
      <c r="I4086" s="673">
        <v>56.7</v>
      </c>
      <c r="J4086" s="690" t="s">
        <v>4097</v>
      </c>
      <c r="K4086" s="673">
        <f>I4086*F4086</f>
        <v>1360.8</v>
      </c>
      <c r="L4086" s="355"/>
      <c r="M4086" s="355"/>
    </row>
    <row r="4087" spans="5:13">
      <c r="E4087" s="355"/>
      <c r="F4087" s="673"/>
      <c r="G4087" s="674"/>
      <c r="H4087" s="678" t="s">
        <v>4098</v>
      </c>
      <c r="I4087" s="673"/>
      <c r="J4087" s="676"/>
      <c r="K4087" s="673">
        <v>200</v>
      </c>
      <c r="L4087" s="355"/>
      <c r="M4087" s="355"/>
    </row>
    <row r="4088" spans="5:13">
      <c r="E4088" s="355"/>
      <c r="F4088" s="673"/>
      <c r="G4088" s="674"/>
      <c r="H4088" s="678"/>
      <c r="I4088" s="673" t="s">
        <v>2161</v>
      </c>
      <c r="J4088" s="676"/>
      <c r="K4088" s="677">
        <f>SUM(K4039:K4087)</f>
        <v>37382.9</v>
      </c>
      <c r="L4088" s="355"/>
      <c r="M4088" s="355"/>
    </row>
    <row r="4089" spans="5:13">
      <c r="E4089" s="355"/>
      <c r="F4089" s="673"/>
      <c r="G4089" s="674"/>
      <c r="H4089" s="678" t="s">
        <v>4099</v>
      </c>
      <c r="I4089" s="673"/>
      <c r="J4089" s="676"/>
      <c r="K4089" s="673">
        <f>K4088*2/100</f>
        <v>747.66</v>
      </c>
      <c r="L4089" s="355"/>
      <c r="M4089" s="355"/>
    </row>
    <row r="4090" spans="5:13">
      <c r="E4090" s="355"/>
      <c r="F4090" s="673"/>
      <c r="G4090" s="674"/>
      <c r="H4090" s="678"/>
      <c r="I4090" s="673"/>
      <c r="J4090" s="676"/>
      <c r="K4090" s="677">
        <f>SUM(K4088:K4089)</f>
        <v>38130.559999999998</v>
      </c>
      <c r="L4090" s="355"/>
      <c r="M4090" s="355"/>
    </row>
    <row r="4091" spans="5:13">
      <c r="E4091" s="355"/>
      <c r="F4091" s="673"/>
      <c r="G4091" s="674"/>
      <c r="H4091" s="679" t="s">
        <v>4100</v>
      </c>
      <c r="I4091" s="673"/>
      <c r="J4091" s="676"/>
      <c r="K4091" s="673"/>
      <c r="L4091" s="355"/>
      <c r="M4091" s="355"/>
    </row>
    <row r="4092" spans="5:13">
      <c r="E4092" s="355"/>
      <c r="F4092" s="673"/>
      <c r="G4092" s="674"/>
      <c r="H4092" s="678" t="s">
        <v>4101</v>
      </c>
      <c r="I4092" s="673"/>
      <c r="J4092" s="676"/>
      <c r="K4092" s="673">
        <v>1500</v>
      </c>
      <c r="L4092" s="355"/>
      <c r="M4092" s="355"/>
    </row>
    <row r="4093" spans="5:13">
      <c r="E4093" s="355"/>
      <c r="F4093" s="673"/>
      <c r="G4093" s="674"/>
      <c r="H4093" s="678" t="s">
        <v>4102</v>
      </c>
      <c r="I4093" s="673"/>
      <c r="J4093" s="676"/>
      <c r="K4093" s="673">
        <v>4000</v>
      </c>
      <c r="L4093" s="355"/>
      <c r="M4093" s="355"/>
    </row>
    <row r="4094" spans="5:13">
      <c r="E4094" s="355"/>
      <c r="F4094" s="673"/>
      <c r="G4094" s="674"/>
      <c r="H4094" s="678"/>
      <c r="I4094" s="673"/>
      <c r="J4094" s="676"/>
      <c r="K4094" s="677">
        <f>SUM(K4090:K4093)</f>
        <v>43630.559999999998</v>
      </c>
      <c r="L4094" s="355"/>
      <c r="M4094" s="355"/>
    </row>
    <row r="4095" spans="5:13">
      <c r="E4095" s="355"/>
      <c r="F4095" s="673"/>
      <c r="G4095" s="674"/>
      <c r="H4095" s="678"/>
      <c r="I4095" s="673"/>
      <c r="J4095" s="676"/>
      <c r="K4095" s="673" t="s">
        <v>4103</v>
      </c>
      <c r="L4095" s="355"/>
      <c r="M4095" s="355"/>
    </row>
    <row r="4096" spans="5:13">
      <c r="E4096" s="355"/>
      <c r="F4096" s="673"/>
      <c r="G4096" s="674"/>
      <c r="H4096" s="678"/>
      <c r="I4096" s="673"/>
      <c r="J4096" s="676"/>
      <c r="K4096" s="691">
        <v>34310</v>
      </c>
      <c r="L4096" s="355"/>
      <c r="M4096" s="355"/>
    </row>
    <row r="4097" spans="5:13">
      <c r="E4097" s="355"/>
      <c r="F4097" s="355"/>
      <c r="G4097" s="355"/>
      <c r="H4097" s="355"/>
      <c r="I4097" s="355"/>
      <c r="J4097" s="355"/>
      <c r="K4097" s="355"/>
      <c r="L4097" s="355"/>
      <c r="M4097" s="355"/>
    </row>
    <row r="4098" spans="5:13">
      <c r="E4098" s="355"/>
      <c r="F4098" s="355"/>
      <c r="G4098" s="355"/>
      <c r="H4098" s="355"/>
      <c r="I4098" s="355"/>
      <c r="J4098" s="355"/>
      <c r="K4098" s="355"/>
      <c r="L4098" s="355"/>
      <c r="M4098" s="355"/>
    </row>
    <row r="4099" spans="5:13">
      <c r="E4099" s="355"/>
      <c r="F4099" s="355"/>
      <c r="G4099" s="355"/>
      <c r="H4099" s="355"/>
      <c r="I4099" s="355"/>
      <c r="J4099" s="355"/>
      <c r="K4099" s="355"/>
      <c r="L4099" s="355"/>
      <c r="M4099" s="355"/>
    </row>
    <row r="4100" spans="5:13">
      <c r="E4100" s="355"/>
      <c r="F4100" s="355"/>
      <c r="G4100" s="355"/>
      <c r="H4100" s="355"/>
      <c r="I4100" s="355"/>
      <c r="J4100" s="355"/>
      <c r="K4100" s="355"/>
      <c r="L4100" s="355"/>
      <c r="M4100" s="355"/>
    </row>
    <row r="4101" spans="5:13">
      <c r="E4101" s="355"/>
      <c r="F4101" s="355"/>
      <c r="G4101" s="355"/>
      <c r="H4101" s="355"/>
      <c r="I4101" s="355"/>
      <c r="J4101" s="355"/>
      <c r="K4101" s="355"/>
      <c r="L4101" s="355"/>
      <c r="M4101" s="355"/>
    </row>
    <row r="4102" spans="5:13">
      <c r="E4102" s="355"/>
      <c r="F4102" s="355"/>
      <c r="G4102" s="355"/>
      <c r="H4102" s="355"/>
      <c r="I4102" s="355"/>
      <c r="J4102" s="355"/>
      <c r="K4102" s="355"/>
      <c r="L4102" s="355"/>
      <c r="M4102" s="355"/>
    </row>
    <row r="4103" spans="5:13">
      <c r="E4103" s="355"/>
      <c r="F4103" s="355"/>
      <c r="G4103" s="355"/>
      <c r="H4103" s="355"/>
      <c r="I4103" s="355"/>
      <c r="J4103" s="355"/>
      <c r="K4103" s="355"/>
      <c r="L4103" s="355"/>
      <c r="M4103" s="355"/>
    </row>
    <row r="4104" spans="5:13">
      <c r="E4104" s="355"/>
      <c r="F4104" s="355"/>
      <c r="G4104" s="355"/>
      <c r="H4104" s="355"/>
      <c r="I4104" s="355"/>
      <c r="J4104" s="355"/>
      <c r="K4104" s="355"/>
      <c r="L4104" s="355"/>
      <c r="M4104" s="355"/>
    </row>
    <row r="4105" spans="5:13">
      <c r="E4105" s="355"/>
      <c r="F4105" s="355"/>
      <c r="G4105" s="355"/>
      <c r="H4105" s="355"/>
      <c r="I4105" s="355"/>
      <c r="J4105" s="355"/>
      <c r="K4105" s="355"/>
      <c r="L4105" s="355"/>
      <c r="M4105" s="355"/>
    </row>
    <row r="4106" spans="5:13">
      <c r="E4106" s="355"/>
      <c r="F4106" s="355"/>
      <c r="G4106" s="355"/>
      <c r="H4106" s="355"/>
      <c r="I4106" s="355"/>
      <c r="J4106" s="355"/>
      <c r="K4106" s="355"/>
      <c r="L4106" s="355"/>
      <c r="M4106" s="355"/>
    </row>
    <row r="4107" spans="5:13">
      <c r="E4107" s="355"/>
      <c r="F4107" s="355"/>
      <c r="G4107" s="355"/>
      <c r="H4107" s="355"/>
      <c r="I4107" s="355"/>
      <c r="J4107" s="355"/>
      <c r="K4107" s="355"/>
      <c r="L4107" s="355"/>
      <c r="M4107" s="355"/>
    </row>
    <row r="4108" spans="5:13">
      <c r="E4108" s="355"/>
      <c r="F4108" s="355"/>
      <c r="G4108" s="355"/>
      <c r="H4108" s="355"/>
      <c r="I4108" s="355"/>
      <c r="J4108" s="355"/>
      <c r="K4108" s="355"/>
      <c r="L4108" s="355"/>
      <c r="M4108" s="355"/>
    </row>
    <row r="4109" spans="5:13">
      <c r="E4109" s="355"/>
      <c r="F4109" s="355"/>
      <c r="G4109" s="355"/>
      <c r="H4109" s="355"/>
      <c r="I4109" s="355"/>
      <c r="J4109" s="355"/>
      <c r="K4109" s="355"/>
      <c r="L4109" s="355"/>
      <c r="M4109" s="355"/>
    </row>
    <row r="4110" spans="5:13">
      <c r="E4110" s="355"/>
      <c r="F4110" s="355"/>
      <c r="G4110" s="355"/>
      <c r="H4110" s="355"/>
      <c r="I4110" s="355"/>
      <c r="J4110" s="355"/>
      <c r="K4110" s="355"/>
      <c r="L4110" s="355"/>
      <c r="M4110" s="355"/>
    </row>
    <row r="4111" spans="5:13">
      <c r="E4111" s="355"/>
      <c r="F4111" s="355"/>
      <c r="G4111" s="355"/>
      <c r="H4111" s="355"/>
      <c r="I4111" s="355"/>
      <c r="J4111" s="355"/>
      <c r="K4111" s="355"/>
      <c r="L4111" s="355"/>
      <c r="M4111" s="355"/>
    </row>
    <row r="4112" spans="5:13">
      <c r="E4112" s="355"/>
      <c r="F4112" s="355"/>
      <c r="G4112" s="355"/>
      <c r="H4112" s="355"/>
      <c r="I4112" s="355"/>
      <c r="J4112" s="355"/>
      <c r="K4112" s="355"/>
      <c r="L4112" s="355"/>
      <c r="M4112" s="355"/>
    </row>
    <row r="4113" spans="5:13">
      <c r="E4113" s="355"/>
      <c r="F4113" s="355"/>
      <c r="G4113" s="355"/>
      <c r="H4113" s="355"/>
      <c r="I4113" s="355"/>
      <c r="J4113" s="355"/>
      <c r="K4113" s="355"/>
      <c r="L4113" s="355"/>
      <c r="M4113" s="355"/>
    </row>
    <row r="4114" spans="5:13">
      <c r="E4114" s="355"/>
      <c r="F4114" s="355"/>
      <c r="G4114" s="355"/>
      <c r="H4114" s="355"/>
      <c r="I4114" s="355"/>
      <c r="J4114" s="355"/>
      <c r="K4114" s="355"/>
      <c r="L4114" s="355"/>
      <c r="M4114" s="355"/>
    </row>
    <row r="4115" spans="5:13">
      <c r="E4115" s="355"/>
      <c r="F4115" s="355"/>
      <c r="G4115" s="355"/>
      <c r="H4115" s="355"/>
      <c r="I4115" s="355"/>
      <c r="J4115" s="355"/>
      <c r="K4115" s="355"/>
      <c r="L4115" s="355"/>
      <c r="M4115" s="355"/>
    </row>
    <row r="4116" spans="5:13">
      <c r="E4116" s="355"/>
      <c r="F4116" s="355"/>
      <c r="G4116" s="355"/>
      <c r="H4116" s="355"/>
      <c r="I4116" s="355"/>
      <c r="J4116" s="355"/>
      <c r="K4116" s="355"/>
      <c r="L4116" s="355"/>
      <c r="M4116" s="355"/>
    </row>
    <row r="4117" spans="5:13">
      <c r="E4117" s="355"/>
      <c r="F4117" s="355"/>
      <c r="G4117" s="355"/>
      <c r="H4117" s="355"/>
      <c r="I4117" s="355"/>
      <c r="J4117" s="355"/>
      <c r="K4117" s="355"/>
      <c r="L4117" s="355"/>
      <c r="M4117" s="355"/>
    </row>
    <row r="4118" spans="5:13">
      <c r="E4118" s="355"/>
      <c r="F4118" s="355"/>
      <c r="G4118" s="355"/>
      <c r="H4118" s="355"/>
      <c r="I4118" s="355"/>
      <c r="J4118" s="355"/>
      <c r="K4118" s="355"/>
      <c r="L4118" s="355"/>
      <c r="M4118" s="355"/>
    </row>
    <row r="4119" spans="5:13">
      <c r="E4119" s="355"/>
      <c r="F4119" s="355"/>
      <c r="G4119" s="355"/>
      <c r="H4119" s="355"/>
      <c r="I4119" s="355"/>
      <c r="J4119" s="355"/>
      <c r="K4119" s="355"/>
      <c r="L4119" s="355"/>
      <c r="M4119" s="355"/>
    </row>
    <row r="4120" spans="5:13">
      <c r="E4120" s="355"/>
      <c r="F4120" s="355"/>
      <c r="G4120" s="355"/>
      <c r="H4120" s="355"/>
      <c r="I4120" s="355"/>
      <c r="J4120" s="355"/>
      <c r="K4120" s="355"/>
      <c r="L4120" s="355"/>
      <c r="M4120" s="355"/>
    </row>
    <row r="4121" spans="5:13">
      <c r="E4121" s="355"/>
      <c r="F4121" s="355"/>
      <c r="G4121" s="355"/>
      <c r="H4121" s="355"/>
      <c r="I4121" s="355"/>
      <c r="J4121" s="355"/>
      <c r="K4121" s="355"/>
      <c r="L4121" s="355"/>
      <c r="M4121" s="355"/>
    </row>
    <row r="4122" spans="5:13">
      <c r="E4122" s="355"/>
      <c r="F4122" s="355"/>
      <c r="G4122" s="355"/>
      <c r="H4122" s="355"/>
      <c r="I4122" s="355"/>
      <c r="J4122" s="355"/>
      <c r="K4122" s="355"/>
      <c r="L4122" s="355"/>
      <c r="M4122" s="355"/>
    </row>
    <row r="4123" spans="5:13">
      <c r="E4123" s="355"/>
      <c r="F4123" s="355"/>
      <c r="G4123" s="355"/>
      <c r="H4123" s="355"/>
      <c r="I4123" s="355"/>
      <c r="J4123" s="355"/>
      <c r="K4123" s="355"/>
      <c r="L4123" s="355"/>
      <c r="M4123" s="355"/>
    </row>
    <row r="4124" spans="5:13">
      <c r="E4124" s="355"/>
      <c r="F4124" s="355"/>
      <c r="G4124" s="355"/>
      <c r="H4124" s="355"/>
      <c r="I4124" s="355"/>
      <c r="J4124" s="355"/>
      <c r="K4124" s="355"/>
      <c r="L4124" s="355"/>
      <c r="M4124" s="355"/>
    </row>
    <row r="4125" spans="5:13">
      <c r="E4125" s="355"/>
      <c r="F4125" s="355"/>
      <c r="G4125" s="355"/>
      <c r="H4125" s="355"/>
      <c r="I4125" s="355"/>
      <c r="J4125" s="355"/>
      <c r="K4125" s="355"/>
      <c r="L4125" s="355"/>
      <c r="M4125" s="355"/>
    </row>
    <row r="4126" spans="5:13">
      <c r="E4126" s="355"/>
      <c r="F4126" s="355"/>
      <c r="G4126" s="355"/>
      <c r="H4126" s="355"/>
      <c r="I4126" s="355"/>
      <c r="J4126" s="355"/>
      <c r="K4126" s="355"/>
      <c r="L4126" s="355"/>
      <c r="M4126" s="355"/>
    </row>
    <row r="4127" spans="5:13">
      <c r="E4127" s="355"/>
      <c r="F4127" s="355"/>
      <c r="G4127" s="355"/>
      <c r="H4127" s="355"/>
      <c r="I4127" s="355"/>
      <c r="J4127" s="355"/>
      <c r="K4127" s="355"/>
      <c r="L4127" s="355"/>
      <c r="M4127" s="355"/>
    </row>
    <row r="4128" spans="5:13">
      <c r="E4128" s="355"/>
      <c r="F4128" s="355"/>
      <c r="G4128" s="355"/>
      <c r="H4128" s="355"/>
      <c r="I4128" s="355"/>
      <c r="J4128" s="355"/>
      <c r="K4128" s="355"/>
      <c r="L4128" s="355"/>
      <c r="M4128" s="355"/>
    </row>
    <row r="4129" spans="5:13">
      <c r="E4129" s="355"/>
      <c r="F4129" s="355"/>
      <c r="G4129" s="355"/>
      <c r="H4129" s="355"/>
      <c r="I4129" s="355"/>
      <c r="J4129" s="355"/>
      <c r="K4129" s="355"/>
      <c r="L4129" s="355"/>
      <c r="M4129" s="355"/>
    </row>
    <row r="4130" spans="5:13">
      <c r="E4130" s="355"/>
      <c r="F4130" s="355"/>
      <c r="G4130" s="355"/>
      <c r="H4130" s="355"/>
      <c r="I4130" s="355"/>
      <c r="J4130" s="355"/>
      <c r="K4130" s="355"/>
      <c r="L4130" s="355"/>
      <c r="M4130" s="355"/>
    </row>
    <row r="4131" spans="5:13">
      <c r="E4131" s="355"/>
      <c r="F4131" s="355"/>
      <c r="G4131" s="355"/>
      <c r="H4131" s="355"/>
      <c r="I4131" s="355"/>
      <c r="J4131" s="355"/>
      <c r="K4131" s="355"/>
      <c r="L4131" s="355"/>
      <c r="M4131" s="355"/>
    </row>
    <row r="4132" spans="5:13">
      <c r="E4132" s="355"/>
      <c r="F4132" s="355"/>
      <c r="G4132" s="355"/>
      <c r="H4132" s="355"/>
      <c r="I4132" s="355"/>
      <c r="J4132" s="355"/>
      <c r="K4132" s="355"/>
      <c r="L4132" s="355"/>
      <c r="M4132" s="355"/>
    </row>
    <row r="4133" spans="5:13">
      <c r="E4133" s="355"/>
      <c r="F4133" s="355"/>
      <c r="G4133" s="355"/>
      <c r="H4133" s="355"/>
      <c r="I4133" s="355"/>
      <c r="J4133" s="355"/>
      <c r="K4133" s="355"/>
      <c r="L4133" s="355"/>
      <c r="M4133" s="355"/>
    </row>
    <row r="4134" spans="5:13">
      <c r="E4134" s="355"/>
      <c r="F4134" s="355"/>
      <c r="G4134" s="355"/>
      <c r="H4134" s="355"/>
      <c r="I4134" s="355"/>
      <c r="J4134" s="355"/>
      <c r="K4134" s="355"/>
      <c r="L4134" s="355"/>
      <c r="M4134" s="355"/>
    </row>
    <row r="4135" spans="5:13">
      <c r="E4135" s="355"/>
      <c r="F4135" s="355"/>
      <c r="G4135" s="355"/>
      <c r="H4135" s="355"/>
      <c r="I4135" s="355"/>
      <c r="J4135" s="355"/>
      <c r="K4135" s="355"/>
      <c r="L4135" s="355"/>
      <c r="M4135" s="355"/>
    </row>
    <row r="4136" spans="5:13">
      <c r="E4136" s="355"/>
      <c r="F4136" s="355"/>
      <c r="G4136" s="355"/>
      <c r="H4136" s="355"/>
      <c r="I4136" s="355"/>
      <c r="J4136" s="355"/>
      <c r="K4136" s="355"/>
      <c r="L4136" s="355"/>
      <c r="M4136" s="355"/>
    </row>
    <row r="4137" spans="5:13">
      <c r="E4137" s="355"/>
      <c r="F4137" s="355"/>
      <c r="G4137" s="355"/>
      <c r="H4137" s="355"/>
      <c r="I4137" s="355"/>
      <c r="J4137" s="355"/>
      <c r="K4137" s="355"/>
      <c r="L4137" s="355"/>
      <c r="M4137" s="355"/>
    </row>
    <row r="4138" spans="5:13">
      <c r="E4138" s="355"/>
      <c r="F4138" s="355"/>
      <c r="G4138" s="355"/>
      <c r="H4138" s="355"/>
      <c r="I4138" s="355"/>
      <c r="J4138" s="355"/>
      <c r="K4138" s="355"/>
      <c r="L4138" s="355"/>
      <c r="M4138" s="355"/>
    </row>
    <row r="4139" spans="5:13">
      <c r="E4139" s="355"/>
      <c r="F4139" s="355"/>
      <c r="G4139" s="355"/>
      <c r="H4139" s="355"/>
      <c r="I4139" s="355"/>
      <c r="J4139" s="355"/>
      <c r="K4139" s="355"/>
      <c r="L4139" s="355"/>
      <c r="M4139" s="355"/>
    </row>
    <row r="4140" spans="5:13">
      <c r="E4140" s="355"/>
      <c r="F4140" s="355"/>
      <c r="G4140" s="355"/>
      <c r="H4140" s="355"/>
      <c r="I4140" s="355"/>
      <c r="J4140" s="355"/>
      <c r="K4140" s="355"/>
      <c r="L4140" s="355"/>
      <c r="M4140" s="355"/>
    </row>
    <row r="4141" spans="5:13">
      <c r="E4141" s="355"/>
      <c r="F4141" s="355"/>
      <c r="G4141" s="355"/>
      <c r="H4141" s="355"/>
      <c r="I4141" s="355"/>
      <c r="J4141" s="355"/>
      <c r="K4141" s="355"/>
      <c r="L4141" s="355"/>
      <c r="M4141" s="355"/>
    </row>
    <row r="4142" spans="5:13">
      <c r="E4142" s="355"/>
      <c r="F4142" s="355"/>
      <c r="G4142" s="355"/>
      <c r="H4142" s="355"/>
      <c r="I4142" s="355"/>
      <c r="J4142" s="355"/>
      <c r="K4142" s="355"/>
      <c r="L4142" s="355"/>
      <c r="M4142" s="355"/>
    </row>
    <row r="4143" spans="5:13">
      <c r="E4143" s="355"/>
      <c r="F4143" s="355"/>
      <c r="G4143" s="355"/>
      <c r="H4143" s="355"/>
      <c r="I4143" s="355"/>
      <c r="J4143" s="355"/>
      <c r="K4143" s="355"/>
      <c r="L4143" s="355"/>
      <c r="M4143" s="355"/>
    </row>
    <row r="4144" spans="5:13">
      <c r="E4144" s="355"/>
      <c r="F4144" s="355"/>
      <c r="G4144" s="355"/>
      <c r="H4144" s="355"/>
      <c r="I4144" s="355"/>
      <c r="J4144" s="355"/>
      <c r="K4144" s="355"/>
      <c r="L4144" s="355"/>
      <c r="M4144" s="355"/>
    </row>
    <row r="4145" spans="5:13">
      <c r="E4145" s="355"/>
      <c r="F4145" s="355"/>
      <c r="G4145" s="355"/>
      <c r="H4145" s="355"/>
      <c r="I4145" s="355"/>
      <c r="J4145" s="355"/>
      <c r="K4145" s="355"/>
      <c r="L4145" s="355"/>
      <c r="M4145" s="355"/>
    </row>
    <row r="4146" spans="5:13">
      <c r="E4146" s="355"/>
      <c r="F4146" s="355"/>
      <c r="G4146" s="355"/>
      <c r="H4146" s="355"/>
      <c r="I4146" s="355"/>
      <c r="J4146" s="355"/>
      <c r="K4146" s="355"/>
      <c r="L4146" s="355"/>
      <c r="M4146" s="355"/>
    </row>
    <row r="4147" spans="5:13">
      <c r="E4147" s="355"/>
      <c r="F4147" s="355"/>
      <c r="G4147" s="355"/>
      <c r="H4147" s="355"/>
      <c r="I4147" s="355"/>
      <c r="J4147" s="355"/>
      <c r="K4147" s="355"/>
      <c r="L4147" s="355"/>
      <c r="M4147" s="355"/>
    </row>
    <row r="4148" spans="5:13">
      <c r="E4148" s="355"/>
      <c r="F4148" s="355"/>
      <c r="G4148" s="355"/>
      <c r="H4148" s="355"/>
      <c r="I4148" s="355"/>
      <c r="J4148" s="355"/>
      <c r="K4148" s="355"/>
      <c r="L4148" s="355"/>
      <c r="M4148" s="355"/>
    </row>
    <row r="4149" spans="5:13">
      <c r="E4149" s="355"/>
      <c r="F4149" s="355"/>
      <c r="G4149" s="355"/>
      <c r="H4149" s="355"/>
      <c r="I4149" s="355"/>
      <c r="J4149" s="355"/>
      <c r="K4149" s="355"/>
      <c r="L4149" s="355"/>
      <c r="M4149" s="355"/>
    </row>
    <row r="4150" spans="5:13">
      <c r="E4150" s="355"/>
      <c r="F4150" s="355"/>
      <c r="G4150" s="355"/>
      <c r="H4150" s="355"/>
      <c r="I4150" s="355"/>
      <c r="J4150" s="355"/>
      <c r="K4150" s="355"/>
      <c r="L4150" s="355"/>
      <c r="M4150" s="355"/>
    </row>
    <row r="4151" spans="5:13">
      <c r="E4151" s="355"/>
      <c r="F4151" s="355"/>
      <c r="G4151" s="355"/>
      <c r="H4151" s="355"/>
      <c r="I4151" s="355"/>
      <c r="J4151" s="355"/>
      <c r="K4151" s="355"/>
      <c r="L4151" s="355"/>
      <c r="M4151" s="355"/>
    </row>
    <row r="4152" spans="5:13">
      <c r="E4152" s="355"/>
      <c r="F4152" s="355"/>
      <c r="G4152" s="355"/>
      <c r="H4152" s="355"/>
      <c r="I4152" s="355"/>
      <c r="J4152" s="355"/>
      <c r="K4152" s="355"/>
      <c r="L4152" s="355"/>
      <c r="M4152" s="355"/>
    </row>
    <row r="4153" spans="5:13">
      <c r="E4153" s="355"/>
      <c r="F4153" s="355"/>
      <c r="G4153" s="355"/>
      <c r="H4153" s="355"/>
      <c r="I4153" s="355"/>
      <c r="J4153" s="355"/>
      <c r="K4153" s="355"/>
      <c r="L4153" s="355"/>
      <c r="M4153" s="355"/>
    </row>
    <row r="4154" spans="5:13">
      <c r="E4154" s="355"/>
      <c r="F4154" s="355"/>
      <c r="G4154" s="355"/>
      <c r="H4154" s="355"/>
      <c r="I4154" s="355"/>
      <c r="J4154" s="355"/>
      <c r="K4154" s="355"/>
      <c r="L4154" s="355"/>
      <c r="M4154" s="355"/>
    </row>
    <row r="4155" spans="5:13">
      <c r="E4155" s="355"/>
      <c r="F4155" s="355"/>
      <c r="G4155" s="355"/>
      <c r="H4155" s="355"/>
      <c r="I4155" s="355"/>
      <c r="J4155" s="355"/>
      <c r="K4155" s="355"/>
      <c r="L4155" s="355"/>
      <c r="M4155" s="355"/>
    </row>
    <row r="4156" spans="5:13">
      <c r="E4156" s="355"/>
      <c r="F4156" s="355"/>
      <c r="G4156" s="355"/>
      <c r="H4156" s="355"/>
      <c r="I4156" s="355"/>
      <c r="J4156" s="355"/>
      <c r="K4156" s="355"/>
      <c r="L4156" s="355"/>
      <c r="M4156" s="355"/>
    </row>
    <row r="4157" spans="5:13">
      <c r="E4157" s="355"/>
      <c r="F4157" s="355"/>
      <c r="G4157" s="355"/>
      <c r="H4157" s="355"/>
      <c r="I4157" s="355"/>
      <c r="J4157" s="355"/>
      <c r="K4157" s="355"/>
      <c r="L4157" s="355"/>
      <c r="M4157" s="355"/>
    </row>
    <row r="4158" spans="5:13">
      <c r="E4158" s="355"/>
      <c r="F4158" s="355"/>
      <c r="G4158" s="355"/>
      <c r="H4158" s="355"/>
      <c r="I4158" s="355"/>
      <c r="J4158" s="355"/>
      <c r="K4158" s="355"/>
      <c r="L4158" s="355"/>
      <c r="M4158" s="355"/>
    </row>
    <row r="4159" spans="5:13">
      <c r="E4159" s="355"/>
      <c r="F4159" s="355"/>
      <c r="G4159" s="355"/>
      <c r="H4159" s="355"/>
      <c r="I4159" s="355"/>
      <c r="J4159" s="355"/>
      <c r="K4159" s="355"/>
      <c r="L4159" s="355"/>
      <c r="M4159" s="355"/>
    </row>
    <row r="4160" spans="5:13">
      <c r="E4160" s="355"/>
      <c r="F4160" s="355"/>
      <c r="G4160" s="355"/>
      <c r="H4160" s="355"/>
      <c r="I4160" s="355"/>
      <c r="J4160" s="355"/>
      <c r="K4160" s="355"/>
      <c r="L4160" s="355"/>
      <c r="M4160" s="355"/>
    </row>
    <row r="4161" spans="5:13">
      <c r="E4161" s="355"/>
      <c r="F4161" s="355"/>
      <c r="G4161" s="355"/>
      <c r="H4161" s="355"/>
      <c r="I4161" s="355"/>
      <c r="J4161" s="355"/>
      <c r="K4161" s="355"/>
      <c r="L4161" s="355"/>
      <c r="M4161" s="355"/>
    </row>
    <row r="4162" spans="5:13">
      <c r="E4162" s="355"/>
      <c r="F4162" s="355"/>
      <c r="G4162" s="355"/>
      <c r="H4162" s="355"/>
      <c r="I4162" s="355"/>
      <c r="J4162" s="355"/>
      <c r="K4162" s="355"/>
      <c r="L4162" s="355"/>
      <c r="M4162" s="355"/>
    </row>
    <row r="4163" spans="5:13">
      <c r="E4163" s="355"/>
      <c r="F4163" s="355"/>
      <c r="G4163" s="355"/>
      <c r="H4163" s="355"/>
      <c r="I4163" s="355"/>
      <c r="J4163" s="355"/>
      <c r="K4163" s="355"/>
      <c r="L4163" s="355"/>
      <c r="M4163" s="355"/>
    </row>
    <row r="4164" spans="5:13">
      <c r="E4164" s="355"/>
      <c r="F4164" s="355"/>
      <c r="G4164" s="355"/>
      <c r="H4164" s="355"/>
      <c r="I4164" s="355"/>
      <c r="J4164" s="355"/>
      <c r="K4164" s="355"/>
      <c r="L4164" s="355"/>
      <c r="M4164" s="355"/>
    </row>
    <row r="4165" spans="5:13">
      <c r="E4165" s="355"/>
      <c r="F4165" s="355"/>
      <c r="G4165" s="355"/>
      <c r="H4165" s="355"/>
      <c r="I4165" s="355"/>
      <c r="J4165" s="355"/>
      <c r="K4165" s="355"/>
      <c r="L4165" s="355"/>
      <c r="M4165" s="355"/>
    </row>
    <row r="4166" spans="5:13">
      <c r="E4166" s="355"/>
      <c r="F4166" s="355"/>
      <c r="G4166" s="355"/>
      <c r="H4166" s="355"/>
      <c r="I4166" s="355"/>
      <c r="J4166" s="355"/>
      <c r="K4166" s="355"/>
      <c r="L4166" s="355"/>
      <c r="M4166" s="355"/>
    </row>
    <row r="4167" spans="5:13">
      <c r="E4167" s="355"/>
      <c r="F4167" s="355"/>
      <c r="G4167" s="355"/>
      <c r="H4167" s="355"/>
      <c r="I4167" s="355"/>
      <c r="J4167" s="355"/>
      <c r="K4167" s="355"/>
      <c r="L4167" s="355"/>
      <c r="M4167" s="355"/>
    </row>
    <row r="4168" spans="5:13">
      <c r="E4168" s="355"/>
      <c r="F4168" s="355"/>
      <c r="G4168" s="355"/>
      <c r="H4168" s="355"/>
      <c r="I4168" s="355"/>
      <c r="J4168" s="355"/>
      <c r="K4168" s="355"/>
      <c r="L4168" s="355"/>
      <c r="M4168" s="355"/>
    </row>
    <row r="4169" spans="5:13">
      <c r="E4169" s="355"/>
      <c r="F4169" s="355"/>
      <c r="G4169" s="355"/>
      <c r="H4169" s="355"/>
      <c r="I4169" s="355"/>
      <c r="J4169" s="355"/>
      <c r="K4169" s="355"/>
      <c r="L4169" s="355"/>
      <c r="M4169" s="355"/>
    </row>
    <row r="4170" spans="5:13">
      <c r="E4170" s="355"/>
      <c r="F4170" s="355"/>
      <c r="G4170" s="355"/>
      <c r="H4170" s="355"/>
      <c r="I4170" s="355"/>
      <c r="J4170" s="355"/>
      <c r="K4170" s="355"/>
      <c r="L4170" s="355"/>
      <c r="M4170" s="355"/>
    </row>
    <row r="4171" spans="5:13">
      <c r="E4171" s="355"/>
      <c r="F4171" s="355"/>
      <c r="G4171" s="355"/>
      <c r="H4171" s="355"/>
      <c r="I4171" s="355"/>
      <c r="J4171" s="355"/>
      <c r="K4171" s="355"/>
      <c r="L4171" s="355"/>
      <c r="M4171" s="355"/>
    </row>
    <row r="4172" spans="5:13">
      <c r="E4172" s="355"/>
      <c r="F4172" s="355"/>
      <c r="G4172" s="355"/>
      <c r="H4172" s="355"/>
      <c r="I4172" s="355"/>
      <c r="J4172" s="355"/>
      <c r="K4172" s="355"/>
      <c r="L4172" s="355"/>
      <c r="M4172" s="355"/>
    </row>
    <row r="4173" spans="5:13">
      <c r="E4173" s="355"/>
      <c r="F4173" s="355"/>
      <c r="G4173" s="355"/>
      <c r="H4173" s="355"/>
      <c r="I4173" s="355"/>
      <c r="J4173" s="355"/>
      <c r="K4173" s="355"/>
      <c r="L4173" s="355"/>
      <c r="M4173" s="355"/>
    </row>
    <row r="4174" spans="5:13">
      <c r="E4174" s="355"/>
      <c r="F4174" s="355"/>
      <c r="G4174" s="355"/>
      <c r="H4174" s="355"/>
      <c r="I4174" s="355"/>
      <c r="J4174" s="355"/>
      <c r="K4174" s="355"/>
      <c r="L4174" s="355"/>
      <c r="M4174" s="355"/>
    </row>
    <row r="4175" spans="5:13">
      <c r="E4175" s="355"/>
      <c r="F4175" s="355"/>
      <c r="G4175" s="355"/>
      <c r="H4175" s="355"/>
      <c r="I4175" s="355"/>
      <c r="J4175" s="355"/>
      <c r="K4175" s="355"/>
      <c r="L4175" s="355"/>
      <c r="M4175" s="355"/>
    </row>
    <row r="4176" spans="5:13">
      <c r="E4176" s="355"/>
      <c r="F4176" s="355"/>
      <c r="G4176" s="355"/>
      <c r="H4176" s="355"/>
      <c r="I4176" s="355"/>
      <c r="J4176" s="355"/>
      <c r="K4176" s="355"/>
      <c r="L4176" s="355"/>
      <c r="M4176" s="355"/>
    </row>
    <row r="4177" spans="5:13">
      <c r="E4177" s="355"/>
      <c r="F4177" s="355"/>
      <c r="G4177" s="355"/>
      <c r="H4177" s="355"/>
      <c r="I4177" s="355"/>
      <c r="J4177" s="355"/>
      <c r="K4177" s="355"/>
      <c r="L4177" s="355"/>
      <c r="M4177" s="355"/>
    </row>
    <row r="4178" spans="5:13">
      <c r="E4178" s="355"/>
      <c r="F4178" s="355"/>
      <c r="G4178" s="355"/>
      <c r="H4178" s="355"/>
      <c r="I4178" s="355"/>
      <c r="J4178" s="355"/>
      <c r="K4178" s="355"/>
      <c r="L4178" s="355"/>
      <c r="M4178" s="355"/>
    </row>
    <row r="4179" spans="5:13">
      <c r="E4179" s="355"/>
      <c r="F4179" s="355"/>
      <c r="G4179" s="355"/>
      <c r="H4179" s="355"/>
      <c r="I4179" s="355"/>
      <c r="J4179" s="355"/>
      <c r="K4179" s="355"/>
      <c r="L4179" s="355"/>
      <c r="M4179" s="355"/>
    </row>
    <row r="4180" spans="5:13">
      <c r="E4180" s="355"/>
      <c r="F4180" s="355"/>
      <c r="G4180" s="355"/>
      <c r="H4180" s="355"/>
      <c r="I4180" s="355"/>
      <c r="J4180" s="355"/>
      <c r="K4180" s="355"/>
      <c r="L4180" s="355"/>
      <c r="M4180" s="355"/>
    </row>
    <row r="4181" spans="5:13">
      <c r="E4181" s="355"/>
      <c r="F4181" s="355"/>
      <c r="G4181" s="355"/>
      <c r="H4181" s="355"/>
      <c r="I4181" s="355"/>
      <c r="J4181" s="355"/>
      <c r="K4181" s="355"/>
      <c r="L4181" s="355"/>
      <c r="M4181" s="355"/>
    </row>
    <row r="4182" spans="5:13">
      <c r="E4182" s="355"/>
      <c r="F4182" s="355"/>
      <c r="G4182" s="355"/>
      <c r="H4182" s="355"/>
      <c r="I4182" s="355"/>
      <c r="J4182" s="355"/>
      <c r="K4182" s="355"/>
      <c r="L4182" s="355"/>
      <c r="M4182" s="355"/>
    </row>
    <row r="4183" spans="5:13">
      <c r="E4183" s="355"/>
      <c r="F4183" s="355"/>
      <c r="G4183" s="355"/>
      <c r="H4183" s="355"/>
      <c r="I4183" s="355"/>
      <c r="J4183" s="355"/>
      <c r="K4183" s="355"/>
      <c r="L4183" s="355"/>
      <c r="M4183" s="355"/>
    </row>
    <row r="4184" spans="5:13">
      <c r="E4184" s="355"/>
      <c r="F4184" s="355"/>
      <c r="G4184" s="355"/>
      <c r="H4184" s="355"/>
      <c r="I4184" s="355"/>
      <c r="J4184" s="355"/>
      <c r="K4184" s="355"/>
      <c r="L4184" s="355"/>
      <c r="M4184" s="355"/>
    </row>
    <row r="4185" spans="5:13">
      <c r="E4185" s="355"/>
      <c r="F4185" s="355"/>
      <c r="G4185" s="355"/>
      <c r="H4185" s="355"/>
      <c r="I4185" s="355"/>
      <c r="J4185" s="355"/>
      <c r="K4185" s="355"/>
      <c r="L4185" s="355"/>
      <c r="M4185" s="355"/>
    </row>
    <row r="4186" spans="5:13">
      <c r="E4186" s="355"/>
      <c r="F4186" s="355"/>
      <c r="G4186" s="355"/>
      <c r="H4186" s="355"/>
      <c r="I4186" s="355"/>
      <c r="J4186" s="355"/>
      <c r="K4186" s="355"/>
      <c r="L4186" s="355"/>
      <c r="M4186" s="355"/>
    </row>
    <row r="4187" spans="5:13">
      <c r="E4187" s="355"/>
      <c r="F4187" s="355"/>
      <c r="G4187" s="355"/>
      <c r="H4187" s="355"/>
      <c r="I4187" s="355"/>
      <c r="J4187" s="355"/>
      <c r="K4187" s="355"/>
      <c r="L4187" s="355"/>
      <c r="M4187" s="355"/>
    </row>
    <row r="4188" spans="5:13">
      <c r="E4188" s="355"/>
      <c r="F4188" s="355"/>
      <c r="G4188" s="355"/>
      <c r="H4188" s="355"/>
      <c r="I4188" s="355"/>
      <c r="J4188" s="355"/>
      <c r="K4188" s="355"/>
      <c r="L4188" s="355"/>
      <c r="M4188" s="355"/>
    </row>
    <row r="4189" spans="5:13">
      <c r="E4189" s="355"/>
      <c r="F4189" s="355"/>
      <c r="G4189" s="355"/>
      <c r="H4189" s="355"/>
      <c r="I4189" s="355"/>
      <c r="J4189" s="355"/>
      <c r="K4189" s="355"/>
      <c r="L4189" s="355"/>
      <c r="M4189" s="355"/>
    </row>
    <row r="4190" spans="5:13">
      <c r="E4190" s="355"/>
      <c r="F4190" s="355"/>
      <c r="G4190" s="355"/>
      <c r="H4190" s="355"/>
      <c r="I4190" s="355"/>
      <c r="J4190" s="355"/>
      <c r="K4190" s="355"/>
      <c r="L4190" s="355"/>
      <c r="M4190" s="355"/>
    </row>
    <row r="4191" spans="5:13">
      <c r="E4191" s="355"/>
      <c r="F4191" s="355"/>
      <c r="G4191" s="355"/>
      <c r="H4191" s="355"/>
      <c r="I4191" s="355"/>
      <c r="J4191" s="355"/>
      <c r="K4191" s="355"/>
      <c r="L4191" s="355"/>
      <c r="M4191" s="355"/>
    </row>
    <row r="4192" spans="5:13">
      <c r="E4192" s="355"/>
      <c r="F4192" s="355"/>
      <c r="G4192" s="355"/>
      <c r="H4192" s="355"/>
      <c r="I4192" s="355"/>
      <c r="J4192" s="355"/>
      <c r="K4192" s="355"/>
      <c r="L4192" s="355"/>
      <c r="M4192" s="355"/>
    </row>
    <row r="4193" spans="5:13">
      <c r="E4193" s="355"/>
      <c r="F4193" s="355"/>
      <c r="G4193" s="355"/>
      <c r="H4193" s="355"/>
      <c r="I4193" s="355"/>
      <c r="J4193" s="355"/>
      <c r="K4193" s="355"/>
      <c r="L4193" s="355"/>
      <c r="M4193" s="355"/>
    </row>
    <row r="4194" spans="5:13">
      <c r="E4194" s="355"/>
      <c r="F4194" s="355"/>
      <c r="G4194" s="355"/>
      <c r="H4194" s="355"/>
      <c r="I4194" s="355"/>
      <c r="J4194" s="355"/>
      <c r="K4194" s="355"/>
      <c r="L4194" s="355"/>
      <c r="M4194" s="355"/>
    </row>
    <row r="4195" spans="5:13">
      <c r="E4195" s="355"/>
      <c r="F4195" s="355"/>
      <c r="G4195" s="355"/>
      <c r="H4195" s="355"/>
      <c r="I4195" s="355"/>
      <c r="J4195" s="355"/>
      <c r="K4195" s="355"/>
      <c r="L4195" s="355"/>
      <c r="M4195" s="355"/>
    </row>
    <row r="4196" spans="5:13">
      <c r="E4196" s="355"/>
      <c r="F4196" s="355"/>
      <c r="G4196" s="355"/>
      <c r="H4196" s="355"/>
      <c r="I4196" s="355"/>
      <c r="J4196" s="355"/>
      <c r="K4196" s="355"/>
      <c r="L4196" s="355"/>
      <c r="M4196" s="355"/>
    </row>
    <row r="4197" spans="5:13">
      <c r="E4197" s="355"/>
      <c r="F4197" s="355"/>
      <c r="G4197" s="355"/>
      <c r="H4197" s="355"/>
      <c r="I4197" s="355"/>
      <c r="J4197" s="355"/>
      <c r="K4197" s="355"/>
      <c r="L4197" s="355"/>
      <c r="M4197" s="355"/>
    </row>
    <row r="4198" spans="5:13">
      <c r="E4198" s="355"/>
      <c r="F4198" s="355"/>
      <c r="G4198" s="355"/>
      <c r="H4198" s="355"/>
      <c r="I4198" s="355"/>
      <c r="J4198" s="355"/>
      <c r="K4198" s="355"/>
      <c r="L4198" s="355"/>
      <c r="M4198" s="355"/>
    </row>
    <row r="4199" spans="5:13">
      <c r="E4199" s="355"/>
      <c r="F4199" s="355"/>
      <c r="G4199" s="355"/>
      <c r="H4199" s="355"/>
      <c r="I4199" s="355"/>
      <c r="J4199" s="355"/>
      <c r="K4199" s="355"/>
      <c r="L4199" s="355"/>
      <c r="M4199" s="355"/>
    </row>
    <row r="4200" spans="5:13">
      <c r="E4200" s="355"/>
      <c r="F4200" s="355"/>
      <c r="G4200" s="355"/>
      <c r="H4200" s="355"/>
      <c r="I4200" s="355"/>
      <c r="J4200" s="355"/>
      <c r="K4200" s="355"/>
      <c r="L4200" s="355"/>
      <c r="M4200" s="355"/>
    </row>
    <row r="4201" spans="5:13">
      <c r="E4201" s="355"/>
      <c r="F4201" s="355"/>
      <c r="G4201" s="355"/>
      <c r="H4201" s="355"/>
      <c r="I4201" s="355"/>
      <c r="J4201" s="355"/>
      <c r="K4201" s="355"/>
      <c r="L4201" s="355"/>
      <c r="M4201" s="355"/>
    </row>
    <row r="4202" spans="5:13">
      <c r="E4202" s="355"/>
      <c r="F4202" s="355"/>
      <c r="G4202" s="355"/>
      <c r="H4202" s="355"/>
      <c r="I4202" s="355"/>
      <c r="J4202" s="355"/>
      <c r="K4202" s="355"/>
      <c r="L4202" s="355"/>
      <c r="M4202" s="355"/>
    </row>
    <row r="4203" spans="5:13">
      <c r="E4203" s="355"/>
      <c r="F4203" s="355"/>
      <c r="G4203" s="355"/>
      <c r="H4203" s="355"/>
      <c r="I4203" s="355"/>
      <c r="J4203" s="355"/>
      <c r="K4203" s="355"/>
      <c r="L4203" s="355"/>
      <c r="M4203" s="355"/>
    </row>
    <row r="4204" spans="5:13">
      <c r="E4204" s="355"/>
      <c r="F4204" s="355"/>
      <c r="G4204" s="355"/>
      <c r="H4204" s="355"/>
      <c r="I4204" s="355"/>
      <c r="J4204" s="355"/>
      <c r="K4204" s="355"/>
      <c r="L4204" s="355"/>
      <c r="M4204" s="355"/>
    </row>
    <row r="4205" spans="5:13">
      <c r="E4205" s="355"/>
      <c r="F4205" s="355"/>
      <c r="G4205" s="355"/>
      <c r="H4205" s="355"/>
      <c r="I4205" s="355"/>
      <c r="J4205" s="355"/>
      <c r="K4205" s="355"/>
      <c r="L4205" s="355"/>
      <c r="M4205" s="355"/>
    </row>
    <row r="4206" spans="5:13">
      <c r="E4206" s="355"/>
      <c r="F4206" s="355"/>
      <c r="G4206" s="355"/>
      <c r="H4206" s="355"/>
      <c r="I4206" s="355"/>
      <c r="J4206" s="355"/>
      <c r="K4206" s="355"/>
      <c r="L4206" s="355"/>
      <c r="M4206" s="355"/>
    </row>
    <row r="4207" spans="5:13">
      <c r="E4207" s="355"/>
      <c r="F4207" s="355"/>
      <c r="G4207" s="355"/>
      <c r="H4207" s="355"/>
      <c r="I4207" s="355"/>
      <c r="J4207" s="355"/>
      <c r="K4207" s="355"/>
      <c r="L4207" s="355"/>
      <c r="M4207" s="355"/>
    </row>
    <row r="4208" spans="5:13">
      <c r="E4208" s="355"/>
      <c r="F4208" s="355"/>
      <c r="G4208" s="355"/>
      <c r="H4208" s="355"/>
      <c r="I4208" s="355"/>
      <c r="J4208" s="355"/>
      <c r="K4208" s="355"/>
      <c r="L4208" s="355"/>
      <c r="M4208" s="355"/>
    </row>
    <row r="4209" spans="5:13">
      <c r="E4209" s="355"/>
      <c r="F4209" s="355"/>
      <c r="G4209" s="355"/>
      <c r="H4209" s="355"/>
      <c r="I4209" s="355"/>
      <c r="J4209" s="355"/>
      <c r="K4209" s="355"/>
      <c r="L4209" s="355"/>
      <c r="M4209" s="355"/>
    </row>
    <row r="4210" spans="5:13">
      <c r="E4210" s="355"/>
      <c r="F4210" s="355"/>
      <c r="G4210" s="355"/>
      <c r="H4210" s="355"/>
      <c r="I4210" s="355"/>
      <c r="J4210" s="355"/>
      <c r="K4210" s="355"/>
      <c r="L4210" s="355"/>
      <c r="M4210" s="355"/>
    </row>
    <row r="4211" spans="5:13">
      <c r="E4211" s="355"/>
      <c r="F4211" s="355"/>
      <c r="G4211" s="355"/>
      <c r="H4211" s="355"/>
      <c r="I4211" s="355"/>
      <c r="J4211" s="355"/>
      <c r="K4211" s="355"/>
      <c r="L4211" s="355"/>
      <c r="M4211" s="355"/>
    </row>
    <row r="4212" spans="5:13">
      <c r="E4212" s="355"/>
      <c r="F4212" s="355"/>
      <c r="G4212" s="355"/>
      <c r="H4212" s="355"/>
      <c r="I4212" s="355"/>
      <c r="J4212" s="355"/>
      <c r="K4212" s="355"/>
      <c r="L4212" s="355"/>
      <c r="M4212" s="355"/>
    </row>
    <row r="4213" spans="5:13">
      <c r="E4213" s="355"/>
      <c r="F4213" s="355"/>
      <c r="G4213" s="355"/>
      <c r="H4213" s="355"/>
      <c r="I4213" s="355"/>
      <c r="J4213" s="355"/>
      <c r="K4213" s="355"/>
      <c r="L4213" s="355"/>
      <c r="M4213" s="355"/>
    </row>
    <row r="4214" spans="5:13">
      <c r="E4214" s="355"/>
      <c r="F4214" s="355"/>
      <c r="G4214" s="355"/>
      <c r="H4214" s="355"/>
      <c r="I4214" s="355"/>
      <c r="J4214" s="355"/>
      <c r="K4214" s="355"/>
      <c r="L4214" s="355"/>
      <c r="M4214" s="355"/>
    </row>
    <row r="4215" spans="5:13">
      <c r="E4215" s="355"/>
      <c r="F4215" s="355"/>
      <c r="G4215" s="355"/>
      <c r="H4215" s="355"/>
      <c r="I4215" s="355"/>
      <c r="J4215" s="355"/>
      <c r="K4215" s="355"/>
      <c r="L4215" s="355"/>
      <c r="M4215" s="355"/>
    </row>
    <row r="4216" spans="5:13">
      <c r="E4216" s="355"/>
      <c r="F4216" s="355"/>
      <c r="G4216" s="355"/>
      <c r="H4216" s="355"/>
      <c r="I4216" s="355"/>
      <c r="J4216" s="355"/>
      <c r="K4216" s="355"/>
      <c r="L4216" s="355"/>
      <c r="M4216" s="355"/>
    </row>
    <row r="4217" spans="5:13">
      <c r="E4217" s="355"/>
      <c r="F4217" s="355"/>
      <c r="G4217" s="355"/>
      <c r="H4217" s="355"/>
      <c r="I4217" s="355"/>
      <c r="J4217" s="355"/>
      <c r="K4217" s="355"/>
      <c r="L4217" s="355"/>
      <c r="M4217" s="355"/>
    </row>
    <row r="4218" spans="5:13">
      <c r="E4218" s="355"/>
      <c r="F4218" s="355"/>
      <c r="G4218" s="355"/>
      <c r="H4218" s="355"/>
      <c r="I4218" s="355"/>
      <c r="J4218" s="355"/>
      <c r="K4218" s="355"/>
      <c r="L4218" s="355"/>
      <c r="M4218" s="355"/>
    </row>
    <row r="4219" spans="5:13">
      <c r="E4219" s="355"/>
      <c r="F4219" s="355"/>
      <c r="G4219" s="355"/>
      <c r="H4219" s="355"/>
      <c r="I4219" s="355"/>
      <c r="J4219" s="355"/>
      <c r="K4219" s="355"/>
      <c r="L4219" s="355"/>
      <c r="M4219" s="355"/>
    </row>
    <row r="4220" spans="5:13">
      <c r="E4220" s="355"/>
      <c r="F4220" s="355"/>
      <c r="G4220" s="355"/>
      <c r="H4220" s="355"/>
      <c r="I4220" s="355"/>
      <c r="J4220" s="355"/>
      <c r="K4220" s="355"/>
      <c r="L4220" s="355"/>
      <c r="M4220" s="355"/>
    </row>
    <row r="4221" spans="5:13">
      <c r="E4221" s="355"/>
      <c r="F4221" s="355"/>
      <c r="G4221" s="355"/>
      <c r="H4221" s="355"/>
      <c r="I4221" s="355"/>
      <c r="J4221" s="355"/>
      <c r="K4221" s="355"/>
      <c r="L4221" s="355"/>
      <c r="M4221" s="355"/>
    </row>
    <row r="4222" spans="5:13">
      <c r="E4222" s="355"/>
      <c r="F4222" s="355"/>
      <c r="G4222" s="355"/>
      <c r="H4222" s="355"/>
      <c r="I4222" s="355"/>
      <c r="J4222" s="355"/>
      <c r="K4222" s="355"/>
      <c r="L4222" s="355"/>
      <c r="M4222" s="355"/>
    </row>
    <row r="4223" spans="5:13">
      <c r="E4223" s="355"/>
      <c r="F4223" s="355"/>
      <c r="G4223" s="355"/>
      <c r="H4223" s="355"/>
      <c r="I4223" s="355"/>
      <c r="J4223" s="355"/>
      <c r="K4223" s="355"/>
      <c r="L4223" s="355"/>
      <c r="M4223" s="355"/>
    </row>
    <row r="4224" spans="5:13">
      <c r="E4224" s="355"/>
      <c r="F4224" s="355"/>
      <c r="G4224" s="355"/>
      <c r="H4224" s="355"/>
      <c r="I4224" s="355"/>
      <c r="J4224" s="355"/>
      <c r="K4224" s="355"/>
      <c r="L4224" s="355"/>
      <c r="M4224" s="355"/>
    </row>
    <row r="4225" spans="5:13">
      <c r="E4225" s="355"/>
      <c r="F4225" s="355"/>
      <c r="G4225" s="355"/>
      <c r="H4225" s="355"/>
      <c r="I4225" s="355"/>
      <c r="J4225" s="355"/>
      <c r="K4225" s="355"/>
      <c r="L4225" s="355"/>
      <c r="M4225" s="355"/>
    </row>
    <row r="4226" spans="5:13">
      <c r="E4226" s="355"/>
      <c r="F4226" s="355"/>
      <c r="G4226" s="355"/>
      <c r="H4226" s="355"/>
      <c r="I4226" s="355"/>
      <c r="J4226" s="355"/>
      <c r="K4226" s="355"/>
      <c r="L4226" s="355"/>
      <c r="M4226" s="355"/>
    </row>
    <row r="4227" spans="5:13">
      <c r="E4227" s="355"/>
      <c r="F4227" s="355"/>
      <c r="G4227" s="355"/>
      <c r="H4227" s="355"/>
      <c r="I4227" s="355"/>
      <c r="J4227" s="355"/>
      <c r="K4227" s="355"/>
      <c r="L4227" s="355"/>
      <c r="M4227" s="355"/>
    </row>
    <row r="4228" spans="5:13">
      <c r="E4228" s="355"/>
      <c r="F4228" s="355"/>
      <c r="G4228" s="355"/>
      <c r="H4228" s="355"/>
      <c r="I4228" s="355"/>
      <c r="J4228" s="355"/>
      <c r="K4228" s="355"/>
      <c r="L4228" s="355"/>
      <c r="M4228" s="355"/>
    </row>
    <row r="4229" spans="5:13">
      <c r="E4229" s="355"/>
      <c r="F4229" s="355"/>
      <c r="G4229" s="355"/>
      <c r="H4229" s="355"/>
      <c r="I4229" s="355"/>
      <c r="J4229" s="355"/>
      <c r="K4229" s="355"/>
      <c r="L4229" s="355"/>
      <c r="M4229" s="355"/>
    </row>
    <row r="4230" spans="5:13">
      <c r="E4230" s="355"/>
      <c r="F4230" s="355"/>
      <c r="G4230" s="355"/>
      <c r="H4230" s="355"/>
      <c r="I4230" s="355"/>
      <c r="J4230" s="355"/>
      <c r="K4230" s="355"/>
      <c r="L4230" s="355"/>
      <c r="M4230" s="355"/>
    </row>
    <row r="4231" spans="5:13">
      <c r="E4231" s="355"/>
      <c r="F4231" s="355"/>
      <c r="G4231" s="355"/>
      <c r="H4231" s="355"/>
      <c r="I4231" s="355"/>
      <c r="J4231" s="355"/>
      <c r="K4231" s="355"/>
      <c r="L4231" s="355"/>
      <c r="M4231" s="355"/>
    </row>
    <row r="4232" spans="5:13">
      <c r="E4232" s="355"/>
      <c r="F4232" s="355"/>
      <c r="G4232" s="355"/>
      <c r="H4232" s="355"/>
      <c r="I4232" s="355"/>
      <c r="J4232" s="355"/>
      <c r="K4232" s="355"/>
      <c r="L4232" s="355"/>
      <c r="M4232" s="355"/>
    </row>
    <row r="4233" spans="5:13">
      <c r="E4233" s="355"/>
      <c r="F4233" s="355"/>
      <c r="G4233" s="355"/>
      <c r="H4233" s="355"/>
      <c r="I4233" s="355"/>
      <c r="J4233" s="355"/>
      <c r="K4233" s="355"/>
      <c r="L4233" s="355"/>
      <c r="M4233" s="355"/>
    </row>
    <row r="4234" spans="5:13">
      <c r="E4234" s="355"/>
      <c r="F4234" s="355"/>
      <c r="G4234" s="355"/>
      <c r="H4234" s="355"/>
      <c r="I4234" s="355"/>
      <c r="J4234" s="355"/>
      <c r="K4234" s="355"/>
      <c r="L4234" s="355"/>
      <c r="M4234" s="355"/>
    </row>
    <row r="4235" spans="5:13">
      <c r="E4235" s="355"/>
      <c r="F4235" s="355"/>
      <c r="G4235" s="355"/>
      <c r="H4235" s="355"/>
      <c r="I4235" s="355"/>
      <c r="J4235" s="355"/>
      <c r="K4235" s="355"/>
      <c r="L4235" s="355"/>
      <c r="M4235" s="355"/>
    </row>
    <row r="4236" spans="5:13">
      <c r="E4236" s="355"/>
      <c r="F4236" s="355"/>
      <c r="G4236" s="355"/>
      <c r="H4236" s="355"/>
      <c r="I4236" s="355"/>
      <c r="J4236" s="355"/>
      <c r="K4236" s="355"/>
      <c r="L4236" s="355"/>
      <c r="M4236" s="355"/>
    </row>
    <row r="4237" spans="5:13">
      <c r="E4237" s="355"/>
      <c r="F4237" s="355"/>
      <c r="G4237" s="355"/>
      <c r="H4237" s="355"/>
      <c r="I4237" s="355"/>
      <c r="J4237" s="355"/>
      <c r="K4237" s="355"/>
      <c r="L4237" s="355"/>
      <c r="M4237" s="355"/>
    </row>
    <row r="4238" spans="5:13">
      <c r="E4238" s="355"/>
      <c r="F4238" s="355"/>
      <c r="G4238" s="355"/>
      <c r="H4238" s="355"/>
      <c r="I4238" s="355"/>
      <c r="J4238" s="355"/>
      <c r="K4238" s="355"/>
      <c r="L4238" s="355"/>
      <c r="M4238" s="355"/>
    </row>
    <row r="4239" spans="5:13">
      <c r="E4239" s="355"/>
      <c r="F4239" s="355"/>
      <c r="G4239" s="355"/>
      <c r="H4239" s="355"/>
      <c r="I4239" s="355"/>
      <c r="J4239" s="355"/>
      <c r="K4239" s="355"/>
      <c r="L4239" s="355"/>
      <c r="M4239" s="355"/>
    </row>
    <row r="4240" spans="5:13">
      <c r="E4240" s="355"/>
      <c r="F4240" s="355"/>
      <c r="G4240" s="355"/>
      <c r="H4240" s="355"/>
      <c r="I4240" s="355"/>
      <c r="J4240" s="355"/>
      <c r="K4240" s="355"/>
      <c r="L4240" s="355"/>
      <c r="M4240" s="355"/>
    </row>
    <row r="4241" spans="5:13">
      <c r="E4241" s="355"/>
      <c r="F4241" s="355"/>
      <c r="G4241" s="355"/>
      <c r="H4241" s="355"/>
      <c r="I4241" s="355"/>
      <c r="J4241" s="355"/>
      <c r="K4241" s="355"/>
      <c r="L4241" s="355"/>
      <c r="M4241" s="355"/>
    </row>
    <row r="4242" spans="5:13">
      <c r="E4242" s="355"/>
      <c r="F4242" s="355"/>
      <c r="G4242" s="355"/>
      <c r="H4242" s="355"/>
      <c r="I4242" s="355"/>
      <c r="J4242" s="355"/>
      <c r="K4242" s="355"/>
      <c r="L4242" s="355"/>
      <c r="M4242" s="355"/>
    </row>
    <row r="4243" spans="5:13">
      <c r="E4243" s="355"/>
      <c r="F4243" s="355"/>
      <c r="G4243" s="355"/>
      <c r="H4243" s="355"/>
      <c r="I4243" s="355"/>
      <c r="J4243" s="355"/>
      <c r="K4243" s="355"/>
      <c r="L4243" s="355"/>
      <c r="M4243" s="355"/>
    </row>
    <row r="4244" spans="5:13">
      <c r="E4244" s="355"/>
      <c r="F4244" s="355"/>
      <c r="G4244" s="355"/>
      <c r="H4244" s="355"/>
      <c r="I4244" s="355"/>
      <c r="J4244" s="355"/>
      <c r="K4244" s="355"/>
      <c r="L4244" s="355"/>
      <c r="M4244" s="355"/>
    </row>
    <row r="4245" spans="5:13">
      <c r="E4245" s="355"/>
      <c r="F4245" s="355"/>
      <c r="G4245" s="355"/>
      <c r="H4245" s="355"/>
      <c r="I4245" s="355"/>
      <c r="J4245" s="355"/>
      <c r="K4245" s="355"/>
      <c r="L4245" s="355"/>
      <c r="M4245" s="355"/>
    </row>
    <row r="4246" spans="5:13">
      <c r="E4246" s="355"/>
      <c r="F4246" s="355"/>
      <c r="G4246" s="355"/>
      <c r="H4246" s="355"/>
      <c r="I4246" s="355"/>
      <c r="J4246" s="355"/>
      <c r="K4246" s="355"/>
      <c r="L4246" s="355"/>
      <c r="M4246" s="355"/>
    </row>
    <row r="4247" spans="5:13">
      <c r="E4247" s="355"/>
      <c r="F4247" s="355"/>
      <c r="G4247" s="355"/>
      <c r="H4247" s="355"/>
      <c r="I4247" s="355"/>
      <c r="J4247" s="355"/>
      <c r="K4247" s="355"/>
      <c r="L4247" s="355"/>
      <c r="M4247" s="355"/>
    </row>
    <row r="4248" spans="5:13">
      <c r="E4248" s="355"/>
      <c r="F4248" s="355"/>
      <c r="G4248" s="355"/>
      <c r="H4248" s="355"/>
      <c r="I4248" s="355"/>
      <c r="J4248" s="355"/>
      <c r="K4248" s="355"/>
      <c r="L4248" s="355"/>
      <c r="M4248" s="355"/>
    </row>
    <row r="4249" spans="5:13">
      <c r="E4249" s="355"/>
      <c r="F4249" s="355"/>
      <c r="G4249" s="355"/>
      <c r="H4249" s="355"/>
      <c r="I4249" s="355"/>
      <c r="J4249" s="355"/>
      <c r="K4249" s="355"/>
      <c r="L4249" s="355"/>
      <c r="M4249" s="355"/>
    </row>
    <row r="4250" spans="5:13">
      <c r="E4250" s="355"/>
      <c r="F4250" s="355"/>
      <c r="G4250" s="355"/>
      <c r="H4250" s="355"/>
      <c r="I4250" s="355"/>
      <c r="J4250" s="355"/>
      <c r="K4250" s="355"/>
      <c r="L4250" s="355"/>
      <c r="M4250" s="355"/>
    </row>
    <row r="4251" spans="5:13">
      <c r="E4251" s="355"/>
      <c r="F4251" s="355"/>
      <c r="G4251" s="355"/>
      <c r="H4251" s="355"/>
      <c r="I4251" s="355"/>
      <c r="J4251" s="355"/>
      <c r="K4251" s="355"/>
      <c r="L4251" s="355"/>
      <c r="M4251" s="355"/>
    </row>
    <row r="4252" spans="5:13">
      <c r="E4252" s="355"/>
      <c r="F4252" s="355"/>
      <c r="G4252" s="355"/>
      <c r="H4252" s="355"/>
      <c r="I4252" s="355"/>
      <c r="J4252" s="355"/>
      <c r="K4252" s="355"/>
      <c r="L4252" s="355"/>
      <c r="M4252" s="355"/>
    </row>
    <row r="4253" spans="5:13">
      <c r="E4253" s="355"/>
      <c r="F4253" s="355"/>
      <c r="G4253" s="355"/>
      <c r="H4253" s="355"/>
      <c r="I4253" s="355"/>
      <c r="J4253" s="355"/>
      <c r="K4253" s="355"/>
      <c r="L4253" s="355"/>
      <c r="M4253" s="355"/>
    </row>
    <row r="4254" spans="5:13">
      <c r="E4254" s="355"/>
      <c r="F4254" s="355"/>
      <c r="G4254" s="355"/>
      <c r="H4254" s="355"/>
      <c r="I4254" s="355"/>
      <c r="J4254" s="355"/>
      <c r="K4254" s="355"/>
      <c r="L4254" s="355"/>
      <c r="M4254" s="355"/>
    </row>
    <row r="4255" spans="5:13">
      <c r="E4255" s="355"/>
      <c r="F4255" s="355"/>
      <c r="G4255" s="355"/>
      <c r="H4255" s="355"/>
      <c r="I4255" s="355"/>
      <c r="J4255" s="355"/>
      <c r="K4255" s="355"/>
      <c r="L4255" s="355"/>
      <c r="M4255" s="355"/>
    </row>
    <row r="4256" spans="5:13">
      <c r="E4256" s="355"/>
      <c r="F4256" s="355"/>
      <c r="G4256" s="355"/>
      <c r="H4256" s="355"/>
      <c r="I4256" s="355"/>
      <c r="J4256" s="355"/>
      <c r="K4256" s="355"/>
      <c r="L4256" s="355"/>
      <c r="M4256" s="355"/>
    </row>
    <row r="4257" spans="5:13">
      <c r="E4257" s="355"/>
      <c r="F4257" s="355"/>
      <c r="G4257" s="355"/>
      <c r="H4257" s="355"/>
      <c r="I4257" s="355"/>
      <c r="J4257" s="355"/>
      <c r="K4257" s="355"/>
      <c r="L4257" s="355"/>
      <c r="M4257" s="355"/>
    </row>
    <row r="4258" spans="5:13">
      <c r="E4258" s="355"/>
      <c r="F4258" s="355"/>
      <c r="G4258" s="355"/>
      <c r="H4258" s="355"/>
      <c r="I4258" s="355"/>
      <c r="J4258" s="355"/>
      <c r="K4258" s="355"/>
      <c r="L4258" s="355"/>
      <c r="M4258" s="355"/>
    </row>
    <row r="4259" spans="5:13">
      <c r="E4259" s="355"/>
      <c r="F4259" s="355"/>
      <c r="G4259" s="355"/>
      <c r="H4259" s="355"/>
      <c r="I4259" s="355"/>
      <c r="J4259" s="355"/>
      <c r="K4259" s="355"/>
      <c r="L4259" s="355"/>
      <c r="M4259" s="355"/>
    </row>
    <row r="4260" spans="5:13">
      <c r="E4260" s="355"/>
      <c r="F4260" s="355"/>
      <c r="G4260" s="355"/>
      <c r="H4260" s="355"/>
      <c r="I4260" s="355"/>
      <c r="J4260" s="355"/>
      <c r="K4260" s="355"/>
      <c r="L4260" s="355"/>
      <c r="M4260" s="355"/>
    </row>
    <row r="4261" spans="5:13">
      <c r="E4261" s="355"/>
      <c r="F4261" s="355"/>
      <c r="G4261" s="355"/>
      <c r="H4261" s="355"/>
      <c r="I4261" s="355"/>
      <c r="J4261" s="355"/>
      <c r="K4261" s="355"/>
      <c r="L4261" s="355"/>
      <c r="M4261" s="355"/>
    </row>
    <row r="4262" spans="5:13">
      <c r="E4262" s="355"/>
      <c r="F4262" s="355"/>
      <c r="G4262" s="355"/>
      <c r="H4262" s="355"/>
      <c r="I4262" s="355"/>
      <c r="J4262" s="355"/>
      <c r="K4262" s="355"/>
      <c r="L4262" s="355"/>
      <c r="M4262" s="355"/>
    </row>
    <row r="4263" spans="5:13">
      <c r="E4263" s="355"/>
      <c r="F4263" s="355"/>
      <c r="G4263" s="355"/>
      <c r="H4263" s="355"/>
      <c r="I4263" s="355"/>
      <c r="J4263" s="355"/>
      <c r="K4263" s="355"/>
      <c r="L4263" s="355"/>
      <c r="M4263" s="355"/>
    </row>
    <row r="4264" spans="5:13">
      <c r="E4264" s="355"/>
      <c r="F4264" s="355"/>
      <c r="G4264" s="355"/>
      <c r="H4264" s="355"/>
      <c r="I4264" s="355"/>
      <c r="J4264" s="355"/>
      <c r="K4264" s="355"/>
      <c r="L4264" s="355"/>
      <c r="M4264" s="355"/>
    </row>
    <row r="4265" spans="5:13">
      <c r="E4265" s="355"/>
      <c r="F4265" s="355"/>
      <c r="G4265" s="355"/>
      <c r="H4265" s="355"/>
      <c r="I4265" s="355"/>
      <c r="J4265" s="355"/>
      <c r="K4265" s="355"/>
      <c r="L4265" s="355"/>
      <c r="M4265" s="355"/>
    </row>
    <row r="4266" spans="5:13">
      <c r="E4266" s="355"/>
      <c r="F4266" s="355"/>
      <c r="G4266" s="355"/>
      <c r="H4266" s="355"/>
      <c r="I4266" s="355"/>
      <c r="J4266" s="355"/>
      <c r="K4266" s="355"/>
      <c r="L4266" s="355"/>
      <c r="M4266" s="355"/>
    </row>
    <row r="4267" spans="5:13">
      <c r="E4267" s="355"/>
      <c r="F4267" s="355"/>
      <c r="G4267" s="355"/>
      <c r="H4267" s="355"/>
      <c r="I4267" s="355"/>
      <c r="J4267" s="355"/>
      <c r="K4267" s="355"/>
      <c r="L4267" s="355"/>
      <c r="M4267" s="355"/>
    </row>
    <row r="4268" spans="5:13">
      <c r="E4268" s="355"/>
      <c r="F4268" s="355"/>
      <c r="G4268" s="355"/>
      <c r="H4268" s="355"/>
      <c r="I4268" s="355"/>
      <c r="J4268" s="355"/>
      <c r="K4268" s="355"/>
      <c r="L4268" s="355"/>
      <c r="M4268" s="355"/>
    </row>
    <row r="4269" spans="5:13">
      <c r="E4269" s="355"/>
      <c r="F4269" s="355"/>
      <c r="G4269" s="355"/>
      <c r="H4269" s="355"/>
      <c r="I4269" s="355"/>
      <c r="J4269" s="355"/>
      <c r="K4269" s="355"/>
      <c r="L4269" s="355"/>
      <c r="M4269" s="355"/>
    </row>
    <row r="4270" spans="5:13">
      <c r="E4270" s="355"/>
      <c r="F4270" s="355"/>
      <c r="G4270" s="355"/>
      <c r="H4270" s="355"/>
      <c r="I4270" s="355"/>
      <c r="J4270" s="355"/>
      <c r="K4270" s="355"/>
      <c r="L4270" s="355"/>
      <c r="M4270" s="355"/>
    </row>
    <row r="4271" spans="5:13">
      <c r="E4271" s="355"/>
      <c r="F4271" s="355"/>
      <c r="G4271" s="355"/>
      <c r="H4271" s="355"/>
      <c r="I4271" s="355"/>
      <c r="J4271" s="355"/>
      <c r="K4271" s="355"/>
      <c r="L4271" s="355"/>
      <c r="M4271" s="355"/>
    </row>
    <row r="4272" spans="5:13">
      <c r="E4272" s="355"/>
      <c r="F4272" s="355"/>
      <c r="G4272" s="355"/>
      <c r="H4272" s="355"/>
      <c r="I4272" s="355"/>
      <c r="J4272" s="355"/>
      <c r="K4272" s="355"/>
      <c r="L4272" s="355"/>
      <c r="M4272" s="355"/>
    </row>
    <row r="4273" spans="5:13">
      <c r="E4273" s="355"/>
      <c r="F4273" s="355"/>
      <c r="G4273" s="355"/>
      <c r="H4273" s="355"/>
      <c r="I4273" s="355"/>
      <c r="J4273" s="355"/>
      <c r="K4273" s="355"/>
      <c r="L4273" s="355"/>
      <c r="M4273" s="355"/>
    </row>
    <row r="4274" spans="5:13">
      <c r="E4274" s="355"/>
      <c r="F4274" s="355"/>
      <c r="G4274" s="355"/>
      <c r="H4274" s="355"/>
      <c r="I4274" s="355"/>
      <c r="J4274" s="355"/>
      <c r="K4274" s="355"/>
      <c r="L4274" s="355"/>
      <c r="M4274" s="355"/>
    </row>
    <row r="4275" spans="5:13">
      <c r="E4275" s="355"/>
      <c r="F4275" s="355"/>
      <c r="G4275" s="355"/>
      <c r="H4275" s="355"/>
      <c r="I4275" s="355"/>
      <c r="J4275" s="355"/>
      <c r="K4275" s="355"/>
      <c r="L4275" s="355"/>
      <c r="M4275" s="355"/>
    </row>
    <row r="4276" spans="5:13">
      <c r="E4276" s="355"/>
      <c r="F4276" s="355"/>
      <c r="G4276" s="355"/>
      <c r="H4276" s="355"/>
      <c r="I4276" s="355"/>
      <c r="J4276" s="355"/>
      <c r="K4276" s="355"/>
      <c r="L4276" s="355"/>
      <c r="M4276" s="355"/>
    </row>
    <row r="4277" spans="5:13">
      <c r="E4277" s="355"/>
      <c r="F4277" s="355"/>
      <c r="G4277" s="355"/>
      <c r="H4277" s="355"/>
      <c r="I4277" s="355"/>
      <c r="J4277" s="355"/>
      <c r="K4277" s="355"/>
      <c r="L4277" s="355"/>
      <c r="M4277" s="355"/>
    </row>
    <row r="4278" spans="5:13">
      <c r="E4278" s="355"/>
      <c r="F4278" s="355"/>
      <c r="G4278" s="355"/>
      <c r="H4278" s="355"/>
      <c r="I4278" s="355"/>
      <c r="J4278" s="355"/>
      <c r="K4278" s="355"/>
      <c r="L4278" s="355"/>
      <c r="M4278" s="355"/>
    </row>
    <row r="4279" spans="5:13">
      <c r="E4279" s="355"/>
      <c r="F4279" s="355"/>
      <c r="G4279" s="355"/>
      <c r="H4279" s="355"/>
      <c r="I4279" s="355"/>
      <c r="J4279" s="355"/>
      <c r="K4279" s="355"/>
      <c r="L4279" s="355"/>
      <c r="M4279" s="355"/>
    </row>
    <row r="4280" spans="5:13">
      <c r="E4280" s="355"/>
      <c r="F4280" s="355"/>
      <c r="G4280" s="355"/>
      <c r="H4280" s="355"/>
      <c r="I4280" s="355"/>
      <c r="J4280" s="355"/>
      <c r="K4280" s="355"/>
      <c r="L4280" s="355"/>
      <c r="M4280" s="355"/>
    </row>
    <row r="4281" spans="5:13">
      <c r="E4281" s="355"/>
      <c r="F4281" s="355"/>
      <c r="G4281" s="355"/>
      <c r="H4281" s="355"/>
      <c r="I4281" s="355"/>
      <c r="J4281" s="355"/>
      <c r="K4281" s="355"/>
      <c r="L4281" s="355"/>
      <c r="M4281" s="355"/>
    </row>
    <row r="4282" spans="5:13">
      <c r="E4282" s="355"/>
      <c r="F4282" s="355"/>
      <c r="G4282" s="355"/>
      <c r="H4282" s="355"/>
      <c r="I4282" s="355"/>
      <c r="J4282" s="355"/>
      <c r="K4282" s="355"/>
      <c r="L4282" s="355"/>
      <c r="M4282" s="355"/>
    </row>
    <row r="4283" spans="5:13">
      <c r="E4283" s="355"/>
      <c r="F4283" s="355"/>
      <c r="G4283" s="355"/>
      <c r="H4283" s="355"/>
      <c r="I4283" s="355"/>
      <c r="J4283" s="355"/>
      <c r="K4283" s="355"/>
      <c r="L4283" s="355"/>
      <c r="M4283" s="355"/>
    </row>
    <row r="4284" spans="5:13">
      <c r="E4284" s="355"/>
      <c r="F4284" s="355"/>
      <c r="G4284" s="355"/>
      <c r="H4284" s="355"/>
      <c r="I4284" s="355"/>
      <c r="J4284" s="355"/>
      <c r="K4284" s="355"/>
      <c r="L4284" s="355"/>
      <c r="M4284" s="355"/>
    </row>
    <row r="4285" spans="5:13">
      <c r="E4285" s="355"/>
      <c r="F4285" s="355"/>
      <c r="G4285" s="355"/>
      <c r="H4285" s="355"/>
      <c r="I4285" s="355"/>
      <c r="J4285" s="355"/>
      <c r="K4285" s="355"/>
      <c r="L4285" s="355"/>
      <c r="M4285" s="355"/>
    </row>
    <row r="4286" spans="5:13">
      <c r="E4286" s="355"/>
      <c r="F4286" s="355"/>
      <c r="G4286" s="355"/>
      <c r="H4286" s="355"/>
      <c r="I4286" s="355"/>
      <c r="J4286" s="355"/>
      <c r="K4286" s="355"/>
      <c r="L4286" s="355"/>
      <c r="M4286" s="355"/>
    </row>
    <row r="4287" spans="5:13">
      <c r="E4287" s="355"/>
      <c r="F4287" s="355"/>
      <c r="G4287" s="355"/>
      <c r="H4287" s="355"/>
      <c r="I4287" s="355"/>
      <c r="J4287" s="355"/>
      <c r="K4287" s="355"/>
      <c r="L4287" s="355"/>
      <c r="M4287" s="355"/>
    </row>
    <row r="4288" spans="5:13">
      <c r="E4288" s="355"/>
      <c r="F4288" s="355"/>
      <c r="G4288" s="355"/>
      <c r="H4288" s="355"/>
      <c r="I4288" s="355"/>
      <c r="J4288" s="355"/>
      <c r="K4288" s="355"/>
      <c r="L4288" s="355"/>
      <c r="M4288" s="355"/>
    </row>
    <row r="4289" spans="5:13">
      <c r="E4289" s="355"/>
      <c r="F4289" s="355"/>
      <c r="G4289" s="355"/>
      <c r="H4289" s="355"/>
      <c r="I4289" s="355"/>
      <c r="J4289" s="355"/>
      <c r="K4289" s="355"/>
      <c r="L4289" s="355"/>
      <c r="M4289" s="355"/>
    </row>
    <row r="4290" spans="5:13">
      <c r="E4290" s="355"/>
      <c r="F4290" s="355"/>
      <c r="G4290" s="355"/>
      <c r="H4290" s="355"/>
      <c r="I4290" s="355"/>
      <c r="J4290" s="355"/>
      <c r="K4290" s="355"/>
      <c r="L4290" s="355"/>
      <c r="M4290" s="355"/>
    </row>
    <row r="4291" spans="5:13">
      <c r="E4291" s="355"/>
      <c r="F4291" s="355"/>
      <c r="G4291" s="355"/>
      <c r="H4291" s="355"/>
      <c r="I4291" s="355"/>
      <c r="J4291" s="355"/>
      <c r="K4291" s="355"/>
      <c r="L4291" s="355"/>
      <c r="M4291" s="355"/>
    </row>
    <row r="4292" spans="5:13">
      <c r="E4292" s="355"/>
      <c r="F4292" s="355"/>
      <c r="G4292" s="355"/>
      <c r="H4292" s="355"/>
      <c r="I4292" s="355"/>
      <c r="J4292" s="355"/>
      <c r="K4292" s="355"/>
      <c r="L4292" s="355"/>
      <c r="M4292" s="355"/>
    </row>
    <row r="4293" spans="5:13">
      <c r="E4293" s="355"/>
      <c r="F4293" s="355"/>
      <c r="G4293" s="355"/>
      <c r="H4293" s="355"/>
      <c r="I4293" s="355"/>
      <c r="J4293" s="355"/>
      <c r="K4293" s="355"/>
      <c r="L4293" s="355"/>
      <c r="M4293" s="355"/>
    </row>
    <row r="4294" spans="5:13">
      <c r="E4294" s="355"/>
      <c r="F4294" s="355"/>
      <c r="G4294" s="355"/>
      <c r="H4294" s="355"/>
      <c r="I4294" s="355"/>
      <c r="J4294" s="355"/>
      <c r="K4294" s="355"/>
      <c r="L4294" s="355"/>
      <c r="M4294" s="355"/>
    </row>
    <row r="4295" spans="5:13">
      <c r="E4295" s="355"/>
      <c r="F4295" s="355"/>
      <c r="G4295" s="355"/>
      <c r="H4295" s="355"/>
      <c r="I4295" s="355"/>
      <c r="J4295" s="355"/>
      <c r="K4295" s="355"/>
      <c r="L4295" s="355"/>
      <c r="M4295" s="355"/>
    </row>
    <row r="4296" spans="5:13">
      <c r="E4296" s="355"/>
      <c r="F4296" s="355"/>
      <c r="G4296" s="355"/>
      <c r="H4296" s="355"/>
      <c r="I4296" s="355"/>
      <c r="J4296" s="355"/>
      <c r="K4296" s="355"/>
      <c r="L4296" s="355"/>
      <c r="M4296" s="355"/>
    </row>
    <row r="4297" spans="5:13">
      <c r="E4297" s="355"/>
      <c r="F4297" s="355"/>
      <c r="G4297" s="355"/>
      <c r="H4297" s="355"/>
      <c r="I4297" s="355"/>
      <c r="J4297" s="355"/>
      <c r="K4297" s="355"/>
      <c r="L4297" s="355"/>
      <c r="M4297" s="355"/>
    </row>
    <row r="4298" spans="5:13">
      <c r="E4298" s="355"/>
      <c r="F4298" s="355"/>
      <c r="G4298" s="355"/>
      <c r="H4298" s="355"/>
      <c r="I4298" s="355"/>
      <c r="J4298" s="355"/>
      <c r="K4298" s="355"/>
      <c r="L4298" s="355"/>
      <c r="M4298" s="355"/>
    </row>
    <row r="4299" spans="5:13">
      <c r="E4299" s="355"/>
      <c r="F4299" s="355"/>
      <c r="G4299" s="355"/>
      <c r="H4299" s="355"/>
      <c r="I4299" s="355"/>
      <c r="J4299" s="355"/>
      <c r="K4299" s="355"/>
      <c r="L4299" s="355"/>
      <c r="M4299" s="355"/>
    </row>
    <row r="4300" spans="5:13">
      <c r="E4300" s="355"/>
      <c r="F4300" s="355"/>
      <c r="G4300" s="355"/>
      <c r="H4300" s="355"/>
      <c r="I4300" s="355"/>
      <c r="J4300" s="355"/>
      <c r="K4300" s="355"/>
      <c r="L4300" s="355"/>
      <c r="M4300" s="355"/>
    </row>
    <row r="4301" spans="5:13">
      <c r="E4301" s="355"/>
      <c r="F4301" s="355"/>
      <c r="G4301" s="355"/>
      <c r="H4301" s="355"/>
      <c r="I4301" s="355"/>
      <c r="J4301" s="355"/>
      <c r="K4301" s="355"/>
      <c r="L4301" s="355"/>
      <c r="M4301" s="355"/>
    </row>
    <row r="4302" spans="5:13">
      <c r="E4302" s="355"/>
      <c r="F4302" s="355"/>
      <c r="G4302" s="355"/>
      <c r="H4302" s="355"/>
      <c r="I4302" s="355"/>
      <c r="J4302" s="355"/>
      <c r="K4302" s="355"/>
      <c r="L4302" s="355"/>
      <c r="M4302" s="355"/>
    </row>
    <row r="4303" spans="5:13">
      <c r="E4303" s="355"/>
      <c r="F4303" s="355"/>
      <c r="G4303" s="355"/>
      <c r="H4303" s="355"/>
      <c r="I4303" s="355"/>
      <c r="J4303" s="355"/>
      <c r="K4303" s="355"/>
      <c r="L4303" s="355"/>
      <c r="M4303" s="355"/>
    </row>
    <row r="4304" spans="5:13">
      <c r="E4304" s="355"/>
      <c r="F4304" s="355"/>
      <c r="G4304" s="355"/>
      <c r="H4304" s="355"/>
      <c r="I4304" s="355"/>
      <c r="J4304" s="355"/>
      <c r="K4304" s="355"/>
      <c r="L4304" s="355"/>
      <c r="M4304" s="355"/>
    </row>
    <row r="4305" spans="5:13">
      <c r="E4305" s="355"/>
      <c r="F4305" s="355"/>
      <c r="G4305" s="355"/>
      <c r="H4305" s="355"/>
      <c r="I4305" s="355"/>
      <c r="J4305" s="355"/>
      <c r="K4305" s="355"/>
      <c r="L4305" s="355"/>
      <c r="M4305" s="355"/>
    </row>
    <row r="4306" spans="5:13">
      <c r="E4306" s="355"/>
      <c r="F4306" s="355"/>
      <c r="G4306" s="355"/>
      <c r="H4306" s="355"/>
      <c r="I4306" s="355"/>
      <c r="J4306" s="355"/>
      <c r="K4306" s="355"/>
      <c r="L4306" s="355"/>
      <c r="M4306" s="355"/>
    </row>
    <row r="4307" spans="5:13">
      <c r="E4307" s="355"/>
      <c r="F4307" s="355"/>
      <c r="G4307" s="355"/>
      <c r="H4307" s="355"/>
      <c r="I4307" s="355"/>
      <c r="J4307" s="355"/>
      <c r="K4307" s="355"/>
      <c r="L4307" s="355"/>
      <c r="M4307" s="355"/>
    </row>
    <row r="4308" spans="5:13">
      <c r="E4308" s="355"/>
      <c r="F4308" s="355"/>
      <c r="G4308" s="355"/>
      <c r="H4308" s="355"/>
      <c r="I4308" s="355"/>
      <c r="J4308" s="355"/>
      <c r="K4308" s="355"/>
      <c r="L4308" s="355"/>
      <c r="M4308" s="355"/>
    </row>
    <row r="4309" spans="5:13">
      <c r="E4309" s="355"/>
      <c r="F4309" s="355"/>
      <c r="G4309" s="355"/>
      <c r="H4309" s="355"/>
      <c r="I4309" s="355"/>
      <c r="J4309" s="355"/>
      <c r="K4309" s="355"/>
      <c r="L4309" s="355"/>
      <c r="M4309" s="355"/>
    </row>
    <row r="4310" spans="5:13">
      <c r="E4310" s="355"/>
      <c r="F4310" s="355"/>
      <c r="G4310" s="355"/>
      <c r="H4310" s="355"/>
      <c r="I4310" s="355"/>
      <c r="J4310" s="355"/>
      <c r="K4310" s="355"/>
      <c r="L4310" s="355"/>
      <c r="M4310" s="355"/>
    </row>
    <row r="4311" spans="5:13">
      <c r="E4311" s="355"/>
      <c r="F4311" s="355"/>
      <c r="G4311" s="355"/>
      <c r="H4311" s="355"/>
      <c r="I4311" s="355"/>
      <c r="J4311" s="355"/>
      <c r="K4311" s="355"/>
      <c r="L4311" s="355"/>
      <c r="M4311" s="355"/>
    </row>
    <row r="4312" spans="5:13">
      <c r="E4312" s="355"/>
      <c r="F4312" s="355"/>
      <c r="G4312" s="355"/>
      <c r="H4312" s="355"/>
      <c r="I4312" s="355"/>
      <c r="J4312" s="355"/>
      <c r="K4312" s="355"/>
      <c r="L4312" s="355"/>
      <c r="M4312" s="355"/>
    </row>
    <row r="4313" spans="5:13">
      <c r="E4313" s="355"/>
      <c r="F4313" s="355"/>
      <c r="G4313" s="355"/>
      <c r="H4313" s="355"/>
      <c r="I4313" s="355"/>
      <c r="J4313" s="355"/>
      <c r="K4313" s="355"/>
      <c r="L4313" s="355"/>
      <c r="M4313" s="355"/>
    </row>
    <row r="4314" spans="5:13">
      <c r="E4314" s="355"/>
      <c r="F4314" s="355"/>
      <c r="G4314" s="355"/>
      <c r="H4314" s="355"/>
      <c r="I4314" s="355"/>
      <c r="J4314" s="355"/>
      <c r="K4314" s="355"/>
      <c r="L4314" s="355"/>
      <c r="M4314" s="355"/>
    </row>
    <row r="4315" spans="5:13">
      <c r="E4315" s="355"/>
      <c r="F4315" s="355"/>
      <c r="G4315" s="355"/>
      <c r="H4315" s="355"/>
      <c r="I4315" s="355"/>
      <c r="J4315" s="355"/>
      <c r="K4315" s="355"/>
      <c r="L4315" s="355"/>
      <c r="M4315" s="355"/>
    </row>
    <row r="4316" spans="5:13">
      <c r="E4316" s="355"/>
      <c r="F4316" s="355"/>
      <c r="G4316" s="355"/>
      <c r="H4316" s="355"/>
      <c r="I4316" s="355"/>
      <c r="J4316" s="355"/>
      <c r="K4316" s="355"/>
      <c r="L4316" s="355"/>
      <c r="M4316" s="355"/>
    </row>
    <row r="4317" spans="5:13">
      <c r="E4317" s="355"/>
      <c r="F4317" s="355"/>
      <c r="G4317" s="355"/>
      <c r="H4317" s="355"/>
      <c r="I4317" s="355"/>
      <c r="J4317" s="355"/>
      <c r="K4317" s="355"/>
      <c r="L4317" s="355"/>
      <c r="M4317" s="355"/>
    </row>
    <row r="4318" spans="5:13">
      <c r="E4318" s="355"/>
      <c r="F4318" s="355"/>
      <c r="G4318" s="355"/>
      <c r="H4318" s="355"/>
      <c r="I4318" s="355"/>
      <c r="J4318" s="355"/>
      <c r="K4318" s="355"/>
      <c r="L4318" s="355"/>
      <c r="M4318" s="355"/>
    </row>
    <row r="4319" spans="5:13">
      <c r="E4319" s="355"/>
      <c r="F4319" s="355"/>
      <c r="G4319" s="355"/>
      <c r="H4319" s="355"/>
      <c r="I4319" s="355"/>
      <c r="J4319" s="355"/>
      <c r="K4319" s="355"/>
      <c r="L4319" s="355"/>
      <c r="M4319" s="355"/>
    </row>
    <row r="4320" spans="5:13">
      <c r="E4320" s="355"/>
      <c r="F4320" s="355"/>
      <c r="G4320" s="355"/>
      <c r="H4320" s="355"/>
      <c r="I4320" s="355"/>
      <c r="J4320" s="355"/>
      <c r="K4320" s="355"/>
      <c r="L4320" s="355"/>
      <c r="M4320" s="355"/>
    </row>
    <row r="4321" spans="5:13">
      <c r="E4321" s="355"/>
      <c r="F4321" s="355"/>
      <c r="G4321" s="355"/>
      <c r="H4321" s="355"/>
      <c r="I4321" s="355"/>
      <c r="J4321" s="355"/>
      <c r="K4321" s="355"/>
      <c r="L4321" s="355"/>
      <c r="M4321" s="355"/>
    </row>
    <row r="4322" spans="5:13">
      <c r="E4322" s="355"/>
      <c r="F4322" s="355"/>
      <c r="G4322" s="355"/>
      <c r="H4322" s="355"/>
      <c r="I4322" s="355"/>
      <c r="J4322" s="355"/>
      <c r="K4322" s="355"/>
      <c r="L4322" s="355"/>
      <c r="M4322" s="355"/>
    </row>
    <row r="4323" spans="5:13">
      <c r="E4323" s="355"/>
      <c r="F4323" s="355"/>
      <c r="G4323" s="355"/>
      <c r="H4323" s="355"/>
      <c r="I4323" s="355"/>
      <c r="J4323" s="355"/>
      <c r="K4323" s="355"/>
      <c r="L4323" s="355"/>
      <c r="M4323" s="355"/>
    </row>
    <row r="4324" spans="5:13">
      <c r="E4324" s="355"/>
      <c r="F4324" s="355"/>
      <c r="G4324" s="355"/>
      <c r="H4324" s="355"/>
      <c r="I4324" s="355"/>
      <c r="J4324" s="355"/>
      <c r="K4324" s="355"/>
      <c r="L4324" s="355"/>
      <c r="M4324" s="355"/>
    </row>
    <row r="4325" spans="5:13">
      <c r="E4325" s="355"/>
      <c r="F4325" s="355"/>
      <c r="G4325" s="355"/>
      <c r="H4325" s="355"/>
      <c r="I4325" s="355"/>
      <c r="J4325" s="355"/>
      <c r="K4325" s="355"/>
      <c r="L4325" s="355"/>
      <c r="M4325" s="355"/>
    </row>
    <row r="4326" spans="5:13">
      <c r="E4326" s="355"/>
      <c r="F4326" s="355"/>
      <c r="G4326" s="355"/>
      <c r="H4326" s="355"/>
      <c r="I4326" s="355"/>
      <c r="J4326" s="355"/>
      <c r="K4326" s="355"/>
      <c r="L4326" s="355"/>
      <c r="M4326" s="355"/>
    </row>
    <row r="4327" spans="5:13">
      <c r="E4327" s="355"/>
      <c r="F4327" s="355"/>
      <c r="G4327" s="355"/>
      <c r="H4327" s="355"/>
      <c r="I4327" s="355"/>
      <c r="J4327" s="355"/>
      <c r="K4327" s="355"/>
      <c r="L4327" s="355"/>
      <c r="M4327" s="355"/>
    </row>
    <row r="4328" spans="5:13">
      <c r="E4328" s="355"/>
      <c r="F4328" s="355"/>
      <c r="G4328" s="355"/>
      <c r="H4328" s="355"/>
      <c r="I4328" s="355"/>
      <c r="J4328" s="355"/>
      <c r="K4328" s="355"/>
      <c r="L4328" s="355"/>
      <c r="M4328" s="355"/>
    </row>
    <row r="4329" spans="5:13">
      <c r="E4329" s="355"/>
      <c r="F4329" s="355"/>
      <c r="G4329" s="355"/>
      <c r="H4329" s="355"/>
      <c r="I4329" s="355"/>
      <c r="J4329" s="355"/>
      <c r="K4329" s="355"/>
      <c r="L4329" s="355"/>
      <c r="M4329" s="355"/>
    </row>
    <row r="4330" spans="5:13">
      <c r="E4330" s="355"/>
      <c r="F4330" s="355"/>
      <c r="G4330" s="355"/>
      <c r="H4330" s="355"/>
      <c r="I4330" s="355"/>
      <c r="J4330" s="355"/>
      <c r="K4330" s="355"/>
      <c r="L4330" s="355"/>
      <c r="M4330" s="355"/>
    </row>
    <row r="4331" spans="5:13">
      <c r="E4331" s="355"/>
      <c r="F4331" s="355"/>
      <c r="G4331" s="355"/>
      <c r="H4331" s="355"/>
      <c r="I4331" s="355"/>
      <c r="J4331" s="355"/>
      <c r="K4331" s="355"/>
      <c r="L4331" s="355"/>
      <c r="M4331" s="355"/>
    </row>
    <row r="4332" spans="5:13">
      <c r="E4332" s="355"/>
      <c r="F4332" s="355"/>
      <c r="G4332" s="355"/>
      <c r="H4332" s="355"/>
      <c r="I4332" s="355"/>
      <c r="J4332" s="355"/>
      <c r="K4332" s="355"/>
      <c r="L4332" s="355"/>
      <c r="M4332" s="355"/>
    </row>
    <row r="4333" spans="5:13">
      <c r="E4333" s="355"/>
      <c r="F4333" s="355"/>
      <c r="G4333" s="355"/>
      <c r="H4333" s="355"/>
      <c r="I4333" s="355"/>
      <c r="J4333" s="355"/>
      <c r="K4333" s="355"/>
      <c r="L4333" s="355"/>
      <c r="M4333" s="355"/>
    </row>
    <row r="4334" spans="5:13">
      <c r="E4334" s="355"/>
      <c r="F4334" s="355"/>
      <c r="G4334" s="355"/>
      <c r="H4334" s="355"/>
      <c r="I4334" s="355"/>
      <c r="J4334" s="355"/>
      <c r="K4334" s="355"/>
      <c r="L4334" s="355"/>
      <c r="M4334" s="355"/>
    </row>
    <row r="4335" spans="5:13">
      <c r="E4335" s="355"/>
      <c r="F4335" s="355"/>
      <c r="G4335" s="355"/>
      <c r="H4335" s="355"/>
      <c r="I4335" s="355"/>
      <c r="J4335" s="355"/>
      <c r="K4335" s="355"/>
      <c r="L4335" s="355"/>
      <c r="M4335" s="355"/>
    </row>
    <row r="4336" spans="5:13">
      <c r="E4336" s="355"/>
      <c r="F4336" s="355"/>
      <c r="G4336" s="355"/>
      <c r="H4336" s="355"/>
      <c r="I4336" s="355"/>
      <c r="J4336" s="355"/>
      <c r="K4336" s="355"/>
      <c r="L4336" s="355"/>
      <c r="M4336" s="355"/>
    </row>
    <row r="4337" spans="5:13">
      <c r="E4337" s="355"/>
      <c r="F4337" s="355"/>
      <c r="G4337" s="355"/>
      <c r="H4337" s="355"/>
      <c r="I4337" s="355"/>
      <c r="J4337" s="355"/>
      <c r="K4337" s="355"/>
      <c r="L4337" s="355"/>
      <c r="M4337" s="355"/>
    </row>
    <row r="4338" spans="5:13">
      <c r="E4338" s="355"/>
      <c r="F4338" s="355"/>
      <c r="G4338" s="355"/>
      <c r="H4338" s="355"/>
      <c r="I4338" s="355"/>
      <c r="J4338" s="355"/>
      <c r="K4338" s="355"/>
      <c r="L4338" s="355"/>
      <c r="M4338" s="355"/>
    </row>
    <row r="4339" spans="5:13">
      <c r="E4339" s="355"/>
      <c r="F4339" s="355"/>
      <c r="G4339" s="355"/>
      <c r="H4339" s="355"/>
      <c r="I4339" s="355"/>
      <c r="J4339" s="355"/>
      <c r="K4339" s="355"/>
      <c r="L4339" s="355"/>
      <c r="M4339" s="355"/>
    </row>
    <row r="4340" spans="5:13">
      <c r="E4340" s="355"/>
      <c r="F4340" s="355"/>
      <c r="G4340" s="355"/>
      <c r="H4340" s="355"/>
      <c r="I4340" s="355"/>
      <c r="J4340" s="355"/>
      <c r="K4340" s="355"/>
      <c r="L4340" s="355"/>
      <c r="M4340" s="355"/>
    </row>
    <row r="4341" spans="5:13">
      <c r="E4341" s="355"/>
      <c r="F4341" s="355"/>
      <c r="G4341" s="355"/>
      <c r="H4341" s="355"/>
      <c r="I4341" s="355"/>
      <c r="J4341" s="355"/>
      <c r="K4341" s="355"/>
      <c r="L4341" s="355"/>
      <c r="M4341" s="355"/>
    </row>
    <row r="4342" spans="5:13">
      <c r="E4342" s="355"/>
      <c r="F4342" s="355"/>
      <c r="G4342" s="355"/>
      <c r="H4342" s="355"/>
      <c r="I4342" s="355"/>
      <c r="J4342" s="355"/>
      <c r="K4342" s="355"/>
      <c r="L4342" s="355"/>
      <c r="M4342" s="355"/>
    </row>
    <row r="4343" spans="5:13">
      <c r="E4343" s="355"/>
      <c r="F4343" s="355"/>
      <c r="G4343" s="355"/>
      <c r="H4343" s="355"/>
      <c r="I4343" s="355"/>
      <c r="J4343" s="355"/>
      <c r="K4343" s="355"/>
      <c r="L4343" s="355"/>
      <c r="M4343" s="355"/>
    </row>
    <row r="4344" spans="5:13">
      <c r="E4344" s="355"/>
      <c r="F4344" s="355"/>
      <c r="G4344" s="355"/>
      <c r="H4344" s="355"/>
      <c r="I4344" s="355"/>
      <c r="J4344" s="355"/>
      <c r="K4344" s="355"/>
      <c r="L4344" s="355"/>
      <c r="M4344" s="355"/>
    </row>
    <row r="4345" spans="5:13">
      <c r="E4345" s="355"/>
      <c r="F4345" s="355"/>
      <c r="G4345" s="355"/>
      <c r="H4345" s="355"/>
      <c r="I4345" s="355"/>
      <c r="J4345" s="355"/>
      <c r="K4345" s="355"/>
      <c r="L4345" s="355"/>
      <c r="M4345" s="355"/>
    </row>
    <row r="4346" spans="5:13">
      <c r="E4346" s="355"/>
      <c r="F4346" s="355"/>
      <c r="G4346" s="355"/>
      <c r="H4346" s="355"/>
      <c r="I4346" s="355"/>
      <c r="J4346" s="355"/>
      <c r="K4346" s="355"/>
      <c r="L4346" s="355"/>
      <c r="M4346" s="355"/>
    </row>
    <row r="4347" spans="5:13">
      <c r="E4347" s="355"/>
      <c r="F4347" s="355"/>
      <c r="G4347" s="355"/>
      <c r="H4347" s="355"/>
      <c r="I4347" s="355"/>
      <c r="J4347" s="355"/>
      <c r="K4347" s="355"/>
      <c r="L4347" s="355"/>
      <c r="M4347" s="355"/>
    </row>
    <row r="4348" spans="5:13">
      <c r="E4348" s="355"/>
      <c r="F4348" s="355"/>
      <c r="G4348" s="355"/>
      <c r="H4348" s="355"/>
      <c r="I4348" s="355"/>
      <c r="J4348" s="355"/>
      <c r="K4348" s="355"/>
      <c r="L4348" s="355"/>
      <c r="M4348" s="355"/>
    </row>
    <row r="4349" spans="5:13">
      <c r="E4349" s="355"/>
      <c r="F4349" s="355"/>
      <c r="G4349" s="355"/>
      <c r="H4349" s="355"/>
      <c r="I4349" s="355"/>
      <c r="J4349" s="355"/>
      <c r="K4349" s="355"/>
      <c r="L4349" s="355"/>
      <c r="M4349" s="355"/>
    </row>
    <row r="4350" spans="5:13">
      <c r="E4350" s="355"/>
      <c r="F4350" s="355"/>
      <c r="G4350" s="355"/>
      <c r="H4350" s="355"/>
      <c r="I4350" s="355"/>
      <c r="J4350" s="355"/>
      <c r="K4350" s="355"/>
      <c r="L4350" s="355"/>
      <c r="M4350" s="355"/>
    </row>
    <row r="4351" spans="5:13">
      <c r="E4351" s="355"/>
      <c r="F4351" s="355"/>
      <c r="G4351" s="355"/>
      <c r="H4351" s="355"/>
      <c r="I4351" s="355"/>
      <c r="J4351" s="355"/>
      <c r="K4351" s="355"/>
      <c r="L4351" s="355"/>
      <c r="M4351" s="355"/>
    </row>
    <row r="4352" spans="5:13">
      <c r="E4352" s="355"/>
      <c r="F4352" s="355"/>
      <c r="G4352" s="355"/>
      <c r="H4352" s="355"/>
      <c r="I4352" s="355"/>
      <c r="J4352" s="355"/>
      <c r="K4352" s="355"/>
      <c r="L4352" s="355"/>
      <c r="M4352" s="355"/>
    </row>
    <row r="4353" spans="5:13">
      <c r="E4353" s="355"/>
      <c r="F4353" s="355"/>
      <c r="G4353" s="355"/>
      <c r="H4353" s="355"/>
      <c r="I4353" s="355"/>
      <c r="J4353" s="355"/>
      <c r="K4353" s="355"/>
      <c r="L4353" s="355"/>
      <c r="M4353" s="355"/>
    </row>
    <row r="4354" spans="5:13">
      <c r="E4354" s="355"/>
      <c r="F4354" s="355"/>
      <c r="G4354" s="355"/>
      <c r="H4354" s="355"/>
      <c r="I4354" s="355"/>
      <c r="J4354" s="355"/>
      <c r="K4354" s="355"/>
      <c r="L4354" s="355"/>
      <c r="M4354" s="355"/>
    </row>
    <row r="4355" spans="5:13">
      <c r="E4355" s="355"/>
      <c r="F4355" s="355"/>
      <c r="G4355" s="355"/>
      <c r="H4355" s="355"/>
      <c r="I4355" s="355"/>
      <c r="J4355" s="355"/>
      <c r="K4355" s="355"/>
      <c r="L4355" s="355"/>
      <c r="M4355" s="355"/>
    </row>
    <row r="4356" spans="5:13">
      <c r="E4356" s="355"/>
      <c r="F4356" s="355"/>
      <c r="G4356" s="355"/>
      <c r="H4356" s="355"/>
      <c r="I4356" s="355"/>
      <c r="J4356" s="355"/>
      <c r="K4356" s="355"/>
      <c r="L4356" s="355"/>
      <c r="M4356" s="355"/>
    </row>
    <row r="4357" spans="5:13">
      <c r="E4357" s="355"/>
      <c r="F4357" s="355"/>
      <c r="G4357" s="355"/>
      <c r="H4357" s="355"/>
      <c r="I4357" s="355"/>
      <c r="J4357" s="355"/>
      <c r="K4357" s="355"/>
      <c r="L4357" s="355"/>
      <c r="M4357" s="355"/>
    </row>
    <row r="4358" spans="5:13">
      <c r="E4358" s="355"/>
      <c r="F4358" s="355"/>
      <c r="G4358" s="355"/>
      <c r="H4358" s="355"/>
      <c r="I4358" s="355"/>
      <c r="J4358" s="355"/>
      <c r="K4358" s="355"/>
      <c r="L4358" s="355"/>
      <c r="M4358" s="355"/>
    </row>
    <row r="4359" spans="5:13">
      <c r="E4359" s="355"/>
      <c r="F4359" s="355"/>
      <c r="G4359" s="355"/>
      <c r="H4359" s="355"/>
      <c r="I4359" s="355"/>
      <c r="J4359" s="355"/>
      <c r="K4359" s="355"/>
      <c r="L4359" s="355"/>
      <c r="M4359" s="355"/>
    </row>
    <row r="4360" spans="5:13">
      <c r="E4360" s="355"/>
      <c r="F4360" s="355"/>
      <c r="G4360" s="355"/>
      <c r="H4360" s="355"/>
      <c r="I4360" s="355"/>
      <c r="J4360" s="355"/>
      <c r="K4360" s="355"/>
      <c r="L4360" s="355"/>
      <c r="M4360" s="355"/>
    </row>
    <row r="4361" spans="5:13">
      <c r="E4361" s="355"/>
      <c r="F4361" s="355"/>
      <c r="G4361" s="355"/>
      <c r="H4361" s="355"/>
      <c r="I4361" s="355"/>
      <c r="J4361" s="355"/>
      <c r="K4361" s="355"/>
      <c r="L4361" s="355"/>
      <c r="M4361" s="355"/>
    </row>
    <row r="4362" spans="5:13">
      <c r="E4362" s="355"/>
      <c r="F4362" s="355"/>
      <c r="G4362" s="355"/>
      <c r="H4362" s="355"/>
      <c r="I4362" s="355"/>
      <c r="J4362" s="355"/>
      <c r="K4362" s="355"/>
      <c r="L4362" s="355"/>
      <c r="M4362" s="355"/>
    </row>
    <row r="4363" spans="5:13">
      <c r="E4363" s="355"/>
      <c r="F4363" s="355"/>
      <c r="G4363" s="355"/>
      <c r="H4363" s="355"/>
      <c r="I4363" s="355"/>
      <c r="J4363" s="355"/>
      <c r="K4363" s="355"/>
      <c r="L4363" s="355"/>
      <c r="M4363" s="355"/>
    </row>
    <row r="4364" spans="5:13">
      <c r="E4364" s="355"/>
      <c r="F4364" s="355"/>
      <c r="G4364" s="355"/>
      <c r="H4364" s="355"/>
      <c r="I4364" s="355"/>
      <c r="J4364" s="355"/>
      <c r="K4364" s="355"/>
      <c r="L4364" s="355"/>
      <c r="M4364" s="355"/>
    </row>
    <row r="4365" spans="5:13">
      <c r="E4365" s="355"/>
      <c r="F4365" s="355"/>
      <c r="G4365" s="355"/>
      <c r="H4365" s="355"/>
      <c r="I4365" s="355"/>
      <c r="J4365" s="355"/>
      <c r="K4365" s="355"/>
      <c r="L4365" s="355"/>
      <c r="M4365" s="355"/>
    </row>
    <row r="4366" spans="5:13">
      <c r="E4366" s="355"/>
      <c r="F4366" s="355"/>
      <c r="G4366" s="355"/>
      <c r="H4366" s="355"/>
      <c r="I4366" s="355"/>
      <c r="J4366" s="355"/>
      <c r="K4366" s="355"/>
      <c r="L4366" s="355"/>
      <c r="M4366" s="355"/>
    </row>
    <row r="4367" spans="5:13">
      <c r="E4367" s="355"/>
      <c r="F4367" s="355"/>
      <c r="G4367" s="355"/>
      <c r="H4367" s="355"/>
      <c r="I4367" s="355"/>
      <c r="J4367" s="355"/>
      <c r="K4367" s="355"/>
      <c r="L4367" s="355"/>
      <c r="M4367" s="355"/>
    </row>
    <row r="4368" spans="5:13">
      <c r="E4368" s="355"/>
      <c r="F4368" s="355"/>
      <c r="G4368" s="355"/>
      <c r="H4368" s="355"/>
      <c r="I4368" s="355"/>
      <c r="J4368" s="355"/>
      <c r="K4368" s="355"/>
      <c r="L4368" s="355"/>
      <c r="M4368" s="355"/>
    </row>
    <row r="4369" spans="5:13">
      <c r="E4369" s="355"/>
      <c r="F4369" s="355"/>
      <c r="G4369" s="355"/>
      <c r="H4369" s="355"/>
      <c r="I4369" s="355"/>
      <c r="J4369" s="355"/>
      <c r="K4369" s="355"/>
      <c r="L4369" s="355"/>
      <c r="M4369" s="355"/>
    </row>
    <row r="4370" spans="5:13">
      <c r="E4370" s="355"/>
      <c r="F4370" s="355"/>
      <c r="G4370" s="355"/>
      <c r="H4370" s="355"/>
      <c r="I4370" s="355"/>
      <c r="J4370" s="355"/>
      <c r="K4370" s="355"/>
      <c r="L4370" s="355"/>
      <c r="M4370" s="355"/>
    </row>
    <row r="4371" spans="5:13">
      <c r="E4371" s="355"/>
      <c r="F4371" s="355"/>
      <c r="G4371" s="355"/>
      <c r="H4371" s="355"/>
      <c r="I4371" s="355"/>
      <c r="J4371" s="355"/>
      <c r="K4371" s="355"/>
      <c r="L4371" s="355"/>
      <c r="M4371" s="355"/>
    </row>
    <row r="4372" spans="5:13">
      <c r="E4372" s="355"/>
      <c r="F4372" s="355"/>
      <c r="G4372" s="355"/>
      <c r="H4372" s="355"/>
      <c r="I4372" s="355"/>
      <c r="J4372" s="355"/>
      <c r="K4372" s="355"/>
      <c r="L4372" s="355"/>
      <c r="M4372" s="355"/>
    </row>
    <row r="4373" spans="5:13">
      <c r="E4373" s="355"/>
      <c r="F4373" s="355"/>
      <c r="G4373" s="355"/>
      <c r="H4373" s="355"/>
      <c r="I4373" s="355"/>
      <c r="J4373" s="355"/>
      <c r="K4373" s="355"/>
      <c r="L4373" s="355"/>
      <c r="M4373" s="355"/>
    </row>
    <row r="4374" spans="5:13">
      <c r="E4374" s="355"/>
      <c r="F4374" s="355"/>
      <c r="G4374" s="355"/>
      <c r="H4374" s="355"/>
      <c r="I4374" s="355"/>
      <c r="J4374" s="355"/>
      <c r="K4374" s="355"/>
      <c r="L4374" s="355"/>
      <c r="M4374" s="355"/>
    </row>
    <row r="4375" spans="5:13">
      <c r="E4375" s="355"/>
      <c r="F4375" s="355"/>
      <c r="G4375" s="355"/>
      <c r="H4375" s="355"/>
      <c r="I4375" s="355"/>
      <c r="J4375" s="355"/>
      <c r="K4375" s="355"/>
      <c r="L4375" s="355"/>
      <c r="M4375" s="355"/>
    </row>
    <row r="4376" spans="5:13">
      <c r="E4376" s="355"/>
      <c r="F4376" s="355"/>
      <c r="G4376" s="355"/>
      <c r="H4376" s="355"/>
      <c r="I4376" s="355"/>
      <c r="J4376" s="355"/>
      <c r="K4376" s="355"/>
      <c r="L4376" s="355"/>
      <c r="M4376" s="355"/>
    </row>
    <row r="4377" spans="5:13">
      <c r="E4377" s="355"/>
      <c r="F4377" s="355"/>
      <c r="G4377" s="355"/>
      <c r="H4377" s="355"/>
      <c r="I4377" s="355"/>
      <c r="J4377" s="355"/>
      <c r="K4377" s="355"/>
      <c r="L4377" s="355"/>
      <c r="M4377" s="355"/>
    </row>
    <row r="4378" spans="5:13">
      <c r="E4378" s="355"/>
      <c r="F4378" s="355"/>
      <c r="G4378" s="355"/>
      <c r="H4378" s="355"/>
      <c r="I4378" s="355"/>
      <c r="J4378" s="355"/>
      <c r="K4378" s="355"/>
      <c r="L4378" s="355"/>
      <c r="M4378" s="355"/>
    </row>
    <row r="4379" spans="5:13">
      <c r="E4379" s="355"/>
      <c r="F4379" s="355"/>
      <c r="G4379" s="355"/>
      <c r="H4379" s="355"/>
      <c r="I4379" s="355"/>
      <c r="J4379" s="355"/>
      <c r="K4379" s="355"/>
      <c r="L4379" s="355"/>
      <c r="M4379" s="355"/>
    </row>
    <row r="4380" spans="5:13">
      <c r="E4380" s="355"/>
      <c r="F4380" s="355"/>
      <c r="G4380" s="355"/>
      <c r="H4380" s="355"/>
      <c r="I4380" s="355"/>
      <c r="J4380" s="355"/>
      <c r="K4380" s="355"/>
      <c r="L4380" s="355"/>
      <c r="M4380" s="355"/>
    </row>
    <row r="4381" spans="5:13">
      <c r="E4381" s="355"/>
      <c r="F4381" s="355"/>
      <c r="G4381" s="355"/>
      <c r="H4381" s="355"/>
      <c r="I4381" s="355"/>
      <c r="J4381" s="355"/>
      <c r="K4381" s="355"/>
      <c r="L4381" s="355"/>
      <c r="M4381" s="355"/>
    </row>
    <row r="4382" spans="5:13">
      <c r="E4382" s="355"/>
      <c r="F4382" s="355"/>
      <c r="G4382" s="355"/>
      <c r="H4382" s="355"/>
      <c r="I4382" s="355"/>
      <c r="J4382" s="355"/>
      <c r="K4382" s="355"/>
      <c r="L4382" s="355"/>
      <c r="M4382" s="355"/>
    </row>
    <row r="4383" spans="5:13">
      <c r="E4383" s="355"/>
      <c r="F4383" s="355"/>
      <c r="G4383" s="355"/>
      <c r="H4383" s="355"/>
      <c r="I4383" s="355"/>
      <c r="J4383" s="355"/>
      <c r="K4383" s="355"/>
      <c r="L4383" s="355"/>
      <c r="M4383" s="355"/>
    </row>
    <row r="4384" spans="5:13">
      <c r="E4384" s="355"/>
      <c r="F4384" s="355"/>
      <c r="G4384" s="355"/>
      <c r="H4384" s="355"/>
      <c r="I4384" s="355"/>
      <c r="J4384" s="355"/>
      <c r="K4384" s="355"/>
      <c r="L4384" s="355"/>
      <c r="M4384" s="355"/>
    </row>
    <row r="4385" spans="5:13">
      <c r="E4385" s="355"/>
      <c r="F4385" s="355"/>
      <c r="G4385" s="355"/>
      <c r="H4385" s="355"/>
      <c r="I4385" s="355"/>
      <c r="J4385" s="355"/>
      <c r="K4385" s="355"/>
      <c r="L4385" s="355"/>
      <c r="M4385" s="355"/>
    </row>
    <row r="4386" spans="5:13">
      <c r="E4386" s="355"/>
      <c r="F4386" s="355"/>
      <c r="G4386" s="355"/>
      <c r="H4386" s="355"/>
      <c r="I4386" s="355"/>
      <c r="J4386" s="355"/>
      <c r="K4386" s="355"/>
      <c r="L4386" s="355"/>
      <c r="M4386" s="355"/>
    </row>
    <row r="4387" spans="5:13">
      <c r="E4387" s="355"/>
      <c r="F4387" s="355"/>
      <c r="G4387" s="355"/>
      <c r="H4387" s="355"/>
      <c r="I4387" s="355"/>
      <c r="J4387" s="355"/>
      <c r="K4387" s="355"/>
      <c r="L4387" s="355"/>
      <c r="M4387" s="355"/>
    </row>
    <row r="4388" spans="5:13">
      <c r="E4388" s="355"/>
      <c r="F4388" s="355"/>
      <c r="G4388" s="355"/>
      <c r="H4388" s="355"/>
      <c r="I4388" s="355"/>
      <c r="J4388" s="355"/>
      <c r="K4388" s="355"/>
      <c r="L4388" s="355"/>
      <c r="M4388" s="355"/>
    </row>
    <row r="4389" spans="5:13">
      <c r="E4389" s="355"/>
      <c r="F4389" s="355"/>
      <c r="G4389" s="355"/>
      <c r="H4389" s="355"/>
      <c r="I4389" s="355"/>
      <c r="J4389" s="355"/>
      <c r="K4389" s="355"/>
      <c r="L4389" s="355"/>
      <c r="M4389" s="355"/>
    </row>
    <row r="4390" spans="5:13">
      <c r="E4390" s="355"/>
      <c r="F4390" s="355"/>
      <c r="G4390" s="355"/>
      <c r="H4390" s="355"/>
      <c r="I4390" s="355"/>
      <c r="J4390" s="355"/>
      <c r="K4390" s="355"/>
      <c r="L4390" s="355"/>
      <c r="M4390" s="355"/>
    </row>
    <row r="4391" spans="5:13">
      <c r="E4391" s="355"/>
      <c r="F4391" s="355"/>
      <c r="G4391" s="355"/>
      <c r="H4391" s="355"/>
      <c r="I4391" s="355"/>
      <c r="J4391" s="355"/>
      <c r="K4391" s="355"/>
      <c r="L4391" s="355"/>
      <c r="M4391" s="355"/>
    </row>
    <row r="4392" spans="5:13">
      <c r="E4392" s="355"/>
      <c r="F4392" s="355"/>
      <c r="G4392" s="355"/>
      <c r="H4392" s="355"/>
      <c r="I4392" s="355"/>
      <c r="J4392" s="355"/>
      <c r="K4392" s="355"/>
      <c r="L4392" s="355"/>
      <c r="M4392" s="355"/>
    </row>
    <row r="4393" spans="5:13">
      <c r="E4393" s="355"/>
      <c r="F4393" s="355"/>
      <c r="G4393" s="355"/>
      <c r="H4393" s="355"/>
      <c r="I4393" s="355"/>
      <c r="J4393" s="355"/>
      <c r="K4393" s="355"/>
      <c r="L4393" s="355"/>
      <c r="M4393" s="355"/>
    </row>
    <row r="4394" spans="5:13">
      <c r="E4394" s="355"/>
      <c r="F4394" s="355"/>
      <c r="G4394" s="355"/>
      <c r="H4394" s="355"/>
      <c r="I4394" s="355"/>
      <c r="J4394" s="355"/>
      <c r="K4394" s="355"/>
      <c r="L4394" s="355"/>
      <c r="M4394" s="355"/>
    </row>
    <row r="4395" spans="5:13">
      <c r="E4395" s="355"/>
      <c r="F4395" s="355"/>
      <c r="G4395" s="355"/>
      <c r="H4395" s="355"/>
      <c r="I4395" s="355"/>
      <c r="J4395" s="355"/>
      <c r="K4395" s="355"/>
      <c r="L4395" s="355"/>
      <c r="M4395" s="355"/>
    </row>
    <row r="4396" spans="5:13">
      <c r="E4396" s="355"/>
      <c r="F4396" s="355"/>
      <c r="G4396" s="355"/>
      <c r="H4396" s="355"/>
      <c r="I4396" s="355"/>
      <c r="J4396" s="355"/>
      <c r="K4396" s="355"/>
      <c r="L4396" s="355"/>
      <c r="M4396" s="355"/>
    </row>
    <row r="4397" spans="5:13">
      <c r="E4397" s="355"/>
      <c r="F4397" s="355"/>
      <c r="G4397" s="355"/>
      <c r="H4397" s="355"/>
      <c r="I4397" s="355"/>
      <c r="J4397" s="355"/>
      <c r="K4397" s="355"/>
      <c r="L4397" s="355"/>
      <c r="M4397" s="355"/>
    </row>
    <row r="4398" spans="5:13">
      <c r="E4398" s="355"/>
      <c r="F4398" s="355"/>
      <c r="G4398" s="355"/>
      <c r="H4398" s="355"/>
      <c r="I4398" s="355"/>
      <c r="J4398" s="355"/>
      <c r="K4398" s="355"/>
      <c r="L4398" s="355"/>
      <c r="M4398" s="355"/>
    </row>
    <row r="4399" spans="5:13">
      <c r="E4399" s="355"/>
      <c r="F4399" s="355"/>
      <c r="G4399" s="355"/>
      <c r="H4399" s="355"/>
      <c r="I4399" s="355"/>
      <c r="J4399" s="355"/>
      <c r="K4399" s="355"/>
      <c r="L4399" s="355"/>
      <c r="M4399" s="355"/>
    </row>
    <row r="4400" spans="5:13">
      <c r="E4400" s="355"/>
      <c r="F4400" s="355"/>
      <c r="G4400" s="355"/>
      <c r="H4400" s="355"/>
      <c r="I4400" s="355"/>
      <c r="J4400" s="355"/>
      <c r="K4400" s="355"/>
      <c r="L4400" s="355"/>
      <c r="M4400" s="355"/>
    </row>
    <row r="4401" spans="5:13">
      <c r="E4401" s="355"/>
      <c r="F4401" s="355"/>
      <c r="G4401" s="355"/>
      <c r="H4401" s="355"/>
      <c r="I4401" s="355"/>
      <c r="J4401" s="355"/>
      <c r="K4401" s="355"/>
      <c r="L4401" s="355"/>
      <c r="M4401" s="355"/>
    </row>
    <row r="4402" spans="5:13">
      <c r="E4402" s="355"/>
      <c r="F4402" s="355"/>
      <c r="G4402" s="355"/>
      <c r="H4402" s="355"/>
      <c r="I4402" s="355"/>
      <c r="J4402" s="355"/>
      <c r="K4402" s="355"/>
      <c r="L4402" s="355"/>
      <c r="M4402" s="355"/>
    </row>
    <row r="4403" spans="5:13">
      <c r="E4403" s="355"/>
      <c r="F4403" s="355"/>
      <c r="G4403" s="355"/>
      <c r="H4403" s="355"/>
      <c r="I4403" s="355"/>
      <c r="J4403" s="355"/>
      <c r="K4403" s="355"/>
      <c r="L4403" s="355"/>
      <c r="M4403" s="355"/>
    </row>
    <row r="4404" spans="5:13">
      <c r="E4404" s="355"/>
      <c r="F4404" s="355"/>
      <c r="G4404" s="355"/>
      <c r="H4404" s="355"/>
      <c r="I4404" s="355"/>
      <c r="J4404" s="355"/>
      <c r="K4404" s="355"/>
      <c r="L4404" s="355"/>
      <c r="M4404" s="355"/>
    </row>
    <row r="4405" spans="5:13">
      <c r="E4405" s="355"/>
      <c r="F4405" s="355"/>
      <c r="G4405" s="355"/>
      <c r="H4405" s="355"/>
      <c r="I4405" s="355"/>
      <c r="J4405" s="355"/>
      <c r="K4405" s="355"/>
      <c r="L4405" s="355"/>
      <c r="M4405" s="355"/>
    </row>
    <row r="4406" spans="5:13">
      <c r="E4406" s="355"/>
      <c r="F4406" s="355"/>
      <c r="G4406" s="355"/>
      <c r="H4406" s="355"/>
      <c r="I4406" s="355"/>
      <c r="J4406" s="355"/>
      <c r="K4406" s="355"/>
      <c r="L4406" s="355"/>
      <c r="M4406" s="355"/>
    </row>
    <row r="4407" spans="5:13">
      <c r="E4407" s="355"/>
      <c r="F4407" s="355"/>
      <c r="G4407" s="355"/>
      <c r="H4407" s="355"/>
      <c r="I4407" s="355"/>
      <c r="J4407" s="355"/>
      <c r="K4407" s="355"/>
      <c r="L4407" s="355"/>
      <c r="M4407" s="355"/>
    </row>
    <row r="4408" spans="5:13">
      <c r="E4408" s="355"/>
      <c r="F4408" s="355"/>
      <c r="G4408" s="355"/>
      <c r="H4408" s="355"/>
      <c r="I4408" s="355"/>
      <c r="J4408" s="355"/>
      <c r="K4408" s="355"/>
      <c r="L4408" s="355"/>
      <c r="M4408" s="355"/>
    </row>
    <row r="4409" spans="5:13">
      <c r="E4409" s="355"/>
      <c r="F4409" s="355"/>
      <c r="G4409" s="355"/>
      <c r="H4409" s="355"/>
      <c r="I4409" s="355"/>
      <c r="J4409" s="355"/>
      <c r="K4409" s="355"/>
      <c r="L4409" s="355"/>
      <c r="M4409" s="355"/>
    </row>
    <row r="4410" spans="5:13">
      <c r="E4410" s="355"/>
      <c r="F4410" s="355"/>
      <c r="G4410" s="355"/>
      <c r="H4410" s="355"/>
      <c r="I4410" s="355"/>
      <c r="J4410" s="355"/>
      <c r="K4410" s="355"/>
      <c r="L4410" s="355"/>
      <c r="M4410" s="355"/>
    </row>
    <row r="4411" spans="5:13">
      <c r="E4411" s="355"/>
      <c r="F4411" s="355"/>
      <c r="G4411" s="355"/>
      <c r="H4411" s="355"/>
      <c r="I4411" s="355"/>
      <c r="J4411" s="355"/>
      <c r="K4411" s="355"/>
      <c r="L4411" s="355"/>
      <c r="M4411" s="355"/>
    </row>
    <row r="4412" spans="5:13">
      <c r="E4412" s="355"/>
      <c r="F4412" s="355"/>
      <c r="G4412" s="355"/>
      <c r="H4412" s="355"/>
      <c r="I4412" s="355"/>
      <c r="J4412" s="355"/>
      <c r="K4412" s="355"/>
      <c r="L4412" s="355"/>
      <c r="M4412" s="355"/>
    </row>
    <row r="4413" spans="5:13">
      <c r="E4413" s="355"/>
      <c r="F4413" s="355"/>
      <c r="G4413" s="355"/>
      <c r="H4413" s="355"/>
      <c r="I4413" s="355"/>
      <c r="J4413" s="355"/>
      <c r="K4413" s="355"/>
      <c r="L4413" s="355"/>
      <c r="M4413" s="355"/>
    </row>
    <row r="4414" spans="5:13">
      <c r="E4414" s="355"/>
      <c r="F4414" s="355"/>
      <c r="G4414" s="355"/>
      <c r="H4414" s="355"/>
      <c r="I4414" s="355"/>
      <c r="J4414" s="355"/>
      <c r="K4414" s="355"/>
      <c r="L4414" s="355"/>
      <c r="M4414" s="355"/>
    </row>
    <row r="4415" spans="5:13">
      <c r="E4415" s="355"/>
      <c r="F4415" s="355"/>
      <c r="G4415" s="355"/>
      <c r="H4415" s="355"/>
      <c r="I4415" s="355"/>
      <c r="J4415" s="355"/>
      <c r="K4415" s="355"/>
      <c r="L4415" s="355"/>
      <c r="M4415" s="355"/>
    </row>
    <row r="4416" spans="5:13">
      <c r="E4416" s="355"/>
      <c r="F4416" s="355"/>
      <c r="G4416" s="355"/>
      <c r="H4416" s="355"/>
      <c r="I4416" s="355"/>
      <c r="J4416" s="355"/>
      <c r="K4416" s="355"/>
      <c r="L4416" s="355"/>
      <c r="M4416" s="355"/>
    </row>
    <row r="4417" spans="5:13">
      <c r="E4417" s="355"/>
      <c r="F4417" s="355"/>
      <c r="G4417" s="355"/>
      <c r="H4417" s="355"/>
      <c r="I4417" s="355"/>
      <c r="J4417" s="355"/>
      <c r="K4417" s="355"/>
      <c r="L4417" s="355"/>
      <c r="M4417" s="355"/>
    </row>
    <row r="4418" spans="5:13">
      <c r="E4418" s="355"/>
      <c r="F4418" s="355"/>
      <c r="G4418" s="355"/>
      <c r="H4418" s="355"/>
      <c r="I4418" s="355"/>
      <c r="J4418" s="355"/>
      <c r="K4418" s="355"/>
      <c r="L4418" s="355"/>
      <c r="M4418" s="355"/>
    </row>
    <row r="4419" spans="5:13">
      <c r="E4419" s="355"/>
      <c r="F4419" s="355"/>
      <c r="G4419" s="355"/>
      <c r="H4419" s="355"/>
      <c r="I4419" s="355"/>
      <c r="J4419" s="355"/>
      <c r="K4419" s="355"/>
      <c r="L4419" s="355"/>
      <c r="M4419" s="355"/>
    </row>
    <row r="4420" spans="5:13">
      <c r="E4420" s="355"/>
      <c r="F4420" s="355"/>
      <c r="G4420" s="355"/>
      <c r="H4420" s="355"/>
      <c r="I4420" s="355"/>
      <c r="J4420" s="355"/>
      <c r="K4420" s="355"/>
      <c r="L4420" s="355"/>
      <c r="M4420" s="355"/>
    </row>
    <row r="4421" spans="5:13">
      <c r="E4421" s="355"/>
      <c r="F4421" s="355"/>
      <c r="G4421" s="355"/>
      <c r="H4421" s="355"/>
      <c r="I4421" s="355"/>
      <c r="J4421" s="355"/>
      <c r="K4421" s="355"/>
      <c r="L4421" s="355"/>
      <c r="M4421" s="355"/>
    </row>
    <row r="4422" spans="5:13">
      <c r="E4422" s="355"/>
      <c r="F4422" s="355"/>
      <c r="G4422" s="355"/>
      <c r="H4422" s="355"/>
      <c r="I4422" s="355"/>
      <c r="J4422" s="355"/>
      <c r="K4422" s="355"/>
      <c r="L4422" s="355"/>
      <c r="M4422" s="355"/>
    </row>
    <row r="4423" spans="5:13">
      <c r="E4423" s="355"/>
      <c r="F4423" s="355"/>
      <c r="G4423" s="355"/>
      <c r="H4423" s="355"/>
      <c r="I4423" s="355"/>
      <c r="J4423" s="355"/>
      <c r="K4423" s="355"/>
      <c r="L4423" s="355"/>
      <c r="M4423" s="355"/>
    </row>
    <row r="4424" spans="5:13">
      <c r="E4424" s="355"/>
      <c r="F4424" s="355"/>
      <c r="G4424" s="355"/>
      <c r="H4424" s="355"/>
      <c r="I4424" s="355"/>
      <c r="J4424" s="355"/>
      <c r="K4424" s="355"/>
      <c r="L4424" s="355"/>
      <c r="M4424" s="355"/>
    </row>
    <row r="4425" spans="5:13">
      <c r="E4425" s="355"/>
      <c r="F4425" s="355"/>
      <c r="G4425" s="355"/>
      <c r="H4425" s="355"/>
      <c r="I4425" s="355"/>
      <c r="J4425" s="355"/>
      <c r="K4425" s="355"/>
      <c r="L4425" s="355"/>
      <c r="M4425" s="355"/>
    </row>
    <row r="4426" spans="5:13">
      <c r="E4426" s="355"/>
      <c r="F4426" s="355"/>
      <c r="G4426" s="355"/>
      <c r="H4426" s="355"/>
      <c r="I4426" s="355"/>
      <c r="J4426" s="355"/>
      <c r="K4426" s="355"/>
      <c r="L4426" s="355"/>
      <c r="M4426" s="355"/>
    </row>
    <row r="4427" spans="5:13">
      <c r="E4427" s="355"/>
      <c r="F4427" s="355"/>
      <c r="G4427" s="355"/>
      <c r="H4427" s="355"/>
      <c r="I4427" s="355"/>
      <c r="J4427" s="355"/>
      <c r="K4427" s="355"/>
      <c r="L4427" s="355"/>
      <c r="M4427" s="355"/>
    </row>
    <row r="4428" spans="5:13">
      <c r="E4428" s="355"/>
      <c r="F4428" s="355"/>
      <c r="G4428" s="355"/>
      <c r="H4428" s="355"/>
      <c r="I4428" s="355"/>
      <c r="J4428" s="355"/>
      <c r="K4428" s="355"/>
      <c r="L4428" s="355"/>
      <c r="M4428" s="355"/>
    </row>
    <row r="4429" spans="5:13">
      <c r="E4429" s="355"/>
      <c r="F4429" s="355"/>
      <c r="G4429" s="355"/>
      <c r="H4429" s="355"/>
      <c r="I4429" s="355"/>
      <c r="J4429" s="355"/>
      <c r="K4429" s="355"/>
      <c r="L4429" s="355"/>
      <c r="M4429" s="355"/>
    </row>
    <row r="4430" spans="5:13">
      <c r="E4430" s="355"/>
      <c r="F4430" s="355"/>
      <c r="G4430" s="355"/>
      <c r="H4430" s="355"/>
      <c r="I4430" s="355"/>
      <c r="J4430" s="355"/>
      <c r="K4430" s="355"/>
      <c r="L4430" s="355"/>
      <c r="M4430" s="355"/>
    </row>
    <row r="4431" spans="5:13">
      <c r="E4431" s="355"/>
      <c r="F4431" s="355"/>
      <c r="G4431" s="355"/>
      <c r="H4431" s="355"/>
      <c r="I4431" s="355"/>
      <c r="J4431" s="355"/>
      <c r="K4431" s="355"/>
      <c r="L4431" s="355"/>
      <c r="M4431" s="355"/>
    </row>
    <row r="4432" spans="5:13">
      <c r="E4432" s="355"/>
      <c r="F4432" s="355"/>
      <c r="G4432" s="355"/>
      <c r="H4432" s="355"/>
      <c r="I4432" s="355"/>
      <c r="J4432" s="355"/>
      <c r="K4432" s="355"/>
      <c r="L4432" s="355"/>
      <c r="M4432" s="355"/>
    </row>
    <row r="4433" spans="5:13">
      <c r="E4433" s="355"/>
      <c r="F4433" s="355"/>
      <c r="G4433" s="355"/>
      <c r="H4433" s="355"/>
      <c r="I4433" s="355"/>
      <c r="J4433" s="355"/>
      <c r="K4433" s="355"/>
      <c r="L4433" s="355"/>
      <c r="M4433" s="355"/>
    </row>
    <row r="4434" spans="5:13">
      <c r="E4434" s="355"/>
      <c r="F4434" s="355"/>
      <c r="G4434" s="355"/>
      <c r="H4434" s="355"/>
      <c r="I4434" s="355"/>
      <c r="J4434" s="355"/>
      <c r="K4434" s="355"/>
      <c r="L4434" s="355"/>
      <c r="M4434" s="355"/>
    </row>
    <row r="4435" spans="5:13">
      <c r="E4435" s="355"/>
      <c r="F4435" s="355"/>
      <c r="G4435" s="355"/>
      <c r="H4435" s="355"/>
      <c r="I4435" s="355"/>
      <c r="J4435" s="355"/>
      <c r="K4435" s="355"/>
      <c r="L4435" s="355"/>
      <c r="M4435" s="355"/>
    </row>
    <row r="4436" spans="5:13">
      <c r="E4436" s="355"/>
      <c r="F4436" s="355"/>
      <c r="G4436" s="355"/>
      <c r="H4436" s="355"/>
      <c r="I4436" s="355"/>
      <c r="J4436" s="355"/>
      <c r="K4436" s="355"/>
      <c r="L4436" s="355"/>
      <c r="M4436" s="355"/>
    </row>
    <row r="4437" spans="5:13">
      <c r="E4437" s="355"/>
      <c r="F4437" s="355"/>
      <c r="G4437" s="355"/>
      <c r="H4437" s="355"/>
      <c r="I4437" s="355"/>
      <c r="J4437" s="355"/>
      <c r="K4437" s="355"/>
      <c r="L4437" s="355"/>
      <c r="M4437" s="355"/>
    </row>
    <row r="4438" spans="5:13">
      <c r="E4438" s="355"/>
      <c r="F4438" s="355"/>
      <c r="G4438" s="355"/>
      <c r="H4438" s="355"/>
      <c r="I4438" s="355"/>
      <c r="J4438" s="355"/>
      <c r="K4438" s="355"/>
      <c r="L4438" s="355"/>
      <c r="M4438" s="355"/>
    </row>
    <row r="4439" spans="5:13">
      <c r="E4439" s="355"/>
      <c r="F4439" s="355"/>
      <c r="G4439" s="355"/>
      <c r="H4439" s="355"/>
      <c r="I4439" s="355"/>
      <c r="J4439" s="355"/>
      <c r="K4439" s="355"/>
      <c r="L4439" s="355"/>
      <c r="M4439" s="355"/>
    </row>
    <row r="4440" spans="5:13">
      <c r="E4440" s="355"/>
      <c r="F4440" s="355"/>
      <c r="G4440" s="355"/>
      <c r="H4440" s="355"/>
      <c r="I4440" s="355"/>
      <c r="J4440" s="355"/>
      <c r="K4440" s="355"/>
      <c r="L4440" s="355"/>
      <c r="M4440" s="355"/>
    </row>
    <row r="4441" spans="5:13">
      <c r="E4441" s="355"/>
      <c r="F4441" s="355"/>
      <c r="G4441" s="355"/>
      <c r="H4441" s="355"/>
      <c r="I4441" s="355"/>
      <c r="J4441" s="355"/>
      <c r="K4441" s="355"/>
      <c r="L4441" s="355"/>
      <c r="M4441" s="355"/>
    </row>
    <row r="4442" spans="5:13">
      <c r="E4442" s="355"/>
      <c r="F4442" s="355"/>
      <c r="G4442" s="355"/>
      <c r="H4442" s="355"/>
      <c r="I4442" s="355"/>
      <c r="J4442" s="355"/>
      <c r="K4442" s="355"/>
      <c r="L4442" s="355"/>
      <c r="M4442" s="355"/>
    </row>
    <row r="4443" spans="5:13">
      <c r="E4443" s="355"/>
      <c r="F4443" s="355"/>
      <c r="G4443" s="355"/>
      <c r="H4443" s="355"/>
      <c r="I4443" s="355"/>
      <c r="J4443" s="355"/>
      <c r="K4443" s="355"/>
      <c r="L4443" s="355"/>
      <c r="M4443" s="355"/>
    </row>
    <row r="4444" spans="5:13">
      <c r="E4444" s="355"/>
      <c r="F4444" s="355"/>
      <c r="G4444" s="355"/>
      <c r="H4444" s="355"/>
      <c r="I4444" s="355"/>
      <c r="J4444" s="355"/>
      <c r="K4444" s="355"/>
      <c r="L4444" s="355"/>
      <c r="M4444" s="355"/>
    </row>
    <row r="4445" spans="5:13">
      <c r="E4445" s="355"/>
      <c r="F4445" s="355"/>
      <c r="G4445" s="355"/>
      <c r="H4445" s="355"/>
      <c r="I4445" s="355"/>
      <c r="J4445" s="355"/>
      <c r="K4445" s="355"/>
      <c r="L4445" s="355"/>
      <c r="M4445" s="355"/>
    </row>
    <row r="4446" spans="5:13">
      <c r="E4446" s="355"/>
      <c r="F4446" s="355"/>
      <c r="G4446" s="355"/>
      <c r="H4446" s="355"/>
      <c r="I4446" s="355"/>
      <c r="J4446" s="355"/>
      <c r="K4446" s="355"/>
      <c r="L4446" s="355"/>
      <c r="M4446" s="355"/>
    </row>
    <row r="4447" spans="5:13">
      <c r="E4447" s="355"/>
      <c r="F4447" s="355"/>
      <c r="G4447" s="355"/>
      <c r="H4447" s="355"/>
      <c r="I4447" s="355"/>
      <c r="J4447" s="355"/>
      <c r="K4447" s="355"/>
      <c r="L4447" s="355"/>
      <c r="M4447" s="355"/>
    </row>
    <row r="4448" spans="5:13">
      <c r="E4448" s="355"/>
      <c r="F4448" s="355"/>
      <c r="G4448" s="355"/>
      <c r="H4448" s="355"/>
      <c r="I4448" s="355"/>
      <c r="J4448" s="355"/>
      <c r="K4448" s="355"/>
      <c r="L4448" s="355"/>
      <c r="M4448" s="355"/>
    </row>
    <row r="4449" spans="5:13">
      <c r="E4449" s="355"/>
      <c r="F4449" s="355"/>
      <c r="G4449" s="355"/>
      <c r="H4449" s="355"/>
      <c r="I4449" s="355"/>
      <c r="J4449" s="355"/>
      <c r="K4449" s="355"/>
      <c r="L4449" s="355"/>
      <c r="M4449" s="355"/>
    </row>
    <row r="4450" spans="5:13">
      <c r="E4450" s="355"/>
      <c r="F4450" s="355"/>
      <c r="G4450" s="355"/>
      <c r="H4450" s="355"/>
      <c r="I4450" s="355"/>
      <c r="J4450" s="355"/>
      <c r="K4450" s="355"/>
      <c r="L4450" s="355"/>
      <c r="M4450" s="355"/>
    </row>
    <row r="4451" spans="5:13">
      <c r="E4451" s="355"/>
      <c r="F4451" s="355"/>
      <c r="G4451" s="355"/>
      <c r="H4451" s="355"/>
      <c r="I4451" s="355"/>
      <c r="J4451" s="355"/>
      <c r="K4451" s="355"/>
      <c r="L4451" s="355"/>
      <c r="M4451" s="355"/>
    </row>
    <row r="4452" spans="5:13">
      <c r="E4452" s="355"/>
      <c r="F4452" s="355"/>
      <c r="G4452" s="355"/>
      <c r="H4452" s="355"/>
      <c r="I4452" s="355"/>
      <c r="J4452" s="355"/>
      <c r="K4452" s="355"/>
      <c r="L4452" s="355"/>
      <c r="M4452" s="355"/>
    </row>
    <row r="4453" spans="5:13">
      <c r="E4453" s="355"/>
      <c r="F4453" s="355"/>
      <c r="G4453" s="355"/>
      <c r="H4453" s="355"/>
      <c r="I4453" s="355"/>
      <c r="J4453" s="355"/>
      <c r="K4453" s="355"/>
      <c r="L4453" s="355"/>
      <c r="M4453" s="355"/>
    </row>
    <row r="4454" spans="5:13">
      <c r="E4454" s="355"/>
      <c r="F4454" s="355"/>
      <c r="G4454" s="355"/>
      <c r="H4454" s="355"/>
      <c r="I4454" s="355"/>
      <c r="J4454" s="355"/>
      <c r="K4454" s="355"/>
      <c r="L4454" s="355"/>
      <c r="M4454" s="355"/>
    </row>
    <row r="4455" spans="5:13">
      <c r="E4455" s="355"/>
      <c r="F4455" s="355"/>
      <c r="G4455" s="355"/>
      <c r="H4455" s="355"/>
      <c r="I4455" s="355"/>
      <c r="J4455" s="355"/>
      <c r="K4455" s="355"/>
      <c r="L4455" s="355"/>
      <c r="M4455" s="355"/>
    </row>
    <row r="4456" spans="5:13">
      <c r="E4456" s="355"/>
      <c r="F4456" s="355"/>
      <c r="G4456" s="355"/>
      <c r="H4456" s="355"/>
      <c r="I4456" s="355"/>
      <c r="J4456" s="355"/>
      <c r="K4456" s="355"/>
      <c r="L4456" s="355"/>
      <c r="M4456" s="355"/>
    </row>
    <row r="4457" spans="5:13">
      <c r="E4457" s="355"/>
      <c r="F4457" s="355"/>
      <c r="G4457" s="355"/>
      <c r="H4457" s="355"/>
      <c r="I4457" s="355"/>
      <c r="J4457" s="355"/>
      <c r="K4457" s="355"/>
      <c r="L4457" s="355"/>
      <c r="M4457" s="355"/>
    </row>
    <row r="4458" spans="5:13">
      <c r="E4458" s="355"/>
      <c r="F4458" s="355"/>
      <c r="G4458" s="355"/>
      <c r="H4458" s="355"/>
      <c r="I4458" s="355"/>
      <c r="J4458" s="355"/>
      <c r="K4458" s="355"/>
      <c r="L4458" s="355"/>
      <c r="M4458" s="355"/>
    </row>
    <row r="4459" spans="5:13">
      <c r="E4459" s="355"/>
      <c r="F4459" s="355"/>
      <c r="G4459" s="355"/>
      <c r="H4459" s="355"/>
      <c r="I4459" s="355"/>
      <c r="J4459" s="355"/>
      <c r="K4459" s="355"/>
      <c r="L4459" s="355"/>
      <c r="M4459" s="355"/>
    </row>
    <row r="4460" spans="5:13">
      <c r="E4460" s="355"/>
      <c r="F4460" s="355"/>
      <c r="G4460" s="355"/>
      <c r="H4460" s="355"/>
      <c r="I4460" s="355"/>
      <c r="J4460" s="355"/>
      <c r="K4460" s="355"/>
      <c r="L4460" s="355"/>
      <c r="M4460" s="355"/>
    </row>
    <row r="4461" spans="5:13">
      <c r="E4461" s="355"/>
      <c r="F4461" s="355"/>
      <c r="G4461" s="355"/>
      <c r="H4461" s="355"/>
      <c r="I4461" s="355"/>
      <c r="J4461" s="355"/>
      <c r="K4461" s="355"/>
      <c r="L4461" s="355"/>
      <c r="M4461" s="355"/>
    </row>
    <row r="4462" spans="5:13">
      <c r="E4462" s="355"/>
      <c r="F4462" s="355"/>
      <c r="G4462" s="355"/>
      <c r="H4462" s="355"/>
      <c r="I4462" s="355"/>
      <c r="J4462" s="355"/>
      <c r="K4462" s="355"/>
      <c r="L4462" s="355"/>
      <c r="M4462" s="355"/>
    </row>
    <row r="4463" spans="5:13">
      <c r="E4463" s="355"/>
      <c r="F4463" s="355"/>
      <c r="G4463" s="355"/>
      <c r="H4463" s="355"/>
      <c r="I4463" s="355"/>
      <c r="J4463" s="355"/>
      <c r="K4463" s="355"/>
      <c r="L4463" s="355"/>
      <c r="M4463" s="355"/>
    </row>
    <row r="4464" spans="5:13">
      <c r="E4464" s="355"/>
      <c r="F4464" s="355"/>
      <c r="G4464" s="355"/>
      <c r="H4464" s="355"/>
      <c r="I4464" s="355"/>
      <c r="J4464" s="355"/>
      <c r="K4464" s="355"/>
      <c r="L4464" s="355"/>
      <c r="M4464" s="355"/>
    </row>
    <row r="4465" spans="5:13">
      <c r="E4465" s="355"/>
      <c r="F4465" s="355"/>
      <c r="G4465" s="355"/>
      <c r="H4465" s="355"/>
      <c r="I4465" s="355"/>
      <c r="J4465" s="355"/>
      <c r="K4465" s="355"/>
      <c r="L4465" s="355"/>
      <c r="M4465" s="355"/>
    </row>
    <row r="4466" spans="5:13">
      <c r="E4466" s="355"/>
      <c r="F4466" s="355"/>
      <c r="G4466" s="355"/>
      <c r="H4466" s="355"/>
      <c r="I4466" s="355"/>
      <c r="J4466" s="355"/>
      <c r="K4466" s="355"/>
      <c r="L4466" s="355"/>
      <c r="M4466" s="355"/>
    </row>
    <row r="4467" spans="5:13">
      <c r="E4467" s="355"/>
      <c r="F4467" s="355"/>
      <c r="G4467" s="355"/>
      <c r="H4467" s="355"/>
      <c r="I4467" s="355"/>
      <c r="J4467" s="355"/>
      <c r="K4467" s="355"/>
      <c r="L4467" s="355"/>
      <c r="M4467" s="355"/>
    </row>
    <row r="4468" spans="5:13">
      <c r="E4468" s="355"/>
      <c r="F4468" s="355"/>
      <c r="G4468" s="355"/>
      <c r="H4468" s="355"/>
      <c r="I4468" s="355"/>
      <c r="J4468" s="355"/>
      <c r="K4468" s="355"/>
      <c r="L4468" s="355"/>
      <c r="M4468" s="355"/>
    </row>
    <row r="4469" spans="5:13">
      <c r="E4469" s="355"/>
      <c r="F4469" s="355"/>
      <c r="G4469" s="355"/>
      <c r="H4469" s="355"/>
      <c r="I4469" s="355"/>
      <c r="J4469" s="355"/>
      <c r="K4469" s="355"/>
      <c r="L4469" s="355"/>
      <c r="M4469" s="355"/>
    </row>
    <row r="4470" spans="5:13">
      <c r="E4470" s="355"/>
      <c r="F4470" s="355"/>
      <c r="G4470" s="355"/>
      <c r="H4470" s="355"/>
      <c r="I4470" s="355"/>
      <c r="J4470" s="355"/>
      <c r="K4470" s="355"/>
      <c r="L4470" s="355"/>
      <c r="M4470" s="355"/>
    </row>
    <row r="4471" spans="5:13">
      <c r="E4471" s="355"/>
      <c r="F4471" s="355"/>
      <c r="G4471" s="355"/>
      <c r="H4471" s="355"/>
      <c r="I4471" s="355"/>
      <c r="J4471" s="355"/>
      <c r="K4471" s="355"/>
      <c r="L4471" s="355"/>
      <c r="M4471" s="355"/>
    </row>
    <row r="4472" spans="5:13">
      <c r="E4472" s="355"/>
      <c r="F4472" s="355"/>
      <c r="G4472" s="355"/>
      <c r="H4472" s="355"/>
      <c r="I4472" s="355"/>
      <c r="J4472" s="355"/>
      <c r="K4472" s="355"/>
      <c r="L4472" s="355"/>
      <c r="M4472" s="355"/>
    </row>
    <row r="4473" spans="5:13">
      <c r="E4473" s="355"/>
      <c r="F4473" s="355"/>
      <c r="G4473" s="355"/>
      <c r="H4473" s="355"/>
      <c r="I4473" s="355"/>
      <c r="J4473" s="355"/>
      <c r="K4473" s="355"/>
      <c r="L4473" s="355"/>
      <c r="M4473" s="355"/>
    </row>
    <row r="4474" spans="5:13">
      <c r="E4474" s="355"/>
      <c r="F4474" s="355"/>
      <c r="G4474" s="355"/>
      <c r="H4474" s="355"/>
      <c r="I4474" s="355"/>
      <c r="J4474" s="355"/>
      <c r="K4474" s="355"/>
      <c r="L4474" s="355"/>
      <c r="M4474" s="355"/>
    </row>
    <row r="4475" spans="5:13">
      <c r="E4475" s="355"/>
      <c r="F4475" s="355"/>
      <c r="G4475" s="355"/>
      <c r="H4475" s="355"/>
      <c r="I4475" s="355"/>
      <c r="J4475" s="355"/>
      <c r="K4475" s="355"/>
      <c r="L4475" s="355"/>
      <c r="M4475" s="355"/>
    </row>
    <row r="4476" spans="5:13">
      <c r="E4476" s="355"/>
      <c r="F4476" s="355"/>
      <c r="G4476" s="355"/>
      <c r="H4476" s="355"/>
      <c r="I4476" s="355"/>
      <c r="J4476" s="355"/>
      <c r="K4476" s="355"/>
      <c r="L4476" s="355"/>
      <c r="M4476" s="355"/>
    </row>
    <row r="4477" spans="5:13">
      <c r="E4477" s="355"/>
      <c r="F4477" s="355"/>
      <c r="G4477" s="355"/>
      <c r="H4477" s="355"/>
      <c r="I4477" s="355"/>
      <c r="J4477" s="355"/>
      <c r="K4477" s="355"/>
      <c r="L4477" s="355"/>
      <c r="M4477" s="355"/>
    </row>
    <row r="4478" spans="5:13">
      <c r="E4478" s="355"/>
      <c r="F4478" s="355"/>
      <c r="G4478" s="355"/>
      <c r="H4478" s="355"/>
      <c r="I4478" s="355"/>
      <c r="J4478" s="355"/>
      <c r="K4478" s="355"/>
      <c r="L4478" s="355"/>
      <c r="M4478" s="355"/>
    </row>
    <row r="4479" spans="5:13">
      <c r="E4479" s="355"/>
      <c r="F4479" s="355"/>
      <c r="G4479" s="355"/>
      <c r="H4479" s="355"/>
      <c r="I4479" s="355"/>
      <c r="J4479" s="355"/>
      <c r="K4479" s="355"/>
      <c r="L4479" s="355"/>
      <c r="M4479" s="355"/>
    </row>
    <row r="4480" spans="5:13">
      <c r="E4480" s="355"/>
      <c r="F4480" s="355"/>
      <c r="G4480" s="355"/>
      <c r="H4480" s="355"/>
      <c r="I4480" s="355"/>
      <c r="J4480" s="355"/>
      <c r="K4480" s="355"/>
      <c r="L4480" s="355"/>
      <c r="M4480" s="355"/>
    </row>
    <row r="4481" spans="5:13">
      <c r="E4481" s="355"/>
      <c r="F4481" s="355"/>
      <c r="G4481" s="355"/>
      <c r="H4481" s="355"/>
      <c r="I4481" s="355"/>
      <c r="J4481" s="355"/>
      <c r="K4481" s="355"/>
      <c r="L4481" s="355"/>
      <c r="M4481" s="355"/>
    </row>
    <row r="4482" spans="5:13">
      <c r="E4482" s="355"/>
      <c r="F4482" s="355"/>
      <c r="G4482" s="355"/>
      <c r="H4482" s="355"/>
      <c r="I4482" s="355"/>
      <c r="J4482" s="355"/>
      <c r="K4482" s="355"/>
      <c r="L4482" s="355"/>
      <c r="M4482" s="355"/>
    </row>
    <row r="4483" spans="5:13">
      <c r="E4483" s="355"/>
      <c r="F4483" s="355"/>
      <c r="G4483" s="355"/>
      <c r="H4483" s="355"/>
      <c r="I4483" s="355"/>
      <c r="J4483" s="355"/>
      <c r="K4483" s="355"/>
      <c r="L4483" s="355"/>
      <c r="M4483" s="355"/>
    </row>
    <row r="4484" spans="5:13">
      <c r="E4484" s="355"/>
      <c r="F4484" s="355"/>
      <c r="G4484" s="355"/>
      <c r="H4484" s="355"/>
      <c r="I4484" s="355"/>
      <c r="J4484" s="355"/>
      <c r="K4484" s="355"/>
      <c r="L4484" s="355"/>
      <c r="M4484" s="355"/>
    </row>
    <row r="4485" spans="5:13">
      <c r="E4485" s="355"/>
      <c r="F4485" s="355"/>
      <c r="G4485" s="355"/>
      <c r="H4485" s="355"/>
      <c r="I4485" s="355"/>
      <c r="J4485" s="355"/>
      <c r="K4485" s="355"/>
      <c r="L4485" s="355"/>
      <c r="M4485" s="355"/>
    </row>
    <row r="4486" spans="5:13">
      <c r="E4486" s="355"/>
      <c r="F4486" s="355"/>
      <c r="G4486" s="355"/>
      <c r="H4486" s="355"/>
      <c r="I4486" s="355"/>
      <c r="J4486" s="355"/>
      <c r="K4486" s="355"/>
      <c r="L4486" s="355"/>
      <c r="M4486" s="355"/>
    </row>
    <row r="4487" spans="5:13">
      <c r="E4487" s="355"/>
      <c r="F4487" s="355"/>
      <c r="G4487" s="355"/>
      <c r="H4487" s="355"/>
      <c r="I4487" s="355"/>
      <c r="J4487" s="355"/>
      <c r="K4487" s="355"/>
      <c r="L4487" s="355"/>
      <c r="M4487" s="355"/>
    </row>
    <row r="4488" spans="5:13">
      <c r="E4488" s="355"/>
      <c r="F4488" s="355"/>
      <c r="G4488" s="355"/>
      <c r="H4488" s="355"/>
      <c r="I4488" s="355"/>
      <c r="J4488" s="355"/>
      <c r="K4488" s="355"/>
      <c r="L4488" s="355"/>
      <c r="M4488" s="355"/>
    </row>
    <row r="4489" spans="5:13">
      <c r="E4489" s="355"/>
      <c r="F4489" s="355"/>
      <c r="G4489" s="355"/>
      <c r="H4489" s="355"/>
      <c r="I4489" s="355"/>
      <c r="J4489" s="355"/>
      <c r="K4489" s="355"/>
      <c r="L4489" s="355"/>
      <c r="M4489" s="355"/>
    </row>
    <row r="4490" spans="5:13">
      <c r="E4490" s="355"/>
      <c r="F4490" s="355"/>
      <c r="G4490" s="355"/>
      <c r="H4490" s="355"/>
      <c r="I4490" s="355"/>
      <c r="J4490" s="355"/>
      <c r="K4490" s="355"/>
      <c r="L4490" s="355"/>
      <c r="M4490" s="355"/>
    </row>
    <row r="4491" spans="5:13">
      <c r="E4491" s="355"/>
      <c r="F4491" s="355"/>
      <c r="G4491" s="355"/>
      <c r="H4491" s="355"/>
      <c r="I4491" s="355"/>
      <c r="J4491" s="355"/>
      <c r="K4491" s="355"/>
      <c r="L4491" s="355"/>
      <c r="M4491" s="355"/>
    </row>
    <row r="4492" spans="5:13">
      <c r="E4492" s="355"/>
      <c r="F4492" s="355"/>
      <c r="G4492" s="355"/>
      <c r="H4492" s="355"/>
      <c r="I4492" s="355"/>
      <c r="J4492" s="355"/>
      <c r="K4492" s="355"/>
      <c r="L4492" s="355"/>
      <c r="M4492" s="355"/>
    </row>
    <row r="4493" spans="5:13">
      <c r="E4493" s="355"/>
      <c r="F4493" s="355"/>
      <c r="G4493" s="355"/>
      <c r="H4493" s="355"/>
      <c r="I4493" s="355"/>
      <c r="J4493" s="355"/>
      <c r="K4493" s="355"/>
      <c r="L4493" s="355"/>
      <c r="M4493" s="355"/>
    </row>
    <row r="4494" spans="5:13">
      <c r="E4494" s="355"/>
      <c r="F4494" s="355"/>
      <c r="G4494" s="355"/>
      <c r="H4494" s="355"/>
      <c r="I4494" s="355"/>
      <c r="J4494" s="355"/>
      <c r="K4494" s="355"/>
      <c r="L4494" s="355"/>
      <c r="M4494" s="355"/>
    </row>
    <row r="4495" spans="5:13">
      <c r="E4495" s="355"/>
      <c r="F4495" s="355"/>
      <c r="G4495" s="355"/>
      <c r="H4495" s="355"/>
      <c r="I4495" s="355"/>
      <c r="J4495" s="355"/>
      <c r="K4495" s="355"/>
      <c r="L4495" s="355"/>
      <c r="M4495" s="355"/>
    </row>
    <row r="4496" spans="5:13">
      <c r="E4496" s="355"/>
      <c r="F4496" s="355"/>
      <c r="G4496" s="355"/>
      <c r="H4496" s="355"/>
      <c r="I4496" s="355"/>
      <c r="J4496" s="355"/>
      <c r="K4496" s="355"/>
      <c r="L4496" s="355"/>
      <c r="M4496" s="355"/>
    </row>
    <row r="4497" spans="5:13">
      <c r="E4497" s="355"/>
      <c r="F4497" s="355"/>
      <c r="G4497" s="355"/>
      <c r="H4497" s="355"/>
      <c r="I4497" s="355"/>
      <c r="J4497" s="355"/>
      <c r="K4497" s="355"/>
      <c r="L4497" s="355"/>
      <c r="M4497" s="355"/>
    </row>
    <row r="4498" spans="5:13">
      <c r="E4498" s="355"/>
      <c r="F4498" s="355"/>
      <c r="G4498" s="355"/>
      <c r="H4498" s="355"/>
      <c r="I4498" s="355"/>
      <c r="J4498" s="355"/>
      <c r="K4498" s="355"/>
      <c r="L4498" s="355"/>
      <c r="M4498" s="355"/>
    </row>
    <row r="4499" spans="5:13">
      <c r="E4499" s="355"/>
      <c r="F4499" s="355"/>
      <c r="G4499" s="355"/>
      <c r="H4499" s="355"/>
      <c r="I4499" s="355"/>
      <c r="J4499" s="355"/>
      <c r="K4499" s="355"/>
      <c r="L4499" s="355"/>
      <c r="M4499" s="355"/>
    </row>
    <row r="4500" spans="5:13">
      <c r="E4500" s="355"/>
      <c r="F4500" s="355"/>
      <c r="G4500" s="355"/>
      <c r="H4500" s="355"/>
      <c r="I4500" s="355"/>
      <c r="J4500" s="355"/>
      <c r="K4500" s="355"/>
      <c r="L4500" s="355"/>
      <c r="M4500" s="355"/>
    </row>
    <row r="4501" spans="5:13">
      <c r="E4501" s="355"/>
      <c r="F4501" s="355"/>
      <c r="G4501" s="355"/>
      <c r="H4501" s="355"/>
      <c r="I4501" s="355"/>
      <c r="J4501" s="355"/>
      <c r="K4501" s="355"/>
      <c r="L4501" s="355"/>
      <c r="M4501" s="355"/>
    </row>
    <row r="4502" spans="5:13">
      <c r="E4502" s="355"/>
      <c r="F4502" s="355"/>
      <c r="G4502" s="355"/>
      <c r="H4502" s="355"/>
      <c r="I4502" s="355"/>
      <c r="J4502" s="355"/>
      <c r="K4502" s="355"/>
      <c r="L4502" s="355"/>
      <c r="M4502" s="355"/>
    </row>
    <row r="4503" spans="5:13">
      <c r="E4503" s="355"/>
      <c r="F4503" s="355"/>
      <c r="G4503" s="355"/>
      <c r="H4503" s="355"/>
      <c r="I4503" s="355"/>
      <c r="J4503" s="355"/>
      <c r="K4503" s="355"/>
      <c r="L4503" s="355"/>
      <c r="M4503" s="355"/>
    </row>
    <row r="4504" spans="5:13">
      <c r="E4504" s="355"/>
      <c r="F4504" s="355"/>
      <c r="G4504" s="355"/>
      <c r="H4504" s="355"/>
      <c r="I4504" s="355"/>
      <c r="J4504" s="355"/>
      <c r="K4504" s="355"/>
      <c r="L4504" s="355"/>
      <c r="M4504" s="355"/>
    </row>
    <row r="4505" spans="5:13">
      <c r="E4505" s="355"/>
      <c r="F4505" s="355"/>
      <c r="G4505" s="355"/>
      <c r="H4505" s="355"/>
      <c r="I4505" s="355"/>
      <c r="J4505" s="355"/>
      <c r="K4505" s="355"/>
      <c r="L4505" s="355"/>
      <c r="M4505" s="355"/>
    </row>
    <row r="4506" spans="5:13">
      <c r="E4506" s="355"/>
      <c r="F4506" s="355"/>
      <c r="G4506" s="355"/>
      <c r="H4506" s="355"/>
      <c r="I4506" s="355"/>
      <c r="J4506" s="355"/>
      <c r="K4506" s="355"/>
      <c r="L4506" s="355"/>
      <c r="M4506" s="355"/>
    </row>
    <row r="4507" spans="5:13">
      <c r="E4507" s="355"/>
      <c r="F4507" s="355"/>
      <c r="G4507" s="355"/>
      <c r="H4507" s="355"/>
      <c r="I4507" s="355"/>
      <c r="J4507" s="355"/>
      <c r="K4507" s="355"/>
      <c r="L4507" s="355"/>
      <c r="M4507" s="355"/>
    </row>
    <row r="4508" spans="5:13">
      <c r="E4508" s="355"/>
      <c r="F4508" s="355"/>
      <c r="G4508" s="355"/>
      <c r="H4508" s="355"/>
      <c r="I4508" s="355"/>
      <c r="J4508" s="355"/>
      <c r="K4508" s="355"/>
      <c r="L4508" s="355"/>
      <c r="M4508" s="355"/>
    </row>
    <row r="4509" spans="5:13">
      <c r="E4509" s="355"/>
      <c r="F4509" s="355"/>
      <c r="G4509" s="355"/>
      <c r="H4509" s="355"/>
      <c r="I4509" s="355"/>
      <c r="J4509" s="355"/>
      <c r="K4509" s="355"/>
      <c r="L4509" s="355"/>
      <c r="M4509" s="355"/>
    </row>
    <row r="4510" spans="5:13">
      <c r="E4510" s="355"/>
      <c r="F4510" s="355"/>
      <c r="G4510" s="355"/>
      <c r="H4510" s="355"/>
      <c r="I4510" s="355"/>
      <c r="J4510" s="355"/>
      <c r="K4510" s="355"/>
      <c r="L4510" s="355"/>
      <c r="M4510" s="355"/>
    </row>
    <row r="4511" spans="5:13">
      <c r="E4511" s="355"/>
      <c r="F4511" s="355"/>
      <c r="G4511" s="355"/>
      <c r="H4511" s="355"/>
      <c r="I4511" s="355"/>
      <c r="J4511" s="355"/>
      <c r="K4511" s="355"/>
      <c r="L4511" s="355"/>
      <c r="M4511" s="355"/>
    </row>
    <row r="4512" spans="5:13">
      <c r="E4512" s="355"/>
      <c r="F4512" s="355"/>
      <c r="G4512" s="355"/>
      <c r="H4512" s="355"/>
      <c r="I4512" s="355"/>
      <c r="J4512" s="355"/>
      <c r="K4512" s="355"/>
      <c r="L4512" s="355"/>
      <c r="M4512" s="355"/>
    </row>
    <row r="4513" spans="5:13">
      <c r="E4513" s="355"/>
      <c r="F4513" s="355"/>
      <c r="G4513" s="355"/>
      <c r="H4513" s="355"/>
      <c r="I4513" s="355"/>
      <c r="J4513" s="355"/>
      <c r="K4513" s="355"/>
      <c r="L4513" s="355"/>
      <c r="M4513" s="355"/>
    </row>
    <row r="4514" spans="5:13">
      <c r="E4514" s="355"/>
      <c r="F4514" s="355"/>
      <c r="G4514" s="355"/>
      <c r="H4514" s="355"/>
      <c r="I4514" s="355"/>
      <c r="J4514" s="355"/>
      <c r="K4514" s="355"/>
      <c r="L4514" s="355"/>
      <c r="M4514" s="355"/>
    </row>
    <row r="4515" spans="5:13">
      <c r="E4515" s="355"/>
      <c r="F4515" s="355"/>
      <c r="G4515" s="355"/>
      <c r="H4515" s="355"/>
      <c r="I4515" s="355"/>
      <c r="J4515" s="355"/>
      <c r="K4515" s="355"/>
      <c r="L4515" s="355"/>
      <c r="M4515" s="355"/>
    </row>
    <row r="4516" spans="5:13">
      <c r="E4516" s="355"/>
      <c r="F4516" s="355"/>
      <c r="G4516" s="355"/>
      <c r="H4516" s="355"/>
      <c r="I4516" s="355"/>
      <c r="J4516" s="355"/>
      <c r="K4516" s="355"/>
      <c r="L4516" s="355"/>
      <c r="M4516" s="355"/>
    </row>
    <row r="4517" spans="5:13">
      <c r="E4517" s="355"/>
      <c r="F4517" s="355"/>
      <c r="G4517" s="355"/>
      <c r="H4517" s="355"/>
      <c r="I4517" s="355"/>
      <c r="J4517" s="355"/>
      <c r="K4517" s="355"/>
      <c r="L4517" s="355"/>
      <c r="M4517" s="355"/>
    </row>
    <row r="4518" spans="5:13">
      <c r="E4518" s="355"/>
      <c r="F4518" s="355"/>
      <c r="G4518" s="355"/>
      <c r="H4518" s="355"/>
      <c r="I4518" s="355"/>
      <c r="J4518" s="355"/>
      <c r="K4518" s="355"/>
      <c r="L4518" s="355"/>
      <c r="M4518" s="355"/>
    </row>
    <row r="4519" spans="5:13">
      <c r="E4519" s="355"/>
      <c r="F4519" s="355"/>
      <c r="G4519" s="355"/>
      <c r="H4519" s="355"/>
      <c r="I4519" s="355"/>
      <c r="J4519" s="355"/>
      <c r="K4519" s="355"/>
      <c r="L4519" s="355"/>
      <c r="M4519" s="355"/>
    </row>
    <row r="4520" spans="5:13">
      <c r="E4520" s="355"/>
      <c r="F4520" s="355"/>
      <c r="G4520" s="355"/>
      <c r="H4520" s="355"/>
      <c r="I4520" s="355"/>
      <c r="J4520" s="355"/>
      <c r="K4520" s="355"/>
      <c r="L4520" s="355"/>
      <c r="M4520" s="355"/>
    </row>
    <row r="4521" spans="5:13">
      <c r="E4521" s="355"/>
      <c r="F4521" s="355"/>
      <c r="G4521" s="355"/>
      <c r="H4521" s="355"/>
      <c r="I4521" s="355"/>
      <c r="J4521" s="355"/>
      <c r="K4521" s="355"/>
      <c r="L4521" s="355"/>
      <c r="M4521" s="355"/>
    </row>
    <row r="4522" spans="5:13">
      <c r="E4522" s="355"/>
      <c r="F4522" s="355"/>
      <c r="G4522" s="355"/>
      <c r="H4522" s="355"/>
      <c r="I4522" s="355"/>
      <c r="J4522" s="355"/>
      <c r="K4522" s="355"/>
      <c r="L4522" s="355"/>
      <c r="M4522" s="355"/>
    </row>
    <row r="4523" spans="5:13">
      <c r="E4523" s="355"/>
      <c r="F4523" s="355"/>
      <c r="G4523" s="355"/>
      <c r="H4523" s="355"/>
      <c r="I4523" s="355"/>
      <c r="J4523" s="355"/>
      <c r="K4523" s="355"/>
      <c r="L4523" s="355"/>
      <c r="M4523" s="355"/>
    </row>
    <row r="4524" spans="5:13">
      <c r="E4524" s="355"/>
      <c r="F4524" s="355"/>
      <c r="G4524" s="355"/>
      <c r="H4524" s="355"/>
      <c r="I4524" s="355"/>
      <c r="J4524" s="355"/>
      <c r="K4524" s="355"/>
      <c r="L4524" s="355"/>
      <c r="M4524" s="355"/>
    </row>
    <row r="4525" spans="5:13">
      <c r="E4525" s="355"/>
      <c r="F4525" s="355"/>
      <c r="G4525" s="355"/>
      <c r="H4525" s="355"/>
      <c r="I4525" s="355"/>
      <c r="J4525" s="355"/>
      <c r="K4525" s="355"/>
      <c r="L4525" s="355"/>
      <c r="M4525" s="355"/>
    </row>
    <row r="4526" spans="5:13">
      <c r="E4526" s="355"/>
      <c r="F4526" s="355"/>
      <c r="G4526" s="355"/>
      <c r="H4526" s="355"/>
      <c r="I4526" s="355"/>
      <c r="J4526" s="355"/>
      <c r="K4526" s="355"/>
      <c r="L4526" s="355"/>
      <c r="M4526" s="355"/>
    </row>
    <row r="4527" spans="5:13">
      <c r="E4527" s="355"/>
      <c r="F4527" s="355"/>
      <c r="G4527" s="355"/>
      <c r="H4527" s="355"/>
      <c r="I4527" s="355"/>
      <c r="J4527" s="355"/>
      <c r="K4527" s="355"/>
      <c r="L4527" s="355"/>
      <c r="M4527" s="355"/>
    </row>
    <row r="4528" spans="5:13">
      <c r="E4528" s="355"/>
      <c r="F4528" s="355"/>
      <c r="G4528" s="355"/>
      <c r="H4528" s="355"/>
      <c r="I4528" s="355"/>
      <c r="J4528" s="355"/>
      <c r="K4528" s="355"/>
      <c r="L4528" s="355"/>
      <c r="M4528" s="355"/>
    </row>
    <row r="4529" spans="5:13">
      <c r="E4529" s="355"/>
      <c r="F4529" s="355"/>
      <c r="G4529" s="355"/>
      <c r="H4529" s="355"/>
      <c r="I4529" s="355"/>
      <c r="J4529" s="355"/>
      <c r="K4529" s="355"/>
      <c r="L4529" s="355"/>
      <c r="M4529" s="355"/>
    </row>
    <row r="4530" spans="5:13">
      <c r="E4530" s="355"/>
      <c r="F4530" s="355"/>
      <c r="G4530" s="355"/>
      <c r="H4530" s="355"/>
      <c r="I4530" s="355"/>
      <c r="J4530" s="355"/>
      <c r="K4530" s="355"/>
      <c r="L4530" s="355"/>
      <c r="M4530" s="355"/>
    </row>
    <row r="4531" spans="5:13">
      <c r="E4531" s="355"/>
      <c r="F4531" s="355"/>
      <c r="G4531" s="355"/>
      <c r="H4531" s="355"/>
      <c r="I4531" s="355"/>
      <c r="J4531" s="355"/>
      <c r="K4531" s="355"/>
      <c r="L4531" s="355"/>
      <c r="M4531" s="355"/>
    </row>
    <row r="4532" spans="5:13">
      <c r="E4532" s="355"/>
      <c r="F4532" s="355"/>
      <c r="G4532" s="355"/>
      <c r="H4532" s="355"/>
      <c r="I4532" s="355"/>
      <c r="J4532" s="355"/>
      <c r="K4532" s="355"/>
      <c r="L4532" s="355"/>
      <c r="M4532" s="355"/>
    </row>
    <row r="4533" spans="5:13">
      <c r="E4533" s="355"/>
      <c r="F4533" s="355"/>
      <c r="G4533" s="355"/>
      <c r="H4533" s="355"/>
      <c r="I4533" s="355"/>
      <c r="J4533" s="355"/>
      <c r="K4533" s="355"/>
      <c r="L4533" s="355"/>
      <c r="M4533" s="355"/>
    </row>
    <row r="4534" spans="5:13">
      <c r="E4534" s="355"/>
      <c r="F4534" s="355"/>
      <c r="G4534" s="355"/>
      <c r="H4534" s="355"/>
      <c r="I4534" s="355"/>
      <c r="J4534" s="355"/>
      <c r="K4534" s="355"/>
      <c r="L4534" s="355"/>
      <c r="M4534" s="355"/>
    </row>
    <row r="4535" spans="5:13">
      <c r="E4535" s="355"/>
      <c r="F4535" s="355"/>
      <c r="G4535" s="355"/>
      <c r="H4535" s="355"/>
      <c r="I4535" s="355"/>
      <c r="J4535" s="355"/>
      <c r="K4535" s="355"/>
      <c r="L4535" s="355"/>
      <c r="M4535" s="355"/>
    </row>
    <row r="4536" spans="5:13">
      <c r="E4536" s="355"/>
      <c r="F4536" s="355"/>
      <c r="G4536" s="355"/>
      <c r="H4536" s="355"/>
      <c r="I4536" s="355"/>
      <c r="J4536" s="355"/>
      <c r="K4536" s="355"/>
      <c r="L4536" s="355"/>
      <c r="M4536" s="355"/>
    </row>
    <row r="4537" spans="5:13">
      <c r="E4537" s="355"/>
      <c r="F4537" s="355"/>
      <c r="G4537" s="355"/>
      <c r="H4537" s="355"/>
      <c r="I4537" s="355"/>
      <c r="J4537" s="355"/>
      <c r="K4537" s="355"/>
      <c r="L4537" s="355"/>
      <c r="M4537" s="355"/>
    </row>
    <row r="4538" spans="5:13">
      <c r="E4538" s="355"/>
      <c r="F4538" s="355"/>
      <c r="G4538" s="355"/>
      <c r="H4538" s="355"/>
      <c r="I4538" s="355"/>
      <c r="J4538" s="355"/>
      <c r="K4538" s="355"/>
      <c r="L4538" s="355"/>
      <c r="M4538" s="355"/>
    </row>
    <row r="4539" spans="5:13">
      <c r="E4539" s="355"/>
      <c r="F4539" s="355"/>
      <c r="G4539" s="355"/>
      <c r="H4539" s="355"/>
      <c r="I4539" s="355"/>
      <c r="J4539" s="355"/>
      <c r="K4539" s="355"/>
      <c r="L4539" s="355"/>
      <c r="M4539" s="355"/>
    </row>
    <row r="4540" spans="5:13">
      <c r="E4540" s="355"/>
      <c r="F4540" s="355"/>
      <c r="G4540" s="355"/>
      <c r="H4540" s="355"/>
      <c r="I4540" s="355"/>
      <c r="J4540" s="355"/>
      <c r="K4540" s="355"/>
      <c r="L4540" s="355"/>
      <c r="M4540" s="355"/>
    </row>
    <row r="4541" spans="5:13">
      <c r="E4541" s="355"/>
      <c r="F4541" s="355"/>
      <c r="G4541" s="355"/>
      <c r="H4541" s="355"/>
      <c r="I4541" s="355"/>
      <c r="J4541" s="355"/>
      <c r="K4541" s="355"/>
      <c r="L4541" s="355"/>
      <c r="M4541" s="355"/>
    </row>
    <row r="4542" spans="5:13">
      <c r="E4542" s="355"/>
      <c r="F4542" s="355"/>
      <c r="G4542" s="355"/>
      <c r="H4542" s="355"/>
      <c r="I4542" s="355"/>
      <c r="J4542" s="355"/>
      <c r="K4542" s="355"/>
      <c r="L4542" s="355"/>
      <c r="M4542" s="355"/>
    </row>
    <row r="4543" spans="5:13">
      <c r="E4543" s="355"/>
      <c r="F4543" s="355"/>
      <c r="G4543" s="355"/>
      <c r="H4543" s="355"/>
      <c r="I4543" s="355"/>
      <c r="J4543" s="355"/>
      <c r="K4543" s="355"/>
      <c r="L4543" s="355"/>
      <c r="M4543" s="355"/>
    </row>
    <row r="4544" spans="5:13">
      <c r="E4544" s="355"/>
      <c r="F4544" s="355"/>
      <c r="G4544" s="355"/>
      <c r="H4544" s="355"/>
      <c r="I4544" s="355"/>
      <c r="J4544" s="355"/>
      <c r="K4544" s="355"/>
      <c r="L4544" s="355"/>
      <c r="M4544" s="355"/>
    </row>
    <row r="4545" spans="5:13">
      <c r="E4545" s="355"/>
      <c r="F4545" s="355"/>
      <c r="G4545" s="355"/>
      <c r="H4545" s="355"/>
      <c r="I4545" s="355"/>
      <c r="J4545" s="355"/>
      <c r="K4545" s="355"/>
      <c r="L4545" s="355"/>
      <c r="M4545" s="355"/>
    </row>
    <row r="4546" spans="5:13">
      <c r="E4546" s="355"/>
      <c r="F4546" s="355"/>
      <c r="G4546" s="355"/>
      <c r="H4546" s="355"/>
      <c r="I4546" s="355"/>
      <c r="J4546" s="355"/>
      <c r="K4546" s="355"/>
      <c r="L4546" s="355"/>
      <c r="M4546" s="355"/>
    </row>
    <row r="4547" spans="5:13">
      <c r="E4547" s="355"/>
      <c r="F4547" s="355"/>
      <c r="G4547" s="355"/>
      <c r="H4547" s="355"/>
      <c r="I4547" s="355"/>
      <c r="J4547" s="355"/>
      <c r="K4547" s="355"/>
      <c r="L4547" s="355"/>
      <c r="M4547" s="355"/>
    </row>
    <row r="4548" spans="5:13">
      <c r="E4548" s="355"/>
      <c r="F4548" s="355"/>
      <c r="G4548" s="355"/>
      <c r="H4548" s="355"/>
      <c r="I4548" s="355"/>
      <c r="J4548" s="355"/>
      <c r="K4548" s="355"/>
      <c r="L4548" s="355"/>
      <c r="M4548" s="355"/>
    </row>
    <row r="4549" spans="5:13">
      <c r="E4549" s="355"/>
      <c r="F4549" s="355"/>
      <c r="G4549" s="355"/>
      <c r="H4549" s="355"/>
      <c r="I4549" s="355"/>
      <c r="J4549" s="355"/>
      <c r="K4549" s="355"/>
      <c r="L4549" s="355"/>
      <c r="M4549" s="355"/>
    </row>
    <row r="4550" spans="5:13">
      <c r="E4550" s="355"/>
      <c r="F4550" s="355"/>
      <c r="G4550" s="355"/>
      <c r="H4550" s="355"/>
      <c r="I4550" s="355"/>
      <c r="J4550" s="355"/>
      <c r="K4550" s="355"/>
      <c r="L4550" s="355"/>
      <c r="M4550" s="355"/>
    </row>
    <row r="4551" spans="5:13">
      <c r="E4551" s="355"/>
      <c r="F4551" s="355"/>
      <c r="G4551" s="355"/>
      <c r="H4551" s="355"/>
      <c r="I4551" s="355"/>
      <c r="J4551" s="355"/>
      <c r="K4551" s="355"/>
      <c r="L4551" s="355"/>
      <c r="M4551" s="355"/>
    </row>
    <row r="4552" spans="5:13">
      <c r="E4552" s="355"/>
      <c r="F4552" s="355"/>
      <c r="G4552" s="355"/>
      <c r="H4552" s="355"/>
      <c r="I4552" s="355"/>
      <c r="J4552" s="355"/>
      <c r="K4552" s="355"/>
      <c r="L4552" s="355"/>
      <c r="M4552" s="355"/>
    </row>
    <row r="4553" spans="5:13">
      <c r="E4553" s="355"/>
      <c r="F4553" s="355"/>
      <c r="G4553" s="355"/>
      <c r="H4553" s="355"/>
      <c r="I4553" s="355"/>
      <c r="J4553" s="355"/>
      <c r="K4553" s="355"/>
      <c r="L4553" s="355"/>
      <c r="M4553" s="355"/>
    </row>
    <row r="4554" spans="5:13">
      <c r="E4554" s="355"/>
      <c r="F4554" s="355"/>
      <c r="G4554" s="355"/>
      <c r="H4554" s="355"/>
      <c r="I4554" s="355"/>
      <c r="J4554" s="355"/>
      <c r="K4554" s="355"/>
      <c r="L4554" s="355"/>
      <c r="M4554" s="355"/>
    </row>
    <row r="4555" spans="5:13">
      <c r="E4555" s="355"/>
      <c r="F4555" s="355"/>
      <c r="G4555" s="355"/>
      <c r="H4555" s="355"/>
      <c r="I4555" s="355"/>
      <c r="J4555" s="355"/>
      <c r="K4555" s="355"/>
      <c r="L4555" s="355"/>
      <c r="M4555" s="355"/>
    </row>
    <row r="4556" spans="5:13">
      <c r="E4556" s="355"/>
      <c r="F4556" s="355"/>
      <c r="G4556" s="355"/>
      <c r="H4556" s="355"/>
      <c r="I4556" s="355"/>
      <c r="J4556" s="355"/>
      <c r="K4556" s="355"/>
      <c r="L4556" s="355"/>
      <c r="M4556" s="355"/>
    </row>
    <row r="4557" spans="5:13">
      <c r="E4557" s="355"/>
      <c r="F4557" s="355"/>
      <c r="G4557" s="355"/>
      <c r="H4557" s="355"/>
      <c r="I4557" s="355"/>
      <c r="J4557" s="355"/>
      <c r="K4557" s="355"/>
      <c r="L4557" s="355"/>
      <c r="M4557" s="355"/>
    </row>
    <row r="4558" spans="5:13">
      <c r="E4558" s="355"/>
      <c r="F4558" s="355"/>
      <c r="G4558" s="355"/>
      <c r="H4558" s="355"/>
      <c r="I4558" s="355"/>
      <c r="J4558" s="355"/>
      <c r="K4558" s="355"/>
      <c r="L4558" s="355"/>
      <c r="M4558" s="355"/>
    </row>
    <row r="4559" spans="5:13">
      <c r="E4559" s="355"/>
      <c r="F4559" s="355"/>
      <c r="G4559" s="355"/>
      <c r="H4559" s="355"/>
      <c r="I4559" s="355"/>
      <c r="J4559" s="355"/>
      <c r="K4559" s="355"/>
      <c r="L4559" s="355"/>
      <c r="M4559" s="355"/>
    </row>
    <row r="4560" spans="5:13">
      <c r="E4560" s="355"/>
      <c r="F4560" s="355"/>
      <c r="G4560" s="355"/>
      <c r="H4560" s="355"/>
      <c r="I4560" s="355"/>
      <c r="J4560" s="355"/>
      <c r="K4560" s="355"/>
      <c r="L4560" s="355"/>
      <c r="M4560" s="355"/>
    </row>
    <row r="4561" spans="5:13">
      <c r="E4561" s="355"/>
      <c r="F4561" s="355"/>
      <c r="G4561" s="355"/>
      <c r="H4561" s="355"/>
      <c r="I4561" s="355"/>
      <c r="J4561" s="355"/>
      <c r="K4561" s="355"/>
      <c r="L4561" s="355"/>
      <c r="M4561" s="355"/>
    </row>
    <row r="4562" spans="5:13">
      <c r="E4562" s="355"/>
      <c r="F4562" s="355"/>
      <c r="G4562" s="355"/>
      <c r="H4562" s="355"/>
      <c r="I4562" s="355"/>
      <c r="J4562" s="355"/>
      <c r="K4562" s="355"/>
      <c r="L4562" s="355"/>
      <c r="M4562" s="355"/>
    </row>
    <row r="4563" spans="5:13">
      <c r="E4563" s="355"/>
      <c r="F4563" s="355"/>
      <c r="G4563" s="355"/>
      <c r="H4563" s="355"/>
      <c r="I4563" s="355"/>
      <c r="J4563" s="355"/>
      <c r="K4563" s="355"/>
      <c r="L4563" s="355"/>
      <c r="M4563" s="355"/>
    </row>
    <row r="4564" spans="5:13">
      <c r="E4564" s="355"/>
      <c r="F4564" s="355"/>
      <c r="G4564" s="355"/>
      <c r="H4564" s="355"/>
      <c r="I4564" s="355"/>
      <c r="J4564" s="355"/>
      <c r="K4564" s="355"/>
      <c r="L4564" s="355"/>
      <c r="M4564" s="355"/>
    </row>
    <row r="4565" spans="5:13">
      <c r="E4565" s="355"/>
      <c r="F4565" s="355"/>
      <c r="G4565" s="355"/>
      <c r="H4565" s="355"/>
      <c r="I4565" s="355"/>
      <c r="J4565" s="355"/>
      <c r="K4565" s="355"/>
      <c r="L4565" s="355"/>
      <c r="M4565" s="355"/>
    </row>
    <row r="4566" spans="5:13">
      <c r="E4566" s="355"/>
      <c r="F4566" s="355"/>
      <c r="G4566" s="355"/>
      <c r="H4566" s="355"/>
      <c r="I4566" s="355"/>
      <c r="J4566" s="355"/>
      <c r="K4566" s="355"/>
      <c r="L4566" s="355"/>
      <c r="M4566" s="355"/>
    </row>
    <row r="4567" spans="5:13">
      <c r="E4567" s="355"/>
      <c r="F4567" s="355"/>
      <c r="G4567" s="355"/>
      <c r="H4567" s="355"/>
      <c r="I4567" s="355"/>
      <c r="J4567" s="355"/>
      <c r="K4567" s="355"/>
      <c r="L4567" s="355"/>
      <c r="M4567" s="355"/>
    </row>
    <row r="4568" spans="5:13">
      <c r="E4568" s="355"/>
      <c r="F4568" s="355"/>
      <c r="G4568" s="355"/>
      <c r="H4568" s="355"/>
      <c r="I4568" s="355"/>
      <c r="J4568" s="355"/>
      <c r="K4568" s="355"/>
      <c r="L4568" s="355"/>
      <c r="M4568" s="355"/>
    </row>
    <row r="4569" spans="5:13">
      <c r="E4569" s="355"/>
      <c r="F4569" s="355"/>
      <c r="G4569" s="355"/>
      <c r="H4569" s="355"/>
      <c r="I4569" s="355"/>
      <c r="J4569" s="355"/>
      <c r="K4569" s="355"/>
      <c r="L4569" s="355"/>
      <c r="M4569" s="355"/>
    </row>
    <row r="4570" spans="5:13">
      <c r="E4570" s="355"/>
      <c r="F4570" s="355"/>
      <c r="G4570" s="355"/>
      <c r="H4570" s="355"/>
      <c r="I4570" s="355"/>
      <c r="J4570" s="355"/>
      <c r="K4570" s="355"/>
      <c r="L4570" s="355"/>
      <c r="M4570" s="355"/>
    </row>
    <row r="4571" spans="5:13">
      <c r="E4571" s="355"/>
      <c r="F4571" s="355"/>
      <c r="G4571" s="355"/>
      <c r="H4571" s="355"/>
      <c r="I4571" s="355"/>
      <c r="J4571" s="355"/>
      <c r="K4571" s="355"/>
      <c r="L4571" s="355"/>
      <c r="M4571" s="355"/>
    </row>
    <row r="4572" spans="5:13">
      <c r="E4572" s="355"/>
      <c r="F4572" s="355"/>
      <c r="G4572" s="355"/>
      <c r="H4572" s="355"/>
      <c r="I4572" s="355"/>
      <c r="J4572" s="355"/>
      <c r="K4572" s="355"/>
      <c r="L4572" s="355"/>
      <c r="M4572" s="355"/>
    </row>
    <row r="4573" spans="5:13">
      <c r="E4573" s="355"/>
      <c r="F4573" s="355"/>
      <c r="G4573" s="355"/>
      <c r="H4573" s="355"/>
      <c r="I4573" s="355"/>
      <c r="J4573" s="355"/>
      <c r="K4573" s="355"/>
      <c r="L4573" s="355"/>
      <c r="M4573" s="355"/>
    </row>
    <row r="4574" spans="5:13">
      <c r="E4574" s="355"/>
      <c r="F4574" s="355"/>
      <c r="G4574" s="355"/>
      <c r="H4574" s="355"/>
      <c r="I4574" s="355"/>
      <c r="J4574" s="355"/>
      <c r="K4574" s="355"/>
      <c r="L4574" s="355"/>
      <c r="M4574" s="355"/>
    </row>
    <row r="4575" spans="5:13">
      <c r="E4575" s="355"/>
      <c r="F4575" s="355"/>
      <c r="G4575" s="355"/>
      <c r="H4575" s="355"/>
      <c r="I4575" s="355"/>
      <c r="J4575" s="355"/>
      <c r="K4575" s="355"/>
      <c r="L4575" s="355"/>
      <c r="M4575" s="355"/>
    </row>
    <row r="4576" spans="5:13">
      <c r="E4576" s="355"/>
      <c r="F4576" s="355"/>
      <c r="G4576" s="355"/>
      <c r="H4576" s="355"/>
      <c r="I4576" s="355"/>
      <c r="J4576" s="355"/>
      <c r="K4576" s="355"/>
      <c r="L4576" s="355"/>
      <c r="M4576" s="355"/>
    </row>
    <row r="4577" spans="5:13">
      <c r="E4577" s="355"/>
      <c r="F4577" s="355"/>
      <c r="G4577" s="355"/>
      <c r="H4577" s="355"/>
      <c r="I4577" s="355"/>
      <c r="J4577" s="355"/>
      <c r="K4577" s="355"/>
      <c r="L4577" s="355"/>
      <c r="M4577" s="355"/>
    </row>
    <row r="4578" spans="5:13">
      <c r="E4578" s="355"/>
      <c r="F4578" s="355"/>
      <c r="G4578" s="355"/>
      <c r="H4578" s="355"/>
      <c r="I4578" s="355"/>
      <c r="J4578" s="355"/>
      <c r="K4578" s="355"/>
      <c r="L4578" s="355"/>
      <c r="M4578" s="355"/>
    </row>
    <row r="4579" spans="5:13">
      <c r="E4579" s="355"/>
      <c r="F4579" s="355"/>
      <c r="G4579" s="355"/>
      <c r="H4579" s="355"/>
      <c r="I4579" s="355"/>
      <c r="J4579" s="355"/>
      <c r="K4579" s="355"/>
      <c r="L4579" s="355"/>
      <c r="M4579" s="355"/>
    </row>
    <row r="4580" spans="5:13">
      <c r="E4580" s="355"/>
      <c r="F4580" s="355"/>
      <c r="G4580" s="355"/>
      <c r="H4580" s="355"/>
      <c r="I4580" s="355"/>
      <c r="J4580" s="355"/>
      <c r="K4580" s="355"/>
      <c r="L4580" s="355"/>
      <c r="M4580" s="355"/>
    </row>
    <row r="4581" spans="5:13">
      <c r="E4581" s="355"/>
      <c r="F4581" s="355"/>
      <c r="G4581" s="355"/>
      <c r="H4581" s="355"/>
      <c r="I4581" s="355"/>
      <c r="J4581" s="355"/>
      <c r="K4581" s="355"/>
      <c r="L4581" s="355"/>
      <c r="M4581" s="355"/>
    </row>
    <row r="4582" spans="5:13">
      <c r="E4582" s="355"/>
      <c r="F4582" s="355"/>
      <c r="G4582" s="355"/>
      <c r="H4582" s="355"/>
      <c r="I4582" s="355"/>
      <c r="J4582" s="355"/>
      <c r="K4582" s="355"/>
      <c r="L4582" s="355"/>
      <c r="M4582" s="355"/>
    </row>
    <row r="4583" spans="5:13">
      <c r="E4583" s="355"/>
      <c r="F4583" s="355"/>
      <c r="G4583" s="355"/>
      <c r="H4583" s="355"/>
      <c r="I4583" s="355"/>
      <c r="J4583" s="355"/>
      <c r="K4583" s="355"/>
      <c r="L4583" s="355"/>
      <c r="M4583" s="355"/>
    </row>
    <row r="4584" spans="5:13">
      <c r="E4584" s="355"/>
      <c r="F4584" s="355"/>
      <c r="G4584" s="355"/>
      <c r="H4584" s="355"/>
      <c r="I4584" s="355"/>
      <c r="J4584" s="355"/>
      <c r="K4584" s="355"/>
      <c r="L4584" s="355"/>
      <c r="M4584" s="355"/>
    </row>
    <row r="4585" spans="5:13">
      <c r="E4585" s="355"/>
      <c r="F4585" s="355"/>
      <c r="G4585" s="355"/>
      <c r="H4585" s="355"/>
      <c r="I4585" s="355"/>
      <c r="J4585" s="355"/>
      <c r="K4585" s="355"/>
      <c r="L4585" s="355"/>
      <c r="M4585" s="355"/>
    </row>
    <row r="4586" spans="5:13">
      <c r="E4586" s="355"/>
      <c r="F4586" s="355"/>
      <c r="G4586" s="355"/>
      <c r="H4586" s="355"/>
      <c r="I4586" s="355"/>
      <c r="J4586" s="355"/>
      <c r="K4586" s="355"/>
      <c r="L4586" s="355"/>
      <c r="M4586" s="355"/>
    </row>
    <row r="4587" spans="5:13">
      <c r="E4587" s="355"/>
      <c r="F4587" s="355"/>
      <c r="G4587" s="355"/>
      <c r="H4587" s="355"/>
      <c r="I4587" s="355"/>
      <c r="J4587" s="355"/>
      <c r="K4587" s="355"/>
      <c r="L4587" s="355"/>
      <c r="M4587" s="355"/>
    </row>
    <row r="4588" spans="5:13">
      <c r="E4588" s="355"/>
      <c r="F4588" s="355"/>
      <c r="G4588" s="355"/>
      <c r="H4588" s="355"/>
      <c r="I4588" s="355"/>
      <c r="J4588" s="355"/>
      <c r="K4588" s="355"/>
      <c r="L4588" s="355"/>
      <c r="M4588" s="355"/>
    </row>
    <row r="4589" spans="5:13">
      <c r="E4589" s="355"/>
      <c r="F4589" s="355"/>
      <c r="G4589" s="355"/>
      <c r="H4589" s="355"/>
      <c r="I4589" s="355"/>
      <c r="J4589" s="355"/>
      <c r="K4589" s="355"/>
      <c r="L4589" s="355"/>
      <c r="M4589" s="355"/>
    </row>
    <row r="4590" spans="5:13">
      <c r="E4590" s="355"/>
      <c r="F4590" s="355"/>
      <c r="G4590" s="355"/>
      <c r="H4590" s="355"/>
      <c r="I4590" s="355"/>
      <c r="J4590" s="355"/>
      <c r="K4590" s="355"/>
      <c r="L4590" s="355"/>
      <c r="M4590" s="355"/>
    </row>
    <row r="4591" spans="5:13">
      <c r="E4591" s="355"/>
      <c r="F4591" s="355"/>
      <c r="G4591" s="355"/>
      <c r="H4591" s="355"/>
      <c r="I4591" s="355"/>
      <c r="J4591" s="355"/>
      <c r="K4591" s="355"/>
      <c r="L4591" s="355"/>
      <c r="M4591" s="355"/>
    </row>
    <row r="4592" spans="5:13">
      <c r="E4592" s="355"/>
      <c r="F4592" s="355"/>
      <c r="G4592" s="355"/>
      <c r="H4592" s="355"/>
      <c r="I4592" s="355"/>
      <c r="J4592" s="355"/>
      <c r="K4592" s="355"/>
      <c r="L4592" s="355"/>
      <c r="M4592" s="355"/>
    </row>
    <row r="4593" spans="5:13">
      <c r="E4593" s="355"/>
      <c r="F4593" s="355"/>
      <c r="G4593" s="355"/>
      <c r="H4593" s="355"/>
      <c r="I4593" s="355"/>
      <c r="J4593" s="355"/>
      <c r="K4593" s="355"/>
      <c r="L4593" s="355"/>
      <c r="M4593" s="355"/>
    </row>
    <row r="4594" spans="5:13">
      <c r="E4594" s="355"/>
      <c r="F4594" s="355"/>
      <c r="G4594" s="355"/>
      <c r="H4594" s="355"/>
      <c r="I4594" s="355"/>
      <c r="J4594" s="355"/>
      <c r="K4594" s="355"/>
      <c r="L4594" s="355"/>
      <c r="M4594" s="355"/>
    </row>
    <row r="4595" spans="5:13">
      <c r="E4595" s="355"/>
      <c r="F4595" s="355"/>
      <c r="G4595" s="355"/>
      <c r="H4595" s="355"/>
      <c r="I4595" s="355"/>
      <c r="J4595" s="355"/>
      <c r="K4595" s="355"/>
      <c r="L4595" s="355"/>
      <c r="M4595" s="355"/>
    </row>
    <row r="4596" spans="5:13">
      <c r="E4596" s="355"/>
      <c r="F4596" s="355"/>
      <c r="G4596" s="355"/>
      <c r="H4596" s="355"/>
      <c r="I4596" s="355"/>
      <c r="J4596" s="355"/>
      <c r="K4596" s="355"/>
      <c r="L4596" s="355"/>
      <c r="M4596" s="355"/>
    </row>
    <row r="4597" spans="5:13">
      <c r="E4597" s="355"/>
      <c r="F4597" s="355"/>
      <c r="G4597" s="355"/>
      <c r="H4597" s="355"/>
      <c r="I4597" s="355"/>
      <c r="J4597" s="355"/>
      <c r="K4597" s="355"/>
      <c r="L4597" s="355"/>
      <c r="M4597" s="355"/>
    </row>
    <row r="4598" spans="5:13">
      <c r="E4598" s="355"/>
      <c r="F4598" s="355"/>
      <c r="G4598" s="355"/>
      <c r="H4598" s="355"/>
      <c r="I4598" s="355"/>
      <c r="J4598" s="355"/>
      <c r="K4598" s="355"/>
      <c r="L4598" s="355"/>
      <c r="M4598" s="355"/>
    </row>
    <row r="4599" spans="5:13">
      <c r="E4599" s="355"/>
      <c r="F4599" s="355"/>
      <c r="G4599" s="355"/>
      <c r="H4599" s="355"/>
      <c r="I4599" s="355"/>
      <c r="J4599" s="355"/>
      <c r="K4599" s="355"/>
      <c r="L4599" s="355"/>
      <c r="M4599" s="355"/>
    </row>
    <row r="4600" spans="5:13">
      <c r="E4600" s="355"/>
      <c r="F4600" s="355"/>
      <c r="G4600" s="355"/>
      <c r="H4600" s="355"/>
      <c r="I4600" s="355"/>
      <c r="J4600" s="355"/>
      <c r="K4600" s="355"/>
      <c r="L4600" s="355"/>
      <c r="M4600" s="355"/>
    </row>
    <row r="4601" spans="5:13">
      <c r="E4601" s="355"/>
      <c r="F4601" s="355"/>
      <c r="G4601" s="355"/>
      <c r="H4601" s="355"/>
      <c r="I4601" s="355"/>
      <c r="J4601" s="355"/>
      <c r="K4601" s="355"/>
      <c r="L4601" s="355"/>
      <c r="M4601" s="355"/>
    </row>
    <row r="4602" spans="5:13">
      <c r="E4602" s="355"/>
      <c r="F4602" s="355"/>
      <c r="G4602" s="355"/>
      <c r="H4602" s="355"/>
      <c r="I4602" s="355"/>
      <c r="J4602" s="355"/>
      <c r="K4602" s="355"/>
      <c r="L4602" s="355"/>
      <c r="M4602" s="355"/>
    </row>
    <row r="4603" spans="5:13">
      <c r="E4603" s="355"/>
      <c r="F4603" s="355"/>
      <c r="G4603" s="355"/>
      <c r="H4603" s="355"/>
      <c r="I4603" s="355"/>
      <c r="J4603" s="355"/>
      <c r="K4603" s="355"/>
      <c r="L4603" s="355"/>
      <c r="M4603" s="355"/>
    </row>
    <row r="4604" spans="5:13">
      <c r="E4604" s="355"/>
      <c r="F4604" s="355"/>
      <c r="G4604" s="355"/>
      <c r="H4604" s="355"/>
      <c r="I4604" s="355"/>
      <c r="J4604" s="355"/>
      <c r="K4604" s="355"/>
      <c r="L4604" s="355"/>
      <c r="M4604" s="355"/>
    </row>
    <row r="4605" spans="5:13">
      <c r="E4605" s="355"/>
      <c r="F4605" s="355"/>
      <c r="G4605" s="355"/>
      <c r="H4605" s="355"/>
      <c r="I4605" s="355"/>
      <c r="J4605" s="355"/>
      <c r="K4605" s="355"/>
      <c r="L4605" s="355"/>
      <c r="M4605" s="355"/>
    </row>
    <row r="4606" spans="5:13">
      <c r="E4606" s="355"/>
      <c r="F4606" s="355"/>
      <c r="G4606" s="355"/>
      <c r="H4606" s="355"/>
      <c r="I4606" s="355"/>
      <c r="J4606" s="355"/>
      <c r="K4606" s="355"/>
      <c r="L4606" s="355"/>
      <c r="M4606" s="355"/>
    </row>
    <row r="4607" spans="5:13">
      <c r="E4607" s="355"/>
      <c r="F4607" s="355"/>
      <c r="G4607" s="355"/>
      <c r="H4607" s="355"/>
      <c r="I4607" s="355"/>
      <c r="J4607" s="355"/>
      <c r="K4607" s="355"/>
      <c r="L4607" s="355"/>
      <c r="M4607" s="355"/>
    </row>
    <row r="4608" spans="5:13">
      <c r="E4608" s="355"/>
      <c r="F4608" s="355"/>
      <c r="G4608" s="355"/>
      <c r="H4608" s="355"/>
      <c r="I4608" s="355"/>
      <c r="J4608" s="355"/>
      <c r="K4608" s="355"/>
      <c r="L4608" s="355"/>
      <c r="M4608" s="355"/>
    </row>
    <row r="4609" spans="5:13">
      <c r="E4609" s="355"/>
      <c r="F4609" s="355"/>
      <c r="G4609" s="355"/>
      <c r="H4609" s="355"/>
      <c r="I4609" s="355"/>
      <c r="J4609" s="355"/>
      <c r="K4609" s="355"/>
      <c r="L4609" s="355"/>
      <c r="M4609" s="355"/>
    </row>
    <row r="4610" spans="5:13">
      <c r="E4610" s="355"/>
      <c r="F4610" s="355"/>
      <c r="G4610" s="355"/>
      <c r="H4610" s="355"/>
      <c r="I4610" s="355"/>
      <c r="J4610" s="355"/>
      <c r="K4610" s="355"/>
      <c r="L4610" s="355"/>
      <c r="M4610" s="355"/>
    </row>
    <row r="4611" spans="5:13">
      <c r="E4611" s="355"/>
      <c r="F4611" s="355"/>
      <c r="G4611" s="355"/>
      <c r="H4611" s="355"/>
      <c r="I4611" s="355"/>
      <c r="J4611" s="355"/>
      <c r="K4611" s="355"/>
      <c r="L4611" s="355"/>
      <c r="M4611" s="355"/>
    </row>
    <row r="4612" spans="5:13">
      <c r="E4612" s="355"/>
      <c r="F4612" s="355"/>
      <c r="G4612" s="355"/>
      <c r="H4612" s="355"/>
      <c r="I4612" s="355"/>
      <c r="J4612" s="355"/>
      <c r="K4612" s="355"/>
      <c r="L4612" s="355"/>
      <c r="M4612" s="355"/>
    </row>
    <row r="4613" spans="5:13">
      <c r="E4613" s="355"/>
      <c r="F4613" s="355"/>
      <c r="G4613" s="355"/>
      <c r="H4613" s="355"/>
      <c r="I4613" s="355"/>
      <c r="J4613" s="355"/>
      <c r="K4613" s="355"/>
      <c r="L4613" s="355"/>
      <c r="M4613" s="355"/>
    </row>
    <row r="4614" spans="5:13">
      <c r="E4614" s="355"/>
      <c r="F4614" s="355"/>
      <c r="G4614" s="355"/>
      <c r="H4614" s="355"/>
      <c r="I4614" s="355"/>
      <c r="J4614" s="355"/>
      <c r="K4614" s="355"/>
      <c r="L4614" s="355"/>
      <c r="M4614" s="355"/>
    </row>
    <row r="4615" spans="5:13">
      <c r="E4615" s="355"/>
      <c r="F4615" s="355"/>
      <c r="G4615" s="355"/>
      <c r="H4615" s="355"/>
      <c r="I4615" s="355"/>
      <c r="J4615" s="355"/>
      <c r="K4615" s="355"/>
      <c r="L4615" s="355"/>
      <c r="M4615" s="355"/>
    </row>
    <row r="4616" spans="5:13">
      <c r="E4616" s="355"/>
      <c r="F4616" s="355"/>
      <c r="G4616" s="355"/>
      <c r="H4616" s="355"/>
      <c r="I4616" s="355"/>
      <c r="J4616" s="355"/>
      <c r="K4616" s="355"/>
      <c r="L4616" s="355"/>
      <c r="M4616" s="355"/>
    </row>
    <row r="4617" spans="5:13">
      <c r="E4617" s="355"/>
      <c r="F4617" s="355"/>
      <c r="G4617" s="355"/>
      <c r="H4617" s="355"/>
      <c r="I4617" s="355"/>
      <c r="J4617" s="355"/>
      <c r="K4617" s="355"/>
      <c r="L4617" s="355"/>
      <c r="M4617" s="355"/>
    </row>
    <row r="4618" spans="5:13">
      <c r="E4618" s="355"/>
      <c r="F4618" s="355"/>
      <c r="G4618" s="355"/>
      <c r="H4618" s="355"/>
      <c r="I4618" s="355"/>
      <c r="J4618" s="355"/>
      <c r="K4618" s="355"/>
      <c r="L4618" s="355"/>
      <c r="M4618" s="355"/>
    </row>
    <row r="4619" spans="5:13">
      <c r="E4619" s="355"/>
      <c r="F4619" s="355"/>
      <c r="G4619" s="355"/>
      <c r="H4619" s="355"/>
      <c r="I4619" s="355"/>
      <c r="J4619" s="355"/>
      <c r="K4619" s="355"/>
      <c r="L4619" s="355"/>
      <c r="M4619" s="355"/>
    </row>
    <row r="4620" spans="5:13">
      <c r="E4620" s="355"/>
      <c r="F4620" s="355"/>
      <c r="G4620" s="355"/>
      <c r="H4620" s="355"/>
      <c r="I4620" s="355"/>
      <c r="J4620" s="355"/>
      <c r="K4620" s="355"/>
      <c r="L4620" s="355"/>
      <c r="M4620" s="355"/>
    </row>
    <row r="4621" spans="5:13">
      <c r="E4621" s="355"/>
      <c r="F4621" s="355"/>
      <c r="G4621" s="355"/>
      <c r="H4621" s="355"/>
      <c r="I4621" s="355"/>
      <c r="J4621" s="355"/>
      <c r="K4621" s="355"/>
      <c r="L4621" s="355"/>
      <c r="M4621" s="355"/>
    </row>
    <row r="4622" spans="5:13">
      <c r="E4622" s="355"/>
      <c r="F4622" s="355"/>
      <c r="G4622" s="355"/>
      <c r="H4622" s="355"/>
      <c r="I4622" s="355"/>
      <c r="J4622" s="355"/>
      <c r="K4622" s="355"/>
      <c r="L4622" s="355"/>
      <c r="M4622" s="355"/>
    </row>
    <row r="4623" spans="5:13">
      <c r="E4623" s="355"/>
      <c r="F4623" s="355"/>
      <c r="G4623" s="355"/>
      <c r="H4623" s="355"/>
      <c r="I4623" s="355"/>
      <c r="J4623" s="355"/>
      <c r="K4623" s="355"/>
      <c r="L4623" s="355"/>
      <c r="M4623" s="355"/>
    </row>
    <row r="4624" spans="5:13">
      <c r="E4624" s="355"/>
      <c r="F4624" s="355"/>
      <c r="G4624" s="355"/>
      <c r="H4624" s="355"/>
      <c r="I4624" s="355"/>
      <c r="J4624" s="355"/>
      <c r="K4624" s="355"/>
      <c r="L4624" s="355"/>
      <c r="M4624" s="355"/>
    </row>
    <row r="4625" spans="5:13">
      <c r="E4625" s="355"/>
      <c r="F4625" s="355"/>
      <c r="G4625" s="355"/>
      <c r="H4625" s="355"/>
      <c r="I4625" s="355"/>
      <c r="J4625" s="355"/>
      <c r="K4625" s="355"/>
      <c r="L4625" s="355"/>
      <c r="M4625" s="355"/>
    </row>
    <row r="4626" spans="5:13">
      <c r="E4626" s="355"/>
      <c r="F4626" s="355"/>
      <c r="G4626" s="355"/>
      <c r="H4626" s="355"/>
      <c r="I4626" s="355"/>
      <c r="J4626" s="355"/>
      <c r="K4626" s="355"/>
      <c r="L4626" s="355"/>
      <c r="M4626" s="355"/>
    </row>
    <row r="4627" spans="5:13">
      <c r="E4627" s="355"/>
      <c r="F4627" s="355"/>
      <c r="G4627" s="355"/>
      <c r="H4627" s="355"/>
      <c r="I4627" s="355"/>
      <c r="J4627" s="355"/>
      <c r="K4627" s="355"/>
      <c r="L4627" s="355"/>
      <c r="M4627" s="355"/>
    </row>
    <row r="4628" spans="5:13">
      <c r="E4628" s="355"/>
      <c r="F4628" s="355"/>
      <c r="G4628" s="355"/>
      <c r="H4628" s="355"/>
      <c r="I4628" s="355"/>
      <c r="J4628" s="355"/>
      <c r="K4628" s="355"/>
      <c r="L4628" s="355"/>
      <c r="M4628" s="355"/>
    </row>
    <row r="4629" spans="5:13">
      <c r="E4629" s="355"/>
      <c r="F4629" s="355"/>
      <c r="G4629" s="355"/>
      <c r="H4629" s="355"/>
      <c r="I4629" s="355"/>
      <c r="J4629" s="355"/>
      <c r="K4629" s="355"/>
      <c r="L4629" s="355"/>
      <c r="M4629" s="355"/>
    </row>
    <row r="4630" spans="5:13">
      <c r="E4630" s="355"/>
      <c r="F4630" s="355"/>
      <c r="G4630" s="355"/>
      <c r="H4630" s="355"/>
      <c r="I4630" s="355"/>
      <c r="J4630" s="355"/>
      <c r="K4630" s="355"/>
      <c r="L4630" s="355"/>
      <c r="M4630" s="355"/>
    </row>
    <row r="4631" spans="5:13">
      <c r="E4631" s="355"/>
      <c r="F4631" s="355"/>
      <c r="G4631" s="355"/>
      <c r="H4631" s="355"/>
      <c r="I4631" s="355"/>
      <c r="J4631" s="355"/>
      <c r="K4631" s="355"/>
      <c r="L4631" s="355"/>
      <c r="M4631" s="355"/>
    </row>
    <row r="4632" spans="5:13">
      <c r="E4632" s="355"/>
      <c r="F4632" s="355"/>
      <c r="G4632" s="355"/>
      <c r="H4632" s="355"/>
      <c r="I4632" s="355"/>
      <c r="J4632" s="355"/>
      <c r="K4632" s="355"/>
      <c r="L4632" s="355"/>
      <c r="M4632" s="355"/>
    </row>
    <row r="4633" spans="5:13">
      <c r="E4633" s="355"/>
      <c r="F4633" s="355"/>
      <c r="G4633" s="355"/>
      <c r="H4633" s="355"/>
      <c r="I4633" s="355"/>
      <c r="J4633" s="355"/>
      <c r="K4633" s="355"/>
      <c r="L4633" s="355"/>
      <c r="M4633" s="355"/>
    </row>
    <row r="4634" spans="5:13">
      <c r="E4634" s="355"/>
      <c r="F4634" s="355"/>
      <c r="G4634" s="355"/>
      <c r="H4634" s="355"/>
      <c r="I4634" s="355"/>
      <c r="J4634" s="355"/>
      <c r="K4634" s="355"/>
      <c r="L4634" s="355"/>
      <c r="M4634" s="355"/>
    </row>
    <row r="4635" spans="5:13">
      <c r="E4635" s="355"/>
      <c r="F4635" s="355"/>
      <c r="G4635" s="355"/>
      <c r="H4635" s="355"/>
      <c r="I4635" s="355"/>
      <c r="J4635" s="355"/>
      <c r="K4635" s="355"/>
      <c r="L4635" s="355"/>
      <c r="M4635" s="355"/>
    </row>
    <row r="4636" spans="5:13">
      <c r="E4636" s="355"/>
      <c r="F4636" s="355"/>
      <c r="G4636" s="355"/>
      <c r="H4636" s="355"/>
      <c r="I4636" s="355"/>
      <c r="J4636" s="355"/>
      <c r="K4636" s="355"/>
      <c r="L4636" s="355"/>
      <c r="M4636" s="355"/>
    </row>
    <row r="4637" spans="5:13">
      <c r="E4637" s="355"/>
      <c r="F4637" s="355"/>
      <c r="G4637" s="355"/>
      <c r="H4637" s="355"/>
      <c r="I4637" s="355"/>
      <c r="J4637" s="355"/>
      <c r="K4637" s="355"/>
      <c r="L4637" s="355"/>
      <c r="M4637" s="355"/>
    </row>
    <row r="4638" spans="5:13">
      <c r="E4638" s="355"/>
      <c r="F4638" s="355"/>
      <c r="G4638" s="355"/>
      <c r="H4638" s="355"/>
      <c r="I4638" s="355"/>
      <c r="J4638" s="355"/>
      <c r="K4638" s="355"/>
      <c r="L4638" s="355"/>
      <c r="M4638" s="355"/>
    </row>
    <row r="4639" spans="5:13">
      <c r="E4639" s="355"/>
      <c r="F4639" s="355"/>
      <c r="G4639" s="355"/>
      <c r="H4639" s="355"/>
      <c r="I4639" s="355"/>
      <c r="J4639" s="355"/>
      <c r="K4639" s="355"/>
      <c r="L4639" s="355"/>
      <c r="M4639" s="355"/>
    </row>
    <row r="4640" spans="5:13">
      <c r="E4640" s="355"/>
      <c r="F4640" s="355"/>
      <c r="G4640" s="355"/>
      <c r="H4640" s="355"/>
      <c r="I4640" s="355"/>
      <c r="J4640" s="355"/>
      <c r="K4640" s="355"/>
      <c r="L4640" s="355"/>
      <c r="M4640" s="355"/>
    </row>
    <row r="4641" spans="5:13">
      <c r="E4641" s="355"/>
      <c r="F4641" s="355"/>
      <c r="G4641" s="355"/>
      <c r="H4641" s="355"/>
      <c r="I4641" s="355"/>
      <c r="J4641" s="355"/>
      <c r="K4641" s="355"/>
      <c r="L4641" s="355"/>
      <c r="M4641" s="355"/>
    </row>
    <row r="4642" spans="5:13">
      <c r="E4642" s="355"/>
      <c r="F4642" s="355"/>
      <c r="G4642" s="355"/>
      <c r="H4642" s="355"/>
      <c r="I4642" s="355"/>
      <c r="J4642" s="355"/>
      <c r="K4642" s="355"/>
      <c r="L4642" s="355"/>
      <c r="M4642" s="355"/>
    </row>
    <row r="4643" spans="5:13">
      <c r="E4643" s="355"/>
      <c r="F4643" s="355"/>
      <c r="G4643" s="355"/>
      <c r="H4643" s="355"/>
      <c r="I4643" s="355"/>
      <c r="J4643" s="355"/>
      <c r="K4643" s="355"/>
      <c r="L4643" s="355"/>
      <c r="M4643" s="355"/>
    </row>
    <row r="4644" spans="5:13">
      <c r="E4644" s="355"/>
      <c r="F4644" s="355"/>
      <c r="G4644" s="355"/>
      <c r="H4644" s="355"/>
      <c r="I4644" s="355"/>
      <c r="J4644" s="355"/>
      <c r="K4644" s="355"/>
      <c r="L4644" s="355"/>
      <c r="M4644" s="355"/>
    </row>
    <row r="4645" spans="5:13">
      <c r="E4645" s="355"/>
      <c r="F4645" s="355"/>
      <c r="G4645" s="355"/>
      <c r="H4645" s="355"/>
      <c r="I4645" s="355"/>
      <c r="J4645" s="355"/>
      <c r="K4645" s="355"/>
      <c r="L4645" s="355"/>
      <c r="M4645" s="355"/>
    </row>
    <row r="4646" spans="5:13">
      <c r="E4646" s="355"/>
      <c r="F4646" s="355"/>
      <c r="G4646" s="355"/>
      <c r="H4646" s="355"/>
      <c r="I4646" s="355"/>
      <c r="J4646" s="355"/>
      <c r="K4646" s="355"/>
      <c r="L4646" s="355"/>
      <c r="M4646" s="355"/>
    </row>
    <row r="4647" spans="5:13">
      <c r="E4647" s="355"/>
      <c r="F4647" s="355"/>
      <c r="G4647" s="355"/>
      <c r="H4647" s="355"/>
      <c r="I4647" s="355"/>
      <c r="J4647" s="355"/>
      <c r="K4647" s="355"/>
      <c r="L4647" s="355"/>
      <c r="M4647" s="355"/>
    </row>
    <row r="4648" spans="5:13">
      <c r="E4648" s="355"/>
      <c r="F4648" s="355"/>
      <c r="G4648" s="355"/>
      <c r="H4648" s="355"/>
      <c r="I4648" s="355"/>
      <c r="J4648" s="355"/>
      <c r="K4648" s="355"/>
      <c r="L4648" s="355"/>
      <c r="M4648" s="355"/>
    </row>
    <row r="4649" spans="5:13">
      <c r="E4649" s="355"/>
      <c r="F4649" s="355"/>
      <c r="G4649" s="355"/>
      <c r="H4649" s="355"/>
      <c r="I4649" s="355"/>
      <c r="J4649" s="355"/>
      <c r="K4649" s="355"/>
      <c r="L4649" s="355"/>
      <c r="M4649" s="355"/>
    </row>
    <row r="4650" spans="5:13">
      <c r="E4650" s="355"/>
      <c r="F4650" s="355"/>
      <c r="G4650" s="355"/>
      <c r="H4650" s="355"/>
      <c r="I4650" s="355"/>
      <c r="J4650" s="355"/>
      <c r="K4650" s="355"/>
      <c r="L4650" s="355"/>
      <c r="M4650" s="355"/>
    </row>
    <row r="4651" spans="5:13">
      <c r="E4651" s="355"/>
      <c r="F4651" s="355"/>
      <c r="G4651" s="355"/>
      <c r="H4651" s="355"/>
      <c r="I4651" s="355"/>
      <c r="J4651" s="355"/>
      <c r="K4651" s="355"/>
      <c r="L4651" s="355"/>
      <c r="M4651" s="355"/>
    </row>
    <row r="4652" spans="5:13">
      <c r="E4652" s="355"/>
      <c r="F4652" s="355"/>
      <c r="G4652" s="355"/>
      <c r="H4652" s="355"/>
      <c r="I4652" s="355"/>
      <c r="J4652" s="355"/>
      <c r="K4652" s="355"/>
      <c r="L4652" s="355"/>
      <c r="M4652" s="355"/>
    </row>
    <row r="4653" spans="5:13">
      <c r="E4653" s="355"/>
      <c r="F4653" s="355"/>
      <c r="G4653" s="355"/>
      <c r="H4653" s="355"/>
      <c r="I4653" s="355"/>
      <c r="J4653" s="355"/>
      <c r="K4653" s="355"/>
      <c r="L4653" s="355"/>
      <c r="M4653" s="355"/>
    </row>
    <row r="4654" spans="5:13">
      <c r="E4654" s="355"/>
      <c r="F4654" s="355"/>
      <c r="G4654" s="355"/>
      <c r="H4654" s="355"/>
      <c r="I4654" s="355"/>
      <c r="J4654" s="355"/>
      <c r="K4654" s="355"/>
      <c r="L4654" s="355"/>
      <c r="M4654" s="355"/>
    </row>
    <row r="4655" spans="5:13">
      <c r="E4655" s="355"/>
      <c r="F4655" s="355"/>
      <c r="G4655" s="355"/>
      <c r="H4655" s="355"/>
      <c r="I4655" s="355"/>
      <c r="J4655" s="355"/>
      <c r="K4655" s="355"/>
      <c r="L4655" s="355"/>
      <c r="M4655" s="355"/>
    </row>
    <row r="4656" spans="5:13">
      <c r="E4656" s="355"/>
      <c r="F4656" s="355"/>
      <c r="G4656" s="355"/>
      <c r="H4656" s="355"/>
      <c r="I4656" s="355"/>
      <c r="J4656" s="355"/>
      <c r="K4656" s="355"/>
      <c r="L4656" s="355"/>
      <c r="M4656" s="355"/>
    </row>
    <row r="4657" spans="5:13">
      <c r="E4657" s="355"/>
      <c r="F4657" s="355"/>
      <c r="G4657" s="355"/>
      <c r="H4657" s="355"/>
      <c r="I4657" s="355"/>
      <c r="J4657" s="355"/>
      <c r="K4657" s="355"/>
      <c r="L4657" s="355"/>
      <c r="M4657" s="355"/>
    </row>
    <row r="4658" spans="5:13">
      <c r="E4658" s="355"/>
      <c r="F4658" s="355"/>
      <c r="G4658" s="355"/>
      <c r="H4658" s="355"/>
      <c r="I4658" s="355"/>
      <c r="J4658" s="355"/>
      <c r="K4658" s="355"/>
      <c r="L4658" s="355"/>
      <c r="M4658" s="355"/>
    </row>
    <row r="4659" spans="5:13">
      <c r="E4659" s="355"/>
      <c r="F4659" s="355"/>
      <c r="G4659" s="355"/>
      <c r="H4659" s="355"/>
      <c r="I4659" s="355"/>
      <c r="J4659" s="355"/>
      <c r="K4659" s="355"/>
      <c r="L4659" s="355"/>
      <c r="M4659" s="355"/>
    </row>
    <row r="4660" spans="5:13">
      <c r="E4660" s="355"/>
      <c r="F4660" s="355"/>
      <c r="G4660" s="355"/>
      <c r="H4660" s="355"/>
      <c r="I4660" s="355"/>
      <c r="J4660" s="355"/>
      <c r="K4660" s="355"/>
      <c r="L4660" s="355"/>
      <c r="M4660" s="355"/>
    </row>
    <row r="4661" spans="5:13">
      <c r="E4661" s="355"/>
      <c r="F4661" s="355"/>
      <c r="G4661" s="355"/>
      <c r="H4661" s="355"/>
      <c r="I4661" s="355"/>
      <c r="J4661" s="355"/>
      <c r="K4661" s="355"/>
      <c r="L4661" s="355"/>
      <c r="M4661" s="355"/>
    </row>
    <row r="4662" spans="5:13">
      <c r="E4662" s="355"/>
      <c r="F4662" s="355"/>
      <c r="G4662" s="355"/>
      <c r="H4662" s="355"/>
      <c r="I4662" s="355"/>
      <c r="J4662" s="355"/>
      <c r="K4662" s="355"/>
      <c r="L4662" s="355"/>
      <c r="M4662" s="355"/>
    </row>
    <row r="4663" spans="5:13">
      <c r="E4663" s="355"/>
      <c r="F4663" s="355"/>
      <c r="G4663" s="355"/>
      <c r="H4663" s="355"/>
      <c r="I4663" s="355"/>
      <c r="J4663" s="355"/>
      <c r="K4663" s="355"/>
      <c r="L4663" s="355"/>
      <c r="M4663" s="355"/>
    </row>
    <row r="4664" spans="5:13">
      <c r="E4664" s="355"/>
      <c r="F4664" s="355"/>
      <c r="G4664" s="355"/>
      <c r="H4664" s="355"/>
      <c r="I4664" s="355"/>
      <c r="J4664" s="355"/>
      <c r="K4664" s="355"/>
      <c r="L4664" s="355"/>
      <c r="M4664" s="355"/>
    </row>
    <row r="4665" spans="5:13">
      <c r="E4665" s="355"/>
      <c r="F4665" s="355"/>
      <c r="G4665" s="355"/>
      <c r="H4665" s="355"/>
      <c r="I4665" s="355"/>
      <c r="J4665" s="355"/>
      <c r="K4665" s="355"/>
      <c r="L4665" s="355"/>
      <c r="M4665" s="355"/>
    </row>
    <row r="4666" spans="5:13">
      <c r="E4666" s="355"/>
      <c r="F4666" s="355"/>
      <c r="G4666" s="355"/>
      <c r="H4666" s="355"/>
      <c r="I4666" s="355"/>
      <c r="J4666" s="355"/>
      <c r="K4666" s="355"/>
      <c r="L4666" s="355"/>
      <c r="M4666" s="355"/>
    </row>
    <row r="4667" spans="5:13">
      <c r="E4667" s="355"/>
      <c r="F4667" s="355"/>
      <c r="G4667" s="355"/>
      <c r="H4667" s="355"/>
      <c r="I4667" s="355"/>
      <c r="J4667" s="355"/>
      <c r="K4667" s="355"/>
      <c r="L4667" s="355"/>
      <c r="M4667" s="355"/>
    </row>
    <row r="4668" spans="5:13">
      <c r="E4668" s="355"/>
      <c r="F4668" s="355"/>
      <c r="G4668" s="355"/>
      <c r="H4668" s="355"/>
      <c r="I4668" s="355"/>
      <c r="J4668" s="355"/>
      <c r="K4668" s="355"/>
      <c r="L4668" s="355"/>
      <c r="M4668" s="355"/>
    </row>
    <row r="4669" spans="5:13">
      <c r="E4669" s="355"/>
      <c r="F4669" s="355"/>
      <c r="G4669" s="355"/>
      <c r="H4669" s="355"/>
      <c r="I4669" s="355"/>
      <c r="J4669" s="355"/>
      <c r="K4669" s="355"/>
      <c r="L4669" s="355"/>
      <c r="M4669" s="355"/>
    </row>
    <row r="4670" spans="5:13">
      <c r="E4670" s="355"/>
      <c r="F4670" s="355"/>
      <c r="G4670" s="355"/>
      <c r="H4670" s="355"/>
      <c r="I4670" s="355"/>
      <c r="J4670" s="355"/>
      <c r="K4670" s="355"/>
      <c r="L4670" s="355"/>
      <c r="M4670" s="355"/>
    </row>
    <row r="4671" spans="5:13">
      <c r="E4671" s="355"/>
      <c r="F4671" s="355"/>
      <c r="G4671" s="355"/>
      <c r="H4671" s="355"/>
      <c r="I4671" s="355"/>
      <c r="J4671" s="355"/>
      <c r="K4671" s="355"/>
      <c r="L4671" s="355"/>
      <c r="M4671" s="355"/>
    </row>
    <row r="4672" spans="5:13">
      <c r="E4672" s="355"/>
      <c r="F4672" s="355"/>
      <c r="G4672" s="355"/>
      <c r="H4672" s="355"/>
      <c r="I4672" s="355"/>
      <c r="J4672" s="355"/>
      <c r="K4672" s="355"/>
      <c r="L4672" s="355"/>
      <c r="M4672" s="355"/>
    </row>
    <row r="4673" spans="5:13">
      <c r="E4673" s="355"/>
      <c r="F4673" s="355"/>
      <c r="G4673" s="355"/>
      <c r="H4673" s="355"/>
      <c r="I4673" s="355"/>
      <c r="J4673" s="355"/>
      <c r="K4673" s="355"/>
      <c r="L4673" s="355"/>
      <c r="M4673" s="355"/>
    </row>
    <row r="4674" spans="5:13">
      <c r="E4674" s="355"/>
      <c r="F4674" s="355"/>
      <c r="G4674" s="355"/>
      <c r="H4674" s="355"/>
      <c r="I4674" s="355"/>
      <c r="J4674" s="355"/>
      <c r="K4674" s="355"/>
      <c r="L4674" s="355"/>
      <c r="M4674" s="355"/>
    </row>
    <row r="4675" spans="5:13">
      <c r="E4675" s="355"/>
      <c r="F4675" s="355"/>
      <c r="G4675" s="355"/>
      <c r="H4675" s="355"/>
      <c r="I4675" s="355"/>
      <c r="J4675" s="355"/>
      <c r="K4675" s="355"/>
      <c r="L4675" s="355"/>
      <c r="M4675" s="355"/>
    </row>
    <row r="4676" spans="5:13">
      <c r="E4676" s="355"/>
      <c r="F4676" s="355"/>
      <c r="G4676" s="355"/>
      <c r="H4676" s="355"/>
      <c r="I4676" s="355"/>
      <c r="J4676" s="355"/>
      <c r="K4676" s="355"/>
      <c r="L4676" s="355"/>
      <c r="M4676" s="355"/>
    </row>
    <row r="4677" spans="5:13">
      <c r="E4677" s="355"/>
      <c r="F4677" s="355"/>
      <c r="G4677" s="355"/>
      <c r="H4677" s="355"/>
      <c r="I4677" s="355"/>
      <c r="J4677" s="355"/>
      <c r="K4677" s="355"/>
      <c r="L4677" s="355"/>
      <c r="M4677" s="355"/>
    </row>
    <row r="4678" spans="5:13">
      <c r="E4678" s="355"/>
      <c r="F4678" s="355"/>
      <c r="G4678" s="355"/>
      <c r="H4678" s="355"/>
      <c r="I4678" s="355"/>
      <c r="J4678" s="355"/>
      <c r="K4678" s="355"/>
      <c r="L4678" s="355"/>
      <c r="M4678" s="355"/>
    </row>
    <row r="4679" spans="5:13">
      <c r="E4679" s="355"/>
      <c r="F4679" s="355"/>
      <c r="G4679" s="355"/>
      <c r="H4679" s="355"/>
      <c r="I4679" s="355"/>
      <c r="J4679" s="355"/>
      <c r="K4679" s="355"/>
      <c r="L4679" s="355"/>
      <c r="M4679" s="355"/>
    </row>
    <row r="4680" spans="5:13">
      <c r="E4680" s="355"/>
      <c r="F4680" s="355"/>
      <c r="G4680" s="355"/>
      <c r="H4680" s="355"/>
      <c r="I4680" s="355"/>
      <c r="J4680" s="355"/>
      <c r="K4680" s="355"/>
      <c r="L4680" s="355"/>
      <c r="M4680" s="355"/>
    </row>
    <row r="4681" spans="5:13">
      <c r="E4681" s="355"/>
      <c r="F4681" s="355"/>
      <c r="G4681" s="355"/>
      <c r="H4681" s="355"/>
      <c r="I4681" s="355"/>
      <c r="J4681" s="355"/>
      <c r="K4681" s="355"/>
      <c r="L4681" s="355"/>
      <c r="M4681" s="355"/>
    </row>
    <row r="4682" spans="5:13">
      <c r="E4682" s="355"/>
      <c r="F4682" s="355"/>
      <c r="G4682" s="355"/>
      <c r="H4682" s="355"/>
      <c r="I4682" s="355"/>
      <c r="J4682" s="355"/>
      <c r="K4682" s="355"/>
      <c r="L4682" s="355"/>
      <c r="M4682" s="355"/>
    </row>
    <row r="4683" spans="5:13">
      <c r="E4683" s="355"/>
      <c r="F4683" s="355"/>
      <c r="G4683" s="355"/>
      <c r="H4683" s="355"/>
      <c r="I4683" s="355"/>
      <c r="J4683" s="355"/>
      <c r="K4683" s="355"/>
      <c r="L4683" s="355"/>
      <c r="M4683" s="355"/>
    </row>
    <row r="4684" spans="5:13">
      <c r="E4684" s="355"/>
      <c r="F4684" s="355"/>
      <c r="G4684" s="355"/>
      <c r="H4684" s="355"/>
      <c r="I4684" s="355"/>
      <c r="J4684" s="355"/>
      <c r="K4684" s="355"/>
      <c r="L4684" s="355"/>
      <c r="M4684" s="355"/>
    </row>
    <row r="4685" spans="5:13">
      <c r="E4685" s="355"/>
      <c r="F4685" s="355"/>
      <c r="G4685" s="355"/>
      <c r="H4685" s="355"/>
      <c r="I4685" s="355"/>
      <c r="J4685" s="355"/>
      <c r="K4685" s="355"/>
      <c r="L4685" s="355"/>
      <c r="M4685" s="355"/>
    </row>
    <row r="4686" spans="5:13">
      <c r="E4686" s="355"/>
      <c r="F4686" s="355"/>
      <c r="G4686" s="355"/>
      <c r="H4686" s="355"/>
      <c r="I4686" s="355"/>
      <c r="J4686" s="355"/>
      <c r="K4686" s="355"/>
      <c r="L4686" s="355"/>
      <c r="M4686" s="355"/>
    </row>
    <row r="4687" spans="5:13">
      <c r="E4687" s="355"/>
      <c r="F4687" s="355"/>
      <c r="G4687" s="355"/>
      <c r="H4687" s="355"/>
      <c r="I4687" s="355"/>
      <c r="J4687" s="355"/>
      <c r="K4687" s="355"/>
      <c r="L4687" s="355"/>
      <c r="M4687" s="355"/>
    </row>
    <row r="4688" spans="5:13">
      <c r="E4688" s="355"/>
      <c r="F4688" s="355"/>
      <c r="G4688" s="355"/>
      <c r="H4688" s="355"/>
      <c r="I4688" s="355"/>
      <c r="J4688" s="355"/>
      <c r="K4688" s="355"/>
      <c r="L4688" s="355"/>
      <c r="M4688" s="355"/>
    </row>
    <row r="4689" spans="5:13">
      <c r="E4689" s="355"/>
      <c r="F4689" s="355"/>
      <c r="G4689" s="355"/>
      <c r="H4689" s="355"/>
      <c r="I4689" s="355"/>
      <c r="J4689" s="355"/>
      <c r="K4689" s="355"/>
      <c r="L4689" s="355"/>
      <c r="M4689" s="355"/>
    </row>
    <row r="4690" spans="5:13">
      <c r="E4690" s="355"/>
      <c r="F4690" s="355"/>
      <c r="G4690" s="355"/>
      <c r="H4690" s="355"/>
      <c r="I4690" s="355"/>
      <c r="J4690" s="355"/>
      <c r="K4690" s="355"/>
      <c r="L4690" s="355"/>
      <c r="M4690" s="355"/>
    </row>
    <row r="4691" spans="5:13">
      <c r="E4691" s="355"/>
      <c r="F4691" s="355"/>
      <c r="G4691" s="355"/>
      <c r="H4691" s="355"/>
      <c r="I4691" s="355"/>
      <c r="J4691" s="355"/>
      <c r="K4691" s="355"/>
      <c r="L4691" s="355"/>
      <c r="M4691" s="355"/>
    </row>
    <row r="4692" spans="5:13">
      <c r="E4692" s="355"/>
      <c r="F4692" s="355"/>
      <c r="G4692" s="355"/>
      <c r="H4692" s="355"/>
      <c r="I4692" s="355"/>
      <c r="J4692" s="355"/>
      <c r="K4692" s="355"/>
      <c r="L4692" s="355"/>
      <c r="M4692" s="355"/>
    </row>
    <row r="4693" spans="5:13">
      <c r="E4693" s="355"/>
      <c r="F4693" s="355"/>
      <c r="G4693" s="355"/>
      <c r="H4693" s="355"/>
      <c r="I4693" s="355"/>
      <c r="J4693" s="355"/>
      <c r="K4693" s="355"/>
      <c r="L4693" s="355"/>
      <c r="M4693" s="355"/>
    </row>
    <row r="4694" spans="5:13">
      <c r="E4694" s="355"/>
      <c r="F4694" s="355"/>
      <c r="G4694" s="355"/>
      <c r="H4694" s="355"/>
      <c r="I4694" s="355"/>
      <c r="J4694" s="355"/>
      <c r="K4694" s="355"/>
      <c r="L4694" s="355"/>
      <c r="M4694" s="355"/>
    </row>
    <row r="4695" spans="5:13">
      <c r="E4695" s="355"/>
      <c r="F4695" s="355"/>
      <c r="G4695" s="355"/>
      <c r="H4695" s="355"/>
      <c r="I4695" s="355"/>
      <c r="J4695" s="355"/>
      <c r="K4695" s="355"/>
      <c r="L4695" s="355"/>
      <c r="M4695" s="355"/>
    </row>
    <row r="4696" spans="5:13">
      <c r="E4696" s="355"/>
      <c r="F4696" s="355"/>
      <c r="G4696" s="355"/>
      <c r="H4696" s="355"/>
      <c r="I4696" s="355"/>
      <c r="J4696" s="355"/>
      <c r="K4696" s="355"/>
      <c r="L4696" s="355"/>
      <c r="M4696" s="355"/>
    </row>
    <row r="4697" spans="5:13">
      <c r="E4697" s="355"/>
      <c r="F4697" s="355"/>
      <c r="G4697" s="355"/>
      <c r="H4697" s="355"/>
      <c r="I4697" s="355"/>
      <c r="J4697" s="355"/>
      <c r="K4697" s="355"/>
      <c r="L4697" s="355"/>
      <c r="M4697" s="355"/>
    </row>
    <row r="4698" spans="5:13">
      <c r="E4698" s="355"/>
      <c r="F4698" s="355"/>
      <c r="G4698" s="355"/>
      <c r="H4698" s="355"/>
      <c r="I4698" s="355"/>
      <c r="J4698" s="355"/>
      <c r="K4698" s="355"/>
      <c r="L4698" s="355"/>
      <c r="M4698" s="355"/>
    </row>
    <row r="4699" spans="5:13">
      <c r="E4699" s="355"/>
      <c r="F4699" s="355"/>
      <c r="G4699" s="355"/>
      <c r="H4699" s="355"/>
      <c r="I4699" s="355"/>
      <c r="J4699" s="355"/>
      <c r="K4699" s="355"/>
      <c r="L4699" s="355"/>
      <c r="M4699" s="355"/>
    </row>
    <row r="4700" spans="5:13">
      <c r="E4700" s="355"/>
      <c r="F4700" s="355"/>
      <c r="G4700" s="355"/>
      <c r="H4700" s="355"/>
      <c r="I4700" s="355"/>
      <c r="J4700" s="355"/>
      <c r="K4700" s="355"/>
      <c r="L4700" s="355"/>
      <c r="M4700" s="355"/>
    </row>
    <row r="4701" spans="5:13">
      <c r="E4701" s="355"/>
      <c r="F4701" s="355"/>
      <c r="G4701" s="355"/>
      <c r="H4701" s="355"/>
      <c r="I4701" s="355"/>
      <c r="J4701" s="355"/>
      <c r="K4701" s="355"/>
      <c r="L4701" s="355"/>
      <c r="M4701" s="355"/>
    </row>
    <row r="4702" spans="5:13">
      <c r="E4702" s="355"/>
      <c r="F4702" s="355"/>
      <c r="G4702" s="355"/>
      <c r="H4702" s="355"/>
      <c r="I4702" s="355"/>
      <c r="J4702" s="355"/>
      <c r="K4702" s="355"/>
      <c r="L4702" s="355"/>
      <c r="M4702" s="355"/>
    </row>
    <row r="4703" spans="5:13">
      <c r="E4703" s="355"/>
      <c r="F4703" s="355"/>
      <c r="G4703" s="355"/>
      <c r="H4703" s="355"/>
      <c r="I4703" s="355"/>
      <c r="J4703" s="355"/>
      <c r="K4703" s="355"/>
      <c r="L4703" s="355"/>
      <c r="M4703" s="355"/>
    </row>
    <row r="4704" spans="5:13">
      <c r="E4704" s="355"/>
      <c r="F4704" s="355"/>
      <c r="G4704" s="355"/>
      <c r="H4704" s="355"/>
      <c r="I4704" s="355"/>
      <c r="J4704" s="355"/>
      <c r="K4704" s="355"/>
      <c r="L4704" s="355"/>
      <c r="M4704" s="355"/>
    </row>
    <row r="4705" spans="5:13">
      <c r="E4705" s="355"/>
      <c r="F4705" s="355"/>
      <c r="G4705" s="355"/>
      <c r="H4705" s="355"/>
      <c r="I4705" s="355"/>
      <c r="J4705" s="355"/>
      <c r="K4705" s="355"/>
      <c r="L4705" s="355"/>
      <c r="M4705" s="355"/>
    </row>
    <row r="4706" spans="5:13">
      <c r="E4706" s="355"/>
      <c r="F4706" s="355"/>
      <c r="G4706" s="355"/>
      <c r="H4706" s="355"/>
      <c r="I4706" s="355"/>
      <c r="J4706" s="355"/>
      <c r="K4706" s="355"/>
      <c r="L4706" s="355"/>
      <c r="M4706" s="355"/>
    </row>
    <row r="4707" spans="5:13">
      <c r="E4707" s="355"/>
      <c r="F4707" s="355"/>
      <c r="G4707" s="355"/>
      <c r="H4707" s="355"/>
      <c r="I4707" s="355"/>
      <c r="J4707" s="355"/>
      <c r="K4707" s="355"/>
      <c r="L4707" s="355"/>
      <c r="M4707" s="355"/>
    </row>
    <row r="4708" spans="5:13">
      <c r="E4708" s="355"/>
      <c r="F4708" s="355"/>
      <c r="G4708" s="355"/>
      <c r="H4708" s="355"/>
      <c r="I4708" s="355"/>
      <c r="J4708" s="355"/>
      <c r="K4708" s="355"/>
      <c r="L4708" s="355"/>
      <c r="M4708" s="355"/>
    </row>
    <row r="4709" spans="5:13">
      <c r="E4709" s="355"/>
      <c r="F4709" s="355"/>
      <c r="G4709" s="355"/>
      <c r="H4709" s="355"/>
      <c r="I4709" s="355"/>
      <c r="J4709" s="355"/>
      <c r="K4709" s="355"/>
      <c r="L4709" s="355"/>
      <c r="M4709" s="355"/>
    </row>
    <row r="4710" spans="5:13">
      <c r="E4710" s="355"/>
      <c r="F4710" s="355"/>
      <c r="G4710" s="355"/>
      <c r="H4710" s="355"/>
      <c r="I4710" s="355"/>
      <c r="J4710" s="355"/>
      <c r="K4710" s="355"/>
      <c r="L4710" s="355"/>
      <c r="M4710" s="355"/>
    </row>
    <row r="4711" spans="5:13">
      <c r="E4711" s="355"/>
      <c r="F4711" s="355"/>
      <c r="G4711" s="355"/>
      <c r="H4711" s="355"/>
      <c r="I4711" s="355"/>
      <c r="J4711" s="355"/>
      <c r="K4711" s="355"/>
      <c r="L4711" s="355"/>
      <c r="M4711" s="355"/>
    </row>
    <row r="4712" spans="5:13">
      <c r="E4712" s="355"/>
      <c r="F4712" s="355"/>
      <c r="G4712" s="355"/>
      <c r="H4712" s="355"/>
      <c r="I4712" s="355"/>
      <c r="J4712" s="355"/>
      <c r="K4712" s="355"/>
      <c r="L4712" s="355"/>
      <c r="M4712" s="355"/>
    </row>
    <row r="4713" spans="5:13">
      <c r="E4713" s="355"/>
      <c r="F4713" s="355"/>
      <c r="G4713" s="355"/>
      <c r="H4713" s="355"/>
      <c r="I4713" s="355"/>
      <c r="J4713" s="355"/>
      <c r="K4713" s="355"/>
      <c r="L4713" s="355"/>
      <c r="M4713" s="355"/>
    </row>
    <row r="4714" spans="5:13">
      <c r="E4714" s="355"/>
      <c r="F4714" s="355"/>
      <c r="G4714" s="355"/>
      <c r="H4714" s="355"/>
      <c r="I4714" s="355"/>
      <c r="J4714" s="355"/>
      <c r="K4714" s="355"/>
      <c r="L4714" s="355"/>
      <c r="M4714" s="355"/>
    </row>
    <row r="4715" spans="5:13">
      <c r="E4715" s="355"/>
      <c r="F4715" s="355"/>
      <c r="G4715" s="355"/>
      <c r="H4715" s="355"/>
      <c r="I4715" s="355"/>
      <c r="J4715" s="355"/>
      <c r="K4715" s="355"/>
      <c r="L4715" s="355"/>
      <c r="M4715" s="355"/>
    </row>
    <row r="4716" spans="5:13">
      <c r="E4716" s="355"/>
      <c r="F4716" s="355"/>
      <c r="G4716" s="355"/>
      <c r="H4716" s="355"/>
      <c r="I4716" s="355"/>
      <c r="J4716" s="355"/>
      <c r="K4716" s="355"/>
      <c r="L4716" s="355"/>
      <c r="M4716" s="355"/>
    </row>
    <row r="4717" spans="5:13">
      <c r="E4717" s="355"/>
      <c r="F4717" s="355"/>
      <c r="G4717" s="355"/>
      <c r="H4717" s="355"/>
      <c r="I4717" s="355"/>
      <c r="J4717" s="355"/>
      <c r="K4717" s="355"/>
      <c r="L4717" s="355"/>
      <c r="M4717" s="355"/>
    </row>
    <row r="4718" spans="5:13">
      <c r="E4718" s="355"/>
      <c r="F4718" s="355"/>
      <c r="G4718" s="355"/>
      <c r="H4718" s="355"/>
      <c r="I4718" s="355"/>
      <c r="J4718" s="355"/>
      <c r="K4718" s="355"/>
      <c r="L4718" s="355"/>
      <c r="M4718" s="355"/>
    </row>
    <row r="4719" spans="5:13">
      <c r="E4719" s="355"/>
      <c r="F4719" s="355"/>
      <c r="G4719" s="355"/>
      <c r="H4719" s="355"/>
      <c r="I4719" s="355"/>
      <c r="J4719" s="355"/>
      <c r="K4719" s="355"/>
      <c r="L4719" s="355"/>
      <c r="M4719" s="355"/>
    </row>
    <row r="4720" spans="5:13">
      <c r="E4720" s="355"/>
      <c r="F4720" s="355"/>
      <c r="G4720" s="355"/>
      <c r="H4720" s="355"/>
      <c r="I4720" s="355"/>
      <c r="J4720" s="355"/>
      <c r="K4720" s="355"/>
      <c r="L4720" s="355"/>
      <c r="M4720" s="355"/>
    </row>
    <row r="4721" spans="5:13">
      <c r="E4721" s="355"/>
      <c r="F4721" s="355"/>
      <c r="G4721" s="355"/>
      <c r="H4721" s="355"/>
      <c r="I4721" s="355"/>
      <c r="J4721" s="355"/>
      <c r="K4721" s="355"/>
      <c r="L4721" s="355"/>
      <c r="M4721" s="355"/>
    </row>
    <row r="4722" spans="5:13">
      <c r="E4722" s="355"/>
      <c r="F4722" s="355"/>
      <c r="G4722" s="355"/>
      <c r="H4722" s="355"/>
      <c r="I4722" s="355"/>
      <c r="J4722" s="355"/>
      <c r="K4722" s="355"/>
      <c r="L4722" s="355"/>
      <c r="M4722" s="355"/>
    </row>
    <row r="4723" spans="5:13">
      <c r="E4723" s="355"/>
      <c r="F4723" s="355"/>
      <c r="G4723" s="355"/>
      <c r="H4723" s="355"/>
      <c r="I4723" s="355"/>
      <c r="J4723" s="355"/>
      <c r="K4723" s="355"/>
      <c r="L4723" s="355"/>
      <c r="M4723" s="355"/>
    </row>
    <row r="4724" spans="5:13">
      <c r="E4724" s="355"/>
      <c r="F4724" s="355"/>
      <c r="G4724" s="355"/>
      <c r="H4724" s="355"/>
      <c r="I4724" s="355"/>
      <c r="J4724" s="355"/>
      <c r="K4724" s="355"/>
      <c r="L4724" s="355"/>
      <c r="M4724" s="355"/>
    </row>
    <row r="4725" spans="5:13">
      <c r="E4725" s="355"/>
      <c r="F4725" s="355"/>
      <c r="G4725" s="355"/>
      <c r="H4725" s="355"/>
      <c r="I4725" s="355"/>
      <c r="J4725" s="355"/>
      <c r="K4725" s="355"/>
      <c r="L4725" s="355"/>
      <c r="M4725" s="355"/>
    </row>
    <row r="4726" spans="5:13">
      <c r="E4726" s="355"/>
      <c r="F4726" s="355"/>
      <c r="G4726" s="355"/>
      <c r="H4726" s="355"/>
      <c r="I4726" s="355"/>
      <c r="J4726" s="355"/>
      <c r="K4726" s="355"/>
      <c r="L4726" s="355"/>
      <c r="M4726" s="355"/>
    </row>
    <row r="4727" spans="5:13">
      <c r="E4727" s="355"/>
      <c r="F4727" s="355"/>
      <c r="G4727" s="355"/>
      <c r="H4727" s="355"/>
      <c r="I4727" s="355"/>
      <c r="J4727" s="355"/>
      <c r="K4727" s="355"/>
      <c r="L4727" s="355"/>
      <c r="M4727" s="355"/>
    </row>
    <row r="4728" spans="5:13">
      <c r="E4728" s="355"/>
      <c r="F4728" s="355"/>
      <c r="G4728" s="355"/>
      <c r="H4728" s="355"/>
      <c r="I4728" s="355"/>
      <c r="J4728" s="355"/>
      <c r="K4728" s="355"/>
      <c r="L4728" s="355"/>
      <c r="M4728" s="355"/>
    </row>
    <row r="4729" spans="5:13">
      <c r="E4729" s="355"/>
      <c r="F4729" s="355"/>
      <c r="G4729" s="355"/>
      <c r="H4729" s="355"/>
      <c r="I4729" s="355"/>
      <c r="J4729" s="355"/>
      <c r="K4729" s="355"/>
      <c r="L4729" s="355"/>
      <c r="M4729" s="355"/>
    </row>
    <row r="4730" spans="5:13">
      <c r="E4730" s="355"/>
      <c r="F4730" s="355"/>
      <c r="G4730" s="355"/>
      <c r="H4730" s="355"/>
      <c r="I4730" s="355"/>
      <c r="J4730" s="355"/>
      <c r="K4730" s="355"/>
      <c r="L4730" s="355"/>
      <c r="M4730" s="355"/>
    </row>
    <row r="4731" spans="5:13">
      <c r="E4731" s="355"/>
      <c r="F4731" s="355"/>
      <c r="G4731" s="355"/>
      <c r="H4731" s="355"/>
      <c r="I4731" s="355"/>
      <c r="J4731" s="355"/>
      <c r="K4731" s="355"/>
      <c r="L4731" s="355"/>
      <c r="M4731" s="355"/>
    </row>
    <row r="4732" spans="5:13">
      <c r="E4732" s="355"/>
      <c r="F4732" s="355"/>
      <c r="G4732" s="355"/>
      <c r="H4732" s="355"/>
      <c r="I4732" s="355"/>
      <c r="J4732" s="355"/>
      <c r="K4732" s="355"/>
      <c r="L4732" s="355"/>
      <c r="M4732" s="355"/>
    </row>
    <row r="4733" spans="5:13">
      <c r="E4733" s="355"/>
      <c r="F4733" s="355"/>
      <c r="G4733" s="355"/>
      <c r="H4733" s="355"/>
      <c r="I4733" s="355"/>
      <c r="J4733" s="355"/>
      <c r="K4733" s="355"/>
      <c r="L4733" s="355"/>
      <c r="M4733" s="355"/>
    </row>
    <row r="4734" spans="5:13">
      <c r="E4734" s="355"/>
      <c r="F4734" s="355"/>
      <c r="G4734" s="355"/>
      <c r="H4734" s="355"/>
      <c r="I4734" s="355"/>
      <c r="J4734" s="355"/>
      <c r="K4734" s="355"/>
      <c r="L4734" s="355"/>
      <c r="M4734" s="355"/>
    </row>
    <row r="4735" spans="5:13">
      <c r="E4735" s="355"/>
      <c r="F4735" s="355"/>
      <c r="G4735" s="355"/>
      <c r="H4735" s="355"/>
      <c r="I4735" s="355"/>
      <c r="J4735" s="355"/>
      <c r="K4735" s="355"/>
      <c r="L4735" s="355"/>
      <c r="M4735" s="355"/>
    </row>
    <row r="4736" spans="5:13">
      <c r="E4736" s="355"/>
      <c r="F4736" s="355"/>
      <c r="G4736" s="355"/>
      <c r="H4736" s="355"/>
      <c r="I4736" s="355"/>
      <c r="J4736" s="355"/>
      <c r="K4736" s="355"/>
      <c r="L4736" s="355"/>
      <c r="M4736" s="355"/>
    </row>
    <row r="4737" spans="5:13">
      <c r="E4737" s="355"/>
      <c r="F4737" s="355"/>
      <c r="G4737" s="355"/>
      <c r="H4737" s="355"/>
      <c r="I4737" s="355"/>
      <c r="J4737" s="355"/>
      <c r="K4737" s="355"/>
      <c r="L4737" s="355"/>
      <c r="M4737" s="355"/>
    </row>
    <row r="4738" spans="5:13">
      <c r="E4738" s="355"/>
      <c r="F4738" s="355"/>
      <c r="G4738" s="355"/>
      <c r="H4738" s="355"/>
      <c r="I4738" s="355"/>
      <c r="J4738" s="355"/>
      <c r="K4738" s="355"/>
      <c r="L4738" s="355"/>
      <c r="M4738" s="355"/>
    </row>
    <row r="4739" spans="5:13">
      <c r="E4739" s="355"/>
      <c r="F4739" s="355"/>
      <c r="G4739" s="355"/>
      <c r="H4739" s="355"/>
      <c r="I4739" s="355"/>
      <c r="J4739" s="355"/>
      <c r="K4739" s="355"/>
      <c r="L4739" s="355"/>
      <c r="M4739" s="355"/>
    </row>
    <row r="4740" spans="5:13">
      <c r="E4740" s="355"/>
      <c r="F4740" s="355"/>
      <c r="G4740" s="355"/>
      <c r="H4740" s="355"/>
      <c r="I4740" s="355"/>
      <c r="J4740" s="355"/>
      <c r="K4740" s="355"/>
      <c r="L4740" s="355"/>
      <c r="M4740" s="355"/>
    </row>
    <row r="4741" spans="5:13">
      <c r="E4741" s="355"/>
      <c r="F4741" s="355"/>
      <c r="G4741" s="355"/>
      <c r="H4741" s="355"/>
      <c r="I4741" s="355"/>
      <c r="J4741" s="355"/>
      <c r="K4741" s="355"/>
      <c r="L4741" s="355"/>
      <c r="M4741" s="355"/>
    </row>
    <row r="4742" spans="5:13">
      <c r="E4742" s="355"/>
      <c r="F4742" s="355"/>
      <c r="G4742" s="355"/>
      <c r="H4742" s="355"/>
      <c r="I4742" s="355"/>
      <c r="J4742" s="355"/>
      <c r="K4742" s="355"/>
      <c r="L4742" s="355"/>
      <c r="M4742" s="355"/>
    </row>
    <row r="4743" spans="5:13">
      <c r="E4743" s="355"/>
      <c r="F4743" s="355"/>
      <c r="G4743" s="355"/>
      <c r="H4743" s="355"/>
      <c r="I4743" s="355"/>
      <c r="J4743" s="355"/>
      <c r="K4743" s="355"/>
      <c r="L4743" s="355"/>
      <c r="M4743" s="355"/>
    </row>
    <row r="4744" spans="5:13">
      <c r="E4744" s="355"/>
      <c r="F4744" s="355"/>
      <c r="G4744" s="355"/>
      <c r="H4744" s="355"/>
      <c r="I4744" s="355"/>
      <c r="J4744" s="355"/>
      <c r="K4744" s="355"/>
      <c r="L4744" s="355"/>
      <c r="M4744" s="355"/>
    </row>
    <row r="4745" spans="5:13">
      <c r="E4745" s="355"/>
      <c r="F4745" s="355"/>
      <c r="G4745" s="355"/>
      <c r="H4745" s="355"/>
      <c r="I4745" s="355"/>
      <c r="J4745" s="355"/>
      <c r="K4745" s="355"/>
      <c r="L4745" s="355"/>
      <c r="M4745" s="355"/>
    </row>
    <row r="4746" spans="5:13">
      <c r="E4746" s="355"/>
      <c r="F4746" s="355"/>
      <c r="G4746" s="355"/>
      <c r="H4746" s="355"/>
      <c r="I4746" s="355"/>
      <c r="J4746" s="355"/>
      <c r="K4746" s="355"/>
      <c r="L4746" s="355"/>
      <c r="M4746" s="355"/>
    </row>
    <row r="4747" spans="5:13">
      <c r="E4747" s="355"/>
      <c r="F4747" s="355"/>
      <c r="G4747" s="355"/>
      <c r="H4747" s="355"/>
      <c r="I4747" s="355"/>
      <c r="J4747" s="355"/>
      <c r="K4747" s="355"/>
      <c r="L4747" s="355"/>
      <c r="M4747" s="355"/>
    </row>
    <row r="4748" spans="5:13">
      <c r="E4748" s="355"/>
      <c r="F4748" s="355"/>
      <c r="G4748" s="355"/>
      <c r="H4748" s="355"/>
      <c r="I4748" s="355"/>
      <c r="J4748" s="355"/>
      <c r="K4748" s="355"/>
      <c r="L4748" s="355"/>
      <c r="M4748" s="355"/>
    </row>
    <row r="4749" spans="5:13">
      <c r="E4749" s="355"/>
      <c r="F4749" s="355"/>
      <c r="G4749" s="355"/>
      <c r="H4749" s="355"/>
      <c r="I4749" s="355"/>
      <c r="J4749" s="355"/>
      <c r="K4749" s="355"/>
      <c r="L4749" s="355"/>
      <c r="M4749" s="355"/>
    </row>
    <row r="4750" spans="5:13">
      <c r="E4750" s="355"/>
      <c r="F4750" s="355"/>
      <c r="G4750" s="355"/>
      <c r="H4750" s="355"/>
      <c r="I4750" s="355"/>
      <c r="J4750" s="355"/>
      <c r="K4750" s="355"/>
      <c r="L4750" s="355"/>
      <c r="M4750" s="355"/>
    </row>
    <row r="4751" spans="5:13">
      <c r="E4751" s="355"/>
      <c r="F4751" s="355"/>
      <c r="G4751" s="355"/>
      <c r="H4751" s="355"/>
      <c r="I4751" s="355"/>
      <c r="J4751" s="355"/>
      <c r="K4751" s="355"/>
      <c r="L4751" s="355"/>
      <c r="M4751" s="355"/>
    </row>
    <row r="4752" spans="5:13">
      <c r="E4752" s="355"/>
      <c r="F4752" s="355"/>
      <c r="G4752" s="355"/>
      <c r="H4752" s="355"/>
      <c r="I4752" s="355"/>
      <c r="J4752" s="355"/>
      <c r="K4752" s="355"/>
      <c r="L4752" s="355"/>
      <c r="M4752" s="355"/>
    </row>
    <row r="4753" spans="5:13">
      <c r="E4753" s="355"/>
      <c r="F4753" s="355"/>
      <c r="G4753" s="355"/>
      <c r="H4753" s="355"/>
      <c r="I4753" s="355"/>
      <c r="J4753" s="355"/>
      <c r="K4753" s="355"/>
      <c r="L4753" s="355"/>
      <c r="M4753" s="355"/>
    </row>
    <row r="4754" spans="5:13">
      <c r="E4754" s="355"/>
      <c r="F4754" s="355"/>
      <c r="G4754" s="355"/>
      <c r="H4754" s="355"/>
      <c r="I4754" s="355"/>
      <c r="J4754" s="355"/>
      <c r="K4754" s="355"/>
      <c r="L4754" s="355"/>
      <c r="M4754" s="355"/>
    </row>
    <row r="4755" spans="5:13">
      <c r="E4755" s="355"/>
      <c r="F4755" s="355"/>
      <c r="G4755" s="355"/>
      <c r="H4755" s="355"/>
      <c r="I4755" s="355"/>
      <c r="J4755" s="355"/>
      <c r="K4755" s="355"/>
      <c r="L4755" s="355"/>
      <c r="M4755" s="355"/>
    </row>
    <row r="4756" spans="5:13">
      <c r="E4756" s="355"/>
      <c r="F4756" s="355"/>
      <c r="G4756" s="355"/>
      <c r="H4756" s="355"/>
      <c r="I4756" s="355"/>
      <c r="J4756" s="355"/>
      <c r="K4756" s="355"/>
      <c r="L4756" s="355"/>
      <c r="M4756" s="355"/>
    </row>
    <row r="4757" spans="5:13">
      <c r="E4757" s="355"/>
      <c r="F4757" s="355"/>
      <c r="G4757" s="355"/>
      <c r="H4757" s="355"/>
      <c r="I4757" s="355"/>
      <c r="J4757" s="355"/>
      <c r="K4757" s="355"/>
      <c r="L4757" s="355"/>
      <c r="M4757" s="355"/>
    </row>
    <row r="4758" spans="5:13">
      <c r="E4758" s="355"/>
      <c r="F4758" s="355"/>
      <c r="G4758" s="355"/>
      <c r="H4758" s="355"/>
      <c r="I4758" s="355"/>
      <c r="J4758" s="355"/>
      <c r="K4758" s="355"/>
      <c r="L4758" s="355"/>
      <c r="M4758" s="355"/>
    </row>
    <row r="4759" spans="5:13">
      <c r="E4759" s="355"/>
      <c r="F4759" s="355"/>
      <c r="G4759" s="355"/>
      <c r="H4759" s="355"/>
      <c r="I4759" s="355"/>
      <c r="J4759" s="355"/>
      <c r="K4759" s="355"/>
      <c r="L4759" s="355"/>
      <c r="M4759" s="355"/>
    </row>
    <row r="4760" spans="5:13">
      <c r="E4760" s="355"/>
      <c r="F4760" s="355"/>
      <c r="G4760" s="355"/>
      <c r="H4760" s="355"/>
      <c r="I4760" s="355"/>
      <c r="J4760" s="355"/>
      <c r="K4760" s="355"/>
      <c r="L4760" s="355"/>
      <c r="M4760" s="355"/>
    </row>
    <row r="4761" spans="5:13">
      <c r="E4761" s="355"/>
      <c r="F4761" s="355"/>
      <c r="G4761" s="355"/>
      <c r="H4761" s="355"/>
      <c r="I4761" s="355"/>
      <c r="J4761" s="355"/>
      <c r="K4761" s="355"/>
      <c r="L4761" s="355"/>
      <c r="M4761" s="355"/>
    </row>
    <row r="4762" spans="5:13">
      <c r="E4762" s="355"/>
      <c r="F4762" s="355"/>
      <c r="G4762" s="355"/>
      <c r="H4762" s="355"/>
      <c r="I4762" s="355"/>
      <c r="J4762" s="355"/>
      <c r="K4762" s="355"/>
      <c r="L4762" s="355"/>
      <c r="M4762" s="355"/>
    </row>
    <row r="4763" spans="5:13">
      <c r="E4763" s="355"/>
      <c r="F4763" s="355"/>
      <c r="G4763" s="355"/>
      <c r="H4763" s="355"/>
      <c r="I4763" s="355"/>
      <c r="J4763" s="355"/>
      <c r="K4763" s="355"/>
      <c r="L4763" s="355"/>
      <c r="M4763" s="355"/>
    </row>
    <row r="4764" spans="5:13">
      <c r="E4764" s="355"/>
      <c r="F4764" s="355"/>
      <c r="G4764" s="355"/>
      <c r="H4764" s="355"/>
      <c r="I4764" s="355"/>
      <c r="J4764" s="355"/>
      <c r="K4764" s="355"/>
      <c r="L4764" s="355"/>
      <c r="M4764" s="355"/>
    </row>
    <row r="4765" spans="5:13">
      <c r="E4765" s="355"/>
      <c r="F4765" s="355"/>
      <c r="G4765" s="355"/>
      <c r="H4765" s="355"/>
      <c r="I4765" s="355"/>
      <c r="J4765" s="355"/>
      <c r="K4765" s="355"/>
      <c r="L4765" s="355"/>
      <c r="M4765" s="355"/>
    </row>
    <row r="4766" spans="5:13">
      <c r="E4766" s="355"/>
      <c r="F4766" s="355"/>
      <c r="G4766" s="355"/>
      <c r="H4766" s="355"/>
      <c r="I4766" s="355"/>
      <c r="J4766" s="355"/>
      <c r="K4766" s="355"/>
      <c r="L4766" s="355"/>
      <c r="M4766" s="355"/>
    </row>
    <row r="4767" spans="5:13">
      <c r="E4767" s="355"/>
      <c r="F4767" s="355"/>
      <c r="G4767" s="355"/>
      <c r="H4767" s="355"/>
      <c r="I4767" s="355"/>
      <c r="J4767" s="355"/>
      <c r="K4767" s="355"/>
      <c r="L4767" s="355"/>
      <c r="M4767" s="355"/>
    </row>
    <row r="4768" spans="5:13">
      <c r="E4768" s="355"/>
      <c r="F4768" s="355"/>
      <c r="G4768" s="355"/>
      <c r="H4768" s="355"/>
      <c r="I4768" s="355"/>
      <c r="J4768" s="355"/>
      <c r="K4768" s="355"/>
      <c r="L4768" s="355"/>
      <c r="M4768" s="355"/>
    </row>
    <row r="4769" spans="5:13">
      <c r="E4769" s="355"/>
      <c r="F4769" s="355"/>
      <c r="G4769" s="355"/>
      <c r="H4769" s="355"/>
      <c r="I4769" s="355"/>
      <c r="J4769" s="355"/>
      <c r="K4769" s="355"/>
      <c r="L4769" s="355"/>
      <c r="M4769" s="355"/>
    </row>
    <row r="4770" spans="5:13">
      <c r="E4770" s="355"/>
      <c r="F4770" s="355"/>
      <c r="G4770" s="355"/>
      <c r="H4770" s="355"/>
      <c r="I4770" s="355"/>
      <c r="J4770" s="355"/>
      <c r="K4770" s="355"/>
      <c r="L4770" s="355"/>
      <c r="M4770" s="355"/>
    </row>
    <row r="4771" spans="5:13">
      <c r="E4771" s="355"/>
      <c r="F4771" s="355"/>
      <c r="G4771" s="355"/>
      <c r="H4771" s="355"/>
      <c r="I4771" s="355"/>
      <c r="J4771" s="355"/>
      <c r="K4771" s="355"/>
      <c r="L4771" s="355"/>
      <c r="M4771" s="355"/>
    </row>
    <row r="4772" spans="5:13">
      <c r="E4772" s="355"/>
      <c r="F4772" s="355"/>
      <c r="G4772" s="355"/>
      <c r="H4772" s="355"/>
      <c r="I4772" s="355"/>
      <c r="J4772" s="355"/>
      <c r="K4772" s="355"/>
      <c r="L4772" s="355"/>
      <c r="M4772" s="355"/>
    </row>
    <row r="4773" spans="5:13">
      <c r="E4773" s="355"/>
      <c r="F4773" s="355"/>
      <c r="G4773" s="355"/>
      <c r="H4773" s="355"/>
      <c r="I4773" s="355"/>
      <c r="J4773" s="355"/>
      <c r="K4773" s="355"/>
      <c r="L4773" s="355"/>
      <c r="M4773" s="355"/>
    </row>
    <row r="4774" spans="5:13">
      <c r="E4774" s="355"/>
      <c r="F4774" s="355"/>
      <c r="G4774" s="355"/>
      <c r="H4774" s="355"/>
      <c r="I4774" s="355"/>
      <c r="J4774" s="355"/>
      <c r="K4774" s="355"/>
      <c r="L4774" s="355"/>
      <c r="M4774" s="355"/>
    </row>
    <row r="4775" spans="5:13">
      <c r="E4775" s="355"/>
      <c r="F4775" s="355"/>
      <c r="G4775" s="355"/>
      <c r="H4775" s="355"/>
      <c r="I4775" s="355"/>
      <c r="J4775" s="355"/>
      <c r="K4775" s="355"/>
      <c r="L4775" s="355"/>
      <c r="M4775" s="355"/>
    </row>
    <row r="4776" spans="5:13">
      <c r="E4776" s="355"/>
      <c r="F4776" s="355"/>
      <c r="G4776" s="355"/>
      <c r="H4776" s="355"/>
      <c r="I4776" s="355"/>
      <c r="J4776" s="355"/>
      <c r="K4776" s="355"/>
      <c r="L4776" s="355"/>
      <c r="M4776" s="355"/>
    </row>
    <row r="4777" spans="5:13">
      <c r="E4777" s="355"/>
      <c r="F4777" s="355"/>
      <c r="G4777" s="355"/>
      <c r="H4777" s="355"/>
      <c r="I4777" s="355"/>
      <c r="J4777" s="355"/>
      <c r="K4777" s="355"/>
      <c r="L4777" s="355"/>
      <c r="M4777" s="355"/>
    </row>
    <row r="4778" spans="5:13">
      <c r="E4778" s="355"/>
      <c r="F4778" s="355"/>
      <c r="G4778" s="355"/>
      <c r="H4778" s="355"/>
      <c r="I4778" s="355"/>
      <c r="J4778" s="355"/>
      <c r="K4778" s="355"/>
      <c r="L4778" s="355"/>
      <c r="M4778" s="355"/>
    </row>
    <row r="4779" spans="5:13">
      <c r="E4779" s="355"/>
      <c r="F4779" s="355"/>
      <c r="G4779" s="355"/>
      <c r="H4779" s="355"/>
      <c r="I4779" s="355"/>
      <c r="J4779" s="355"/>
      <c r="K4779" s="355"/>
      <c r="L4779" s="355"/>
      <c r="M4779" s="355"/>
    </row>
    <row r="4780" spans="5:13">
      <c r="E4780" s="355"/>
      <c r="F4780" s="355"/>
      <c r="G4780" s="355"/>
      <c r="H4780" s="355"/>
      <c r="I4780" s="355"/>
      <c r="J4780" s="355"/>
      <c r="K4780" s="355"/>
      <c r="L4780" s="355"/>
      <c r="M4780" s="355"/>
    </row>
    <row r="4781" spans="5:13">
      <c r="E4781" s="355"/>
      <c r="F4781" s="355"/>
      <c r="G4781" s="355"/>
      <c r="H4781" s="355"/>
      <c r="I4781" s="355"/>
      <c r="J4781" s="355"/>
      <c r="K4781" s="355"/>
      <c r="L4781" s="355"/>
      <c r="M4781" s="355"/>
    </row>
    <row r="4782" spans="5:13">
      <c r="E4782" s="355"/>
      <c r="F4782" s="355"/>
      <c r="G4782" s="355"/>
      <c r="H4782" s="355"/>
      <c r="I4782" s="355"/>
      <c r="J4782" s="355"/>
      <c r="K4782" s="355"/>
      <c r="L4782" s="355"/>
      <c r="M4782" s="355"/>
    </row>
    <row r="4783" spans="5:13">
      <c r="E4783" s="355"/>
      <c r="F4783" s="355"/>
      <c r="G4783" s="355"/>
      <c r="H4783" s="355"/>
      <c r="I4783" s="355"/>
      <c r="J4783" s="355"/>
      <c r="K4783" s="355"/>
      <c r="L4783" s="355"/>
      <c r="M4783" s="355"/>
    </row>
    <row r="4784" spans="5:13">
      <c r="E4784" s="355"/>
      <c r="F4784" s="355"/>
      <c r="G4784" s="355"/>
      <c r="H4784" s="355"/>
      <c r="I4784" s="355"/>
      <c r="J4784" s="355"/>
      <c r="K4784" s="355"/>
      <c r="L4784" s="355"/>
      <c r="M4784" s="355"/>
    </row>
    <row r="4785" spans="5:13">
      <c r="E4785" s="355"/>
      <c r="F4785" s="355"/>
      <c r="G4785" s="355"/>
      <c r="H4785" s="355"/>
      <c r="I4785" s="355"/>
      <c r="J4785" s="355"/>
      <c r="K4785" s="355"/>
      <c r="L4785" s="355"/>
      <c r="M4785" s="355"/>
    </row>
    <row r="4786" spans="5:13">
      <c r="E4786" s="355"/>
      <c r="F4786" s="355"/>
      <c r="G4786" s="355"/>
      <c r="H4786" s="355"/>
      <c r="I4786" s="355"/>
      <c r="J4786" s="355"/>
      <c r="K4786" s="355"/>
      <c r="L4786" s="355"/>
      <c r="M4786" s="355"/>
    </row>
    <row r="4787" spans="5:13">
      <c r="E4787" s="355"/>
      <c r="F4787" s="355"/>
      <c r="G4787" s="355"/>
      <c r="H4787" s="355"/>
      <c r="I4787" s="355"/>
      <c r="J4787" s="355"/>
      <c r="K4787" s="355"/>
      <c r="L4787" s="355"/>
      <c r="M4787" s="355"/>
    </row>
    <row r="4788" spans="5:13">
      <c r="E4788" s="355"/>
      <c r="F4788" s="355"/>
      <c r="G4788" s="355"/>
      <c r="H4788" s="355"/>
      <c r="I4788" s="355"/>
      <c r="J4788" s="355"/>
      <c r="K4788" s="355"/>
      <c r="L4788" s="355"/>
      <c r="M4788" s="355"/>
    </row>
    <row r="4789" spans="5:13">
      <c r="E4789" s="355"/>
      <c r="F4789" s="355"/>
      <c r="G4789" s="355"/>
      <c r="H4789" s="355"/>
      <c r="I4789" s="355"/>
      <c r="J4789" s="355"/>
      <c r="K4789" s="355"/>
      <c r="L4789" s="355"/>
      <c r="M4789" s="355"/>
    </row>
    <row r="4790" spans="5:13">
      <c r="E4790" s="355"/>
      <c r="F4790" s="355"/>
      <c r="G4790" s="355"/>
      <c r="H4790" s="355"/>
      <c r="I4790" s="355"/>
      <c r="J4790" s="355"/>
      <c r="K4790" s="355"/>
      <c r="L4790" s="355"/>
      <c r="M4790" s="355"/>
    </row>
    <row r="4791" spans="5:13">
      <c r="E4791" s="355"/>
      <c r="F4791" s="355"/>
      <c r="G4791" s="355"/>
      <c r="H4791" s="355"/>
      <c r="I4791" s="355"/>
      <c r="J4791" s="355"/>
      <c r="K4791" s="355"/>
      <c r="L4791" s="355"/>
      <c r="M4791" s="355"/>
    </row>
    <row r="4792" spans="5:13">
      <c r="E4792" s="355"/>
      <c r="F4792" s="355"/>
      <c r="G4792" s="355"/>
      <c r="H4792" s="355"/>
      <c r="I4792" s="355"/>
      <c r="J4792" s="355"/>
      <c r="K4792" s="355"/>
      <c r="L4792" s="355"/>
      <c r="M4792" s="355"/>
    </row>
    <row r="4793" spans="5:13">
      <c r="E4793" s="355"/>
      <c r="F4793" s="355"/>
      <c r="G4793" s="355"/>
      <c r="H4793" s="355"/>
      <c r="I4793" s="355"/>
      <c r="J4793" s="355"/>
      <c r="K4793" s="355"/>
      <c r="L4793" s="355"/>
      <c r="M4793" s="355"/>
    </row>
    <row r="4794" spans="5:13">
      <c r="E4794" s="355"/>
      <c r="F4794" s="355"/>
      <c r="G4794" s="355"/>
      <c r="H4794" s="355"/>
      <c r="I4794" s="355"/>
      <c r="J4794" s="355"/>
      <c r="K4794" s="355"/>
      <c r="L4794" s="355"/>
      <c r="M4794" s="355"/>
    </row>
    <row r="4795" spans="5:13">
      <c r="E4795" s="355"/>
      <c r="F4795" s="355"/>
      <c r="G4795" s="355"/>
      <c r="H4795" s="355"/>
      <c r="I4795" s="355"/>
      <c r="J4795" s="355"/>
      <c r="K4795" s="355"/>
      <c r="L4795" s="355"/>
      <c r="M4795" s="355"/>
    </row>
    <row r="4796" spans="5:13">
      <c r="E4796" s="355"/>
      <c r="F4796" s="355"/>
      <c r="G4796" s="355"/>
      <c r="H4796" s="355"/>
      <c r="I4796" s="355"/>
      <c r="J4796" s="355"/>
      <c r="K4796" s="355"/>
      <c r="L4796" s="355"/>
      <c r="M4796" s="355"/>
    </row>
    <row r="4797" spans="5:13">
      <c r="E4797" s="355"/>
      <c r="F4797" s="355"/>
      <c r="G4797" s="355"/>
      <c r="H4797" s="355"/>
      <c r="I4797" s="355"/>
      <c r="J4797" s="355"/>
      <c r="K4797" s="355"/>
      <c r="L4797" s="355"/>
      <c r="M4797" s="355"/>
    </row>
    <row r="4798" spans="5:13">
      <c r="E4798" s="355"/>
      <c r="F4798" s="355"/>
      <c r="G4798" s="355"/>
      <c r="H4798" s="355"/>
      <c r="I4798" s="355"/>
      <c r="J4798" s="355"/>
      <c r="K4798" s="355"/>
      <c r="L4798" s="355"/>
      <c r="M4798" s="355"/>
    </row>
    <row r="4799" spans="5:13">
      <c r="E4799" s="355"/>
      <c r="F4799" s="355"/>
      <c r="G4799" s="355"/>
      <c r="H4799" s="355"/>
      <c r="I4799" s="355"/>
      <c r="J4799" s="355"/>
      <c r="K4799" s="355"/>
      <c r="L4799" s="355"/>
      <c r="M4799" s="355"/>
    </row>
    <row r="4800" spans="5:13">
      <c r="E4800" s="355"/>
      <c r="F4800" s="355"/>
      <c r="G4800" s="355"/>
      <c r="H4800" s="355"/>
      <c r="I4800" s="355"/>
      <c r="J4800" s="355"/>
      <c r="K4800" s="355"/>
      <c r="L4800" s="355"/>
      <c r="M4800" s="355"/>
    </row>
    <row r="4801" spans="5:13">
      <c r="E4801" s="355"/>
      <c r="F4801" s="355"/>
      <c r="G4801" s="355"/>
      <c r="H4801" s="355"/>
      <c r="I4801" s="355"/>
      <c r="J4801" s="355"/>
      <c r="K4801" s="355"/>
      <c r="L4801" s="355"/>
      <c r="M4801" s="355"/>
    </row>
    <row r="4802" spans="5:13">
      <c r="E4802" s="355"/>
      <c r="F4802" s="355"/>
      <c r="G4802" s="355"/>
      <c r="H4802" s="355"/>
      <c r="I4802" s="355"/>
      <c r="J4802" s="355"/>
      <c r="K4802" s="355"/>
      <c r="L4802" s="355"/>
      <c r="M4802" s="355"/>
    </row>
    <row r="4803" spans="5:13">
      <c r="E4803" s="355"/>
      <c r="F4803" s="355"/>
      <c r="G4803" s="355"/>
      <c r="H4803" s="355"/>
      <c r="I4803" s="355"/>
      <c r="J4803" s="355"/>
      <c r="K4803" s="355"/>
      <c r="L4803" s="355"/>
      <c r="M4803" s="355"/>
    </row>
    <row r="4804" spans="5:13">
      <c r="E4804" s="355"/>
      <c r="F4804" s="355"/>
      <c r="G4804" s="355"/>
      <c r="H4804" s="355"/>
      <c r="I4804" s="355"/>
      <c r="J4804" s="355"/>
      <c r="K4804" s="355"/>
      <c r="L4804" s="355"/>
      <c r="M4804" s="355"/>
    </row>
    <row r="4805" spans="5:13">
      <c r="E4805" s="355"/>
      <c r="F4805" s="355"/>
      <c r="G4805" s="355"/>
      <c r="H4805" s="355"/>
      <c r="I4805" s="355"/>
      <c r="J4805" s="355"/>
      <c r="K4805" s="355"/>
      <c r="L4805" s="355"/>
      <c r="M4805" s="355"/>
    </row>
    <row r="4806" spans="5:13">
      <c r="E4806" s="355"/>
      <c r="F4806" s="355"/>
      <c r="G4806" s="355"/>
      <c r="H4806" s="355"/>
      <c r="I4806" s="355"/>
      <c r="J4806" s="355"/>
      <c r="K4806" s="355"/>
      <c r="L4806" s="355"/>
      <c r="M4806" s="355"/>
    </row>
    <row r="4807" spans="5:13">
      <c r="E4807" s="355"/>
      <c r="F4807" s="355"/>
      <c r="G4807" s="355"/>
      <c r="H4807" s="355"/>
      <c r="I4807" s="355"/>
      <c r="J4807" s="355"/>
      <c r="K4807" s="355"/>
      <c r="L4807" s="355"/>
      <c r="M4807" s="355"/>
    </row>
    <row r="4808" spans="5:13">
      <c r="E4808" s="355"/>
      <c r="F4808" s="355"/>
      <c r="G4808" s="355"/>
      <c r="H4808" s="355"/>
      <c r="I4808" s="355"/>
      <c r="J4808" s="355"/>
      <c r="K4808" s="355"/>
      <c r="L4808" s="355"/>
      <c r="M4808" s="355"/>
    </row>
    <row r="4809" spans="5:13">
      <c r="E4809" s="355"/>
      <c r="F4809" s="355"/>
      <c r="G4809" s="355"/>
      <c r="H4809" s="355"/>
      <c r="I4809" s="355"/>
      <c r="J4809" s="355"/>
      <c r="K4809" s="355"/>
      <c r="L4809" s="355"/>
      <c r="M4809" s="355"/>
    </row>
    <row r="4810" spans="5:13">
      <c r="E4810" s="355"/>
      <c r="F4810" s="355"/>
      <c r="G4810" s="355"/>
      <c r="H4810" s="355"/>
      <c r="I4810" s="355"/>
      <c r="J4810" s="355"/>
      <c r="K4810" s="355"/>
      <c r="L4810" s="355"/>
      <c r="M4810" s="355"/>
    </row>
    <row r="4811" spans="5:13">
      <c r="E4811" s="355"/>
      <c r="F4811" s="355"/>
      <c r="G4811" s="355"/>
      <c r="H4811" s="355"/>
      <c r="I4811" s="355"/>
      <c r="J4811" s="355"/>
      <c r="K4811" s="355"/>
      <c r="L4811" s="355"/>
      <c r="M4811" s="355"/>
    </row>
    <row r="4812" spans="5:13">
      <c r="E4812" s="355"/>
      <c r="F4812" s="355"/>
      <c r="G4812" s="355"/>
      <c r="H4812" s="355"/>
      <c r="I4812" s="355"/>
      <c r="J4812" s="355"/>
      <c r="K4812" s="355"/>
      <c r="L4812" s="355"/>
      <c r="M4812" s="355"/>
    </row>
    <row r="4813" spans="5:13">
      <c r="E4813" s="355"/>
      <c r="F4813" s="355"/>
      <c r="G4813" s="355"/>
      <c r="H4813" s="355"/>
      <c r="I4813" s="355"/>
      <c r="J4813" s="355"/>
      <c r="K4813" s="355"/>
      <c r="L4813" s="355"/>
      <c r="M4813" s="355"/>
    </row>
    <row r="4814" spans="5:13">
      <c r="E4814" s="355"/>
      <c r="F4814" s="355"/>
      <c r="G4814" s="355"/>
      <c r="H4814" s="355"/>
      <c r="I4814" s="355"/>
      <c r="J4814" s="355"/>
      <c r="K4814" s="355"/>
      <c r="L4814" s="355"/>
      <c r="M4814" s="355"/>
    </row>
    <row r="4815" spans="5:13">
      <c r="E4815" s="355"/>
      <c r="F4815" s="355"/>
      <c r="G4815" s="355"/>
      <c r="H4815" s="355"/>
      <c r="I4815" s="355"/>
      <c r="J4815" s="355"/>
      <c r="K4815" s="355"/>
      <c r="L4815" s="355"/>
      <c r="M4815" s="355"/>
    </row>
    <row r="4816" spans="5:13">
      <c r="E4816" s="355"/>
      <c r="F4816" s="355"/>
      <c r="G4816" s="355"/>
      <c r="H4816" s="355"/>
      <c r="I4816" s="355"/>
      <c r="J4816" s="355"/>
      <c r="K4816" s="355"/>
      <c r="L4816" s="355"/>
      <c r="M4816" s="355"/>
    </row>
    <row r="4817" spans="5:13">
      <c r="E4817" s="355"/>
      <c r="F4817" s="355"/>
      <c r="G4817" s="355"/>
      <c r="H4817" s="355"/>
      <c r="I4817" s="355"/>
      <c r="J4817" s="355"/>
      <c r="K4817" s="355"/>
      <c r="L4817" s="355"/>
      <c r="M4817" s="355"/>
    </row>
    <row r="4818" spans="5:13">
      <c r="E4818" s="355"/>
      <c r="F4818" s="355"/>
      <c r="G4818" s="355"/>
      <c r="H4818" s="355"/>
      <c r="I4818" s="355"/>
      <c r="J4818" s="355"/>
      <c r="K4818" s="355"/>
      <c r="L4818" s="355"/>
      <c r="M4818" s="355"/>
    </row>
    <row r="4819" spans="5:13">
      <c r="E4819" s="355"/>
      <c r="F4819" s="355"/>
      <c r="G4819" s="355"/>
      <c r="H4819" s="355"/>
      <c r="I4819" s="355"/>
      <c r="J4819" s="355"/>
      <c r="K4819" s="355"/>
      <c r="L4819" s="355"/>
      <c r="M4819" s="355"/>
    </row>
    <row r="4820" spans="5:13">
      <c r="E4820" s="355"/>
      <c r="F4820" s="355"/>
      <c r="G4820" s="355"/>
      <c r="H4820" s="355"/>
      <c r="I4820" s="355"/>
      <c r="J4820" s="355"/>
      <c r="K4820" s="355"/>
      <c r="L4820" s="355"/>
      <c r="M4820" s="355"/>
    </row>
    <row r="4821" spans="5:13">
      <c r="E4821" s="355"/>
      <c r="F4821" s="355"/>
      <c r="G4821" s="355"/>
      <c r="H4821" s="355"/>
      <c r="I4821" s="355"/>
      <c r="J4821" s="355"/>
      <c r="K4821" s="355"/>
      <c r="L4821" s="355"/>
      <c r="M4821" s="355"/>
    </row>
    <row r="4822" spans="5:13">
      <c r="E4822" s="355"/>
      <c r="F4822" s="355"/>
      <c r="G4822" s="355"/>
      <c r="H4822" s="355"/>
      <c r="I4822" s="355"/>
      <c r="J4822" s="355"/>
      <c r="K4822" s="355"/>
      <c r="L4822" s="355"/>
      <c r="M4822" s="355"/>
    </row>
    <row r="4823" spans="5:13">
      <c r="E4823" s="355"/>
      <c r="F4823" s="355"/>
      <c r="G4823" s="355"/>
      <c r="H4823" s="355"/>
      <c r="I4823" s="355"/>
      <c r="J4823" s="355"/>
      <c r="K4823" s="355"/>
      <c r="L4823" s="355"/>
      <c r="M4823" s="355"/>
    </row>
    <row r="4824" spans="5:13">
      <c r="E4824" s="355"/>
      <c r="F4824" s="355"/>
      <c r="G4824" s="355"/>
      <c r="H4824" s="355"/>
      <c r="I4824" s="355"/>
      <c r="J4824" s="355"/>
      <c r="K4824" s="355"/>
      <c r="L4824" s="355"/>
      <c r="M4824" s="355"/>
    </row>
    <row r="4825" spans="5:13">
      <c r="E4825" s="355"/>
      <c r="F4825" s="355"/>
      <c r="G4825" s="355"/>
      <c r="H4825" s="355"/>
      <c r="I4825" s="355"/>
      <c r="J4825" s="355"/>
      <c r="K4825" s="355"/>
      <c r="L4825" s="355"/>
      <c r="M4825" s="355"/>
    </row>
    <row r="4826" spans="5:13">
      <c r="E4826" s="355"/>
      <c r="F4826" s="355"/>
      <c r="G4826" s="355"/>
      <c r="H4826" s="355"/>
      <c r="I4826" s="355"/>
      <c r="J4826" s="355"/>
      <c r="K4826" s="355"/>
      <c r="L4826" s="355"/>
      <c r="M4826" s="355"/>
    </row>
    <row r="4827" spans="5:13">
      <c r="E4827" s="355"/>
      <c r="F4827" s="355"/>
      <c r="G4827" s="355"/>
      <c r="H4827" s="355"/>
      <c r="I4827" s="355"/>
      <c r="J4827" s="355"/>
      <c r="K4827" s="355"/>
      <c r="L4827" s="355"/>
      <c r="M4827" s="355"/>
    </row>
    <row r="4828" spans="5:13">
      <c r="E4828" s="355"/>
      <c r="F4828" s="355"/>
      <c r="G4828" s="355"/>
      <c r="H4828" s="355"/>
      <c r="I4828" s="355"/>
      <c r="J4828" s="355"/>
      <c r="K4828" s="355"/>
      <c r="L4828" s="355"/>
      <c r="M4828" s="355"/>
    </row>
    <row r="4829" spans="5:13">
      <c r="E4829" s="355"/>
      <c r="F4829" s="355"/>
      <c r="G4829" s="355"/>
      <c r="H4829" s="355"/>
      <c r="I4829" s="355"/>
      <c r="J4829" s="355"/>
      <c r="K4829" s="355"/>
      <c r="L4829" s="355"/>
      <c r="M4829" s="355"/>
    </row>
    <row r="4830" spans="5:13">
      <c r="E4830" s="355"/>
      <c r="F4830" s="355"/>
      <c r="G4830" s="355"/>
      <c r="H4830" s="355"/>
      <c r="I4830" s="355"/>
      <c r="J4830" s="355"/>
      <c r="K4830" s="355"/>
      <c r="L4830" s="355"/>
      <c r="M4830" s="355"/>
    </row>
    <row r="4831" spans="5:13">
      <c r="E4831" s="355"/>
      <c r="F4831" s="355"/>
      <c r="G4831" s="355"/>
      <c r="H4831" s="355"/>
      <c r="I4831" s="355"/>
      <c r="J4831" s="355"/>
      <c r="K4831" s="355"/>
      <c r="L4831" s="355"/>
      <c r="M4831" s="355"/>
    </row>
    <row r="4832" spans="5:13">
      <c r="E4832" s="355"/>
      <c r="F4832" s="355"/>
      <c r="G4832" s="355"/>
      <c r="H4832" s="355"/>
      <c r="I4832" s="355"/>
      <c r="J4832" s="355"/>
      <c r="K4832" s="355"/>
      <c r="L4832" s="355"/>
      <c r="M4832" s="355"/>
    </row>
    <row r="4833" spans="5:13">
      <c r="E4833" s="355"/>
      <c r="F4833" s="355"/>
      <c r="G4833" s="355"/>
      <c r="H4833" s="355"/>
      <c r="I4833" s="355"/>
      <c r="J4833" s="355"/>
      <c r="K4833" s="355"/>
      <c r="L4833" s="355"/>
      <c r="M4833" s="355"/>
    </row>
    <row r="4834" spans="5:13">
      <c r="E4834" s="355"/>
      <c r="F4834" s="355"/>
      <c r="G4834" s="355"/>
      <c r="H4834" s="355"/>
      <c r="I4834" s="355"/>
      <c r="J4834" s="355"/>
      <c r="K4834" s="355"/>
      <c r="L4834" s="355"/>
      <c r="M4834" s="355"/>
    </row>
    <row r="4835" spans="5:13">
      <c r="E4835" s="355"/>
      <c r="F4835" s="355"/>
      <c r="G4835" s="355"/>
      <c r="H4835" s="355"/>
      <c r="I4835" s="355"/>
      <c r="J4835" s="355"/>
      <c r="K4835" s="355"/>
      <c r="L4835" s="355"/>
      <c r="M4835" s="355"/>
    </row>
    <row r="4836" spans="5:13">
      <c r="E4836" s="355"/>
      <c r="F4836" s="355"/>
      <c r="G4836" s="355"/>
      <c r="H4836" s="355"/>
      <c r="I4836" s="355"/>
      <c r="J4836" s="355"/>
      <c r="K4836" s="355"/>
      <c r="L4836" s="355"/>
      <c r="M4836" s="355"/>
    </row>
    <row r="4837" spans="5:13">
      <c r="E4837" s="355"/>
      <c r="F4837" s="355"/>
      <c r="G4837" s="355"/>
      <c r="H4837" s="355"/>
      <c r="I4837" s="355"/>
      <c r="J4837" s="355"/>
      <c r="K4837" s="355"/>
      <c r="L4837" s="355"/>
      <c r="M4837" s="355"/>
    </row>
    <row r="4838" spans="5:13">
      <c r="E4838" s="355"/>
      <c r="F4838" s="355"/>
      <c r="G4838" s="355"/>
      <c r="H4838" s="355"/>
      <c r="I4838" s="355"/>
      <c r="J4838" s="355"/>
      <c r="K4838" s="355"/>
      <c r="L4838" s="355"/>
      <c r="M4838" s="355"/>
    </row>
    <row r="4839" spans="5:13">
      <c r="E4839" s="355"/>
      <c r="F4839" s="355"/>
      <c r="G4839" s="355"/>
      <c r="H4839" s="355"/>
      <c r="I4839" s="355"/>
      <c r="J4839" s="355"/>
      <c r="K4839" s="355"/>
      <c r="L4839" s="355"/>
      <c r="M4839" s="355"/>
    </row>
    <row r="4840" spans="5:13">
      <c r="E4840" s="355"/>
      <c r="F4840" s="355"/>
      <c r="G4840" s="355"/>
      <c r="H4840" s="355"/>
      <c r="I4840" s="355"/>
      <c r="J4840" s="355"/>
      <c r="K4840" s="355"/>
      <c r="L4840" s="355"/>
      <c r="M4840" s="355"/>
    </row>
    <row r="4841" spans="5:13">
      <c r="E4841" s="355"/>
      <c r="F4841" s="355"/>
      <c r="G4841" s="355"/>
      <c r="H4841" s="355"/>
      <c r="I4841" s="355"/>
      <c r="J4841" s="355"/>
      <c r="K4841" s="355"/>
      <c r="L4841" s="355"/>
      <c r="M4841" s="355"/>
    </row>
    <row r="4842" spans="5:13">
      <c r="E4842" s="355"/>
      <c r="F4842" s="355"/>
      <c r="G4842" s="355"/>
      <c r="H4842" s="355"/>
      <c r="I4842" s="355"/>
      <c r="J4842" s="355"/>
      <c r="K4842" s="355"/>
      <c r="L4842" s="355"/>
      <c r="M4842" s="355"/>
    </row>
    <row r="4843" spans="5:13">
      <c r="E4843" s="355"/>
      <c r="F4843" s="355"/>
      <c r="G4843" s="355"/>
      <c r="H4843" s="355"/>
      <c r="I4843" s="355"/>
      <c r="J4843" s="355"/>
      <c r="K4843" s="355"/>
      <c r="L4843" s="355"/>
      <c r="M4843" s="355"/>
    </row>
    <row r="4844" spans="5:13">
      <c r="E4844" s="355"/>
      <c r="F4844" s="355"/>
      <c r="G4844" s="355"/>
      <c r="H4844" s="355"/>
      <c r="I4844" s="355"/>
      <c r="J4844" s="355"/>
      <c r="K4844" s="355"/>
      <c r="L4844" s="355"/>
      <c r="M4844" s="355"/>
    </row>
    <row r="4845" spans="5:13">
      <c r="E4845" s="355"/>
      <c r="F4845" s="355"/>
      <c r="G4845" s="355"/>
      <c r="H4845" s="355"/>
      <c r="I4845" s="355"/>
      <c r="J4845" s="355"/>
      <c r="K4845" s="355"/>
      <c r="L4845" s="355"/>
      <c r="M4845" s="355"/>
    </row>
    <row r="4846" spans="5:13">
      <c r="E4846" s="355"/>
      <c r="F4846" s="355"/>
      <c r="G4846" s="355"/>
      <c r="H4846" s="355"/>
      <c r="I4846" s="355"/>
      <c r="J4846" s="355"/>
      <c r="K4846" s="355"/>
      <c r="L4846" s="355"/>
      <c r="M4846" s="355"/>
    </row>
    <row r="4847" spans="5:13">
      <c r="E4847" s="355"/>
      <c r="F4847" s="355"/>
      <c r="G4847" s="355"/>
      <c r="H4847" s="355"/>
      <c r="I4847" s="355"/>
      <c r="J4847" s="355"/>
      <c r="K4847" s="355"/>
      <c r="L4847" s="355"/>
      <c r="M4847" s="355"/>
    </row>
    <row r="4848" spans="5:13">
      <c r="E4848" s="355"/>
      <c r="F4848" s="355"/>
      <c r="G4848" s="355"/>
      <c r="H4848" s="355"/>
      <c r="I4848" s="355"/>
      <c r="J4848" s="355"/>
      <c r="K4848" s="355"/>
      <c r="L4848" s="355"/>
      <c r="M4848" s="355"/>
    </row>
    <row r="4849" spans="5:13">
      <c r="E4849" s="355"/>
      <c r="F4849" s="355"/>
      <c r="G4849" s="355"/>
      <c r="H4849" s="355"/>
      <c r="I4849" s="355"/>
      <c r="J4849" s="355"/>
      <c r="K4849" s="355"/>
      <c r="L4849" s="355"/>
      <c r="M4849" s="355"/>
    </row>
    <row r="4850" spans="5:13">
      <c r="E4850" s="355"/>
      <c r="F4850" s="355"/>
      <c r="G4850" s="355"/>
      <c r="H4850" s="355"/>
      <c r="I4850" s="355"/>
      <c r="J4850" s="355"/>
      <c r="K4850" s="355"/>
      <c r="L4850" s="355"/>
      <c r="M4850" s="355"/>
    </row>
    <row r="4851" spans="5:13">
      <c r="E4851" s="355"/>
      <c r="F4851" s="355"/>
      <c r="G4851" s="355"/>
      <c r="H4851" s="355"/>
      <c r="I4851" s="355"/>
      <c r="J4851" s="355"/>
      <c r="K4851" s="355"/>
      <c r="L4851" s="355"/>
      <c r="M4851" s="355"/>
    </row>
    <row r="4852" spans="5:13">
      <c r="E4852" s="355"/>
      <c r="F4852" s="355"/>
      <c r="G4852" s="355"/>
      <c r="H4852" s="355"/>
      <c r="I4852" s="355"/>
      <c r="J4852" s="355"/>
      <c r="K4852" s="355"/>
      <c r="L4852" s="355"/>
      <c r="M4852" s="355"/>
    </row>
    <row r="4853" spans="5:13">
      <c r="E4853" s="355"/>
      <c r="F4853" s="355"/>
      <c r="G4853" s="355"/>
      <c r="H4853" s="355"/>
      <c r="I4853" s="355"/>
      <c r="J4853" s="355"/>
      <c r="K4853" s="355"/>
      <c r="L4853" s="355"/>
      <c r="M4853" s="355"/>
    </row>
    <row r="4854" spans="5:13">
      <c r="E4854" s="355"/>
      <c r="F4854" s="355"/>
      <c r="G4854" s="355"/>
      <c r="H4854" s="355"/>
      <c r="I4854" s="355"/>
      <c r="J4854" s="355"/>
      <c r="K4854" s="355"/>
      <c r="L4854" s="355"/>
      <c r="M4854" s="355"/>
    </row>
    <row r="4855" spans="5:13">
      <c r="E4855" s="355"/>
      <c r="F4855" s="355"/>
      <c r="G4855" s="355"/>
      <c r="H4855" s="355"/>
      <c r="I4855" s="355"/>
      <c r="J4855" s="355"/>
      <c r="K4855" s="355"/>
      <c r="L4855" s="355"/>
      <c r="M4855" s="355"/>
    </row>
    <row r="4856" spans="5:13">
      <c r="E4856" s="355"/>
      <c r="F4856" s="355"/>
      <c r="G4856" s="355"/>
      <c r="H4856" s="355"/>
      <c r="I4856" s="355"/>
      <c r="J4856" s="355"/>
      <c r="K4856" s="355"/>
      <c r="L4856" s="355"/>
      <c r="M4856" s="355"/>
    </row>
    <row r="4857" spans="5:13">
      <c r="E4857" s="355"/>
      <c r="F4857" s="355"/>
      <c r="G4857" s="355"/>
      <c r="H4857" s="355"/>
      <c r="I4857" s="355"/>
      <c r="J4857" s="355"/>
      <c r="K4857" s="355"/>
      <c r="L4857" s="355"/>
      <c r="M4857" s="355"/>
    </row>
    <row r="4858" spans="5:13">
      <c r="E4858" s="355"/>
      <c r="F4858" s="355"/>
      <c r="G4858" s="355"/>
      <c r="H4858" s="355"/>
      <c r="I4858" s="355"/>
      <c r="J4858" s="355"/>
      <c r="K4858" s="355"/>
      <c r="L4858" s="355"/>
      <c r="M4858" s="355"/>
    </row>
    <row r="4859" spans="5:13">
      <c r="E4859" s="355"/>
      <c r="F4859" s="355"/>
      <c r="G4859" s="355"/>
      <c r="H4859" s="355"/>
      <c r="I4859" s="355"/>
      <c r="J4859" s="355"/>
      <c r="K4859" s="355"/>
      <c r="L4859" s="355"/>
      <c r="M4859" s="355"/>
    </row>
    <row r="4860" spans="5:13">
      <c r="E4860" s="355"/>
      <c r="F4860" s="355"/>
      <c r="G4860" s="355"/>
      <c r="H4860" s="355"/>
      <c r="I4860" s="355"/>
      <c r="J4860" s="355"/>
      <c r="K4860" s="355"/>
      <c r="L4860" s="355"/>
      <c r="M4860" s="355"/>
    </row>
    <row r="4861" spans="5:13">
      <c r="E4861" s="355"/>
      <c r="F4861" s="355"/>
      <c r="G4861" s="355"/>
      <c r="H4861" s="355"/>
      <c r="I4861" s="355"/>
      <c r="J4861" s="355"/>
      <c r="K4861" s="355"/>
      <c r="L4861" s="355"/>
      <c r="M4861" s="355"/>
    </row>
    <row r="4862" spans="5:13">
      <c r="E4862" s="355"/>
      <c r="F4862" s="355"/>
      <c r="G4862" s="355"/>
      <c r="H4862" s="355"/>
      <c r="I4862" s="355"/>
      <c r="J4862" s="355"/>
      <c r="K4862" s="355"/>
      <c r="L4862" s="355"/>
      <c r="M4862" s="355"/>
    </row>
    <row r="4863" spans="5:13">
      <c r="E4863" s="355"/>
      <c r="F4863" s="355"/>
      <c r="G4863" s="355"/>
      <c r="H4863" s="355"/>
      <c r="I4863" s="355"/>
      <c r="J4863" s="355"/>
      <c r="K4863" s="355"/>
      <c r="L4863" s="355"/>
      <c r="M4863" s="355"/>
    </row>
    <row r="4864" spans="5:13">
      <c r="E4864" s="355"/>
      <c r="F4864" s="355"/>
      <c r="G4864" s="355"/>
      <c r="H4864" s="355"/>
      <c r="I4864" s="355"/>
      <c r="J4864" s="355"/>
      <c r="K4864" s="355"/>
      <c r="L4864" s="355"/>
      <c r="M4864" s="355"/>
    </row>
    <row r="4865" spans="5:13">
      <c r="E4865" s="355"/>
      <c r="F4865" s="355"/>
      <c r="G4865" s="355"/>
      <c r="H4865" s="355"/>
      <c r="I4865" s="355"/>
      <c r="J4865" s="355"/>
      <c r="K4865" s="355"/>
      <c r="L4865" s="355"/>
      <c r="M4865" s="355"/>
    </row>
    <row r="4866" spans="5:13">
      <c r="E4866" s="355"/>
      <c r="F4866" s="355"/>
      <c r="G4866" s="355"/>
      <c r="H4866" s="355"/>
      <c r="I4866" s="355"/>
      <c r="J4866" s="355"/>
      <c r="K4866" s="355"/>
      <c r="L4866" s="355"/>
      <c r="M4866" s="355"/>
    </row>
    <row r="4867" spans="5:13">
      <c r="E4867" s="355"/>
      <c r="F4867" s="355"/>
      <c r="G4867" s="355"/>
      <c r="H4867" s="355"/>
      <c r="I4867" s="355"/>
      <c r="J4867" s="355"/>
      <c r="K4867" s="355"/>
      <c r="L4867" s="355"/>
      <c r="M4867" s="355"/>
    </row>
    <row r="4868" spans="5:13">
      <c r="E4868" s="355"/>
      <c r="F4868" s="355"/>
      <c r="G4868" s="355"/>
      <c r="H4868" s="355"/>
      <c r="I4868" s="355"/>
      <c r="J4868" s="355"/>
      <c r="K4868" s="355"/>
      <c r="L4868" s="355"/>
      <c r="M4868" s="355"/>
    </row>
    <row r="4869" spans="5:13">
      <c r="E4869" s="355"/>
      <c r="F4869" s="355"/>
      <c r="G4869" s="355"/>
      <c r="H4869" s="355"/>
      <c r="I4869" s="355"/>
      <c r="J4869" s="355"/>
      <c r="K4869" s="355"/>
      <c r="L4869" s="355"/>
      <c r="M4869" s="355"/>
    </row>
    <row r="4870" spans="5:13">
      <c r="E4870" s="355"/>
      <c r="F4870" s="355"/>
      <c r="G4870" s="355"/>
      <c r="H4870" s="355"/>
      <c r="I4870" s="355"/>
      <c r="J4870" s="355"/>
      <c r="K4870" s="355"/>
      <c r="L4870" s="355"/>
      <c r="M4870" s="355"/>
    </row>
    <row r="4871" spans="5:13">
      <c r="E4871" s="355"/>
      <c r="F4871" s="355"/>
      <c r="G4871" s="355"/>
      <c r="H4871" s="355"/>
      <c r="I4871" s="355"/>
      <c r="J4871" s="355"/>
      <c r="K4871" s="355"/>
      <c r="L4871" s="355"/>
      <c r="M4871" s="355"/>
    </row>
    <row r="4872" spans="5:13">
      <c r="E4872" s="355"/>
      <c r="F4872" s="355"/>
      <c r="G4872" s="355"/>
      <c r="H4872" s="355"/>
      <c r="I4872" s="355"/>
      <c r="J4872" s="355"/>
      <c r="K4872" s="355"/>
      <c r="L4872" s="355"/>
      <c r="M4872" s="355"/>
    </row>
    <row r="4873" spans="5:13">
      <c r="E4873" s="355"/>
      <c r="F4873" s="355"/>
      <c r="G4873" s="355"/>
      <c r="H4873" s="355"/>
      <c r="I4873" s="355"/>
      <c r="J4873" s="355"/>
      <c r="K4873" s="355"/>
      <c r="L4873" s="355"/>
      <c r="M4873" s="355"/>
    </row>
    <row r="4874" spans="5:13">
      <c r="E4874" s="355"/>
      <c r="F4874" s="355"/>
      <c r="G4874" s="355"/>
      <c r="H4874" s="355"/>
      <c r="I4874" s="355"/>
      <c r="J4874" s="355"/>
      <c r="K4874" s="355"/>
      <c r="L4874" s="355"/>
      <c r="M4874" s="355"/>
    </row>
    <row r="4875" spans="5:13">
      <c r="E4875" s="355"/>
      <c r="F4875" s="355"/>
      <c r="G4875" s="355"/>
      <c r="H4875" s="355"/>
      <c r="I4875" s="355"/>
      <c r="J4875" s="355"/>
      <c r="K4875" s="355"/>
      <c r="L4875" s="355"/>
      <c r="M4875" s="355"/>
    </row>
    <row r="4876" spans="5:13">
      <c r="E4876" s="355"/>
      <c r="F4876" s="355"/>
      <c r="G4876" s="355"/>
      <c r="H4876" s="355"/>
      <c r="I4876" s="355"/>
      <c r="J4876" s="355"/>
      <c r="K4876" s="355"/>
      <c r="L4876" s="355"/>
      <c r="M4876" s="355"/>
    </row>
    <row r="4877" spans="5:13">
      <c r="E4877" s="355"/>
      <c r="F4877" s="355"/>
      <c r="G4877" s="355"/>
      <c r="H4877" s="355"/>
      <c r="I4877" s="355"/>
      <c r="J4877" s="355"/>
      <c r="K4877" s="355"/>
      <c r="L4877" s="355"/>
      <c r="M4877" s="355"/>
    </row>
    <row r="4878" spans="5:13">
      <c r="E4878" s="355"/>
      <c r="F4878" s="355"/>
      <c r="G4878" s="355"/>
      <c r="H4878" s="355"/>
      <c r="I4878" s="355"/>
      <c r="J4878" s="355"/>
      <c r="K4878" s="355"/>
      <c r="L4878" s="355"/>
      <c r="M4878" s="355"/>
    </row>
    <row r="4879" spans="5:13">
      <c r="E4879" s="355"/>
      <c r="F4879" s="355"/>
      <c r="G4879" s="355"/>
      <c r="H4879" s="355"/>
      <c r="I4879" s="355"/>
      <c r="J4879" s="355"/>
      <c r="K4879" s="355"/>
      <c r="L4879" s="355"/>
      <c r="M4879" s="355"/>
    </row>
    <row r="4880" spans="5:13">
      <c r="E4880" s="355"/>
      <c r="F4880" s="355"/>
      <c r="G4880" s="355"/>
      <c r="H4880" s="355"/>
      <c r="I4880" s="355"/>
      <c r="J4880" s="355"/>
      <c r="K4880" s="355"/>
      <c r="L4880" s="355"/>
      <c r="M4880" s="355"/>
    </row>
    <row r="4881" spans="5:13">
      <c r="E4881" s="355"/>
      <c r="F4881" s="355"/>
      <c r="G4881" s="355"/>
      <c r="H4881" s="355"/>
      <c r="I4881" s="355"/>
      <c r="J4881" s="355"/>
      <c r="K4881" s="355"/>
      <c r="L4881" s="355"/>
      <c r="M4881" s="355"/>
    </row>
    <row r="4882" spans="5:13">
      <c r="E4882" s="355"/>
      <c r="F4882" s="355"/>
      <c r="G4882" s="355"/>
      <c r="H4882" s="355"/>
      <c r="I4882" s="355"/>
      <c r="J4882" s="355"/>
      <c r="K4882" s="355"/>
      <c r="L4882" s="355"/>
      <c r="M4882" s="355"/>
    </row>
    <row r="4883" spans="5:13">
      <c r="E4883" s="355"/>
      <c r="F4883" s="355"/>
      <c r="G4883" s="355"/>
      <c r="H4883" s="355"/>
      <c r="I4883" s="355"/>
      <c r="J4883" s="355"/>
      <c r="K4883" s="355"/>
      <c r="L4883" s="355"/>
      <c r="M4883" s="355"/>
    </row>
    <row r="4884" spans="5:13">
      <c r="E4884" s="355"/>
      <c r="F4884" s="355"/>
      <c r="G4884" s="355"/>
      <c r="H4884" s="355"/>
      <c r="I4884" s="355"/>
      <c r="J4884" s="355"/>
      <c r="K4884" s="355"/>
      <c r="L4884" s="355"/>
      <c r="M4884" s="355"/>
    </row>
    <row r="4885" spans="5:13">
      <c r="E4885" s="355"/>
      <c r="F4885" s="355"/>
      <c r="G4885" s="355"/>
      <c r="H4885" s="355"/>
      <c r="I4885" s="355"/>
      <c r="J4885" s="355"/>
      <c r="K4885" s="355"/>
      <c r="L4885" s="355"/>
      <c r="M4885" s="355"/>
    </row>
    <row r="4886" spans="5:13">
      <c r="E4886" s="355"/>
      <c r="F4886" s="355"/>
      <c r="G4886" s="355"/>
      <c r="H4886" s="355"/>
      <c r="I4886" s="355"/>
      <c r="J4886" s="355"/>
      <c r="K4886" s="355"/>
      <c r="L4886" s="355"/>
      <c r="M4886" s="355"/>
    </row>
    <row r="4887" spans="5:13">
      <c r="E4887" s="355"/>
      <c r="F4887" s="355"/>
      <c r="G4887" s="355"/>
      <c r="H4887" s="355"/>
      <c r="I4887" s="355"/>
      <c r="J4887" s="355"/>
      <c r="K4887" s="355"/>
      <c r="L4887" s="355"/>
      <c r="M4887" s="355"/>
    </row>
    <row r="4888" spans="5:13">
      <c r="E4888" s="355"/>
      <c r="F4888" s="355"/>
      <c r="G4888" s="355"/>
      <c r="H4888" s="355"/>
      <c r="I4888" s="355"/>
      <c r="J4888" s="355"/>
      <c r="K4888" s="355"/>
      <c r="L4888" s="355"/>
      <c r="M4888" s="355"/>
    </row>
    <row r="4889" spans="5:13">
      <c r="E4889" s="355"/>
      <c r="F4889" s="355"/>
      <c r="G4889" s="355"/>
      <c r="H4889" s="355"/>
      <c r="I4889" s="355"/>
      <c r="J4889" s="355"/>
      <c r="K4889" s="355"/>
      <c r="L4889" s="355"/>
      <c r="M4889" s="355"/>
    </row>
    <row r="4890" spans="5:13">
      <c r="E4890" s="355"/>
      <c r="F4890" s="355"/>
      <c r="G4890" s="355"/>
      <c r="H4890" s="355"/>
      <c r="I4890" s="355"/>
      <c r="J4890" s="355"/>
      <c r="K4890" s="355"/>
      <c r="L4890" s="355"/>
      <c r="M4890" s="355"/>
    </row>
    <row r="4891" spans="5:13">
      <c r="E4891" s="355"/>
      <c r="F4891" s="355"/>
      <c r="G4891" s="355"/>
      <c r="H4891" s="355"/>
      <c r="I4891" s="355"/>
      <c r="J4891" s="355"/>
      <c r="K4891" s="355"/>
      <c r="L4891" s="355"/>
      <c r="M4891" s="355"/>
    </row>
    <row r="4892" spans="5:13">
      <c r="E4892" s="355"/>
      <c r="F4892" s="355"/>
      <c r="G4892" s="355"/>
      <c r="H4892" s="355"/>
      <c r="I4892" s="355"/>
      <c r="J4892" s="355"/>
      <c r="K4892" s="355"/>
      <c r="L4892" s="355"/>
      <c r="M4892" s="355"/>
    </row>
    <row r="4893" spans="5:13">
      <c r="E4893" s="355"/>
      <c r="F4893" s="355"/>
      <c r="G4893" s="355"/>
      <c r="H4893" s="355"/>
      <c r="I4893" s="355"/>
      <c r="J4893" s="355"/>
      <c r="K4893" s="355"/>
      <c r="L4893" s="355"/>
      <c r="M4893" s="355"/>
    </row>
    <row r="4894" spans="5:13">
      <c r="E4894" s="355"/>
      <c r="F4894" s="355"/>
      <c r="G4894" s="355"/>
      <c r="H4894" s="355"/>
      <c r="I4894" s="355"/>
      <c r="J4894" s="355"/>
      <c r="K4894" s="355"/>
      <c r="L4894" s="355"/>
      <c r="M4894" s="355"/>
    </row>
    <row r="4895" spans="5:13">
      <c r="E4895" s="355"/>
      <c r="F4895" s="355"/>
      <c r="G4895" s="355"/>
      <c r="H4895" s="355"/>
      <c r="I4895" s="355"/>
      <c r="J4895" s="355"/>
      <c r="K4895" s="355"/>
      <c r="L4895" s="355"/>
      <c r="M4895" s="355"/>
    </row>
    <row r="4896" spans="5:13">
      <c r="E4896" s="355"/>
      <c r="F4896" s="355"/>
      <c r="G4896" s="355"/>
      <c r="H4896" s="355"/>
      <c r="I4896" s="355"/>
      <c r="J4896" s="355"/>
      <c r="K4896" s="355"/>
      <c r="L4896" s="355"/>
      <c r="M4896" s="355"/>
    </row>
    <row r="4897" spans="5:13">
      <c r="E4897" s="355"/>
      <c r="F4897" s="355"/>
      <c r="G4897" s="355"/>
      <c r="H4897" s="355"/>
      <c r="I4897" s="355"/>
      <c r="J4897" s="355"/>
      <c r="K4897" s="355"/>
      <c r="L4897" s="355"/>
      <c r="M4897" s="355"/>
    </row>
    <row r="4898" spans="5:13">
      <c r="E4898" s="355"/>
      <c r="F4898" s="355"/>
      <c r="G4898" s="355"/>
      <c r="H4898" s="355"/>
      <c r="I4898" s="355"/>
      <c r="J4898" s="355"/>
      <c r="K4898" s="355"/>
      <c r="L4898" s="355"/>
      <c r="M4898" s="355"/>
    </row>
    <row r="4899" spans="5:13">
      <c r="E4899" s="355"/>
      <c r="F4899" s="355"/>
      <c r="G4899" s="355"/>
      <c r="H4899" s="355"/>
      <c r="I4899" s="355"/>
      <c r="J4899" s="355"/>
      <c r="K4899" s="355"/>
      <c r="L4899" s="355"/>
      <c r="M4899" s="355"/>
    </row>
    <row r="4900" spans="5:13">
      <c r="E4900" s="355"/>
      <c r="F4900" s="355"/>
      <c r="G4900" s="355"/>
      <c r="H4900" s="355"/>
      <c r="I4900" s="355"/>
      <c r="J4900" s="355"/>
      <c r="K4900" s="355"/>
      <c r="L4900" s="355"/>
      <c r="M4900" s="355"/>
    </row>
    <row r="4901" spans="5:13">
      <c r="E4901" s="355"/>
      <c r="F4901" s="355"/>
      <c r="G4901" s="355"/>
      <c r="H4901" s="355"/>
      <c r="I4901" s="355"/>
      <c r="J4901" s="355"/>
      <c r="K4901" s="355"/>
      <c r="L4901" s="355"/>
      <c r="M4901" s="355"/>
    </row>
    <row r="4902" spans="5:13">
      <c r="E4902" s="355"/>
      <c r="F4902" s="355"/>
      <c r="G4902" s="355"/>
      <c r="H4902" s="355"/>
      <c r="I4902" s="355"/>
      <c r="J4902" s="355"/>
      <c r="K4902" s="355"/>
      <c r="L4902" s="355"/>
      <c r="M4902" s="355"/>
    </row>
    <row r="4903" spans="5:13">
      <c r="E4903" s="355"/>
      <c r="F4903" s="355"/>
      <c r="G4903" s="355"/>
      <c r="H4903" s="355"/>
      <c r="I4903" s="355"/>
      <c r="J4903" s="355"/>
      <c r="K4903" s="355"/>
      <c r="L4903" s="355"/>
      <c r="M4903" s="355"/>
    </row>
    <row r="4904" spans="5:13">
      <c r="E4904" s="355"/>
      <c r="F4904" s="355"/>
      <c r="G4904" s="355"/>
      <c r="H4904" s="355"/>
      <c r="I4904" s="355"/>
      <c r="J4904" s="355"/>
      <c r="K4904" s="355"/>
      <c r="L4904" s="355"/>
      <c r="M4904" s="355"/>
    </row>
    <row r="4905" spans="5:13">
      <c r="E4905" s="355"/>
      <c r="F4905" s="355"/>
      <c r="G4905" s="355"/>
      <c r="H4905" s="355"/>
      <c r="I4905" s="355"/>
      <c r="J4905" s="355"/>
      <c r="K4905" s="355"/>
      <c r="L4905" s="355"/>
      <c r="M4905" s="355"/>
    </row>
    <row r="4906" spans="5:13">
      <c r="E4906" s="355"/>
      <c r="F4906" s="355"/>
      <c r="G4906" s="355"/>
      <c r="H4906" s="355"/>
      <c r="I4906" s="355"/>
      <c r="J4906" s="355"/>
      <c r="K4906" s="355"/>
      <c r="L4906" s="355"/>
      <c r="M4906" s="355"/>
    </row>
    <row r="4907" spans="5:13">
      <c r="E4907" s="355"/>
      <c r="F4907" s="355"/>
      <c r="G4907" s="355"/>
      <c r="H4907" s="355"/>
      <c r="I4907" s="355"/>
      <c r="J4907" s="355"/>
      <c r="K4907" s="355"/>
      <c r="L4907" s="355"/>
      <c r="M4907" s="355"/>
    </row>
    <row r="4908" spans="5:13">
      <c r="E4908" s="355"/>
      <c r="F4908" s="355"/>
      <c r="G4908" s="355"/>
      <c r="H4908" s="355"/>
      <c r="I4908" s="355"/>
      <c r="J4908" s="355"/>
      <c r="K4908" s="355"/>
      <c r="L4908" s="355"/>
      <c r="M4908" s="355"/>
    </row>
    <row r="4909" spans="5:13">
      <c r="E4909" s="355"/>
      <c r="F4909" s="355"/>
      <c r="G4909" s="355"/>
      <c r="H4909" s="355"/>
      <c r="I4909" s="355"/>
      <c r="J4909" s="355"/>
      <c r="K4909" s="355"/>
      <c r="L4909" s="355"/>
      <c r="M4909" s="355"/>
    </row>
    <row r="4910" spans="5:13">
      <c r="E4910" s="355"/>
      <c r="F4910" s="355"/>
      <c r="G4910" s="355"/>
      <c r="H4910" s="355"/>
      <c r="I4910" s="355"/>
      <c r="J4910" s="355"/>
      <c r="K4910" s="355"/>
      <c r="L4910" s="355"/>
      <c r="M4910" s="355"/>
    </row>
    <row r="4911" spans="5:13">
      <c r="E4911" s="355"/>
      <c r="F4911" s="355"/>
      <c r="G4911" s="355"/>
      <c r="H4911" s="355"/>
      <c r="I4911" s="355"/>
      <c r="J4911" s="355"/>
      <c r="K4911" s="355"/>
      <c r="L4911" s="355"/>
      <c r="M4911" s="355"/>
    </row>
    <row r="4912" spans="5:13">
      <c r="E4912" s="355"/>
      <c r="F4912" s="355"/>
      <c r="G4912" s="355"/>
      <c r="H4912" s="355"/>
      <c r="I4912" s="355"/>
      <c r="J4912" s="355"/>
      <c r="K4912" s="355"/>
      <c r="L4912" s="355"/>
      <c r="M4912" s="355"/>
    </row>
    <row r="4913" spans="5:13">
      <c r="E4913" s="355"/>
      <c r="F4913" s="355"/>
      <c r="G4913" s="355"/>
      <c r="H4913" s="355"/>
      <c r="I4913" s="355"/>
      <c r="J4913" s="355"/>
      <c r="K4913" s="355"/>
      <c r="L4913" s="355"/>
      <c r="M4913" s="355"/>
    </row>
    <row r="4914" spans="5:13">
      <c r="E4914" s="355"/>
      <c r="F4914" s="355"/>
      <c r="G4914" s="355"/>
      <c r="H4914" s="355"/>
      <c r="I4914" s="355"/>
      <c r="J4914" s="355"/>
      <c r="K4914" s="355"/>
      <c r="L4914" s="355"/>
      <c r="M4914" s="355"/>
    </row>
    <row r="4915" spans="5:13">
      <c r="E4915" s="355"/>
      <c r="F4915" s="355"/>
      <c r="G4915" s="355"/>
      <c r="H4915" s="355"/>
      <c r="I4915" s="355"/>
      <c r="J4915" s="355"/>
      <c r="K4915" s="355"/>
      <c r="L4915" s="355"/>
      <c r="M4915" s="355"/>
    </row>
    <row r="4916" spans="5:13">
      <c r="E4916" s="355"/>
      <c r="F4916" s="355"/>
      <c r="G4916" s="355"/>
      <c r="H4916" s="355"/>
      <c r="I4916" s="355"/>
      <c r="J4916" s="355"/>
      <c r="K4916" s="355"/>
      <c r="L4916" s="355"/>
      <c r="M4916" s="355"/>
    </row>
    <row r="4917" spans="5:13">
      <c r="E4917" s="355"/>
      <c r="F4917" s="355"/>
      <c r="G4917" s="355"/>
      <c r="H4917" s="355"/>
      <c r="I4917" s="355"/>
      <c r="J4917" s="355"/>
      <c r="K4917" s="355"/>
      <c r="L4917" s="355"/>
      <c r="M4917" s="355"/>
    </row>
    <row r="4918" spans="5:13">
      <c r="E4918" s="355"/>
      <c r="F4918" s="355"/>
      <c r="G4918" s="355"/>
      <c r="H4918" s="355"/>
      <c r="I4918" s="355"/>
      <c r="J4918" s="355"/>
      <c r="K4918" s="355"/>
      <c r="L4918" s="355"/>
      <c r="M4918" s="355"/>
    </row>
    <row r="4919" spans="5:13">
      <c r="E4919" s="355"/>
      <c r="F4919" s="355"/>
      <c r="G4919" s="355"/>
      <c r="H4919" s="355"/>
      <c r="I4919" s="355"/>
      <c r="J4919" s="355"/>
      <c r="K4919" s="355"/>
      <c r="L4919" s="355"/>
      <c r="M4919" s="355"/>
    </row>
    <row r="4920" spans="5:13">
      <c r="E4920" s="355"/>
      <c r="F4920" s="355"/>
      <c r="G4920" s="355"/>
      <c r="H4920" s="355"/>
      <c r="I4920" s="355"/>
      <c r="J4920" s="355"/>
      <c r="K4920" s="355"/>
      <c r="L4920" s="355"/>
      <c r="M4920" s="355"/>
    </row>
    <row r="4921" spans="5:13">
      <c r="E4921" s="355"/>
      <c r="F4921" s="355"/>
      <c r="G4921" s="355"/>
      <c r="H4921" s="355"/>
      <c r="I4921" s="355"/>
      <c r="J4921" s="355"/>
      <c r="K4921" s="355"/>
      <c r="L4921" s="355"/>
      <c r="M4921" s="355"/>
    </row>
    <row r="4922" spans="5:13">
      <c r="E4922" s="355"/>
      <c r="F4922" s="355"/>
      <c r="G4922" s="355"/>
      <c r="H4922" s="355"/>
      <c r="I4922" s="355"/>
      <c r="J4922" s="355"/>
      <c r="K4922" s="355"/>
      <c r="L4922" s="355"/>
      <c r="M4922" s="355"/>
    </row>
    <row r="4923" spans="5:13">
      <c r="E4923" s="355"/>
      <c r="F4923" s="355"/>
      <c r="G4923" s="355"/>
      <c r="H4923" s="355"/>
      <c r="I4923" s="355"/>
      <c r="J4923" s="355"/>
      <c r="K4923" s="355"/>
      <c r="L4923" s="355"/>
      <c r="M4923" s="355"/>
    </row>
    <row r="4924" spans="5:13">
      <c r="E4924" s="355"/>
      <c r="F4924" s="355"/>
      <c r="G4924" s="355"/>
      <c r="H4924" s="355"/>
      <c r="I4924" s="355"/>
      <c r="J4924" s="355"/>
      <c r="K4924" s="355"/>
      <c r="L4924" s="355"/>
      <c r="M4924" s="355"/>
    </row>
    <row r="4925" spans="5:13">
      <c r="E4925" s="355"/>
      <c r="F4925" s="355"/>
      <c r="G4925" s="355"/>
      <c r="H4925" s="355"/>
      <c r="I4925" s="355"/>
      <c r="J4925" s="355"/>
      <c r="K4925" s="355"/>
      <c r="L4925" s="355"/>
      <c r="M4925" s="355"/>
    </row>
    <row r="4926" spans="5:13">
      <c r="E4926" s="355"/>
      <c r="F4926" s="355"/>
      <c r="G4926" s="355"/>
      <c r="H4926" s="355"/>
      <c r="I4926" s="355"/>
      <c r="J4926" s="355"/>
      <c r="K4926" s="355"/>
      <c r="L4926" s="355"/>
      <c r="M4926" s="355"/>
    </row>
    <row r="4927" spans="5:13">
      <c r="E4927" s="355"/>
      <c r="F4927" s="355"/>
      <c r="G4927" s="355"/>
      <c r="H4927" s="355"/>
      <c r="I4927" s="355"/>
      <c r="J4927" s="355"/>
      <c r="K4927" s="355"/>
      <c r="L4927" s="355"/>
      <c r="M4927" s="355"/>
    </row>
    <row r="4928" spans="5:13">
      <c r="E4928" s="355"/>
      <c r="F4928" s="355"/>
      <c r="G4928" s="355"/>
      <c r="H4928" s="355"/>
      <c r="I4928" s="355"/>
      <c r="J4928" s="355"/>
      <c r="K4928" s="355"/>
      <c r="L4928" s="355"/>
      <c r="M4928" s="355"/>
    </row>
    <row r="4929" spans="5:13">
      <c r="E4929" s="355"/>
      <c r="F4929" s="355"/>
      <c r="G4929" s="355"/>
      <c r="H4929" s="355"/>
      <c r="I4929" s="355"/>
      <c r="J4929" s="355"/>
      <c r="K4929" s="355"/>
      <c r="L4929" s="355"/>
      <c r="M4929" s="355"/>
    </row>
    <row r="4930" spans="5:13">
      <c r="E4930" s="355"/>
      <c r="F4930" s="355"/>
      <c r="G4930" s="355"/>
      <c r="H4930" s="355"/>
      <c r="I4930" s="355"/>
      <c r="J4930" s="355"/>
      <c r="K4930" s="355"/>
      <c r="L4930" s="355"/>
      <c r="M4930" s="355"/>
    </row>
    <row r="4931" spans="5:13">
      <c r="E4931" s="355"/>
      <c r="F4931" s="355"/>
      <c r="G4931" s="355"/>
      <c r="H4931" s="355"/>
      <c r="I4931" s="355"/>
      <c r="J4931" s="355"/>
      <c r="K4931" s="355"/>
      <c r="L4931" s="355"/>
      <c r="M4931" s="355"/>
    </row>
    <row r="4932" spans="5:13">
      <c r="E4932" s="355"/>
      <c r="F4932" s="355"/>
      <c r="G4932" s="355"/>
      <c r="H4932" s="355"/>
      <c r="I4932" s="355"/>
      <c r="J4932" s="355"/>
      <c r="K4932" s="355"/>
      <c r="L4932" s="355"/>
      <c r="M4932" s="355"/>
    </row>
    <row r="4933" spans="5:13">
      <c r="E4933" s="355"/>
      <c r="F4933" s="355"/>
      <c r="G4933" s="355"/>
      <c r="H4933" s="355"/>
      <c r="I4933" s="355"/>
      <c r="J4933" s="355"/>
      <c r="K4933" s="355"/>
      <c r="L4933" s="355"/>
      <c r="M4933" s="355"/>
    </row>
    <row r="4934" spans="5:13">
      <c r="E4934" s="355"/>
      <c r="F4934" s="355"/>
      <c r="G4934" s="355"/>
      <c r="H4934" s="355"/>
      <c r="I4934" s="355"/>
      <c r="J4934" s="355"/>
      <c r="K4934" s="355"/>
      <c r="L4934" s="355"/>
      <c r="M4934" s="355"/>
    </row>
    <row r="4935" spans="5:13">
      <c r="E4935" s="355"/>
      <c r="F4935" s="355"/>
      <c r="G4935" s="355"/>
      <c r="H4935" s="355"/>
      <c r="I4935" s="355"/>
      <c r="J4935" s="355"/>
      <c r="K4935" s="355"/>
      <c r="L4935" s="355"/>
      <c r="M4935" s="355"/>
    </row>
    <row r="4936" spans="5:13">
      <c r="E4936" s="355"/>
      <c r="F4936" s="355"/>
      <c r="G4936" s="355"/>
      <c r="H4936" s="355"/>
      <c r="I4936" s="355"/>
      <c r="J4936" s="355"/>
      <c r="K4936" s="355"/>
      <c r="L4936" s="355"/>
      <c r="M4936" s="355"/>
    </row>
    <row r="4937" spans="5:13">
      <c r="E4937" s="355"/>
      <c r="F4937" s="355"/>
      <c r="G4937" s="355"/>
      <c r="H4937" s="355"/>
      <c r="I4937" s="355"/>
      <c r="J4937" s="355"/>
      <c r="K4937" s="355"/>
      <c r="L4937" s="355"/>
      <c r="M4937" s="355"/>
    </row>
    <row r="4938" spans="5:13">
      <c r="E4938" s="355"/>
      <c r="F4938" s="355"/>
      <c r="G4938" s="355"/>
      <c r="H4938" s="355"/>
      <c r="I4938" s="355"/>
      <c r="J4938" s="355"/>
      <c r="K4938" s="355"/>
      <c r="L4938" s="355"/>
      <c r="M4938" s="355"/>
    </row>
    <row r="4939" spans="5:13">
      <c r="E4939" s="355"/>
      <c r="F4939" s="355"/>
      <c r="G4939" s="355"/>
      <c r="H4939" s="355"/>
      <c r="I4939" s="355"/>
      <c r="J4939" s="355"/>
      <c r="K4939" s="355"/>
      <c r="L4939" s="355"/>
      <c r="M4939" s="355"/>
    </row>
    <row r="4940" spans="5:13">
      <c r="E4940" s="355"/>
      <c r="F4940" s="355"/>
      <c r="G4940" s="355"/>
      <c r="H4940" s="355"/>
      <c r="I4940" s="355"/>
      <c r="J4940" s="355"/>
      <c r="K4940" s="355"/>
      <c r="L4940" s="355"/>
      <c r="M4940" s="355"/>
    </row>
    <row r="4941" spans="5:13">
      <c r="E4941" s="355"/>
      <c r="F4941" s="355"/>
      <c r="G4941" s="355"/>
      <c r="H4941" s="355"/>
      <c r="I4941" s="355"/>
      <c r="J4941" s="355"/>
      <c r="K4941" s="355"/>
      <c r="L4941" s="355"/>
      <c r="M4941" s="355"/>
    </row>
    <row r="4942" spans="5:13">
      <c r="E4942" s="355"/>
      <c r="F4942" s="355"/>
      <c r="G4942" s="355"/>
      <c r="H4942" s="355"/>
      <c r="I4942" s="355"/>
      <c r="J4942" s="355"/>
      <c r="K4942" s="355"/>
      <c r="L4942" s="355"/>
      <c r="M4942" s="355"/>
    </row>
    <row r="4943" spans="5:13">
      <c r="E4943" s="355"/>
      <c r="F4943" s="355"/>
      <c r="G4943" s="355"/>
      <c r="H4943" s="355"/>
      <c r="I4943" s="355"/>
      <c r="J4943" s="355"/>
      <c r="K4943" s="355"/>
      <c r="L4943" s="355"/>
      <c r="M4943" s="355"/>
    </row>
    <row r="4944" spans="5:13">
      <c r="E4944" s="355"/>
      <c r="F4944" s="355"/>
      <c r="G4944" s="355"/>
      <c r="H4944" s="355"/>
      <c r="I4944" s="355"/>
      <c r="J4944" s="355"/>
      <c r="K4944" s="355"/>
      <c r="L4944" s="355"/>
      <c r="M4944" s="355"/>
    </row>
    <row r="4945" spans="5:13">
      <c r="E4945" s="355"/>
      <c r="F4945" s="355"/>
      <c r="G4945" s="355"/>
      <c r="H4945" s="355"/>
      <c r="I4945" s="355"/>
      <c r="J4945" s="355"/>
      <c r="K4945" s="355"/>
      <c r="L4945" s="355"/>
      <c r="M4945" s="355"/>
    </row>
    <row r="4946" spans="5:13">
      <c r="E4946" s="355"/>
      <c r="F4946" s="355"/>
      <c r="G4946" s="355"/>
      <c r="H4946" s="355"/>
      <c r="I4946" s="355"/>
      <c r="J4946" s="355"/>
      <c r="K4946" s="355"/>
      <c r="L4946" s="355"/>
      <c r="M4946" s="355"/>
    </row>
    <row r="4947" spans="5:13">
      <c r="E4947" s="355"/>
      <c r="F4947" s="355"/>
      <c r="G4947" s="355"/>
      <c r="H4947" s="355"/>
      <c r="I4947" s="355"/>
      <c r="J4947" s="355"/>
      <c r="K4947" s="355"/>
      <c r="L4947" s="355"/>
      <c r="M4947" s="355"/>
    </row>
    <row r="4948" spans="5:13">
      <c r="E4948" s="355"/>
      <c r="F4948" s="355"/>
      <c r="G4948" s="355"/>
      <c r="H4948" s="355"/>
      <c r="I4948" s="355"/>
      <c r="J4948" s="355"/>
      <c r="K4948" s="355"/>
      <c r="L4948" s="355"/>
      <c r="M4948" s="355"/>
    </row>
    <row r="4949" spans="5:13">
      <c r="E4949" s="355"/>
      <c r="F4949" s="355"/>
      <c r="G4949" s="355"/>
      <c r="H4949" s="355"/>
      <c r="I4949" s="355"/>
      <c r="J4949" s="355"/>
      <c r="K4949" s="355"/>
      <c r="L4949" s="355"/>
      <c r="M4949" s="355"/>
    </row>
    <row r="4950" spans="5:13">
      <c r="E4950" s="355"/>
      <c r="F4950" s="355"/>
      <c r="G4950" s="355"/>
      <c r="H4950" s="355"/>
      <c r="I4950" s="355"/>
      <c r="J4950" s="355"/>
      <c r="K4950" s="355"/>
      <c r="L4950" s="355"/>
      <c r="M4950" s="355"/>
    </row>
    <row r="4951" spans="5:13">
      <c r="E4951" s="355"/>
      <c r="F4951" s="355"/>
      <c r="G4951" s="355"/>
      <c r="H4951" s="355"/>
      <c r="I4951" s="355"/>
      <c r="J4951" s="355"/>
      <c r="K4951" s="355"/>
      <c r="L4951" s="355"/>
      <c r="M4951" s="355"/>
    </row>
    <row r="4952" spans="5:13">
      <c r="E4952" s="355"/>
      <c r="F4952" s="355"/>
      <c r="G4952" s="355"/>
      <c r="H4952" s="355"/>
      <c r="I4952" s="355"/>
      <c r="J4952" s="355"/>
      <c r="K4952" s="355"/>
      <c r="L4952" s="355"/>
      <c r="M4952" s="355"/>
    </row>
    <row r="4953" spans="5:13">
      <c r="E4953" s="355"/>
      <c r="F4953" s="355"/>
      <c r="G4953" s="355"/>
      <c r="H4953" s="355"/>
      <c r="I4953" s="355"/>
      <c r="J4953" s="355"/>
      <c r="K4953" s="355"/>
      <c r="L4953" s="355"/>
      <c r="M4953" s="355"/>
    </row>
    <row r="4954" spans="5:13">
      <c r="E4954" s="355"/>
      <c r="F4954" s="355"/>
      <c r="G4954" s="355"/>
      <c r="H4954" s="355"/>
      <c r="I4954" s="355"/>
      <c r="J4954" s="355"/>
      <c r="K4954" s="355"/>
      <c r="L4954" s="355"/>
      <c r="M4954" s="355"/>
    </row>
    <row r="4955" spans="5:13">
      <c r="E4955" s="355"/>
      <c r="F4955" s="355"/>
      <c r="G4955" s="355"/>
      <c r="H4955" s="355"/>
      <c r="I4955" s="355"/>
      <c r="J4955" s="355"/>
      <c r="K4955" s="355"/>
      <c r="L4955" s="355"/>
      <c r="M4955" s="355"/>
    </row>
    <row r="4956" spans="5:13">
      <c r="E4956" s="355"/>
      <c r="F4956" s="355"/>
      <c r="G4956" s="355"/>
      <c r="H4956" s="355"/>
      <c r="I4956" s="355"/>
      <c r="J4956" s="355"/>
      <c r="K4956" s="355"/>
      <c r="L4956" s="355"/>
      <c r="M4956" s="355"/>
    </row>
    <row r="4957" spans="5:13">
      <c r="E4957" s="355"/>
      <c r="F4957" s="355"/>
      <c r="G4957" s="355"/>
      <c r="H4957" s="355"/>
      <c r="I4957" s="355"/>
      <c r="J4957" s="355"/>
      <c r="K4957" s="355"/>
      <c r="L4957" s="355"/>
      <c r="M4957" s="355"/>
    </row>
    <row r="4958" spans="5:13">
      <c r="E4958" s="355"/>
      <c r="F4958" s="355"/>
      <c r="G4958" s="355"/>
      <c r="H4958" s="355"/>
      <c r="I4958" s="355"/>
      <c r="J4958" s="355"/>
      <c r="K4958" s="355"/>
      <c r="L4958" s="355"/>
      <c r="M4958" s="355"/>
    </row>
    <row r="4959" spans="5:13">
      <c r="E4959" s="355"/>
      <c r="F4959" s="355"/>
      <c r="G4959" s="355"/>
      <c r="H4959" s="355"/>
      <c r="I4959" s="355"/>
      <c r="J4959" s="355"/>
      <c r="K4959" s="355"/>
      <c r="L4959" s="355"/>
      <c r="M4959" s="355"/>
    </row>
    <row r="4960" spans="5:13">
      <c r="E4960" s="355"/>
      <c r="F4960" s="355"/>
      <c r="G4960" s="355"/>
      <c r="H4960" s="355"/>
      <c r="I4960" s="355"/>
      <c r="J4960" s="355"/>
      <c r="K4960" s="355"/>
      <c r="L4960" s="355"/>
      <c r="M4960" s="355"/>
    </row>
    <row r="4961" spans="5:13">
      <c r="E4961" s="355"/>
      <c r="F4961" s="355"/>
      <c r="G4961" s="355"/>
      <c r="H4961" s="355"/>
      <c r="I4961" s="355"/>
      <c r="J4961" s="355"/>
      <c r="K4961" s="355"/>
      <c r="L4961" s="355"/>
      <c r="M4961" s="355"/>
    </row>
    <row r="4962" spans="5:13">
      <c r="E4962" s="355"/>
      <c r="F4962" s="355"/>
      <c r="G4962" s="355"/>
      <c r="H4962" s="355"/>
      <c r="I4962" s="355"/>
      <c r="J4962" s="355"/>
      <c r="K4962" s="355"/>
      <c r="L4962" s="355"/>
      <c r="M4962" s="355"/>
    </row>
    <row r="4963" spans="5:13">
      <c r="E4963" s="355"/>
      <c r="F4963" s="355"/>
      <c r="G4963" s="355"/>
      <c r="H4963" s="355"/>
      <c r="I4963" s="355"/>
      <c r="J4963" s="355"/>
      <c r="K4963" s="355"/>
      <c r="L4963" s="355"/>
      <c r="M4963" s="355"/>
    </row>
    <row r="4964" spans="5:13">
      <c r="E4964" s="355"/>
      <c r="F4964" s="355"/>
      <c r="G4964" s="355"/>
      <c r="H4964" s="355"/>
      <c r="I4964" s="355"/>
      <c r="J4964" s="355"/>
      <c r="K4964" s="355"/>
      <c r="L4964" s="355"/>
      <c r="M4964" s="355"/>
    </row>
    <row r="4965" spans="5:13">
      <c r="E4965" s="355"/>
      <c r="F4965" s="355"/>
      <c r="G4965" s="355"/>
      <c r="H4965" s="355"/>
      <c r="I4965" s="355"/>
      <c r="J4965" s="355"/>
      <c r="K4965" s="355"/>
      <c r="L4965" s="355"/>
      <c r="M4965" s="355"/>
    </row>
    <row r="4966" spans="5:13">
      <c r="E4966" s="355"/>
      <c r="F4966" s="355"/>
      <c r="G4966" s="355"/>
      <c r="H4966" s="355"/>
      <c r="I4966" s="355"/>
      <c r="J4966" s="355"/>
      <c r="K4966" s="355"/>
      <c r="L4966" s="355"/>
      <c r="M4966" s="355"/>
    </row>
    <row r="4967" spans="5:13">
      <c r="E4967" s="355"/>
      <c r="F4967" s="355"/>
      <c r="G4967" s="355"/>
      <c r="H4967" s="355"/>
      <c r="I4967" s="355"/>
      <c r="J4967" s="355"/>
      <c r="K4967" s="355"/>
      <c r="L4967" s="355"/>
      <c r="M4967" s="355"/>
    </row>
    <row r="4968" spans="5:13">
      <c r="E4968" s="355"/>
      <c r="F4968" s="355"/>
      <c r="G4968" s="355"/>
      <c r="H4968" s="355"/>
      <c r="I4968" s="355"/>
      <c r="J4968" s="355"/>
      <c r="K4968" s="355"/>
      <c r="L4968" s="355"/>
      <c r="M4968" s="355"/>
    </row>
    <row r="4969" spans="5:13">
      <c r="E4969" s="355"/>
      <c r="F4969" s="355"/>
      <c r="G4969" s="355"/>
      <c r="H4969" s="355"/>
      <c r="I4969" s="355"/>
      <c r="J4969" s="355"/>
      <c r="K4969" s="355"/>
      <c r="L4969" s="355"/>
      <c r="M4969" s="355"/>
    </row>
    <row r="4970" spans="5:13">
      <c r="E4970" s="355"/>
      <c r="F4970" s="355"/>
      <c r="G4970" s="355"/>
      <c r="H4970" s="355"/>
      <c r="I4970" s="355"/>
      <c r="J4970" s="355"/>
      <c r="K4970" s="355"/>
      <c r="L4970" s="355"/>
      <c r="M4970" s="355"/>
    </row>
    <row r="4971" spans="5:13">
      <c r="E4971" s="355"/>
      <c r="F4971" s="355"/>
      <c r="G4971" s="355"/>
      <c r="H4971" s="355"/>
      <c r="I4971" s="355"/>
      <c r="J4971" s="355"/>
      <c r="K4971" s="355"/>
      <c r="L4971" s="355"/>
      <c r="M4971" s="355"/>
    </row>
    <row r="4972" spans="5:13">
      <c r="E4972" s="355"/>
      <c r="F4972" s="355"/>
      <c r="G4972" s="355"/>
      <c r="H4972" s="355"/>
      <c r="I4972" s="355"/>
      <c r="J4972" s="355"/>
      <c r="K4972" s="355"/>
      <c r="L4972" s="355"/>
      <c r="M4972" s="355"/>
    </row>
    <row r="4973" spans="5:13">
      <c r="E4973" s="355"/>
      <c r="F4973" s="355"/>
      <c r="G4973" s="355"/>
      <c r="H4973" s="355"/>
      <c r="I4973" s="355"/>
      <c r="J4973" s="355"/>
      <c r="K4973" s="355"/>
      <c r="L4973" s="355"/>
      <c r="M4973" s="355"/>
    </row>
    <row r="4974" spans="5:13">
      <c r="E4974" s="355"/>
      <c r="F4974" s="355"/>
      <c r="G4974" s="355"/>
      <c r="H4974" s="355"/>
      <c r="I4974" s="355"/>
      <c r="J4974" s="355"/>
      <c r="K4974" s="355"/>
      <c r="L4974" s="355"/>
      <c r="M4974" s="355"/>
    </row>
    <row r="4975" spans="5:13">
      <c r="E4975" s="355"/>
      <c r="F4975" s="355"/>
      <c r="G4975" s="355"/>
      <c r="H4975" s="355"/>
      <c r="I4975" s="355"/>
      <c r="J4975" s="355"/>
      <c r="K4975" s="355"/>
      <c r="L4975" s="355"/>
      <c r="M4975" s="355"/>
    </row>
    <row r="4976" spans="5:13">
      <c r="E4976" s="355"/>
      <c r="F4976" s="355"/>
      <c r="G4976" s="355"/>
      <c r="H4976" s="355"/>
      <c r="I4976" s="355"/>
      <c r="J4976" s="355"/>
      <c r="K4976" s="355"/>
      <c r="L4976" s="355"/>
      <c r="M4976" s="355"/>
    </row>
    <row r="4977" spans="5:13">
      <c r="E4977" s="355"/>
      <c r="F4977" s="355"/>
      <c r="G4977" s="355"/>
      <c r="H4977" s="355"/>
      <c r="I4977" s="355"/>
      <c r="J4977" s="355"/>
      <c r="K4977" s="355"/>
      <c r="L4977" s="355"/>
      <c r="M4977" s="355"/>
    </row>
    <row r="4978" spans="5:13">
      <c r="E4978" s="355"/>
      <c r="F4978" s="355"/>
      <c r="G4978" s="355"/>
      <c r="H4978" s="355"/>
      <c r="I4978" s="355"/>
      <c r="J4978" s="355"/>
      <c r="K4978" s="355"/>
      <c r="L4978" s="355"/>
      <c r="M4978" s="355"/>
    </row>
    <row r="4979" spans="5:13">
      <c r="E4979" s="355"/>
      <c r="F4979" s="355"/>
      <c r="G4979" s="355"/>
      <c r="H4979" s="355"/>
      <c r="I4979" s="355"/>
      <c r="J4979" s="355"/>
      <c r="K4979" s="355"/>
      <c r="L4979" s="355"/>
      <c r="M4979" s="355"/>
    </row>
    <row r="4980" spans="5:13">
      <c r="E4980" s="355"/>
      <c r="F4980" s="355"/>
      <c r="G4980" s="355"/>
      <c r="H4980" s="355"/>
      <c r="I4980" s="355"/>
      <c r="J4980" s="355"/>
      <c r="K4980" s="355"/>
      <c r="L4980" s="355"/>
      <c r="M4980" s="355"/>
    </row>
    <row r="4981" spans="5:13">
      <c r="E4981" s="355"/>
      <c r="F4981" s="355"/>
      <c r="G4981" s="355"/>
      <c r="H4981" s="355"/>
      <c r="I4981" s="355"/>
      <c r="J4981" s="355"/>
      <c r="K4981" s="355"/>
      <c r="L4981" s="355"/>
      <c r="M4981" s="355"/>
    </row>
    <row r="4982" spans="5:13">
      <c r="E4982" s="355"/>
      <c r="F4982" s="355"/>
      <c r="G4982" s="355"/>
      <c r="H4982" s="355"/>
      <c r="I4982" s="355"/>
      <c r="J4982" s="355"/>
      <c r="K4982" s="355"/>
      <c r="L4982" s="355"/>
      <c r="M4982" s="355"/>
    </row>
    <row r="4983" spans="5:13">
      <c r="E4983" s="355"/>
      <c r="F4983" s="355"/>
      <c r="G4983" s="355"/>
      <c r="H4983" s="355"/>
      <c r="I4983" s="355"/>
      <c r="J4983" s="355"/>
      <c r="K4983" s="355"/>
      <c r="L4983" s="355"/>
      <c r="M4983" s="355"/>
    </row>
    <row r="4984" spans="5:13">
      <c r="E4984" s="355"/>
      <c r="F4984" s="355"/>
      <c r="G4984" s="355"/>
      <c r="H4984" s="355"/>
      <c r="I4984" s="355"/>
      <c r="J4984" s="355"/>
      <c r="K4984" s="355"/>
      <c r="L4984" s="355"/>
      <c r="M4984" s="355"/>
    </row>
    <row r="4985" spans="5:13">
      <c r="E4985" s="355"/>
      <c r="F4985" s="355"/>
      <c r="G4985" s="355"/>
      <c r="H4985" s="355"/>
      <c r="I4985" s="355"/>
      <c r="J4985" s="355"/>
      <c r="K4985" s="355"/>
      <c r="L4985" s="355"/>
      <c r="M4985" s="355"/>
    </row>
    <row r="4986" spans="5:13">
      <c r="E4986" s="355"/>
      <c r="F4986" s="355"/>
      <c r="G4986" s="355"/>
      <c r="H4986" s="355"/>
      <c r="I4986" s="355"/>
      <c r="J4986" s="355"/>
      <c r="K4986" s="355"/>
      <c r="L4986" s="355"/>
      <c r="M4986" s="355"/>
    </row>
    <row r="4987" spans="5:13">
      <c r="E4987" s="355"/>
      <c r="F4987" s="355"/>
      <c r="G4987" s="355"/>
      <c r="H4987" s="355"/>
      <c r="I4987" s="355"/>
      <c r="J4987" s="355"/>
      <c r="K4987" s="355"/>
      <c r="L4987" s="355"/>
      <c r="M4987" s="355"/>
    </row>
    <row r="4988" spans="5:13">
      <c r="E4988" s="355"/>
      <c r="F4988" s="355"/>
      <c r="G4988" s="355"/>
      <c r="H4988" s="355"/>
      <c r="I4988" s="355"/>
      <c r="J4988" s="355"/>
      <c r="K4988" s="355"/>
      <c r="L4988" s="355"/>
      <c r="M4988" s="355"/>
    </row>
    <row r="4989" spans="5:13">
      <c r="E4989" s="355"/>
      <c r="F4989" s="355"/>
      <c r="G4989" s="355"/>
      <c r="H4989" s="355"/>
      <c r="I4989" s="355"/>
      <c r="J4989" s="355"/>
      <c r="K4989" s="355"/>
      <c r="L4989" s="355"/>
      <c r="M4989" s="355"/>
    </row>
    <row r="4990" spans="5:13">
      <c r="E4990" s="355"/>
      <c r="F4990" s="355"/>
      <c r="G4990" s="355"/>
      <c r="H4990" s="355"/>
      <c r="I4990" s="355"/>
      <c r="J4990" s="355"/>
      <c r="K4990" s="355"/>
      <c r="L4990" s="355"/>
      <c r="M4990" s="355"/>
    </row>
    <row r="4991" spans="5:13">
      <c r="E4991" s="355"/>
      <c r="F4991" s="355"/>
      <c r="G4991" s="355"/>
      <c r="H4991" s="355"/>
      <c r="I4991" s="355"/>
      <c r="J4991" s="355"/>
      <c r="K4991" s="355"/>
      <c r="L4991" s="355"/>
      <c r="M4991" s="355"/>
    </row>
    <row r="4992" spans="5:13">
      <c r="E4992" s="355"/>
      <c r="F4992" s="355"/>
      <c r="G4992" s="355"/>
      <c r="H4992" s="355"/>
      <c r="I4992" s="355"/>
      <c r="J4992" s="355"/>
      <c r="K4992" s="355"/>
      <c r="L4992" s="355"/>
      <c r="M4992" s="355"/>
    </row>
    <row r="4993" spans="5:13">
      <c r="E4993" s="355"/>
      <c r="F4993" s="355"/>
      <c r="G4993" s="355"/>
      <c r="H4993" s="355"/>
      <c r="I4993" s="355"/>
      <c r="J4993" s="355"/>
      <c r="K4993" s="355"/>
      <c r="L4993" s="355"/>
      <c r="M4993" s="355"/>
    </row>
    <row r="4994" spans="5:13">
      <c r="E4994" s="355"/>
      <c r="F4994" s="355"/>
      <c r="G4994" s="355"/>
      <c r="H4994" s="355"/>
      <c r="I4994" s="355"/>
      <c r="J4994" s="355"/>
      <c r="K4994" s="355"/>
      <c r="L4994" s="355"/>
      <c r="M4994" s="355"/>
    </row>
    <row r="4995" spans="5:13">
      <c r="E4995" s="355"/>
      <c r="F4995" s="355"/>
      <c r="G4995" s="355"/>
      <c r="H4995" s="355"/>
      <c r="I4995" s="355"/>
      <c r="J4995" s="355"/>
      <c r="K4995" s="355"/>
      <c r="L4995" s="355"/>
      <c r="M4995" s="355"/>
    </row>
    <row r="4996" spans="5:13">
      <c r="E4996" s="355"/>
      <c r="F4996" s="355"/>
      <c r="G4996" s="355"/>
      <c r="H4996" s="355"/>
      <c r="I4996" s="355"/>
      <c r="J4996" s="355"/>
      <c r="K4996" s="355"/>
      <c r="L4996" s="355"/>
      <c r="M4996" s="355"/>
    </row>
    <row r="4997" spans="5:13">
      <c r="E4997" s="355"/>
      <c r="F4997" s="355"/>
      <c r="G4997" s="355"/>
      <c r="H4997" s="355"/>
      <c r="I4997" s="355"/>
      <c r="J4997" s="355"/>
      <c r="K4997" s="355"/>
      <c r="L4997" s="355"/>
      <c r="M4997" s="355"/>
    </row>
    <row r="4998" spans="5:13">
      <c r="E4998" s="355"/>
      <c r="F4998" s="355"/>
      <c r="G4998" s="355"/>
      <c r="H4998" s="355"/>
      <c r="I4998" s="355"/>
      <c r="J4998" s="355"/>
      <c r="K4998" s="355"/>
      <c r="L4998" s="355"/>
      <c r="M4998" s="355"/>
    </row>
    <row r="4999" spans="5:13">
      <c r="E4999" s="355"/>
      <c r="F4999" s="355"/>
      <c r="G4999" s="355"/>
      <c r="H4999" s="355"/>
      <c r="I4999" s="355"/>
      <c r="J4999" s="355"/>
      <c r="K4999" s="355"/>
      <c r="L4999" s="355"/>
      <c r="M4999" s="355"/>
    </row>
    <row r="5000" spans="5:13">
      <c r="E5000" s="355"/>
      <c r="F5000" s="355"/>
      <c r="G5000" s="355"/>
      <c r="H5000" s="355"/>
      <c r="I5000" s="355"/>
      <c r="J5000" s="355"/>
      <c r="K5000" s="355"/>
      <c r="L5000" s="355"/>
      <c r="M5000" s="355"/>
    </row>
    <row r="5001" spans="5:13">
      <c r="E5001" s="355"/>
      <c r="F5001" s="355"/>
      <c r="G5001" s="355"/>
      <c r="H5001" s="355"/>
      <c r="I5001" s="355"/>
      <c r="J5001" s="355"/>
      <c r="K5001" s="355"/>
      <c r="L5001" s="355"/>
      <c r="M5001" s="355"/>
    </row>
    <row r="5002" spans="5:13">
      <c r="E5002" s="355"/>
      <c r="F5002" s="355"/>
      <c r="G5002" s="355"/>
      <c r="H5002" s="355"/>
      <c r="I5002" s="355"/>
      <c r="J5002" s="355"/>
      <c r="K5002" s="355"/>
      <c r="L5002" s="355"/>
      <c r="M5002" s="355"/>
    </row>
    <row r="5003" spans="5:13">
      <c r="E5003" s="355"/>
      <c r="F5003" s="355"/>
      <c r="G5003" s="355"/>
      <c r="H5003" s="355"/>
      <c r="I5003" s="355"/>
      <c r="J5003" s="355"/>
      <c r="K5003" s="355"/>
      <c r="L5003" s="355"/>
      <c r="M5003" s="355"/>
    </row>
    <row r="5004" spans="5:13">
      <c r="E5004" s="355"/>
      <c r="F5004" s="355"/>
      <c r="G5004" s="355"/>
      <c r="H5004" s="355"/>
      <c r="I5004" s="355"/>
      <c r="J5004" s="355"/>
      <c r="K5004" s="355"/>
      <c r="L5004" s="355"/>
      <c r="M5004" s="355"/>
    </row>
    <row r="5005" spans="5:13">
      <c r="E5005" s="355"/>
      <c r="F5005" s="355"/>
      <c r="G5005" s="355"/>
      <c r="H5005" s="355"/>
      <c r="I5005" s="355"/>
      <c r="J5005" s="355"/>
      <c r="K5005" s="355"/>
      <c r="L5005" s="355"/>
      <c r="M5005" s="355"/>
    </row>
    <row r="5006" spans="5:13">
      <c r="E5006" s="355"/>
      <c r="F5006" s="355"/>
      <c r="G5006" s="355"/>
      <c r="H5006" s="355"/>
      <c r="I5006" s="355"/>
      <c r="J5006" s="355"/>
      <c r="K5006" s="355"/>
      <c r="L5006" s="355"/>
      <c r="M5006" s="355"/>
    </row>
    <row r="5007" spans="5:13">
      <c r="E5007" s="355"/>
      <c r="F5007" s="355"/>
      <c r="G5007" s="355"/>
      <c r="H5007" s="355"/>
      <c r="I5007" s="355"/>
      <c r="J5007" s="355"/>
      <c r="K5007" s="355"/>
      <c r="L5007" s="355"/>
      <c r="M5007" s="355"/>
    </row>
    <row r="5008" spans="5:13">
      <c r="E5008" s="355"/>
      <c r="F5008" s="355"/>
      <c r="G5008" s="355"/>
      <c r="H5008" s="355"/>
      <c r="I5008" s="355"/>
      <c r="J5008" s="355"/>
      <c r="K5008" s="355"/>
      <c r="L5008" s="355"/>
      <c r="M5008" s="355"/>
    </row>
    <row r="5009" spans="5:13">
      <c r="E5009" s="355"/>
      <c r="F5009" s="355"/>
      <c r="G5009" s="355"/>
      <c r="H5009" s="355"/>
      <c r="I5009" s="355"/>
      <c r="J5009" s="355"/>
      <c r="K5009" s="355"/>
      <c r="L5009" s="355"/>
      <c r="M5009" s="355"/>
    </row>
    <row r="5010" spans="5:13">
      <c r="E5010" s="355"/>
      <c r="F5010" s="355"/>
      <c r="G5010" s="355"/>
      <c r="H5010" s="355"/>
      <c r="I5010" s="355"/>
      <c r="J5010" s="355"/>
      <c r="K5010" s="355"/>
      <c r="L5010" s="355"/>
      <c r="M5010" s="355"/>
    </row>
    <row r="5011" spans="5:13">
      <c r="E5011" s="355"/>
      <c r="F5011" s="355"/>
      <c r="G5011" s="355"/>
      <c r="H5011" s="355"/>
      <c r="I5011" s="355"/>
      <c r="J5011" s="355"/>
      <c r="K5011" s="355"/>
      <c r="L5011" s="355"/>
      <c r="M5011" s="355"/>
    </row>
    <row r="5012" spans="5:13">
      <c r="E5012" s="355"/>
      <c r="F5012" s="355"/>
      <c r="G5012" s="355"/>
      <c r="H5012" s="355"/>
      <c r="I5012" s="355"/>
      <c r="J5012" s="355"/>
      <c r="K5012" s="355"/>
      <c r="L5012" s="355"/>
      <c r="M5012" s="355"/>
    </row>
    <row r="5013" spans="5:13">
      <c r="E5013" s="355"/>
      <c r="F5013" s="355"/>
      <c r="G5013" s="355"/>
      <c r="H5013" s="355"/>
      <c r="I5013" s="355"/>
      <c r="J5013" s="355"/>
      <c r="K5013" s="355"/>
      <c r="L5013" s="355"/>
      <c r="M5013" s="355"/>
    </row>
    <row r="5014" spans="5:13">
      <c r="E5014" s="355"/>
      <c r="F5014" s="355"/>
      <c r="G5014" s="355"/>
      <c r="H5014" s="355"/>
      <c r="I5014" s="355"/>
      <c r="J5014" s="355"/>
      <c r="K5014" s="355"/>
      <c r="L5014" s="355"/>
      <c r="M5014" s="355"/>
    </row>
    <row r="5015" spans="5:13">
      <c r="E5015" s="355"/>
      <c r="F5015" s="355"/>
      <c r="G5015" s="355"/>
      <c r="H5015" s="355"/>
      <c r="I5015" s="355"/>
      <c r="J5015" s="355"/>
      <c r="K5015" s="355"/>
      <c r="L5015" s="355"/>
      <c r="M5015" s="355"/>
    </row>
    <row r="5016" spans="5:13">
      <c r="E5016" s="355"/>
      <c r="F5016" s="355"/>
      <c r="G5016" s="355"/>
      <c r="H5016" s="355"/>
      <c r="I5016" s="355"/>
      <c r="J5016" s="355"/>
      <c r="K5016" s="355"/>
      <c r="L5016" s="355"/>
      <c r="M5016" s="355"/>
    </row>
    <row r="5017" spans="5:13">
      <c r="E5017" s="355"/>
      <c r="F5017" s="355"/>
      <c r="G5017" s="355"/>
      <c r="H5017" s="355"/>
      <c r="I5017" s="355"/>
      <c r="J5017" s="355"/>
      <c r="K5017" s="355"/>
      <c r="L5017" s="355"/>
      <c r="M5017" s="355"/>
    </row>
    <row r="5018" spans="5:13">
      <c r="E5018" s="355"/>
      <c r="F5018" s="355"/>
      <c r="G5018" s="355"/>
      <c r="H5018" s="355"/>
      <c r="I5018" s="355"/>
      <c r="J5018" s="355"/>
      <c r="K5018" s="355"/>
      <c r="L5018" s="355"/>
      <c r="M5018" s="355"/>
    </row>
    <row r="5019" spans="5:13">
      <c r="E5019" s="355"/>
      <c r="F5019" s="355"/>
      <c r="G5019" s="355"/>
      <c r="H5019" s="355"/>
      <c r="I5019" s="355"/>
      <c r="J5019" s="355"/>
      <c r="K5019" s="355"/>
      <c r="L5019" s="355"/>
      <c r="M5019" s="355"/>
    </row>
    <row r="5020" spans="5:13">
      <c r="E5020" s="355"/>
      <c r="F5020" s="355"/>
      <c r="G5020" s="355"/>
      <c r="H5020" s="355"/>
      <c r="I5020" s="355"/>
      <c r="J5020" s="355"/>
      <c r="K5020" s="355"/>
      <c r="L5020" s="355"/>
      <c r="M5020" s="355"/>
    </row>
    <row r="5021" spans="5:13">
      <c r="E5021" s="355"/>
      <c r="F5021" s="355"/>
      <c r="G5021" s="355"/>
      <c r="H5021" s="355"/>
      <c r="I5021" s="355"/>
      <c r="J5021" s="355"/>
      <c r="K5021" s="355"/>
      <c r="L5021" s="355"/>
      <c r="M5021" s="355"/>
    </row>
    <row r="5022" spans="5:13">
      <c r="E5022" s="355"/>
      <c r="F5022" s="355"/>
      <c r="G5022" s="355"/>
      <c r="H5022" s="355"/>
      <c r="I5022" s="355"/>
      <c r="J5022" s="355"/>
      <c r="K5022" s="355"/>
      <c r="L5022" s="355"/>
      <c r="M5022" s="355"/>
    </row>
    <row r="5023" spans="5:13">
      <c r="E5023" s="355"/>
      <c r="F5023" s="355"/>
      <c r="G5023" s="355"/>
      <c r="H5023" s="355"/>
      <c r="I5023" s="355"/>
      <c r="J5023" s="355"/>
      <c r="K5023" s="355"/>
      <c r="L5023" s="355"/>
      <c r="M5023" s="355"/>
    </row>
    <row r="5024" spans="5:13">
      <c r="E5024" s="355"/>
      <c r="F5024" s="355"/>
      <c r="G5024" s="355"/>
      <c r="H5024" s="355"/>
      <c r="I5024" s="355"/>
      <c r="J5024" s="355"/>
      <c r="K5024" s="355"/>
      <c r="L5024" s="355"/>
      <c r="M5024" s="355"/>
    </row>
    <row r="5025" spans="5:13">
      <c r="E5025" s="355"/>
      <c r="F5025" s="355"/>
      <c r="G5025" s="355"/>
      <c r="H5025" s="355"/>
      <c r="I5025" s="355"/>
      <c r="J5025" s="355"/>
      <c r="K5025" s="355"/>
      <c r="L5025" s="355"/>
      <c r="M5025" s="355"/>
    </row>
    <row r="5026" spans="5:13">
      <c r="E5026" s="355"/>
      <c r="F5026" s="355"/>
      <c r="G5026" s="355"/>
      <c r="H5026" s="355"/>
      <c r="I5026" s="355"/>
      <c r="J5026" s="355"/>
      <c r="K5026" s="355"/>
      <c r="L5026" s="355"/>
      <c r="M5026" s="355"/>
    </row>
    <row r="5027" spans="5:13">
      <c r="E5027" s="355"/>
      <c r="F5027" s="355"/>
      <c r="G5027" s="355"/>
      <c r="H5027" s="355"/>
      <c r="I5027" s="355"/>
      <c r="J5027" s="355"/>
      <c r="K5027" s="355"/>
      <c r="L5027" s="355"/>
      <c r="M5027" s="355"/>
    </row>
    <row r="5028" spans="5:13">
      <c r="E5028" s="355"/>
      <c r="F5028" s="355"/>
      <c r="G5028" s="355"/>
      <c r="H5028" s="355"/>
      <c r="I5028" s="355"/>
      <c r="J5028" s="355"/>
      <c r="K5028" s="355"/>
      <c r="L5028" s="355"/>
      <c r="M5028" s="355"/>
    </row>
    <row r="5029" spans="5:13">
      <c r="E5029" s="355"/>
      <c r="F5029" s="355"/>
      <c r="G5029" s="355"/>
      <c r="H5029" s="355"/>
      <c r="I5029" s="355"/>
      <c r="J5029" s="355"/>
      <c r="K5029" s="355"/>
      <c r="L5029" s="355"/>
      <c r="M5029" s="355"/>
    </row>
    <row r="5030" spans="5:13">
      <c r="E5030" s="355"/>
      <c r="F5030" s="355"/>
      <c r="G5030" s="355"/>
      <c r="H5030" s="355"/>
      <c r="I5030" s="355"/>
      <c r="J5030" s="355"/>
      <c r="K5030" s="355"/>
      <c r="L5030" s="355"/>
      <c r="M5030" s="355"/>
    </row>
    <row r="5031" spans="5:13">
      <c r="E5031" s="355"/>
      <c r="F5031" s="355"/>
      <c r="G5031" s="355"/>
      <c r="H5031" s="355"/>
      <c r="I5031" s="355"/>
      <c r="J5031" s="355"/>
      <c r="K5031" s="355"/>
      <c r="L5031" s="355"/>
      <c r="M5031" s="355"/>
    </row>
    <row r="5032" spans="5:13">
      <c r="E5032" s="355"/>
      <c r="F5032" s="355"/>
      <c r="G5032" s="355"/>
      <c r="H5032" s="355"/>
      <c r="I5032" s="355"/>
      <c r="J5032" s="355"/>
      <c r="K5032" s="355"/>
      <c r="L5032" s="355"/>
      <c r="M5032" s="355"/>
    </row>
    <row r="5033" spans="5:13">
      <c r="E5033" s="355"/>
      <c r="F5033" s="355"/>
      <c r="G5033" s="355"/>
      <c r="H5033" s="355"/>
      <c r="I5033" s="355"/>
      <c r="J5033" s="355"/>
      <c r="K5033" s="355"/>
      <c r="L5033" s="355"/>
      <c r="M5033" s="355"/>
    </row>
    <row r="5034" spans="5:13">
      <c r="E5034" s="355"/>
      <c r="F5034" s="355"/>
      <c r="G5034" s="355"/>
      <c r="H5034" s="355"/>
      <c r="I5034" s="355"/>
      <c r="J5034" s="355"/>
      <c r="K5034" s="355"/>
      <c r="L5034" s="355"/>
      <c r="M5034" s="355"/>
    </row>
    <row r="5035" spans="5:13">
      <c r="E5035" s="355"/>
      <c r="F5035" s="355"/>
      <c r="G5035" s="355"/>
      <c r="H5035" s="355"/>
      <c r="I5035" s="355"/>
      <c r="J5035" s="355"/>
      <c r="K5035" s="355"/>
      <c r="L5035" s="355"/>
      <c r="M5035" s="355"/>
    </row>
    <row r="5036" spans="5:13">
      <c r="E5036" s="355"/>
      <c r="F5036" s="355"/>
      <c r="G5036" s="355"/>
      <c r="H5036" s="355"/>
      <c r="I5036" s="355"/>
      <c r="J5036" s="355"/>
      <c r="K5036" s="355"/>
      <c r="L5036" s="355"/>
      <c r="M5036" s="355"/>
    </row>
    <row r="5037" spans="5:13">
      <c r="E5037" s="355"/>
      <c r="F5037" s="355"/>
      <c r="G5037" s="355"/>
      <c r="H5037" s="355"/>
      <c r="I5037" s="355"/>
      <c r="J5037" s="355"/>
      <c r="K5037" s="355"/>
      <c r="L5037" s="355"/>
      <c r="M5037" s="355"/>
    </row>
    <row r="5038" spans="5:13">
      <c r="E5038" s="355"/>
      <c r="F5038" s="355"/>
      <c r="G5038" s="355"/>
      <c r="H5038" s="355"/>
      <c r="I5038" s="355"/>
      <c r="J5038" s="355"/>
      <c r="K5038" s="355"/>
      <c r="L5038" s="355"/>
      <c r="M5038" s="355"/>
    </row>
    <row r="5039" spans="5:13">
      <c r="E5039" s="355"/>
      <c r="F5039" s="355"/>
      <c r="G5039" s="355"/>
      <c r="H5039" s="355"/>
      <c r="I5039" s="355"/>
      <c r="J5039" s="355"/>
      <c r="K5039" s="355"/>
      <c r="L5039" s="355"/>
      <c r="M5039" s="355"/>
    </row>
    <row r="5040" spans="5:13">
      <c r="E5040" s="355"/>
      <c r="F5040" s="355"/>
      <c r="G5040" s="355"/>
      <c r="H5040" s="355"/>
      <c r="I5040" s="355"/>
      <c r="J5040" s="355"/>
      <c r="K5040" s="355"/>
      <c r="L5040" s="355"/>
      <c r="M5040" s="355"/>
    </row>
    <row r="5041" spans="5:13">
      <c r="E5041" s="355"/>
      <c r="F5041" s="355"/>
      <c r="G5041" s="355"/>
      <c r="H5041" s="355"/>
      <c r="I5041" s="355"/>
      <c r="J5041" s="355"/>
      <c r="K5041" s="355"/>
      <c r="L5041" s="355"/>
      <c r="M5041" s="355"/>
    </row>
    <row r="5042" spans="5:13">
      <c r="E5042" s="355"/>
      <c r="F5042" s="355"/>
      <c r="G5042" s="355"/>
      <c r="H5042" s="355"/>
      <c r="I5042" s="355"/>
      <c r="J5042" s="355"/>
      <c r="K5042" s="355"/>
      <c r="L5042" s="355"/>
      <c r="M5042" s="355"/>
    </row>
    <row r="5043" spans="5:13">
      <c r="E5043" s="355"/>
      <c r="F5043" s="355"/>
      <c r="G5043" s="355"/>
      <c r="H5043" s="355"/>
      <c r="I5043" s="355"/>
      <c r="J5043" s="355"/>
      <c r="K5043" s="355"/>
      <c r="L5043" s="355"/>
      <c r="M5043" s="355"/>
    </row>
    <row r="5044" spans="5:13">
      <c r="E5044" s="355"/>
      <c r="F5044" s="355"/>
      <c r="G5044" s="355"/>
      <c r="H5044" s="355"/>
      <c r="I5044" s="355"/>
      <c r="J5044" s="355"/>
      <c r="K5044" s="355"/>
      <c r="L5044" s="355"/>
      <c r="M5044" s="355"/>
    </row>
    <row r="5045" spans="5:13">
      <c r="E5045" s="355"/>
      <c r="F5045" s="355"/>
      <c r="G5045" s="355"/>
      <c r="H5045" s="355"/>
      <c r="I5045" s="355"/>
      <c r="J5045" s="355"/>
      <c r="K5045" s="355"/>
      <c r="L5045" s="355"/>
      <c r="M5045" s="355"/>
    </row>
    <row r="5046" spans="5:13">
      <c r="E5046" s="355"/>
      <c r="F5046" s="355"/>
      <c r="G5046" s="355"/>
      <c r="H5046" s="355"/>
      <c r="I5046" s="355"/>
      <c r="J5046" s="355"/>
      <c r="K5046" s="355"/>
      <c r="L5046" s="355"/>
      <c r="M5046" s="355"/>
    </row>
    <row r="5047" spans="5:13">
      <c r="E5047" s="355"/>
      <c r="F5047" s="355"/>
      <c r="G5047" s="355"/>
      <c r="H5047" s="355"/>
      <c r="I5047" s="355"/>
      <c r="J5047" s="355"/>
      <c r="K5047" s="355"/>
      <c r="L5047" s="355"/>
      <c r="M5047" s="355"/>
    </row>
    <row r="5048" spans="5:13">
      <c r="E5048" s="355"/>
      <c r="F5048" s="355"/>
      <c r="G5048" s="355"/>
      <c r="H5048" s="355"/>
      <c r="I5048" s="355"/>
      <c r="J5048" s="355"/>
      <c r="K5048" s="355"/>
      <c r="L5048" s="355"/>
      <c r="M5048" s="355"/>
    </row>
    <row r="5049" spans="5:13">
      <c r="E5049" s="355"/>
      <c r="F5049" s="355"/>
      <c r="G5049" s="355"/>
      <c r="H5049" s="355"/>
      <c r="I5049" s="355"/>
      <c r="J5049" s="355"/>
      <c r="K5049" s="355"/>
      <c r="L5049" s="355"/>
      <c r="M5049" s="355"/>
    </row>
    <row r="5050" spans="5:13">
      <c r="E5050" s="355"/>
      <c r="F5050" s="355"/>
      <c r="G5050" s="355"/>
      <c r="H5050" s="355"/>
      <c r="I5050" s="355"/>
      <c r="J5050" s="355"/>
      <c r="K5050" s="355"/>
      <c r="L5050" s="355"/>
      <c r="M5050" s="355"/>
    </row>
    <row r="5051" spans="5:13">
      <c r="E5051" s="355"/>
      <c r="F5051" s="355"/>
      <c r="G5051" s="355"/>
      <c r="H5051" s="355"/>
      <c r="I5051" s="355"/>
      <c r="J5051" s="355"/>
      <c r="K5051" s="355"/>
      <c r="L5051" s="355"/>
      <c r="M5051" s="355"/>
    </row>
    <row r="5052" spans="5:13">
      <c r="E5052" s="355"/>
      <c r="F5052" s="355"/>
      <c r="G5052" s="355"/>
      <c r="H5052" s="355"/>
      <c r="I5052" s="355"/>
      <c r="J5052" s="355"/>
      <c r="K5052" s="355"/>
      <c r="L5052" s="355"/>
      <c r="M5052" s="355"/>
    </row>
    <row r="5053" spans="5:13">
      <c r="E5053" s="355"/>
      <c r="F5053" s="355"/>
      <c r="G5053" s="355"/>
      <c r="H5053" s="355"/>
      <c r="I5053" s="355"/>
      <c r="J5053" s="355"/>
      <c r="K5053" s="355"/>
      <c r="L5053" s="355"/>
      <c r="M5053" s="355"/>
    </row>
    <row r="5054" spans="5:13">
      <c r="E5054" s="355"/>
      <c r="F5054" s="355"/>
      <c r="G5054" s="355"/>
      <c r="H5054" s="355"/>
      <c r="I5054" s="355"/>
      <c r="J5054" s="355"/>
      <c r="K5054" s="355"/>
      <c r="L5054" s="355"/>
      <c r="M5054" s="355"/>
    </row>
    <row r="5055" spans="5:13">
      <c r="E5055" s="355"/>
      <c r="F5055" s="355"/>
      <c r="G5055" s="355"/>
      <c r="H5055" s="355"/>
      <c r="I5055" s="355"/>
      <c r="J5055" s="355"/>
      <c r="K5055" s="355"/>
      <c r="L5055" s="355"/>
      <c r="M5055" s="355"/>
    </row>
    <row r="5056" spans="5:13">
      <c r="E5056" s="355"/>
      <c r="F5056" s="355"/>
      <c r="G5056" s="355"/>
      <c r="H5056" s="355"/>
      <c r="I5056" s="355"/>
      <c r="J5056" s="355"/>
      <c r="K5056" s="355"/>
      <c r="L5056" s="355"/>
      <c r="M5056" s="355"/>
    </row>
    <row r="5057" spans="5:13">
      <c r="E5057" s="355"/>
      <c r="F5057" s="355"/>
      <c r="G5057" s="355"/>
      <c r="H5057" s="355"/>
      <c r="I5057" s="355"/>
      <c r="J5057" s="355"/>
      <c r="K5057" s="355"/>
      <c r="L5057" s="355"/>
      <c r="M5057" s="355"/>
    </row>
    <row r="5058" spans="5:13">
      <c r="E5058" s="355"/>
      <c r="F5058" s="355"/>
      <c r="G5058" s="355"/>
      <c r="H5058" s="355"/>
      <c r="I5058" s="355"/>
      <c r="J5058" s="355"/>
      <c r="K5058" s="355"/>
      <c r="L5058" s="355"/>
      <c r="M5058" s="355"/>
    </row>
    <row r="5059" spans="5:13">
      <c r="E5059" s="355"/>
      <c r="F5059" s="355"/>
      <c r="G5059" s="355"/>
      <c r="H5059" s="355"/>
      <c r="I5059" s="355"/>
      <c r="J5059" s="355"/>
      <c r="K5059" s="355"/>
      <c r="L5059" s="355"/>
      <c r="M5059" s="355"/>
    </row>
    <row r="5060" spans="5:13">
      <c r="E5060" s="355"/>
      <c r="F5060" s="355"/>
      <c r="G5060" s="355"/>
      <c r="H5060" s="355"/>
      <c r="I5060" s="355"/>
      <c r="J5060" s="355"/>
      <c r="K5060" s="355"/>
      <c r="L5060" s="355"/>
      <c r="M5060" s="355"/>
    </row>
    <row r="5061" spans="5:13">
      <c r="E5061" s="355"/>
      <c r="F5061" s="355"/>
      <c r="G5061" s="355"/>
      <c r="H5061" s="355"/>
      <c r="I5061" s="355"/>
      <c r="J5061" s="355"/>
      <c r="K5061" s="355"/>
      <c r="L5061" s="355"/>
      <c r="M5061" s="355"/>
    </row>
    <row r="5062" spans="5:13">
      <c r="E5062" s="355"/>
      <c r="F5062" s="355"/>
      <c r="G5062" s="355"/>
      <c r="H5062" s="355"/>
      <c r="I5062" s="355"/>
      <c r="J5062" s="355"/>
      <c r="K5062" s="355"/>
      <c r="L5062" s="355"/>
      <c r="M5062" s="355"/>
    </row>
    <row r="5063" spans="5:13">
      <c r="E5063" s="355"/>
      <c r="F5063" s="355"/>
      <c r="G5063" s="355"/>
      <c r="H5063" s="355"/>
      <c r="I5063" s="355"/>
      <c r="J5063" s="355"/>
      <c r="K5063" s="355"/>
      <c r="L5063" s="355"/>
      <c r="M5063" s="355"/>
    </row>
    <row r="5064" spans="5:13">
      <c r="E5064" s="355"/>
      <c r="F5064" s="355"/>
      <c r="G5064" s="355"/>
      <c r="H5064" s="355"/>
      <c r="I5064" s="355"/>
      <c r="J5064" s="355"/>
      <c r="K5064" s="355"/>
      <c r="L5064" s="355"/>
      <c r="M5064" s="355"/>
    </row>
    <row r="5065" spans="5:13">
      <c r="E5065" s="355"/>
      <c r="F5065" s="355"/>
      <c r="G5065" s="355"/>
      <c r="H5065" s="355"/>
      <c r="I5065" s="355"/>
      <c r="J5065" s="355"/>
      <c r="K5065" s="355"/>
      <c r="L5065" s="355"/>
      <c r="M5065" s="355"/>
    </row>
    <row r="5066" spans="5:13">
      <c r="E5066" s="355"/>
      <c r="F5066" s="355"/>
      <c r="G5066" s="355"/>
      <c r="H5066" s="355"/>
      <c r="I5066" s="355"/>
      <c r="J5066" s="355"/>
      <c r="K5066" s="355"/>
      <c r="L5066" s="355"/>
      <c r="M5066" s="355"/>
    </row>
    <row r="5067" spans="5:13">
      <c r="E5067" s="355"/>
      <c r="F5067" s="355"/>
      <c r="G5067" s="355"/>
      <c r="H5067" s="355"/>
      <c r="I5067" s="355"/>
      <c r="J5067" s="355"/>
      <c r="K5067" s="355"/>
      <c r="L5067" s="355"/>
      <c r="M5067" s="355"/>
    </row>
    <row r="5068" spans="5:13">
      <c r="E5068" s="355"/>
      <c r="F5068" s="355"/>
      <c r="G5068" s="355"/>
      <c r="H5068" s="355"/>
      <c r="I5068" s="355"/>
      <c r="J5068" s="355"/>
      <c r="K5068" s="355"/>
      <c r="L5068" s="355"/>
      <c r="M5068" s="355"/>
    </row>
    <row r="5069" spans="5:13">
      <c r="E5069" s="355"/>
      <c r="F5069" s="355"/>
      <c r="G5069" s="355"/>
      <c r="H5069" s="355"/>
      <c r="I5069" s="355"/>
      <c r="J5069" s="355"/>
      <c r="K5069" s="355"/>
      <c r="L5069" s="355"/>
      <c r="M5069" s="355"/>
    </row>
    <row r="5070" spans="5:13">
      <c r="E5070" s="355"/>
      <c r="F5070" s="355"/>
      <c r="G5070" s="355"/>
      <c r="H5070" s="355"/>
      <c r="I5070" s="355"/>
      <c r="J5070" s="355"/>
      <c r="K5070" s="355"/>
      <c r="L5070" s="355"/>
      <c r="M5070" s="355"/>
    </row>
    <row r="5071" spans="5:13">
      <c r="E5071" s="355"/>
      <c r="F5071" s="355"/>
      <c r="G5071" s="355"/>
      <c r="H5071" s="355"/>
      <c r="I5071" s="355"/>
      <c r="J5071" s="355"/>
      <c r="K5071" s="355"/>
      <c r="L5071" s="355"/>
      <c r="M5071" s="355"/>
    </row>
    <row r="5072" spans="5:13">
      <c r="E5072" s="355"/>
      <c r="F5072" s="355"/>
      <c r="G5072" s="355"/>
      <c r="H5072" s="355"/>
      <c r="I5072" s="355"/>
      <c r="J5072" s="355"/>
      <c r="K5072" s="355"/>
      <c r="L5072" s="355"/>
      <c r="M5072" s="355"/>
    </row>
    <row r="5073" spans="5:13">
      <c r="E5073" s="355"/>
      <c r="F5073" s="355"/>
      <c r="G5073" s="355"/>
      <c r="H5073" s="355"/>
      <c r="I5073" s="355"/>
      <c r="J5073" s="355"/>
      <c r="K5073" s="355"/>
      <c r="L5073" s="355"/>
      <c r="M5073" s="355"/>
    </row>
    <row r="5074" spans="5:13">
      <c r="E5074" s="355"/>
      <c r="F5074" s="355"/>
      <c r="G5074" s="355"/>
      <c r="H5074" s="355"/>
      <c r="I5074" s="355"/>
      <c r="J5074" s="355"/>
      <c r="K5074" s="355"/>
      <c r="L5074" s="355"/>
      <c r="M5074" s="355"/>
    </row>
    <row r="5075" spans="5:13">
      <c r="E5075" s="355"/>
      <c r="F5075" s="355"/>
      <c r="G5075" s="355"/>
      <c r="H5075" s="355"/>
      <c r="I5075" s="355"/>
      <c r="J5075" s="355"/>
      <c r="K5075" s="355"/>
      <c r="L5075" s="355"/>
      <c r="M5075" s="355"/>
    </row>
    <row r="5076" spans="5:13">
      <c r="E5076" s="355"/>
      <c r="F5076" s="355"/>
      <c r="G5076" s="355"/>
      <c r="H5076" s="355"/>
      <c r="I5076" s="355"/>
      <c r="J5076" s="355"/>
      <c r="K5076" s="355"/>
      <c r="L5076" s="355"/>
      <c r="M5076" s="355"/>
    </row>
    <row r="5077" spans="5:13">
      <c r="E5077" s="355"/>
      <c r="F5077" s="355"/>
      <c r="G5077" s="355"/>
      <c r="H5077" s="355"/>
      <c r="I5077" s="355"/>
      <c r="J5077" s="355"/>
      <c r="K5077" s="355"/>
      <c r="L5077" s="355"/>
      <c r="M5077" s="355"/>
    </row>
    <row r="5078" spans="5:13">
      <c r="E5078" s="355"/>
      <c r="F5078" s="355"/>
      <c r="G5078" s="355"/>
      <c r="H5078" s="355"/>
      <c r="I5078" s="355"/>
      <c r="J5078" s="355"/>
      <c r="K5078" s="355"/>
      <c r="L5078" s="355"/>
      <c r="M5078" s="355"/>
    </row>
    <row r="5079" spans="5:13">
      <c r="E5079" s="355"/>
      <c r="F5079" s="355"/>
      <c r="G5079" s="355"/>
      <c r="H5079" s="355"/>
      <c r="I5079" s="355"/>
      <c r="J5079" s="355"/>
      <c r="K5079" s="355"/>
      <c r="L5079" s="355"/>
      <c r="M5079" s="355"/>
    </row>
    <row r="5080" spans="5:13">
      <c r="E5080" s="355"/>
      <c r="F5080" s="355"/>
      <c r="G5080" s="355"/>
      <c r="H5080" s="355"/>
      <c r="I5080" s="355"/>
      <c r="J5080" s="355"/>
      <c r="K5080" s="355"/>
      <c r="L5080" s="355"/>
      <c r="M5080" s="355"/>
    </row>
    <row r="5081" spans="5:13">
      <c r="E5081" s="355"/>
      <c r="F5081" s="355"/>
      <c r="G5081" s="355"/>
      <c r="H5081" s="355"/>
      <c r="I5081" s="355"/>
      <c r="J5081" s="355"/>
      <c r="K5081" s="355"/>
      <c r="L5081" s="355"/>
      <c r="M5081" s="355"/>
    </row>
    <row r="5082" spans="5:13">
      <c r="E5082" s="355"/>
      <c r="F5082" s="355"/>
      <c r="G5082" s="355"/>
      <c r="H5082" s="355"/>
      <c r="I5082" s="355"/>
      <c r="J5082" s="355"/>
      <c r="K5082" s="355"/>
      <c r="L5082" s="355"/>
      <c r="M5082" s="355"/>
    </row>
    <row r="5083" spans="5:13">
      <c r="E5083" s="355"/>
      <c r="F5083" s="355"/>
      <c r="G5083" s="355"/>
      <c r="H5083" s="355"/>
      <c r="I5083" s="355"/>
      <c r="J5083" s="355"/>
      <c r="K5083" s="355"/>
      <c r="L5083" s="355"/>
      <c r="M5083" s="355"/>
    </row>
    <row r="5084" spans="5:13">
      <c r="E5084" s="355"/>
      <c r="F5084" s="355"/>
      <c r="G5084" s="355"/>
      <c r="H5084" s="355"/>
      <c r="I5084" s="355"/>
      <c r="J5084" s="355"/>
      <c r="K5084" s="355"/>
      <c r="L5084" s="355"/>
      <c r="M5084" s="355"/>
    </row>
    <row r="5085" spans="5:13">
      <c r="E5085" s="355"/>
      <c r="F5085" s="355"/>
      <c r="G5085" s="355"/>
      <c r="H5085" s="355"/>
      <c r="I5085" s="355"/>
      <c r="J5085" s="355"/>
      <c r="K5085" s="355"/>
      <c r="L5085" s="355"/>
      <c r="M5085" s="355"/>
    </row>
    <row r="5086" spans="5:13">
      <c r="E5086" s="355"/>
      <c r="F5086" s="355"/>
      <c r="G5086" s="355"/>
      <c r="H5086" s="355"/>
      <c r="I5086" s="355"/>
      <c r="J5086" s="355"/>
      <c r="K5086" s="355"/>
      <c r="L5086" s="355"/>
      <c r="M5086" s="355"/>
    </row>
    <row r="5087" spans="5:13">
      <c r="E5087" s="355"/>
      <c r="F5087" s="355"/>
      <c r="G5087" s="355"/>
      <c r="H5087" s="355"/>
      <c r="I5087" s="355"/>
      <c r="J5087" s="355"/>
      <c r="K5087" s="355"/>
      <c r="L5087" s="355"/>
      <c r="M5087" s="355"/>
    </row>
    <row r="5088" spans="5:13">
      <c r="E5088" s="355"/>
      <c r="F5088" s="355"/>
      <c r="G5088" s="355"/>
      <c r="H5088" s="355"/>
      <c r="I5088" s="355"/>
      <c r="J5088" s="355"/>
      <c r="K5088" s="355"/>
      <c r="L5088" s="355"/>
      <c r="M5088" s="355"/>
    </row>
    <row r="5089" spans="5:13">
      <c r="E5089" s="355"/>
      <c r="F5089" s="355"/>
      <c r="G5089" s="355"/>
      <c r="H5089" s="355"/>
      <c r="I5089" s="355"/>
      <c r="J5089" s="355"/>
      <c r="K5089" s="355"/>
      <c r="L5089" s="355"/>
      <c r="M5089" s="355"/>
    </row>
    <row r="5090" spans="5:13">
      <c r="E5090" s="355"/>
      <c r="F5090" s="355"/>
      <c r="G5090" s="355"/>
      <c r="H5090" s="355"/>
      <c r="I5090" s="355"/>
      <c r="J5090" s="355"/>
      <c r="K5090" s="355"/>
      <c r="L5090" s="355"/>
      <c r="M5090" s="355"/>
    </row>
    <row r="5091" spans="5:13">
      <c r="E5091" s="355"/>
      <c r="F5091" s="355"/>
      <c r="G5091" s="355"/>
      <c r="H5091" s="355"/>
      <c r="I5091" s="355"/>
      <c r="J5091" s="355"/>
      <c r="K5091" s="355"/>
      <c r="L5091" s="355"/>
      <c r="M5091" s="355"/>
    </row>
    <row r="5092" spans="5:13">
      <c r="E5092" s="355"/>
      <c r="F5092" s="355"/>
      <c r="G5092" s="355"/>
      <c r="H5092" s="355"/>
      <c r="I5092" s="355"/>
      <c r="J5092" s="355"/>
      <c r="K5092" s="355"/>
      <c r="L5092" s="355"/>
      <c r="M5092" s="355"/>
    </row>
    <row r="5093" spans="5:13">
      <c r="E5093" s="355"/>
      <c r="F5093" s="355"/>
      <c r="G5093" s="355"/>
      <c r="H5093" s="355"/>
      <c r="I5093" s="355"/>
      <c r="J5093" s="355"/>
      <c r="K5093" s="355"/>
      <c r="L5093" s="355"/>
      <c r="M5093" s="355"/>
    </row>
    <row r="5094" spans="5:13">
      <c r="E5094" s="355"/>
      <c r="F5094" s="355"/>
      <c r="G5094" s="355"/>
      <c r="H5094" s="355"/>
      <c r="I5094" s="355"/>
      <c r="J5094" s="355"/>
      <c r="K5094" s="355"/>
      <c r="L5094" s="355"/>
      <c r="M5094" s="355"/>
    </row>
    <row r="5095" spans="5:13">
      <c r="E5095" s="355"/>
      <c r="F5095" s="355"/>
      <c r="G5095" s="355"/>
      <c r="H5095" s="355"/>
      <c r="I5095" s="355"/>
      <c r="J5095" s="355"/>
      <c r="K5095" s="355"/>
      <c r="L5095" s="355"/>
      <c r="M5095" s="355"/>
    </row>
    <row r="5096" spans="5:13">
      <c r="E5096" s="355"/>
      <c r="F5096" s="355"/>
      <c r="G5096" s="355"/>
      <c r="H5096" s="355"/>
      <c r="I5096" s="355"/>
      <c r="J5096" s="355"/>
      <c r="K5096" s="355"/>
      <c r="L5096" s="355"/>
      <c r="M5096" s="355"/>
    </row>
    <row r="5097" spans="5:13">
      <c r="E5097" s="355"/>
      <c r="F5097" s="355"/>
      <c r="G5097" s="355"/>
      <c r="H5097" s="355"/>
      <c r="I5097" s="355"/>
      <c r="J5097" s="355"/>
      <c r="K5097" s="355"/>
      <c r="L5097" s="355"/>
      <c r="M5097" s="355"/>
    </row>
    <row r="5098" spans="5:13">
      <c r="E5098" s="355"/>
      <c r="F5098" s="355"/>
      <c r="G5098" s="355"/>
      <c r="H5098" s="355"/>
      <c r="I5098" s="355"/>
      <c r="J5098" s="355"/>
      <c r="K5098" s="355"/>
      <c r="L5098" s="355"/>
      <c r="M5098" s="355"/>
    </row>
    <row r="5099" spans="5:13">
      <c r="E5099" s="355"/>
      <c r="F5099" s="355"/>
      <c r="G5099" s="355"/>
      <c r="H5099" s="355"/>
      <c r="I5099" s="355"/>
      <c r="J5099" s="355"/>
      <c r="K5099" s="355"/>
      <c r="L5099" s="355"/>
      <c r="M5099" s="355"/>
    </row>
    <row r="5100" spans="5:13">
      <c r="E5100" s="355"/>
      <c r="F5100" s="355"/>
      <c r="G5100" s="355"/>
      <c r="H5100" s="355"/>
      <c r="I5100" s="355"/>
      <c r="J5100" s="355"/>
      <c r="K5100" s="355"/>
      <c r="L5100" s="355"/>
      <c r="M5100" s="355"/>
    </row>
    <row r="5101" spans="5:13">
      <c r="E5101" s="355"/>
      <c r="F5101" s="355"/>
      <c r="G5101" s="355"/>
      <c r="H5101" s="355"/>
      <c r="I5101" s="355"/>
      <c r="J5101" s="355"/>
      <c r="K5101" s="355"/>
      <c r="L5101" s="355"/>
      <c r="M5101" s="355"/>
    </row>
    <row r="5102" spans="5:13">
      <c r="E5102" s="355"/>
      <c r="F5102" s="355"/>
      <c r="G5102" s="355"/>
      <c r="H5102" s="355"/>
      <c r="I5102" s="355"/>
      <c r="J5102" s="355"/>
      <c r="K5102" s="355"/>
      <c r="L5102" s="355"/>
      <c r="M5102" s="355"/>
    </row>
    <row r="5103" spans="5:13">
      <c r="E5103" s="355"/>
      <c r="F5103" s="355"/>
      <c r="G5103" s="355"/>
      <c r="H5103" s="355"/>
      <c r="I5103" s="355"/>
      <c r="J5103" s="355"/>
      <c r="K5103" s="355"/>
      <c r="L5103" s="355"/>
      <c r="M5103" s="355"/>
    </row>
    <row r="5104" spans="5:13">
      <c r="E5104" s="355"/>
      <c r="F5104" s="355"/>
      <c r="G5104" s="355"/>
      <c r="H5104" s="355"/>
      <c r="I5104" s="355"/>
      <c r="J5104" s="355"/>
      <c r="K5104" s="355"/>
      <c r="L5104" s="355"/>
      <c r="M5104" s="355"/>
    </row>
    <row r="5105" spans="5:13">
      <c r="E5105" s="355"/>
      <c r="F5105" s="355"/>
      <c r="G5105" s="355"/>
      <c r="H5105" s="355"/>
      <c r="I5105" s="355"/>
      <c r="J5105" s="355"/>
      <c r="K5105" s="355"/>
      <c r="L5105" s="355"/>
      <c r="M5105" s="355"/>
    </row>
    <row r="5106" spans="5:13">
      <c r="E5106" s="355"/>
      <c r="F5106" s="355"/>
      <c r="G5106" s="355"/>
      <c r="H5106" s="355"/>
      <c r="I5106" s="355"/>
      <c r="J5106" s="355"/>
      <c r="K5106" s="355"/>
      <c r="L5106" s="355"/>
      <c r="M5106" s="355"/>
    </row>
    <row r="5107" spans="5:13">
      <c r="E5107" s="355"/>
      <c r="F5107" s="355"/>
      <c r="G5107" s="355"/>
      <c r="H5107" s="355"/>
      <c r="I5107" s="355"/>
      <c r="J5107" s="355"/>
      <c r="K5107" s="355"/>
      <c r="L5107" s="355"/>
      <c r="M5107" s="355"/>
    </row>
    <row r="5108" spans="5:13">
      <c r="E5108" s="355"/>
      <c r="F5108" s="355"/>
      <c r="G5108" s="355"/>
      <c r="H5108" s="355"/>
      <c r="I5108" s="355"/>
      <c r="J5108" s="355"/>
      <c r="K5108" s="355"/>
      <c r="L5108" s="355"/>
      <c r="M5108" s="355"/>
    </row>
    <row r="5109" spans="5:13">
      <c r="E5109" s="355"/>
      <c r="F5109" s="355"/>
      <c r="G5109" s="355"/>
      <c r="H5109" s="355"/>
      <c r="I5109" s="355"/>
      <c r="J5109" s="355"/>
      <c r="K5109" s="355"/>
      <c r="L5109" s="355"/>
      <c r="M5109" s="355"/>
    </row>
    <row r="5110" spans="5:13">
      <c r="E5110" s="355"/>
      <c r="F5110" s="355"/>
      <c r="G5110" s="355"/>
      <c r="H5110" s="355"/>
      <c r="I5110" s="355"/>
      <c r="J5110" s="355"/>
      <c r="K5110" s="355"/>
      <c r="L5110" s="355"/>
      <c r="M5110" s="355"/>
    </row>
    <row r="5111" spans="5:13">
      <c r="E5111" s="355"/>
      <c r="F5111" s="355"/>
      <c r="G5111" s="355"/>
      <c r="H5111" s="355"/>
      <c r="I5111" s="355"/>
      <c r="J5111" s="355"/>
      <c r="K5111" s="355"/>
      <c r="L5111" s="355"/>
      <c r="M5111" s="355"/>
    </row>
    <row r="5112" spans="5:13">
      <c r="E5112" s="355"/>
      <c r="F5112" s="355"/>
      <c r="G5112" s="355"/>
      <c r="H5112" s="355"/>
      <c r="I5112" s="355"/>
      <c r="J5112" s="355"/>
      <c r="K5112" s="355"/>
      <c r="L5112" s="355"/>
      <c r="M5112" s="355"/>
    </row>
    <row r="5113" spans="5:13">
      <c r="E5113" s="355"/>
      <c r="F5113" s="355"/>
      <c r="G5113" s="355"/>
      <c r="H5113" s="355"/>
      <c r="I5113" s="355"/>
      <c r="J5113" s="355"/>
      <c r="K5113" s="355"/>
      <c r="L5113" s="355"/>
      <c r="M5113" s="355"/>
    </row>
    <row r="5114" spans="5:13">
      <c r="E5114" s="355"/>
      <c r="F5114" s="355"/>
      <c r="G5114" s="355"/>
      <c r="H5114" s="355"/>
      <c r="I5114" s="355"/>
      <c r="J5114" s="355"/>
      <c r="K5114" s="355"/>
      <c r="L5114" s="355"/>
      <c r="M5114" s="355"/>
    </row>
    <row r="5115" spans="5:13">
      <c r="E5115" s="355"/>
      <c r="F5115" s="355"/>
      <c r="G5115" s="355"/>
      <c r="H5115" s="355"/>
      <c r="I5115" s="355"/>
      <c r="J5115" s="355"/>
      <c r="K5115" s="355"/>
      <c r="L5115" s="355"/>
      <c r="M5115" s="355"/>
    </row>
    <row r="5116" spans="5:13">
      <c r="E5116" s="355"/>
      <c r="F5116" s="355"/>
      <c r="G5116" s="355"/>
      <c r="H5116" s="355"/>
      <c r="I5116" s="355"/>
      <c r="J5116" s="355"/>
      <c r="K5116" s="355"/>
      <c r="L5116" s="355"/>
      <c r="M5116" s="355"/>
    </row>
    <row r="5117" spans="5:13">
      <c r="E5117" s="355"/>
      <c r="F5117" s="355"/>
      <c r="G5117" s="355"/>
      <c r="H5117" s="355"/>
      <c r="I5117" s="355"/>
      <c r="J5117" s="355"/>
      <c r="K5117" s="355"/>
      <c r="L5117" s="355"/>
      <c r="M5117" s="355"/>
    </row>
    <row r="5118" spans="5:13">
      <c r="E5118" s="355"/>
      <c r="F5118" s="355"/>
      <c r="G5118" s="355"/>
      <c r="H5118" s="355"/>
      <c r="I5118" s="355"/>
      <c r="J5118" s="355"/>
      <c r="K5118" s="355"/>
      <c r="L5118" s="355"/>
      <c r="M5118" s="355"/>
    </row>
    <row r="5119" spans="5:13">
      <c r="E5119" s="355"/>
      <c r="F5119" s="355"/>
      <c r="G5119" s="355"/>
      <c r="H5119" s="355"/>
      <c r="I5119" s="355"/>
      <c r="J5119" s="355"/>
      <c r="K5119" s="355"/>
      <c r="L5119" s="355"/>
      <c r="M5119" s="355"/>
    </row>
    <row r="5120" spans="5:13">
      <c r="E5120" s="355"/>
      <c r="F5120" s="355"/>
      <c r="G5120" s="355"/>
      <c r="H5120" s="355"/>
      <c r="I5120" s="355"/>
      <c r="J5120" s="355"/>
      <c r="K5120" s="355"/>
      <c r="L5120" s="355"/>
      <c r="M5120" s="355"/>
    </row>
    <row r="5121" spans="5:13">
      <c r="E5121" s="355"/>
      <c r="F5121" s="355"/>
      <c r="G5121" s="355"/>
      <c r="H5121" s="355"/>
      <c r="I5121" s="355"/>
      <c r="J5121" s="355"/>
      <c r="K5121" s="355"/>
      <c r="L5121" s="355"/>
      <c r="M5121" s="355"/>
    </row>
    <row r="5122" spans="5:13">
      <c r="E5122" s="355"/>
      <c r="F5122" s="355"/>
      <c r="G5122" s="355"/>
      <c r="H5122" s="355"/>
      <c r="I5122" s="355"/>
      <c r="J5122" s="355"/>
      <c r="K5122" s="355"/>
      <c r="L5122" s="355"/>
      <c r="M5122" s="355"/>
    </row>
    <row r="5123" spans="5:13">
      <c r="E5123" s="355"/>
      <c r="F5123" s="355"/>
      <c r="G5123" s="355"/>
      <c r="H5123" s="355"/>
      <c r="I5123" s="355"/>
      <c r="J5123" s="355"/>
      <c r="K5123" s="355"/>
      <c r="L5123" s="355"/>
      <c r="M5123" s="355"/>
    </row>
    <row r="5124" spans="5:13">
      <c r="E5124" s="355"/>
      <c r="F5124" s="355"/>
      <c r="G5124" s="355"/>
      <c r="H5124" s="355"/>
      <c r="I5124" s="355"/>
      <c r="J5124" s="355"/>
      <c r="K5124" s="355"/>
      <c r="L5124" s="355"/>
      <c r="M5124" s="355"/>
    </row>
    <row r="5125" spans="5:13">
      <c r="E5125" s="355"/>
      <c r="F5125" s="355"/>
      <c r="G5125" s="355"/>
      <c r="H5125" s="355"/>
      <c r="I5125" s="355"/>
      <c r="J5125" s="355"/>
      <c r="K5125" s="355"/>
      <c r="L5125" s="355"/>
      <c r="M5125" s="355"/>
    </row>
    <row r="5126" spans="5:13">
      <c r="E5126" s="355"/>
      <c r="F5126" s="355"/>
      <c r="G5126" s="355"/>
      <c r="H5126" s="355"/>
      <c r="I5126" s="355"/>
      <c r="J5126" s="355"/>
      <c r="K5126" s="355"/>
      <c r="L5126" s="355"/>
      <c r="M5126" s="355"/>
    </row>
    <row r="5127" spans="5:13">
      <c r="E5127" s="355"/>
      <c r="F5127" s="355"/>
      <c r="G5127" s="355"/>
      <c r="H5127" s="355"/>
      <c r="I5127" s="355"/>
      <c r="J5127" s="355"/>
      <c r="K5127" s="355"/>
      <c r="L5127" s="355"/>
      <c r="M5127" s="355"/>
    </row>
    <row r="5128" spans="5:13">
      <c r="E5128" s="355"/>
      <c r="F5128" s="355"/>
      <c r="G5128" s="355"/>
      <c r="H5128" s="355"/>
      <c r="I5128" s="355"/>
      <c r="J5128" s="355"/>
      <c r="K5128" s="355"/>
      <c r="L5128" s="355"/>
      <c r="M5128" s="355"/>
    </row>
    <row r="5129" spans="5:13">
      <c r="E5129" s="355"/>
      <c r="F5129" s="355"/>
      <c r="G5129" s="355"/>
      <c r="H5129" s="355"/>
      <c r="I5129" s="355"/>
      <c r="J5129" s="355"/>
      <c r="K5129" s="355"/>
      <c r="L5129" s="355"/>
      <c r="M5129" s="355"/>
    </row>
    <row r="5130" spans="5:13">
      <c r="E5130" s="355"/>
      <c r="F5130" s="355"/>
      <c r="G5130" s="355"/>
      <c r="H5130" s="355"/>
      <c r="I5130" s="355"/>
      <c r="J5130" s="355"/>
      <c r="K5130" s="355"/>
      <c r="L5130" s="355"/>
      <c r="M5130" s="355"/>
    </row>
    <row r="5131" spans="5:13">
      <c r="E5131" s="355"/>
      <c r="F5131" s="355"/>
      <c r="G5131" s="355"/>
      <c r="H5131" s="355"/>
      <c r="I5131" s="355"/>
      <c r="J5131" s="355"/>
      <c r="K5131" s="355"/>
      <c r="L5131" s="355"/>
      <c r="M5131" s="355"/>
    </row>
    <row r="5132" spans="5:13">
      <c r="E5132" s="355"/>
      <c r="F5132" s="355"/>
      <c r="G5132" s="355"/>
      <c r="H5132" s="355"/>
      <c r="I5132" s="355"/>
      <c r="J5132" s="355"/>
      <c r="K5132" s="355"/>
      <c r="L5132" s="355"/>
      <c r="M5132" s="355"/>
    </row>
    <row r="5133" spans="5:13">
      <c r="E5133" s="355"/>
      <c r="F5133" s="355"/>
      <c r="G5133" s="355"/>
      <c r="H5133" s="355"/>
      <c r="I5133" s="355"/>
      <c r="J5133" s="355"/>
      <c r="K5133" s="355"/>
      <c r="L5133" s="355"/>
      <c r="M5133" s="355"/>
    </row>
    <row r="5134" spans="5:13">
      <c r="E5134" s="355"/>
      <c r="F5134" s="355"/>
      <c r="G5134" s="355"/>
      <c r="H5134" s="355"/>
      <c r="I5134" s="355"/>
      <c r="J5134" s="355"/>
      <c r="K5134" s="355"/>
      <c r="L5134" s="355"/>
      <c r="M5134" s="355"/>
    </row>
    <row r="5135" spans="5:13">
      <c r="E5135" s="355"/>
      <c r="F5135" s="355"/>
      <c r="G5135" s="355"/>
      <c r="H5135" s="355"/>
      <c r="I5135" s="355"/>
      <c r="J5135" s="355"/>
      <c r="K5135" s="355"/>
      <c r="L5135" s="355"/>
      <c r="M5135" s="355"/>
    </row>
    <row r="5136" spans="5:13">
      <c r="E5136" s="355"/>
      <c r="F5136" s="355"/>
      <c r="G5136" s="355"/>
      <c r="H5136" s="355"/>
      <c r="I5136" s="355"/>
      <c r="J5136" s="355"/>
      <c r="K5136" s="355"/>
      <c r="L5136" s="355"/>
      <c r="M5136" s="355"/>
    </row>
    <row r="5137" spans="5:13">
      <c r="E5137" s="355"/>
      <c r="F5137" s="355"/>
      <c r="G5137" s="355"/>
      <c r="H5137" s="355"/>
      <c r="I5137" s="355"/>
      <c r="J5137" s="355"/>
      <c r="K5137" s="355"/>
      <c r="L5137" s="355"/>
      <c r="M5137" s="355"/>
    </row>
    <row r="5138" spans="5:13">
      <c r="E5138" s="355"/>
      <c r="F5138" s="355"/>
      <c r="G5138" s="355"/>
      <c r="H5138" s="355"/>
      <c r="I5138" s="355"/>
      <c r="J5138" s="355"/>
      <c r="K5138" s="355"/>
      <c r="L5138" s="355"/>
      <c r="M5138" s="355"/>
    </row>
    <row r="5139" spans="5:13">
      <c r="E5139" s="355"/>
      <c r="F5139" s="355"/>
      <c r="G5139" s="355"/>
      <c r="H5139" s="355"/>
      <c r="I5139" s="355"/>
      <c r="J5139" s="355"/>
      <c r="K5139" s="355"/>
      <c r="L5139" s="355"/>
      <c r="M5139" s="355"/>
    </row>
    <row r="5140" spans="5:13">
      <c r="E5140" s="355"/>
      <c r="F5140" s="355"/>
      <c r="G5140" s="355"/>
      <c r="H5140" s="355"/>
      <c r="I5140" s="355"/>
      <c r="J5140" s="355"/>
      <c r="K5140" s="355"/>
      <c r="L5140" s="355"/>
      <c r="M5140" s="355"/>
    </row>
    <row r="5141" spans="5:13">
      <c r="E5141" s="355"/>
      <c r="F5141" s="355"/>
      <c r="G5141" s="355"/>
      <c r="H5141" s="355"/>
      <c r="I5141" s="355"/>
      <c r="J5141" s="355"/>
      <c r="K5141" s="355"/>
      <c r="L5141" s="355"/>
      <c r="M5141" s="355"/>
    </row>
    <row r="5142" spans="5:13">
      <c r="E5142" s="355"/>
      <c r="F5142" s="355"/>
      <c r="G5142" s="355"/>
      <c r="H5142" s="355"/>
      <c r="I5142" s="355"/>
      <c r="J5142" s="355"/>
      <c r="K5142" s="355"/>
      <c r="L5142" s="355"/>
      <c r="M5142" s="355"/>
    </row>
    <row r="5143" spans="5:13">
      <c r="E5143" s="355"/>
      <c r="F5143" s="355"/>
      <c r="G5143" s="355"/>
      <c r="H5143" s="355"/>
      <c r="I5143" s="355"/>
      <c r="J5143" s="355"/>
      <c r="K5143" s="355"/>
      <c r="L5143" s="355"/>
      <c r="M5143" s="355"/>
    </row>
    <row r="5144" spans="5:13">
      <c r="E5144" s="355"/>
      <c r="F5144" s="355"/>
      <c r="G5144" s="355"/>
      <c r="H5144" s="355"/>
      <c r="I5144" s="355"/>
      <c r="J5144" s="355"/>
      <c r="K5144" s="355"/>
      <c r="L5144" s="355"/>
      <c r="M5144" s="355"/>
    </row>
    <row r="5145" spans="5:13">
      <c r="E5145" s="355"/>
      <c r="F5145" s="355"/>
      <c r="G5145" s="355"/>
      <c r="H5145" s="355"/>
      <c r="I5145" s="355"/>
      <c r="J5145" s="355"/>
      <c r="K5145" s="355"/>
      <c r="L5145" s="355"/>
      <c r="M5145" s="355"/>
    </row>
    <row r="5146" spans="5:13">
      <c r="E5146" s="355"/>
      <c r="F5146" s="355"/>
      <c r="G5146" s="355"/>
      <c r="H5146" s="355"/>
      <c r="I5146" s="355"/>
      <c r="J5146" s="355"/>
      <c r="K5146" s="355"/>
      <c r="L5146" s="355"/>
      <c r="M5146" s="355"/>
    </row>
    <row r="5147" spans="5:13">
      <c r="E5147" s="355"/>
      <c r="F5147" s="355"/>
      <c r="G5147" s="355"/>
      <c r="H5147" s="355"/>
      <c r="I5147" s="355"/>
      <c r="J5147" s="355"/>
      <c r="K5147" s="355"/>
      <c r="L5147" s="355"/>
      <c r="M5147" s="355"/>
    </row>
    <row r="5148" spans="5:13">
      <c r="E5148" s="355"/>
      <c r="F5148" s="355"/>
      <c r="G5148" s="355"/>
      <c r="H5148" s="355"/>
      <c r="I5148" s="355"/>
      <c r="J5148" s="355"/>
      <c r="K5148" s="355"/>
      <c r="L5148" s="355"/>
      <c r="M5148" s="355"/>
    </row>
    <row r="5149" spans="5:13">
      <c r="E5149" s="355"/>
      <c r="F5149" s="355"/>
      <c r="G5149" s="355"/>
      <c r="H5149" s="355"/>
      <c r="I5149" s="355"/>
      <c r="J5149" s="355"/>
      <c r="K5149" s="355"/>
      <c r="L5149" s="355"/>
      <c r="M5149" s="355"/>
    </row>
    <row r="5150" spans="5:13">
      <c r="E5150" s="355"/>
      <c r="F5150" s="355"/>
      <c r="G5150" s="355"/>
      <c r="H5150" s="355"/>
      <c r="I5150" s="355"/>
      <c r="J5150" s="355"/>
      <c r="K5150" s="355"/>
      <c r="L5150" s="355"/>
      <c r="M5150" s="355"/>
    </row>
    <row r="5151" spans="5:13">
      <c r="E5151" s="355"/>
      <c r="F5151" s="355"/>
      <c r="G5151" s="355"/>
      <c r="H5151" s="355"/>
      <c r="I5151" s="355"/>
      <c r="J5151" s="355"/>
      <c r="K5151" s="355"/>
      <c r="L5151" s="355"/>
      <c r="M5151" s="355"/>
    </row>
    <row r="5152" spans="5:13">
      <c r="E5152" s="355"/>
      <c r="F5152" s="355"/>
      <c r="G5152" s="355"/>
      <c r="H5152" s="355"/>
      <c r="I5152" s="355"/>
      <c r="J5152" s="355"/>
      <c r="K5152" s="355"/>
      <c r="L5152" s="355"/>
      <c r="M5152" s="355"/>
    </row>
    <row r="5153" spans="5:13">
      <c r="E5153" s="355"/>
      <c r="F5153" s="355"/>
      <c r="G5153" s="355"/>
      <c r="H5153" s="355"/>
      <c r="I5153" s="355"/>
      <c r="J5153" s="355"/>
      <c r="K5153" s="355"/>
      <c r="L5153" s="355"/>
      <c r="M5153" s="355"/>
    </row>
    <row r="5154" spans="5:13">
      <c r="E5154" s="355"/>
      <c r="F5154" s="355"/>
      <c r="G5154" s="355"/>
      <c r="H5154" s="355"/>
      <c r="I5154" s="355"/>
      <c r="J5154" s="355"/>
      <c r="K5154" s="355"/>
      <c r="L5154" s="355"/>
      <c r="M5154" s="355"/>
    </row>
    <row r="5155" spans="5:13">
      <c r="E5155" s="355"/>
      <c r="F5155" s="355"/>
      <c r="G5155" s="355"/>
      <c r="H5155" s="355"/>
      <c r="I5155" s="355"/>
      <c r="J5155" s="355"/>
      <c r="K5155" s="355"/>
      <c r="L5155" s="355"/>
      <c r="M5155" s="355"/>
    </row>
    <row r="5156" spans="5:13">
      <c r="E5156" s="355"/>
      <c r="F5156" s="355"/>
      <c r="G5156" s="355"/>
      <c r="H5156" s="355"/>
      <c r="I5156" s="355"/>
      <c r="J5156" s="355"/>
      <c r="K5156" s="355"/>
      <c r="L5156" s="355"/>
      <c r="M5156" s="355"/>
    </row>
    <row r="5157" spans="5:13">
      <c r="E5157" s="355"/>
      <c r="F5157" s="355"/>
      <c r="G5157" s="355"/>
      <c r="H5157" s="355"/>
      <c r="I5157" s="355"/>
      <c r="J5157" s="355"/>
      <c r="K5157" s="355"/>
      <c r="L5157" s="355"/>
      <c r="M5157" s="355"/>
    </row>
    <row r="5158" spans="5:13">
      <c r="E5158" s="355"/>
      <c r="F5158" s="355"/>
      <c r="G5158" s="355"/>
      <c r="H5158" s="355"/>
      <c r="I5158" s="355"/>
      <c r="J5158" s="355"/>
      <c r="K5158" s="355"/>
      <c r="L5158" s="355"/>
      <c r="M5158" s="355"/>
    </row>
    <row r="5159" spans="5:13">
      <c r="E5159" s="355"/>
      <c r="F5159" s="355"/>
      <c r="G5159" s="355"/>
      <c r="H5159" s="355"/>
      <c r="I5159" s="355"/>
      <c r="J5159" s="355"/>
      <c r="K5159" s="355"/>
      <c r="L5159" s="355"/>
      <c r="M5159" s="355"/>
    </row>
    <row r="5160" spans="5:13">
      <c r="E5160" s="355"/>
      <c r="F5160" s="355"/>
      <c r="G5160" s="355"/>
      <c r="H5160" s="355"/>
      <c r="I5160" s="355"/>
      <c r="J5160" s="355"/>
      <c r="K5160" s="355"/>
      <c r="L5160" s="355"/>
      <c r="M5160" s="355"/>
    </row>
    <row r="5161" spans="5:13">
      <c r="E5161" s="355"/>
      <c r="F5161" s="355"/>
      <c r="G5161" s="355"/>
      <c r="H5161" s="355"/>
      <c r="I5161" s="355"/>
      <c r="J5161" s="355"/>
      <c r="K5161" s="355"/>
      <c r="L5161" s="355"/>
      <c r="M5161" s="355"/>
    </row>
    <row r="5162" spans="5:13">
      <c r="E5162" s="355"/>
      <c r="F5162" s="355"/>
      <c r="G5162" s="355"/>
      <c r="H5162" s="355"/>
      <c r="I5162" s="355"/>
      <c r="J5162" s="355"/>
      <c r="K5162" s="355"/>
      <c r="L5162" s="355"/>
      <c r="M5162" s="355"/>
    </row>
    <row r="5163" spans="5:13">
      <c r="E5163" s="355"/>
      <c r="F5163" s="355"/>
      <c r="G5163" s="355"/>
      <c r="H5163" s="355"/>
      <c r="I5163" s="355"/>
      <c r="J5163" s="355"/>
      <c r="K5163" s="355"/>
      <c r="L5163" s="355"/>
      <c r="M5163" s="355"/>
    </row>
    <row r="5164" spans="5:13">
      <c r="E5164" s="355"/>
      <c r="F5164" s="355"/>
      <c r="G5164" s="355"/>
      <c r="H5164" s="355"/>
      <c r="I5164" s="355"/>
      <c r="J5164" s="355"/>
      <c r="K5164" s="355"/>
      <c r="L5164" s="355"/>
      <c r="M5164" s="355"/>
    </row>
    <row r="5165" spans="5:13">
      <c r="E5165" s="355"/>
      <c r="F5165" s="355"/>
      <c r="G5165" s="355"/>
      <c r="H5165" s="355"/>
      <c r="I5165" s="355"/>
      <c r="J5165" s="355"/>
      <c r="K5165" s="355"/>
      <c r="L5165" s="355"/>
      <c r="M5165" s="355"/>
    </row>
    <row r="5166" spans="5:13">
      <c r="E5166" s="355"/>
      <c r="F5166" s="355"/>
      <c r="G5166" s="355"/>
      <c r="H5166" s="355"/>
      <c r="I5166" s="355"/>
      <c r="J5166" s="355"/>
      <c r="K5166" s="355"/>
      <c r="L5166" s="355"/>
      <c r="M5166" s="355"/>
    </row>
    <row r="5167" spans="5:13">
      <c r="E5167" s="355"/>
      <c r="F5167" s="355"/>
      <c r="G5167" s="355"/>
      <c r="H5167" s="355"/>
      <c r="I5167" s="355"/>
      <c r="J5167" s="355"/>
      <c r="K5167" s="355"/>
      <c r="L5167" s="355"/>
      <c r="M5167" s="355"/>
    </row>
    <row r="5168" spans="5:13">
      <c r="E5168" s="355"/>
      <c r="F5168" s="355"/>
      <c r="G5168" s="355"/>
      <c r="H5168" s="355"/>
      <c r="I5168" s="355"/>
      <c r="J5168" s="355"/>
      <c r="K5168" s="355"/>
      <c r="L5168" s="355"/>
      <c r="M5168" s="355"/>
    </row>
    <row r="5169" spans="5:13">
      <c r="E5169" s="355"/>
      <c r="F5169" s="355"/>
      <c r="G5169" s="355"/>
      <c r="H5169" s="355"/>
      <c r="I5169" s="355"/>
      <c r="J5169" s="355"/>
      <c r="K5169" s="355"/>
      <c r="L5169" s="355"/>
      <c r="M5169" s="355"/>
    </row>
    <row r="5170" spans="5:13">
      <c r="E5170" s="355"/>
      <c r="F5170" s="355"/>
      <c r="G5170" s="355"/>
      <c r="H5170" s="355"/>
      <c r="I5170" s="355"/>
      <c r="J5170" s="355"/>
      <c r="K5170" s="355"/>
      <c r="L5170" s="355"/>
      <c r="M5170" s="355"/>
    </row>
    <row r="5171" spans="5:13">
      <c r="E5171" s="355"/>
      <c r="F5171" s="355"/>
      <c r="G5171" s="355"/>
      <c r="H5171" s="355"/>
      <c r="I5171" s="355"/>
      <c r="J5171" s="355"/>
      <c r="K5171" s="355"/>
      <c r="L5171" s="355"/>
      <c r="M5171" s="355"/>
    </row>
    <row r="5172" spans="5:13">
      <c r="E5172" s="355"/>
      <c r="F5172" s="355"/>
      <c r="G5172" s="355"/>
      <c r="H5172" s="355"/>
      <c r="I5172" s="355"/>
      <c r="J5172" s="355"/>
      <c r="K5172" s="355"/>
      <c r="L5172" s="355"/>
      <c r="M5172" s="355"/>
    </row>
    <row r="5173" spans="5:13">
      <c r="E5173" s="355"/>
      <c r="F5173" s="355"/>
      <c r="G5173" s="355"/>
      <c r="H5173" s="355"/>
      <c r="I5173" s="355"/>
      <c r="J5173" s="355"/>
      <c r="K5173" s="355"/>
      <c r="L5173" s="355"/>
      <c r="M5173" s="355"/>
    </row>
    <row r="5174" spans="5:13">
      <c r="E5174" s="355"/>
      <c r="F5174" s="355"/>
      <c r="G5174" s="355"/>
      <c r="H5174" s="355"/>
      <c r="I5174" s="355"/>
      <c r="J5174" s="355"/>
      <c r="K5174" s="355"/>
      <c r="L5174" s="355"/>
      <c r="M5174" s="355"/>
    </row>
    <row r="5175" spans="5:13">
      <c r="E5175" s="355"/>
      <c r="F5175" s="355"/>
      <c r="G5175" s="355"/>
      <c r="H5175" s="355"/>
      <c r="I5175" s="355"/>
      <c r="J5175" s="355"/>
      <c r="K5175" s="355"/>
      <c r="L5175" s="355"/>
      <c r="M5175" s="355"/>
    </row>
    <row r="5176" spans="5:13">
      <c r="E5176" s="355"/>
      <c r="F5176" s="355"/>
      <c r="G5176" s="355"/>
      <c r="H5176" s="355"/>
      <c r="I5176" s="355"/>
      <c r="J5176" s="355"/>
      <c r="K5176" s="355"/>
      <c r="L5176" s="355"/>
      <c r="M5176" s="355"/>
    </row>
    <row r="5177" spans="5:13">
      <c r="E5177" s="355"/>
      <c r="F5177" s="355"/>
      <c r="G5177" s="355"/>
      <c r="H5177" s="355"/>
      <c r="I5177" s="355"/>
      <c r="J5177" s="355"/>
      <c r="K5177" s="355"/>
      <c r="L5177" s="355"/>
      <c r="M5177" s="355"/>
    </row>
    <row r="5178" spans="5:13">
      <c r="E5178" s="355"/>
      <c r="F5178" s="355"/>
      <c r="G5178" s="355"/>
      <c r="H5178" s="355"/>
      <c r="I5178" s="355"/>
      <c r="J5178" s="355"/>
      <c r="K5178" s="355"/>
      <c r="L5178" s="355"/>
      <c r="M5178" s="355"/>
    </row>
    <row r="5179" spans="5:13">
      <c r="E5179" s="355"/>
      <c r="F5179" s="355"/>
      <c r="G5179" s="355"/>
      <c r="H5179" s="355"/>
      <c r="I5179" s="355"/>
      <c r="J5179" s="355"/>
      <c r="K5179" s="355"/>
      <c r="L5179" s="355"/>
      <c r="M5179" s="355"/>
    </row>
    <row r="5180" spans="5:13">
      <c r="E5180" s="355"/>
      <c r="F5180" s="355"/>
      <c r="G5180" s="355"/>
      <c r="H5180" s="355"/>
      <c r="I5180" s="355"/>
      <c r="J5180" s="355"/>
      <c r="K5180" s="355"/>
      <c r="L5180" s="355"/>
      <c r="M5180" s="355"/>
    </row>
    <row r="5181" spans="5:13">
      <c r="E5181" s="355"/>
      <c r="F5181" s="355"/>
      <c r="G5181" s="355"/>
      <c r="H5181" s="355"/>
      <c r="I5181" s="355"/>
      <c r="J5181" s="355"/>
      <c r="K5181" s="355"/>
      <c r="L5181" s="355"/>
      <c r="M5181" s="355"/>
    </row>
    <row r="5182" spans="5:13">
      <c r="E5182" s="355"/>
      <c r="F5182" s="355"/>
      <c r="G5182" s="355"/>
      <c r="H5182" s="355"/>
      <c r="I5182" s="355"/>
      <c r="J5182" s="355"/>
      <c r="K5182" s="355"/>
      <c r="L5182" s="355"/>
      <c r="M5182" s="355"/>
    </row>
    <row r="5183" spans="5:13">
      <c r="E5183" s="355"/>
      <c r="F5183" s="355"/>
      <c r="G5183" s="355"/>
      <c r="H5183" s="355"/>
      <c r="I5183" s="355"/>
      <c r="J5183" s="355"/>
      <c r="K5183" s="355"/>
      <c r="L5183" s="355"/>
      <c r="M5183" s="355"/>
    </row>
    <row r="5184" spans="5:13">
      <c r="E5184" s="355"/>
      <c r="F5184" s="355"/>
      <c r="G5184" s="355"/>
      <c r="H5184" s="355"/>
      <c r="I5184" s="355"/>
      <c r="J5184" s="355"/>
      <c r="K5184" s="355"/>
      <c r="L5184" s="355"/>
      <c r="M5184" s="355"/>
    </row>
    <row r="5185" spans="5:13">
      <c r="E5185" s="355"/>
      <c r="F5185" s="355"/>
      <c r="G5185" s="355"/>
      <c r="H5185" s="355"/>
      <c r="I5185" s="355"/>
      <c r="J5185" s="355"/>
      <c r="K5185" s="355"/>
      <c r="L5185" s="355"/>
      <c r="M5185" s="355"/>
    </row>
    <row r="5186" spans="5:13">
      <c r="E5186" s="355"/>
      <c r="F5186" s="355"/>
      <c r="G5186" s="355"/>
      <c r="H5186" s="355"/>
      <c r="I5186" s="355"/>
      <c r="J5186" s="355"/>
      <c r="K5186" s="355"/>
      <c r="L5186" s="355"/>
      <c r="M5186" s="355"/>
    </row>
    <row r="5187" spans="5:13">
      <c r="E5187" s="355"/>
      <c r="F5187" s="355"/>
      <c r="G5187" s="355"/>
      <c r="H5187" s="355"/>
      <c r="I5187" s="355"/>
      <c r="J5187" s="355"/>
      <c r="K5187" s="355"/>
      <c r="L5187" s="355"/>
      <c r="M5187" s="355"/>
    </row>
    <row r="5188" spans="5:13">
      <c r="E5188" s="355"/>
      <c r="F5188" s="355"/>
      <c r="G5188" s="355"/>
      <c r="H5188" s="355"/>
      <c r="I5188" s="355"/>
      <c r="J5188" s="355"/>
      <c r="K5188" s="355"/>
      <c r="L5188" s="355"/>
      <c r="M5188" s="355"/>
    </row>
    <row r="5189" spans="5:13">
      <c r="E5189" s="355"/>
      <c r="F5189" s="355"/>
      <c r="G5189" s="355"/>
      <c r="H5189" s="355"/>
      <c r="I5189" s="355"/>
      <c r="J5189" s="355"/>
      <c r="K5189" s="355"/>
      <c r="L5189" s="355"/>
      <c r="M5189" s="355"/>
    </row>
    <row r="5190" spans="5:13">
      <c r="E5190" s="355"/>
      <c r="F5190" s="355"/>
      <c r="G5190" s="355"/>
      <c r="H5190" s="355"/>
      <c r="I5190" s="355"/>
      <c r="J5190" s="355"/>
      <c r="K5190" s="355"/>
      <c r="L5190" s="355"/>
      <c r="M5190" s="355"/>
    </row>
    <row r="5191" spans="5:13">
      <c r="E5191" s="355"/>
      <c r="F5191" s="355"/>
      <c r="G5191" s="355"/>
      <c r="H5191" s="355"/>
      <c r="I5191" s="355"/>
      <c r="J5191" s="355"/>
      <c r="K5191" s="355"/>
      <c r="L5191" s="355"/>
      <c r="M5191" s="355"/>
    </row>
    <row r="5192" spans="5:13">
      <c r="E5192" s="355"/>
      <c r="F5192" s="355"/>
      <c r="G5192" s="355"/>
      <c r="H5192" s="355"/>
      <c r="I5192" s="355"/>
      <c r="J5192" s="355"/>
      <c r="K5192" s="355"/>
      <c r="L5192" s="355"/>
      <c r="M5192" s="355"/>
    </row>
    <row r="5193" spans="5:13">
      <c r="E5193" s="355"/>
      <c r="F5193" s="355"/>
      <c r="G5193" s="355"/>
      <c r="H5193" s="355"/>
      <c r="I5193" s="355"/>
      <c r="J5193" s="355"/>
      <c r="K5193" s="355"/>
      <c r="L5193" s="355"/>
      <c r="M5193" s="355"/>
    </row>
    <row r="5194" spans="5:13">
      <c r="E5194" s="355"/>
      <c r="F5194" s="355"/>
      <c r="G5194" s="355"/>
      <c r="H5194" s="355"/>
      <c r="I5194" s="355"/>
      <c r="J5194" s="355"/>
      <c r="K5194" s="355"/>
      <c r="L5194" s="355"/>
      <c r="M5194" s="355"/>
    </row>
    <row r="5195" spans="5:13">
      <c r="E5195" s="355"/>
      <c r="F5195" s="355"/>
      <c r="G5195" s="355"/>
      <c r="H5195" s="355"/>
      <c r="I5195" s="355"/>
      <c r="J5195" s="355"/>
      <c r="K5195" s="355"/>
      <c r="L5195" s="355"/>
      <c r="M5195" s="355"/>
    </row>
    <row r="5196" spans="5:13">
      <c r="E5196" s="355"/>
      <c r="F5196" s="355"/>
      <c r="G5196" s="355"/>
      <c r="H5196" s="355"/>
      <c r="I5196" s="355"/>
      <c r="J5196" s="355"/>
      <c r="K5196" s="355"/>
      <c r="L5196" s="355"/>
      <c r="M5196" s="355"/>
    </row>
    <row r="5197" spans="5:13">
      <c r="E5197" s="355"/>
      <c r="F5197" s="355"/>
      <c r="G5197" s="355"/>
      <c r="H5197" s="355"/>
      <c r="I5197" s="355"/>
      <c r="J5197" s="355"/>
      <c r="K5197" s="355"/>
      <c r="L5197" s="355"/>
      <c r="M5197" s="355"/>
    </row>
    <row r="5198" spans="5:13">
      <c r="E5198" s="355"/>
      <c r="F5198" s="355"/>
      <c r="G5198" s="355"/>
      <c r="H5198" s="355"/>
      <c r="I5198" s="355"/>
      <c r="J5198" s="355"/>
      <c r="K5198" s="355"/>
      <c r="L5198" s="355"/>
      <c r="M5198" s="355"/>
    </row>
    <row r="5199" spans="5:13">
      <c r="E5199" s="355"/>
      <c r="F5199" s="355"/>
      <c r="G5199" s="355"/>
      <c r="H5199" s="355"/>
      <c r="I5199" s="355"/>
      <c r="J5199" s="355"/>
      <c r="K5199" s="355"/>
      <c r="L5199" s="355"/>
      <c r="M5199" s="355"/>
    </row>
    <row r="5200" spans="5:13">
      <c r="E5200" s="355"/>
      <c r="F5200" s="355"/>
      <c r="G5200" s="355"/>
      <c r="H5200" s="355"/>
      <c r="I5200" s="355"/>
      <c r="J5200" s="355"/>
      <c r="K5200" s="355"/>
      <c r="L5200" s="355"/>
      <c r="M5200" s="355"/>
    </row>
    <row r="5201" spans="5:13">
      <c r="E5201" s="355"/>
      <c r="F5201" s="355"/>
      <c r="G5201" s="355"/>
      <c r="H5201" s="355"/>
      <c r="I5201" s="355"/>
      <c r="J5201" s="355"/>
      <c r="K5201" s="355"/>
      <c r="L5201" s="355"/>
      <c r="M5201" s="355"/>
    </row>
    <row r="5202" spans="5:13">
      <c r="E5202" s="355"/>
      <c r="F5202" s="355"/>
      <c r="G5202" s="355"/>
      <c r="H5202" s="355"/>
      <c r="I5202" s="355"/>
      <c r="J5202" s="355"/>
      <c r="K5202" s="355"/>
      <c r="L5202" s="355"/>
      <c r="M5202" s="355"/>
    </row>
    <row r="5203" spans="5:13">
      <c r="E5203" s="355"/>
      <c r="F5203" s="355"/>
      <c r="G5203" s="355"/>
      <c r="H5203" s="355"/>
      <c r="I5203" s="355"/>
      <c r="J5203" s="355"/>
      <c r="K5203" s="355"/>
      <c r="L5203" s="355"/>
      <c r="M5203" s="355"/>
    </row>
    <row r="5204" spans="5:13">
      <c r="E5204" s="355"/>
      <c r="F5204" s="355"/>
      <c r="G5204" s="355"/>
      <c r="H5204" s="355"/>
      <c r="I5204" s="355"/>
      <c r="J5204" s="355"/>
      <c r="K5204" s="355"/>
      <c r="L5204" s="355"/>
      <c r="M5204" s="355"/>
    </row>
    <row r="5205" spans="5:13">
      <c r="E5205" s="355"/>
      <c r="F5205" s="355"/>
      <c r="G5205" s="355"/>
      <c r="H5205" s="355"/>
      <c r="I5205" s="355"/>
      <c r="J5205" s="355"/>
      <c r="K5205" s="355"/>
      <c r="L5205" s="355"/>
      <c r="M5205" s="355"/>
    </row>
    <row r="5206" spans="5:13">
      <c r="E5206" s="355"/>
      <c r="F5206" s="355"/>
      <c r="G5206" s="355"/>
      <c r="H5206" s="355"/>
      <c r="I5206" s="355"/>
      <c r="J5206" s="355"/>
      <c r="K5206" s="355"/>
      <c r="L5206" s="355"/>
      <c r="M5206" s="355"/>
    </row>
    <row r="5207" spans="5:13">
      <c r="E5207" s="355"/>
      <c r="F5207" s="355"/>
      <c r="G5207" s="355"/>
      <c r="H5207" s="355"/>
      <c r="I5207" s="355"/>
      <c r="J5207" s="355"/>
      <c r="K5207" s="355"/>
      <c r="L5207" s="355"/>
      <c r="M5207" s="355"/>
    </row>
    <row r="5208" spans="5:13">
      <c r="E5208" s="355"/>
      <c r="F5208" s="355"/>
      <c r="G5208" s="355"/>
      <c r="H5208" s="355"/>
      <c r="I5208" s="355"/>
      <c r="J5208" s="355"/>
      <c r="K5208" s="355"/>
      <c r="L5208" s="355"/>
      <c r="M5208" s="355"/>
    </row>
    <row r="5209" spans="5:13">
      <c r="E5209" s="355"/>
      <c r="F5209" s="355"/>
      <c r="G5209" s="355"/>
      <c r="H5209" s="355"/>
      <c r="I5209" s="355"/>
      <c r="J5209" s="355"/>
      <c r="K5209" s="355"/>
      <c r="L5209" s="355"/>
      <c r="M5209" s="355"/>
    </row>
    <row r="5210" spans="5:13">
      <c r="E5210" s="355"/>
      <c r="F5210" s="355"/>
      <c r="G5210" s="355"/>
      <c r="H5210" s="355"/>
      <c r="I5210" s="355"/>
      <c r="J5210" s="355"/>
      <c r="K5210" s="355"/>
      <c r="L5210" s="355"/>
      <c r="M5210" s="355"/>
    </row>
    <row r="5211" spans="5:13">
      <c r="E5211" s="355"/>
      <c r="F5211" s="355"/>
      <c r="G5211" s="355"/>
      <c r="H5211" s="355"/>
      <c r="I5211" s="355"/>
      <c r="J5211" s="355"/>
      <c r="K5211" s="355"/>
      <c r="L5211" s="355"/>
      <c r="M5211" s="355"/>
    </row>
    <row r="5212" spans="5:13">
      <c r="E5212" s="355"/>
      <c r="F5212" s="355"/>
      <c r="G5212" s="355"/>
      <c r="H5212" s="355"/>
      <c r="I5212" s="355"/>
      <c r="J5212" s="355"/>
      <c r="K5212" s="355"/>
      <c r="L5212" s="355"/>
      <c r="M5212" s="355"/>
    </row>
    <row r="5213" spans="5:13">
      <c r="E5213" s="355"/>
      <c r="F5213" s="355"/>
      <c r="G5213" s="355"/>
      <c r="H5213" s="355"/>
      <c r="I5213" s="355"/>
      <c r="J5213" s="355"/>
      <c r="K5213" s="355"/>
      <c r="L5213" s="355"/>
      <c r="M5213" s="355"/>
    </row>
    <row r="5214" spans="5:13">
      <c r="E5214" s="355"/>
      <c r="F5214" s="355"/>
      <c r="G5214" s="355"/>
      <c r="H5214" s="355"/>
      <c r="I5214" s="355"/>
      <c r="J5214" s="355"/>
      <c r="K5214" s="355"/>
      <c r="L5214" s="355"/>
      <c r="M5214" s="355"/>
    </row>
    <row r="5215" spans="5:13">
      <c r="E5215" s="355"/>
      <c r="F5215" s="355"/>
      <c r="G5215" s="355"/>
      <c r="H5215" s="355"/>
      <c r="I5215" s="355"/>
      <c r="J5215" s="355"/>
      <c r="K5215" s="355"/>
      <c r="L5215" s="355"/>
      <c r="M5215" s="355"/>
    </row>
    <row r="5216" spans="5:13">
      <c r="E5216" s="355"/>
      <c r="F5216" s="355"/>
      <c r="G5216" s="355"/>
      <c r="H5216" s="355"/>
      <c r="I5216" s="355"/>
      <c r="J5216" s="355"/>
      <c r="K5216" s="355"/>
      <c r="L5216" s="355"/>
      <c r="M5216" s="355"/>
    </row>
    <row r="5217" spans="5:13">
      <c r="E5217" s="355"/>
      <c r="F5217" s="355"/>
      <c r="G5217" s="355"/>
      <c r="H5217" s="355"/>
      <c r="I5217" s="355"/>
      <c r="J5217" s="355"/>
      <c r="K5217" s="355"/>
      <c r="L5217" s="355"/>
      <c r="M5217" s="355"/>
    </row>
    <row r="5218" spans="5:13">
      <c r="E5218" s="355"/>
      <c r="F5218" s="355"/>
      <c r="G5218" s="355"/>
      <c r="H5218" s="355"/>
      <c r="I5218" s="355"/>
      <c r="J5218" s="355"/>
      <c r="K5218" s="355"/>
      <c r="L5218" s="355"/>
      <c r="M5218" s="355"/>
    </row>
    <row r="5219" spans="5:13">
      <c r="E5219" s="355"/>
      <c r="F5219" s="355"/>
      <c r="G5219" s="355"/>
      <c r="H5219" s="355"/>
      <c r="I5219" s="355"/>
      <c r="J5219" s="355"/>
      <c r="K5219" s="355"/>
      <c r="L5219" s="355"/>
      <c r="M5219" s="355"/>
    </row>
    <row r="5220" spans="5:13">
      <c r="E5220" s="355"/>
      <c r="F5220" s="355"/>
      <c r="G5220" s="355"/>
      <c r="H5220" s="355"/>
      <c r="I5220" s="355"/>
      <c r="J5220" s="355"/>
      <c r="K5220" s="355"/>
      <c r="L5220" s="355"/>
      <c r="M5220" s="355"/>
    </row>
    <row r="5221" spans="5:13">
      <c r="E5221" s="355"/>
      <c r="F5221" s="355"/>
      <c r="G5221" s="355"/>
      <c r="H5221" s="355"/>
      <c r="I5221" s="355"/>
      <c r="J5221" s="355"/>
      <c r="K5221" s="355"/>
      <c r="L5221" s="355"/>
      <c r="M5221" s="355"/>
    </row>
    <row r="5222" spans="5:13">
      <c r="E5222" s="355"/>
      <c r="F5222" s="355"/>
      <c r="G5222" s="355"/>
      <c r="H5222" s="355"/>
      <c r="I5222" s="355"/>
      <c r="J5222" s="355"/>
      <c r="K5222" s="355"/>
      <c r="L5222" s="355"/>
      <c r="M5222" s="355"/>
    </row>
    <row r="5223" spans="5:13">
      <c r="E5223" s="355"/>
      <c r="F5223" s="355"/>
      <c r="G5223" s="355"/>
      <c r="H5223" s="355"/>
      <c r="I5223" s="355"/>
      <c r="J5223" s="355"/>
      <c r="K5223" s="355"/>
      <c r="L5223" s="355"/>
      <c r="M5223" s="355"/>
    </row>
    <row r="5224" spans="5:13">
      <c r="E5224" s="355"/>
      <c r="F5224" s="355"/>
      <c r="G5224" s="355"/>
      <c r="H5224" s="355"/>
      <c r="I5224" s="355"/>
      <c r="J5224" s="355"/>
      <c r="K5224" s="355"/>
      <c r="L5224" s="355"/>
      <c r="M5224" s="355"/>
    </row>
    <row r="5225" spans="5:13">
      <c r="E5225" s="355"/>
      <c r="F5225" s="355"/>
      <c r="G5225" s="355"/>
      <c r="H5225" s="355"/>
      <c r="I5225" s="355"/>
      <c r="J5225" s="355"/>
      <c r="K5225" s="355"/>
      <c r="L5225" s="355"/>
      <c r="M5225" s="355"/>
    </row>
    <row r="5226" spans="5:13">
      <c r="E5226" s="355"/>
      <c r="F5226" s="355"/>
      <c r="G5226" s="355"/>
      <c r="H5226" s="355"/>
      <c r="I5226" s="355"/>
      <c r="J5226" s="355"/>
      <c r="K5226" s="355"/>
      <c r="L5226" s="355"/>
      <c r="M5226" s="355"/>
    </row>
    <row r="5227" spans="5:13">
      <c r="E5227" s="355"/>
      <c r="F5227" s="355"/>
      <c r="G5227" s="355"/>
      <c r="H5227" s="355"/>
      <c r="I5227" s="355"/>
      <c r="J5227" s="355"/>
      <c r="K5227" s="355"/>
      <c r="L5227" s="355"/>
      <c r="M5227" s="355"/>
    </row>
    <row r="5228" spans="5:13">
      <c r="E5228" s="355"/>
      <c r="F5228" s="355"/>
      <c r="G5228" s="355"/>
      <c r="H5228" s="355"/>
      <c r="I5228" s="355"/>
      <c r="J5228" s="355"/>
      <c r="K5228" s="355"/>
      <c r="L5228" s="355"/>
      <c r="M5228" s="355"/>
    </row>
    <row r="5229" spans="5:13">
      <c r="E5229" s="355"/>
      <c r="F5229" s="355"/>
      <c r="G5229" s="355"/>
      <c r="H5229" s="355"/>
      <c r="I5229" s="355"/>
      <c r="J5229" s="355"/>
      <c r="K5229" s="355"/>
      <c r="L5229" s="355"/>
      <c r="M5229" s="355"/>
    </row>
    <row r="5230" spans="5:13">
      <c r="E5230" s="355"/>
      <c r="F5230" s="355"/>
      <c r="G5230" s="355"/>
      <c r="H5230" s="355"/>
      <c r="I5230" s="355"/>
      <c r="J5230" s="355"/>
      <c r="K5230" s="355"/>
      <c r="L5230" s="355"/>
      <c r="M5230" s="355"/>
    </row>
    <row r="5231" spans="5:13">
      <c r="E5231" s="355"/>
      <c r="F5231" s="355"/>
      <c r="G5231" s="355"/>
      <c r="H5231" s="355"/>
      <c r="I5231" s="355"/>
      <c r="J5231" s="355"/>
      <c r="K5231" s="355"/>
      <c r="L5231" s="355"/>
      <c r="M5231" s="355"/>
    </row>
    <row r="5232" spans="5:13">
      <c r="E5232" s="355"/>
      <c r="F5232" s="355"/>
      <c r="G5232" s="355"/>
      <c r="H5232" s="355"/>
      <c r="I5232" s="355"/>
      <c r="J5232" s="355"/>
      <c r="K5232" s="355"/>
      <c r="L5232" s="355"/>
      <c r="M5232" s="355"/>
    </row>
    <row r="5233" spans="5:13">
      <c r="E5233" s="355"/>
      <c r="F5233" s="355"/>
      <c r="G5233" s="355"/>
      <c r="H5233" s="355"/>
      <c r="I5233" s="355"/>
      <c r="J5233" s="355"/>
      <c r="K5233" s="355"/>
      <c r="L5233" s="355"/>
      <c r="M5233" s="355"/>
    </row>
    <row r="5234" spans="5:13">
      <c r="E5234" s="355"/>
      <c r="F5234" s="355"/>
      <c r="G5234" s="355"/>
      <c r="H5234" s="355"/>
      <c r="I5234" s="355"/>
      <c r="J5234" s="355"/>
      <c r="K5234" s="355"/>
      <c r="L5234" s="355"/>
      <c r="M5234" s="355"/>
    </row>
    <row r="5235" spans="5:13">
      <c r="E5235" s="355"/>
      <c r="F5235" s="355"/>
      <c r="G5235" s="355"/>
      <c r="H5235" s="355"/>
      <c r="I5235" s="355"/>
      <c r="J5235" s="355"/>
      <c r="K5235" s="355"/>
      <c r="L5235" s="355"/>
      <c r="M5235" s="355"/>
    </row>
    <row r="5236" spans="5:13">
      <c r="E5236" s="355"/>
      <c r="F5236" s="355"/>
      <c r="G5236" s="355"/>
      <c r="H5236" s="355"/>
      <c r="I5236" s="355"/>
      <c r="J5236" s="355"/>
      <c r="K5236" s="355"/>
      <c r="L5236" s="355"/>
      <c r="M5236" s="355"/>
    </row>
    <row r="5237" spans="5:13">
      <c r="E5237" s="355"/>
      <c r="F5237" s="355"/>
      <c r="G5237" s="355"/>
      <c r="H5237" s="355"/>
      <c r="I5237" s="355"/>
      <c r="J5237" s="355"/>
      <c r="K5237" s="355"/>
      <c r="L5237" s="355"/>
      <c r="M5237" s="355"/>
    </row>
    <row r="5238" spans="5:13">
      <c r="E5238" s="355"/>
      <c r="F5238" s="355"/>
      <c r="G5238" s="355"/>
      <c r="H5238" s="355"/>
      <c r="I5238" s="355"/>
      <c r="J5238" s="355"/>
      <c r="K5238" s="355"/>
      <c r="L5238" s="355"/>
      <c r="M5238" s="355"/>
    </row>
    <row r="5239" spans="5:13">
      <c r="E5239" s="355"/>
      <c r="F5239" s="355"/>
      <c r="G5239" s="355"/>
      <c r="H5239" s="355"/>
      <c r="I5239" s="355"/>
      <c r="J5239" s="355"/>
      <c r="K5239" s="355"/>
      <c r="L5239" s="355"/>
      <c r="M5239" s="355"/>
    </row>
    <row r="5240" spans="5:13">
      <c r="E5240" s="355"/>
      <c r="F5240" s="355"/>
      <c r="G5240" s="355"/>
      <c r="H5240" s="355"/>
      <c r="I5240" s="355"/>
      <c r="J5240" s="355"/>
      <c r="K5240" s="355"/>
      <c r="L5240" s="355"/>
      <c r="M5240" s="355"/>
    </row>
    <row r="5241" spans="5:13">
      <c r="E5241" s="355"/>
      <c r="F5241" s="355"/>
      <c r="G5241" s="355"/>
      <c r="H5241" s="355"/>
      <c r="I5241" s="355"/>
      <c r="J5241" s="355"/>
      <c r="K5241" s="355"/>
      <c r="L5241" s="355"/>
      <c r="M5241" s="355"/>
    </row>
    <row r="5242" spans="5:13">
      <c r="E5242" s="355"/>
      <c r="F5242" s="355"/>
      <c r="G5242" s="355"/>
      <c r="H5242" s="355"/>
      <c r="I5242" s="355"/>
      <c r="J5242" s="355"/>
      <c r="K5242" s="355"/>
      <c r="L5242" s="355"/>
      <c r="M5242" s="355"/>
    </row>
    <row r="5243" spans="5:13">
      <c r="E5243" s="355"/>
      <c r="F5243" s="355"/>
      <c r="G5243" s="355"/>
      <c r="H5243" s="355"/>
      <c r="I5243" s="355"/>
      <c r="J5243" s="355"/>
      <c r="K5243" s="355"/>
      <c r="L5243" s="355"/>
      <c r="M5243" s="355"/>
    </row>
    <row r="5244" spans="5:13">
      <c r="E5244" s="355"/>
      <c r="F5244" s="355"/>
      <c r="G5244" s="355"/>
      <c r="H5244" s="355"/>
      <c r="I5244" s="355"/>
      <c r="J5244" s="355"/>
      <c r="K5244" s="355"/>
      <c r="L5244" s="355"/>
      <c r="M5244" s="355"/>
    </row>
    <row r="5245" spans="5:13">
      <c r="E5245" s="355"/>
      <c r="F5245" s="355"/>
      <c r="G5245" s="355"/>
      <c r="H5245" s="355"/>
      <c r="I5245" s="355"/>
      <c r="J5245" s="355"/>
      <c r="K5245" s="355"/>
      <c r="L5245" s="355"/>
      <c r="M5245" s="355"/>
    </row>
    <row r="5246" spans="5:13">
      <c r="E5246" s="355"/>
      <c r="F5246" s="355"/>
      <c r="G5246" s="355"/>
      <c r="H5246" s="355"/>
      <c r="I5246" s="355"/>
      <c r="J5246" s="355"/>
      <c r="K5246" s="355"/>
      <c r="L5246" s="355"/>
      <c r="M5246" s="355"/>
    </row>
    <row r="5247" spans="5:13">
      <c r="E5247" s="355"/>
      <c r="F5247" s="355"/>
      <c r="G5247" s="355"/>
      <c r="H5247" s="355"/>
      <c r="I5247" s="355"/>
      <c r="J5247" s="355"/>
      <c r="K5247" s="355"/>
      <c r="L5247" s="355"/>
      <c r="M5247" s="355"/>
    </row>
    <row r="5248" spans="5:13">
      <c r="E5248" s="355"/>
      <c r="F5248" s="355"/>
      <c r="G5248" s="355"/>
      <c r="H5248" s="355"/>
      <c r="I5248" s="355"/>
      <c r="J5248" s="355"/>
      <c r="K5248" s="355"/>
      <c r="L5248" s="355"/>
      <c r="M5248" s="355"/>
    </row>
    <row r="5249" spans="5:13">
      <c r="E5249" s="355"/>
      <c r="F5249" s="355"/>
      <c r="G5249" s="355"/>
      <c r="H5249" s="355"/>
      <c r="I5249" s="355"/>
      <c r="J5249" s="355"/>
      <c r="K5249" s="355"/>
      <c r="L5249" s="355"/>
      <c r="M5249" s="355"/>
    </row>
    <row r="5250" spans="5:13">
      <c r="E5250" s="355"/>
      <c r="F5250" s="355"/>
      <c r="G5250" s="355"/>
      <c r="H5250" s="355"/>
      <c r="I5250" s="355"/>
      <c r="J5250" s="355"/>
      <c r="K5250" s="355"/>
      <c r="L5250" s="355"/>
      <c r="M5250" s="355"/>
    </row>
    <row r="5251" spans="5:13">
      <c r="E5251" s="355"/>
      <c r="F5251" s="355"/>
      <c r="G5251" s="355"/>
      <c r="H5251" s="355"/>
      <c r="I5251" s="355"/>
      <c r="J5251" s="355"/>
      <c r="K5251" s="355"/>
      <c r="L5251" s="355"/>
      <c r="M5251" s="355"/>
    </row>
    <row r="5252" spans="5:13">
      <c r="E5252" s="355"/>
      <c r="F5252" s="355"/>
      <c r="G5252" s="355"/>
      <c r="H5252" s="355"/>
      <c r="I5252" s="355"/>
      <c r="J5252" s="355"/>
      <c r="K5252" s="355"/>
      <c r="L5252" s="355"/>
      <c r="M5252" s="355"/>
    </row>
    <row r="5253" spans="5:13">
      <c r="E5253" s="355"/>
      <c r="F5253" s="355"/>
      <c r="G5253" s="355"/>
      <c r="H5253" s="355"/>
      <c r="I5253" s="355"/>
      <c r="J5253" s="355"/>
      <c r="K5253" s="355"/>
      <c r="L5253" s="355"/>
      <c r="M5253" s="355"/>
    </row>
    <row r="5254" spans="5:13">
      <c r="E5254" s="355"/>
      <c r="F5254" s="355"/>
      <c r="G5254" s="355"/>
      <c r="H5254" s="355"/>
      <c r="I5254" s="355"/>
      <c r="J5254" s="355"/>
      <c r="K5254" s="355"/>
      <c r="L5254" s="355"/>
      <c r="M5254" s="355"/>
    </row>
    <row r="5255" spans="5:13">
      <c r="E5255" s="355"/>
      <c r="F5255" s="355"/>
      <c r="G5255" s="355"/>
      <c r="H5255" s="355"/>
      <c r="I5255" s="355"/>
      <c r="J5255" s="355"/>
      <c r="K5255" s="355"/>
      <c r="L5255" s="355"/>
      <c r="M5255" s="355"/>
    </row>
    <row r="5256" spans="5:13">
      <c r="E5256" s="355"/>
      <c r="F5256" s="355"/>
      <c r="G5256" s="355"/>
      <c r="H5256" s="355"/>
      <c r="I5256" s="355"/>
      <c r="J5256" s="355"/>
      <c r="K5256" s="355"/>
      <c r="L5256" s="355"/>
      <c r="M5256" s="355"/>
    </row>
    <row r="5257" spans="5:13">
      <c r="E5257" s="355"/>
      <c r="F5257" s="355"/>
      <c r="G5257" s="355"/>
      <c r="H5257" s="355"/>
      <c r="I5257" s="355"/>
      <c r="J5257" s="355"/>
      <c r="K5257" s="355"/>
      <c r="L5257" s="355"/>
      <c r="M5257" s="355"/>
    </row>
    <row r="5258" spans="5:13">
      <c r="E5258" s="355"/>
      <c r="F5258" s="355"/>
      <c r="G5258" s="355"/>
      <c r="H5258" s="355"/>
      <c r="I5258" s="355"/>
      <c r="J5258" s="355"/>
      <c r="K5258" s="355"/>
      <c r="L5258" s="355"/>
      <c r="M5258" s="355"/>
    </row>
    <row r="5259" spans="5:13">
      <c r="E5259" s="355"/>
      <c r="F5259" s="355"/>
      <c r="G5259" s="355"/>
      <c r="H5259" s="355"/>
      <c r="I5259" s="355"/>
      <c r="J5259" s="355"/>
      <c r="K5259" s="355"/>
      <c r="L5259" s="355"/>
      <c r="M5259" s="355"/>
    </row>
    <row r="5260" spans="5:13">
      <c r="E5260" s="355"/>
      <c r="F5260" s="355"/>
      <c r="G5260" s="355"/>
      <c r="H5260" s="355"/>
      <c r="I5260" s="355"/>
      <c r="J5260" s="355"/>
      <c r="K5260" s="355"/>
      <c r="L5260" s="355"/>
      <c r="M5260" s="355"/>
    </row>
    <row r="5261" spans="5:13">
      <c r="E5261" s="355"/>
      <c r="F5261" s="355"/>
      <c r="G5261" s="355"/>
      <c r="H5261" s="355"/>
      <c r="I5261" s="355"/>
      <c r="J5261" s="355"/>
      <c r="K5261" s="355"/>
      <c r="L5261" s="355"/>
      <c r="M5261" s="355"/>
    </row>
    <row r="5262" spans="5:13">
      <c r="E5262" s="355"/>
      <c r="F5262" s="355"/>
      <c r="G5262" s="355"/>
      <c r="H5262" s="355"/>
      <c r="I5262" s="355"/>
      <c r="J5262" s="355"/>
      <c r="K5262" s="355"/>
      <c r="L5262" s="355"/>
      <c r="M5262" s="355"/>
    </row>
    <row r="5263" spans="5:13">
      <c r="E5263" s="355"/>
      <c r="F5263" s="355"/>
      <c r="G5263" s="355"/>
      <c r="H5263" s="355"/>
      <c r="I5263" s="355"/>
      <c r="J5263" s="355"/>
      <c r="K5263" s="355"/>
      <c r="L5263" s="355"/>
      <c r="M5263" s="355"/>
    </row>
    <row r="5264" spans="5:13">
      <c r="E5264" s="355"/>
      <c r="F5264" s="355"/>
      <c r="G5264" s="355"/>
      <c r="H5264" s="355"/>
      <c r="I5264" s="355"/>
      <c r="J5264" s="355"/>
      <c r="K5264" s="355"/>
      <c r="L5264" s="355"/>
      <c r="M5264" s="355"/>
    </row>
    <row r="5265" spans="5:13">
      <c r="E5265" s="355"/>
      <c r="F5265" s="355"/>
      <c r="G5265" s="355"/>
      <c r="H5265" s="355"/>
      <c r="I5265" s="355"/>
      <c r="J5265" s="355"/>
      <c r="K5265" s="355"/>
      <c r="L5265" s="355"/>
      <c r="M5265" s="355"/>
    </row>
    <row r="5266" spans="5:13">
      <c r="E5266" s="355"/>
      <c r="F5266" s="355"/>
      <c r="G5266" s="355"/>
      <c r="H5266" s="355"/>
      <c r="I5266" s="355"/>
      <c r="J5266" s="355"/>
      <c r="K5266" s="355"/>
      <c r="L5266" s="355"/>
      <c r="M5266" s="355"/>
    </row>
    <row r="5267" spans="5:13">
      <c r="E5267" s="355"/>
      <c r="F5267" s="355"/>
      <c r="G5267" s="355"/>
      <c r="H5267" s="355"/>
      <c r="I5267" s="355"/>
      <c r="J5267" s="355"/>
      <c r="K5267" s="355"/>
      <c r="L5267" s="355"/>
      <c r="M5267" s="355"/>
    </row>
    <row r="5268" spans="5:13">
      <c r="E5268" s="355"/>
      <c r="F5268" s="355"/>
      <c r="G5268" s="355"/>
      <c r="H5268" s="355"/>
      <c r="I5268" s="355"/>
      <c r="J5268" s="355"/>
      <c r="K5268" s="355"/>
      <c r="L5268" s="355"/>
      <c r="M5268" s="355"/>
    </row>
    <row r="5269" spans="5:13">
      <c r="E5269" s="355"/>
      <c r="F5269" s="355"/>
      <c r="G5269" s="355"/>
      <c r="H5269" s="355"/>
      <c r="I5269" s="355"/>
      <c r="J5269" s="355"/>
      <c r="K5269" s="355"/>
      <c r="L5269" s="355"/>
      <c r="M5269" s="355"/>
    </row>
    <row r="5270" spans="5:13">
      <c r="E5270" s="355"/>
      <c r="F5270" s="355"/>
      <c r="G5270" s="355"/>
      <c r="H5270" s="355"/>
      <c r="I5270" s="355"/>
      <c r="J5270" s="355"/>
      <c r="K5270" s="355"/>
      <c r="L5270" s="355"/>
      <c r="M5270" s="355"/>
    </row>
    <row r="5271" spans="5:13">
      <c r="E5271" s="355"/>
      <c r="F5271" s="355"/>
      <c r="G5271" s="355"/>
      <c r="H5271" s="355"/>
      <c r="I5271" s="355"/>
      <c r="J5271" s="355"/>
      <c r="K5271" s="355"/>
      <c r="L5271" s="355"/>
      <c r="M5271" s="355"/>
    </row>
    <row r="5272" spans="5:13">
      <c r="E5272" s="355"/>
      <c r="F5272" s="355"/>
      <c r="G5272" s="355"/>
      <c r="H5272" s="355"/>
      <c r="I5272" s="355"/>
      <c r="J5272" s="355"/>
      <c r="K5272" s="355"/>
      <c r="L5272" s="355"/>
      <c r="M5272" s="355"/>
    </row>
    <row r="5273" spans="5:13">
      <c r="E5273" s="355"/>
      <c r="F5273" s="355"/>
      <c r="G5273" s="355"/>
      <c r="H5273" s="355"/>
      <c r="I5273" s="355"/>
      <c r="J5273" s="355"/>
      <c r="K5273" s="355"/>
      <c r="L5273" s="355"/>
      <c r="M5273" s="355"/>
    </row>
    <row r="5274" spans="5:13">
      <c r="E5274" s="355"/>
      <c r="F5274" s="355"/>
      <c r="G5274" s="355"/>
      <c r="H5274" s="355"/>
      <c r="I5274" s="355"/>
      <c r="J5274" s="355"/>
      <c r="K5274" s="355"/>
      <c r="L5274" s="355"/>
      <c r="M5274" s="355"/>
    </row>
    <row r="5275" spans="5:13">
      <c r="E5275" s="355"/>
      <c r="F5275" s="355"/>
      <c r="G5275" s="355"/>
      <c r="H5275" s="355"/>
      <c r="I5275" s="355"/>
      <c r="J5275" s="355"/>
      <c r="K5275" s="355"/>
      <c r="L5275" s="355"/>
      <c r="M5275" s="355"/>
    </row>
    <row r="5276" spans="5:13">
      <c r="E5276" s="355"/>
      <c r="F5276" s="355"/>
      <c r="G5276" s="355"/>
      <c r="H5276" s="355"/>
      <c r="I5276" s="355"/>
      <c r="J5276" s="355"/>
      <c r="K5276" s="355"/>
      <c r="L5276" s="355"/>
      <c r="M5276" s="355"/>
    </row>
    <row r="5277" spans="5:13">
      <c r="E5277" s="355"/>
      <c r="F5277" s="355"/>
      <c r="G5277" s="355"/>
      <c r="H5277" s="355"/>
      <c r="I5277" s="355"/>
      <c r="J5277" s="355"/>
      <c r="K5277" s="355"/>
      <c r="L5277" s="355"/>
      <c r="M5277" s="355"/>
    </row>
    <row r="5278" spans="5:13">
      <c r="E5278" s="355"/>
      <c r="F5278" s="355"/>
      <c r="G5278" s="355"/>
      <c r="H5278" s="355"/>
      <c r="I5278" s="355"/>
      <c r="J5278" s="355"/>
      <c r="K5278" s="355"/>
      <c r="L5278" s="355"/>
      <c r="M5278" s="355"/>
    </row>
    <row r="5279" spans="5:13">
      <c r="E5279" s="355"/>
      <c r="F5279" s="355"/>
      <c r="G5279" s="355"/>
      <c r="H5279" s="355"/>
      <c r="I5279" s="355"/>
      <c r="J5279" s="355"/>
      <c r="K5279" s="355"/>
      <c r="L5279" s="355"/>
      <c r="M5279" s="355"/>
    </row>
    <row r="5280" spans="5:13">
      <c r="E5280" s="355"/>
      <c r="F5280" s="355"/>
      <c r="G5280" s="355"/>
      <c r="H5280" s="355"/>
      <c r="I5280" s="355"/>
      <c r="J5280" s="355"/>
      <c r="K5280" s="355"/>
      <c r="L5280" s="355"/>
      <c r="M5280" s="355"/>
    </row>
    <row r="5281" spans="5:13">
      <c r="E5281" s="355"/>
      <c r="F5281" s="355"/>
      <c r="G5281" s="355"/>
      <c r="H5281" s="355"/>
      <c r="I5281" s="355"/>
      <c r="J5281" s="355"/>
      <c r="K5281" s="355"/>
      <c r="L5281" s="355"/>
      <c r="M5281" s="355"/>
    </row>
    <row r="5282" spans="5:13">
      <c r="E5282" s="355"/>
      <c r="F5282" s="355"/>
      <c r="G5282" s="355"/>
      <c r="H5282" s="355"/>
      <c r="I5282" s="355"/>
      <c r="J5282" s="355"/>
      <c r="K5282" s="355"/>
      <c r="L5282" s="355"/>
      <c r="M5282" s="355"/>
    </row>
    <row r="5283" spans="5:13">
      <c r="E5283" s="355"/>
      <c r="F5283" s="355"/>
      <c r="G5283" s="355"/>
      <c r="H5283" s="355"/>
      <c r="I5283" s="355"/>
      <c r="J5283" s="355"/>
      <c r="K5283" s="355"/>
      <c r="L5283" s="355"/>
      <c r="M5283" s="355"/>
    </row>
    <row r="5284" spans="5:13">
      <c r="E5284" s="355"/>
      <c r="F5284" s="355"/>
      <c r="G5284" s="355"/>
      <c r="H5284" s="355"/>
      <c r="I5284" s="355"/>
      <c r="J5284" s="355"/>
      <c r="K5284" s="355"/>
      <c r="L5284" s="355"/>
      <c r="M5284" s="355"/>
    </row>
    <row r="5285" spans="5:13">
      <c r="E5285" s="355"/>
      <c r="F5285" s="355"/>
      <c r="G5285" s="355"/>
      <c r="H5285" s="355"/>
      <c r="I5285" s="355"/>
      <c r="J5285" s="355"/>
      <c r="K5285" s="355"/>
      <c r="L5285" s="355"/>
      <c r="M5285" s="355"/>
    </row>
    <row r="5286" spans="5:13">
      <c r="E5286" s="355"/>
      <c r="F5286" s="355"/>
      <c r="G5286" s="355"/>
      <c r="H5286" s="355"/>
      <c r="I5286" s="355"/>
      <c r="J5286" s="355"/>
      <c r="K5286" s="355"/>
      <c r="L5286" s="355"/>
      <c r="M5286" s="355"/>
    </row>
    <row r="5287" spans="5:13">
      <c r="E5287" s="355"/>
      <c r="F5287" s="355"/>
      <c r="G5287" s="355"/>
      <c r="H5287" s="355"/>
      <c r="I5287" s="355"/>
      <c r="J5287" s="355"/>
      <c r="K5287" s="355"/>
      <c r="L5287" s="355"/>
      <c r="M5287" s="355"/>
    </row>
    <row r="5288" spans="5:13">
      <c r="E5288" s="355"/>
      <c r="F5288" s="355"/>
      <c r="G5288" s="355"/>
      <c r="H5288" s="355"/>
      <c r="I5288" s="355"/>
      <c r="J5288" s="355"/>
      <c r="K5288" s="355"/>
      <c r="L5288" s="355"/>
      <c r="M5288" s="355"/>
    </row>
    <row r="5289" spans="5:13">
      <c r="E5289" s="355"/>
      <c r="F5289" s="355"/>
      <c r="G5289" s="355"/>
      <c r="H5289" s="355"/>
      <c r="I5289" s="355"/>
      <c r="J5289" s="355"/>
      <c r="K5289" s="355"/>
      <c r="L5289" s="355"/>
      <c r="M5289" s="355"/>
    </row>
    <row r="5290" spans="5:13">
      <c r="E5290" s="355"/>
      <c r="F5290" s="355"/>
      <c r="G5290" s="355"/>
      <c r="H5290" s="355"/>
      <c r="I5290" s="355"/>
      <c r="J5290" s="355"/>
      <c r="K5290" s="355"/>
      <c r="L5290" s="355"/>
      <c r="M5290" s="355"/>
    </row>
    <row r="5291" spans="5:13">
      <c r="E5291" s="355"/>
      <c r="F5291" s="355"/>
      <c r="G5291" s="355"/>
      <c r="H5291" s="355"/>
      <c r="I5291" s="355"/>
      <c r="J5291" s="355"/>
      <c r="K5291" s="355"/>
      <c r="L5291" s="355"/>
      <c r="M5291" s="355"/>
    </row>
    <row r="5292" spans="5:13">
      <c r="E5292" s="355"/>
      <c r="F5292" s="355"/>
      <c r="G5292" s="355"/>
      <c r="H5292" s="355"/>
      <c r="I5292" s="355"/>
      <c r="J5292" s="355"/>
      <c r="K5292" s="355"/>
      <c r="L5292" s="355"/>
      <c r="M5292" s="355"/>
    </row>
    <row r="5293" spans="5:13">
      <c r="E5293" s="355"/>
      <c r="F5293" s="355"/>
      <c r="G5293" s="355"/>
      <c r="H5293" s="355"/>
      <c r="I5293" s="355"/>
      <c r="J5293" s="355"/>
      <c r="K5293" s="355"/>
      <c r="L5293" s="355"/>
      <c r="M5293" s="355"/>
    </row>
    <row r="5294" spans="5:13">
      <c r="E5294" s="355"/>
      <c r="F5294" s="355"/>
      <c r="G5294" s="355"/>
      <c r="H5294" s="355"/>
      <c r="I5294" s="355"/>
      <c r="J5294" s="355"/>
      <c r="K5294" s="355"/>
      <c r="L5294" s="355"/>
      <c r="M5294" s="355"/>
    </row>
    <row r="5295" spans="5:13">
      <c r="E5295" s="355"/>
      <c r="F5295" s="355"/>
      <c r="G5295" s="355"/>
      <c r="H5295" s="355"/>
      <c r="I5295" s="355"/>
      <c r="J5295" s="355"/>
      <c r="K5295" s="355"/>
      <c r="L5295" s="355"/>
      <c r="M5295" s="355"/>
    </row>
    <row r="5296" spans="5:13">
      <c r="E5296" s="355"/>
      <c r="F5296" s="355"/>
      <c r="G5296" s="355"/>
      <c r="H5296" s="355"/>
      <c r="I5296" s="355"/>
      <c r="J5296" s="355"/>
      <c r="K5296" s="355"/>
      <c r="L5296" s="355"/>
      <c r="M5296" s="355"/>
    </row>
    <row r="5297" spans="5:13">
      <c r="E5297" s="355"/>
      <c r="F5297" s="355"/>
      <c r="G5297" s="355"/>
      <c r="H5297" s="355"/>
      <c r="I5297" s="355"/>
      <c r="J5297" s="355"/>
      <c r="K5297" s="355"/>
      <c r="L5297" s="355"/>
      <c r="M5297" s="355"/>
    </row>
    <row r="5298" spans="5:13">
      <c r="E5298" s="355"/>
      <c r="F5298" s="355"/>
      <c r="G5298" s="355"/>
      <c r="H5298" s="355"/>
      <c r="I5298" s="355"/>
      <c r="J5298" s="355"/>
      <c r="K5298" s="355"/>
      <c r="L5298" s="355"/>
      <c r="M5298" s="355"/>
    </row>
    <row r="5299" spans="5:13">
      <c r="E5299" s="355"/>
      <c r="F5299" s="355"/>
      <c r="G5299" s="355"/>
      <c r="H5299" s="355"/>
      <c r="I5299" s="355"/>
      <c r="J5299" s="355"/>
      <c r="K5299" s="355"/>
      <c r="L5299" s="355"/>
      <c r="M5299" s="355"/>
    </row>
    <row r="5300" spans="5:13">
      <c r="E5300" s="355"/>
      <c r="F5300" s="355"/>
      <c r="G5300" s="355"/>
      <c r="H5300" s="355"/>
      <c r="I5300" s="355"/>
      <c r="J5300" s="355"/>
      <c r="K5300" s="355"/>
      <c r="L5300" s="355"/>
      <c r="M5300" s="355"/>
    </row>
    <row r="5301" spans="5:13">
      <c r="E5301" s="355"/>
      <c r="F5301" s="355"/>
      <c r="G5301" s="355"/>
      <c r="H5301" s="355"/>
      <c r="I5301" s="355"/>
      <c r="J5301" s="355"/>
      <c r="K5301" s="355"/>
      <c r="L5301" s="355"/>
      <c r="M5301" s="355"/>
    </row>
    <row r="5302" spans="5:13">
      <c r="E5302" s="355"/>
      <c r="F5302" s="355"/>
      <c r="G5302" s="355"/>
      <c r="H5302" s="355"/>
      <c r="I5302" s="355"/>
      <c r="J5302" s="355"/>
      <c r="K5302" s="355"/>
      <c r="L5302" s="355"/>
      <c r="M5302" s="355"/>
    </row>
    <row r="5303" spans="5:13">
      <c r="E5303" s="355"/>
      <c r="F5303" s="355"/>
      <c r="G5303" s="355"/>
      <c r="H5303" s="355"/>
      <c r="I5303" s="355"/>
      <c r="J5303" s="355"/>
      <c r="K5303" s="355"/>
      <c r="L5303" s="355"/>
      <c r="M5303" s="355"/>
    </row>
    <row r="5304" spans="5:13">
      <c r="E5304" s="355"/>
      <c r="F5304" s="355"/>
      <c r="G5304" s="355"/>
      <c r="H5304" s="355"/>
      <c r="I5304" s="355"/>
      <c r="J5304" s="355"/>
      <c r="K5304" s="355"/>
      <c r="L5304" s="355"/>
      <c r="M5304" s="355"/>
    </row>
    <row r="5305" spans="5:13">
      <c r="E5305" s="355"/>
      <c r="F5305" s="355"/>
      <c r="G5305" s="355"/>
      <c r="H5305" s="355"/>
      <c r="I5305" s="355"/>
      <c r="J5305" s="355"/>
      <c r="K5305" s="355"/>
      <c r="L5305" s="355"/>
      <c r="M5305" s="355"/>
    </row>
    <row r="5306" spans="5:13">
      <c r="E5306" s="355"/>
      <c r="F5306" s="355"/>
      <c r="G5306" s="355"/>
      <c r="H5306" s="355"/>
      <c r="I5306" s="355"/>
      <c r="J5306" s="355"/>
      <c r="K5306" s="355"/>
      <c r="L5306" s="355"/>
      <c r="M5306" s="355"/>
    </row>
    <row r="5307" spans="5:13">
      <c r="E5307" s="355"/>
      <c r="F5307" s="355"/>
      <c r="G5307" s="355"/>
      <c r="H5307" s="355"/>
      <c r="I5307" s="355"/>
      <c r="J5307" s="355"/>
      <c r="K5307" s="355"/>
      <c r="L5307" s="355"/>
      <c r="M5307" s="355"/>
    </row>
    <row r="5308" spans="5:13">
      <c r="E5308" s="355"/>
      <c r="F5308" s="355"/>
      <c r="G5308" s="355"/>
      <c r="H5308" s="355"/>
      <c r="I5308" s="355"/>
      <c r="J5308" s="355"/>
      <c r="K5308" s="355"/>
      <c r="L5308" s="355"/>
      <c r="M5308" s="355"/>
    </row>
    <row r="5309" spans="5:13">
      <c r="E5309" s="355"/>
      <c r="F5309" s="355"/>
      <c r="G5309" s="355"/>
      <c r="H5309" s="355"/>
      <c r="I5309" s="355"/>
      <c r="J5309" s="355"/>
      <c r="K5309" s="355"/>
      <c r="L5309" s="355"/>
      <c r="M5309" s="355"/>
    </row>
    <row r="5310" spans="5:13">
      <c r="E5310" s="355"/>
      <c r="F5310" s="355"/>
      <c r="G5310" s="355"/>
      <c r="H5310" s="355"/>
      <c r="I5310" s="355"/>
      <c r="J5310" s="355"/>
      <c r="K5310" s="355"/>
      <c r="L5310" s="355"/>
      <c r="M5310" s="355"/>
    </row>
    <row r="5311" spans="5:13">
      <c r="E5311" s="355"/>
      <c r="F5311" s="355"/>
      <c r="G5311" s="355"/>
      <c r="H5311" s="355"/>
      <c r="I5311" s="355"/>
      <c r="J5311" s="355"/>
      <c r="K5311" s="355"/>
      <c r="L5311" s="355"/>
      <c r="M5311" s="355"/>
    </row>
    <row r="5312" spans="5:13">
      <c r="E5312" s="355"/>
      <c r="F5312" s="355"/>
      <c r="G5312" s="355"/>
      <c r="H5312" s="355"/>
      <c r="I5312" s="355"/>
      <c r="J5312" s="355"/>
      <c r="K5312" s="355"/>
      <c r="L5312" s="355"/>
      <c r="M5312" s="355"/>
    </row>
    <row r="5313" spans="5:13">
      <c r="E5313" s="355"/>
      <c r="F5313" s="355"/>
      <c r="G5313" s="355"/>
      <c r="H5313" s="355"/>
      <c r="I5313" s="355"/>
      <c r="J5313" s="355"/>
      <c r="K5313" s="355"/>
      <c r="L5313" s="355"/>
      <c r="M5313" s="355"/>
    </row>
    <row r="5314" spans="5:13">
      <c r="E5314" s="355"/>
      <c r="F5314" s="355"/>
      <c r="G5314" s="355"/>
      <c r="H5314" s="355"/>
      <c r="I5314" s="355"/>
      <c r="J5314" s="355"/>
      <c r="K5314" s="355"/>
      <c r="L5314" s="355"/>
      <c r="M5314" s="355"/>
    </row>
    <row r="5315" spans="5:13">
      <c r="E5315" s="355"/>
      <c r="F5315" s="355"/>
      <c r="G5315" s="355"/>
      <c r="H5315" s="355"/>
      <c r="I5315" s="355"/>
      <c r="J5315" s="355"/>
      <c r="K5315" s="355"/>
      <c r="L5315" s="355"/>
      <c r="M5315" s="355"/>
    </row>
    <row r="5316" spans="5:13">
      <c r="E5316" s="355"/>
      <c r="F5316" s="355"/>
      <c r="G5316" s="355"/>
      <c r="H5316" s="355"/>
      <c r="I5316" s="355"/>
      <c r="J5316" s="355"/>
      <c r="K5316" s="355"/>
      <c r="L5316" s="355"/>
      <c r="M5316" s="355"/>
    </row>
    <row r="5317" spans="5:13">
      <c r="E5317" s="355"/>
      <c r="F5317" s="355"/>
      <c r="G5317" s="355"/>
      <c r="H5317" s="355"/>
      <c r="I5317" s="355"/>
      <c r="J5317" s="355"/>
      <c r="K5317" s="355"/>
      <c r="L5317" s="355"/>
      <c r="M5317" s="355"/>
    </row>
    <row r="5318" spans="5:13">
      <c r="E5318" s="355"/>
      <c r="F5318" s="355"/>
      <c r="G5318" s="355"/>
      <c r="H5318" s="355"/>
      <c r="I5318" s="355"/>
      <c r="J5318" s="355"/>
      <c r="K5318" s="355"/>
      <c r="L5318" s="355"/>
      <c r="M5318" s="355"/>
    </row>
    <row r="5319" spans="5:13">
      <c r="E5319" s="355"/>
      <c r="F5319" s="355"/>
      <c r="G5319" s="355"/>
      <c r="H5319" s="355"/>
      <c r="I5319" s="355"/>
      <c r="J5319" s="355"/>
      <c r="K5319" s="355"/>
      <c r="L5319" s="355"/>
      <c r="M5319" s="355"/>
    </row>
    <row r="5320" spans="5:13">
      <c r="E5320" s="355"/>
      <c r="F5320" s="355"/>
      <c r="G5320" s="355"/>
      <c r="H5320" s="355"/>
      <c r="I5320" s="355"/>
      <c r="J5320" s="355"/>
      <c r="K5320" s="355"/>
      <c r="L5320" s="355"/>
      <c r="M5320" s="355"/>
    </row>
    <row r="5321" spans="5:13">
      <c r="E5321" s="355"/>
      <c r="F5321" s="355"/>
      <c r="G5321" s="355"/>
      <c r="H5321" s="355"/>
      <c r="I5321" s="355"/>
      <c r="J5321" s="355"/>
      <c r="K5321" s="355"/>
      <c r="L5321" s="355"/>
      <c r="M5321" s="355"/>
    </row>
    <row r="5322" spans="5:13">
      <c r="E5322" s="355"/>
      <c r="F5322" s="355"/>
      <c r="G5322" s="355"/>
      <c r="H5322" s="355"/>
      <c r="I5322" s="355"/>
      <c r="J5322" s="355"/>
      <c r="K5322" s="355"/>
      <c r="L5322" s="355"/>
      <c r="M5322" s="355"/>
    </row>
    <row r="5323" spans="5:13">
      <c r="E5323" s="355"/>
      <c r="F5323" s="355"/>
      <c r="G5323" s="355"/>
      <c r="H5323" s="355"/>
      <c r="I5323" s="355"/>
      <c r="J5323" s="355"/>
      <c r="K5323" s="355"/>
      <c r="L5323" s="355"/>
      <c r="M5323" s="355"/>
    </row>
    <row r="5324" spans="5:13">
      <c r="E5324" s="355"/>
      <c r="F5324" s="355"/>
      <c r="G5324" s="355"/>
      <c r="H5324" s="355"/>
      <c r="I5324" s="355"/>
      <c r="J5324" s="355"/>
      <c r="K5324" s="355"/>
      <c r="L5324" s="355"/>
      <c r="M5324" s="355"/>
    </row>
    <row r="5325" spans="5:13">
      <c r="E5325" s="355"/>
      <c r="F5325" s="355"/>
      <c r="G5325" s="355"/>
      <c r="H5325" s="355"/>
      <c r="I5325" s="355"/>
      <c r="J5325" s="355"/>
      <c r="K5325" s="355"/>
      <c r="L5325" s="355"/>
      <c r="M5325" s="355"/>
    </row>
    <row r="5326" spans="5:13">
      <c r="E5326" s="355"/>
      <c r="F5326" s="355"/>
      <c r="G5326" s="355"/>
      <c r="H5326" s="355"/>
      <c r="I5326" s="355"/>
      <c r="J5326" s="355"/>
      <c r="K5326" s="355"/>
      <c r="L5326" s="355"/>
      <c r="M5326" s="355"/>
    </row>
    <row r="5327" spans="5:13">
      <c r="E5327" s="355"/>
      <c r="F5327" s="355"/>
      <c r="G5327" s="355"/>
      <c r="H5327" s="355"/>
      <c r="I5327" s="355"/>
      <c r="J5327" s="355"/>
      <c r="K5327" s="355"/>
      <c r="L5327" s="355"/>
      <c r="M5327" s="355"/>
    </row>
    <row r="5328" spans="5:13">
      <c r="E5328" s="355"/>
      <c r="F5328" s="355"/>
      <c r="G5328" s="355"/>
      <c r="H5328" s="355"/>
      <c r="I5328" s="355"/>
      <c r="J5328" s="355"/>
      <c r="K5328" s="355"/>
      <c r="L5328" s="355"/>
      <c r="M5328" s="355"/>
    </row>
    <row r="5329" spans="5:13">
      <c r="E5329" s="355"/>
      <c r="F5329" s="355"/>
      <c r="G5329" s="355"/>
      <c r="H5329" s="355"/>
      <c r="I5329" s="355"/>
      <c r="J5329" s="355"/>
      <c r="K5329" s="355"/>
      <c r="L5329" s="355"/>
      <c r="M5329" s="355"/>
    </row>
    <row r="5330" spans="5:13">
      <c r="E5330" s="355"/>
      <c r="F5330" s="355"/>
      <c r="G5330" s="355"/>
      <c r="H5330" s="355"/>
      <c r="I5330" s="355"/>
      <c r="J5330" s="355"/>
      <c r="K5330" s="355"/>
      <c r="L5330" s="355"/>
      <c r="M5330" s="355"/>
    </row>
    <row r="5331" spans="5:13">
      <c r="E5331" s="355"/>
      <c r="F5331" s="355"/>
      <c r="G5331" s="355"/>
      <c r="H5331" s="355"/>
      <c r="I5331" s="355"/>
      <c r="J5331" s="355"/>
      <c r="K5331" s="355"/>
      <c r="L5331" s="355"/>
      <c r="M5331" s="355"/>
    </row>
    <row r="5332" spans="5:13">
      <c r="E5332" s="355"/>
      <c r="F5332" s="355"/>
      <c r="G5332" s="355"/>
      <c r="H5332" s="355"/>
      <c r="I5332" s="355"/>
      <c r="J5332" s="355"/>
      <c r="K5332" s="355"/>
      <c r="L5332" s="355"/>
      <c r="M5332" s="355"/>
    </row>
    <row r="5333" spans="5:13">
      <c r="E5333" s="355"/>
      <c r="F5333" s="355"/>
      <c r="G5333" s="355"/>
      <c r="H5333" s="355"/>
      <c r="I5333" s="355"/>
      <c r="J5333" s="355"/>
      <c r="K5333" s="355"/>
      <c r="L5333" s="355"/>
      <c r="M5333" s="355"/>
    </row>
    <row r="5334" spans="5:13">
      <c r="E5334" s="355"/>
      <c r="F5334" s="355"/>
      <c r="G5334" s="355"/>
      <c r="H5334" s="355"/>
      <c r="I5334" s="355"/>
      <c r="J5334" s="355"/>
      <c r="K5334" s="355"/>
      <c r="L5334" s="355"/>
      <c r="M5334" s="355"/>
    </row>
    <row r="5335" spans="5:13">
      <c r="E5335" s="355"/>
      <c r="F5335" s="355"/>
      <c r="G5335" s="355"/>
      <c r="H5335" s="355"/>
      <c r="I5335" s="355"/>
      <c r="J5335" s="355"/>
      <c r="K5335" s="355"/>
      <c r="L5335" s="355"/>
      <c r="M5335" s="355"/>
    </row>
    <row r="5336" spans="5:13">
      <c r="E5336" s="355"/>
      <c r="F5336" s="355"/>
      <c r="G5336" s="355"/>
      <c r="H5336" s="355"/>
      <c r="I5336" s="355"/>
      <c r="J5336" s="355"/>
      <c r="K5336" s="355"/>
      <c r="L5336" s="355"/>
      <c r="M5336" s="355"/>
    </row>
    <row r="5337" spans="5:13">
      <c r="E5337" s="355"/>
      <c r="F5337" s="355"/>
      <c r="G5337" s="355"/>
      <c r="H5337" s="355"/>
      <c r="I5337" s="355"/>
      <c r="J5337" s="355"/>
      <c r="K5337" s="355"/>
      <c r="L5337" s="355"/>
      <c r="M5337" s="355"/>
    </row>
    <row r="5338" spans="5:13">
      <c r="E5338" s="355"/>
      <c r="F5338" s="355"/>
      <c r="G5338" s="355"/>
      <c r="H5338" s="355"/>
      <c r="I5338" s="355"/>
      <c r="J5338" s="355"/>
      <c r="K5338" s="355"/>
      <c r="L5338" s="355"/>
      <c r="M5338" s="355"/>
    </row>
    <row r="5339" spans="5:13">
      <c r="E5339" s="355"/>
      <c r="F5339" s="355"/>
      <c r="G5339" s="355"/>
      <c r="H5339" s="355"/>
      <c r="I5339" s="355"/>
      <c r="J5339" s="355"/>
      <c r="K5339" s="355"/>
      <c r="L5339" s="355"/>
      <c r="M5339" s="355"/>
    </row>
    <row r="5340" spans="5:13">
      <c r="E5340" s="355"/>
      <c r="F5340" s="355"/>
      <c r="G5340" s="355"/>
      <c r="H5340" s="355"/>
      <c r="I5340" s="355"/>
      <c r="J5340" s="355"/>
      <c r="K5340" s="355"/>
      <c r="L5340" s="355"/>
      <c r="M5340" s="355"/>
    </row>
    <row r="5341" spans="5:13">
      <c r="E5341" s="355"/>
      <c r="F5341" s="355"/>
      <c r="G5341" s="355"/>
      <c r="H5341" s="355"/>
      <c r="I5341" s="355"/>
      <c r="J5341" s="355"/>
      <c r="K5341" s="355"/>
      <c r="L5341" s="355"/>
      <c r="M5341" s="355"/>
    </row>
    <row r="5342" spans="5:13">
      <c r="E5342" s="355"/>
      <c r="F5342" s="355"/>
      <c r="G5342" s="355"/>
      <c r="H5342" s="355"/>
      <c r="I5342" s="355"/>
      <c r="J5342" s="355"/>
      <c r="K5342" s="355"/>
      <c r="L5342" s="355"/>
      <c r="M5342" s="355"/>
    </row>
    <row r="5343" spans="5:13">
      <c r="E5343" s="355"/>
      <c r="F5343" s="355"/>
      <c r="G5343" s="355"/>
      <c r="H5343" s="355"/>
      <c r="I5343" s="355"/>
      <c r="J5343" s="355"/>
      <c r="K5343" s="355"/>
      <c r="L5343" s="355"/>
      <c r="M5343" s="355"/>
    </row>
    <row r="5344" spans="5:13">
      <c r="E5344" s="355"/>
      <c r="F5344" s="355"/>
      <c r="G5344" s="355"/>
      <c r="H5344" s="355"/>
      <c r="I5344" s="355"/>
      <c r="J5344" s="355"/>
      <c r="K5344" s="355"/>
      <c r="L5344" s="355"/>
      <c r="M5344" s="355"/>
    </row>
    <row r="5345" spans="5:13">
      <c r="E5345" s="355"/>
      <c r="F5345" s="355"/>
      <c r="G5345" s="355"/>
      <c r="H5345" s="355"/>
      <c r="I5345" s="355"/>
      <c r="J5345" s="355"/>
      <c r="K5345" s="355"/>
      <c r="L5345" s="355"/>
      <c r="M5345" s="355"/>
    </row>
    <row r="5346" spans="5:13">
      <c r="E5346" s="355"/>
      <c r="F5346" s="355"/>
      <c r="G5346" s="355"/>
      <c r="H5346" s="355"/>
      <c r="I5346" s="355"/>
      <c r="J5346" s="355"/>
      <c r="K5346" s="355"/>
      <c r="L5346" s="355"/>
      <c r="M5346" s="355"/>
    </row>
    <row r="5347" spans="5:13">
      <c r="E5347" s="355"/>
      <c r="F5347" s="355"/>
      <c r="G5347" s="355"/>
      <c r="H5347" s="355"/>
      <c r="I5347" s="355"/>
      <c r="J5347" s="355"/>
      <c r="K5347" s="355"/>
      <c r="L5347" s="355"/>
      <c r="M5347" s="355"/>
    </row>
    <row r="5348" spans="5:13">
      <c r="E5348" s="355"/>
      <c r="F5348" s="355"/>
      <c r="G5348" s="355"/>
      <c r="H5348" s="355"/>
      <c r="I5348" s="355"/>
      <c r="J5348" s="355"/>
      <c r="K5348" s="355"/>
      <c r="L5348" s="355"/>
      <c r="M5348" s="355"/>
    </row>
    <row r="5349" spans="5:13">
      <c r="E5349" s="355"/>
      <c r="F5349" s="355"/>
      <c r="G5349" s="355"/>
      <c r="H5349" s="355"/>
      <c r="I5349" s="355"/>
      <c r="J5349" s="355"/>
      <c r="K5349" s="355"/>
      <c r="L5349" s="355"/>
      <c r="M5349" s="355"/>
    </row>
    <row r="5350" spans="5:13">
      <c r="E5350" s="355"/>
      <c r="F5350" s="355"/>
      <c r="G5350" s="355"/>
      <c r="H5350" s="355"/>
      <c r="I5350" s="355"/>
      <c r="J5350" s="355"/>
      <c r="K5350" s="355"/>
      <c r="L5350" s="355"/>
      <c r="M5350" s="355"/>
    </row>
    <row r="5351" spans="5:13">
      <c r="E5351" s="355"/>
      <c r="F5351" s="355"/>
      <c r="G5351" s="355"/>
      <c r="H5351" s="355"/>
      <c r="I5351" s="355"/>
      <c r="J5351" s="355"/>
      <c r="K5351" s="355"/>
      <c r="L5351" s="355"/>
      <c r="M5351" s="355"/>
    </row>
    <row r="5352" spans="5:13">
      <c r="E5352" s="355"/>
      <c r="F5352" s="355"/>
      <c r="G5352" s="355"/>
      <c r="H5352" s="355"/>
      <c r="I5352" s="355"/>
      <c r="J5352" s="355"/>
      <c r="K5352" s="355"/>
      <c r="L5352" s="355"/>
      <c r="M5352" s="355"/>
    </row>
    <row r="5353" spans="5:13">
      <c r="E5353" s="355"/>
      <c r="F5353" s="355"/>
      <c r="G5353" s="355"/>
      <c r="H5353" s="355"/>
      <c r="I5353" s="355"/>
      <c r="J5353" s="355"/>
      <c r="K5353" s="355"/>
      <c r="L5353" s="355"/>
      <c r="M5353" s="355"/>
    </row>
    <row r="5354" spans="5:13">
      <c r="E5354" s="355"/>
      <c r="F5354" s="355"/>
      <c r="G5354" s="355"/>
      <c r="H5354" s="355"/>
      <c r="I5354" s="355"/>
      <c r="J5354" s="355"/>
      <c r="K5354" s="355"/>
      <c r="L5354" s="355"/>
      <c r="M5354" s="355"/>
    </row>
    <row r="5355" spans="5:13">
      <c r="E5355" s="355"/>
      <c r="F5355" s="355"/>
      <c r="G5355" s="355"/>
      <c r="H5355" s="355"/>
      <c r="I5355" s="355"/>
      <c r="J5355" s="355"/>
      <c r="K5355" s="355"/>
      <c r="L5355" s="355"/>
      <c r="M5355" s="355"/>
    </row>
    <row r="5356" spans="5:13">
      <c r="E5356" s="355"/>
      <c r="F5356" s="355"/>
      <c r="G5356" s="355"/>
      <c r="H5356" s="355"/>
      <c r="I5356" s="355"/>
      <c r="J5356" s="355"/>
      <c r="K5356" s="355"/>
      <c r="L5356" s="355"/>
      <c r="M5356" s="355"/>
    </row>
    <row r="5357" spans="5:13">
      <c r="E5357" s="355"/>
      <c r="F5357" s="355"/>
      <c r="G5357" s="355"/>
      <c r="H5357" s="355"/>
      <c r="I5357" s="355"/>
      <c r="J5357" s="355"/>
      <c r="K5357" s="355"/>
      <c r="L5357" s="355"/>
      <c r="M5357" s="355"/>
    </row>
    <row r="5358" spans="5:13">
      <c r="E5358" s="355"/>
      <c r="F5358" s="355"/>
      <c r="G5358" s="355"/>
      <c r="H5358" s="355"/>
      <c r="I5358" s="355"/>
      <c r="J5358" s="355"/>
      <c r="K5358" s="355"/>
      <c r="L5358" s="355"/>
      <c r="M5358" s="355"/>
    </row>
    <row r="5359" spans="5:13">
      <c r="E5359" s="355"/>
      <c r="F5359" s="355"/>
      <c r="G5359" s="355"/>
      <c r="H5359" s="355"/>
      <c r="I5359" s="355"/>
      <c r="J5359" s="355"/>
      <c r="K5359" s="355"/>
      <c r="L5359" s="355"/>
      <c r="M5359" s="355"/>
    </row>
    <row r="5360" spans="5:13">
      <c r="E5360" s="355"/>
      <c r="F5360" s="355"/>
      <c r="G5360" s="355"/>
      <c r="H5360" s="355"/>
      <c r="I5360" s="355"/>
      <c r="J5360" s="355"/>
      <c r="K5360" s="355"/>
      <c r="L5360" s="355"/>
      <c r="M5360" s="355"/>
    </row>
    <row r="5361" spans="5:13">
      <c r="E5361" s="355"/>
      <c r="F5361" s="355"/>
      <c r="G5361" s="355"/>
      <c r="H5361" s="355"/>
      <c r="I5361" s="355"/>
      <c r="J5361" s="355"/>
      <c r="K5361" s="355"/>
      <c r="L5361" s="355"/>
      <c r="M5361" s="355"/>
    </row>
    <row r="5362" spans="5:13">
      <c r="E5362" s="355"/>
      <c r="F5362" s="355"/>
      <c r="G5362" s="355"/>
      <c r="H5362" s="355"/>
      <c r="I5362" s="355"/>
      <c r="J5362" s="355"/>
      <c r="K5362" s="355"/>
      <c r="L5362" s="355"/>
      <c r="M5362" s="355"/>
    </row>
    <row r="5363" spans="5:13">
      <c r="E5363" s="355"/>
      <c r="F5363" s="355"/>
      <c r="G5363" s="355"/>
      <c r="H5363" s="355"/>
      <c r="I5363" s="355"/>
      <c r="J5363" s="355"/>
      <c r="K5363" s="355"/>
      <c r="L5363" s="355"/>
      <c r="M5363" s="355"/>
    </row>
    <row r="5364" spans="5:13">
      <c r="E5364" s="355"/>
      <c r="F5364" s="355"/>
      <c r="G5364" s="355"/>
      <c r="H5364" s="355"/>
      <c r="I5364" s="355"/>
      <c r="J5364" s="355"/>
      <c r="K5364" s="355"/>
      <c r="L5364" s="355"/>
      <c r="M5364" s="355"/>
    </row>
    <row r="5365" spans="5:13">
      <c r="E5365" s="355"/>
      <c r="F5365" s="355"/>
      <c r="G5365" s="355"/>
      <c r="H5365" s="355"/>
      <c r="I5365" s="355"/>
      <c r="J5365" s="355"/>
      <c r="K5365" s="355"/>
      <c r="L5365" s="355"/>
      <c r="M5365" s="355"/>
    </row>
    <row r="5366" spans="5:13">
      <c r="E5366" s="355"/>
      <c r="F5366" s="355"/>
      <c r="G5366" s="355"/>
      <c r="H5366" s="355"/>
      <c r="I5366" s="355"/>
      <c r="J5366" s="355"/>
      <c r="K5366" s="355"/>
      <c r="L5366" s="355"/>
      <c r="M5366" s="355"/>
    </row>
    <row r="5367" spans="5:13">
      <c r="E5367" s="355"/>
      <c r="F5367" s="355"/>
      <c r="G5367" s="355"/>
      <c r="H5367" s="355"/>
      <c r="I5367" s="355"/>
      <c r="J5367" s="355"/>
      <c r="K5367" s="355"/>
      <c r="L5367" s="355"/>
      <c r="M5367" s="355"/>
    </row>
    <row r="5368" spans="5:13">
      <c r="E5368" s="355"/>
      <c r="F5368" s="355"/>
      <c r="G5368" s="355"/>
      <c r="H5368" s="355"/>
      <c r="I5368" s="355"/>
      <c r="J5368" s="355"/>
      <c r="K5368" s="355"/>
      <c r="L5368" s="355"/>
      <c r="M5368" s="355"/>
    </row>
    <row r="5369" spans="5:13">
      <c r="E5369" s="355"/>
      <c r="F5369" s="355"/>
      <c r="G5369" s="355"/>
      <c r="H5369" s="355"/>
      <c r="I5369" s="355"/>
      <c r="J5369" s="355"/>
      <c r="K5369" s="355"/>
      <c r="L5369" s="355"/>
      <c r="M5369" s="355"/>
    </row>
    <row r="5370" spans="5:13">
      <c r="E5370" s="355"/>
      <c r="F5370" s="355"/>
      <c r="G5370" s="355"/>
      <c r="H5370" s="355"/>
      <c r="I5370" s="355"/>
      <c r="J5370" s="355"/>
      <c r="K5370" s="355"/>
      <c r="L5370" s="355"/>
      <c r="M5370" s="355"/>
    </row>
    <row r="5371" spans="5:13">
      <c r="E5371" s="355"/>
      <c r="F5371" s="355"/>
      <c r="G5371" s="355"/>
      <c r="H5371" s="355"/>
      <c r="I5371" s="355"/>
      <c r="J5371" s="355"/>
      <c r="K5371" s="355"/>
      <c r="L5371" s="355"/>
      <c r="M5371" s="355"/>
    </row>
    <row r="5372" spans="5:13">
      <c r="E5372" s="355"/>
      <c r="F5372" s="355"/>
      <c r="G5372" s="355"/>
      <c r="H5372" s="355"/>
      <c r="I5372" s="355"/>
      <c r="J5372" s="355"/>
      <c r="K5372" s="355"/>
      <c r="L5372" s="355"/>
      <c r="M5372" s="355"/>
    </row>
    <row r="5373" spans="5:13">
      <c r="E5373" s="355"/>
      <c r="F5373" s="355"/>
      <c r="G5373" s="355"/>
      <c r="H5373" s="355"/>
      <c r="I5373" s="355"/>
      <c r="J5373" s="355"/>
      <c r="K5373" s="355"/>
      <c r="L5373" s="355"/>
      <c r="M5373" s="355"/>
    </row>
    <row r="5374" spans="5:13">
      <c r="E5374" s="355"/>
      <c r="F5374" s="355"/>
      <c r="G5374" s="355"/>
      <c r="H5374" s="355"/>
      <c r="I5374" s="355"/>
      <c r="J5374" s="355"/>
      <c r="K5374" s="355"/>
      <c r="L5374" s="355"/>
      <c r="M5374" s="355"/>
    </row>
    <row r="5375" spans="5:13">
      <c r="E5375" s="355"/>
      <c r="F5375" s="355"/>
      <c r="G5375" s="355"/>
      <c r="H5375" s="355"/>
      <c r="I5375" s="355"/>
      <c r="J5375" s="355"/>
      <c r="K5375" s="355"/>
      <c r="L5375" s="355"/>
      <c r="M5375" s="355"/>
    </row>
    <row r="5376" spans="5:13">
      <c r="E5376" s="355"/>
      <c r="F5376" s="355"/>
      <c r="G5376" s="355"/>
      <c r="H5376" s="355"/>
      <c r="I5376" s="355"/>
      <c r="J5376" s="355"/>
      <c r="K5376" s="355"/>
      <c r="L5376" s="355"/>
      <c r="M5376" s="355"/>
    </row>
    <row r="5377" spans="5:13">
      <c r="E5377" s="355"/>
      <c r="F5377" s="355"/>
      <c r="G5377" s="355"/>
      <c r="H5377" s="355"/>
      <c r="I5377" s="355"/>
      <c r="J5377" s="355"/>
      <c r="K5377" s="355"/>
      <c r="L5377" s="355"/>
      <c r="M5377" s="355"/>
    </row>
    <row r="5378" spans="5:13">
      <c r="E5378" s="355"/>
      <c r="F5378" s="355"/>
      <c r="G5378" s="355"/>
      <c r="H5378" s="355"/>
      <c r="I5378" s="355"/>
      <c r="J5378" s="355"/>
      <c r="K5378" s="355"/>
      <c r="L5378" s="355"/>
      <c r="M5378" s="355"/>
    </row>
    <row r="5379" spans="5:13">
      <c r="E5379" s="355"/>
      <c r="F5379" s="355"/>
      <c r="G5379" s="355"/>
      <c r="H5379" s="355"/>
      <c r="I5379" s="355"/>
      <c r="J5379" s="355"/>
      <c r="K5379" s="355"/>
      <c r="L5379" s="355"/>
      <c r="M5379" s="355"/>
    </row>
    <row r="5380" spans="5:13">
      <c r="E5380" s="355"/>
      <c r="F5380" s="355"/>
      <c r="G5380" s="355"/>
      <c r="H5380" s="355"/>
      <c r="I5380" s="355"/>
      <c r="J5380" s="355"/>
      <c r="K5380" s="355"/>
      <c r="L5380" s="355"/>
      <c r="M5380" s="355"/>
    </row>
    <row r="5381" spans="5:13">
      <c r="E5381" s="355"/>
      <c r="F5381" s="355"/>
      <c r="G5381" s="355"/>
      <c r="H5381" s="355"/>
      <c r="I5381" s="355"/>
      <c r="J5381" s="355"/>
      <c r="K5381" s="355"/>
      <c r="L5381" s="355"/>
      <c r="M5381" s="355"/>
    </row>
    <row r="5382" spans="5:13">
      <c r="E5382" s="355"/>
      <c r="F5382" s="355"/>
      <c r="G5382" s="355"/>
      <c r="H5382" s="355"/>
      <c r="I5382" s="355"/>
      <c r="J5382" s="355"/>
      <c r="K5382" s="355"/>
      <c r="L5382" s="355"/>
      <c r="M5382" s="355"/>
    </row>
    <row r="5383" spans="5:13">
      <c r="E5383" s="355"/>
      <c r="F5383" s="355"/>
      <c r="G5383" s="355"/>
      <c r="H5383" s="355"/>
      <c r="I5383" s="355"/>
      <c r="J5383" s="355"/>
      <c r="K5383" s="355"/>
      <c r="L5383" s="355"/>
      <c r="M5383" s="355"/>
    </row>
    <row r="5384" spans="5:13">
      <c r="E5384" s="355"/>
      <c r="F5384" s="355"/>
      <c r="G5384" s="355"/>
      <c r="H5384" s="355"/>
      <c r="I5384" s="355"/>
      <c r="J5384" s="355"/>
      <c r="K5384" s="355"/>
      <c r="L5384" s="355"/>
      <c r="M5384" s="355"/>
    </row>
    <row r="5385" spans="5:13">
      <c r="E5385" s="355"/>
      <c r="F5385" s="355"/>
      <c r="G5385" s="355"/>
      <c r="H5385" s="355"/>
      <c r="I5385" s="355"/>
      <c r="J5385" s="355"/>
      <c r="K5385" s="355"/>
      <c r="L5385" s="355"/>
      <c r="M5385" s="355"/>
    </row>
    <row r="5386" spans="5:13">
      <c r="E5386" s="355"/>
      <c r="F5386" s="355"/>
      <c r="G5386" s="355"/>
      <c r="H5386" s="355"/>
      <c r="I5386" s="355"/>
      <c r="J5386" s="355"/>
      <c r="K5386" s="355"/>
      <c r="L5386" s="355"/>
      <c r="M5386" s="355"/>
    </row>
    <row r="5387" spans="5:13">
      <c r="E5387" s="355"/>
      <c r="F5387" s="355"/>
      <c r="G5387" s="355"/>
      <c r="H5387" s="355"/>
      <c r="I5387" s="355"/>
      <c r="J5387" s="355"/>
      <c r="K5387" s="355"/>
      <c r="L5387" s="355"/>
      <c r="M5387" s="355"/>
    </row>
    <row r="5388" spans="5:13">
      <c r="E5388" s="355"/>
      <c r="F5388" s="355"/>
      <c r="G5388" s="355"/>
      <c r="H5388" s="355"/>
      <c r="I5388" s="355"/>
      <c r="J5388" s="355"/>
      <c r="K5388" s="355"/>
      <c r="L5388" s="355"/>
      <c r="M5388" s="355"/>
    </row>
    <row r="5389" spans="5:13">
      <c r="E5389" s="355"/>
      <c r="F5389" s="355"/>
      <c r="G5389" s="355"/>
      <c r="H5389" s="355"/>
      <c r="I5389" s="355"/>
      <c r="J5389" s="355"/>
      <c r="K5389" s="355"/>
      <c r="L5389" s="355"/>
      <c r="M5389" s="355"/>
    </row>
    <row r="5390" spans="5:13">
      <c r="E5390" s="355"/>
      <c r="F5390" s="355"/>
      <c r="G5390" s="355"/>
      <c r="H5390" s="355"/>
      <c r="I5390" s="355"/>
      <c r="J5390" s="355"/>
      <c r="K5390" s="355"/>
      <c r="L5390" s="355"/>
      <c r="M5390" s="355"/>
    </row>
    <row r="5391" spans="5:13">
      <c r="E5391" s="355"/>
      <c r="F5391" s="355"/>
      <c r="G5391" s="355"/>
      <c r="H5391" s="355"/>
      <c r="I5391" s="355"/>
      <c r="J5391" s="355"/>
      <c r="K5391" s="355"/>
      <c r="L5391" s="355"/>
      <c r="M5391" s="355"/>
    </row>
    <row r="5392" spans="5:13">
      <c r="E5392" s="355"/>
      <c r="F5392" s="355"/>
      <c r="G5392" s="355"/>
      <c r="H5392" s="355"/>
      <c r="I5392" s="355"/>
      <c r="J5392" s="355"/>
      <c r="K5392" s="355"/>
      <c r="L5392" s="355"/>
      <c r="M5392" s="355"/>
    </row>
    <row r="5393" spans="5:13">
      <c r="E5393" s="355"/>
      <c r="F5393" s="355"/>
      <c r="G5393" s="355"/>
      <c r="H5393" s="355"/>
      <c r="I5393" s="355"/>
      <c r="J5393" s="355"/>
      <c r="K5393" s="355"/>
      <c r="L5393" s="355"/>
      <c r="M5393" s="355"/>
    </row>
    <row r="5394" spans="5:13">
      <c r="E5394" s="355"/>
      <c r="F5394" s="355"/>
      <c r="G5394" s="355"/>
      <c r="H5394" s="355"/>
      <c r="I5394" s="355"/>
      <c r="J5394" s="355"/>
      <c r="K5394" s="355"/>
      <c r="L5394" s="355"/>
      <c r="M5394" s="355"/>
    </row>
    <row r="5395" spans="5:13">
      <c r="E5395" s="355"/>
      <c r="F5395" s="355"/>
      <c r="G5395" s="355"/>
      <c r="H5395" s="355"/>
      <c r="I5395" s="355"/>
      <c r="J5395" s="355"/>
      <c r="K5395" s="355"/>
      <c r="L5395" s="355"/>
      <c r="M5395" s="355"/>
    </row>
    <row r="5396" spans="5:13">
      <c r="E5396" s="355"/>
      <c r="F5396" s="355"/>
      <c r="G5396" s="355"/>
      <c r="H5396" s="355"/>
      <c r="I5396" s="355"/>
      <c r="J5396" s="355"/>
      <c r="K5396" s="355"/>
      <c r="L5396" s="355"/>
      <c r="M5396" s="355"/>
    </row>
    <row r="5397" spans="5:13">
      <c r="E5397" s="355"/>
      <c r="F5397" s="355"/>
      <c r="G5397" s="355"/>
      <c r="H5397" s="355"/>
      <c r="I5397" s="355"/>
      <c r="J5397" s="355"/>
      <c r="K5397" s="355"/>
      <c r="L5397" s="355"/>
      <c r="M5397" s="355"/>
    </row>
    <row r="5398" spans="5:13">
      <c r="E5398" s="355"/>
      <c r="F5398" s="355"/>
      <c r="G5398" s="355"/>
      <c r="H5398" s="355"/>
      <c r="I5398" s="355"/>
      <c r="J5398" s="355"/>
      <c r="K5398" s="355"/>
      <c r="L5398" s="355"/>
      <c r="M5398" s="355"/>
    </row>
    <row r="5399" spans="5:13">
      <c r="E5399" s="355"/>
      <c r="F5399" s="355"/>
      <c r="G5399" s="355"/>
      <c r="H5399" s="355"/>
      <c r="I5399" s="355"/>
      <c r="J5399" s="355"/>
      <c r="K5399" s="355"/>
      <c r="L5399" s="355"/>
      <c r="M5399" s="355"/>
    </row>
    <row r="5400" spans="5:13">
      <c r="E5400" s="355"/>
      <c r="F5400" s="355"/>
      <c r="G5400" s="355"/>
      <c r="H5400" s="355"/>
      <c r="I5400" s="355"/>
      <c r="J5400" s="355"/>
      <c r="K5400" s="355"/>
      <c r="L5400" s="355"/>
      <c r="M5400" s="355"/>
    </row>
    <row r="5401" spans="5:13">
      <c r="E5401" s="355"/>
      <c r="F5401" s="355"/>
      <c r="G5401" s="355"/>
      <c r="H5401" s="355"/>
      <c r="I5401" s="355"/>
      <c r="J5401" s="355"/>
      <c r="K5401" s="355"/>
      <c r="L5401" s="355"/>
      <c r="M5401" s="355"/>
    </row>
    <row r="5402" spans="5:13">
      <c r="E5402" s="355"/>
      <c r="F5402" s="355"/>
      <c r="G5402" s="355"/>
      <c r="H5402" s="355"/>
      <c r="I5402" s="355"/>
      <c r="J5402" s="355"/>
      <c r="K5402" s="355"/>
      <c r="L5402" s="355"/>
      <c r="M5402" s="355"/>
    </row>
    <row r="5403" spans="5:13">
      <c r="E5403" s="355"/>
      <c r="F5403" s="355"/>
      <c r="G5403" s="355"/>
      <c r="H5403" s="355"/>
      <c r="I5403" s="355"/>
      <c r="J5403" s="355"/>
      <c r="K5403" s="355"/>
      <c r="L5403" s="355"/>
      <c r="M5403" s="355"/>
    </row>
    <row r="5404" spans="5:13">
      <c r="E5404" s="355"/>
      <c r="F5404" s="355"/>
      <c r="G5404" s="355"/>
      <c r="H5404" s="355"/>
      <c r="I5404" s="355"/>
      <c r="J5404" s="355"/>
      <c r="K5404" s="355"/>
      <c r="L5404" s="355"/>
      <c r="M5404" s="355"/>
    </row>
    <row r="5405" spans="5:13">
      <c r="E5405" s="355"/>
      <c r="F5405" s="355"/>
      <c r="G5405" s="355"/>
      <c r="H5405" s="355"/>
      <c r="I5405" s="355"/>
      <c r="J5405" s="355"/>
      <c r="K5405" s="355"/>
      <c r="L5405" s="355"/>
      <c r="M5405" s="355"/>
    </row>
    <row r="5406" spans="5:13">
      <c r="E5406" s="355"/>
      <c r="F5406" s="355"/>
      <c r="G5406" s="355"/>
      <c r="H5406" s="355"/>
      <c r="I5406" s="355"/>
      <c r="J5406" s="355"/>
      <c r="K5406" s="355"/>
      <c r="L5406" s="355"/>
      <c r="M5406" s="355"/>
    </row>
    <row r="5407" spans="5:13">
      <c r="E5407" s="355"/>
      <c r="F5407" s="355"/>
      <c r="G5407" s="355"/>
      <c r="H5407" s="355"/>
      <c r="I5407" s="355"/>
      <c r="J5407" s="355"/>
      <c r="K5407" s="355"/>
      <c r="L5407" s="355"/>
      <c r="M5407" s="355"/>
    </row>
    <row r="5408" spans="5:13">
      <c r="E5408" s="355"/>
      <c r="F5408" s="355"/>
      <c r="G5408" s="355"/>
      <c r="H5408" s="355"/>
      <c r="I5408" s="355"/>
      <c r="J5408" s="355"/>
      <c r="K5408" s="355"/>
      <c r="L5408" s="355"/>
      <c r="M5408" s="355"/>
    </row>
    <row r="5409" spans="5:13">
      <c r="E5409" s="355"/>
      <c r="F5409" s="355"/>
      <c r="G5409" s="355"/>
      <c r="H5409" s="355"/>
      <c r="I5409" s="355"/>
      <c r="J5409" s="355"/>
      <c r="K5409" s="355"/>
      <c r="L5409" s="355"/>
      <c r="M5409" s="355"/>
    </row>
    <row r="5410" spans="5:13">
      <c r="E5410" s="355"/>
      <c r="F5410" s="355"/>
      <c r="G5410" s="355"/>
      <c r="H5410" s="355"/>
      <c r="I5410" s="355"/>
      <c r="J5410" s="355"/>
      <c r="K5410" s="355"/>
      <c r="L5410" s="355"/>
      <c r="M5410" s="355"/>
    </row>
    <row r="5411" spans="5:13">
      <c r="E5411" s="355"/>
      <c r="F5411" s="355"/>
      <c r="G5411" s="355"/>
      <c r="H5411" s="355"/>
      <c r="I5411" s="355"/>
      <c r="J5411" s="355"/>
      <c r="K5411" s="355"/>
      <c r="L5411" s="355"/>
      <c r="M5411" s="355"/>
    </row>
    <row r="5412" spans="5:13">
      <c r="E5412" s="355"/>
      <c r="F5412" s="355"/>
      <c r="G5412" s="355"/>
      <c r="H5412" s="355"/>
      <c r="I5412" s="355"/>
      <c r="J5412" s="355"/>
      <c r="K5412" s="355"/>
      <c r="L5412" s="355"/>
      <c r="M5412" s="355"/>
    </row>
    <row r="5413" spans="5:13">
      <c r="E5413" s="355"/>
      <c r="F5413" s="355"/>
      <c r="G5413" s="355"/>
      <c r="H5413" s="355"/>
      <c r="I5413" s="355"/>
      <c r="J5413" s="355"/>
      <c r="K5413" s="355"/>
      <c r="L5413" s="355"/>
      <c r="M5413" s="355"/>
    </row>
    <row r="5414" spans="5:13">
      <c r="E5414" s="355"/>
      <c r="F5414" s="355"/>
      <c r="G5414" s="355"/>
      <c r="H5414" s="355"/>
      <c r="I5414" s="355"/>
      <c r="J5414" s="355"/>
      <c r="K5414" s="355"/>
      <c r="L5414" s="355"/>
      <c r="M5414" s="355"/>
    </row>
    <row r="5415" spans="5:13">
      <c r="E5415" s="355"/>
      <c r="F5415" s="355"/>
      <c r="G5415" s="355"/>
      <c r="H5415" s="355"/>
      <c r="I5415" s="355"/>
      <c r="J5415" s="355"/>
      <c r="K5415" s="355"/>
      <c r="L5415" s="355"/>
      <c r="M5415" s="355"/>
    </row>
    <row r="5416" spans="5:13">
      <c r="E5416" s="355"/>
      <c r="F5416" s="355"/>
      <c r="G5416" s="355"/>
      <c r="H5416" s="355"/>
      <c r="I5416" s="355"/>
      <c r="J5416" s="355"/>
      <c r="K5416" s="355"/>
      <c r="L5416" s="355"/>
      <c r="M5416" s="355"/>
    </row>
    <row r="5417" spans="5:13">
      <c r="E5417" s="355"/>
      <c r="F5417" s="355"/>
      <c r="G5417" s="355"/>
      <c r="H5417" s="355"/>
      <c r="I5417" s="355"/>
      <c r="J5417" s="355"/>
      <c r="K5417" s="355"/>
      <c r="L5417" s="355"/>
      <c r="M5417" s="355"/>
    </row>
    <row r="5418" spans="5:13">
      <c r="E5418" s="355"/>
      <c r="F5418" s="355"/>
      <c r="G5418" s="355"/>
      <c r="H5418" s="355"/>
      <c r="I5418" s="355"/>
      <c r="J5418" s="355"/>
      <c r="K5418" s="355"/>
      <c r="L5418" s="355"/>
      <c r="M5418" s="355"/>
    </row>
    <row r="5419" spans="5:13">
      <c r="E5419" s="355"/>
      <c r="F5419" s="355"/>
      <c r="G5419" s="355"/>
      <c r="H5419" s="355"/>
      <c r="I5419" s="355"/>
      <c r="J5419" s="355"/>
      <c r="K5419" s="355"/>
      <c r="L5419" s="355"/>
      <c r="M5419" s="355"/>
    </row>
    <row r="5420" spans="5:13">
      <c r="E5420" s="355"/>
      <c r="F5420" s="355"/>
      <c r="G5420" s="355"/>
      <c r="H5420" s="355"/>
      <c r="I5420" s="355"/>
      <c r="J5420" s="355"/>
      <c r="K5420" s="355"/>
      <c r="L5420" s="355"/>
      <c r="M5420" s="355"/>
    </row>
    <row r="5421" spans="5:13">
      <c r="E5421" s="355"/>
      <c r="F5421" s="355"/>
      <c r="G5421" s="355"/>
      <c r="H5421" s="355"/>
      <c r="I5421" s="355"/>
      <c r="J5421" s="355"/>
      <c r="K5421" s="355"/>
      <c r="L5421" s="355"/>
      <c r="M5421" s="355"/>
    </row>
    <row r="5422" spans="5:13">
      <c r="E5422" s="355"/>
      <c r="F5422" s="355"/>
      <c r="G5422" s="355"/>
      <c r="H5422" s="355"/>
      <c r="I5422" s="355"/>
      <c r="J5422" s="355"/>
      <c r="K5422" s="355"/>
      <c r="L5422" s="355"/>
      <c r="M5422" s="355"/>
    </row>
    <row r="5423" spans="5:13">
      <c r="E5423" s="355"/>
      <c r="F5423" s="355"/>
      <c r="G5423" s="355"/>
      <c r="H5423" s="355"/>
      <c r="I5423" s="355"/>
      <c r="J5423" s="355"/>
      <c r="K5423" s="355"/>
      <c r="L5423" s="355"/>
      <c r="M5423" s="355"/>
    </row>
    <row r="5424" spans="5:13">
      <c r="E5424" s="355"/>
      <c r="F5424" s="355"/>
      <c r="G5424" s="355"/>
      <c r="H5424" s="355"/>
      <c r="I5424" s="355"/>
      <c r="J5424" s="355"/>
      <c r="K5424" s="355"/>
      <c r="L5424" s="355"/>
      <c r="M5424" s="355"/>
    </row>
    <row r="5425" spans="5:13">
      <c r="E5425" s="355"/>
      <c r="F5425" s="355"/>
      <c r="G5425" s="355"/>
      <c r="H5425" s="355"/>
      <c r="I5425" s="355"/>
      <c r="J5425" s="355"/>
      <c r="K5425" s="355"/>
      <c r="L5425" s="355"/>
      <c r="M5425" s="355"/>
    </row>
    <row r="5426" spans="5:13">
      <c r="E5426" s="355"/>
      <c r="F5426" s="355"/>
      <c r="G5426" s="355"/>
      <c r="H5426" s="355"/>
      <c r="I5426" s="355"/>
      <c r="J5426" s="355"/>
      <c r="K5426" s="355"/>
      <c r="L5426" s="355"/>
      <c r="M5426" s="355"/>
    </row>
    <row r="5427" spans="5:13">
      <c r="E5427" s="355"/>
      <c r="F5427" s="355"/>
      <c r="G5427" s="355"/>
      <c r="H5427" s="355"/>
      <c r="I5427" s="355"/>
      <c r="J5427" s="355"/>
      <c r="K5427" s="355"/>
      <c r="L5427" s="355"/>
      <c r="M5427" s="355"/>
    </row>
    <row r="5428" spans="5:13">
      <c r="E5428" s="355"/>
      <c r="F5428" s="355"/>
      <c r="G5428" s="355"/>
      <c r="H5428" s="355"/>
      <c r="I5428" s="355"/>
      <c r="J5428" s="355"/>
      <c r="K5428" s="355"/>
      <c r="L5428" s="355"/>
      <c r="M5428" s="355"/>
    </row>
    <row r="5429" spans="5:13">
      <c r="E5429" s="355"/>
      <c r="F5429" s="355"/>
      <c r="G5429" s="355"/>
      <c r="H5429" s="355"/>
      <c r="I5429" s="355"/>
      <c r="J5429" s="355"/>
      <c r="K5429" s="355"/>
      <c r="L5429" s="355"/>
      <c r="M5429" s="355"/>
    </row>
    <row r="5430" spans="5:13">
      <c r="E5430" s="355"/>
      <c r="F5430" s="355"/>
      <c r="G5430" s="355"/>
      <c r="H5430" s="355"/>
      <c r="I5430" s="355"/>
      <c r="J5430" s="355"/>
      <c r="K5430" s="355"/>
      <c r="L5430" s="355"/>
      <c r="M5430" s="355"/>
    </row>
    <row r="5431" spans="5:13">
      <c r="E5431" s="355"/>
      <c r="F5431" s="355"/>
      <c r="G5431" s="355"/>
      <c r="H5431" s="355"/>
      <c r="I5431" s="355"/>
      <c r="J5431" s="355"/>
      <c r="K5431" s="355"/>
      <c r="L5431" s="355"/>
      <c r="M5431" s="355"/>
    </row>
    <row r="5432" spans="5:13">
      <c r="E5432" s="355"/>
      <c r="F5432" s="355"/>
      <c r="G5432" s="355"/>
      <c r="H5432" s="355"/>
      <c r="I5432" s="355"/>
      <c r="J5432" s="355"/>
      <c r="K5432" s="355"/>
      <c r="L5432" s="355"/>
      <c r="M5432" s="355"/>
    </row>
    <row r="5433" spans="5:13">
      <c r="E5433" s="355"/>
      <c r="F5433" s="355"/>
      <c r="G5433" s="355"/>
      <c r="H5433" s="355"/>
      <c r="I5433" s="355"/>
      <c r="J5433" s="355"/>
      <c r="K5433" s="355"/>
      <c r="L5433" s="355"/>
      <c r="M5433" s="355"/>
    </row>
    <row r="5434" spans="5:13">
      <c r="E5434" s="355"/>
      <c r="F5434" s="355"/>
      <c r="G5434" s="355"/>
      <c r="H5434" s="355"/>
      <c r="I5434" s="355"/>
      <c r="J5434" s="355"/>
      <c r="K5434" s="355"/>
      <c r="L5434" s="355"/>
      <c r="M5434" s="355"/>
    </row>
    <row r="5435" spans="5:13">
      <c r="E5435" s="355"/>
      <c r="F5435" s="355"/>
      <c r="G5435" s="355"/>
      <c r="H5435" s="355"/>
      <c r="I5435" s="355"/>
      <c r="J5435" s="355"/>
      <c r="K5435" s="355"/>
      <c r="L5435" s="355"/>
      <c r="M5435" s="355"/>
    </row>
    <row r="5436" spans="5:13">
      <c r="E5436" s="355"/>
      <c r="F5436" s="355"/>
      <c r="G5436" s="355"/>
      <c r="H5436" s="355"/>
      <c r="I5436" s="355"/>
      <c r="J5436" s="355"/>
      <c r="K5436" s="355"/>
      <c r="L5436" s="355"/>
      <c r="M5436" s="355"/>
    </row>
    <row r="5437" spans="5:13">
      <c r="E5437" s="355"/>
      <c r="F5437" s="355"/>
      <c r="G5437" s="355"/>
      <c r="H5437" s="355"/>
      <c r="I5437" s="355"/>
      <c r="J5437" s="355"/>
      <c r="K5437" s="355"/>
      <c r="L5437" s="355"/>
      <c r="M5437" s="355"/>
    </row>
    <row r="5438" spans="5:13">
      <c r="E5438" s="355"/>
      <c r="F5438" s="355"/>
      <c r="G5438" s="355"/>
      <c r="H5438" s="355"/>
      <c r="I5438" s="355"/>
      <c r="J5438" s="355"/>
      <c r="K5438" s="355"/>
      <c r="L5438" s="355"/>
      <c r="M5438" s="355"/>
    </row>
    <row r="5439" spans="5:13">
      <c r="E5439" s="355"/>
      <c r="F5439" s="355"/>
      <c r="G5439" s="355"/>
      <c r="H5439" s="355"/>
      <c r="I5439" s="355"/>
      <c r="J5439" s="355"/>
      <c r="K5439" s="355"/>
      <c r="L5439" s="355"/>
      <c r="M5439" s="355"/>
    </row>
    <row r="5440" spans="5:13">
      <c r="E5440" s="355"/>
      <c r="F5440" s="355"/>
      <c r="G5440" s="355"/>
      <c r="H5440" s="355"/>
      <c r="I5440" s="355"/>
      <c r="J5440" s="355"/>
      <c r="K5440" s="355"/>
      <c r="L5440" s="355"/>
      <c r="M5440" s="355"/>
    </row>
    <row r="5441" spans="5:13">
      <c r="E5441" s="355"/>
      <c r="F5441" s="355"/>
      <c r="G5441" s="355"/>
      <c r="H5441" s="355"/>
      <c r="I5441" s="355"/>
      <c r="J5441" s="355"/>
      <c r="K5441" s="355"/>
      <c r="L5441" s="355"/>
      <c r="M5441" s="355"/>
    </row>
    <row r="5442" spans="5:13">
      <c r="E5442" s="355"/>
      <c r="F5442" s="355"/>
      <c r="G5442" s="355"/>
      <c r="H5442" s="355"/>
      <c r="I5442" s="355"/>
      <c r="J5442" s="355"/>
      <c r="K5442" s="355"/>
      <c r="L5442" s="355"/>
      <c r="M5442" s="355"/>
    </row>
    <row r="5443" spans="5:13">
      <c r="E5443" s="355"/>
      <c r="F5443" s="355"/>
      <c r="G5443" s="355"/>
      <c r="H5443" s="355"/>
      <c r="I5443" s="355"/>
      <c r="J5443" s="355"/>
      <c r="K5443" s="355"/>
      <c r="L5443" s="355"/>
      <c r="M5443" s="355"/>
    </row>
    <row r="5444" spans="5:13">
      <c r="E5444" s="355"/>
      <c r="F5444" s="355"/>
      <c r="G5444" s="355"/>
      <c r="H5444" s="355"/>
      <c r="I5444" s="355"/>
      <c r="J5444" s="355"/>
      <c r="K5444" s="355"/>
      <c r="L5444" s="355"/>
      <c r="M5444" s="355"/>
    </row>
    <row r="5445" spans="5:13">
      <c r="E5445" s="355"/>
      <c r="F5445" s="355"/>
      <c r="G5445" s="355"/>
      <c r="H5445" s="355"/>
      <c r="I5445" s="355"/>
      <c r="J5445" s="355"/>
      <c r="K5445" s="355"/>
      <c r="L5445" s="355"/>
      <c r="M5445" s="355"/>
    </row>
    <row r="5446" spans="5:13">
      <c r="E5446" s="355"/>
      <c r="F5446" s="355"/>
      <c r="G5446" s="355"/>
      <c r="H5446" s="355"/>
      <c r="I5446" s="355"/>
      <c r="J5446" s="355"/>
      <c r="K5446" s="355"/>
      <c r="L5446" s="355"/>
      <c r="M5446" s="355"/>
    </row>
    <row r="5447" spans="5:13">
      <c r="E5447" s="355"/>
      <c r="F5447" s="355"/>
      <c r="G5447" s="355"/>
      <c r="H5447" s="355"/>
      <c r="I5447" s="355"/>
      <c r="J5447" s="355"/>
      <c r="K5447" s="355"/>
      <c r="L5447" s="355"/>
      <c r="M5447" s="355"/>
    </row>
    <row r="5448" spans="5:13">
      <c r="E5448" s="355"/>
      <c r="F5448" s="355"/>
      <c r="G5448" s="355"/>
      <c r="H5448" s="355"/>
      <c r="I5448" s="355"/>
      <c r="J5448" s="355"/>
      <c r="K5448" s="355"/>
      <c r="L5448" s="355"/>
      <c r="M5448" s="355"/>
    </row>
    <row r="5449" spans="5:13">
      <c r="E5449" s="355"/>
      <c r="F5449" s="355"/>
      <c r="G5449" s="355"/>
      <c r="H5449" s="355"/>
      <c r="I5449" s="355"/>
      <c r="J5449" s="355"/>
      <c r="K5449" s="355"/>
      <c r="L5449" s="355"/>
      <c r="M5449" s="355"/>
    </row>
    <row r="5450" spans="5:13">
      <c r="E5450" s="355"/>
      <c r="F5450" s="355"/>
      <c r="G5450" s="355"/>
      <c r="H5450" s="355"/>
      <c r="I5450" s="355"/>
      <c r="J5450" s="355"/>
      <c r="K5450" s="355"/>
      <c r="L5450" s="355"/>
      <c r="M5450" s="355"/>
    </row>
    <row r="5451" spans="5:13">
      <c r="E5451" s="355"/>
      <c r="F5451" s="355"/>
      <c r="G5451" s="355"/>
      <c r="H5451" s="355"/>
      <c r="I5451" s="355"/>
      <c r="J5451" s="355"/>
      <c r="K5451" s="355"/>
      <c r="L5451" s="355"/>
      <c r="M5451" s="355"/>
    </row>
    <row r="5452" spans="5:13">
      <c r="E5452" s="355"/>
      <c r="F5452" s="355"/>
      <c r="G5452" s="355"/>
      <c r="H5452" s="355"/>
      <c r="I5452" s="355"/>
      <c r="J5452" s="355"/>
      <c r="K5452" s="355"/>
      <c r="L5452" s="355"/>
      <c r="M5452" s="355"/>
    </row>
    <row r="5453" spans="5:13">
      <c r="E5453" s="355"/>
      <c r="F5453" s="355"/>
      <c r="G5453" s="355"/>
      <c r="H5453" s="355"/>
      <c r="I5453" s="355"/>
      <c r="J5453" s="355"/>
      <c r="K5453" s="355"/>
      <c r="L5453" s="355"/>
      <c r="M5453" s="355"/>
    </row>
    <row r="5454" spans="5:13">
      <c r="E5454" s="355"/>
      <c r="F5454" s="355"/>
      <c r="G5454" s="355"/>
      <c r="H5454" s="355"/>
      <c r="I5454" s="355"/>
      <c r="J5454" s="355"/>
      <c r="K5454" s="355"/>
      <c r="L5454" s="355"/>
      <c r="M5454" s="355"/>
    </row>
    <row r="5455" spans="5:13">
      <c r="E5455" s="355"/>
      <c r="F5455" s="355"/>
      <c r="G5455" s="355"/>
      <c r="H5455" s="355"/>
      <c r="I5455" s="355"/>
      <c r="J5455" s="355"/>
      <c r="K5455" s="355"/>
      <c r="L5455" s="355"/>
      <c r="M5455" s="355"/>
    </row>
    <row r="5456" spans="5:13">
      <c r="E5456" s="355"/>
      <c r="F5456" s="355"/>
      <c r="G5456" s="355"/>
      <c r="H5456" s="355"/>
      <c r="I5456" s="355"/>
      <c r="J5456" s="355"/>
      <c r="K5456" s="355"/>
      <c r="L5456" s="355"/>
      <c r="M5456" s="355"/>
    </row>
    <row r="5457" spans="5:13">
      <c r="E5457" s="355"/>
      <c r="F5457" s="355"/>
      <c r="G5457" s="355"/>
      <c r="H5457" s="355"/>
      <c r="I5457" s="355"/>
      <c r="J5457" s="355"/>
      <c r="K5457" s="355"/>
      <c r="L5457" s="355"/>
      <c r="M5457" s="355"/>
    </row>
    <row r="5458" spans="5:13">
      <c r="E5458" s="355"/>
      <c r="F5458" s="355"/>
      <c r="G5458" s="355"/>
      <c r="H5458" s="355"/>
      <c r="I5458" s="355"/>
      <c r="J5458" s="355"/>
      <c r="K5458" s="355"/>
      <c r="L5458" s="355"/>
      <c r="M5458" s="355"/>
    </row>
    <row r="5459" spans="5:13">
      <c r="E5459" s="355"/>
      <c r="F5459" s="355"/>
      <c r="G5459" s="355"/>
      <c r="H5459" s="355"/>
      <c r="I5459" s="355"/>
      <c r="J5459" s="355"/>
      <c r="K5459" s="355"/>
      <c r="L5459" s="355"/>
      <c r="M5459" s="355"/>
    </row>
    <row r="5460" spans="5:13">
      <c r="E5460" s="355"/>
      <c r="F5460" s="355"/>
      <c r="G5460" s="355"/>
      <c r="H5460" s="355"/>
      <c r="I5460" s="355"/>
      <c r="J5460" s="355"/>
      <c r="K5460" s="355"/>
      <c r="L5460" s="355"/>
      <c r="M5460" s="355"/>
    </row>
    <row r="5461" spans="5:13">
      <c r="E5461" s="355"/>
      <c r="F5461" s="355"/>
      <c r="G5461" s="355"/>
      <c r="H5461" s="355"/>
      <c r="I5461" s="355"/>
      <c r="J5461" s="355"/>
      <c r="K5461" s="355"/>
      <c r="L5461" s="355"/>
      <c r="M5461" s="355"/>
    </row>
    <row r="5462" spans="5:13">
      <c r="E5462" s="355"/>
      <c r="F5462" s="355"/>
      <c r="G5462" s="355"/>
      <c r="H5462" s="355"/>
      <c r="I5462" s="355"/>
      <c r="J5462" s="355"/>
      <c r="K5462" s="355"/>
      <c r="L5462" s="355"/>
      <c r="M5462" s="355"/>
    </row>
    <row r="5463" spans="5:13">
      <c r="E5463" s="355"/>
      <c r="F5463" s="355"/>
      <c r="G5463" s="355"/>
      <c r="H5463" s="355"/>
      <c r="I5463" s="355"/>
      <c r="J5463" s="355"/>
      <c r="K5463" s="355"/>
      <c r="L5463" s="355"/>
      <c r="M5463" s="355"/>
    </row>
    <row r="5464" spans="5:13">
      <c r="E5464" s="355"/>
      <c r="F5464" s="355"/>
      <c r="G5464" s="355"/>
      <c r="H5464" s="355"/>
      <c r="I5464" s="355"/>
      <c r="J5464" s="355"/>
      <c r="K5464" s="355"/>
      <c r="L5464" s="355"/>
      <c r="M5464" s="355"/>
    </row>
    <row r="5465" spans="5:13">
      <c r="E5465" s="355"/>
      <c r="F5465" s="355"/>
      <c r="G5465" s="355"/>
      <c r="H5465" s="355"/>
      <c r="I5465" s="355"/>
      <c r="J5465" s="355"/>
      <c r="K5465" s="355"/>
      <c r="L5465" s="355"/>
      <c r="M5465" s="355"/>
    </row>
    <row r="5466" spans="5:13">
      <c r="E5466" s="355"/>
      <c r="F5466" s="355"/>
      <c r="G5466" s="355"/>
      <c r="H5466" s="355"/>
      <c r="I5466" s="355"/>
      <c r="J5466" s="355"/>
      <c r="K5466" s="355"/>
      <c r="L5466" s="355"/>
      <c r="M5466" s="355"/>
    </row>
    <row r="5467" spans="5:13">
      <c r="E5467" s="355"/>
      <c r="F5467" s="355"/>
      <c r="G5467" s="355"/>
      <c r="H5467" s="355"/>
      <c r="I5467" s="355"/>
      <c r="J5467" s="355"/>
      <c r="K5467" s="355"/>
      <c r="L5467" s="355"/>
      <c r="M5467" s="355"/>
    </row>
    <row r="5468" spans="5:13">
      <c r="E5468" s="355"/>
      <c r="F5468" s="355"/>
      <c r="G5468" s="355"/>
      <c r="H5468" s="355"/>
      <c r="I5468" s="355"/>
      <c r="J5468" s="355"/>
      <c r="K5468" s="355"/>
      <c r="L5468" s="355"/>
      <c r="M5468" s="355"/>
    </row>
    <row r="5469" spans="5:13">
      <c r="E5469" s="355"/>
      <c r="F5469" s="355"/>
      <c r="G5469" s="355"/>
      <c r="H5469" s="355"/>
      <c r="I5469" s="355"/>
      <c r="J5469" s="355"/>
      <c r="K5469" s="355"/>
      <c r="L5469" s="355"/>
      <c r="M5469" s="355"/>
    </row>
    <row r="5470" spans="5:13">
      <c r="E5470" s="355"/>
      <c r="F5470" s="355"/>
      <c r="G5470" s="355"/>
      <c r="H5470" s="355"/>
      <c r="I5470" s="355"/>
      <c r="J5470" s="355"/>
      <c r="K5470" s="355"/>
      <c r="L5470" s="355"/>
      <c r="M5470" s="355"/>
    </row>
    <row r="5471" spans="5:13">
      <c r="E5471" s="355"/>
      <c r="F5471" s="355"/>
      <c r="G5471" s="355"/>
      <c r="H5471" s="355"/>
      <c r="I5471" s="355"/>
      <c r="J5471" s="355"/>
      <c r="K5471" s="355"/>
      <c r="L5471" s="355"/>
      <c r="M5471" s="355"/>
    </row>
    <row r="5472" spans="5:13">
      <c r="E5472" s="355"/>
      <c r="F5472" s="355"/>
      <c r="G5472" s="355"/>
      <c r="H5472" s="355"/>
      <c r="I5472" s="355"/>
      <c r="J5472" s="355"/>
      <c r="K5472" s="355"/>
      <c r="L5472" s="355"/>
      <c r="M5472" s="355"/>
    </row>
    <row r="5473" spans="5:13">
      <c r="E5473" s="355"/>
      <c r="F5473" s="355"/>
      <c r="G5473" s="355"/>
      <c r="H5473" s="355"/>
      <c r="I5473" s="355"/>
      <c r="J5473" s="355"/>
      <c r="K5473" s="355"/>
      <c r="L5473" s="355"/>
      <c r="M5473" s="355"/>
    </row>
    <row r="5474" spans="5:13">
      <c r="E5474" s="355"/>
      <c r="F5474" s="355"/>
      <c r="G5474" s="355"/>
      <c r="H5474" s="355"/>
      <c r="I5474" s="355"/>
      <c r="J5474" s="355"/>
      <c r="K5474" s="355"/>
      <c r="L5474" s="355"/>
      <c r="M5474" s="355"/>
    </row>
    <row r="5475" spans="5:13">
      <c r="E5475" s="355"/>
      <c r="F5475" s="355"/>
      <c r="G5475" s="355"/>
      <c r="H5475" s="355"/>
      <c r="I5475" s="355"/>
      <c r="J5475" s="355"/>
      <c r="K5475" s="355"/>
      <c r="L5475" s="355"/>
      <c r="M5475" s="355"/>
    </row>
    <row r="5476" spans="5:13">
      <c r="E5476" s="355"/>
      <c r="F5476" s="355"/>
      <c r="G5476" s="355"/>
      <c r="H5476" s="355"/>
      <c r="I5476" s="355"/>
      <c r="J5476" s="355"/>
      <c r="K5476" s="355"/>
      <c r="L5476" s="355"/>
      <c r="M5476" s="355"/>
    </row>
    <row r="5477" spans="5:13">
      <c r="E5477" s="355"/>
      <c r="F5477" s="355"/>
      <c r="G5477" s="355"/>
      <c r="H5477" s="355"/>
      <c r="I5477" s="355"/>
      <c r="J5477" s="355"/>
      <c r="K5477" s="355"/>
      <c r="L5477" s="355"/>
      <c r="M5477" s="355"/>
    </row>
    <row r="5478" spans="5:13">
      <c r="E5478" s="355"/>
      <c r="F5478" s="355"/>
      <c r="G5478" s="355"/>
      <c r="H5478" s="355"/>
      <c r="I5478" s="355"/>
      <c r="J5478" s="355"/>
      <c r="K5478" s="355"/>
      <c r="L5478" s="355"/>
      <c r="M5478" s="355"/>
    </row>
    <row r="5479" spans="5:13">
      <c r="E5479" s="355"/>
      <c r="F5479" s="355"/>
      <c r="G5479" s="355"/>
      <c r="H5479" s="355"/>
      <c r="I5479" s="355"/>
      <c r="J5479" s="355"/>
      <c r="K5479" s="355"/>
      <c r="L5479" s="355"/>
      <c r="M5479" s="355"/>
    </row>
    <row r="5480" spans="5:13">
      <c r="E5480" s="355"/>
      <c r="F5480" s="355"/>
      <c r="G5480" s="355"/>
      <c r="H5480" s="355"/>
      <c r="I5480" s="355"/>
      <c r="J5480" s="355"/>
      <c r="K5480" s="355"/>
      <c r="L5480" s="355"/>
      <c r="M5480" s="355"/>
    </row>
    <row r="5481" spans="5:13">
      <c r="E5481" s="355"/>
      <c r="F5481" s="355"/>
      <c r="G5481" s="355"/>
      <c r="H5481" s="355"/>
      <c r="I5481" s="355"/>
      <c r="J5481" s="355"/>
      <c r="K5481" s="355"/>
      <c r="L5481" s="355"/>
      <c r="M5481" s="355"/>
    </row>
    <row r="5482" spans="5:13">
      <c r="E5482" s="355"/>
      <c r="F5482" s="355"/>
      <c r="G5482" s="355"/>
      <c r="H5482" s="355"/>
      <c r="I5482" s="355"/>
      <c r="J5482" s="355"/>
      <c r="K5482" s="355"/>
      <c r="L5482" s="355"/>
      <c r="M5482" s="355"/>
    </row>
    <row r="5483" spans="5:13">
      <c r="E5483" s="355"/>
      <c r="F5483" s="355"/>
      <c r="G5483" s="355"/>
      <c r="H5483" s="355"/>
      <c r="I5483" s="355"/>
      <c r="J5483" s="355"/>
      <c r="K5483" s="355"/>
      <c r="L5483" s="355"/>
      <c r="M5483" s="355"/>
    </row>
    <row r="5484" spans="5:13">
      <c r="E5484" s="355"/>
      <c r="F5484" s="355"/>
      <c r="G5484" s="355"/>
      <c r="H5484" s="355"/>
      <c r="I5484" s="355"/>
      <c r="J5484" s="355"/>
      <c r="K5484" s="355"/>
      <c r="L5484" s="355"/>
      <c r="M5484" s="355"/>
    </row>
    <row r="5485" spans="5:13">
      <c r="E5485" s="355"/>
      <c r="F5485" s="355"/>
      <c r="G5485" s="355"/>
      <c r="H5485" s="355"/>
      <c r="I5485" s="355"/>
      <c r="J5485" s="355"/>
      <c r="K5485" s="355"/>
      <c r="L5485" s="355"/>
      <c r="M5485" s="355"/>
    </row>
    <row r="5486" spans="5:13">
      <c r="E5486" s="355"/>
      <c r="F5486" s="355"/>
      <c r="G5486" s="355"/>
      <c r="H5486" s="355"/>
      <c r="I5486" s="355"/>
      <c r="J5486" s="355"/>
      <c r="K5486" s="355"/>
      <c r="L5486" s="355"/>
      <c r="M5486" s="355"/>
    </row>
    <row r="5487" spans="5:13">
      <c r="E5487" s="355"/>
      <c r="F5487" s="355"/>
      <c r="G5487" s="355"/>
      <c r="H5487" s="355"/>
      <c r="I5487" s="355"/>
      <c r="J5487" s="355"/>
      <c r="K5487" s="355"/>
      <c r="L5487" s="355"/>
      <c r="M5487" s="355"/>
    </row>
    <row r="5488" spans="5:13">
      <c r="E5488" s="355"/>
      <c r="F5488" s="355"/>
      <c r="G5488" s="355"/>
      <c r="H5488" s="355"/>
      <c r="I5488" s="355"/>
      <c r="J5488" s="355"/>
      <c r="K5488" s="355"/>
      <c r="L5488" s="355"/>
      <c r="M5488" s="355"/>
    </row>
    <row r="5489" spans="5:13">
      <c r="E5489" s="355"/>
      <c r="F5489" s="355"/>
      <c r="G5489" s="355"/>
      <c r="H5489" s="355"/>
      <c r="I5489" s="355"/>
      <c r="J5489" s="355"/>
      <c r="K5489" s="355"/>
      <c r="L5489" s="355"/>
      <c r="M5489" s="355"/>
    </row>
    <row r="5490" spans="5:13">
      <c r="E5490" s="355"/>
      <c r="F5490" s="355"/>
      <c r="G5490" s="355"/>
      <c r="H5490" s="355"/>
      <c r="I5490" s="355"/>
      <c r="J5490" s="355"/>
      <c r="K5490" s="355"/>
      <c r="L5490" s="355"/>
      <c r="M5490" s="355"/>
    </row>
    <row r="5491" spans="5:13">
      <c r="E5491" s="355"/>
      <c r="F5491" s="355"/>
      <c r="G5491" s="355"/>
      <c r="H5491" s="355"/>
      <c r="I5491" s="355"/>
      <c r="J5491" s="355"/>
      <c r="K5491" s="355"/>
      <c r="L5491" s="355"/>
      <c r="M5491" s="355"/>
    </row>
    <row r="5492" spans="5:13">
      <c r="E5492" s="355"/>
      <c r="F5492" s="355"/>
      <c r="G5492" s="355"/>
      <c r="H5492" s="355"/>
      <c r="I5492" s="355"/>
      <c r="J5492" s="355"/>
      <c r="K5492" s="355"/>
      <c r="L5492" s="355"/>
      <c r="M5492" s="355"/>
    </row>
    <row r="5493" spans="5:13">
      <c r="E5493" s="355"/>
      <c r="F5493" s="355"/>
      <c r="G5493" s="355"/>
      <c r="H5493" s="355"/>
      <c r="I5493" s="355"/>
      <c r="J5493" s="355"/>
      <c r="K5493" s="355"/>
      <c r="L5493" s="355"/>
      <c r="M5493" s="355"/>
    </row>
    <row r="5494" spans="5:13">
      <c r="E5494" s="355"/>
      <c r="F5494" s="355"/>
      <c r="G5494" s="355"/>
      <c r="H5494" s="355"/>
      <c r="I5494" s="355"/>
      <c r="J5494" s="355"/>
      <c r="K5494" s="355"/>
      <c r="L5494" s="355"/>
      <c r="M5494" s="355"/>
    </row>
    <row r="5495" spans="5:13">
      <c r="E5495" s="355"/>
      <c r="F5495" s="355"/>
      <c r="G5495" s="355"/>
      <c r="H5495" s="355"/>
      <c r="I5495" s="355"/>
      <c r="J5495" s="355"/>
      <c r="K5495" s="355"/>
      <c r="L5495" s="355"/>
      <c r="M5495" s="355"/>
    </row>
    <row r="5496" spans="5:13">
      <c r="E5496" s="355"/>
      <c r="F5496" s="355"/>
      <c r="G5496" s="355"/>
      <c r="H5496" s="355"/>
      <c r="I5496" s="355"/>
      <c r="J5496" s="355"/>
      <c r="K5496" s="355"/>
      <c r="L5496" s="355"/>
      <c r="M5496" s="355"/>
    </row>
    <row r="5497" spans="5:13">
      <c r="E5497" s="355"/>
      <c r="F5497" s="355"/>
      <c r="G5497" s="355"/>
      <c r="H5497" s="355"/>
      <c r="I5497" s="355"/>
      <c r="J5497" s="355"/>
      <c r="K5497" s="355"/>
      <c r="L5497" s="355"/>
      <c r="M5497" s="355"/>
    </row>
    <row r="5498" spans="5:13">
      <c r="E5498" s="355"/>
      <c r="F5498" s="355"/>
      <c r="G5498" s="355"/>
      <c r="H5498" s="355"/>
      <c r="I5498" s="355"/>
      <c r="J5498" s="355"/>
      <c r="K5498" s="355"/>
      <c r="L5498" s="355"/>
      <c r="M5498" s="355"/>
    </row>
    <row r="5499" spans="5:13">
      <c r="E5499" s="355"/>
      <c r="F5499" s="355"/>
      <c r="G5499" s="355"/>
      <c r="H5499" s="355"/>
      <c r="I5499" s="355"/>
      <c r="J5499" s="355"/>
      <c r="K5499" s="355"/>
      <c r="L5499" s="355"/>
      <c r="M5499" s="355"/>
    </row>
    <row r="5500" spans="5:13">
      <c r="E5500" s="355"/>
      <c r="F5500" s="355"/>
      <c r="G5500" s="355"/>
      <c r="H5500" s="355"/>
      <c r="I5500" s="355"/>
      <c r="J5500" s="355"/>
      <c r="K5500" s="355"/>
      <c r="L5500" s="355"/>
      <c r="M5500" s="355"/>
    </row>
    <row r="5501" spans="5:13">
      <c r="E5501" s="355"/>
      <c r="F5501" s="355"/>
      <c r="G5501" s="355"/>
      <c r="H5501" s="355"/>
      <c r="I5501" s="355"/>
      <c r="J5501" s="355"/>
      <c r="K5501" s="355"/>
      <c r="L5501" s="355"/>
      <c r="M5501" s="355"/>
    </row>
    <row r="5502" spans="5:13">
      <c r="E5502" s="355"/>
      <c r="F5502" s="355"/>
      <c r="G5502" s="355"/>
      <c r="H5502" s="355"/>
      <c r="I5502" s="355"/>
      <c r="J5502" s="355"/>
      <c r="K5502" s="355"/>
      <c r="L5502" s="355"/>
      <c r="M5502" s="355"/>
    </row>
    <row r="5503" spans="5:13">
      <c r="E5503" s="355"/>
      <c r="F5503" s="355"/>
      <c r="G5503" s="355"/>
      <c r="H5503" s="355"/>
      <c r="I5503" s="355"/>
      <c r="J5503" s="355"/>
      <c r="K5503" s="355"/>
      <c r="L5503" s="355"/>
      <c r="M5503" s="355"/>
    </row>
    <row r="5504" spans="5:13">
      <c r="E5504" s="355"/>
      <c r="F5504" s="355"/>
      <c r="G5504" s="355"/>
      <c r="H5504" s="355"/>
      <c r="I5504" s="355"/>
      <c r="J5504" s="355"/>
      <c r="K5504" s="355"/>
      <c r="L5504" s="355"/>
      <c r="M5504" s="355"/>
    </row>
    <row r="5505" spans="5:13">
      <c r="E5505" s="355"/>
      <c r="F5505" s="355"/>
      <c r="G5505" s="355"/>
      <c r="H5505" s="355"/>
      <c r="I5505" s="355"/>
      <c r="J5505" s="355"/>
      <c r="K5505" s="355"/>
      <c r="L5505" s="355"/>
      <c r="M5505" s="355"/>
    </row>
    <row r="5506" spans="5:13">
      <c r="E5506" s="355"/>
      <c r="F5506" s="355"/>
      <c r="G5506" s="355"/>
      <c r="H5506" s="355"/>
      <c r="I5506" s="355"/>
      <c r="J5506" s="355"/>
      <c r="K5506" s="355"/>
      <c r="L5506" s="355"/>
      <c r="M5506" s="355"/>
    </row>
    <row r="5507" spans="5:13">
      <c r="E5507" s="355"/>
      <c r="F5507" s="355"/>
      <c r="G5507" s="355"/>
      <c r="H5507" s="355"/>
      <c r="I5507" s="355"/>
      <c r="J5507" s="355"/>
      <c r="K5507" s="355"/>
      <c r="L5507" s="355"/>
      <c r="M5507" s="355"/>
    </row>
    <row r="5508" spans="5:13">
      <c r="E5508" s="355"/>
      <c r="F5508" s="355"/>
      <c r="G5508" s="355"/>
      <c r="H5508" s="355"/>
      <c r="I5508" s="355"/>
      <c r="J5508" s="355"/>
      <c r="K5508" s="355"/>
      <c r="L5508" s="355"/>
      <c r="M5508" s="355"/>
    </row>
    <row r="5509" spans="5:13">
      <c r="E5509" s="355"/>
      <c r="F5509" s="355"/>
      <c r="G5509" s="355"/>
      <c r="H5509" s="355"/>
      <c r="I5509" s="355"/>
      <c r="J5509" s="355"/>
      <c r="K5509" s="355"/>
      <c r="L5509" s="355"/>
      <c r="M5509" s="355"/>
    </row>
    <row r="5510" spans="5:13">
      <c r="E5510" s="355"/>
      <c r="F5510" s="355"/>
      <c r="G5510" s="355"/>
      <c r="H5510" s="355"/>
      <c r="I5510" s="355"/>
      <c r="J5510" s="355"/>
      <c r="K5510" s="355"/>
      <c r="L5510" s="355"/>
      <c r="M5510" s="355"/>
    </row>
    <row r="5511" spans="5:13">
      <c r="E5511" s="355"/>
      <c r="F5511" s="355"/>
      <c r="G5511" s="355"/>
      <c r="H5511" s="355"/>
      <c r="I5511" s="355"/>
      <c r="J5511" s="355"/>
      <c r="K5511" s="355"/>
      <c r="L5511" s="355"/>
      <c r="M5511" s="355"/>
    </row>
    <row r="5512" spans="5:13">
      <c r="E5512" s="355"/>
      <c r="F5512" s="355"/>
      <c r="G5512" s="355"/>
      <c r="H5512" s="355"/>
      <c r="I5512" s="355"/>
      <c r="J5512" s="355"/>
      <c r="K5512" s="355"/>
      <c r="L5512" s="355"/>
      <c r="M5512" s="355"/>
    </row>
    <row r="5513" spans="5:13">
      <c r="E5513" s="355"/>
      <c r="F5513" s="355"/>
      <c r="G5513" s="355"/>
      <c r="H5513" s="355"/>
      <c r="I5513" s="355"/>
      <c r="J5513" s="355"/>
      <c r="K5513" s="355"/>
      <c r="L5513" s="355"/>
      <c r="M5513" s="355"/>
    </row>
    <row r="5514" spans="5:13">
      <c r="E5514" s="355"/>
      <c r="F5514" s="355"/>
      <c r="G5514" s="355"/>
      <c r="H5514" s="355"/>
      <c r="I5514" s="355"/>
      <c r="J5514" s="355"/>
      <c r="K5514" s="355"/>
      <c r="L5514" s="355"/>
      <c r="M5514" s="355"/>
    </row>
    <row r="5515" spans="5:13">
      <c r="E5515" s="355"/>
      <c r="F5515" s="355"/>
      <c r="G5515" s="355"/>
      <c r="H5515" s="355"/>
      <c r="I5515" s="355"/>
      <c r="J5515" s="355"/>
      <c r="K5515" s="355"/>
      <c r="L5515" s="355"/>
      <c r="M5515" s="355"/>
    </row>
    <row r="5516" spans="5:13">
      <c r="E5516" s="355"/>
      <c r="F5516" s="355"/>
      <c r="G5516" s="355"/>
      <c r="H5516" s="355"/>
      <c r="I5516" s="355"/>
      <c r="J5516" s="355"/>
      <c r="K5516" s="355"/>
      <c r="L5516" s="355"/>
      <c r="M5516" s="355"/>
    </row>
    <row r="5517" spans="5:13">
      <c r="E5517" s="355"/>
      <c r="F5517" s="355"/>
      <c r="G5517" s="355"/>
      <c r="H5517" s="355"/>
      <c r="I5517" s="355"/>
      <c r="J5517" s="355"/>
      <c r="K5517" s="355"/>
      <c r="L5517" s="355"/>
      <c r="M5517" s="355"/>
    </row>
    <row r="5518" spans="5:13">
      <c r="E5518" s="355"/>
      <c r="F5518" s="355"/>
      <c r="G5518" s="355"/>
      <c r="H5518" s="355"/>
      <c r="I5518" s="355"/>
      <c r="J5518" s="355"/>
      <c r="K5518" s="355"/>
      <c r="L5518" s="355"/>
      <c r="M5518" s="355"/>
    </row>
    <row r="5519" spans="5:13">
      <c r="E5519" s="355"/>
      <c r="F5519" s="355"/>
      <c r="G5519" s="355"/>
      <c r="H5519" s="355"/>
      <c r="I5519" s="355"/>
      <c r="J5519" s="355"/>
      <c r="K5519" s="355"/>
      <c r="L5519" s="355"/>
      <c r="M5519" s="355"/>
    </row>
    <row r="5520" spans="5:13">
      <c r="E5520" s="355"/>
      <c r="F5520" s="355"/>
      <c r="G5520" s="355"/>
      <c r="H5520" s="355"/>
      <c r="I5520" s="355"/>
      <c r="J5520" s="355"/>
      <c r="K5520" s="355"/>
      <c r="L5520" s="355"/>
      <c r="M5520" s="355"/>
    </row>
    <row r="5521" spans="5:13">
      <c r="E5521" s="355"/>
      <c r="F5521" s="355"/>
      <c r="G5521" s="355"/>
      <c r="H5521" s="355"/>
      <c r="I5521" s="355"/>
      <c r="J5521" s="355"/>
      <c r="K5521" s="355"/>
      <c r="L5521" s="355"/>
      <c r="M5521" s="355"/>
    </row>
    <row r="5522" spans="5:13">
      <c r="E5522" s="355"/>
      <c r="F5522" s="355"/>
      <c r="G5522" s="355"/>
      <c r="H5522" s="355"/>
      <c r="I5522" s="355"/>
      <c r="J5522" s="355"/>
      <c r="K5522" s="355"/>
      <c r="L5522" s="355"/>
      <c r="M5522" s="355"/>
    </row>
    <row r="5523" spans="5:13">
      <c r="E5523" s="355"/>
      <c r="F5523" s="355"/>
      <c r="G5523" s="355"/>
      <c r="H5523" s="355"/>
      <c r="I5523" s="355"/>
      <c r="J5523" s="355"/>
      <c r="K5523" s="355"/>
      <c r="L5523" s="355"/>
      <c r="M5523" s="355"/>
    </row>
    <row r="5524" spans="5:13">
      <c r="E5524" s="355"/>
      <c r="F5524" s="355"/>
      <c r="G5524" s="355"/>
      <c r="H5524" s="355"/>
      <c r="I5524" s="355"/>
      <c r="J5524" s="355"/>
      <c r="K5524" s="355"/>
      <c r="L5524" s="355"/>
      <c r="M5524" s="355"/>
    </row>
    <row r="5525" spans="5:13">
      <c r="E5525" s="355"/>
      <c r="F5525" s="355"/>
      <c r="G5525" s="355"/>
      <c r="H5525" s="355"/>
      <c r="I5525" s="355"/>
      <c r="J5525" s="355"/>
      <c r="K5525" s="355"/>
      <c r="L5525" s="355"/>
      <c r="M5525" s="355"/>
    </row>
    <row r="5526" spans="5:13">
      <c r="E5526" s="355"/>
      <c r="F5526" s="355"/>
      <c r="G5526" s="355"/>
      <c r="H5526" s="355"/>
      <c r="I5526" s="355"/>
      <c r="J5526" s="355"/>
      <c r="K5526" s="355"/>
      <c r="L5526" s="355"/>
      <c r="M5526" s="355"/>
    </row>
    <row r="5527" spans="5:13">
      <c r="E5527" s="355"/>
      <c r="F5527" s="355"/>
      <c r="G5527" s="355"/>
      <c r="H5527" s="355"/>
      <c r="I5527" s="355"/>
      <c r="J5527" s="355"/>
      <c r="K5527" s="355"/>
      <c r="L5527" s="355"/>
      <c r="M5527" s="355"/>
    </row>
    <row r="5528" spans="5:13">
      <c r="E5528" s="355"/>
      <c r="F5528" s="355"/>
      <c r="G5528" s="355"/>
      <c r="H5528" s="355"/>
      <c r="I5528" s="355"/>
      <c r="J5528" s="355"/>
      <c r="K5528" s="355"/>
      <c r="L5528" s="355"/>
      <c r="M5528" s="355"/>
    </row>
    <row r="5529" spans="5:13">
      <c r="E5529" s="355"/>
      <c r="F5529" s="355"/>
      <c r="G5529" s="355"/>
      <c r="H5529" s="355"/>
      <c r="I5529" s="355"/>
      <c r="J5529" s="355"/>
      <c r="K5529" s="355"/>
      <c r="L5529" s="355"/>
      <c r="M5529" s="355"/>
    </row>
    <row r="5530" spans="5:13">
      <c r="E5530" s="355"/>
      <c r="F5530" s="355"/>
      <c r="G5530" s="355"/>
      <c r="H5530" s="355"/>
      <c r="I5530" s="355"/>
      <c r="J5530" s="355"/>
      <c r="K5530" s="355"/>
      <c r="L5530" s="355"/>
      <c r="M5530" s="355"/>
    </row>
    <row r="5531" spans="5:13">
      <c r="E5531" s="355"/>
      <c r="F5531" s="355"/>
      <c r="G5531" s="355"/>
      <c r="H5531" s="355"/>
      <c r="I5531" s="355"/>
      <c r="J5531" s="355"/>
      <c r="K5531" s="355"/>
      <c r="L5531" s="355"/>
      <c r="M5531" s="355"/>
    </row>
    <row r="5532" spans="5:13">
      <c r="E5532" s="355"/>
      <c r="F5532" s="355"/>
      <c r="G5532" s="355"/>
      <c r="H5532" s="355"/>
      <c r="I5532" s="355"/>
      <c r="J5532" s="355"/>
      <c r="K5532" s="355"/>
      <c r="L5532" s="355"/>
      <c r="M5532" s="355"/>
    </row>
    <row r="5533" spans="5:13">
      <c r="E5533" s="355"/>
      <c r="F5533" s="355"/>
      <c r="G5533" s="355"/>
      <c r="H5533" s="355"/>
      <c r="I5533" s="355"/>
      <c r="J5533" s="355"/>
      <c r="K5533" s="355"/>
      <c r="L5533" s="355"/>
      <c r="M5533" s="355"/>
    </row>
    <row r="5534" spans="5:13">
      <c r="E5534" s="355"/>
      <c r="F5534" s="355"/>
      <c r="G5534" s="355"/>
      <c r="H5534" s="355"/>
      <c r="I5534" s="355"/>
      <c r="J5534" s="355"/>
      <c r="K5534" s="355"/>
      <c r="L5534" s="355"/>
      <c r="M5534" s="355"/>
    </row>
    <row r="5535" spans="5:13">
      <c r="E5535" s="355"/>
      <c r="F5535" s="355"/>
      <c r="G5535" s="355"/>
      <c r="H5535" s="355"/>
      <c r="I5535" s="355"/>
      <c r="J5535" s="355"/>
      <c r="K5535" s="355"/>
      <c r="L5535" s="355"/>
      <c r="M5535" s="355"/>
    </row>
    <row r="5536" spans="5:13">
      <c r="E5536" s="355"/>
      <c r="F5536" s="355"/>
      <c r="G5536" s="355"/>
      <c r="H5536" s="355"/>
      <c r="I5536" s="355"/>
      <c r="J5536" s="355"/>
      <c r="K5536" s="355"/>
      <c r="L5536" s="355"/>
      <c r="M5536" s="355"/>
    </row>
    <row r="5537" spans="5:13">
      <c r="E5537" s="355"/>
      <c r="F5537" s="355"/>
      <c r="G5537" s="355"/>
      <c r="H5537" s="355"/>
      <c r="I5537" s="355"/>
      <c r="J5537" s="355"/>
      <c r="K5537" s="355"/>
      <c r="L5537" s="355"/>
      <c r="M5537" s="355"/>
    </row>
    <row r="5538" spans="5:13">
      <c r="E5538" s="355"/>
      <c r="F5538" s="355"/>
      <c r="G5538" s="355"/>
      <c r="H5538" s="355"/>
      <c r="I5538" s="355"/>
      <c r="J5538" s="355"/>
      <c r="K5538" s="355"/>
      <c r="L5538" s="355"/>
      <c r="M5538" s="355"/>
    </row>
    <row r="5539" spans="5:13">
      <c r="E5539" s="355"/>
      <c r="F5539" s="355"/>
      <c r="G5539" s="355"/>
      <c r="H5539" s="355"/>
      <c r="I5539" s="355"/>
      <c r="J5539" s="355"/>
      <c r="K5539" s="355"/>
      <c r="L5539" s="355"/>
      <c r="M5539" s="355"/>
    </row>
    <row r="5540" spans="5:13">
      <c r="E5540" s="355"/>
      <c r="F5540" s="355"/>
      <c r="G5540" s="355"/>
      <c r="H5540" s="355"/>
      <c r="I5540" s="355"/>
      <c r="J5540" s="355"/>
      <c r="K5540" s="355"/>
      <c r="L5540" s="355"/>
      <c r="M5540" s="355"/>
    </row>
    <row r="5541" spans="5:13">
      <c r="E5541" s="355"/>
      <c r="F5541" s="355"/>
      <c r="G5541" s="355"/>
      <c r="H5541" s="355"/>
      <c r="I5541" s="355"/>
      <c r="J5541" s="355"/>
      <c r="K5541" s="355"/>
      <c r="L5541" s="355"/>
      <c r="M5541" s="355"/>
    </row>
    <row r="5542" spans="5:13">
      <c r="E5542" s="355"/>
      <c r="F5542" s="355"/>
      <c r="G5542" s="355"/>
      <c r="H5542" s="355"/>
      <c r="I5542" s="355"/>
      <c r="J5542" s="355"/>
      <c r="K5542" s="355"/>
      <c r="L5542" s="355"/>
      <c r="M5542" s="355"/>
    </row>
    <row r="5543" spans="5:13">
      <c r="E5543" s="355"/>
      <c r="F5543" s="355"/>
      <c r="G5543" s="355"/>
      <c r="H5543" s="355"/>
      <c r="I5543" s="355"/>
      <c r="J5543" s="355"/>
      <c r="K5543" s="355"/>
      <c r="L5543" s="355"/>
      <c r="M5543" s="355"/>
    </row>
    <row r="5544" spans="5:13">
      <c r="E5544" s="355"/>
      <c r="F5544" s="355"/>
      <c r="G5544" s="355"/>
      <c r="H5544" s="355"/>
      <c r="I5544" s="355"/>
      <c r="J5544" s="355"/>
      <c r="K5544" s="355"/>
      <c r="L5544" s="355"/>
      <c r="M5544" s="355"/>
    </row>
    <row r="5545" spans="5:13">
      <c r="E5545" s="355"/>
      <c r="F5545" s="355"/>
      <c r="G5545" s="355"/>
      <c r="H5545" s="355"/>
      <c r="I5545" s="355"/>
      <c r="J5545" s="355"/>
      <c r="K5545" s="355"/>
      <c r="L5545" s="355"/>
      <c r="M5545" s="355"/>
    </row>
    <row r="5546" spans="5:13">
      <c r="E5546" s="355"/>
      <c r="F5546" s="355"/>
      <c r="G5546" s="355"/>
      <c r="H5546" s="355"/>
      <c r="I5546" s="355"/>
      <c r="J5546" s="355"/>
      <c r="K5546" s="355"/>
      <c r="L5546" s="355"/>
      <c r="M5546" s="355"/>
    </row>
    <row r="5547" spans="5:13">
      <c r="E5547" s="355"/>
      <c r="F5547" s="355"/>
      <c r="G5547" s="355"/>
      <c r="H5547" s="355"/>
      <c r="I5547" s="355"/>
      <c r="J5547" s="355"/>
      <c r="K5547" s="355"/>
      <c r="L5547" s="355"/>
      <c r="M5547" s="355"/>
    </row>
    <row r="5548" spans="5:13">
      <c r="E5548" s="355"/>
      <c r="F5548" s="355"/>
      <c r="G5548" s="355"/>
      <c r="H5548" s="355"/>
      <c r="I5548" s="355"/>
      <c r="J5548" s="355"/>
      <c r="K5548" s="355"/>
      <c r="L5548" s="355"/>
      <c r="M5548" s="355"/>
    </row>
    <row r="5549" spans="5:13">
      <c r="E5549" s="355"/>
      <c r="F5549" s="355"/>
      <c r="G5549" s="355"/>
      <c r="H5549" s="355"/>
      <c r="I5549" s="355"/>
      <c r="J5549" s="355"/>
      <c r="K5549" s="355"/>
      <c r="L5549" s="355"/>
      <c r="M5549" s="355"/>
    </row>
    <row r="5550" spans="5:13">
      <c r="E5550" s="355"/>
      <c r="F5550" s="355"/>
      <c r="G5550" s="355"/>
      <c r="H5550" s="355"/>
      <c r="I5550" s="355"/>
      <c r="J5550" s="355"/>
      <c r="K5550" s="355"/>
      <c r="L5550" s="355"/>
      <c r="M5550" s="355"/>
    </row>
    <row r="5551" spans="5:13">
      <c r="E5551" s="355"/>
      <c r="F5551" s="355"/>
      <c r="G5551" s="355"/>
      <c r="H5551" s="355"/>
      <c r="I5551" s="355"/>
      <c r="J5551" s="355"/>
      <c r="K5551" s="355"/>
      <c r="L5551" s="355"/>
      <c r="M5551" s="355"/>
    </row>
    <row r="5552" spans="5:13">
      <c r="E5552" s="355"/>
      <c r="F5552" s="355"/>
      <c r="G5552" s="355"/>
      <c r="H5552" s="355"/>
      <c r="I5552" s="355"/>
      <c r="J5552" s="355"/>
      <c r="K5552" s="355"/>
      <c r="L5552" s="355"/>
      <c r="M5552" s="355"/>
    </row>
    <row r="5553" spans="5:13">
      <c r="E5553" s="355"/>
      <c r="F5553" s="355"/>
      <c r="G5553" s="355"/>
      <c r="H5553" s="355"/>
      <c r="I5553" s="355"/>
      <c r="J5553" s="355"/>
      <c r="K5553" s="355"/>
      <c r="L5553" s="355"/>
      <c r="M5553" s="355"/>
    </row>
    <row r="5554" spans="5:13">
      <c r="E5554" s="355"/>
      <c r="F5554" s="355"/>
      <c r="G5554" s="355"/>
      <c r="H5554" s="355"/>
      <c r="I5554" s="355"/>
      <c r="J5554" s="355"/>
      <c r="K5554" s="355"/>
      <c r="L5554" s="355"/>
      <c r="M5554" s="355"/>
    </row>
    <row r="5555" spans="5:13">
      <c r="E5555" s="355"/>
      <c r="F5555" s="355"/>
      <c r="G5555" s="355"/>
      <c r="H5555" s="355"/>
      <c r="I5555" s="355"/>
      <c r="J5555" s="355"/>
      <c r="K5555" s="355"/>
      <c r="L5555" s="355"/>
      <c r="M5555" s="355"/>
    </row>
    <row r="5556" spans="5:13">
      <c r="E5556" s="355"/>
      <c r="F5556" s="355"/>
      <c r="G5556" s="355"/>
      <c r="H5556" s="355"/>
      <c r="I5556" s="355"/>
      <c r="J5556" s="355"/>
      <c r="K5556" s="355"/>
      <c r="L5556" s="355"/>
      <c r="M5556" s="355"/>
    </row>
    <row r="5557" spans="5:13">
      <c r="E5557" s="355"/>
      <c r="F5557" s="355"/>
      <c r="G5557" s="355"/>
      <c r="H5557" s="355"/>
      <c r="I5557" s="355"/>
      <c r="J5557" s="355"/>
      <c r="K5557" s="355"/>
      <c r="L5557" s="355"/>
      <c r="M5557" s="355"/>
    </row>
    <row r="5558" spans="5:13">
      <c r="E5558" s="355"/>
      <c r="F5558" s="355"/>
      <c r="G5558" s="355"/>
      <c r="H5558" s="355"/>
      <c r="I5558" s="355"/>
      <c r="J5558" s="355"/>
      <c r="K5558" s="355"/>
      <c r="L5558" s="355"/>
      <c r="M5558" s="355"/>
    </row>
    <row r="5559" spans="5:13">
      <c r="E5559" s="355"/>
      <c r="F5559" s="355"/>
      <c r="G5559" s="355"/>
      <c r="H5559" s="355"/>
      <c r="I5559" s="355"/>
      <c r="J5559" s="355"/>
      <c r="K5559" s="355"/>
      <c r="L5559" s="355"/>
      <c r="M5559" s="355"/>
    </row>
    <row r="5560" spans="5:13">
      <c r="E5560" s="355"/>
      <c r="F5560" s="355"/>
      <c r="G5560" s="355"/>
      <c r="H5560" s="355"/>
      <c r="I5560" s="355"/>
      <c r="J5560" s="355"/>
      <c r="K5560" s="355"/>
      <c r="L5560" s="355"/>
      <c r="M5560" s="355"/>
    </row>
    <row r="5561" spans="5:13">
      <c r="E5561" s="355"/>
      <c r="F5561" s="355"/>
      <c r="G5561" s="355"/>
      <c r="H5561" s="355"/>
      <c r="I5561" s="355"/>
      <c r="J5561" s="355"/>
      <c r="K5561" s="355"/>
      <c r="L5561" s="355"/>
      <c r="M5561" s="355"/>
    </row>
    <row r="5562" spans="5:13">
      <c r="E5562" s="355"/>
      <c r="F5562" s="355"/>
      <c r="G5562" s="355"/>
      <c r="H5562" s="355"/>
      <c r="I5562" s="355"/>
      <c r="J5562" s="355"/>
      <c r="K5562" s="355"/>
      <c r="L5562" s="355"/>
      <c r="M5562" s="355"/>
    </row>
    <row r="5563" spans="5:13">
      <c r="E5563" s="355"/>
      <c r="F5563" s="355"/>
      <c r="G5563" s="355"/>
      <c r="H5563" s="355"/>
      <c r="I5563" s="355"/>
      <c r="J5563" s="355"/>
      <c r="K5563" s="355"/>
      <c r="L5563" s="355"/>
      <c r="M5563" s="355"/>
    </row>
    <row r="5564" spans="5:13">
      <c r="E5564" s="355"/>
      <c r="F5564" s="355"/>
      <c r="G5564" s="355"/>
      <c r="H5564" s="355"/>
      <c r="I5564" s="355"/>
      <c r="J5564" s="355"/>
      <c r="K5564" s="355"/>
      <c r="L5564" s="355"/>
      <c r="M5564" s="355"/>
    </row>
    <row r="5565" spans="5:13">
      <c r="E5565" s="355"/>
      <c r="F5565" s="355"/>
      <c r="G5565" s="355"/>
      <c r="H5565" s="355"/>
      <c r="I5565" s="355"/>
      <c r="J5565" s="355"/>
      <c r="K5565" s="355"/>
      <c r="L5565" s="355"/>
      <c r="M5565" s="355"/>
    </row>
    <row r="5566" spans="5:13">
      <c r="E5566" s="355"/>
      <c r="F5566" s="355"/>
      <c r="G5566" s="355"/>
      <c r="H5566" s="355"/>
      <c r="I5566" s="355"/>
      <c r="J5566" s="355"/>
      <c r="K5566" s="355"/>
      <c r="L5566" s="355"/>
      <c r="M5566" s="355"/>
    </row>
    <row r="5567" spans="5:13">
      <c r="E5567" s="355"/>
      <c r="F5567" s="355"/>
      <c r="G5567" s="355"/>
      <c r="H5567" s="355"/>
      <c r="I5567" s="355"/>
      <c r="J5567" s="355"/>
      <c r="K5567" s="355"/>
      <c r="L5567" s="355"/>
      <c r="M5567" s="355"/>
    </row>
    <row r="5568" spans="5:13">
      <c r="E5568" s="355"/>
      <c r="F5568" s="355"/>
      <c r="G5568" s="355"/>
      <c r="H5568" s="355"/>
      <c r="I5568" s="355"/>
      <c r="J5568" s="355"/>
      <c r="K5568" s="355"/>
      <c r="L5568" s="355"/>
      <c r="M5568" s="355"/>
    </row>
    <row r="5569" spans="5:13">
      <c r="E5569" s="355"/>
      <c r="F5569" s="355"/>
      <c r="G5569" s="355"/>
      <c r="H5569" s="355"/>
      <c r="I5569" s="355"/>
      <c r="J5569" s="355"/>
      <c r="K5569" s="355"/>
      <c r="L5569" s="355"/>
      <c r="M5569" s="355"/>
    </row>
    <row r="5570" spans="5:13">
      <c r="E5570" s="355"/>
      <c r="F5570" s="355"/>
      <c r="G5570" s="355"/>
      <c r="H5570" s="355"/>
      <c r="I5570" s="355"/>
      <c r="J5570" s="355"/>
      <c r="K5570" s="355"/>
      <c r="L5570" s="355"/>
      <c r="M5570" s="355"/>
    </row>
    <row r="5571" spans="5:13">
      <c r="E5571" s="355"/>
      <c r="F5571" s="355"/>
      <c r="G5571" s="355"/>
      <c r="H5571" s="355"/>
      <c r="I5571" s="355"/>
      <c r="J5571" s="355"/>
      <c r="K5571" s="355"/>
      <c r="L5571" s="355"/>
      <c r="M5571" s="355"/>
    </row>
    <row r="5572" spans="5:13">
      <c r="E5572" s="355"/>
      <c r="F5572" s="355"/>
      <c r="G5572" s="355"/>
      <c r="H5572" s="355"/>
      <c r="I5572" s="355"/>
      <c r="J5572" s="355"/>
      <c r="K5572" s="355"/>
      <c r="L5572" s="355"/>
      <c r="M5572" s="355"/>
    </row>
    <row r="5573" spans="5:13">
      <c r="E5573" s="355"/>
      <c r="F5573" s="355"/>
      <c r="G5573" s="355"/>
      <c r="H5573" s="355"/>
      <c r="I5573" s="355"/>
      <c r="J5573" s="355"/>
      <c r="K5573" s="355"/>
      <c r="L5573" s="355"/>
      <c r="M5573" s="355"/>
    </row>
    <row r="5574" spans="5:13">
      <c r="E5574" s="355"/>
      <c r="F5574" s="355"/>
      <c r="G5574" s="355"/>
      <c r="H5574" s="355"/>
      <c r="I5574" s="355"/>
      <c r="J5574" s="355"/>
      <c r="K5574" s="355"/>
      <c r="L5574" s="355"/>
      <c r="M5574" s="355"/>
    </row>
    <row r="5575" spans="5:13">
      <c r="E5575" s="355"/>
      <c r="F5575" s="355"/>
      <c r="G5575" s="355"/>
      <c r="H5575" s="355"/>
      <c r="I5575" s="355"/>
      <c r="J5575" s="355"/>
      <c r="K5575" s="355"/>
      <c r="L5575" s="355"/>
      <c r="M5575" s="355"/>
    </row>
    <row r="5576" spans="5:13">
      <c r="E5576" s="355"/>
      <c r="F5576" s="355"/>
      <c r="G5576" s="355"/>
      <c r="H5576" s="355"/>
      <c r="I5576" s="355"/>
      <c r="J5576" s="355"/>
      <c r="K5576" s="355"/>
      <c r="L5576" s="355"/>
      <c r="M5576" s="355"/>
    </row>
    <row r="5577" spans="5:13">
      <c r="E5577" s="355"/>
      <c r="F5577" s="355"/>
      <c r="G5577" s="355"/>
      <c r="H5577" s="355"/>
      <c r="I5577" s="355"/>
      <c r="J5577" s="355"/>
      <c r="K5577" s="355"/>
      <c r="L5577" s="355"/>
      <c r="M5577" s="355"/>
    </row>
    <row r="5578" spans="5:13">
      <c r="E5578" s="355"/>
      <c r="F5578" s="355"/>
      <c r="G5578" s="355"/>
      <c r="H5578" s="355"/>
      <c r="I5578" s="355"/>
      <c r="J5578" s="355"/>
      <c r="K5578" s="355"/>
      <c r="L5578" s="355"/>
      <c r="M5578" s="355"/>
    </row>
    <row r="5579" spans="5:13">
      <c r="E5579" s="355"/>
      <c r="F5579" s="355"/>
      <c r="G5579" s="355"/>
      <c r="H5579" s="355"/>
      <c r="I5579" s="355"/>
      <c r="J5579" s="355"/>
      <c r="K5579" s="355"/>
      <c r="L5579" s="355"/>
      <c r="M5579" s="355"/>
    </row>
    <row r="5580" spans="5:13">
      <c r="E5580" s="355"/>
      <c r="F5580" s="355"/>
      <c r="G5580" s="355"/>
      <c r="H5580" s="355"/>
      <c r="I5580" s="355"/>
      <c r="J5580" s="355"/>
      <c r="K5580" s="355"/>
      <c r="L5580" s="355"/>
      <c r="M5580" s="355"/>
    </row>
    <row r="5581" spans="5:13">
      <c r="E5581" s="355"/>
      <c r="F5581" s="355"/>
      <c r="G5581" s="355"/>
      <c r="H5581" s="355"/>
      <c r="I5581" s="355"/>
      <c r="J5581" s="355"/>
      <c r="K5581" s="355"/>
      <c r="L5581" s="355"/>
      <c r="M5581" s="355"/>
    </row>
    <row r="5582" spans="5:13">
      <c r="E5582" s="355"/>
      <c r="F5582" s="355"/>
      <c r="G5582" s="355"/>
      <c r="H5582" s="355"/>
      <c r="I5582" s="355"/>
      <c r="J5582" s="355"/>
      <c r="K5582" s="355"/>
      <c r="L5582" s="355"/>
      <c r="M5582" s="355"/>
    </row>
    <row r="5583" spans="5:13">
      <c r="E5583" s="355"/>
      <c r="F5583" s="355"/>
      <c r="G5583" s="355"/>
      <c r="H5583" s="355"/>
      <c r="I5583" s="355"/>
      <c r="J5583" s="355"/>
      <c r="K5583" s="355"/>
      <c r="L5583" s="355"/>
      <c r="M5583" s="355"/>
    </row>
    <row r="5584" spans="5:13">
      <c r="E5584" s="355"/>
      <c r="F5584" s="355"/>
      <c r="G5584" s="355"/>
      <c r="H5584" s="355"/>
      <c r="I5584" s="355"/>
      <c r="J5584" s="355"/>
      <c r="K5584" s="355"/>
      <c r="L5584" s="355"/>
      <c r="M5584" s="355"/>
    </row>
    <row r="5585" spans="5:13">
      <c r="E5585" s="355"/>
      <c r="F5585" s="355"/>
      <c r="G5585" s="355"/>
      <c r="H5585" s="355"/>
      <c r="I5585" s="355"/>
      <c r="J5585" s="355"/>
      <c r="K5585" s="355"/>
      <c r="L5585" s="355"/>
      <c r="M5585" s="355"/>
    </row>
    <row r="5586" spans="5:13">
      <c r="E5586" s="355"/>
      <c r="F5586" s="355"/>
      <c r="G5586" s="355"/>
      <c r="H5586" s="355"/>
      <c r="I5586" s="355"/>
      <c r="J5586" s="355"/>
      <c r="K5586" s="355"/>
      <c r="L5586" s="355"/>
      <c r="M5586" s="355"/>
    </row>
    <row r="5587" spans="5:13">
      <c r="E5587" s="355"/>
      <c r="F5587" s="355"/>
      <c r="G5587" s="355"/>
      <c r="H5587" s="355"/>
      <c r="I5587" s="355"/>
      <c r="J5587" s="355"/>
      <c r="K5587" s="355"/>
      <c r="L5587" s="355"/>
      <c r="M5587" s="355"/>
    </row>
    <row r="5588" spans="5:13">
      <c r="E5588" s="355"/>
      <c r="F5588" s="355"/>
      <c r="G5588" s="355"/>
      <c r="H5588" s="355"/>
      <c r="I5588" s="355"/>
      <c r="J5588" s="355"/>
      <c r="K5588" s="355"/>
      <c r="L5588" s="355"/>
      <c r="M5588" s="355"/>
    </row>
    <row r="5589" spans="5:13">
      <c r="E5589" s="355"/>
      <c r="F5589" s="355"/>
      <c r="G5589" s="355"/>
      <c r="H5589" s="355"/>
      <c r="I5589" s="355"/>
      <c r="J5589" s="355"/>
      <c r="K5589" s="355"/>
      <c r="L5589" s="355"/>
      <c r="M5589" s="355"/>
    </row>
    <row r="5590" spans="5:13">
      <c r="E5590" s="355"/>
      <c r="F5590" s="355"/>
      <c r="G5590" s="355"/>
      <c r="H5590" s="355"/>
      <c r="I5590" s="355"/>
      <c r="J5590" s="355"/>
      <c r="K5590" s="355"/>
      <c r="L5590" s="355"/>
      <c r="M5590" s="355"/>
    </row>
    <row r="5591" spans="5:13">
      <c r="E5591" s="355"/>
      <c r="F5591" s="355"/>
      <c r="G5591" s="355"/>
      <c r="H5591" s="355"/>
      <c r="I5591" s="355"/>
      <c r="J5591" s="355"/>
      <c r="K5591" s="355"/>
      <c r="L5591" s="355"/>
      <c r="M5591" s="355"/>
    </row>
    <row r="5592" spans="5:13">
      <c r="E5592" s="355"/>
      <c r="F5592" s="355"/>
      <c r="G5592" s="355"/>
      <c r="H5592" s="355"/>
      <c r="I5592" s="355"/>
      <c r="J5592" s="355"/>
      <c r="K5592" s="355"/>
      <c r="L5592" s="355"/>
      <c r="M5592" s="355"/>
    </row>
    <row r="5593" spans="5:13">
      <c r="E5593" s="355"/>
      <c r="F5593" s="355"/>
      <c r="G5593" s="355"/>
      <c r="H5593" s="355"/>
      <c r="I5593" s="355"/>
      <c r="J5593" s="355"/>
      <c r="K5593" s="355"/>
      <c r="L5593" s="355"/>
      <c r="M5593" s="355"/>
    </row>
    <row r="5594" spans="5:13">
      <c r="E5594" s="355"/>
      <c r="F5594" s="355"/>
      <c r="G5594" s="355"/>
      <c r="H5594" s="355"/>
      <c r="I5594" s="355"/>
      <c r="J5594" s="355"/>
      <c r="K5594" s="355"/>
      <c r="L5594" s="355"/>
      <c r="M5594" s="355"/>
    </row>
    <row r="5595" spans="5:13">
      <c r="E5595" s="355"/>
      <c r="F5595" s="355"/>
      <c r="G5595" s="355"/>
      <c r="H5595" s="355"/>
      <c r="I5595" s="355"/>
      <c r="J5595" s="355"/>
      <c r="K5595" s="355"/>
      <c r="L5595" s="355"/>
      <c r="M5595" s="355"/>
    </row>
    <row r="5596" spans="5:13">
      <c r="E5596" s="355"/>
      <c r="F5596" s="355"/>
      <c r="G5596" s="355"/>
      <c r="H5596" s="355"/>
      <c r="I5596" s="355"/>
      <c r="J5596" s="355"/>
      <c r="K5596" s="355"/>
      <c r="L5596" s="355"/>
      <c r="M5596" s="355"/>
    </row>
    <row r="5597" spans="5:13">
      <c r="E5597" s="355"/>
      <c r="F5597" s="355"/>
      <c r="G5597" s="355"/>
      <c r="H5597" s="355"/>
      <c r="I5597" s="355"/>
      <c r="J5597" s="355"/>
      <c r="K5597" s="355"/>
      <c r="L5597" s="355"/>
      <c r="M5597" s="355"/>
    </row>
    <row r="5598" spans="5:13">
      <c r="E5598" s="355"/>
      <c r="F5598" s="355"/>
      <c r="G5598" s="355"/>
      <c r="H5598" s="355"/>
      <c r="I5598" s="355"/>
      <c r="J5598" s="355"/>
      <c r="K5598" s="355"/>
      <c r="L5598" s="355"/>
      <c r="M5598" s="355"/>
    </row>
    <row r="5599" spans="5:13">
      <c r="E5599" s="355"/>
      <c r="F5599" s="355"/>
      <c r="G5599" s="355"/>
      <c r="H5599" s="355"/>
      <c r="I5599" s="355"/>
      <c r="J5599" s="355"/>
      <c r="K5599" s="355"/>
      <c r="L5599" s="355"/>
      <c r="M5599" s="355"/>
    </row>
    <row r="5600" spans="5:13">
      <c r="E5600" s="355"/>
      <c r="F5600" s="355"/>
      <c r="G5600" s="355"/>
      <c r="H5600" s="355"/>
      <c r="I5600" s="355"/>
      <c r="J5600" s="355"/>
      <c r="K5600" s="355"/>
      <c r="L5600" s="355"/>
      <c r="M5600" s="355"/>
    </row>
    <row r="5601" spans="5:13">
      <c r="E5601" s="355"/>
      <c r="F5601" s="355"/>
      <c r="G5601" s="355"/>
      <c r="H5601" s="355"/>
      <c r="I5601" s="355"/>
      <c r="J5601" s="355"/>
      <c r="K5601" s="355"/>
      <c r="L5601" s="355"/>
      <c r="M5601" s="355"/>
    </row>
    <row r="5602" spans="5:13">
      <c r="E5602" s="355"/>
      <c r="F5602" s="355"/>
      <c r="G5602" s="355"/>
      <c r="H5602" s="355"/>
      <c r="I5602" s="355"/>
      <c r="J5602" s="355"/>
      <c r="K5602" s="355"/>
      <c r="L5602" s="355"/>
      <c r="M5602" s="355"/>
    </row>
    <row r="5603" spans="5:13">
      <c r="E5603" s="355"/>
      <c r="F5603" s="355"/>
      <c r="G5603" s="355"/>
      <c r="H5603" s="355"/>
      <c r="I5603" s="355"/>
      <c r="J5603" s="355"/>
      <c r="K5603" s="355"/>
      <c r="L5603" s="355"/>
      <c r="M5603" s="355"/>
    </row>
    <row r="5604" spans="5:13">
      <c r="E5604" s="355"/>
      <c r="F5604" s="355"/>
      <c r="G5604" s="355"/>
      <c r="H5604" s="355"/>
      <c r="I5604" s="355"/>
      <c r="J5604" s="355"/>
      <c r="K5604" s="355"/>
      <c r="L5604" s="355"/>
      <c r="M5604" s="355"/>
    </row>
    <row r="5605" spans="5:13">
      <c r="E5605" s="355"/>
      <c r="F5605" s="355"/>
      <c r="G5605" s="355"/>
      <c r="H5605" s="355"/>
      <c r="I5605" s="355"/>
      <c r="J5605" s="355"/>
      <c r="K5605" s="355"/>
      <c r="L5605" s="355"/>
      <c r="M5605" s="355"/>
    </row>
    <row r="5606" spans="5:13">
      <c r="E5606" s="355"/>
      <c r="F5606" s="355"/>
      <c r="G5606" s="355"/>
      <c r="H5606" s="355"/>
      <c r="I5606" s="355"/>
      <c r="J5606" s="355"/>
      <c r="K5606" s="355"/>
      <c r="L5606" s="355"/>
      <c r="M5606" s="355"/>
    </row>
    <row r="5607" spans="5:13">
      <c r="E5607" s="355"/>
      <c r="F5607" s="355"/>
      <c r="G5607" s="355"/>
      <c r="H5607" s="355"/>
      <c r="I5607" s="355"/>
      <c r="J5607" s="355"/>
      <c r="K5607" s="355"/>
      <c r="L5607" s="355"/>
      <c r="M5607" s="355"/>
    </row>
    <row r="5608" spans="5:13">
      <c r="E5608" s="355"/>
      <c r="F5608" s="355"/>
      <c r="G5608" s="355"/>
      <c r="H5608" s="355"/>
      <c r="I5608" s="355"/>
      <c r="J5608" s="355"/>
      <c r="K5608" s="355"/>
      <c r="L5608" s="355"/>
      <c r="M5608" s="355"/>
    </row>
    <row r="5609" spans="5:13">
      <c r="E5609" s="355"/>
      <c r="F5609" s="355"/>
      <c r="G5609" s="355"/>
      <c r="H5609" s="355"/>
      <c r="I5609" s="355"/>
      <c r="J5609" s="355"/>
      <c r="K5609" s="355"/>
      <c r="L5609" s="355"/>
      <c r="M5609" s="355"/>
    </row>
    <row r="5610" spans="5:13">
      <c r="E5610" s="355"/>
      <c r="F5610" s="355"/>
      <c r="G5610" s="355"/>
      <c r="H5610" s="355"/>
      <c r="I5610" s="355"/>
      <c r="J5610" s="355"/>
      <c r="K5610" s="355"/>
      <c r="L5610" s="355"/>
      <c r="M5610" s="355"/>
    </row>
    <row r="5611" spans="5:13">
      <c r="E5611" s="355"/>
      <c r="F5611" s="355"/>
      <c r="G5611" s="355"/>
      <c r="H5611" s="355"/>
      <c r="I5611" s="355"/>
      <c r="J5611" s="355"/>
      <c r="K5611" s="355"/>
      <c r="L5611" s="355"/>
      <c r="M5611" s="355"/>
    </row>
    <row r="5612" spans="5:13">
      <c r="E5612" s="355"/>
      <c r="F5612" s="355"/>
      <c r="G5612" s="355"/>
      <c r="H5612" s="355"/>
      <c r="I5612" s="355"/>
      <c r="J5612" s="355"/>
      <c r="K5612" s="355"/>
      <c r="L5612" s="355"/>
      <c r="M5612" s="355"/>
    </row>
    <row r="5613" spans="5:13">
      <c r="E5613" s="355"/>
      <c r="F5613" s="355"/>
      <c r="G5613" s="355"/>
      <c r="H5613" s="355"/>
      <c r="I5613" s="355"/>
      <c r="J5613" s="355"/>
      <c r="K5613" s="355"/>
      <c r="L5613" s="355"/>
      <c r="M5613" s="355"/>
    </row>
    <row r="5614" spans="5:13">
      <c r="E5614" s="355"/>
      <c r="F5614" s="355"/>
      <c r="G5614" s="355"/>
      <c r="H5614" s="355"/>
      <c r="I5614" s="355"/>
      <c r="J5614" s="355"/>
      <c r="K5614" s="355"/>
      <c r="L5614" s="355"/>
      <c r="M5614" s="355"/>
    </row>
    <row r="5615" spans="5:13">
      <c r="E5615" s="355"/>
      <c r="F5615" s="355"/>
      <c r="G5615" s="355"/>
      <c r="H5615" s="355"/>
      <c r="I5615" s="355"/>
      <c r="J5615" s="355"/>
      <c r="K5615" s="355"/>
      <c r="L5615" s="355"/>
      <c r="M5615" s="355"/>
    </row>
    <row r="5616" spans="5:13">
      <c r="E5616" s="355"/>
      <c r="F5616" s="355"/>
      <c r="G5616" s="355"/>
      <c r="H5616" s="355"/>
      <c r="I5616" s="355"/>
      <c r="J5616" s="355"/>
      <c r="K5616" s="355"/>
      <c r="L5616" s="355"/>
      <c r="M5616" s="355"/>
    </row>
    <row r="5617" spans="5:13">
      <c r="E5617" s="355"/>
      <c r="F5617" s="355"/>
      <c r="G5617" s="355"/>
      <c r="H5617" s="355"/>
      <c r="I5617" s="355"/>
      <c r="J5617" s="355"/>
      <c r="K5617" s="355"/>
      <c r="L5617" s="355"/>
      <c r="M5617" s="355"/>
    </row>
    <row r="5618" spans="5:13">
      <c r="E5618" s="355"/>
      <c r="F5618" s="355"/>
      <c r="G5618" s="355"/>
      <c r="H5618" s="355"/>
      <c r="I5618" s="355"/>
      <c r="J5618" s="355"/>
      <c r="K5618" s="355"/>
      <c r="L5618" s="355"/>
      <c r="M5618" s="355"/>
    </row>
    <row r="5619" spans="5:13">
      <c r="E5619" s="355"/>
      <c r="F5619" s="355"/>
      <c r="G5619" s="355"/>
      <c r="H5619" s="355"/>
      <c r="I5619" s="355"/>
      <c r="J5619" s="355"/>
      <c r="K5619" s="355"/>
      <c r="L5619" s="355"/>
      <c r="M5619" s="355"/>
    </row>
    <row r="5620" spans="5:13">
      <c r="E5620" s="355"/>
      <c r="F5620" s="355"/>
      <c r="G5620" s="355"/>
      <c r="H5620" s="355"/>
      <c r="I5620" s="355"/>
      <c r="J5620" s="355"/>
      <c r="K5620" s="355"/>
      <c r="L5620" s="355"/>
      <c r="M5620" s="355"/>
    </row>
    <row r="5621" spans="5:13">
      <c r="E5621" s="355"/>
      <c r="F5621" s="355"/>
      <c r="G5621" s="355"/>
      <c r="H5621" s="355"/>
      <c r="I5621" s="355"/>
      <c r="J5621" s="355"/>
      <c r="K5621" s="355"/>
      <c r="L5621" s="355"/>
      <c r="M5621" s="355"/>
    </row>
    <row r="5622" spans="5:13">
      <c r="E5622" s="355"/>
      <c r="F5622" s="355"/>
      <c r="G5622" s="355"/>
      <c r="H5622" s="355"/>
      <c r="I5622" s="355"/>
      <c r="J5622" s="355"/>
      <c r="K5622" s="355"/>
      <c r="L5622" s="355"/>
      <c r="M5622" s="355"/>
    </row>
    <row r="5623" spans="5:13">
      <c r="E5623" s="355"/>
      <c r="F5623" s="355"/>
      <c r="G5623" s="355"/>
      <c r="H5623" s="355"/>
      <c r="I5623" s="355"/>
      <c r="J5623" s="355"/>
      <c r="K5623" s="355"/>
      <c r="L5623" s="355"/>
      <c r="M5623" s="355"/>
    </row>
    <row r="5624" spans="5:13">
      <c r="E5624" s="355"/>
      <c r="F5624" s="355"/>
      <c r="G5624" s="355"/>
      <c r="H5624" s="355"/>
      <c r="I5624" s="355"/>
      <c r="J5624" s="355"/>
      <c r="K5624" s="355"/>
      <c r="L5624" s="355"/>
      <c r="M5624" s="355"/>
    </row>
    <row r="5625" spans="5:13">
      <c r="E5625" s="355"/>
      <c r="F5625" s="355"/>
      <c r="G5625" s="355"/>
      <c r="H5625" s="355"/>
      <c r="I5625" s="355"/>
      <c r="J5625" s="355"/>
      <c r="K5625" s="355"/>
      <c r="L5625" s="355"/>
      <c r="M5625" s="355"/>
    </row>
    <row r="5626" spans="5:13">
      <c r="E5626" s="355"/>
      <c r="F5626" s="355"/>
      <c r="G5626" s="355"/>
      <c r="H5626" s="355"/>
      <c r="I5626" s="355"/>
      <c r="J5626" s="355"/>
      <c r="K5626" s="355"/>
      <c r="L5626" s="355"/>
      <c r="M5626" s="355"/>
    </row>
    <row r="5627" spans="5:13">
      <c r="E5627" s="355"/>
      <c r="F5627" s="355"/>
      <c r="G5627" s="355"/>
      <c r="H5627" s="355"/>
      <c r="I5627" s="355"/>
      <c r="J5627" s="355"/>
      <c r="K5627" s="355"/>
      <c r="L5627" s="355"/>
      <c r="M5627" s="355"/>
    </row>
    <row r="5628" spans="5:13">
      <c r="E5628" s="355"/>
      <c r="F5628" s="355"/>
      <c r="G5628" s="355"/>
      <c r="H5628" s="355"/>
      <c r="I5628" s="355"/>
      <c r="J5628" s="355"/>
      <c r="K5628" s="355"/>
      <c r="L5628" s="355"/>
      <c r="M5628" s="355"/>
    </row>
    <row r="5629" spans="5:13">
      <c r="E5629" s="355"/>
      <c r="F5629" s="355"/>
      <c r="G5629" s="355"/>
      <c r="H5629" s="355"/>
      <c r="I5629" s="355"/>
      <c r="J5629" s="355"/>
      <c r="K5629" s="355"/>
      <c r="L5629" s="355"/>
      <c r="M5629" s="355"/>
    </row>
    <row r="5630" spans="5:13">
      <c r="E5630" s="355"/>
      <c r="F5630" s="355"/>
      <c r="G5630" s="355"/>
      <c r="H5630" s="355"/>
      <c r="I5630" s="355"/>
      <c r="J5630" s="355"/>
      <c r="K5630" s="355"/>
      <c r="L5630" s="355"/>
      <c r="M5630" s="355"/>
    </row>
    <row r="5631" spans="5:13">
      <c r="E5631" s="355"/>
      <c r="F5631" s="355"/>
      <c r="G5631" s="355"/>
      <c r="H5631" s="355"/>
      <c r="I5631" s="355"/>
      <c r="J5631" s="355"/>
      <c r="K5631" s="355"/>
      <c r="L5631" s="355"/>
      <c r="M5631" s="355"/>
    </row>
    <row r="5632" spans="5:13">
      <c r="E5632" s="355"/>
      <c r="F5632" s="355"/>
      <c r="G5632" s="355"/>
      <c r="H5632" s="355"/>
      <c r="I5632" s="355"/>
      <c r="J5632" s="355"/>
      <c r="K5632" s="355"/>
      <c r="L5632" s="355"/>
      <c r="M5632" s="355"/>
    </row>
    <row r="5633" spans="5:13">
      <c r="E5633" s="355"/>
      <c r="F5633" s="355"/>
      <c r="G5633" s="355"/>
      <c r="H5633" s="355"/>
      <c r="I5633" s="355"/>
      <c r="J5633" s="355"/>
      <c r="K5633" s="355"/>
      <c r="L5633" s="355"/>
      <c r="M5633" s="355"/>
    </row>
    <row r="5634" spans="5:13">
      <c r="E5634" s="355"/>
      <c r="F5634" s="355"/>
      <c r="G5634" s="355"/>
      <c r="H5634" s="355"/>
      <c r="I5634" s="355"/>
      <c r="J5634" s="355"/>
      <c r="K5634" s="355"/>
      <c r="L5634" s="355"/>
      <c r="M5634" s="355"/>
    </row>
    <row r="5635" spans="5:13">
      <c r="E5635" s="355"/>
      <c r="F5635" s="355"/>
      <c r="G5635" s="355"/>
      <c r="H5635" s="355"/>
      <c r="I5635" s="355"/>
      <c r="J5635" s="355"/>
      <c r="K5635" s="355"/>
      <c r="L5635" s="355"/>
      <c r="M5635" s="355"/>
    </row>
    <row r="5636" spans="5:13">
      <c r="E5636" s="355"/>
      <c r="F5636" s="355"/>
      <c r="G5636" s="355"/>
      <c r="H5636" s="355"/>
      <c r="I5636" s="355"/>
      <c r="J5636" s="355"/>
      <c r="K5636" s="355"/>
      <c r="L5636" s="355"/>
      <c r="M5636" s="355"/>
    </row>
    <row r="5637" spans="5:13">
      <c r="E5637" s="355"/>
      <c r="F5637" s="355"/>
      <c r="G5637" s="355"/>
      <c r="H5637" s="355"/>
      <c r="I5637" s="355"/>
      <c r="J5637" s="355"/>
      <c r="K5637" s="355"/>
      <c r="L5637" s="355"/>
      <c r="M5637" s="355"/>
    </row>
    <row r="5638" spans="5:13">
      <c r="E5638" s="355"/>
      <c r="F5638" s="355"/>
      <c r="G5638" s="355"/>
      <c r="H5638" s="355"/>
      <c r="I5638" s="355"/>
      <c r="J5638" s="355"/>
      <c r="K5638" s="355"/>
      <c r="L5638" s="355"/>
      <c r="M5638" s="355"/>
    </row>
    <row r="5639" spans="5:13">
      <c r="E5639" s="355"/>
      <c r="F5639" s="355"/>
      <c r="G5639" s="355"/>
      <c r="H5639" s="355"/>
      <c r="I5639" s="355"/>
      <c r="J5639" s="355"/>
      <c r="K5639" s="355"/>
      <c r="L5639" s="355"/>
      <c r="M5639" s="355"/>
    </row>
    <row r="5640" spans="5:13">
      <c r="E5640" s="355"/>
      <c r="F5640" s="355"/>
      <c r="G5640" s="355"/>
      <c r="H5640" s="355"/>
      <c r="I5640" s="355"/>
      <c r="J5640" s="355"/>
      <c r="K5640" s="355"/>
      <c r="L5640" s="355"/>
      <c r="M5640" s="355"/>
    </row>
    <row r="5641" spans="5:13">
      <c r="E5641" s="355"/>
      <c r="F5641" s="355"/>
      <c r="G5641" s="355"/>
      <c r="H5641" s="355"/>
      <c r="I5641" s="355"/>
      <c r="J5641" s="355"/>
      <c r="K5641" s="355"/>
      <c r="L5641" s="355"/>
      <c r="M5641" s="355"/>
    </row>
    <row r="5642" spans="5:13">
      <c r="E5642" s="355"/>
      <c r="F5642" s="355"/>
      <c r="G5642" s="355"/>
      <c r="H5642" s="355"/>
      <c r="I5642" s="355"/>
      <c r="J5642" s="355"/>
      <c r="K5642" s="355"/>
      <c r="L5642" s="355"/>
      <c r="M5642" s="355"/>
    </row>
    <row r="5643" spans="5:13">
      <c r="E5643" s="355"/>
      <c r="F5643" s="355"/>
      <c r="G5643" s="355"/>
      <c r="H5643" s="355"/>
      <c r="I5643" s="355"/>
      <c r="J5643" s="355"/>
      <c r="K5643" s="355"/>
      <c r="L5643" s="355"/>
      <c r="M5643" s="355"/>
    </row>
    <row r="5644" spans="5:13">
      <c r="E5644" s="355"/>
      <c r="F5644" s="355"/>
      <c r="G5644" s="355"/>
      <c r="H5644" s="355"/>
      <c r="I5644" s="355"/>
      <c r="J5644" s="355"/>
      <c r="K5644" s="355"/>
      <c r="L5644" s="355"/>
      <c r="M5644" s="355"/>
    </row>
    <row r="5645" spans="5:13">
      <c r="E5645" s="355"/>
      <c r="F5645" s="355"/>
      <c r="G5645" s="355"/>
      <c r="H5645" s="355"/>
      <c r="I5645" s="355"/>
      <c r="J5645" s="355"/>
      <c r="K5645" s="355"/>
      <c r="L5645" s="355"/>
      <c r="M5645" s="355"/>
    </row>
    <row r="5646" spans="5:13">
      <c r="E5646" s="355"/>
      <c r="F5646" s="355"/>
      <c r="G5646" s="355"/>
      <c r="H5646" s="355"/>
      <c r="I5646" s="355"/>
      <c r="J5646" s="355"/>
      <c r="K5646" s="355"/>
      <c r="L5646" s="355"/>
      <c r="M5646" s="355"/>
    </row>
    <row r="5647" spans="5:13">
      <c r="E5647" s="355"/>
      <c r="F5647" s="355"/>
      <c r="G5647" s="355"/>
      <c r="H5647" s="355"/>
      <c r="I5647" s="355"/>
      <c r="J5647" s="355"/>
      <c r="K5647" s="355"/>
      <c r="L5647" s="355"/>
      <c r="M5647" s="355"/>
    </row>
    <row r="5648" spans="5:13">
      <c r="E5648" s="355"/>
      <c r="F5648" s="355"/>
      <c r="G5648" s="355"/>
      <c r="H5648" s="355"/>
      <c r="I5648" s="355"/>
      <c r="J5648" s="355"/>
      <c r="K5648" s="355"/>
      <c r="L5648" s="355"/>
      <c r="M5648" s="355"/>
    </row>
    <row r="5649" spans="5:13">
      <c r="E5649" s="355"/>
      <c r="F5649" s="355"/>
      <c r="G5649" s="355"/>
      <c r="H5649" s="355"/>
      <c r="I5649" s="355"/>
      <c r="J5649" s="355"/>
      <c r="K5649" s="355"/>
      <c r="L5649" s="355"/>
      <c r="M5649" s="355"/>
    </row>
    <row r="5650" spans="5:13">
      <c r="E5650" s="355"/>
      <c r="F5650" s="355"/>
      <c r="G5650" s="355"/>
      <c r="H5650" s="355"/>
      <c r="I5650" s="355"/>
      <c r="J5650" s="355"/>
      <c r="K5650" s="355"/>
      <c r="L5650" s="355"/>
      <c r="M5650" s="355"/>
    </row>
    <row r="5651" spans="5:13">
      <c r="E5651" s="355"/>
      <c r="F5651" s="355"/>
      <c r="G5651" s="355"/>
      <c r="H5651" s="355"/>
      <c r="I5651" s="355"/>
      <c r="J5651" s="355"/>
      <c r="K5651" s="355"/>
      <c r="L5651" s="355"/>
      <c r="M5651" s="355"/>
    </row>
    <row r="5652" spans="5:13">
      <c r="E5652" s="355"/>
      <c r="F5652" s="355"/>
      <c r="G5652" s="355"/>
      <c r="H5652" s="355"/>
      <c r="I5652" s="355"/>
      <c r="J5652" s="355"/>
      <c r="K5652" s="355"/>
      <c r="L5652" s="355"/>
      <c r="M5652" s="355"/>
    </row>
    <row r="5653" spans="5:13">
      <c r="E5653" s="355"/>
      <c r="F5653" s="355"/>
      <c r="G5653" s="355"/>
      <c r="H5653" s="355"/>
      <c r="I5653" s="355"/>
      <c r="J5653" s="355"/>
      <c r="K5653" s="355"/>
      <c r="L5653" s="355"/>
      <c r="M5653" s="355"/>
    </row>
    <row r="5654" spans="5:13">
      <c r="E5654" s="355"/>
      <c r="F5654" s="355"/>
      <c r="G5654" s="355"/>
      <c r="H5654" s="355"/>
      <c r="I5654" s="355"/>
      <c r="J5654" s="355"/>
      <c r="K5654" s="355"/>
      <c r="L5654" s="355"/>
      <c r="M5654" s="355"/>
    </row>
    <row r="5655" spans="5:13">
      <c r="E5655" s="355"/>
      <c r="F5655" s="355"/>
      <c r="G5655" s="355"/>
      <c r="H5655" s="355"/>
      <c r="I5655" s="355"/>
      <c r="J5655" s="355"/>
      <c r="K5655" s="355"/>
      <c r="L5655" s="355"/>
      <c r="M5655" s="355"/>
    </row>
    <row r="5656" spans="5:13">
      <c r="E5656" s="355"/>
      <c r="F5656" s="355"/>
      <c r="G5656" s="355"/>
      <c r="H5656" s="355"/>
      <c r="I5656" s="355"/>
      <c r="J5656" s="355"/>
      <c r="K5656" s="355"/>
      <c r="L5656" s="355"/>
      <c r="M5656" s="355"/>
    </row>
    <row r="5657" spans="5:13">
      <c r="E5657" s="355"/>
      <c r="F5657" s="355"/>
      <c r="G5657" s="355"/>
      <c r="H5657" s="355"/>
      <c r="I5657" s="355"/>
      <c r="J5657" s="355"/>
      <c r="K5657" s="355"/>
      <c r="L5657" s="355"/>
      <c r="M5657" s="355"/>
    </row>
    <row r="5658" spans="5:13">
      <c r="E5658" s="355"/>
      <c r="F5658" s="355"/>
      <c r="G5658" s="355"/>
      <c r="H5658" s="355"/>
      <c r="I5658" s="355"/>
      <c r="J5658" s="355"/>
      <c r="K5658" s="355"/>
      <c r="L5658" s="355"/>
      <c r="M5658" s="355"/>
    </row>
    <row r="5659" spans="5:13">
      <c r="E5659" s="355"/>
      <c r="F5659" s="355"/>
      <c r="G5659" s="355"/>
      <c r="H5659" s="355"/>
      <c r="I5659" s="355"/>
      <c r="J5659" s="355"/>
      <c r="K5659" s="355"/>
      <c r="L5659" s="355"/>
      <c r="M5659" s="355"/>
    </row>
    <row r="5660" spans="5:13">
      <c r="E5660" s="355"/>
      <c r="F5660" s="355"/>
      <c r="G5660" s="355"/>
      <c r="H5660" s="355"/>
      <c r="I5660" s="355"/>
      <c r="J5660" s="355"/>
      <c r="K5660" s="355"/>
      <c r="L5660" s="355"/>
      <c r="M5660" s="355"/>
    </row>
    <row r="5661" spans="5:13">
      <c r="E5661" s="355"/>
      <c r="F5661" s="355"/>
      <c r="G5661" s="355"/>
      <c r="H5661" s="355"/>
      <c r="I5661" s="355"/>
      <c r="J5661" s="355"/>
      <c r="K5661" s="355"/>
      <c r="L5661" s="355"/>
      <c r="M5661" s="355"/>
    </row>
    <row r="5662" spans="5:13">
      <c r="E5662" s="355"/>
      <c r="F5662" s="355"/>
      <c r="G5662" s="355"/>
      <c r="H5662" s="355"/>
      <c r="I5662" s="355"/>
      <c r="J5662" s="355"/>
      <c r="K5662" s="355"/>
      <c r="L5662" s="355"/>
      <c r="M5662" s="355"/>
    </row>
    <row r="5663" spans="5:13">
      <c r="E5663" s="355"/>
      <c r="F5663" s="355"/>
      <c r="G5663" s="355"/>
      <c r="H5663" s="355"/>
      <c r="I5663" s="355"/>
      <c r="J5663" s="355"/>
      <c r="K5663" s="355"/>
      <c r="L5663" s="355"/>
      <c r="M5663" s="355"/>
    </row>
    <row r="5664" spans="5:13">
      <c r="E5664" s="355"/>
      <c r="F5664" s="355"/>
      <c r="G5664" s="355"/>
      <c r="H5664" s="355"/>
      <c r="I5664" s="355"/>
      <c r="J5664" s="355"/>
      <c r="K5664" s="355"/>
      <c r="L5664" s="355"/>
      <c r="M5664" s="355"/>
    </row>
    <row r="5665" spans="5:13">
      <c r="E5665" s="355"/>
      <c r="F5665" s="355"/>
      <c r="G5665" s="355"/>
      <c r="H5665" s="355"/>
      <c r="I5665" s="355"/>
      <c r="J5665" s="355"/>
      <c r="K5665" s="355"/>
      <c r="L5665" s="355"/>
      <c r="M5665" s="355"/>
    </row>
    <row r="5666" spans="5:13">
      <c r="E5666" s="355"/>
      <c r="F5666" s="355"/>
      <c r="G5666" s="355"/>
      <c r="H5666" s="355"/>
      <c r="I5666" s="355"/>
      <c r="J5666" s="355"/>
      <c r="K5666" s="355"/>
      <c r="L5666" s="355"/>
      <c r="M5666" s="355"/>
    </row>
    <row r="5667" spans="5:13">
      <c r="E5667" s="355"/>
      <c r="F5667" s="355"/>
      <c r="G5667" s="355"/>
      <c r="H5667" s="355"/>
      <c r="I5667" s="355"/>
      <c r="J5667" s="355"/>
      <c r="K5667" s="355"/>
      <c r="L5667" s="355"/>
      <c r="M5667" s="355"/>
    </row>
    <row r="5668" spans="5:13">
      <c r="E5668" s="355"/>
      <c r="F5668" s="355"/>
      <c r="G5668" s="355"/>
      <c r="H5668" s="355"/>
      <c r="I5668" s="355"/>
      <c r="J5668" s="355"/>
      <c r="K5668" s="355"/>
      <c r="L5668" s="355"/>
      <c r="M5668" s="355"/>
    </row>
    <row r="5669" spans="5:13">
      <c r="E5669" s="355"/>
      <c r="F5669" s="355"/>
      <c r="G5669" s="355"/>
      <c r="H5669" s="355"/>
      <c r="I5669" s="355"/>
      <c r="J5669" s="355"/>
      <c r="K5669" s="355"/>
      <c r="L5669" s="355"/>
      <c r="M5669" s="355"/>
    </row>
    <row r="5670" spans="5:13">
      <c r="E5670" s="355"/>
      <c r="F5670" s="355"/>
      <c r="G5670" s="355"/>
      <c r="H5670" s="355"/>
      <c r="I5670" s="355"/>
      <c r="J5670" s="355"/>
      <c r="K5670" s="355"/>
      <c r="L5670" s="355"/>
      <c r="M5670" s="355"/>
    </row>
    <row r="5671" spans="5:13">
      <c r="E5671" s="355"/>
      <c r="F5671" s="355"/>
      <c r="G5671" s="355"/>
      <c r="H5671" s="355"/>
      <c r="I5671" s="355"/>
      <c r="J5671" s="355"/>
      <c r="K5671" s="355"/>
      <c r="L5671" s="355"/>
      <c r="M5671" s="355"/>
    </row>
    <row r="5672" spans="5:13">
      <c r="E5672" s="355"/>
      <c r="F5672" s="355"/>
      <c r="G5672" s="355"/>
      <c r="H5672" s="355"/>
      <c r="I5672" s="355"/>
      <c r="J5672" s="355"/>
      <c r="K5672" s="355"/>
      <c r="L5672" s="355"/>
      <c r="M5672" s="355"/>
    </row>
    <row r="5673" spans="5:13">
      <c r="E5673" s="355"/>
      <c r="F5673" s="355"/>
      <c r="G5673" s="355"/>
      <c r="H5673" s="355"/>
      <c r="I5673" s="355"/>
      <c r="J5673" s="355"/>
      <c r="K5673" s="355"/>
      <c r="L5673" s="355"/>
      <c r="M5673" s="355"/>
    </row>
    <row r="5674" spans="5:13">
      <c r="E5674" s="355"/>
      <c r="F5674" s="355"/>
      <c r="G5674" s="355"/>
      <c r="H5674" s="355"/>
      <c r="I5674" s="355"/>
      <c r="J5674" s="355"/>
      <c r="K5674" s="355"/>
      <c r="L5674" s="355"/>
      <c r="M5674" s="355"/>
    </row>
    <row r="5675" spans="5:13">
      <c r="E5675" s="355"/>
      <c r="F5675" s="355"/>
      <c r="G5675" s="355"/>
      <c r="H5675" s="355"/>
      <c r="I5675" s="355"/>
      <c r="J5675" s="355"/>
      <c r="K5675" s="355"/>
      <c r="L5675" s="355"/>
      <c r="M5675" s="355"/>
    </row>
    <row r="5676" spans="5:13">
      <c r="E5676" s="355"/>
      <c r="F5676" s="355"/>
      <c r="G5676" s="355"/>
      <c r="H5676" s="355"/>
      <c r="I5676" s="355"/>
      <c r="J5676" s="355"/>
      <c r="K5676" s="355"/>
      <c r="L5676" s="355"/>
      <c r="M5676" s="355"/>
    </row>
    <row r="5677" spans="5:13">
      <c r="E5677" s="355"/>
      <c r="F5677" s="355"/>
      <c r="G5677" s="355"/>
      <c r="H5677" s="355"/>
      <c r="I5677" s="355"/>
      <c r="J5677" s="355"/>
      <c r="K5677" s="355"/>
      <c r="L5677" s="355"/>
      <c r="M5677" s="355"/>
    </row>
    <row r="5678" spans="5:13">
      <c r="E5678" s="355"/>
      <c r="F5678" s="355"/>
      <c r="G5678" s="355"/>
      <c r="H5678" s="355"/>
      <c r="I5678" s="355"/>
      <c r="J5678" s="355"/>
      <c r="K5678" s="355"/>
      <c r="L5678" s="355"/>
      <c r="M5678" s="355"/>
    </row>
    <row r="5679" spans="5:13">
      <c r="E5679" s="355"/>
      <c r="F5679" s="355"/>
      <c r="G5679" s="355"/>
      <c r="H5679" s="355"/>
      <c r="I5679" s="355"/>
      <c r="J5679" s="355"/>
      <c r="K5679" s="355"/>
      <c r="L5679" s="355"/>
      <c r="M5679" s="355"/>
    </row>
    <row r="5680" spans="5:13">
      <c r="E5680" s="355"/>
      <c r="F5680" s="355"/>
      <c r="G5680" s="355"/>
      <c r="H5680" s="355"/>
      <c r="I5680" s="355"/>
      <c r="J5680" s="355"/>
      <c r="K5680" s="355"/>
      <c r="L5680" s="355"/>
      <c r="M5680" s="355"/>
    </row>
    <row r="5681" spans="5:13">
      <c r="E5681" s="355"/>
      <c r="F5681" s="355"/>
      <c r="G5681" s="355"/>
      <c r="H5681" s="355"/>
      <c r="I5681" s="355"/>
      <c r="J5681" s="355"/>
      <c r="K5681" s="355"/>
      <c r="L5681" s="355"/>
      <c r="M5681" s="355"/>
    </row>
    <row r="5682" spans="5:13">
      <c r="E5682" s="355"/>
      <c r="F5682" s="355"/>
      <c r="G5682" s="355"/>
      <c r="H5682" s="355"/>
      <c r="I5682" s="355"/>
      <c r="J5682" s="355"/>
      <c r="K5682" s="355"/>
      <c r="L5682" s="355"/>
      <c r="M5682" s="355"/>
    </row>
    <row r="5683" spans="5:13">
      <c r="E5683" s="355"/>
      <c r="F5683" s="355"/>
      <c r="G5683" s="355"/>
      <c r="H5683" s="355"/>
      <c r="I5683" s="355"/>
      <c r="J5683" s="355"/>
      <c r="K5683" s="355"/>
      <c r="L5683" s="355"/>
      <c r="M5683" s="355"/>
    </row>
    <row r="5684" spans="5:13">
      <c r="E5684" s="355"/>
      <c r="F5684" s="355"/>
      <c r="G5684" s="355"/>
      <c r="H5684" s="355"/>
      <c r="I5684" s="355"/>
      <c r="J5684" s="355"/>
      <c r="K5684" s="355"/>
      <c r="L5684" s="355"/>
      <c r="M5684" s="355"/>
    </row>
    <row r="5685" spans="5:13">
      <c r="E5685" s="355"/>
      <c r="F5685" s="355"/>
      <c r="G5685" s="355"/>
      <c r="H5685" s="355"/>
      <c r="I5685" s="355"/>
      <c r="J5685" s="355"/>
      <c r="K5685" s="355"/>
      <c r="L5685" s="355"/>
      <c r="M5685" s="355"/>
    </row>
    <row r="5686" spans="5:13">
      <c r="E5686" s="355"/>
      <c r="F5686" s="355"/>
      <c r="G5686" s="355"/>
      <c r="H5686" s="355"/>
      <c r="I5686" s="355"/>
      <c r="J5686" s="355"/>
      <c r="K5686" s="355"/>
      <c r="L5686" s="355"/>
      <c r="M5686" s="355"/>
    </row>
    <row r="5687" spans="5:13">
      <c r="E5687" s="355"/>
      <c r="F5687" s="355"/>
      <c r="G5687" s="355"/>
      <c r="H5687" s="355"/>
      <c r="I5687" s="355"/>
      <c r="J5687" s="355"/>
      <c r="K5687" s="355"/>
      <c r="L5687" s="355"/>
      <c r="M5687" s="355"/>
    </row>
    <row r="5688" spans="5:13">
      <c r="E5688" s="355"/>
      <c r="F5688" s="355"/>
      <c r="G5688" s="355"/>
      <c r="H5688" s="355"/>
      <c r="I5688" s="355"/>
      <c r="J5688" s="355"/>
      <c r="K5688" s="355"/>
      <c r="L5688" s="355"/>
      <c r="M5688" s="355"/>
    </row>
    <row r="5689" spans="5:13">
      <c r="E5689" s="355"/>
      <c r="F5689" s="355"/>
      <c r="G5689" s="355"/>
      <c r="H5689" s="355"/>
      <c r="I5689" s="355"/>
      <c r="J5689" s="355"/>
      <c r="K5689" s="355"/>
      <c r="L5689" s="355"/>
      <c r="M5689" s="355"/>
    </row>
    <row r="5690" spans="5:13">
      <c r="E5690" s="355"/>
      <c r="F5690" s="355"/>
      <c r="G5690" s="355"/>
      <c r="H5690" s="355"/>
      <c r="I5690" s="355"/>
      <c r="J5690" s="355"/>
      <c r="K5690" s="355"/>
      <c r="L5690" s="355"/>
      <c r="M5690" s="355"/>
    </row>
    <row r="5691" spans="5:13">
      <c r="E5691" s="355"/>
      <c r="F5691" s="355"/>
      <c r="G5691" s="355"/>
      <c r="H5691" s="355"/>
      <c r="I5691" s="355"/>
      <c r="J5691" s="355"/>
      <c r="K5691" s="355"/>
      <c r="L5691" s="355"/>
      <c r="M5691" s="355"/>
    </row>
    <row r="5692" spans="5:13">
      <c r="E5692" s="355"/>
      <c r="F5692" s="355"/>
      <c r="G5692" s="355"/>
      <c r="H5692" s="355"/>
      <c r="I5692" s="355"/>
      <c r="J5692" s="355"/>
      <c r="K5692" s="355"/>
      <c r="L5692" s="355"/>
      <c r="M5692" s="355"/>
    </row>
    <row r="5693" spans="5:13">
      <c r="E5693" s="355"/>
      <c r="F5693" s="355"/>
      <c r="G5693" s="355"/>
      <c r="H5693" s="355"/>
      <c r="I5693" s="355"/>
      <c r="J5693" s="355"/>
      <c r="K5693" s="355"/>
      <c r="L5693" s="355"/>
      <c r="M5693" s="355"/>
    </row>
    <row r="5694" spans="5:13">
      <c r="E5694" s="355"/>
      <c r="F5694" s="355"/>
      <c r="G5694" s="355"/>
      <c r="H5694" s="355"/>
      <c r="I5694" s="355"/>
      <c r="J5694" s="355"/>
      <c r="K5694" s="355"/>
      <c r="L5694" s="355"/>
      <c r="M5694" s="355"/>
    </row>
    <row r="5695" spans="5:13">
      <c r="E5695" s="355"/>
      <c r="F5695" s="355"/>
      <c r="G5695" s="355"/>
      <c r="H5695" s="355"/>
      <c r="I5695" s="355"/>
      <c r="J5695" s="355"/>
      <c r="K5695" s="355"/>
      <c r="L5695" s="355"/>
      <c r="M5695" s="355"/>
    </row>
    <row r="5696" spans="5:13">
      <c r="E5696" s="355"/>
      <c r="F5696" s="355"/>
      <c r="G5696" s="355"/>
      <c r="H5696" s="355"/>
      <c r="I5696" s="355"/>
      <c r="J5696" s="355"/>
      <c r="K5696" s="355"/>
      <c r="L5696" s="355"/>
      <c r="M5696" s="355"/>
    </row>
    <row r="5697" spans="5:13">
      <c r="E5697" s="355"/>
      <c r="F5697" s="355"/>
      <c r="G5697" s="355"/>
      <c r="H5697" s="355"/>
      <c r="I5697" s="355"/>
      <c r="J5697" s="355"/>
      <c r="K5697" s="355"/>
      <c r="L5697" s="355"/>
      <c r="M5697" s="355"/>
    </row>
    <row r="5698" spans="5:13">
      <c r="E5698" s="355"/>
      <c r="F5698" s="355"/>
      <c r="G5698" s="355"/>
      <c r="H5698" s="355"/>
      <c r="I5698" s="355"/>
      <c r="J5698" s="355"/>
      <c r="K5698" s="355"/>
      <c r="L5698" s="355"/>
      <c r="M5698" s="355"/>
    </row>
    <row r="5699" spans="5:13">
      <c r="E5699" s="355"/>
      <c r="F5699" s="355"/>
      <c r="G5699" s="355"/>
      <c r="H5699" s="355"/>
      <c r="I5699" s="355"/>
      <c r="J5699" s="355"/>
      <c r="K5699" s="355"/>
      <c r="L5699" s="355"/>
      <c r="M5699" s="355"/>
    </row>
    <row r="5700" spans="5:13">
      <c r="E5700" s="355"/>
      <c r="F5700" s="355"/>
      <c r="G5700" s="355"/>
      <c r="H5700" s="355"/>
      <c r="I5700" s="355"/>
      <c r="J5700" s="355"/>
      <c r="K5700" s="355"/>
      <c r="L5700" s="355"/>
      <c r="M5700" s="355"/>
    </row>
    <row r="5701" spans="5:13">
      <c r="E5701" s="355"/>
      <c r="F5701" s="355"/>
      <c r="G5701" s="355"/>
      <c r="H5701" s="355"/>
      <c r="I5701" s="355"/>
      <c r="J5701" s="355"/>
      <c r="K5701" s="355"/>
      <c r="L5701" s="355"/>
      <c r="M5701" s="355"/>
    </row>
    <row r="5702" spans="5:13">
      <c r="E5702" s="355"/>
      <c r="F5702" s="355"/>
      <c r="G5702" s="355"/>
      <c r="H5702" s="355"/>
      <c r="I5702" s="355"/>
      <c r="J5702" s="355"/>
      <c r="K5702" s="355"/>
      <c r="L5702" s="355"/>
      <c r="M5702" s="355"/>
    </row>
    <row r="5703" spans="5:13">
      <c r="E5703" s="355"/>
      <c r="F5703" s="355"/>
      <c r="G5703" s="355"/>
      <c r="H5703" s="355"/>
      <c r="I5703" s="355"/>
      <c r="J5703" s="355"/>
      <c r="K5703" s="355"/>
      <c r="L5703" s="355"/>
      <c r="M5703" s="355"/>
    </row>
    <row r="5704" spans="5:13">
      <c r="E5704" s="355"/>
      <c r="F5704" s="355"/>
      <c r="G5704" s="355"/>
      <c r="H5704" s="355"/>
      <c r="I5704" s="355"/>
      <c r="J5704" s="355"/>
      <c r="K5704" s="355"/>
      <c r="L5704" s="355"/>
      <c r="M5704" s="355"/>
    </row>
    <row r="5705" spans="5:13">
      <c r="E5705" s="355"/>
      <c r="F5705" s="355"/>
      <c r="G5705" s="355"/>
      <c r="H5705" s="355"/>
      <c r="I5705" s="355"/>
      <c r="J5705" s="355"/>
      <c r="K5705" s="355"/>
      <c r="L5705" s="355"/>
      <c r="M5705" s="355"/>
    </row>
    <row r="5706" spans="5:13">
      <c r="E5706" s="355"/>
      <c r="F5706" s="355"/>
      <c r="G5706" s="355"/>
      <c r="H5706" s="355"/>
      <c r="I5706" s="355"/>
      <c r="J5706" s="355"/>
      <c r="K5706" s="355"/>
      <c r="L5706" s="355"/>
      <c r="M5706" s="355"/>
    </row>
    <row r="5707" spans="5:13">
      <c r="E5707" s="355"/>
      <c r="F5707" s="355"/>
      <c r="G5707" s="355"/>
      <c r="H5707" s="355"/>
      <c r="I5707" s="355"/>
      <c r="J5707" s="355"/>
      <c r="K5707" s="355"/>
      <c r="L5707" s="355"/>
      <c r="M5707" s="355"/>
    </row>
    <row r="5708" spans="5:13">
      <c r="E5708" s="355"/>
      <c r="F5708" s="355"/>
      <c r="G5708" s="355"/>
      <c r="H5708" s="355"/>
      <c r="I5708" s="355"/>
      <c r="J5708" s="355"/>
      <c r="K5708" s="355"/>
      <c r="L5708" s="355"/>
      <c r="M5708" s="355"/>
    </row>
    <row r="5709" spans="5:13">
      <c r="E5709" s="355"/>
      <c r="F5709" s="355"/>
      <c r="G5709" s="355"/>
      <c r="H5709" s="355"/>
      <c r="I5709" s="355"/>
      <c r="J5709" s="355"/>
      <c r="K5709" s="355"/>
      <c r="L5709" s="355"/>
      <c r="M5709" s="355"/>
    </row>
    <row r="5710" spans="5:13">
      <c r="E5710" s="355"/>
      <c r="F5710" s="355"/>
      <c r="G5710" s="355"/>
      <c r="H5710" s="355"/>
      <c r="I5710" s="355"/>
      <c r="J5710" s="355"/>
      <c r="K5710" s="355"/>
      <c r="L5710" s="355"/>
      <c r="M5710" s="355"/>
    </row>
    <row r="5711" spans="5:13">
      <c r="E5711" s="355"/>
      <c r="F5711" s="355"/>
      <c r="G5711" s="355"/>
      <c r="H5711" s="355"/>
      <c r="I5711" s="355"/>
      <c r="J5711" s="355"/>
      <c r="K5711" s="355"/>
      <c r="L5711" s="355"/>
      <c r="M5711" s="355"/>
    </row>
    <row r="5712" spans="5:13">
      <c r="E5712" s="355"/>
      <c r="F5712" s="355"/>
      <c r="G5712" s="355"/>
      <c r="H5712" s="355"/>
      <c r="I5712" s="355"/>
      <c r="J5712" s="355"/>
      <c r="K5712" s="355"/>
      <c r="L5712" s="355"/>
      <c r="M5712" s="355"/>
    </row>
    <row r="5713" spans="5:13">
      <c r="E5713" s="355"/>
      <c r="F5713" s="355"/>
      <c r="G5713" s="355"/>
      <c r="H5713" s="355"/>
      <c r="I5713" s="355"/>
      <c r="J5713" s="355"/>
      <c r="K5713" s="355"/>
      <c r="L5713" s="355"/>
      <c r="M5713" s="355"/>
    </row>
    <row r="5714" spans="5:13">
      <c r="E5714" s="355"/>
      <c r="F5714" s="355"/>
      <c r="G5714" s="355"/>
      <c r="H5714" s="355"/>
      <c r="I5714" s="355"/>
      <c r="J5714" s="355"/>
      <c r="K5714" s="355"/>
      <c r="L5714" s="355"/>
      <c r="M5714" s="355"/>
    </row>
    <row r="5715" spans="5:13">
      <c r="E5715" s="355"/>
      <c r="F5715" s="355"/>
      <c r="G5715" s="355"/>
      <c r="H5715" s="355"/>
      <c r="I5715" s="355"/>
      <c r="J5715" s="355"/>
      <c r="K5715" s="355"/>
      <c r="L5715" s="355"/>
      <c r="M5715" s="355"/>
    </row>
    <row r="5716" spans="5:13">
      <c r="E5716" s="355"/>
      <c r="F5716" s="355"/>
      <c r="G5716" s="355"/>
      <c r="H5716" s="355"/>
      <c r="I5716" s="355"/>
      <c r="J5716" s="355"/>
      <c r="K5716" s="355"/>
      <c r="L5716" s="355"/>
      <c r="M5716" s="355"/>
    </row>
    <row r="5717" spans="5:13">
      <c r="E5717" s="355"/>
      <c r="F5717" s="355"/>
      <c r="G5717" s="355"/>
      <c r="H5717" s="355"/>
      <c r="I5717" s="355"/>
      <c r="J5717" s="355"/>
      <c r="K5717" s="355"/>
      <c r="L5717" s="355"/>
      <c r="M5717" s="355"/>
    </row>
    <row r="5718" spans="5:13">
      <c r="E5718" s="355"/>
      <c r="F5718" s="355"/>
      <c r="G5718" s="355"/>
      <c r="H5718" s="355"/>
      <c r="I5718" s="355"/>
      <c r="J5718" s="355"/>
      <c r="K5718" s="355"/>
      <c r="L5718" s="355"/>
      <c r="M5718" s="355"/>
    </row>
    <row r="5719" spans="5:13">
      <c r="E5719" s="355"/>
      <c r="F5719" s="355"/>
      <c r="G5719" s="355"/>
      <c r="H5719" s="355"/>
      <c r="I5719" s="355"/>
      <c r="J5719" s="355"/>
      <c r="K5719" s="355"/>
      <c r="L5719" s="355"/>
      <c r="M5719" s="355"/>
    </row>
    <row r="5720" spans="5:13">
      <c r="E5720" s="355"/>
      <c r="F5720" s="355"/>
      <c r="G5720" s="355"/>
      <c r="H5720" s="355"/>
      <c r="I5720" s="355"/>
      <c r="J5720" s="355"/>
      <c r="K5720" s="355"/>
      <c r="L5720" s="355"/>
      <c r="M5720" s="355"/>
    </row>
    <row r="5721" spans="5:13">
      <c r="E5721" s="355"/>
      <c r="F5721" s="355"/>
      <c r="G5721" s="355"/>
      <c r="H5721" s="355"/>
      <c r="I5721" s="355"/>
      <c r="J5721" s="355"/>
      <c r="K5721" s="355"/>
      <c r="L5721" s="355"/>
      <c r="M5721" s="355"/>
    </row>
    <row r="5722" spans="5:13">
      <c r="E5722" s="355"/>
      <c r="F5722" s="355"/>
      <c r="G5722" s="355"/>
      <c r="H5722" s="355"/>
      <c r="I5722" s="355"/>
      <c r="J5722" s="355"/>
      <c r="K5722" s="355"/>
      <c r="L5722" s="355"/>
      <c r="M5722" s="355"/>
    </row>
    <row r="5723" spans="5:13">
      <c r="E5723" s="355"/>
      <c r="F5723" s="355"/>
      <c r="G5723" s="355"/>
      <c r="H5723" s="355"/>
      <c r="I5723" s="355"/>
      <c r="J5723" s="355"/>
      <c r="K5723" s="355"/>
      <c r="L5723" s="355"/>
      <c r="M5723" s="355"/>
    </row>
    <row r="5724" spans="5:13">
      <c r="E5724" s="355"/>
      <c r="F5724" s="355"/>
      <c r="G5724" s="355"/>
      <c r="H5724" s="355"/>
      <c r="I5724" s="355"/>
      <c r="J5724" s="355"/>
      <c r="K5724" s="355"/>
      <c r="L5724" s="355"/>
      <c r="M5724" s="355"/>
    </row>
    <row r="5725" spans="5:13">
      <c r="E5725" s="355"/>
      <c r="F5725" s="355"/>
      <c r="G5725" s="355"/>
      <c r="H5725" s="355"/>
      <c r="I5725" s="355"/>
      <c r="J5725" s="355"/>
      <c r="K5725" s="355"/>
      <c r="L5725" s="355"/>
      <c r="M5725" s="355"/>
    </row>
    <row r="5726" spans="5:13">
      <c r="E5726" s="355"/>
      <c r="F5726" s="355"/>
      <c r="G5726" s="355"/>
      <c r="H5726" s="355"/>
      <c r="I5726" s="355"/>
      <c r="J5726" s="355"/>
      <c r="K5726" s="355"/>
      <c r="L5726" s="355"/>
      <c r="M5726" s="355"/>
    </row>
    <row r="5727" spans="5:13">
      <c r="E5727" s="355"/>
      <c r="F5727" s="355"/>
      <c r="G5727" s="355"/>
      <c r="H5727" s="355"/>
      <c r="I5727" s="355"/>
      <c r="J5727" s="355"/>
      <c r="K5727" s="355"/>
      <c r="L5727" s="355"/>
      <c r="M5727" s="355"/>
    </row>
    <row r="5728" spans="5:13">
      <c r="E5728" s="355"/>
      <c r="F5728" s="355"/>
      <c r="G5728" s="355"/>
      <c r="H5728" s="355"/>
      <c r="I5728" s="355"/>
      <c r="J5728" s="355"/>
      <c r="K5728" s="355"/>
      <c r="L5728" s="355"/>
      <c r="M5728" s="355"/>
    </row>
    <row r="5729" spans="5:13">
      <c r="E5729" s="355"/>
      <c r="F5729" s="355"/>
      <c r="G5729" s="355"/>
      <c r="H5729" s="355"/>
      <c r="I5729" s="355"/>
      <c r="J5729" s="355"/>
      <c r="K5729" s="355"/>
      <c r="L5729" s="355"/>
      <c r="M5729" s="355"/>
    </row>
    <row r="5730" spans="5:13">
      <c r="E5730" s="355"/>
      <c r="F5730" s="355"/>
      <c r="G5730" s="355"/>
      <c r="H5730" s="355"/>
      <c r="I5730" s="355"/>
      <c r="J5730" s="355"/>
      <c r="K5730" s="355"/>
      <c r="L5730" s="355"/>
      <c r="M5730" s="355"/>
    </row>
    <row r="5731" spans="5:13">
      <c r="E5731" s="355"/>
      <c r="F5731" s="355"/>
      <c r="G5731" s="355"/>
      <c r="H5731" s="355"/>
      <c r="I5731" s="355"/>
      <c r="J5731" s="355"/>
      <c r="K5731" s="355"/>
      <c r="L5731" s="355"/>
      <c r="M5731" s="355"/>
    </row>
    <row r="5732" spans="5:13">
      <c r="E5732" s="355"/>
      <c r="F5732" s="355"/>
      <c r="G5732" s="355"/>
      <c r="H5732" s="355"/>
      <c r="I5732" s="355"/>
      <c r="J5732" s="355"/>
      <c r="K5732" s="355"/>
      <c r="L5732" s="355"/>
      <c r="M5732" s="355"/>
    </row>
    <row r="5733" spans="5:13">
      <c r="E5733" s="355"/>
      <c r="F5733" s="355"/>
      <c r="G5733" s="355"/>
      <c r="H5733" s="355"/>
      <c r="I5733" s="355"/>
      <c r="J5733" s="355"/>
      <c r="K5733" s="355"/>
      <c r="L5733" s="355"/>
      <c r="M5733" s="355"/>
    </row>
    <row r="5734" spans="5:13">
      <c r="E5734" s="355"/>
      <c r="F5734" s="355"/>
      <c r="G5734" s="355"/>
      <c r="H5734" s="355"/>
      <c r="I5734" s="355"/>
      <c r="J5734" s="355"/>
      <c r="K5734" s="355"/>
      <c r="L5734" s="355"/>
      <c r="M5734" s="355"/>
    </row>
    <row r="5735" spans="5:13">
      <c r="E5735" s="355"/>
      <c r="F5735" s="355"/>
      <c r="G5735" s="355"/>
      <c r="H5735" s="355"/>
      <c r="I5735" s="355"/>
      <c r="J5735" s="355"/>
      <c r="K5735" s="355"/>
      <c r="L5735" s="355"/>
      <c r="M5735" s="355"/>
    </row>
    <row r="5736" spans="5:13">
      <c r="E5736" s="355"/>
      <c r="F5736" s="355"/>
      <c r="G5736" s="355"/>
      <c r="H5736" s="355"/>
      <c r="I5736" s="355"/>
      <c r="J5736" s="355"/>
      <c r="K5736" s="355"/>
      <c r="L5736" s="355"/>
      <c r="M5736" s="355"/>
    </row>
    <row r="5737" spans="5:13">
      <c r="E5737" s="355"/>
      <c r="F5737" s="355"/>
      <c r="G5737" s="355"/>
      <c r="H5737" s="355"/>
      <c r="I5737" s="355"/>
      <c r="J5737" s="355"/>
      <c r="K5737" s="355"/>
      <c r="L5737" s="355"/>
      <c r="M5737" s="355"/>
    </row>
    <row r="5738" spans="5:13">
      <c r="E5738" s="355"/>
      <c r="F5738" s="355"/>
      <c r="G5738" s="355"/>
      <c r="H5738" s="355"/>
      <c r="I5738" s="355"/>
      <c r="J5738" s="355"/>
      <c r="K5738" s="355"/>
      <c r="L5738" s="355"/>
      <c r="M5738" s="355"/>
    </row>
    <row r="5739" spans="5:13">
      <c r="E5739" s="355"/>
      <c r="F5739" s="355"/>
      <c r="G5739" s="355"/>
      <c r="H5739" s="355"/>
      <c r="I5739" s="355"/>
      <c r="J5739" s="355"/>
      <c r="K5739" s="355"/>
      <c r="L5739" s="355"/>
      <c r="M5739" s="355"/>
    </row>
    <row r="5740" spans="5:13">
      <c r="E5740" s="355"/>
      <c r="F5740" s="355"/>
      <c r="G5740" s="355"/>
      <c r="H5740" s="355"/>
      <c r="I5740" s="355"/>
      <c r="J5740" s="355"/>
      <c r="K5740" s="355"/>
      <c r="L5740" s="355"/>
      <c r="M5740" s="355"/>
    </row>
    <row r="5741" spans="5:13">
      <c r="E5741" s="355"/>
      <c r="F5741" s="355"/>
      <c r="G5741" s="355"/>
      <c r="H5741" s="355"/>
      <c r="I5741" s="355"/>
      <c r="J5741" s="355"/>
      <c r="K5741" s="355"/>
      <c r="L5741" s="355"/>
      <c r="M5741" s="355"/>
    </row>
    <row r="5742" spans="5:13">
      <c r="E5742" s="355"/>
      <c r="F5742" s="355"/>
      <c r="G5742" s="355"/>
      <c r="H5742" s="355"/>
      <c r="I5742" s="355"/>
      <c r="J5742" s="355"/>
      <c r="K5742" s="355"/>
      <c r="L5742" s="355"/>
      <c r="M5742" s="355"/>
    </row>
    <row r="5743" spans="5:13">
      <c r="E5743" s="355"/>
      <c r="F5743" s="355"/>
      <c r="G5743" s="355"/>
      <c r="H5743" s="355"/>
      <c r="I5743" s="355"/>
      <c r="J5743" s="355"/>
      <c r="K5743" s="355"/>
      <c r="L5743" s="355"/>
      <c r="M5743" s="355"/>
    </row>
    <row r="5744" spans="5:13">
      <c r="E5744" s="355"/>
      <c r="F5744" s="355"/>
      <c r="G5744" s="355"/>
      <c r="H5744" s="355"/>
      <c r="I5744" s="355"/>
      <c r="J5744" s="355"/>
      <c r="K5744" s="355"/>
      <c r="L5744" s="355"/>
      <c r="M5744" s="355"/>
    </row>
    <row r="5745" spans="5:13">
      <c r="E5745" s="355"/>
      <c r="F5745" s="355"/>
      <c r="G5745" s="355"/>
      <c r="H5745" s="355"/>
      <c r="I5745" s="355"/>
      <c r="J5745" s="355"/>
      <c r="K5745" s="355"/>
      <c r="L5745" s="355"/>
      <c r="M5745" s="355"/>
    </row>
    <row r="5746" spans="5:13">
      <c r="E5746" s="355"/>
      <c r="F5746" s="355"/>
      <c r="G5746" s="355"/>
      <c r="H5746" s="355"/>
      <c r="I5746" s="355"/>
      <c r="J5746" s="355"/>
      <c r="K5746" s="355"/>
      <c r="L5746" s="355"/>
      <c r="M5746" s="355"/>
    </row>
    <row r="5747" spans="5:13">
      <c r="E5747" s="355"/>
      <c r="F5747" s="355"/>
      <c r="G5747" s="355"/>
      <c r="H5747" s="355"/>
      <c r="I5747" s="355"/>
      <c r="J5747" s="355"/>
      <c r="K5747" s="355"/>
      <c r="L5747" s="355"/>
      <c r="M5747" s="355"/>
    </row>
    <row r="5748" spans="5:13">
      <c r="E5748" s="355"/>
      <c r="F5748" s="355"/>
      <c r="G5748" s="355"/>
      <c r="H5748" s="355"/>
      <c r="I5748" s="355"/>
      <c r="J5748" s="355"/>
      <c r="K5748" s="355"/>
      <c r="L5748" s="355"/>
      <c r="M5748" s="355"/>
    </row>
    <row r="5749" spans="5:13">
      <c r="E5749" s="355"/>
      <c r="F5749" s="355"/>
      <c r="G5749" s="355"/>
      <c r="H5749" s="355"/>
      <c r="I5749" s="355"/>
      <c r="J5749" s="355"/>
      <c r="K5749" s="355"/>
      <c r="L5749" s="355"/>
      <c r="M5749" s="355"/>
    </row>
    <row r="5750" spans="5:13">
      <c r="E5750" s="355"/>
      <c r="F5750" s="355"/>
      <c r="G5750" s="355"/>
      <c r="H5750" s="355"/>
      <c r="I5750" s="355"/>
      <c r="J5750" s="355"/>
      <c r="K5750" s="355"/>
      <c r="L5750" s="355"/>
      <c r="M5750" s="355"/>
    </row>
    <row r="5751" spans="5:13">
      <c r="E5751" s="355"/>
      <c r="F5751" s="355"/>
      <c r="G5751" s="355"/>
      <c r="H5751" s="355"/>
      <c r="I5751" s="355"/>
      <c r="J5751" s="355"/>
      <c r="K5751" s="355"/>
      <c r="L5751" s="355"/>
      <c r="M5751" s="355"/>
    </row>
    <row r="5752" spans="5:13">
      <c r="E5752" s="355"/>
      <c r="F5752" s="355"/>
      <c r="G5752" s="355"/>
      <c r="H5752" s="355"/>
      <c r="I5752" s="355"/>
      <c r="J5752" s="355"/>
      <c r="K5752" s="355"/>
      <c r="L5752" s="355"/>
      <c r="M5752" s="355"/>
    </row>
    <row r="5753" spans="5:13">
      <c r="E5753" s="355"/>
      <c r="F5753" s="355"/>
      <c r="G5753" s="355"/>
      <c r="H5753" s="355"/>
      <c r="I5753" s="355"/>
      <c r="J5753" s="355"/>
      <c r="K5753" s="355"/>
      <c r="L5753" s="355"/>
      <c r="M5753" s="355"/>
    </row>
    <row r="5754" spans="5:13">
      <c r="E5754" s="355"/>
      <c r="F5754" s="355"/>
      <c r="G5754" s="355"/>
      <c r="H5754" s="355"/>
      <c r="I5754" s="355"/>
      <c r="J5754" s="355"/>
      <c r="K5754" s="355"/>
      <c r="L5754" s="355"/>
      <c r="M5754" s="355"/>
    </row>
    <row r="5755" spans="5:13">
      <c r="E5755" s="355"/>
      <c r="F5755" s="355"/>
      <c r="G5755" s="355"/>
      <c r="H5755" s="355"/>
      <c r="I5755" s="355"/>
      <c r="J5755" s="355"/>
      <c r="K5755" s="355"/>
      <c r="L5755" s="355"/>
      <c r="M5755" s="355"/>
    </row>
    <row r="5756" spans="5:13">
      <c r="E5756" s="355"/>
      <c r="F5756" s="355"/>
      <c r="G5756" s="355"/>
      <c r="H5756" s="355"/>
      <c r="I5756" s="355"/>
      <c r="J5756" s="355"/>
      <c r="K5756" s="355"/>
      <c r="L5756" s="355"/>
      <c r="M5756" s="355"/>
    </row>
    <row r="5757" spans="5:13">
      <c r="E5757" s="355"/>
      <c r="F5757" s="355"/>
      <c r="G5757" s="355"/>
      <c r="H5757" s="355"/>
      <c r="I5757" s="355"/>
      <c r="J5757" s="355"/>
      <c r="K5757" s="355"/>
      <c r="L5757" s="355"/>
      <c r="M5757" s="355"/>
    </row>
    <row r="5758" spans="5:13">
      <c r="E5758" s="355"/>
      <c r="F5758" s="355"/>
      <c r="G5758" s="355"/>
      <c r="H5758" s="355"/>
      <c r="I5758" s="355"/>
      <c r="J5758" s="355"/>
      <c r="K5758" s="355"/>
      <c r="L5758" s="355"/>
      <c r="M5758" s="355"/>
    </row>
    <row r="5759" spans="5:13">
      <c r="E5759" s="355"/>
      <c r="F5759" s="355"/>
      <c r="G5759" s="355"/>
      <c r="H5759" s="355"/>
      <c r="I5759" s="355"/>
      <c r="J5759" s="355"/>
      <c r="K5759" s="355"/>
      <c r="L5759" s="355"/>
      <c r="M5759" s="355"/>
    </row>
    <row r="5760" spans="5:13">
      <c r="E5760" s="355"/>
      <c r="F5760" s="355"/>
      <c r="G5760" s="355"/>
      <c r="H5760" s="355"/>
      <c r="I5760" s="355"/>
      <c r="J5760" s="355"/>
      <c r="K5760" s="355"/>
      <c r="L5760" s="355"/>
      <c r="M5760" s="355"/>
    </row>
    <row r="5761" spans="5:13">
      <c r="E5761" s="355"/>
      <c r="F5761" s="355"/>
      <c r="G5761" s="355"/>
      <c r="H5761" s="355"/>
      <c r="I5761" s="355"/>
      <c r="J5761" s="355"/>
      <c r="K5761" s="355"/>
      <c r="L5761" s="355"/>
      <c r="M5761" s="355"/>
    </row>
    <row r="5762" spans="5:13">
      <c r="E5762" s="355"/>
      <c r="F5762" s="355"/>
      <c r="G5762" s="355"/>
      <c r="H5762" s="355"/>
      <c r="I5762" s="355"/>
      <c r="J5762" s="355"/>
      <c r="K5762" s="355"/>
      <c r="L5762" s="355"/>
      <c r="M5762" s="355"/>
    </row>
    <row r="5763" spans="5:13">
      <c r="E5763" s="355"/>
      <c r="F5763" s="355"/>
      <c r="G5763" s="355"/>
      <c r="H5763" s="355"/>
      <c r="I5763" s="355"/>
      <c r="J5763" s="355"/>
      <c r="K5763" s="355"/>
      <c r="L5763" s="355"/>
      <c r="M5763" s="355"/>
    </row>
    <row r="5764" spans="5:13">
      <c r="E5764" s="355"/>
      <c r="F5764" s="355"/>
      <c r="G5764" s="355"/>
      <c r="H5764" s="355"/>
      <c r="I5764" s="355"/>
      <c r="J5764" s="355"/>
      <c r="K5764" s="355"/>
      <c r="L5764" s="355"/>
      <c r="M5764" s="355"/>
    </row>
    <row r="5765" spans="5:13">
      <c r="E5765" s="355"/>
      <c r="F5765" s="355"/>
      <c r="G5765" s="355"/>
      <c r="H5765" s="355"/>
      <c r="I5765" s="355"/>
      <c r="J5765" s="355"/>
      <c r="K5765" s="355"/>
      <c r="L5765" s="355"/>
      <c r="M5765" s="355"/>
    </row>
    <row r="5766" spans="5:13">
      <c r="E5766" s="355"/>
      <c r="F5766" s="355"/>
      <c r="G5766" s="355"/>
      <c r="H5766" s="355"/>
      <c r="I5766" s="355"/>
      <c r="J5766" s="355"/>
      <c r="K5766" s="355"/>
      <c r="L5766" s="355"/>
      <c r="M5766" s="355"/>
    </row>
    <row r="5767" spans="5:13">
      <c r="E5767" s="355"/>
      <c r="F5767" s="355"/>
      <c r="G5767" s="355"/>
      <c r="H5767" s="355"/>
      <c r="I5767" s="355"/>
      <c r="J5767" s="355"/>
      <c r="K5767" s="355"/>
      <c r="L5767" s="355"/>
      <c r="M5767" s="355"/>
    </row>
    <row r="5768" spans="5:13">
      <c r="E5768" s="355"/>
      <c r="F5768" s="355"/>
      <c r="G5768" s="355"/>
      <c r="H5768" s="355"/>
      <c r="I5768" s="355"/>
      <c r="J5768" s="355"/>
      <c r="K5768" s="355"/>
      <c r="L5768" s="355"/>
      <c r="M5768" s="355"/>
    </row>
    <row r="5769" spans="5:13">
      <c r="E5769" s="355"/>
      <c r="F5769" s="355"/>
      <c r="G5769" s="355"/>
      <c r="H5769" s="355"/>
      <c r="I5769" s="355"/>
      <c r="J5769" s="355"/>
      <c r="K5769" s="355"/>
      <c r="L5769" s="355"/>
      <c r="M5769" s="355"/>
    </row>
    <row r="5770" spans="5:13">
      <c r="E5770" s="355"/>
      <c r="F5770" s="355"/>
      <c r="G5770" s="355"/>
      <c r="H5770" s="355"/>
      <c r="I5770" s="355"/>
      <c r="J5770" s="355"/>
      <c r="K5770" s="355"/>
      <c r="L5770" s="355"/>
      <c r="M5770" s="355"/>
    </row>
    <row r="5771" spans="5:13">
      <c r="E5771" s="355"/>
      <c r="F5771" s="355"/>
      <c r="G5771" s="355"/>
      <c r="H5771" s="355"/>
      <c r="I5771" s="355"/>
      <c r="J5771" s="355"/>
      <c r="K5771" s="355"/>
      <c r="L5771" s="355"/>
      <c r="M5771" s="355"/>
    </row>
    <row r="5772" spans="5:13">
      <c r="E5772" s="355"/>
      <c r="F5772" s="355"/>
      <c r="G5772" s="355"/>
      <c r="H5772" s="355"/>
      <c r="I5772" s="355"/>
      <c r="J5772" s="355"/>
      <c r="K5772" s="355"/>
      <c r="L5772" s="355"/>
      <c r="M5772" s="355"/>
    </row>
    <row r="5773" spans="5:13">
      <c r="E5773" s="355"/>
      <c r="F5773" s="355"/>
      <c r="G5773" s="355"/>
      <c r="H5773" s="355"/>
      <c r="I5773" s="355"/>
      <c r="J5773" s="355"/>
      <c r="K5773" s="355"/>
      <c r="L5773" s="355"/>
      <c r="M5773" s="355"/>
    </row>
    <row r="5774" spans="5:13">
      <c r="E5774" s="355"/>
      <c r="F5774" s="355"/>
      <c r="G5774" s="355"/>
      <c r="H5774" s="355"/>
      <c r="I5774" s="355"/>
      <c r="J5774" s="355"/>
      <c r="K5774" s="355"/>
      <c r="L5774" s="355"/>
      <c r="M5774" s="355"/>
    </row>
    <row r="5775" spans="5:13">
      <c r="E5775" s="355"/>
      <c r="F5775" s="355"/>
      <c r="G5775" s="355"/>
      <c r="H5775" s="355"/>
      <c r="I5775" s="355"/>
      <c r="J5775" s="355"/>
      <c r="K5775" s="355"/>
      <c r="L5775" s="355"/>
      <c r="M5775" s="355"/>
    </row>
    <row r="5776" spans="5:13">
      <c r="E5776" s="355"/>
      <c r="F5776" s="355"/>
      <c r="G5776" s="355"/>
      <c r="H5776" s="355"/>
      <c r="I5776" s="355"/>
      <c r="J5776" s="355"/>
      <c r="K5776" s="355"/>
      <c r="L5776" s="355"/>
      <c r="M5776" s="355"/>
    </row>
    <row r="5777" spans="5:13">
      <c r="E5777" s="355"/>
      <c r="F5777" s="355"/>
      <c r="G5777" s="355"/>
      <c r="H5777" s="355"/>
      <c r="I5777" s="355"/>
      <c r="J5777" s="355"/>
      <c r="K5777" s="355"/>
      <c r="L5777" s="355"/>
      <c r="M5777" s="355"/>
    </row>
    <row r="5778" spans="5:13">
      <c r="E5778" s="355"/>
      <c r="F5778" s="355"/>
      <c r="G5778" s="355"/>
      <c r="H5778" s="355"/>
      <c r="I5778" s="355"/>
      <c r="J5778" s="355"/>
      <c r="K5778" s="355"/>
      <c r="L5778" s="355"/>
      <c r="M5778" s="355"/>
    </row>
    <row r="5779" spans="5:13">
      <c r="E5779" s="355"/>
      <c r="F5779" s="355"/>
      <c r="G5779" s="355"/>
      <c r="H5779" s="355"/>
      <c r="I5779" s="355"/>
      <c r="J5779" s="355"/>
      <c r="K5779" s="355"/>
      <c r="L5779" s="355"/>
      <c r="M5779" s="355"/>
    </row>
    <row r="5780" spans="5:13">
      <c r="E5780" s="355"/>
      <c r="F5780" s="355"/>
      <c r="G5780" s="355"/>
      <c r="H5780" s="355"/>
      <c r="I5780" s="355"/>
      <c r="J5780" s="355"/>
      <c r="K5780" s="355"/>
      <c r="L5780" s="355"/>
      <c r="M5780" s="355"/>
    </row>
    <row r="5781" spans="5:13">
      <c r="E5781" s="355"/>
      <c r="F5781" s="355"/>
      <c r="G5781" s="355"/>
      <c r="H5781" s="355"/>
      <c r="I5781" s="355"/>
      <c r="J5781" s="355"/>
      <c r="K5781" s="355"/>
      <c r="L5781" s="355"/>
      <c r="M5781" s="355"/>
    </row>
    <row r="5782" spans="5:13">
      <c r="E5782" s="355"/>
      <c r="F5782" s="355"/>
      <c r="G5782" s="355"/>
      <c r="H5782" s="355"/>
      <c r="I5782" s="355"/>
      <c r="J5782" s="355"/>
      <c r="K5782" s="355"/>
      <c r="L5782" s="355"/>
      <c r="M5782" s="355"/>
    </row>
    <row r="5783" spans="5:13">
      <c r="E5783" s="355"/>
      <c r="F5783" s="355"/>
      <c r="G5783" s="355"/>
      <c r="H5783" s="355"/>
      <c r="I5783" s="355"/>
      <c r="J5783" s="355"/>
      <c r="K5783" s="355"/>
      <c r="L5783" s="355"/>
      <c r="M5783" s="355"/>
    </row>
    <row r="5784" spans="5:13">
      <c r="E5784" s="355"/>
      <c r="F5784" s="355"/>
      <c r="G5784" s="355"/>
      <c r="H5784" s="355"/>
      <c r="I5784" s="355"/>
      <c r="J5784" s="355"/>
      <c r="K5784" s="355"/>
      <c r="L5784" s="355"/>
      <c r="M5784" s="355"/>
    </row>
    <row r="5785" spans="5:13">
      <c r="E5785" s="355"/>
      <c r="F5785" s="355"/>
      <c r="G5785" s="355"/>
      <c r="H5785" s="355"/>
      <c r="I5785" s="355"/>
      <c r="J5785" s="355"/>
      <c r="K5785" s="355"/>
      <c r="L5785" s="355"/>
      <c r="M5785" s="355"/>
    </row>
    <row r="5786" spans="5:13">
      <c r="E5786" s="355"/>
      <c r="F5786" s="355"/>
      <c r="G5786" s="355"/>
      <c r="H5786" s="355"/>
      <c r="I5786" s="355"/>
      <c r="J5786" s="355"/>
      <c r="K5786" s="355"/>
      <c r="L5786" s="355"/>
      <c r="M5786" s="355"/>
    </row>
    <row r="5787" spans="5:13">
      <c r="E5787" s="355"/>
      <c r="F5787" s="355"/>
      <c r="G5787" s="355"/>
      <c r="H5787" s="355"/>
      <c r="I5787" s="355"/>
      <c r="J5787" s="355"/>
      <c r="K5787" s="355"/>
      <c r="L5787" s="355"/>
      <c r="M5787" s="355"/>
    </row>
    <row r="5788" spans="5:13">
      <c r="E5788" s="355"/>
      <c r="F5788" s="355"/>
      <c r="G5788" s="355"/>
      <c r="H5788" s="355"/>
      <c r="I5788" s="355"/>
      <c r="J5788" s="355"/>
      <c r="K5788" s="355"/>
      <c r="L5788" s="355"/>
      <c r="M5788" s="355"/>
    </row>
    <row r="5789" spans="5:13">
      <c r="E5789" s="355"/>
      <c r="F5789" s="355"/>
      <c r="G5789" s="355"/>
      <c r="H5789" s="355"/>
      <c r="I5789" s="355"/>
      <c r="J5789" s="355"/>
      <c r="K5789" s="355"/>
      <c r="L5789" s="355"/>
      <c r="M5789" s="355"/>
    </row>
    <row r="5790" spans="5:13">
      <c r="E5790" s="355"/>
      <c r="F5790" s="355"/>
      <c r="G5790" s="355"/>
      <c r="H5790" s="355"/>
      <c r="I5790" s="355"/>
      <c r="J5790" s="355"/>
      <c r="K5790" s="355"/>
      <c r="L5790" s="355"/>
      <c r="M5790" s="355"/>
    </row>
    <row r="5791" spans="5:13">
      <c r="E5791" s="355"/>
      <c r="F5791" s="355"/>
      <c r="G5791" s="355"/>
      <c r="H5791" s="355"/>
      <c r="I5791" s="355"/>
      <c r="J5791" s="355"/>
      <c r="K5791" s="355"/>
      <c r="L5791" s="355"/>
      <c r="M5791" s="355"/>
    </row>
    <row r="5792" spans="5:13">
      <c r="E5792" s="355"/>
      <c r="F5792" s="355"/>
      <c r="G5792" s="355"/>
      <c r="H5792" s="355"/>
      <c r="I5792" s="355"/>
      <c r="J5792" s="355"/>
      <c r="K5792" s="355"/>
      <c r="L5792" s="355"/>
      <c r="M5792" s="355"/>
    </row>
    <row r="5793" spans="5:13">
      <c r="E5793" s="355"/>
      <c r="F5793" s="355"/>
      <c r="G5793" s="355"/>
      <c r="H5793" s="355"/>
      <c r="I5793" s="355"/>
      <c r="J5793" s="355"/>
      <c r="K5793" s="355"/>
      <c r="L5793" s="355"/>
      <c r="M5793" s="355"/>
    </row>
    <row r="5794" spans="5:13">
      <c r="E5794" s="355"/>
      <c r="F5794" s="355"/>
      <c r="G5794" s="355"/>
      <c r="H5794" s="355"/>
      <c r="I5794" s="355"/>
      <c r="J5794" s="355"/>
      <c r="K5794" s="355"/>
      <c r="L5794" s="355"/>
      <c r="M5794" s="355"/>
    </row>
    <row r="5795" spans="5:13">
      <c r="E5795" s="355"/>
      <c r="F5795" s="355"/>
      <c r="G5795" s="355"/>
      <c r="H5795" s="355"/>
      <c r="I5795" s="355"/>
      <c r="J5795" s="355"/>
      <c r="K5795" s="355"/>
      <c r="L5795" s="355"/>
      <c r="M5795" s="355"/>
    </row>
    <row r="5796" spans="5:13">
      <c r="E5796" s="355"/>
      <c r="F5796" s="355"/>
      <c r="G5796" s="355"/>
      <c r="H5796" s="355"/>
      <c r="I5796" s="355"/>
      <c r="J5796" s="355"/>
      <c r="K5796" s="355"/>
      <c r="L5796" s="355"/>
      <c r="M5796" s="355"/>
    </row>
    <row r="5797" spans="5:13">
      <c r="E5797" s="355"/>
      <c r="F5797" s="355"/>
      <c r="G5797" s="355"/>
      <c r="H5797" s="355"/>
      <c r="I5797" s="355"/>
      <c r="J5797" s="355"/>
      <c r="K5797" s="355"/>
      <c r="L5797" s="355"/>
      <c r="M5797" s="355"/>
    </row>
    <row r="5798" spans="5:13">
      <c r="E5798" s="355"/>
      <c r="F5798" s="355"/>
      <c r="G5798" s="355"/>
      <c r="H5798" s="355"/>
      <c r="I5798" s="355"/>
      <c r="J5798" s="355"/>
      <c r="K5798" s="355"/>
      <c r="L5798" s="355"/>
      <c r="M5798" s="355"/>
    </row>
    <row r="5799" spans="5:13">
      <c r="E5799" s="355"/>
      <c r="F5799" s="355"/>
      <c r="G5799" s="355"/>
      <c r="H5799" s="355"/>
      <c r="I5799" s="355"/>
      <c r="J5799" s="355"/>
      <c r="K5799" s="355"/>
      <c r="L5799" s="355"/>
      <c r="M5799" s="355"/>
    </row>
    <row r="5800" spans="5:13">
      <c r="E5800" s="355"/>
      <c r="F5800" s="355"/>
      <c r="G5800" s="355"/>
      <c r="H5800" s="355"/>
      <c r="I5800" s="355"/>
      <c r="J5800" s="355"/>
      <c r="K5800" s="355"/>
      <c r="L5800" s="355"/>
      <c r="M5800" s="355"/>
    </row>
    <row r="5801" spans="5:13">
      <c r="E5801" s="355"/>
      <c r="F5801" s="355"/>
      <c r="G5801" s="355"/>
      <c r="H5801" s="355"/>
      <c r="I5801" s="355"/>
      <c r="J5801" s="355"/>
      <c r="K5801" s="355"/>
      <c r="L5801" s="355"/>
      <c r="M5801" s="355"/>
    </row>
    <row r="5802" spans="5:13">
      <c r="E5802" s="355"/>
      <c r="F5802" s="355"/>
      <c r="G5802" s="355"/>
      <c r="H5802" s="355"/>
      <c r="I5802" s="355"/>
      <c r="J5802" s="355"/>
      <c r="K5802" s="355"/>
      <c r="L5802" s="355"/>
      <c r="M5802" s="355"/>
    </row>
    <row r="5803" spans="5:13">
      <c r="E5803" s="355"/>
      <c r="F5803" s="355"/>
      <c r="G5803" s="355"/>
      <c r="H5803" s="355"/>
      <c r="I5803" s="355"/>
      <c r="J5803" s="355"/>
      <c r="K5803" s="355"/>
      <c r="L5803" s="355"/>
      <c r="M5803" s="355"/>
    </row>
    <row r="5804" spans="5:13">
      <c r="E5804" s="355"/>
      <c r="F5804" s="355"/>
      <c r="G5804" s="355"/>
      <c r="H5804" s="355"/>
      <c r="I5804" s="355"/>
      <c r="J5804" s="355"/>
      <c r="K5804" s="355"/>
      <c r="L5804" s="355"/>
      <c r="M5804" s="355"/>
    </row>
    <row r="5805" spans="5:13">
      <c r="E5805" s="355"/>
      <c r="F5805" s="355"/>
      <c r="G5805" s="355"/>
      <c r="H5805" s="355"/>
      <c r="I5805" s="355"/>
      <c r="J5805" s="355"/>
      <c r="K5805" s="355"/>
      <c r="L5805" s="355"/>
      <c r="M5805" s="355"/>
    </row>
    <row r="5806" spans="5:13">
      <c r="E5806" s="355"/>
      <c r="F5806" s="355"/>
      <c r="G5806" s="355"/>
      <c r="H5806" s="355"/>
      <c r="I5806" s="355"/>
      <c r="J5806" s="355"/>
      <c r="K5806" s="355"/>
      <c r="L5806" s="355"/>
      <c r="M5806" s="355"/>
    </row>
    <row r="5807" spans="5:13">
      <c r="E5807" s="355"/>
      <c r="F5807" s="355"/>
      <c r="G5807" s="355"/>
      <c r="H5807" s="355"/>
      <c r="I5807" s="355"/>
      <c r="J5807" s="355"/>
      <c r="K5807" s="355"/>
      <c r="L5807" s="355"/>
      <c r="M5807" s="355"/>
    </row>
    <row r="5808" spans="5:13">
      <c r="E5808" s="355"/>
      <c r="F5808" s="355"/>
      <c r="G5808" s="355"/>
      <c r="H5808" s="355"/>
      <c r="I5808" s="355"/>
      <c r="J5808" s="355"/>
      <c r="K5808" s="355"/>
      <c r="L5808" s="355"/>
      <c r="M5808" s="355"/>
    </row>
    <row r="5809" spans="5:13">
      <c r="E5809" s="355"/>
      <c r="F5809" s="355"/>
      <c r="G5809" s="355"/>
      <c r="H5809" s="355"/>
      <c r="I5809" s="355"/>
      <c r="J5809" s="355"/>
      <c r="K5809" s="355"/>
      <c r="L5809" s="355"/>
      <c r="M5809" s="355"/>
    </row>
    <row r="5810" spans="5:13">
      <c r="E5810" s="355"/>
      <c r="F5810" s="355"/>
      <c r="G5810" s="355"/>
      <c r="H5810" s="355"/>
      <c r="I5810" s="355"/>
      <c r="J5810" s="355"/>
      <c r="K5810" s="355"/>
      <c r="L5810" s="355"/>
      <c r="M5810" s="355"/>
    </row>
    <row r="5811" spans="5:13">
      <c r="E5811" s="355"/>
      <c r="F5811" s="355"/>
      <c r="G5811" s="355"/>
      <c r="H5811" s="355"/>
      <c r="I5811" s="355"/>
      <c r="J5811" s="355"/>
      <c r="K5811" s="355"/>
      <c r="L5811" s="355"/>
      <c r="M5811" s="355"/>
    </row>
    <row r="5812" spans="5:13">
      <c r="E5812" s="355"/>
      <c r="F5812" s="355"/>
      <c r="G5812" s="355"/>
      <c r="H5812" s="355"/>
      <c r="I5812" s="355"/>
      <c r="J5812" s="355"/>
      <c r="K5812" s="355"/>
      <c r="L5812" s="355"/>
      <c r="M5812" s="355"/>
    </row>
    <row r="5813" spans="5:13">
      <c r="E5813" s="355"/>
      <c r="F5813" s="355"/>
      <c r="G5813" s="355"/>
      <c r="H5813" s="355"/>
      <c r="I5813" s="355"/>
      <c r="J5813" s="355"/>
      <c r="K5813" s="355"/>
      <c r="L5813" s="355"/>
      <c r="M5813" s="355"/>
    </row>
    <row r="5814" spans="5:13">
      <c r="E5814" s="355"/>
      <c r="F5814" s="355"/>
      <c r="G5814" s="355"/>
      <c r="H5814" s="355"/>
      <c r="I5814" s="355"/>
      <c r="J5814" s="355"/>
      <c r="K5814" s="355"/>
      <c r="L5814" s="355"/>
      <c r="M5814" s="355"/>
    </row>
    <row r="5815" spans="5:13">
      <c r="E5815" s="355"/>
      <c r="F5815" s="355"/>
      <c r="G5815" s="355"/>
      <c r="H5815" s="355"/>
      <c r="I5815" s="355"/>
      <c r="J5815" s="355"/>
      <c r="K5815" s="355"/>
      <c r="L5815" s="355"/>
      <c r="M5815" s="355"/>
    </row>
    <row r="5816" spans="5:13">
      <c r="E5816" s="355"/>
      <c r="F5816" s="355"/>
      <c r="G5816" s="355"/>
      <c r="H5816" s="355"/>
      <c r="I5816" s="355"/>
      <c r="J5816" s="355"/>
      <c r="K5816" s="355"/>
      <c r="L5816" s="355"/>
      <c r="M5816" s="355"/>
    </row>
    <row r="5817" spans="5:13">
      <c r="E5817" s="355"/>
      <c r="F5817" s="355"/>
      <c r="G5817" s="355"/>
      <c r="H5817" s="355"/>
      <c r="I5817" s="355"/>
      <c r="J5817" s="355"/>
      <c r="K5817" s="355"/>
      <c r="L5817" s="355"/>
      <c r="M5817" s="355"/>
    </row>
    <row r="5818" spans="5:13">
      <c r="E5818" s="355"/>
      <c r="F5818" s="355"/>
      <c r="G5818" s="355"/>
      <c r="H5818" s="355"/>
      <c r="I5818" s="355"/>
      <c r="J5818" s="355"/>
      <c r="K5818" s="355"/>
      <c r="L5818" s="355"/>
      <c r="M5818" s="355"/>
    </row>
    <row r="5819" spans="5:13">
      <c r="E5819" s="355"/>
      <c r="F5819" s="355"/>
      <c r="G5819" s="355"/>
      <c r="H5819" s="355"/>
      <c r="I5819" s="355"/>
      <c r="J5819" s="355"/>
      <c r="K5819" s="355"/>
      <c r="L5819" s="355"/>
      <c r="M5819" s="355"/>
    </row>
    <row r="5820" spans="5:13">
      <c r="E5820" s="355"/>
      <c r="F5820" s="355"/>
      <c r="G5820" s="355"/>
      <c r="H5820" s="355"/>
      <c r="I5820" s="355"/>
      <c r="J5820" s="355"/>
      <c r="K5820" s="355"/>
      <c r="L5820" s="355"/>
      <c r="M5820" s="355"/>
    </row>
    <row r="5821" spans="5:13">
      <c r="E5821" s="355"/>
      <c r="F5821" s="355"/>
      <c r="G5821" s="355"/>
      <c r="H5821" s="355"/>
      <c r="I5821" s="355"/>
      <c r="J5821" s="355"/>
      <c r="K5821" s="355"/>
      <c r="L5821" s="355"/>
      <c r="M5821" s="355"/>
    </row>
    <row r="5822" spans="5:13">
      <c r="E5822" s="355"/>
      <c r="F5822" s="355"/>
      <c r="G5822" s="355"/>
      <c r="H5822" s="355"/>
      <c r="I5822" s="355"/>
      <c r="J5822" s="355"/>
      <c r="K5822" s="355"/>
      <c r="L5822" s="355"/>
      <c r="M5822" s="355"/>
    </row>
    <row r="5823" spans="5:13">
      <c r="E5823" s="355"/>
      <c r="F5823" s="355"/>
      <c r="G5823" s="355"/>
      <c r="H5823" s="355"/>
      <c r="I5823" s="355"/>
      <c r="J5823" s="355"/>
      <c r="K5823" s="355"/>
      <c r="L5823" s="355"/>
      <c r="M5823" s="355"/>
    </row>
    <row r="5824" spans="5:13">
      <c r="E5824" s="355"/>
      <c r="F5824" s="355"/>
      <c r="G5824" s="355"/>
      <c r="H5824" s="355"/>
      <c r="I5824" s="355"/>
      <c r="J5824" s="355"/>
      <c r="K5824" s="355"/>
      <c r="L5824" s="355"/>
      <c r="M5824" s="355"/>
    </row>
    <row r="5825" spans="5:13">
      <c r="E5825" s="355"/>
      <c r="F5825" s="355"/>
      <c r="G5825" s="355"/>
      <c r="H5825" s="355"/>
      <c r="I5825" s="355"/>
      <c r="J5825" s="355"/>
      <c r="K5825" s="355"/>
      <c r="L5825" s="355"/>
      <c r="M5825" s="355"/>
    </row>
    <row r="5826" spans="5:13">
      <c r="E5826" s="355"/>
      <c r="F5826" s="355"/>
      <c r="G5826" s="355"/>
      <c r="H5826" s="355"/>
      <c r="I5826" s="355"/>
      <c r="J5826" s="355"/>
      <c r="K5826" s="355"/>
      <c r="L5826" s="355"/>
      <c r="M5826" s="355"/>
    </row>
    <row r="5827" spans="5:13">
      <c r="E5827" s="355"/>
      <c r="F5827" s="355"/>
      <c r="G5827" s="355"/>
      <c r="H5827" s="355"/>
      <c r="I5827" s="355"/>
      <c r="J5827" s="355"/>
      <c r="K5827" s="355"/>
      <c r="L5827" s="355"/>
      <c r="M5827" s="355"/>
    </row>
    <row r="5828" spans="5:13">
      <c r="E5828" s="355"/>
      <c r="F5828" s="355"/>
      <c r="G5828" s="355"/>
      <c r="H5828" s="355"/>
      <c r="I5828" s="355"/>
      <c r="J5828" s="355"/>
      <c r="K5828" s="355"/>
      <c r="L5828" s="355"/>
      <c r="M5828" s="355"/>
    </row>
    <row r="5829" spans="5:13">
      <c r="E5829" s="355"/>
      <c r="F5829" s="355"/>
      <c r="G5829" s="355"/>
      <c r="H5829" s="355"/>
      <c r="I5829" s="355"/>
      <c r="J5829" s="355"/>
      <c r="K5829" s="355"/>
      <c r="L5829" s="355"/>
      <c r="M5829" s="355"/>
    </row>
    <row r="5830" spans="5:13">
      <c r="E5830" s="355"/>
      <c r="F5830" s="355"/>
      <c r="G5830" s="355"/>
      <c r="H5830" s="355"/>
      <c r="I5830" s="355"/>
      <c r="J5830" s="355"/>
      <c r="K5830" s="355"/>
      <c r="L5830" s="355"/>
      <c r="M5830" s="355"/>
    </row>
    <row r="5831" spans="5:13">
      <c r="E5831" s="355"/>
      <c r="F5831" s="355"/>
      <c r="G5831" s="355"/>
      <c r="H5831" s="355"/>
      <c r="I5831" s="355"/>
      <c r="J5831" s="355"/>
      <c r="K5831" s="355"/>
      <c r="L5831" s="355"/>
      <c r="M5831" s="355"/>
    </row>
    <row r="5832" spans="5:13">
      <c r="E5832" s="355"/>
      <c r="F5832" s="355"/>
      <c r="G5832" s="355"/>
      <c r="H5832" s="355"/>
      <c r="I5832" s="355"/>
      <c r="J5832" s="355"/>
      <c r="K5832" s="355"/>
      <c r="L5832" s="355"/>
      <c r="M5832" s="355"/>
    </row>
    <row r="5833" spans="5:13">
      <c r="E5833" s="355"/>
      <c r="F5833" s="355"/>
      <c r="G5833" s="355"/>
      <c r="H5833" s="355"/>
      <c r="I5833" s="355"/>
      <c r="J5833" s="355"/>
      <c r="K5833" s="355"/>
      <c r="L5833" s="355"/>
      <c r="M5833" s="355"/>
    </row>
    <row r="5834" spans="5:13">
      <c r="E5834" s="355"/>
      <c r="F5834" s="355"/>
      <c r="G5834" s="355"/>
      <c r="H5834" s="355"/>
      <c r="I5834" s="355"/>
      <c r="J5834" s="355"/>
      <c r="K5834" s="355"/>
      <c r="L5834" s="355"/>
      <c r="M5834" s="355"/>
    </row>
    <row r="5835" spans="5:13">
      <c r="E5835" s="355"/>
      <c r="F5835" s="355"/>
      <c r="G5835" s="355"/>
      <c r="H5835" s="355"/>
      <c r="I5835" s="355"/>
      <c r="J5835" s="355"/>
      <c r="K5835" s="355"/>
      <c r="L5835" s="355"/>
      <c r="M5835" s="355"/>
    </row>
    <row r="5836" spans="5:13">
      <c r="E5836" s="355"/>
      <c r="F5836" s="355"/>
      <c r="G5836" s="355"/>
      <c r="H5836" s="355"/>
      <c r="I5836" s="355"/>
      <c r="J5836" s="355"/>
      <c r="K5836" s="355"/>
      <c r="L5836" s="355"/>
      <c r="M5836" s="355"/>
    </row>
    <row r="5837" spans="5:13">
      <c r="E5837" s="355"/>
      <c r="F5837" s="355"/>
      <c r="G5837" s="355"/>
      <c r="H5837" s="355"/>
      <c r="I5837" s="355"/>
      <c r="J5837" s="355"/>
      <c r="K5837" s="355"/>
      <c r="L5837" s="355"/>
      <c r="M5837" s="355"/>
    </row>
    <row r="5838" spans="5:13">
      <c r="E5838" s="355"/>
      <c r="F5838" s="355"/>
      <c r="G5838" s="355"/>
      <c r="H5838" s="355"/>
      <c r="I5838" s="355"/>
      <c r="J5838" s="355"/>
      <c r="K5838" s="355"/>
      <c r="L5838" s="355"/>
      <c r="M5838" s="355"/>
    </row>
    <row r="5839" spans="5:13">
      <c r="E5839" s="355"/>
      <c r="F5839" s="355"/>
      <c r="G5839" s="355"/>
      <c r="H5839" s="355"/>
      <c r="I5839" s="355"/>
      <c r="J5839" s="355"/>
      <c r="K5839" s="355"/>
      <c r="L5839" s="355"/>
      <c r="M5839" s="355"/>
    </row>
    <row r="5840" spans="5:13">
      <c r="E5840" s="355"/>
      <c r="F5840" s="355"/>
      <c r="G5840" s="355"/>
      <c r="H5840" s="355"/>
      <c r="I5840" s="355"/>
      <c r="J5840" s="355"/>
      <c r="K5840" s="355"/>
      <c r="L5840" s="355"/>
      <c r="M5840" s="355"/>
    </row>
    <row r="5841" spans="5:13">
      <c r="E5841" s="355"/>
      <c r="F5841" s="355"/>
      <c r="G5841" s="355"/>
      <c r="H5841" s="355"/>
      <c r="I5841" s="355"/>
      <c r="J5841" s="355"/>
      <c r="K5841" s="355"/>
      <c r="L5841" s="355"/>
      <c r="M5841" s="355"/>
    </row>
    <row r="5842" spans="5:13">
      <c r="E5842" s="355"/>
      <c r="F5842" s="355"/>
      <c r="G5842" s="355"/>
      <c r="H5842" s="355"/>
      <c r="I5842" s="355"/>
      <c r="J5842" s="355"/>
      <c r="K5842" s="355"/>
      <c r="L5842" s="355"/>
      <c r="M5842" s="355"/>
    </row>
    <row r="5843" spans="5:13">
      <c r="E5843" s="355"/>
      <c r="F5843" s="355"/>
      <c r="G5843" s="355"/>
      <c r="H5843" s="355"/>
      <c r="I5843" s="355"/>
      <c r="J5843" s="355"/>
      <c r="K5843" s="355"/>
      <c r="L5843" s="355"/>
      <c r="M5843" s="355"/>
    </row>
    <row r="5844" spans="5:13">
      <c r="E5844" s="355"/>
      <c r="F5844" s="355"/>
      <c r="G5844" s="355"/>
      <c r="H5844" s="355"/>
      <c r="I5844" s="355"/>
      <c r="J5844" s="355"/>
      <c r="K5844" s="355"/>
      <c r="L5844" s="355"/>
      <c r="M5844" s="355"/>
    </row>
    <row r="5845" spans="5:13">
      <c r="E5845" s="355"/>
      <c r="F5845" s="355"/>
      <c r="G5845" s="355"/>
      <c r="H5845" s="355"/>
      <c r="I5845" s="355"/>
      <c r="J5845" s="355"/>
      <c r="K5845" s="355"/>
      <c r="L5845" s="355"/>
      <c r="M5845" s="355"/>
    </row>
    <row r="5846" spans="5:13">
      <c r="E5846" s="355"/>
      <c r="F5846" s="355"/>
      <c r="G5846" s="355"/>
      <c r="H5846" s="355"/>
      <c r="I5846" s="355"/>
      <c r="J5846" s="355"/>
      <c r="K5846" s="355"/>
      <c r="L5846" s="355"/>
      <c r="M5846" s="355"/>
    </row>
    <row r="5847" spans="5:13">
      <c r="E5847" s="355"/>
      <c r="F5847" s="355"/>
      <c r="G5847" s="355"/>
      <c r="H5847" s="355"/>
      <c r="I5847" s="355"/>
      <c r="J5847" s="355"/>
      <c r="K5847" s="355"/>
      <c r="L5847" s="355"/>
      <c r="M5847" s="355"/>
    </row>
    <row r="5848" spans="5:13">
      <c r="E5848" s="355"/>
      <c r="F5848" s="355"/>
      <c r="G5848" s="355"/>
      <c r="H5848" s="355"/>
      <c r="I5848" s="355"/>
      <c r="J5848" s="355"/>
      <c r="K5848" s="355"/>
      <c r="L5848" s="355"/>
      <c r="M5848" s="355"/>
    </row>
    <row r="5849" spans="5:13">
      <c r="E5849" s="355"/>
      <c r="F5849" s="355"/>
      <c r="G5849" s="355"/>
      <c r="H5849" s="355"/>
      <c r="I5849" s="355"/>
      <c r="J5849" s="355"/>
      <c r="K5849" s="355"/>
      <c r="L5849" s="355"/>
      <c r="M5849" s="355"/>
    </row>
    <row r="5850" spans="5:13">
      <c r="E5850" s="355"/>
      <c r="F5850" s="355"/>
      <c r="G5850" s="355"/>
      <c r="H5850" s="355"/>
      <c r="I5850" s="355"/>
      <c r="J5850" s="355"/>
      <c r="K5850" s="355"/>
      <c r="L5850" s="355"/>
      <c r="M5850" s="355"/>
    </row>
    <row r="5851" spans="5:13">
      <c r="E5851" s="355"/>
      <c r="F5851" s="355"/>
      <c r="G5851" s="355"/>
      <c r="H5851" s="355"/>
      <c r="I5851" s="355"/>
      <c r="J5851" s="355"/>
      <c r="K5851" s="355"/>
      <c r="L5851" s="355"/>
      <c r="M5851" s="355"/>
    </row>
    <row r="5852" spans="5:13">
      <c r="E5852" s="355"/>
      <c r="F5852" s="355"/>
      <c r="G5852" s="355"/>
      <c r="H5852" s="355"/>
      <c r="I5852" s="355"/>
      <c r="J5852" s="355"/>
      <c r="K5852" s="355"/>
      <c r="L5852" s="355"/>
      <c r="M5852" s="355"/>
    </row>
    <row r="5853" spans="5:13">
      <c r="E5853" s="355"/>
      <c r="F5853" s="355"/>
      <c r="G5853" s="355"/>
      <c r="H5853" s="355"/>
      <c r="I5853" s="355"/>
      <c r="J5853" s="355"/>
      <c r="K5853" s="355"/>
      <c r="L5853" s="355"/>
      <c r="M5853" s="355"/>
    </row>
    <row r="5854" spans="5:13">
      <c r="E5854" s="355"/>
      <c r="F5854" s="355"/>
      <c r="G5854" s="355"/>
      <c r="H5854" s="355"/>
      <c r="I5854" s="355"/>
      <c r="J5854" s="355"/>
      <c r="K5854" s="355"/>
      <c r="L5854" s="355"/>
      <c r="M5854" s="355"/>
    </row>
    <row r="5855" spans="5:13">
      <c r="E5855" s="355"/>
      <c r="F5855" s="355"/>
      <c r="G5855" s="355"/>
      <c r="H5855" s="355"/>
      <c r="I5855" s="355"/>
      <c r="J5855" s="355"/>
      <c r="K5855" s="355"/>
      <c r="L5855" s="355"/>
      <c r="M5855" s="355"/>
    </row>
    <row r="5856" spans="5:13">
      <c r="E5856" s="355"/>
      <c r="F5856" s="355"/>
      <c r="G5856" s="355"/>
      <c r="H5856" s="355"/>
      <c r="I5856" s="355"/>
      <c r="J5856" s="355"/>
      <c r="K5856" s="355"/>
      <c r="L5856" s="355"/>
      <c r="M5856" s="355"/>
    </row>
    <row r="5857" spans="5:13">
      <c r="E5857" s="355"/>
      <c r="F5857" s="355"/>
      <c r="G5857" s="355"/>
      <c r="H5857" s="355"/>
      <c r="I5857" s="355"/>
      <c r="J5857" s="355"/>
      <c r="K5857" s="355"/>
      <c r="L5857" s="355"/>
      <c r="M5857" s="355"/>
    </row>
    <row r="5858" spans="5:13">
      <c r="E5858" s="355"/>
      <c r="F5858" s="355"/>
      <c r="G5858" s="355"/>
      <c r="H5858" s="355"/>
      <c r="I5858" s="355"/>
      <c r="J5858" s="355"/>
      <c r="K5858" s="355"/>
      <c r="L5858" s="355"/>
      <c r="M5858" s="355"/>
    </row>
    <row r="5859" spans="5:13">
      <c r="E5859" s="355"/>
      <c r="F5859" s="355"/>
      <c r="G5859" s="355"/>
      <c r="H5859" s="355"/>
      <c r="I5859" s="355"/>
      <c r="J5859" s="355"/>
      <c r="K5859" s="355"/>
      <c r="L5859" s="355"/>
      <c r="M5859" s="355"/>
    </row>
    <row r="5860" spans="5:13">
      <c r="E5860" s="355"/>
      <c r="F5860" s="355"/>
      <c r="G5860" s="355"/>
      <c r="H5860" s="355"/>
      <c r="I5860" s="355"/>
      <c r="J5860" s="355"/>
      <c r="K5860" s="355"/>
      <c r="L5860" s="355"/>
      <c r="M5860" s="355"/>
    </row>
    <row r="5861" spans="5:13">
      <c r="E5861" s="355"/>
      <c r="F5861" s="355"/>
      <c r="G5861" s="355"/>
      <c r="H5861" s="355"/>
      <c r="I5861" s="355"/>
      <c r="J5861" s="355"/>
      <c r="K5861" s="355"/>
      <c r="L5861" s="355"/>
      <c r="M5861" s="355"/>
    </row>
    <row r="5862" spans="5:13">
      <c r="E5862" s="355"/>
      <c r="F5862" s="355"/>
      <c r="G5862" s="355"/>
      <c r="H5862" s="355"/>
      <c r="I5862" s="355"/>
      <c r="J5862" s="355"/>
      <c r="K5862" s="355"/>
      <c r="L5862" s="355"/>
      <c r="M5862" s="355"/>
    </row>
    <row r="5863" spans="5:13">
      <c r="E5863" s="355"/>
      <c r="F5863" s="355"/>
      <c r="G5863" s="355"/>
      <c r="H5863" s="355"/>
      <c r="I5863" s="355"/>
      <c r="J5863" s="355"/>
      <c r="K5863" s="355"/>
      <c r="L5863" s="355"/>
      <c r="M5863" s="355"/>
    </row>
    <row r="5864" spans="5:13">
      <c r="E5864" s="355"/>
      <c r="F5864" s="355"/>
      <c r="G5864" s="355"/>
      <c r="H5864" s="355"/>
      <c r="I5864" s="355"/>
      <c r="J5864" s="355"/>
      <c r="K5864" s="355"/>
      <c r="L5864" s="355"/>
      <c r="M5864" s="355"/>
    </row>
    <row r="5865" spans="5:13">
      <c r="E5865" s="355"/>
      <c r="F5865" s="355"/>
      <c r="G5865" s="355"/>
      <c r="H5865" s="355"/>
      <c r="I5865" s="355"/>
      <c r="J5865" s="355"/>
      <c r="K5865" s="355"/>
      <c r="L5865" s="355"/>
      <c r="M5865" s="355"/>
    </row>
    <row r="5866" spans="5:13">
      <c r="E5866" s="355"/>
      <c r="F5866" s="355"/>
      <c r="G5866" s="355"/>
      <c r="H5866" s="355"/>
      <c r="I5866" s="355"/>
      <c r="J5866" s="355"/>
      <c r="K5866" s="355"/>
      <c r="L5866" s="355"/>
      <c r="M5866" s="355"/>
    </row>
    <row r="5867" spans="5:13">
      <c r="E5867" s="355"/>
      <c r="F5867" s="355"/>
      <c r="G5867" s="355"/>
      <c r="H5867" s="355"/>
      <c r="I5867" s="355"/>
      <c r="J5867" s="355"/>
      <c r="K5867" s="355"/>
      <c r="L5867" s="355"/>
      <c r="M5867" s="355"/>
    </row>
    <row r="5868" spans="5:13">
      <c r="E5868" s="355"/>
      <c r="F5868" s="355"/>
      <c r="G5868" s="355"/>
      <c r="H5868" s="355"/>
      <c r="I5868" s="355"/>
      <c r="J5868" s="355"/>
      <c r="K5868" s="355"/>
      <c r="L5868" s="355"/>
      <c r="M5868" s="355"/>
    </row>
    <row r="5869" spans="5:13">
      <c r="E5869" s="355"/>
      <c r="F5869" s="355"/>
      <c r="G5869" s="355"/>
      <c r="H5869" s="355"/>
      <c r="I5869" s="355"/>
      <c r="J5869" s="355"/>
      <c r="K5869" s="355"/>
      <c r="L5869" s="355"/>
      <c r="M5869" s="355"/>
    </row>
    <row r="5870" spans="5:13">
      <c r="E5870" s="355"/>
      <c r="F5870" s="355"/>
      <c r="G5870" s="355"/>
      <c r="H5870" s="355"/>
      <c r="I5870" s="355"/>
      <c r="J5870" s="355"/>
      <c r="K5870" s="355"/>
      <c r="L5870" s="355"/>
      <c r="M5870" s="355"/>
    </row>
    <row r="5871" spans="5:13">
      <c r="E5871" s="355"/>
      <c r="F5871" s="355"/>
      <c r="G5871" s="355"/>
      <c r="H5871" s="355"/>
      <c r="I5871" s="355"/>
      <c r="J5871" s="355"/>
      <c r="K5871" s="355"/>
      <c r="L5871" s="355"/>
      <c r="M5871" s="355"/>
    </row>
    <row r="5872" spans="5:13">
      <c r="E5872" s="355"/>
      <c r="F5872" s="355"/>
      <c r="G5872" s="355"/>
      <c r="H5872" s="355"/>
      <c r="I5872" s="355"/>
      <c r="J5872" s="355"/>
      <c r="K5872" s="355"/>
      <c r="L5872" s="355"/>
      <c r="M5872" s="355"/>
    </row>
    <row r="5873" spans="5:13">
      <c r="E5873" s="355"/>
      <c r="F5873" s="355"/>
      <c r="G5873" s="355"/>
      <c r="H5873" s="355"/>
      <c r="I5873" s="355"/>
      <c r="J5873" s="355"/>
      <c r="K5873" s="355"/>
      <c r="L5873" s="355"/>
      <c r="M5873" s="355"/>
    </row>
    <row r="5874" spans="5:13">
      <c r="E5874" s="355"/>
      <c r="F5874" s="355"/>
      <c r="G5874" s="355"/>
      <c r="H5874" s="355"/>
      <c r="I5874" s="355"/>
      <c r="J5874" s="355"/>
      <c r="K5874" s="355"/>
      <c r="L5874" s="355"/>
      <c r="M5874" s="355"/>
    </row>
    <row r="5875" spans="5:13">
      <c r="E5875" s="355"/>
      <c r="F5875" s="355"/>
      <c r="G5875" s="355"/>
      <c r="H5875" s="355"/>
      <c r="I5875" s="355"/>
      <c r="J5875" s="355"/>
      <c r="K5875" s="355"/>
      <c r="L5875" s="355"/>
      <c r="M5875" s="355"/>
    </row>
    <row r="5876" spans="5:13">
      <c r="E5876" s="355"/>
      <c r="F5876" s="355"/>
      <c r="G5876" s="355"/>
      <c r="H5876" s="355"/>
      <c r="I5876" s="355"/>
      <c r="J5876" s="355"/>
      <c r="K5876" s="355"/>
      <c r="L5876" s="355"/>
      <c r="M5876" s="355"/>
    </row>
    <row r="5877" spans="5:13">
      <c r="E5877" s="355"/>
      <c r="F5877" s="355"/>
      <c r="G5877" s="355"/>
      <c r="H5877" s="355"/>
      <c r="I5877" s="355"/>
      <c r="J5877" s="355"/>
      <c r="K5877" s="355"/>
      <c r="L5877" s="355"/>
      <c r="M5877" s="355"/>
    </row>
    <row r="5878" spans="5:13">
      <c r="E5878" s="355"/>
      <c r="F5878" s="355"/>
      <c r="G5878" s="355"/>
      <c r="H5878" s="355"/>
      <c r="I5878" s="355"/>
      <c r="J5878" s="355"/>
      <c r="K5878" s="355"/>
      <c r="L5878" s="355"/>
      <c r="M5878" s="355"/>
    </row>
    <row r="5879" spans="5:13">
      <c r="E5879" s="355"/>
      <c r="F5879" s="355"/>
      <c r="G5879" s="355"/>
      <c r="H5879" s="355"/>
      <c r="I5879" s="355"/>
      <c r="J5879" s="355"/>
      <c r="K5879" s="355"/>
      <c r="L5879" s="355"/>
      <c r="M5879" s="355"/>
    </row>
    <row r="5880" spans="5:13">
      <c r="E5880" s="355"/>
      <c r="F5880" s="355"/>
      <c r="G5880" s="355"/>
      <c r="H5880" s="355"/>
      <c r="I5880" s="355"/>
      <c r="J5880" s="355"/>
      <c r="K5880" s="355"/>
      <c r="L5880" s="355"/>
      <c r="M5880" s="355"/>
    </row>
    <row r="5881" spans="5:13">
      <c r="E5881" s="355"/>
      <c r="F5881" s="355"/>
      <c r="G5881" s="355"/>
      <c r="H5881" s="355"/>
      <c r="I5881" s="355"/>
      <c r="J5881" s="355"/>
      <c r="K5881" s="355"/>
      <c r="L5881" s="355"/>
      <c r="M5881" s="355"/>
    </row>
    <row r="5882" spans="5:13">
      <c r="E5882" s="355"/>
      <c r="F5882" s="355"/>
      <c r="G5882" s="355"/>
      <c r="H5882" s="355"/>
      <c r="I5882" s="355"/>
      <c r="J5882" s="355"/>
      <c r="K5882" s="355"/>
      <c r="L5882" s="355"/>
      <c r="M5882" s="355"/>
    </row>
    <row r="5883" spans="5:13">
      <c r="E5883" s="355"/>
      <c r="F5883" s="355"/>
      <c r="G5883" s="355"/>
      <c r="H5883" s="355"/>
      <c r="I5883" s="355"/>
      <c r="J5883" s="355"/>
      <c r="K5883" s="355"/>
      <c r="L5883" s="355"/>
      <c r="M5883" s="355"/>
    </row>
    <row r="5884" spans="5:13">
      <c r="E5884" s="355"/>
      <c r="F5884" s="355"/>
      <c r="G5884" s="355"/>
      <c r="H5884" s="355"/>
      <c r="I5884" s="355"/>
      <c r="J5884" s="355"/>
      <c r="K5884" s="355"/>
      <c r="L5884" s="355"/>
      <c r="M5884" s="355"/>
    </row>
    <row r="5885" spans="5:13">
      <c r="E5885" s="355"/>
      <c r="F5885" s="355"/>
      <c r="G5885" s="355"/>
      <c r="H5885" s="355"/>
      <c r="I5885" s="355"/>
      <c r="J5885" s="355"/>
      <c r="K5885" s="355"/>
      <c r="L5885" s="355"/>
      <c r="M5885" s="355"/>
    </row>
    <row r="5886" spans="5:13">
      <c r="E5886" s="355"/>
      <c r="F5886" s="355"/>
      <c r="G5886" s="355"/>
      <c r="H5886" s="355"/>
      <c r="I5886" s="355"/>
      <c r="J5886" s="355"/>
      <c r="K5886" s="355"/>
      <c r="L5886" s="355"/>
      <c r="M5886" s="355"/>
    </row>
    <row r="5887" spans="5:13">
      <c r="E5887" s="355"/>
      <c r="F5887" s="355"/>
      <c r="G5887" s="355"/>
      <c r="H5887" s="355"/>
      <c r="I5887" s="355"/>
      <c r="J5887" s="355"/>
      <c r="K5887" s="355"/>
      <c r="L5887" s="355"/>
      <c r="M5887" s="355"/>
    </row>
    <row r="5888" spans="5:13">
      <c r="E5888" s="355"/>
      <c r="F5888" s="355"/>
      <c r="G5888" s="355"/>
      <c r="H5888" s="355"/>
      <c r="I5888" s="355"/>
      <c r="J5888" s="355"/>
      <c r="K5888" s="355"/>
      <c r="L5888" s="355"/>
      <c r="M5888" s="355"/>
    </row>
    <row r="5889" spans="5:13">
      <c r="E5889" s="355"/>
      <c r="F5889" s="355"/>
      <c r="G5889" s="355"/>
      <c r="H5889" s="355"/>
      <c r="I5889" s="355"/>
      <c r="J5889" s="355"/>
      <c r="K5889" s="355"/>
      <c r="L5889" s="355"/>
      <c r="M5889" s="355"/>
    </row>
    <row r="5890" spans="5:13">
      <c r="E5890" s="355"/>
      <c r="F5890" s="355"/>
      <c r="G5890" s="355"/>
      <c r="H5890" s="355"/>
      <c r="I5890" s="355"/>
      <c r="J5890" s="355"/>
      <c r="K5890" s="355"/>
      <c r="L5890" s="355"/>
      <c r="M5890" s="355"/>
    </row>
    <row r="5891" spans="5:13">
      <c r="E5891" s="355"/>
      <c r="F5891" s="355"/>
      <c r="G5891" s="355"/>
      <c r="H5891" s="355"/>
      <c r="I5891" s="355"/>
      <c r="J5891" s="355"/>
      <c r="K5891" s="355"/>
      <c r="L5891" s="355"/>
      <c r="M5891" s="355"/>
    </row>
    <row r="5892" spans="5:13">
      <c r="E5892" s="355"/>
      <c r="F5892" s="355"/>
      <c r="G5892" s="355"/>
      <c r="H5892" s="355"/>
      <c r="I5892" s="355"/>
      <c r="J5892" s="355"/>
      <c r="K5892" s="355"/>
      <c r="L5892" s="355"/>
      <c r="M5892" s="355"/>
    </row>
    <row r="5893" spans="5:13">
      <c r="E5893" s="355"/>
      <c r="F5893" s="355"/>
      <c r="G5893" s="355"/>
      <c r="H5893" s="355"/>
      <c r="I5893" s="355"/>
      <c r="J5893" s="355"/>
      <c r="K5893" s="355"/>
      <c r="L5893" s="355"/>
      <c r="M5893" s="355"/>
    </row>
    <row r="5894" spans="5:13">
      <c r="E5894" s="355"/>
      <c r="F5894" s="355"/>
      <c r="G5894" s="355"/>
      <c r="H5894" s="355"/>
      <c r="I5894" s="355"/>
      <c r="J5894" s="355"/>
      <c r="K5894" s="355"/>
      <c r="L5894" s="355"/>
      <c r="M5894" s="355"/>
    </row>
    <row r="5895" spans="5:13">
      <c r="E5895" s="355"/>
      <c r="F5895" s="355"/>
      <c r="G5895" s="355"/>
      <c r="H5895" s="355"/>
      <c r="I5895" s="355"/>
      <c r="J5895" s="355"/>
      <c r="K5895" s="355"/>
      <c r="L5895" s="355"/>
      <c r="M5895" s="355"/>
    </row>
    <row r="5896" spans="5:13">
      <c r="E5896" s="355"/>
      <c r="F5896" s="355"/>
      <c r="G5896" s="355"/>
      <c r="H5896" s="355"/>
      <c r="I5896" s="355"/>
      <c r="J5896" s="355"/>
      <c r="K5896" s="355"/>
      <c r="L5896" s="355"/>
      <c r="M5896" s="355"/>
    </row>
    <row r="5897" spans="5:13">
      <c r="E5897" s="355"/>
      <c r="F5897" s="355"/>
      <c r="G5897" s="355"/>
      <c r="H5897" s="355"/>
      <c r="I5897" s="355"/>
      <c r="J5897" s="355"/>
      <c r="K5897" s="355"/>
      <c r="L5897" s="355"/>
      <c r="M5897" s="355"/>
    </row>
    <row r="5898" spans="5:13">
      <c r="E5898" s="355"/>
      <c r="F5898" s="355"/>
      <c r="G5898" s="355"/>
      <c r="H5898" s="355"/>
      <c r="I5898" s="355"/>
      <c r="J5898" s="355"/>
      <c r="K5898" s="355"/>
      <c r="L5898" s="355"/>
      <c r="M5898" s="355"/>
    </row>
    <row r="5899" spans="5:13">
      <c r="E5899" s="355"/>
      <c r="F5899" s="355"/>
      <c r="G5899" s="355"/>
      <c r="H5899" s="355"/>
      <c r="I5899" s="355"/>
      <c r="J5899" s="355"/>
      <c r="K5899" s="355"/>
      <c r="L5899" s="355"/>
      <c r="M5899" s="355"/>
    </row>
    <row r="5900" spans="5:13">
      <c r="E5900" s="355"/>
      <c r="F5900" s="355"/>
      <c r="G5900" s="355"/>
      <c r="H5900" s="355"/>
      <c r="I5900" s="355"/>
      <c r="J5900" s="355"/>
      <c r="K5900" s="355"/>
      <c r="L5900" s="355"/>
      <c r="M5900" s="355"/>
    </row>
    <row r="5901" spans="5:13">
      <c r="E5901" s="355"/>
      <c r="F5901" s="355"/>
      <c r="G5901" s="355"/>
      <c r="H5901" s="355"/>
      <c r="I5901" s="355"/>
      <c r="J5901" s="355"/>
      <c r="K5901" s="355"/>
      <c r="L5901" s="355"/>
      <c r="M5901" s="355"/>
    </row>
    <row r="5902" spans="5:13">
      <c r="E5902" s="355"/>
      <c r="F5902" s="355"/>
      <c r="G5902" s="355"/>
      <c r="H5902" s="355"/>
      <c r="I5902" s="355"/>
      <c r="J5902" s="355"/>
      <c r="K5902" s="355"/>
      <c r="L5902" s="355"/>
      <c r="M5902" s="355"/>
    </row>
    <row r="5903" spans="5:13">
      <c r="E5903" s="355"/>
      <c r="F5903" s="355"/>
      <c r="G5903" s="355"/>
      <c r="H5903" s="355"/>
      <c r="I5903" s="355"/>
      <c r="J5903" s="355"/>
      <c r="K5903" s="355"/>
      <c r="L5903" s="355"/>
      <c r="M5903" s="355"/>
    </row>
    <row r="5904" spans="5:13">
      <c r="E5904" s="355"/>
      <c r="F5904" s="355"/>
      <c r="G5904" s="355"/>
      <c r="H5904" s="355"/>
      <c r="I5904" s="355"/>
      <c r="J5904" s="355"/>
      <c r="K5904" s="355"/>
      <c r="L5904" s="355"/>
      <c r="M5904" s="355"/>
    </row>
    <row r="5905" spans="5:13">
      <c r="E5905" s="355"/>
      <c r="F5905" s="355"/>
      <c r="G5905" s="355"/>
      <c r="H5905" s="355"/>
      <c r="I5905" s="355"/>
      <c r="J5905" s="355"/>
      <c r="K5905" s="355"/>
      <c r="L5905" s="355"/>
      <c r="M5905" s="355"/>
    </row>
    <row r="5906" spans="5:13">
      <c r="E5906" s="355"/>
      <c r="F5906" s="355"/>
      <c r="G5906" s="355"/>
      <c r="H5906" s="355"/>
      <c r="I5906" s="355"/>
      <c r="J5906" s="355"/>
      <c r="K5906" s="355"/>
      <c r="L5906" s="355"/>
      <c r="M5906" s="355"/>
    </row>
    <row r="5907" spans="5:13">
      <c r="E5907" s="355"/>
      <c r="F5907" s="355"/>
      <c r="G5907" s="355"/>
      <c r="H5907" s="355"/>
      <c r="I5907" s="355"/>
      <c r="J5907" s="355"/>
      <c r="K5907" s="355"/>
      <c r="L5907" s="355"/>
      <c r="M5907" s="355"/>
    </row>
    <row r="5908" spans="5:13">
      <c r="E5908" s="355"/>
      <c r="F5908" s="355"/>
      <c r="G5908" s="355"/>
      <c r="H5908" s="355"/>
      <c r="I5908" s="355"/>
      <c r="J5908" s="355"/>
      <c r="K5908" s="355"/>
      <c r="L5908" s="355"/>
      <c r="M5908" s="355"/>
    </row>
    <row r="5909" spans="5:13">
      <c r="E5909" s="355"/>
      <c r="F5909" s="355"/>
      <c r="G5909" s="355"/>
      <c r="H5909" s="355"/>
      <c r="I5909" s="355"/>
      <c r="J5909" s="355"/>
      <c r="K5909" s="355"/>
      <c r="L5909" s="355"/>
      <c r="M5909" s="355"/>
    </row>
    <row r="5910" spans="5:13">
      <c r="E5910" s="355"/>
      <c r="F5910" s="355"/>
      <c r="G5910" s="355"/>
      <c r="H5910" s="355"/>
      <c r="I5910" s="355"/>
      <c r="J5910" s="355"/>
      <c r="K5910" s="355"/>
      <c r="L5910" s="355"/>
      <c r="M5910" s="355"/>
    </row>
    <row r="5911" spans="5:13">
      <c r="E5911" s="355"/>
      <c r="F5911" s="355"/>
      <c r="G5911" s="355"/>
      <c r="H5911" s="355"/>
      <c r="I5911" s="355"/>
      <c r="J5911" s="355"/>
      <c r="K5911" s="355"/>
      <c r="L5911" s="355"/>
      <c r="M5911" s="355"/>
    </row>
    <row r="5912" spans="5:13">
      <c r="E5912" s="355"/>
      <c r="F5912" s="355"/>
      <c r="G5912" s="355"/>
      <c r="H5912" s="355"/>
      <c r="I5912" s="355"/>
      <c r="J5912" s="355"/>
      <c r="K5912" s="355"/>
      <c r="L5912" s="355"/>
      <c r="M5912" s="355"/>
    </row>
    <row r="5913" spans="5:13">
      <c r="E5913" s="355"/>
      <c r="F5913" s="355"/>
      <c r="G5913" s="355"/>
      <c r="H5913" s="355"/>
      <c r="I5913" s="355"/>
      <c r="J5913" s="355"/>
      <c r="K5913" s="355"/>
      <c r="L5913" s="355"/>
      <c r="M5913" s="355"/>
    </row>
    <row r="5914" spans="5:13">
      <c r="E5914" s="355"/>
      <c r="F5914" s="355"/>
      <c r="G5914" s="355"/>
      <c r="H5914" s="355"/>
      <c r="I5914" s="355"/>
      <c r="J5914" s="355"/>
      <c r="K5914" s="355"/>
      <c r="L5914" s="355"/>
      <c r="M5914" s="355"/>
    </row>
    <row r="5915" spans="5:13">
      <c r="E5915" s="355"/>
      <c r="F5915" s="355"/>
      <c r="G5915" s="355"/>
      <c r="H5915" s="355"/>
      <c r="I5915" s="355"/>
      <c r="J5915" s="355"/>
      <c r="K5915" s="355"/>
      <c r="L5915" s="355"/>
      <c r="M5915" s="355"/>
    </row>
    <row r="5916" spans="5:13">
      <c r="E5916" s="355"/>
      <c r="F5916" s="355"/>
      <c r="G5916" s="355"/>
      <c r="H5916" s="355"/>
      <c r="I5916" s="355"/>
      <c r="J5916" s="355"/>
      <c r="K5916" s="355"/>
      <c r="L5916" s="355"/>
      <c r="M5916" s="355"/>
    </row>
    <row r="5917" spans="5:13">
      <c r="E5917" s="355"/>
      <c r="F5917" s="355"/>
      <c r="G5917" s="355"/>
      <c r="H5917" s="355"/>
      <c r="I5917" s="355"/>
      <c r="J5917" s="355"/>
      <c r="K5917" s="355"/>
      <c r="L5917" s="355"/>
      <c r="M5917" s="355"/>
    </row>
    <row r="5918" spans="5:13">
      <c r="E5918" s="355"/>
      <c r="F5918" s="355"/>
      <c r="G5918" s="355"/>
      <c r="H5918" s="355"/>
      <c r="I5918" s="355"/>
      <c r="J5918" s="355"/>
      <c r="K5918" s="355"/>
      <c r="L5918" s="355"/>
      <c r="M5918" s="355"/>
    </row>
    <row r="5919" spans="5:13">
      <c r="E5919" s="355"/>
      <c r="F5919" s="355"/>
      <c r="G5919" s="355"/>
      <c r="H5919" s="355"/>
      <c r="I5919" s="355"/>
      <c r="J5919" s="355"/>
      <c r="K5919" s="355"/>
      <c r="L5919" s="355"/>
      <c r="M5919" s="355"/>
    </row>
    <row r="5920" spans="5:13">
      <c r="E5920" s="355"/>
      <c r="F5920" s="355"/>
      <c r="G5920" s="355"/>
      <c r="H5920" s="355"/>
      <c r="I5920" s="355"/>
      <c r="J5920" s="355"/>
      <c r="K5920" s="355"/>
      <c r="L5920" s="355"/>
      <c r="M5920" s="355"/>
    </row>
    <row r="5921" spans="5:13">
      <c r="E5921" s="355"/>
      <c r="F5921" s="355"/>
      <c r="G5921" s="355"/>
      <c r="H5921" s="355"/>
      <c r="I5921" s="355"/>
      <c r="J5921" s="355"/>
      <c r="K5921" s="355"/>
      <c r="L5921" s="355"/>
      <c r="M5921" s="355"/>
    </row>
    <row r="5922" spans="5:13">
      <c r="E5922" s="355"/>
      <c r="F5922" s="355"/>
      <c r="G5922" s="355"/>
      <c r="H5922" s="355"/>
      <c r="I5922" s="355"/>
      <c r="J5922" s="355"/>
      <c r="K5922" s="355"/>
      <c r="L5922" s="355"/>
      <c r="M5922" s="355"/>
    </row>
    <row r="5923" spans="5:13">
      <c r="E5923" s="355"/>
      <c r="F5923" s="355"/>
      <c r="G5923" s="355"/>
      <c r="H5923" s="355"/>
      <c r="I5923" s="355"/>
      <c r="J5923" s="355"/>
      <c r="K5923" s="355"/>
      <c r="L5923" s="355"/>
      <c r="M5923" s="355"/>
    </row>
    <row r="5924" spans="5:13">
      <c r="E5924" s="355"/>
      <c r="F5924" s="355"/>
      <c r="G5924" s="355"/>
      <c r="H5924" s="355"/>
      <c r="I5924" s="355"/>
      <c r="J5924" s="355"/>
      <c r="K5924" s="355"/>
      <c r="L5924" s="355"/>
      <c r="M5924" s="355"/>
    </row>
    <row r="5925" spans="5:13">
      <c r="E5925" s="355"/>
      <c r="F5925" s="355"/>
      <c r="G5925" s="355"/>
      <c r="H5925" s="355"/>
      <c r="I5925" s="355"/>
      <c r="J5925" s="355"/>
      <c r="K5925" s="355"/>
      <c r="L5925" s="355"/>
      <c r="M5925" s="355"/>
    </row>
    <row r="5926" spans="5:13">
      <c r="E5926" s="355"/>
      <c r="F5926" s="355"/>
      <c r="G5926" s="355"/>
      <c r="H5926" s="355"/>
      <c r="I5926" s="355"/>
      <c r="J5926" s="355"/>
      <c r="K5926" s="355"/>
      <c r="L5926" s="355"/>
      <c r="M5926" s="355"/>
    </row>
    <row r="5927" spans="5:13">
      <c r="E5927" s="355"/>
      <c r="F5927" s="355"/>
      <c r="G5927" s="355"/>
      <c r="H5927" s="355"/>
      <c r="I5927" s="355"/>
      <c r="J5927" s="355"/>
      <c r="K5927" s="355"/>
      <c r="L5927" s="355"/>
      <c r="M5927" s="355"/>
    </row>
    <row r="5928" spans="5:13">
      <c r="E5928" s="355"/>
      <c r="F5928" s="355"/>
      <c r="G5928" s="355"/>
      <c r="H5928" s="355"/>
      <c r="I5928" s="355"/>
      <c r="J5928" s="355"/>
      <c r="K5928" s="355"/>
      <c r="L5928" s="355"/>
      <c r="M5928" s="355"/>
    </row>
    <row r="5929" spans="5:13">
      <c r="E5929" s="355"/>
      <c r="F5929" s="355"/>
      <c r="G5929" s="355"/>
      <c r="H5929" s="355"/>
      <c r="I5929" s="355"/>
      <c r="J5929" s="355"/>
      <c r="K5929" s="355"/>
      <c r="L5929" s="355"/>
      <c r="M5929" s="355"/>
    </row>
    <row r="5930" spans="5:13">
      <c r="E5930" s="355"/>
      <c r="F5930" s="355"/>
      <c r="G5930" s="355"/>
      <c r="H5930" s="355"/>
      <c r="I5930" s="355"/>
      <c r="J5930" s="355"/>
      <c r="K5930" s="355"/>
      <c r="L5930" s="355"/>
      <c r="M5930" s="355"/>
    </row>
    <row r="5931" spans="5:13">
      <c r="E5931" s="355"/>
      <c r="F5931" s="355"/>
      <c r="G5931" s="355"/>
      <c r="H5931" s="355"/>
      <c r="I5931" s="355"/>
      <c r="J5931" s="355"/>
      <c r="K5931" s="355"/>
      <c r="L5931" s="355"/>
      <c r="M5931" s="355"/>
    </row>
    <row r="5932" spans="5:13">
      <c r="E5932" s="355"/>
      <c r="F5932" s="355"/>
      <c r="G5932" s="355"/>
      <c r="H5932" s="355"/>
      <c r="I5932" s="355"/>
      <c r="J5932" s="355"/>
      <c r="K5932" s="355"/>
      <c r="L5932" s="355"/>
      <c r="M5932" s="355"/>
    </row>
    <row r="5933" spans="5:13">
      <c r="E5933" s="355"/>
      <c r="F5933" s="355"/>
      <c r="G5933" s="355"/>
      <c r="H5933" s="355"/>
      <c r="I5933" s="355"/>
      <c r="J5933" s="355"/>
      <c r="K5933" s="355"/>
      <c r="L5933" s="355"/>
      <c r="M5933" s="355"/>
    </row>
    <row r="5934" spans="5:13">
      <c r="E5934" s="355"/>
      <c r="F5934" s="355"/>
      <c r="G5934" s="355"/>
      <c r="H5934" s="355"/>
      <c r="I5934" s="355"/>
      <c r="J5934" s="355"/>
      <c r="K5934" s="355"/>
      <c r="L5934" s="355"/>
      <c r="M5934" s="355"/>
    </row>
    <row r="5935" spans="5:13">
      <c r="E5935" s="355"/>
      <c r="F5935" s="355"/>
      <c r="G5935" s="355"/>
      <c r="H5935" s="355"/>
      <c r="I5935" s="355"/>
      <c r="J5935" s="355"/>
      <c r="K5935" s="355"/>
      <c r="L5935" s="355"/>
      <c r="M5935" s="355"/>
    </row>
    <row r="5936" spans="5:13">
      <c r="E5936" s="355"/>
      <c r="F5936" s="355"/>
      <c r="G5936" s="355"/>
      <c r="H5936" s="355"/>
      <c r="I5936" s="355"/>
      <c r="J5936" s="355"/>
      <c r="K5936" s="355"/>
      <c r="L5936" s="355"/>
      <c r="M5936" s="355"/>
    </row>
    <row r="5937" spans="5:13">
      <c r="E5937" s="355"/>
      <c r="F5937" s="355"/>
      <c r="G5937" s="355"/>
      <c r="H5937" s="355"/>
      <c r="I5937" s="355"/>
      <c r="J5937" s="355"/>
      <c r="K5937" s="355"/>
      <c r="L5937" s="355"/>
      <c r="M5937" s="355"/>
    </row>
    <row r="5938" spans="5:13">
      <c r="E5938" s="355"/>
      <c r="F5938" s="355"/>
      <c r="G5938" s="355"/>
      <c r="H5938" s="355"/>
      <c r="I5938" s="355"/>
      <c r="J5938" s="355"/>
      <c r="K5938" s="355"/>
      <c r="L5938" s="355"/>
      <c r="M5938" s="355"/>
    </row>
    <row r="5939" spans="5:13">
      <c r="E5939" s="355"/>
      <c r="F5939" s="355"/>
      <c r="G5939" s="355"/>
      <c r="H5939" s="355"/>
      <c r="I5939" s="355"/>
      <c r="J5939" s="355"/>
      <c r="K5939" s="355"/>
      <c r="L5939" s="355"/>
      <c r="M5939" s="355"/>
    </row>
    <row r="5940" spans="5:13">
      <c r="E5940" s="355"/>
      <c r="F5940" s="355"/>
      <c r="G5940" s="355"/>
      <c r="H5940" s="355"/>
      <c r="I5940" s="355"/>
      <c r="J5940" s="355"/>
      <c r="K5940" s="355"/>
      <c r="L5940" s="355"/>
      <c r="M5940" s="355"/>
    </row>
    <row r="5941" spans="5:13">
      <c r="E5941" s="355"/>
      <c r="F5941" s="355"/>
      <c r="G5941" s="355"/>
      <c r="H5941" s="355"/>
      <c r="I5941" s="355"/>
      <c r="J5941" s="355"/>
      <c r="K5941" s="355"/>
      <c r="L5941" s="355"/>
      <c r="M5941" s="355"/>
    </row>
    <row r="5942" spans="5:13">
      <c r="E5942" s="355"/>
      <c r="F5942" s="355"/>
      <c r="G5942" s="355"/>
      <c r="H5942" s="355"/>
      <c r="I5942" s="355"/>
      <c r="J5942" s="355"/>
      <c r="K5942" s="355"/>
      <c r="L5942" s="355"/>
      <c r="M5942" s="355"/>
    </row>
    <row r="5943" spans="5:13">
      <c r="E5943" s="355"/>
      <c r="F5943" s="355"/>
      <c r="G5943" s="355"/>
      <c r="H5943" s="355"/>
      <c r="I5943" s="355"/>
      <c r="J5943" s="355"/>
      <c r="K5943" s="355"/>
      <c r="L5943" s="355"/>
      <c r="M5943" s="355"/>
    </row>
    <row r="5944" spans="5:13">
      <c r="E5944" s="355"/>
      <c r="F5944" s="355"/>
      <c r="G5944" s="355"/>
      <c r="H5944" s="355"/>
      <c r="I5944" s="355"/>
      <c r="J5944" s="355"/>
      <c r="K5944" s="355"/>
      <c r="L5944" s="355"/>
      <c r="M5944" s="355"/>
    </row>
    <row r="5945" spans="5:13">
      <c r="E5945" s="355"/>
      <c r="F5945" s="355"/>
      <c r="G5945" s="355"/>
      <c r="H5945" s="355"/>
      <c r="I5945" s="355"/>
      <c r="J5945" s="355"/>
      <c r="K5945" s="355"/>
      <c r="L5945" s="355"/>
      <c r="M5945" s="355"/>
    </row>
    <row r="5946" spans="5:13">
      <c r="E5946" s="355"/>
      <c r="F5946" s="355"/>
      <c r="G5946" s="355"/>
      <c r="H5946" s="355"/>
      <c r="I5946" s="355"/>
      <c r="J5946" s="355"/>
      <c r="K5946" s="355"/>
      <c r="L5946" s="355"/>
      <c r="M5946" s="355"/>
    </row>
    <row r="5947" spans="5:13">
      <c r="E5947" s="355"/>
      <c r="F5947" s="355"/>
      <c r="G5947" s="355"/>
      <c r="H5947" s="355"/>
      <c r="I5947" s="355"/>
      <c r="J5947" s="355"/>
      <c r="K5947" s="355"/>
      <c r="L5947" s="355"/>
      <c r="M5947" s="355"/>
    </row>
    <row r="5948" spans="5:13">
      <c r="E5948" s="355"/>
      <c r="F5948" s="355"/>
      <c r="G5948" s="355"/>
      <c r="H5948" s="355"/>
      <c r="I5948" s="355"/>
      <c r="J5948" s="355"/>
      <c r="K5948" s="355"/>
      <c r="L5948" s="355"/>
      <c r="M5948" s="355"/>
    </row>
    <row r="5949" spans="5:13">
      <c r="E5949" s="355"/>
      <c r="F5949" s="355"/>
      <c r="G5949" s="355"/>
      <c r="H5949" s="355"/>
      <c r="I5949" s="355"/>
      <c r="J5949" s="355"/>
      <c r="K5949" s="355"/>
      <c r="L5949" s="355"/>
      <c r="M5949" s="355"/>
    </row>
    <row r="5950" spans="5:13">
      <c r="E5950" s="355"/>
      <c r="F5950" s="355"/>
      <c r="G5950" s="355"/>
      <c r="H5950" s="355"/>
      <c r="I5950" s="355"/>
      <c r="J5950" s="355"/>
      <c r="K5950" s="355"/>
      <c r="L5950" s="355"/>
      <c r="M5950" s="355"/>
    </row>
    <row r="5951" spans="5:13">
      <c r="E5951" s="355"/>
      <c r="F5951" s="355"/>
      <c r="G5951" s="355"/>
      <c r="H5951" s="355"/>
      <c r="I5951" s="355"/>
      <c r="J5951" s="355"/>
      <c r="K5951" s="355"/>
      <c r="L5951" s="355"/>
      <c r="M5951" s="355"/>
    </row>
    <row r="5952" spans="5:13">
      <c r="E5952" s="355"/>
      <c r="F5952" s="355"/>
      <c r="G5952" s="355"/>
      <c r="H5952" s="355"/>
      <c r="I5952" s="355"/>
      <c r="J5952" s="355"/>
      <c r="K5952" s="355"/>
      <c r="L5952" s="355"/>
      <c r="M5952" s="355"/>
    </row>
    <row r="5953" spans="5:13">
      <c r="E5953" s="355"/>
      <c r="F5953" s="355"/>
      <c r="G5953" s="355"/>
      <c r="H5953" s="355"/>
      <c r="I5953" s="355"/>
      <c r="J5953" s="355"/>
      <c r="K5953" s="355"/>
      <c r="L5953" s="355"/>
      <c r="M5953" s="355"/>
    </row>
    <row r="5954" spans="5:13">
      <c r="E5954" s="355"/>
      <c r="F5954" s="355"/>
      <c r="G5954" s="355"/>
      <c r="H5954" s="355"/>
      <c r="I5954" s="355"/>
      <c r="J5954" s="355"/>
      <c r="K5954" s="355"/>
      <c r="L5954" s="355"/>
      <c r="M5954" s="355"/>
    </row>
    <row r="5955" spans="5:13">
      <c r="E5955" s="355"/>
      <c r="F5955" s="355"/>
      <c r="G5955" s="355"/>
      <c r="H5955" s="355"/>
      <c r="I5955" s="355"/>
      <c r="J5955" s="355"/>
      <c r="K5955" s="355"/>
      <c r="L5955" s="355"/>
      <c r="M5955" s="355"/>
    </row>
    <row r="5956" spans="5:13">
      <c r="E5956" s="355"/>
      <c r="F5956" s="355"/>
      <c r="G5956" s="355"/>
      <c r="H5956" s="355"/>
      <c r="I5956" s="355"/>
      <c r="J5956" s="355"/>
      <c r="K5956" s="355"/>
      <c r="L5956" s="355"/>
      <c r="M5956" s="355"/>
    </row>
    <row r="5957" spans="5:13">
      <c r="E5957" s="355"/>
      <c r="F5957" s="355"/>
      <c r="G5957" s="355"/>
      <c r="H5957" s="355"/>
      <c r="I5957" s="355"/>
      <c r="J5957" s="355"/>
      <c r="K5957" s="355"/>
      <c r="L5957" s="355"/>
      <c r="M5957" s="355"/>
    </row>
    <row r="5958" spans="5:13">
      <c r="E5958" s="355"/>
      <c r="F5958" s="355"/>
      <c r="G5958" s="355"/>
      <c r="H5958" s="355"/>
      <c r="I5958" s="355"/>
      <c r="J5958" s="355"/>
      <c r="K5958" s="355"/>
      <c r="L5958" s="355"/>
      <c r="M5958" s="355"/>
    </row>
    <row r="5959" spans="5:13">
      <c r="E5959" s="355"/>
      <c r="F5959" s="355"/>
      <c r="G5959" s="355"/>
      <c r="H5959" s="355"/>
      <c r="I5959" s="355"/>
      <c r="J5959" s="355"/>
      <c r="K5959" s="355"/>
      <c r="L5959" s="355"/>
      <c r="M5959" s="355"/>
    </row>
    <row r="5960" spans="5:13">
      <c r="E5960" s="355"/>
      <c r="F5960" s="355"/>
      <c r="G5960" s="355"/>
      <c r="H5960" s="355"/>
      <c r="I5960" s="355"/>
      <c r="J5960" s="355"/>
      <c r="K5960" s="355"/>
      <c r="L5960" s="355"/>
      <c r="M5960" s="355"/>
    </row>
    <row r="5961" spans="5:13">
      <c r="E5961" s="355"/>
      <c r="F5961" s="355"/>
      <c r="G5961" s="355"/>
      <c r="H5961" s="355"/>
      <c r="I5961" s="355"/>
      <c r="J5961" s="355"/>
      <c r="K5961" s="355"/>
      <c r="L5961" s="355"/>
      <c r="M5961" s="355"/>
    </row>
    <row r="5962" spans="5:13">
      <c r="E5962" s="355"/>
      <c r="F5962" s="355"/>
      <c r="G5962" s="355"/>
      <c r="H5962" s="355"/>
      <c r="I5962" s="355"/>
      <c r="J5962" s="355"/>
      <c r="K5962" s="355"/>
      <c r="L5962" s="355"/>
      <c r="M5962" s="355"/>
    </row>
    <row r="5963" spans="5:13">
      <c r="E5963" s="355"/>
      <c r="F5963" s="355"/>
      <c r="G5963" s="355"/>
      <c r="H5963" s="355"/>
      <c r="I5963" s="355"/>
      <c r="J5963" s="355"/>
      <c r="K5963" s="355"/>
      <c r="L5963" s="355"/>
      <c r="M5963" s="355"/>
    </row>
    <row r="5964" spans="5:13">
      <c r="E5964" s="355"/>
      <c r="F5964" s="355"/>
      <c r="G5964" s="355"/>
      <c r="H5964" s="355"/>
      <c r="I5964" s="355"/>
      <c r="J5964" s="355"/>
      <c r="K5964" s="355"/>
      <c r="L5964" s="355"/>
      <c r="M5964" s="355"/>
    </row>
    <row r="5965" spans="5:13">
      <c r="E5965" s="355"/>
      <c r="F5965" s="355"/>
      <c r="G5965" s="355"/>
      <c r="H5965" s="355"/>
      <c r="I5965" s="355"/>
      <c r="J5965" s="355"/>
      <c r="K5965" s="355"/>
      <c r="L5965" s="355"/>
      <c r="M5965" s="355"/>
    </row>
    <row r="5966" spans="5:13">
      <c r="E5966" s="355"/>
      <c r="F5966" s="355"/>
      <c r="G5966" s="355"/>
      <c r="H5966" s="355"/>
      <c r="I5966" s="355"/>
      <c r="J5966" s="355"/>
      <c r="K5966" s="355"/>
      <c r="L5966" s="355"/>
      <c r="M5966" s="355"/>
    </row>
    <row r="5967" spans="5:13">
      <c r="E5967" s="355"/>
      <c r="F5967" s="355"/>
      <c r="G5967" s="355"/>
      <c r="H5967" s="355"/>
      <c r="I5967" s="355"/>
      <c r="J5967" s="355"/>
      <c r="K5967" s="355"/>
      <c r="L5967" s="355"/>
      <c r="M5967" s="355"/>
    </row>
    <row r="5968" spans="5:13">
      <c r="E5968" s="355"/>
      <c r="F5968" s="355"/>
      <c r="G5968" s="355"/>
      <c r="H5968" s="355"/>
      <c r="I5968" s="355"/>
      <c r="J5968" s="355"/>
      <c r="K5968" s="355"/>
      <c r="L5968" s="355"/>
      <c r="M5968" s="355"/>
    </row>
    <row r="5969" spans="5:13">
      <c r="E5969" s="355"/>
      <c r="F5969" s="355"/>
      <c r="G5969" s="355"/>
      <c r="H5969" s="355"/>
      <c r="I5969" s="355"/>
      <c r="J5969" s="355"/>
      <c r="K5969" s="355"/>
      <c r="L5969" s="355"/>
      <c r="M5969" s="355"/>
    </row>
    <row r="5970" spans="5:13">
      <c r="E5970" s="355"/>
      <c r="F5970" s="355"/>
      <c r="G5970" s="355"/>
      <c r="H5970" s="355"/>
      <c r="I5970" s="355"/>
      <c r="J5970" s="355"/>
      <c r="K5970" s="355"/>
      <c r="L5970" s="355"/>
      <c r="M5970" s="355"/>
    </row>
    <row r="5971" spans="5:13">
      <c r="E5971" s="355"/>
      <c r="F5971" s="355"/>
      <c r="G5971" s="355"/>
      <c r="H5971" s="355"/>
      <c r="I5971" s="355"/>
      <c r="J5971" s="355"/>
      <c r="K5971" s="355"/>
      <c r="L5971" s="355"/>
      <c r="M5971" s="355"/>
    </row>
    <row r="5972" spans="5:13">
      <c r="E5972" s="355"/>
      <c r="F5972" s="355"/>
      <c r="G5972" s="355"/>
      <c r="H5972" s="355"/>
      <c r="I5972" s="355"/>
      <c r="J5972" s="355"/>
      <c r="K5972" s="355"/>
      <c r="L5972" s="355"/>
      <c r="M5972" s="355"/>
    </row>
    <row r="5973" spans="5:13">
      <c r="E5973" s="355"/>
      <c r="F5973" s="355"/>
      <c r="G5973" s="355"/>
      <c r="H5973" s="355"/>
      <c r="I5973" s="355"/>
      <c r="J5973" s="355"/>
      <c r="K5973" s="355"/>
      <c r="L5973" s="355"/>
      <c r="M5973" s="355"/>
    </row>
    <row r="5974" spans="5:13">
      <c r="E5974" s="355"/>
      <c r="F5974" s="355"/>
      <c r="G5974" s="355"/>
      <c r="H5974" s="355"/>
      <c r="I5974" s="355"/>
      <c r="J5974" s="355"/>
      <c r="K5974" s="355"/>
      <c r="L5974" s="355"/>
      <c r="M5974" s="355"/>
    </row>
    <row r="5975" spans="5:13">
      <c r="E5975" s="355"/>
      <c r="F5975" s="355"/>
      <c r="G5975" s="355"/>
      <c r="H5975" s="355"/>
      <c r="I5975" s="355"/>
      <c r="J5975" s="355"/>
      <c r="K5975" s="355"/>
      <c r="L5975" s="355"/>
      <c r="M5975" s="355"/>
    </row>
    <row r="5976" spans="5:13">
      <c r="E5976" s="355"/>
      <c r="F5976" s="355"/>
      <c r="G5976" s="355"/>
      <c r="H5976" s="355"/>
      <c r="I5976" s="355"/>
      <c r="J5976" s="355"/>
      <c r="K5976" s="355"/>
      <c r="L5976" s="355"/>
      <c r="M5976" s="355"/>
    </row>
    <row r="5977" spans="5:13">
      <c r="E5977" s="355"/>
      <c r="F5977" s="355"/>
      <c r="G5977" s="355"/>
      <c r="H5977" s="355"/>
      <c r="I5977" s="355"/>
      <c r="J5977" s="355"/>
      <c r="K5977" s="355"/>
      <c r="L5977" s="355"/>
      <c r="M5977" s="355"/>
    </row>
    <row r="5978" spans="5:13">
      <c r="E5978" s="355"/>
      <c r="F5978" s="355"/>
      <c r="G5978" s="355"/>
      <c r="H5978" s="355"/>
      <c r="I5978" s="355"/>
      <c r="J5978" s="355"/>
      <c r="K5978" s="355"/>
      <c r="L5978" s="355"/>
      <c r="M5978" s="355"/>
    </row>
    <row r="5979" spans="5:13">
      <c r="E5979" s="355"/>
      <c r="F5979" s="355"/>
      <c r="G5979" s="355"/>
      <c r="H5979" s="355"/>
      <c r="I5979" s="355"/>
      <c r="J5979" s="355"/>
      <c r="K5979" s="355"/>
      <c r="L5979" s="355"/>
      <c r="M5979" s="355"/>
    </row>
    <row r="5980" spans="5:13">
      <c r="E5980" s="355"/>
      <c r="F5980" s="355"/>
      <c r="G5980" s="355"/>
      <c r="H5980" s="355"/>
      <c r="I5980" s="355"/>
      <c r="J5980" s="355"/>
      <c r="K5980" s="355"/>
      <c r="L5980" s="355"/>
      <c r="M5980" s="355"/>
    </row>
    <row r="5981" spans="5:13">
      <c r="E5981" s="355"/>
      <c r="F5981" s="355"/>
      <c r="G5981" s="355"/>
      <c r="H5981" s="355"/>
      <c r="I5981" s="355"/>
      <c r="J5981" s="355"/>
      <c r="K5981" s="355"/>
      <c r="L5981" s="355"/>
      <c r="M5981" s="355"/>
    </row>
    <row r="5982" spans="5:13">
      <c r="E5982" s="355"/>
      <c r="F5982" s="355"/>
      <c r="G5982" s="355"/>
      <c r="H5982" s="355"/>
      <c r="I5982" s="355"/>
      <c r="J5982" s="355"/>
      <c r="K5982" s="355"/>
      <c r="L5982" s="355"/>
      <c r="M5982" s="355"/>
    </row>
    <row r="5983" spans="5:13">
      <c r="E5983" s="355"/>
      <c r="F5983" s="355"/>
      <c r="G5983" s="355"/>
      <c r="H5983" s="355"/>
      <c r="I5983" s="355"/>
      <c r="J5983" s="355"/>
      <c r="K5983" s="355"/>
      <c r="L5983" s="355"/>
      <c r="M5983" s="355"/>
    </row>
    <row r="5984" spans="5:13">
      <c r="E5984" s="355"/>
      <c r="F5984" s="355"/>
      <c r="G5984" s="355"/>
      <c r="H5984" s="355"/>
      <c r="I5984" s="355"/>
      <c r="J5984" s="355"/>
      <c r="K5984" s="355"/>
      <c r="L5984" s="355"/>
      <c r="M5984" s="355"/>
    </row>
    <row r="5985" spans="5:13">
      <c r="E5985" s="355"/>
      <c r="F5985" s="355"/>
      <c r="G5985" s="355"/>
      <c r="H5985" s="355"/>
      <c r="I5985" s="355"/>
      <c r="J5985" s="355"/>
      <c r="K5985" s="355"/>
      <c r="L5985" s="355"/>
      <c r="M5985" s="355"/>
    </row>
    <row r="5986" spans="5:13">
      <c r="E5986" s="355"/>
      <c r="F5986" s="355"/>
      <c r="G5986" s="355"/>
      <c r="H5986" s="355"/>
      <c r="I5986" s="355"/>
      <c r="J5986" s="355"/>
      <c r="K5986" s="355"/>
      <c r="L5986" s="355"/>
      <c r="M5986" s="355"/>
    </row>
    <row r="5987" spans="5:13">
      <c r="E5987" s="355"/>
      <c r="F5987" s="355"/>
      <c r="G5987" s="355"/>
      <c r="H5987" s="355"/>
      <c r="I5987" s="355"/>
      <c r="J5987" s="355"/>
      <c r="K5987" s="355"/>
      <c r="L5987" s="355"/>
      <c r="M5987" s="355"/>
    </row>
    <row r="5988" spans="5:13">
      <c r="E5988" s="355"/>
      <c r="F5988" s="355"/>
      <c r="G5988" s="355"/>
      <c r="H5988" s="355"/>
      <c r="I5988" s="355"/>
      <c r="J5988" s="355"/>
      <c r="K5988" s="355"/>
      <c r="L5988" s="355"/>
      <c r="M5988" s="355"/>
    </row>
    <row r="5989" spans="5:13">
      <c r="E5989" s="355"/>
      <c r="F5989" s="355"/>
      <c r="G5989" s="355"/>
      <c r="H5989" s="355"/>
      <c r="I5989" s="355"/>
      <c r="J5989" s="355"/>
      <c r="K5989" s="355"/>
      <c r="L5989" s="355"/>
      <c r="M5989" s="355"/>
    </row>
    <row r="5990" spans="5:13">
      <c r="E5990" s="355"/>
      <c r="F5990" s="355"/>
      <c r="G5990" s="355"/>
      <c r="H5990" s="355"/>
      <c r="I5990" s="355"/>
      <c r="J5990" s="355"/>
      <c r="K5990" s="355"/>
      <c r="L5990" s="355"/>
      <c r="M5990" s="355"/>
    </row>
    <row r="5991" spans="5:13">
      <c r="E5991" s="355"/>
      <c r="F5991" s="355"/>
      <c r="G5991" s="355"/>
      <c r="H5991" s="355"/>
      <c r="I5991" s="355"/>
      <c r="J5991" s="355"/>
      <c r="K5991" s="355"/>
      <c r="L5991" s="355"/>
      <c r="M5991" s="355"/>
    </row>
    <row r="5992" spans="5:13">
      <c r="E5992" s="355"/>
      <c r="F5992" s="355"/>
      <c r="G5992" s="355"/>
      <c r="H5992" s="355"/>
      <c r="I5992" s="355"/>
      <c r="J5992" s="355"/>
      <c r="K5992" s="355"/>
      <c r="L5992" s="355"/>
      <c r="M5992" s="355"/>
    </row>
    <row r="5993" spans="5:13">
      <c r="E5993" s="355"/>
      <c r="F5993" s="355"/>
      <c r="G5993" s="355"/>
      <c r="H5993" s="355"/>
      <c r="I5993" s="355"/>
      <c r="J5993" s="355"/>
      <c r="K5993" s="355"/>
      <c r="L5993" s="355"/>
      <c r="M5993" s="355"/>
    </row>
    <row r="5994" spans="5:13">
      <c r="E5994" s="355"/>
      <c r="F5994" s="355"/>
      <c r="G5994" s="355"/>
      <c r="H5994" s="355"/>
      <c r="I5994" s="355"/>
      <c r="J5994" s="355"/>
      <c r="K5994" s="355"/>
      <c r="L5994" s="355"/>
      <c r="M5994" s="355"/>
    </row>
    <row r="5995" spans="5:13">
      <c r="E5995" s="355"/>
      <c r="F5995" s="355"/>
      <c r="G5995" s="355"/>
      <c r="H5995" s="355"/>
      <c r="I5995" s="355"/>
      <c r="J5995" s="355"/>
      <c r="K5995" s="355"/>
      <c r="L5995" s="355"/>
      <c r="M5995" s="355"/>
    </row>
    <row r="5996" spans="5:13">
      <c r="E5996" s="355"/>
      <c r="F5996" s="355"/>
      <c r="G5996" s="355"/>
      <c r="H5996" s="355"/>
      <c r="I5996" s="355"/>
      <c r="J5996" s="355"/>
      <c r="K5996" s="355"/>
      <c r="L5996" s="355"/>
      <c r="M5996" s="355"/>
    </row>
    <row r="5997" spans="5:13">
      <c r="E5997" s="355"/>
      <c r="F5997" s="355"/>
      <c r="G5997" s="355"/>
      <c r="H5997" s="355"/>
      <c r="I5997" s="355"/>
      <c r="J5997" s="355"/>
      <c r="K5997" s="355"/>
      <c r="L5997" s="355"/>
      <c r="M5997" s="355"/>
    </row>
    <row r="5998" spans="5:13">
      <c r="E5998" s="355"/>
      <c r="F5998" s="355"/>
      <c r="G5998" s="355"/>
      <c r="H5998" s="355"/>
      <c r="I5998" s="355"/>
      <c r="J5998" s="355"/>
      <c r="K5998" s="355"/>
      <c r="L5998" s="355"/>
      <c r="M5998" s="355"/>
    </row>
    <row r="5999" spans="5:13">
      <c r="E5999" s="355"/>
      <c r="F5999" s="355"/>
      <c r="G5999" s="355"/>
      <c r="H5999" s="355"/>
      <c r="I5999" s="355"/>
      <c r="J5999" s="355"/>
      <c r="K5999" s="355"/>
      <c r="L5999" s="355"/>
      <c r="M5999" s="355"/>
    </row>
    <row r="6000" spans="5:13">
      <c r="E6000" s="355"/>
      <c r="F6000" s="355"/>
      <c r="G6000" s="355"/>
      <c r="H6000" s="355"/>
      <c r="I6000" s="355"/>
      <c r="J6000" s="355"/>
      <c r="K6000" s="355"/>
      <c r="L6000" s="355"/>
      <c r="M6000" s="355"/>
    </row>
    <row r="6001" spans="5:13">
      <c r="E6001" s="355"/>
      <c r="F6001" s="355"/>
      <c r="G6001" s="355"/>
      <c r="H6001" s="355"/>
      <c r="I6001" s="355"/>
      <c r="J6001" s="355"/>
      <c r="K6001" s="355"/>
      <c r="L6001" s="355"/>
      <c r="M6001" s="355"/>
    </row>
    <row r="6002" spans="5:13">
      <c r="E6002" s="355"/>
      <c r="F6002" s="355"/>
      <c r="G6002" s="355"/>
      <c r="H6002" s="355"/>
      <c r="I6002" s="355"/>
      <c r="J6002" s="355"/>
      <c r="K6002" s="355"/>
      <c r="L6002" s="355"/>
      <c r="M6002" s="355"/>
    </row>
    <row r="6003" spans="5:13">
      <c r="E6003" s="355"/>
      <c r="F6003" s="355"/>
      <c r="G6003" s="355"/>
      <c r="H6003" s="355"/>
      <c r="I6003" s="355"/>
      <c r="J6003" s="355"/>
      <c r="K6003" s="355"/>
      <c r="L6003" s="355"/>
      <c r="M6003" s="355"/>
    </row>
    <row r="6004" spans="5:13">
      <c r="E6004" s="355"/>
      <c r="F6004" s="355"/>
      <c r="G6004" s="355"/>
      <c r="H6004" s="355"/>
      <c r="I6004" s="355"/>
      <c r="J6004" s="355"/>
      <c r="K6004" s="355"/>
      <c r="L6004" s="355"/>
      <c r="M6004" s="355"/>
    </row>
    <row r="6005" spans="5:13">
      <c r="E6005" s="355"/>
      <c r="F6005" s="355"/>
      <c r="G6005" s="355"/>
      <c r="H6005" s="355"/>
      <c r="I6005" s="355"/>
      <c r="J6005" s="355"/>
      <c r="K6005" s="355"/>
      <c r="L6005" s="355"/>
      <c r="M6005" s="355"/>
    </row>
    <row r="6006" spans="5:13">
      <c r="E6006" s="355"/>
      <c r="F6006" s="355"/>
      <c r="G6006" s="355"/>
      <c r="H6006" s="355"/>
      <c r="I6006" s="355"/>
      <c r="J6006" s="355"/>
      <c r="K6006" s="355"/>
      <c r="L6006" s="355"/>
      <c r="M6006" s="355"/>
    </row>
    <row r="6007" spans="5:13">
      <c r="E6007" s="355"/>
      <c r="F6007" s="355"/>
      <c r="G6007" s="355"/>
      <c r="H6007" s="355"/>
      <c r="I6007" s="355"/>
      <c r="J6007" s="355"/>
      <c r="K6007" s="355"/>
      <c r="L6007" s="355"/>
      <c r="M6007" s="355"/>
    </row>
    <row r="6008" spans="5:13">
      <c r="E6008" s="355"/>
      <c r="F6008" s="355"/>
      <c r="G6008" s="355"/>
      <c r="H6008" s="355"/>
      <c r="I6008" s="355"/>
      <c r="J6008" s="355"/>
      <c r="K6008" s="355"/>
      <c r="L6008" s="355"/>
      <c r="M6008" s="355"/>
    </row>
    <row r="6009" spans="5:13">
      <c r="E6009" s="355"/>
      <c r="F6009" s="355"/>
      <c r="G6009" s="355"/>
      <c r="H6009" s="355"/>
      <c r="I6009" s="355"/>
      <c r="J6009" s="355"/>
      <c r="K6009" s="355"/>
      <c r="L6009" s="355"/>
      <c r="M6009" s="355"/>
    </row>
    <row r="6010" spans="5:13">
      <c r="E6010" s="355"/>
      <c r="F6010" s="355"/>
      <c r="G6010" s="355"/>
      <c r="H6010" s="355"/>
      <c r="I6010" s="355"/>
      <c r="J6010" s="355"/>
      <c r="K6010" s="355"/>
      <c r="L6010" s="355"/>
      <c r="M6010" s="355"/>
    </row>
    <row r="6011" spans="5:13">
      <c r="E6011" s="355"/>
      <c r="F6011" s="355"/>
      <c r="G6011" s="355"/>
      <c r="H6011" s="355"/>
      <c r="I6011" s="355"/>
      <c r="J6011" s="355"/>
      <c r="K6011" s="355"/>
      <c r="L6011" s="355"/>
      <c r="M6011" s="355"/>
    </row>
    <row r="6012" spans="5:13">
      <c r="E6012" s="355"/>
      <c r="F6012" s="355"/>
      <c r="G6012" s="355"/>
      <c r="H6012" s="355"/>
      <c r="I6012" s="355"/>
      <c r="J6012" s="355"/>
      <c r="K6012" s="355"/>
      <c r="L6012" s="355"/>
      <c r="M6012" s="355"/>
    </row>
    <row r="6013" spans="5:13">
      <c r="E6013" s="355"/>
      <c r="F6013" s="355"/>
      <c r="G6013" s="355"/>
      <c r="H6013" s="355"/>
      <c r="I6013" s="355"/>
      <c r="J6013" s="355"/>
      <c r="K6013" s="355"/>
      <c r="L6013" s="355"/>
      <c r="M6013" s="355"/>
    </row>
    <row r="6014" spans="5:13">
      <c r="E6014" s="355"/>
      <c r="F6014" s="355"/>
      <c r="G6014" s="355"/>
      <c r="H6014" s="355"/>
      <c r="I6014" s="355"/>
      <c r="J6014" s="355"/>
      <c r="K6014" s="355"/>
      <c r="L6014" s="355"/>
      <c r="M6014" s="355"/>
    </row>
    <row r="6015" spans="5:13">
      <c r="E6015" s="355"/>
      <c r="F6015" s="355"/>
      <c r="G6015" s="355"/>
      <c r="H6015" s="355"/>
      <c r="I6015" s="355"/>
      <c r="J6015" s="355"/>
      <c r="K6015" s="355"/>
      <c r="L6015" s="355"/>
      <c r="M6015" s="355"/>
    </row>
    <row r="6016" spans="5:13">
      <c r="E6016" s="355"/>
      <c r="F6016" s="355"/>
      <c r="G6016" s="355"/>
      <c r="H6016" s="355"/>
      <c r="I6016" s="355"/>
      <c r="J6016" s="355"/>
      <c r="K6016" s="355"/>
      <c r="L6016" s="355"/>
      <c r="M6016" s="355"/>
    </row>
    <row r="6017" spans="5:13">
      <c r="E6017" s="355"/>
      <c r="F6017" s="355"/>
      <c r="G6017" s="355"/>
      <c r="H6017" s="355"/>
      <c r="I6017" s="355"/>
      <c r="J6017" s="355"/>
      <c r="K6017" s="355"/>
      <c r="L6017" s="355"/>
      <c r="M6017" s="355"/>
    </row>
    <row r="6018" spans="5:13">
      <c r="E6018" s="355"/>
      <c r="F6018" s="355"/>
      <c r="G6018" s="355"/>
      <c r="H6018" s="355"/>
      <c r="I6018" s="355"/>
      <c r="J6018" s="355"/>
      <c r="K6018" s="355"/>
      <c r="L6018" s="355"/>
      <c r="M6018" s="355"/>
    </row>
    <row r="6019" spans="5:13">
      <c r="E6019" s="355"/>
      <c r="F6019" s="355"/>
      <c r="G6019" s="355"/>
      <c r="H6019" s="355"/>
      <c r="I6019" s="355"/>
      <c r="J6019" s="355"/>
      <c r="K6019" s="355"/>
      <c r="L6019" s="355"/>
      <c r="M6019" s="355"/>
    </row>
    <row r="6020" spans="5:13">
      <c r="E6020" s="355"/>
      <c r="F6020" s="355"/>
      <c r="G6020" s="355"/>
      <c r="H6020" s="355"/>
      <c r="I6020" s="355"/>
      <c r="J6020" s="355"/>
      <c r="K6020" s="355"/>
      <c r="L6020" s="355"/>
      <c r="M6020" s="355"/>
    </row>
    <row r="6021" spans="5:13">
      <c r="E6021" s="355"/>
      <c r="F6021" s="355"/>
      <c r="G6021" s="355"/>
      <c r="H6021" s="355"/>
      <c r="I6021" s="355"/>
      <c r="J6021" s="355"/>
      <c r="K6021" s="355"/>
      <c r="L6021" s="355"/>
      <c r="M6021" s="355"/>
    </row>
    <row r="6022" spans="5:13">
      <c r="E6022" s="355"/>
      <c r="F6022" s="355"/>
      <c r="G6022" s="355"/>
      <c r="H6022" s="355"/>
      <c r="I6022" s="355"/>
      <c r="J6022" s="355"/>
      <c r="K6022" s="355"/>
      <c r="L6022" s="355"/>
      <c r="M6022" s="355"/>
    </row>
    <row r="6023" spans="5:13">
      <c r="E6023" s="355"/>
      <c r="F6023" s="355"/>
      <c r="G6023" s="355"/>
      <c r="H6023" s="355"/>
      <c r="I6023" s="355"/>
      <c r="J6023" s="355"/>
      <c r="K6023" s="355"/>
      <c r="L6023" s="355"/>
      <c r="M6023" s="355"/>
    </row>
    <row r="6024" spans="5:13">
      <c r="E6024" s="355"/>
      <c r="F6024" s="355"/>
      <c r="G6024" s="355"/>
      <c r="H6024" s="355"/>
      <c r="I6024" s="355"/>
      <c r="J6024" s="355"/>
      <c r="K6024" s="355"/>
      <c r="L6024" s="355"/>
      <c r="M6024" s="355"/>
    </row>
    <row r="6025" spans="5:13">
      <c r="E6025" s="355"/>
      <c r="F6025" s="355"/>
      <c r="G6025" s="355"/>
      <c r="H6025" s="355"/>
      <c r="I6025" s="355"/>
      <c r="J6025" s="355"/>
      <c r="K6025" s="355"/>
      <c r="L6025" s="355"/>
      <c r="M6025" s="355"/>
    </row>
    <row r="6026" spans="5:13">
      <c r="E6026" s="355"/>
      <c r="F6026" s="355"/>
      <c r="G6026" s="355"/>
      <c r="H6026" s="355"/>
      <c r="I6026" s="355"/>
      <c r="J6026" s="355"/>
      <c r="K6026" s="355"/>
      <c r="L6026" s="355"/>
      <c r="M6026" s="355"/>
    </row>
    <row r="6027" spans="5:13">
      <c r="E6027" s="355"/>
      <c r="F6027" s="355"/>
      <c r="G6027" s="355"/>
      <c r="H6027" s="355"/>
      <c r="I6027" s="355"/>
      <c r="J6027" s="355"/>
      <c r="K6027" s="355"/>
      <c r="L6027" s="355"/>
      <c r="M6027" s="355"/>
    </row>
    <row r="6028" spans="5:13">
      <c r="E6028" s="355"/>
      <c r="F6028" s="355"/>
      <c r="G6028" s="355"/>
      <c r="H6028" s="355"/>
      <c r="I6028" s="355"/>
      <c r="J6028" s="355"/>
      <c r="K6028" s="355"/>
      <c r="L6028" s="355"/>
      <c r="M6028" s="355"/>
    </row>
    <row r="6029" spans="5:13">
      <c r="E6029" s="355"/>
      <c r="F6029" s="355"/>
      <c r="G6029" s="355"/>
      <c r="H6029" s="355"/>
      <c r="I6029" s="355"/>
      <c r="J6029" s="355"/>
      <c r="K6029" s="355"/>
      <c r="L6029" s="355"/>
      <c r="M6029" s="355"/>
    </row>
    <row r="6030" spans="5:13">
      <c r="E6030" s="355"/>
      <c r="F6030" s="355"/>
      <c r="G6030" s="355"/>
      <c r="H6030" s="355"/>
      <c r="I6030" s="355"/>
      <c r="J6030" s="355"/>
      <c r="K6030" s="355"/>
      <c r="L6030" s="355"/>
      <c r="M6030" s="355"/>
    </row>
    <row r="6031" spans="5:13">
      <c r="E6031" s="355"/>
      <c r="F6031" s="355"/>
      <c r="G6031" s="355"/>
      <c r="H6031" s="355"/>
      <c r="I6031" s="355"/>
      <c r="J6031" s="355"/>
      <c r="K6031" s="355"/>
      <c r="L6031" s="355"/>
      <c r="M6031" s="355"/>
    </row>
    <row r="6032" spans="5:13">
      <c r="E6032" s="355"/>
      <c r="F6032" s="355"/>
      <c r="G6032" s="355"/>
      <c r="H6032" s="355"/>
      <c r="I6032" s="355"/>
      <c r="J6032" s="355"/>
      <c r="K6032" s="355"/>
      <c r="L6032" s="355"/>
      <c r="M6032" s="355"/>
    </row>
    <row r="6033" spans="5:13">
      <c r="E6033" s="355"/>
      <c r="F6033" s="355"/>
      <c r="G6033" s="355"/>
      <c r="H6033" s="355"/>
      <c r="I6033" s="355"/>
      <c r="J6033" s="355"/>
      <c r="K6033" s="355"/>
      <c r="L6033" s="355"/>
      <c r="M6033" s="355"/>
    </row>
    <row r="6034" spans="5:13">
      <c r="E6034" s="355"/>
      <c r="F6034" s="355"/>
      <c r="G6034" s="355"/>
      <c r="H6034" s="355"/>
      <c r="I6034" s="355"/>
      <c r="J6034" s="355"/>
      <c r="K6034" s="355"/>
      <c r="L6034" s="355"/>
      <c r="M6034" s="355"/>
    </row>
    <row r="6035" spans="5:13">
      <c r="E6035" s="355"/>
      <c r="F6035" s="355"/>
      <c r="G6035" s="355"/>
      <c r="H6035" s="355"/>
      <c r="I6035" s="355"/>
      <c r="J6035" s="355"/>
      <c r="K6035" s="355"/>
      <c r="L6035" s="355"/>
      <c r="M6035" s="355"/>
    </row>
    <row r="6036" spans="5:13">
      <c r="E6036" s="355"/>
      <c r="F6036" s="355"/>
      <c r="G6036" s="355"/>
      <c r="H6036" s="355"/>
      <c r="I6036" s="355"/>
      <c r="J6036" s="355"/>
      <c r="K6036" s="355"/>
      <c r="L6036" s="355"/>
      <c r="M6036" s="355"/>
    </row>
    <row r="6037" spans="5:13">
      <c r="E6037" s="355"/>
      <c r="F6037" s="355"/>
      <c r="G6037" s="355"/>
      <c r="H6037" s="355"/>
      <c r="I6037" s="355"/>
      <c r="J6037" s="355"/>
      <c r="K6037" s="355"/>
      <c r="L6037" s="355"/>
      <c r="M6037" s="355"/>
    </row>
    <row r="6038" spans="5:13">
      <c r="E6038" s="355"/>
      <c r="F6038" s="355"/>
      <c r="G6038" s="355"/>
      <c r="H6038" s="355"/>
      <c r="I6038" s="355"/>
      <c r="J6038" s="355"/>
      <c r="K6038" s="355"/>
      <c r="L6038" s="355"/>
      <c r="M6038" s="355"/>
    </row>
    <row r="6039" spans="5:13">
      <c r="E6039" s="355"/>
      <c r="F6039" s="355"/>
      <c r="G6039" s="355"/>
      <c r="H6039" s="355"/>
      <c r="I6039" s="355"/>
      <c r="J6039" s="355"/>
      <c r="K6039" s="355"/>
      <c r="L6039" s="355"/>
      <c r="M6039" s="355"/>
    </row>
    <row r="6040" spans="5:13">
      <c r="E6040" s="355"/>
      <c r="F6040" s="355"/>
      <c r="G6040" s="355"/>
      <c r="H6040" s="355"/>
      <c r="I6040" s="355"/>
      <c r="J6040" s="355"/>
      <c r="K6040" s="355"/>
      <c r="L6040" s="355"/>
      <c r="M6040" s="355"/>
    </row>
    <row r="6041" spans="5:13">
      <c r="E6041" s="355"/>
      <c r="F6041" s="355"/>
      <c r="G6041" s="355"/>
      <c r="H6041" s="355"/>
      <c r="I6041" s="355"/>
      <c r="J6041" s="355"/>
      <c r="K6041" s="355"/>
      <c r="L6041" s="355"/>
      <c r="M6041" s="355"/>
    </row>
    <row r="6042" spans="5:13">
      <c r="E6042" s="355"/>
      <c r="F6042" s="355"/>
      <c r="G6042" s="355"/>
      <c r="H6042" s="355"/>
      <c r="I6042" s="355"/>
      <c r="J6042" s="355"/>
      <c r="K6042" s="355"/>
      <c r="L6042" s="355"/>
      <c r="M6042" s="355"/>
    </row>
    <row r="6043" spans="5:13">
      <c r="E6043" s="355"/>
      <c r="F6043" s="355"/>
      <c r="G6043" s="355"/>
      <c r="H6043" s="355"/>
      <c r="I6043" s="355"/>
      <c r="J6043" s="355"/>
      <c r="K6043" s="355"/>
      <c r="L6043" s="355"/>
      <c r="M6043" s="355"/>
    </row>
    <row r="6044" spans="5:13">
      <c r="E6044" s="355"/>
      <c r="F6044" s="355"/>
      <c r="G6044" s="355"/>
      <c r="H6044" s="355"/>
      <c r="I6044" s="355"/>
      <c r="J6044" s="355"/>
      <c r="K6044" s="355"/>
      <c r="L6044" s="355"/>
      <c r="M6044" s="355"/>
    </row>
    <row r="6045" spans="5:13">
      <c r="E6045" s="355"/>
      <c r="F6045" s="355"/>
      <c r="G6045" s="355"/>
      <c r="H6045" s="355"/>
      <c r="I6045" s="355"/>
      <c r="J6045" s="355"/>
      <c r="K6045" s="355"/>
      <c r="L6045" s="355"/>
      <c r="M6045" s="355"/>
    </row>
    <row r="6046" spans="5:13">
      <c r="E6046" s="355"/>
      <c r="F6046" s="355"/>
      <c r="G6046" s="355"/>
      <c r="H6046" s="355"/>
      <c r="I6046" s="355"/>
      <c r="J6046" s="355"/>
      <c r="K6046" s="355"/>
      <c r="L6046" s="355"/>
      <c r="M6046" s="355"/>
    </row>
    <row r="6047" spans="5:13">
      <c r="E6047" s="355"/>
      <c r="F6047" s="355"/>
      <c r="G6047" s="355"/>
      <c r="H6047" s="355"/>
      <c r="I6047" s="355"/>
      <c r="J6047" s="355"/>
      <c r="K6047" s="355"/>
      <c r="L6047" s="355"/>
      <c r="M6047" s="355"/>
    </row>
    <row r="6048" spans="5:13">
      <c r="E6048" s="355"/>
      <c r="F6048" s="355"/>
      <c r="G6048" s="355"/>
      <c r="H6048" s="355"/>
      <c r="I6048" s="355"/>
      <c r="J6048" s="355"/>
      <c r="K6048" s="355"/>
      <c r="L6048" s="355"/>
      <c r="M6048" s="355"/>
    </row>
    <row r="6049" spans="5:13">
      <c r="E6049" s="355"/>
      <c r="F6049" s="355"/>
      <c r="G6049" s="355"/>
      <c r="H6049" s="355"/>
      <c r="I6049" s="355"/>
      <c r="J6049" s="355"/>
      <c r="K6049" s="355"/>
      <c r="L6049" s="355"/>
      <c r="M6049" s="355"/>
    </row>
    <row r="6050" spans="5:13">
      <c r="E6050" s="355"/>
      <c r="F6050" s="355"/>
      <c r="G6050" s="355"/>
      <c r="H6050" s="355"/>
      <c r="I6050" s="355"/>
      <c r="J6050" s="355"/>
      <c r="K6050" s="355"/>
      <c r="L6050" s="355"/>
      <c r="M6050" s="355"/>
    </row>
    <row r="6051" spans="5:13">
      <c r="E6051" s="355"/>
      <c r="F6051" s="355"/>
      <c r="G6051" s="355"/>
      <c r="H6051" s="355"/>
      <c r="I6051" s="355"/>
      <c r="J6051" s="355"/>
      <c r="K6051" s="355"/>
      <c r="L6051" s="355"/>
      <c r="M6051" s="355"/>
    </row>
    <row r="6052" spans="5:13">
      <c r="E6052" s="355"/>
      <c r="F6052" s="355"/>
      <c r="G6052" s="355"/>
      <c r="H6052" s="355"/>
      <c r="I6052" s="355"/>
      <c r="J6052" s="355"/>
      <c r="K6052" s="355"/>
      <c r="L6052" s="355"/>
      <c r="M6052" s="355"/>
    </row>
    <row r="6053" spans="5:13">
      <c r="E6053" s="355"/>
      <c r="F6053" s="355"/>
      <c r="G6053" s="355"/>
      <c r="H6053" s="355"/>
      <c r="I6053" s="355"/>
      <c r="J6053" s="355"/>
      <c r="K6053" s="355"/>
      <c r="L6053" s="355"/>
      <c r="M6053" s="355"/>
    </row>
    <row r="6054" spans="5:13">
      <c r="E6054" s="355"/>
      <c r="F6054" s="355"/>
      <c r="G6054" s="355"/>
      <c r="H6054" s="355"/>
      <c r="I6054" s="355"/>
      <c r="J6054" s="355"/>
      <c r="K6054" s="355"/>
      <c r="L6054" s="355"/>
      <c r="M6054" s="355"/>
    </row>
    <row r="6055" spans="5:13">
      <c r="E6055" s="355"/>
      <c r="F6055" s="355"/>
      <c r="G6055" s="355"/>
      <c r="H6055" s="355"/>
      <c r="I6055" s="355"/>
      <c r="J6055" s="355"/>
      <c r="K6055" s="355"/>
      <c r="L6055" s="355"/>
      <c r="M6055" s="355"/>
    </row>
    <row r="6056" spans="5:13">
      <c r="E6056" s="355"/>
      <c r="F6056" s="355"/>
      <c r="G6056" s="355"/>
      <c r="H6056" s="355"/>
      <c r="I6056" s="355"/>
      <c r="J6056" s="355"/>
      <c r="K6056" s="355"/>
      <c r="L6056" s="355"/>
      <c r="M6056" s="355"/>
    </row>
    <row r="6057" spans="5:13">
      <c r="E6057" s="355"/>
      <c r="F6057" s="355"/>
      <c r="G6057" s="355"/>
      <c r="H6057" s="355"/>
      <c r="I6057" s="355"/>
      <c r="J6057" s="355"/>
      <c r="K6057" s="355"/>
      <c r="L6057" s="355"/>
      <c r="M6057" s="355"/>
    </row>
    <row r="6058" spans="5:13">
      <c r="E6058" s="355"/>
      <c r="F6058" s="355"/>
      <c r="G6058" s="355"/>
      <c r="H6058" s="355"/>
      <c r="I6058" s="355"/>
      <c r="J6058" s="355"/>
      <c r="K6058" s="355"/>
      <c r="L6058" s="355"/>
      <c r="M6058" s="355"/>
    </row>
    <row r="6059" spans="5:13">
      <c r="E6059" s="355"/>
      <c r="F6059" s="355"/>
      <c r="G6059" s="355"/>
      <c r="H6059" s="355"/>
      <c r="I6059" s="355"/>
      <c r="J6059" s="355"/>
      <c r="K6059" s="355"/>
      <c r="L6059" s="355"/>
      <c r="M6059" s="355"/>
    </row>
    <row r="6060" spans="5:13">
      <c r="E6060" s="355"/>
      <c r="F6060" s="355"/>
      <c r="G6060" s="355"/>
      <c r="H6060" s="355"/>
      <c r="I6060" s="355"/>
      <c r="J6060" s="355"/>
      <c r="K6060" s="355"/>
      <c r="L6060" s="355"/>
      <c r="M6060" s="355"/>
    </row>
    <row r="6061" spans="5:13">
      <c r="E6061" s="355"/>
      <c r="F6061" s="355"/>
      <c r="G6061" s="355"/>
      <c r="H6061" s="355"/>
      <c r="I6061" s="355"/>
      <c r="J6061" s="355"/>
      <c r="K6061" s="355"/>
      <c r="L6061" s="355"/>
      <c r="M6061" s="355"/>
    </row>
    <row r="6062" spans="5:13">
      <c r="E6062" s="355"/>
      <c r="F6062" s="355"/>
      <c r="G6062" s="355"/>
      <c r="H6062" s="355"/>
      <c r="I6062" s="355"/>
      <c r="J6062" s="355"/>
      <c r="K6062" s="355"/>
      <c r="L6062" s="355"/>
      <c r="M6062" s="355"/>
    </row>
    <row r="6063" spans="5:13">
      <c r="E6063" s="355"/>
      <c r="F6063" s="355"/>
      <c r="G6063" s="355"/>
      <c r="H6063" s="355"/>
      <c r="I6063" s="355"/>
      <c r="J6063" s="355"/>
      <c r="K6063" s="355"/>
      <c r="L6063" s="355"/>
      <c r="M6063" s="355"/>
    </row>
    <row r="6064" spans="5:13">
      <c r="E6064" s="355"/>
      <c r="F6064" s="355"/>
      <c r="G6064" s="355"/>
      <c r="H6064" s="355"/>
      <c r="I6064" s="355"/>
      <c r="J6064" s="355"/>
      <c r="K6064" s="355"/>
      <c r="L6064" s="355"/>
      <c r="M6064" s="355"/>
    </row>
    <row r="6065" spans="5:13">
      <c r="E6065" s="355"/>
      <c r="F6065" s="355"/>
      <c r="G6065" s="355"/>
      <c r="H6065" s="355"/>
      <c r="I6065" s="355"/>
      <c r="J6065" s="355"/>
      <c r="K6065" s="355"/>
      <c r="L6065" s="355"/>
      <c r="M6065" s="355"/>
    </row>
    <row r="6066" spans="5:13">
      <c r="E6066" s="355"/>
      <c r="F6066" s="355"/>
      <c r="G6066" s="355"/>
      <c r="H6066" s="355"/>
      <c r="I6066" s="355"/>
      <c r="J6066" s="355"/>
      <c r="K6066" s="355"/>
      <c r="L6066" s="355"/>
      <c r="M6066" s="355"/>
    </row>
    <row r="6067" spans="5:13">
      <c r="E6067" s="355"/>
      <c r="F6067" s="355"/>
      <c r="G6067" s="355"/>
      <c r="H6067" s="355"/>
      <c r="I6067" s="355"/>
      <c r="J6067" s="355"/>
      <c r="K6067" s="355"/>
      <c r="L6067" s="355"/>
      <c r="M6067" s="355"/>
    </row>
    <row r="6068" spans="5:13">
      <c r="E6068" s="355"/>
      <c r="F6068" s="355"/>
      <c r="G6068" s="355"/>
      <c r="H6068" s="355"/>
      <c r="I6068" s="355"/>
      <c r="J6068" s="355"/>
      <c r="K6068" s="355"/>
      <c r="L6068" s="355"/>
      <c r="M6068" s="355"/>
    </row>
    <row r="6069" spans="5:13">
      <c r="E6069" s="355"/>
      <c r="F6069" s="355"/>
      <c r="G6069" s="355"/>
      <c r="H6069" s="355"/>
      <c r="I6069" s="355"/>
      <c r="J6069" s="355"/>
      <c r="K6069" s="355"/>
      <c r="L6069" s="355"/>
      <c r="M6069" s="355"/>
    </row>
    <row r="6070" spans="5:13">
      <c r="E6070" s="355"/>
      <c r="F6070" s="355"/>
      <c r="G6070" s="355"/>
      <c r="H6070" s="355"/>
      <c r="I6070" s="355"/>
      <c r="J6070" s="355"/>
      <c r="K6070" s="355"/>
      <c r="L6070" s="355"/>
      <c r="M6070" s="355"/>
    </row>
    <row r="6071" spans="5:13">
      <c r="E6071" s="355"/>
      <c r="F6071" s="355"/>
      <c r="G6071" s="355"/>
      <c r="H6071" s="355"/>
      <c r="I6071" s="355"/>
      <c r="J6071" s="355"/>
      <c r="K6071" s="355"/>
      <c r="L6071" s="355"/>
      <c r="M6071" s="355"/>
    </row>
    <row r="6072" spans="5:13">
      <c r="E6072" s="355"/>
      <c r="F6072" s="355"/>
      <c r="G6072" s="355"/>
      <c r="H6072" s="355"/>
      <c r="I6072" s="355"/>
      <c r="J6072" s="355"/>
      <c r="K6072" s="355"/>
      <c r="L6072" s="355"/>
      <c r="M6072" s="355"/>
    </row>
    <row r="6073" spans="5:13">
      <c r="E6073" s="355"/>
      <c r="F6073" s="355"/>
      <c r="G6073" s="355"/>
      <c r="H6073" s="355"/>
      <c r="I6073" s="355"/>
      <c r="J6073" s="355"/>
      <c r="K6073" s="355"/>
      <c r="L6073" s="355"/>
      <c r="M6073" s="355"/>
    </row>
    <row r="6074" spans="5:13">
      <c r="E6074" s="355"/>
      <c r="F6074" s="355"/>
      <c r="G6074" s="355"/>
      <c r="H6074" s="355"/>
      <c r="I6074" s="355"/>
      <c r="J6074" s="355"/>
      <c r="K6074" s="355"/>
      <c r="L6074" s="355"/>
      <c r="M6074" s="355"/>
    </row>
    <row r="6075" spans="5:13">
      <c r="E6075" s="355"/>
      <c r="F6075" s="355"/>
      <c r="G6075" s="355"/>
      <c r="H6075" s="355"/>
      <c r="I6075" s="355"/>
      <c r="J6075" s="355"/>
      <c r="K6075" s="355"/>
      <c r="L6075" s="355"/>
      <c r="M6075" s="355"/>
    </row>
    <row r="6076" spans="5:13">
      <c r="E6076" s="355"/>
      <c r="F6076" s="355"/>
      <c r="G6076" s="355"/>
      <c r="H6076" s="355"/>
      <c r="I6076" s="355"/>
      <c r="J6076" s="355"/>
      <c r="K6076" s="355"/>
      <c r="L6076" s="355"/>
      <c r="M6076" s="355"/>
    </row>
    <row r="6077" spans="5:13">
      <c r="E6077" s="355"/>
      <c r="F6077" s="355"/>
      <c r="G6077" s="355"/>
      <c r="H6077" s="355"/>
      <c r="I6077" s="355"/>
      <c r="J6077" s="355"/>
      <c r="K6077" s="355"/>
      <c r="L6077" s="355"/>
      <c r="M6077" s="355"/>
    </row>
    <row r="6078" spans="5:13">
      <c r="E6078" s="355"/>
      <c r="F6078" s="355"/>
      <c r="G6078" s="355"/>
      <c r="H6078" s="355"/>
      <c r="I6078" s="355"/>
      <c r="J6078" s="355"/>
      <c r="K6078" s="355"/>
      <c r="L6078" s="355"/>
      <c r="M6078" s="355"/>
    </row>
    <row r="6079" spans="5:13">
      <c r="E6079" s="355"/>
      <c r="F6079" s="355"/>
      <c r="G6079" s="355"/>
      <c r="H6079" s="355"/>
      <c r="I6079" s="355"/>
      <c r="J6079" s="355"/>
      <c r="K6079" s="355"/>
      <c r="L6079" s="355"/>
      <c r="M6079" s="355"/>
    </row>
    <row r="6080" spans="5:13">
      <c r="E6080" s="355"/>
      <c r="F6080" s="355"/>
      <c r="G6080" s="355"/>
      <c r="H6080" s="355"/>
      <c r="I6080" s="355"/>
      <c r="J6080" s="355"/>
      <c r="K6080" s="355"/>
      <c r="L6080" s="355"/>
      <c r="M6080" s="355"/>
    </row>
    <row r="6081" spans="5:13">
      <c r="E6081" s="355"/>
      <c r="F6081" s="355"/>
      <c r="G6081" s="355"/>
      <c r="H6081" s="355"/>
      <c r="I6081" s="355"/>
      <c r="J6081" s="355"/>
      <c r="K6081" s="355"/>
      <c r="L6081" s="355"/>
      <c r="M6081" s="355"/>
    </row>
    <row r="6082" spans="5:13">
      <c r="E6082" s="355"/>
      <c r="F6082" s="355"/>
      <c r="G6082" s="355"/>
      <c r="H6082" s="355"/>
      <c r="I6082" s="355"/>
      <c r="J6082" s="355"/>
      <c r="K6082" s="355"/>
      <c r="L6082" s="355"/>
      <c r="M6082" s="355"/>
    </row>
    <row r="6083" spans="5:13">
      <c r="E6083" s="355"/>
      <c r="F6083" s="355"/>
      <c r="G6083" s="355"/>
      <c r="H6083" s="355"/>
      <c r="I6083" s="355"/>
      <c r="J6083" s="355"/>
      <c r="K6083" s="355"/>
      <c r="L6083" s="355"/>
      <c r="M6083" s="355"/>
    </row>
    <row r="6084" spans="5:13">
      <c r="E6084" s="355"/>
      <c r="F6084" s="355"/>
      <c r="G6084" s="355"/>
      <c r="H6084" s="355"/>
      <c r="I6084" s="355"/>
      <c r="J6084" s="355"/>
      <c r="K6084" s="355"/>
      <c r="L6084" s="355"/>
      <c r="M6084" s="355"/>
    </row>
    <row r="6085" spans="5:13">
      <c r="E6085" s="355"/>
      <c r="F6085" s="355"/>
      <c r="G6085" s="355"/>
      <c r="H6085" s="355"/>
      <c r="I6085" s="355"/>
      <c r="J6085" s="355"/>
      <c r="K6085" s="355"/>
      <c r="L6085" s="355"/>
      <c r="M6085" s="355"/>
    </row>
    <row r="6086" spans="5:13">
      <c r="E6086" s="355"/>
      <c r="F6086" s="355"/>
      <c r="G6086" s="355"/>
      <c r="H6086" s="355"/>
      <c r="I6086" s="355"/>
      <c r="J6086" s="355"/>
      <c r="K6086" s="355"/>
      <c r="L6086" s="355"/>
      <c r="M6086" s="355"/>
    </row>
    <row r="6087" spans="5:13">
      <c r="E6087" s="355"/>
      <c r="F6087" s="355"/>
      <c r="G6087" s="355"/>
      <c r="H6087" s="355"/>
      <c r="I6087" s="355"/>
      <c r="J6087" s="355"/>
      <c r="K6087" s="355"/>
      <c r="L6087" s="355"/>
      <c r="M6087" s="355"/>
    </row>
    <row r="6088" spans="5:13">
      <c r="E6088" s="355"/>
      <c r="F6088" s="355"/>
      <c r="G6088" s="355"/>
      <c r="H6088" s="355"/>
      <c r="I6088" s="355"/>
      <c r="J6088" s="355"/>
      <c r="K6088" s="355"/>
      <c r="L6088" s="355"/>
      <c r="M6088" s="355"/>
    </row>
    <row r="6089" spans="5:13">
      <c r="E6089" s="355"/>
      <c r="F6089" s="355"/>
      <c r="G6089" s="355"/>
      <c r="H6089" s="355"/>
      <c r="I6089" s="355"/>
      <c r="J6089" s="355"/>
      <c r="K6089" s="355"/>
      <c r="L6089" s="355"/>
      <c r="M6089" s="355"/>
    </row>
    <row r="6090" spans="5:13">
      <c r="E6090" s="355"/>
      <c r="F6090" s="355"/>
      <c r="G6090" s="355"/>
      <c r="H6090" s="355"/>
      <c r="I6090" s="355"/>
      <c r="J6090" s="355"/>
      <c r="K6090" s="355"/>
      <c r="L6090" s="355"/>
      <c r="M6090" s="355"/>
    </row>
    <row r="6091" spans="5:13">
      <c r="E6091" s="355"/>
      <c r="F6091" s="355"/>
      <c r="G6091" s="355"/>
      <c r="H6091" s="355"/>
      <c r="I6091" s="355"/>
      <c r="J6091" s="355"/>
      <c r="K6091" s="355"/>
      <c r="L6091" s="355"/>
      <c r="M6091" s="355"/>
    </row>
    <row r="6092" spans="5:13">
      <c r="E6092" s="355"/>
      <c r="F6092" s="355"/>
      <c r="G6092" s="355"/>
      <c r="H6092" s="355"/>
      <c r="I6092" s="355"/>
      <c r="J6092" s="355"/>
      <c r="K6092" s="355"/>
      <c r="L6092" s="355"/>
      <c r="M6092" s="355"/>
    </row>
    <row r="6093" spans="5:13">
      <c r="E6093" s="355"/>
      <c r="F6093" s="355"/>
      <c r="G6093" s="355"/>
      <c r="H6093" s="355"/>
      <c r="I6093" s="355"/>
      <c r="J6093" s="355"/>
      <c r="K6093" s="355"/>
      <c r="L6093" s="355"/>
      <c r="M6093" s="355"/>
    </row>
    <row r="6094" spans="5:13">
      <c r="E6094" s="355"/>
      <c r="F6094" s="355"/>
      <c r="G6094" s="355"/>
      <c r="H6094" s="355"/>
      <c r="I6094" s="355"/>
      <c r="J6094" s="355"/>
      <c r="K6094" s="355"/>
      <c r="L6094" s="355"/>
      <c r="M6094" s="355"/>
    </row>
    <row r="6095" spans="5:13">
      <c r="E6095" s="355"/>
      <c r="F6095" s="355"/>
      <c r="G6095" s="355"/>
      <c r="H6095" s="355"/>
      <c r="I6095" s="355"/>
      <c r="J6095" s="355"/>
      <c r="K6095" s="355"/>
      <c r="L6095" s="355"/>
      <c r="M6095" s="355"/>
    </row>
    <row r="6096" spans="5:13">
      <c r="E6096" s="355"/>
      <c r="F6096" s="355"/>
      <c r="G6096" s="355"/>
      <c r="H6096" s="355"/>
      <c r="I6096" s="355"/>
      <c r="J6096" s="355"/>
      <c r="K6096" s="355"/>
      <c r="L6096" s="355"/>
      <c r="M6096" s="355"/>
    </row>
    <row r="6097" spans="5:13">
      <c r="E6097" s="355"/>
      <c r="F6097" s="355"/>
      <c r="G6097" s="355"/>
      <c r="H6097" s="355"/>
      <c r="I6097" s="355"/>
      <c r="J6097" s="355"/>
      <c r="K6097" s="355"/>
      <c r="L6097" s="355"/>
      <c r="M6097" s="355"/>
    </row>
    <row r="6098" spans="5:13">
      <c r="E6098" s="355"/>
      <c r="F6098" s="355"/>
      <c r="G6098" s="355"/>
      <c r="H6098" s="355"/>
      <c r="I6098" s="355"/>
      <c r="J6098" s="355"/>
      <c r="K6098" s="355"/>
      <c r="L6098" s="355"/>
      <c r="M6098" s="355"/>
    </row>
    <row r="6099" spans="5:13">
      <c r="E6099" s="355"/>
      <c r="F6099" s="355"/>
      <c r="G6099" s="355"/>
      <c r="H6099" s="355"/>
      <c r="I6099" s="355"/>
      <c r="J6099" s="355"/>
      <c r="K6099" s="355"/>
      <c r="L6099" s="355"/>
      <c r="M6099" s="355"/>
    </row>
    <row r="6100" spans="5:13">
      <c r="E6100" s="355"/>
      <c r="F6100" s="355"/>
      <c r="G6100" s="355"/>
      <c r="H6100" s="355"/>
      <c r="I6100" s="355"/>
      <c r="J6100" s="355"/>
      <c r="K6100" s="355"/>
      <c r="L6100" s="355"/>
      <c r="M6100" s="355"/>
    </row>
    <row r="6101" spans="5:13">
      <c r="E6101" s="355"/>
      <c r="F6101" s="355"/>
      <c r="G6101" s="355"/>
      <c r="H6101" s="355"/>
      <c r="I6101" s="355"/>
      <c r="J6101" s="355"/>
      <c r="K6101" s="355"/>
      <c r="L6101" s="355"/>
      <c r="M6101" s="355"/>
    </row>
    <row r="6102" spans="5:13">
      <c r="E6102" s="355"/>
      <c r="F6102" s="355"/>
      <c r="G6102" s="355"/>
      <c r="H6102" s="355"/>
      <c r="I6102" s="355"/>
      <c r="J6102" s="355"/>
      <c r="K6102" s="355"/>
      <c r="L6102" s="355"/>
      <c r="M6102" s="355"/>
    </row>
    <row r="6103" spans="5:13">
      <c r="E6103" s="355"/>
      <c r="F6103" s="355"/>
      <c r="G6103" s="355"/>
      <c r="H6103" s="355"/>
      <c r="I6103" s="355"/>
      <c r="J6103" s="355"/>
      <c r="K6103" s="355"/>
      <c r="L6103" s="355"/>
      <c r="M6103" s="355"/>
    </row>
    <row r="6104" spans="5:13">
      <c r="E6104" s="355"/>
      <c r="F6104" s="355"/>
      <c r="G6104" s="355"/>
      <c r="H6104" s="355"/>
      <c r="I6104" s="355"/>
      <c r="J6104" s="355"/>
      <c r="K6104" s="355"/>
      <c r="L6104" s="355"/>
      <c r="M6104" s="355"/>
    </row>
    <row r="6105" spans="5:13">
      <c r="E6105" s="355"/>
      <c r="F6105" s="355"/>
      <c r="G6105" s="355"/>
      <c r="H6105" s="355"/>
      <c r="I6105" s="355"/>
      <c r="J6105" s="355"/>
      <c r="K6105" s="355"/>
      <c r="L6105" s="355"/>
      <c r="M6105" s="355"/>
    </row>
    <row r="6106" spans="5:13">
      <c r="E6106" s="355"/>
      <c r="F6106" s="355"/>
      <c r="G6106" s="355"/>
      <c r="H6106" s="355"/>
      <c r="I6106" s="355"/>
      <c r="J6106" s="355"/>
      <c r="K6106" s="355"/>
      <c r="L6106" s="355"/>
      <c r="M6106" s="355"/>
    </row>
    <row r="6107" spans="5:13">
      <c r="E6107" s="355"/>
      <c r="F6107" s="355"/>
      <c r="G6107" s="355"/>
      <c r="H6107" s="355"/>
      <c r="I6107" s="355"/>
      <c r="J6107" s="355"/>
      <c r="K6107" s="355"/>
      <c r="L6107" s="355"/>
      <c r="M6107" s="355"/>
    </row>
    <row r="6108" spans="5:13">
      <c r="E6108" s="355"/>
      <c r="F6108" s="355"/>
      <c r="G6108" s="355"/>
      <c r="H6108" s="355"/>
      <c r="I6108" s="355"/>
      <c r="J6108" s="355"/>
      <c r="K6108" s="355"/>
      <c r="L6108" s="355"/>
      <c r="M6108" s="355"/>
    </row>
    <row r="6109" spans="5:13">
      <c r="E6109" s="355"/>
      <c r="F6109" s="355"/>
      <c r="G6109" s="355"/>
      <c r="H6109" s="355"/>
      <c r="I6109" s="355"/>
      <c r="J6109" s="355"/>
      <c r="K6109" s="355"/>
      <c r="L6109" s="355"/>
      <c r="M6109" s="355"/>
    </row>
    <row r="6110" spans="5:13">
      <c r="E6110" s="355"/>
      <c r="F6110" s="355"/>
      <c r="G6110" s="355"/>
      <c r="H6110" s="355"/>
      <c r="I6110" s="355"/>
      <c r="J6110" s="355"/>
      <c r="K6110" s="355"/>
      <c r="L6110" s="355"/>
      <c r="M6110" s="355"/>
    </row>
    <row r="6111" spans="5:13">
      <c r="E6111" s="355"/>
      <c r="F6111" s="355"/>
      <c r="G6111" s="355"/>
      <c r="H6111" s="355"/>
      <c r="I6111" s="355"/>
      <c r="J6111" s="355"/>
      <c r="K6111" s="355"/>
      <c r="L6111" s="355"/>
      <c r="M6111" s="355"/>
    </row>
    <row r="6112" spans="5:13">
      <c r="E6112" s="355"/>
      <c r="F6112" s="355"/>
      <c r="G6112" s="355"/>
      <c r="H6112" s="355"/>
      <c r="I6112" s="355"/>
      <c r="J6112" s="355"/>
      <c r="K6112" s="355"/>
      <c r="L6112" s="355"/>
      <c r="M6112" s="355"/>
    </row>
    <row r="6113" spans="5:13">
      <c r="E6113" s="355"/>
      <c r="F6113" s="355"/>
      <c r="G6113" s="355"/>
      <c r="H6113" s="355"/>
      <c r="I6113" s="355"/>
      <c r="J6113" s="355"/>
      <c r="K6113" s="355"/>
      <c r="L6113" s="355"/>
      <c r="M6113" s="355"/>
    </row>
    <row r="6114" spans="5:13">
      <c r="E6114" s="355"/>
      <c r="F6114" s="355"/>
      <c r="G6114" s="355"/>
      <c r="H6114" s="355"/>
      <c r="I6114" s="355"/>
      <c r="J6114" s="355"/>
      <c r="K6114" s="355"/>
      <c r="L6114" s="355"/>
      <c r="M6114" s="355"/>
    </row>
    <row r="6115" spans="5:13">
      <c r="E6115" s="355"/>
      <c r="F6115" s="355"/>
      <c r="G6115" s="355"/>
      <c r="H6115" s="355"/>
      <c r="I6115" s="355"/>
      <c r="J6115" s="355"/>
      <c r="K6115" s="355"/>
      <c r="L6115" s="355"/>
      <c r="M6115" s="355"/>
    </row>
    <row r="6116" spans="5:13">
      <c r="E6116" s="355"/>
      <c r="F6116" s="355"/>
      <c r="G6116" s="355"/>
      <c r="H6116" s="355"/>
      <c r="I6116" s="355"/>
      <c r="J6116" s="355"/>
      <c r="K6116" s="355"/>
      <c r="L6116" s="355"/>
      <c r="M6116" s="355"/>
    </row>
    <row r="6117" spans="5:13">
      <c r="E6117" s="355"/>
      <c r="F6117" s="355"/>
      <c r="G6117" s="355"/>
      <c r="H6117" s="355"/>
      <c r="I6117" s="355"/>
      <c r="J6117" s="355"/>
      <c r="K6117" s="355"/>
      <c r="L6117" s="355"/>
      <c r="M6117" s="355"/>
    </row>
    <row r="6118" spans="5:13">
      <c r="E6118" s="355"/>
      <c r="F6118" s="355"/>
      <c r="G6118" s="355"/>
      <c r="H6118" s="355"/>
      <c r="I6118" s="355"/>
      <c r="J6118" s="355"/>
      <c r="K6118" s="355"/>
      <c r="L6118" s="355"/>
      <c r="M6118" s="355"/>
    </row>
    <row r="6119" spans="5:13">
      <c r="E6119" s="355"/>
      <c r="F6119" s="355"/>
      <c r="G6119" s="355"/>
      <c r="H6119" s="355"/>
      <c r="I6119" s="355"/>
      <c r="J6119" s="355"/>
      <c r="K6119" s="355"/>
      <c r="L6119" s="355"/>
      <c r="M6119" s="355"/>
    </row>
    <row r="6120" spans="5:13">
      <c r="E6120" s="355"/>
      <c r="F6120" s="355"/>
      <c r="G6120" s="355"/>
      <c r="H6120" s="355"/>
      <c r="I6120" s="355"/>
      <c r="J6120" s="355"/>
      <c r="K6120" s="355"/>
      <c r="L6120" s="355"/>
      <c r="M6120" s="355"/>
    </row>
    <row r="6121" spans="5:13">
      <c r="E6121" s="355"/>
      <c r="F6121" s="355"/>
      <c r="G6121" s="355"/>
      <c r="H6121" s="355"/>
      <c r="I6121" s="355"/>
      <c r="J6121" s="355"/>
      <c r="K6121" s="355"/>
      <c r="L6121" s="355"/>
      <c r="M6121" s="355"/>
    </row>
    <row r="6122" spans="5:13">
      <c r="E6122" s="355"/>
      <c r="F6122" s="355"/>
      <c r="G6122" s="355"/>
      <c r="H6122" s="355"/>
      <c r="I6122" s="355"/>
      <c r="J6122" s="355"/>
      <c r="K6122" s="355"/>
      <c r="L6122" s="355"/>
      <c r="M6122" s="355"/>
    </row>
    <row r="6123" spans="5:13">
      <c r="E6123" s="355"/>
      <c r="F6123" s="355"/>
      <c r="G6123" s="355"/>
      <c r="H6123" s="355"/>
      <c r="I6123" s="355"/>
      <c r="J6123" s="355"/>
      <c r="K6123" s="355"/>
      <c r="L6123" s="355"/>
      <c r="M6123" s="355"/>
    </row>
    <row r="6124" spans="5:13">
      <c r="E6124" s="355"/>
      <c r="F6124" s="355"/>
      <c r="G6124" s="355"/>
      <c r="H6124" s="355"/>
      <c r="I6124" s="355"/>
      <c r="J6124" s="355"/>
      <c r="K6124" s="355"/>
      <c r="L6124" s="355"/>
      <c r="M6124" s="355"/>
    </row>
    <row r="6125" spans="5:13">
      <c r="E6125" s="355"/>
      <c r="F6125" s="355"/>
      <c r="G6125" s="355"/>
      <c r="H6125" s="355"/>
      <c r="I6125" s="355"/>
      <c r="J6125" s="355"/>
      <c r="K6125" s="355"/>
      <c r="L6125" s="355"/>
      <c r="M6125" s="355"/>
    </row>
    <row r="6126" spans="5:13">
      <c r="E6126" s="355"/>
      <c r="F6126" s="355"/>
      <c r="G6126" s="355"/>
      <c r="H6126" s="355"/>
      <c r="I6126" s="355"/>
      <c r="J6126" s="355"/>
      <c r="K6126" s="355"/>
      <c r="L6126" s="355"/>
      <c r="M6126" s="355"/>
    </row>
    <row r="6127" spans="5:13">
      <c r="E6127" s="355"/>
      <c r="F6127" s="355"/>
      <c r="G6127" s="355"/>
      <c r="H6127" s="355"/>
      <c r="I6127" s="355"/>
      <c r="J6127" s="355"/>
      <c r="K6127" s="355"/>
      <c r="L6127" s="355"/>
      <c r="M6127" s="355"/>
    </row>
    <row r="6128" spans="5:13">
      <c r="E6128" s="355"/>
      <c r="F6128" s="355"/>
      <c r="G6128" s="355"/>
      <c r="H6128" s="355"/>
      <c r="I6128" s="355"/>
      <c r="J6128" s="355"/>
      <c r="K6128" s="355"/>
      <c r="L6128" s="355"/>
      <c r="M6128" s="355"/>
    </row>
    <row r="6129" spans="5:13">
      <c r="E6129" s="355"/>
      <c r="F6129" s="355"/>
      <c r="G6129" s="355"/>
      <c r="H6129" s="355"/>
      <c r="I6129" s="355"/>
      <c r="J6129" s="355"/>
      <c r="K6129" s="355"/>
      <c r="L6129" s="355"/>
      <c r="M6129" s="355"/>
    </row>
    <row r="6130" spans="5:13">
      <c r="E6130" s="355"/>
      <c r="F6130" s="355"/>
      <c r="G6130" s="355"/>
      <c r="H6130" s="355"/>
      <c r="I6130" s="355"/>
      <c r="J6130" s="355"/>
      <c r="K6130" s="355"/>
      <c r="L6130" s="355"/>
      <c r="M6130" s="355"/>
    </row>
    <row r="6131" spans="5:13">
      <c r="E6131" s="355"/>
      <c r="F6131" s="355"/>
      <c r="G6131" s="355"/>
      <c r="H6131" s="355"/>
      <c r="I6131" s="355"/>
      <c r="J6131" s="355"/>
      <c r="K6131" s="355"/>
      <c r="L6131" s="355"/>
      <c r="M6131" s="355"/>
    </row>
    <row r="6132" spans="5:13">
      <c r="E6132" s="355"/>
      <c r="F6132" s="355"/>
      <c r="G6132" s="355"/>
      <c r="H6132" s="355"/>
      <c r="I6132" s="355"/>
      <c r="J6132" s="355"/>
      <c r="K6132" s="355"/>
      <c r="L6132" s="355"/>
      <c r="M6132" s="355"/>
    </row>
    <row r="6133" spans="5:13">
      <c r="E6133" s="355"/>
      <c r="F6133" s="355"/>
      <c r="G6133" s="355"/>
      <c r="H6133" s="355"/>
      <c r="I6133" s="355"/>
      <c r="J6133" s="355"/>
      <c r="K6133" s="355"/>
      <c r="L6133" s="355"/>
      <c r="M6133" s="355"/>
    </row>
    <row r="6134" spans="5:13">
      <c r="E6134" s="355"/>
      <c r="F6134" s="355"/>
      <c r="G6134" s="355"/>
      <c r="H6134" s="355"/>
      <c r="I6134" s="355"/>
      <c r="J6134" s="355"/>
      <c r="K6134" s="355"/>
      <c r="L6134" s="355"/>
      <c r="M6134" s="355"/>
    </row>
    <row r="6135" spans="5:13">
      <c r="E6135" s="355"/>
      <c r="F6135" s="355"/>
      <c r="G6135" s="355"/>
      <c r="H6135" s="355"/>
      <c r="I6135" s="355"/>
      <c r="J6135" s="355"/>
      <c r="K6135" s="355"/>
      <c r="L6135" s="355"/>
      <c r="M6135" s="355"/>
    </row>
    <row r="6136" spans="5:13">
      <c r="E6136" s="355"/>
      <c r="F6136" s="355"/>
      <c r="G6136" s="355"/>
      <c r="H6136" s="355"/>
      <c r="I6136" s="355"/>
      <c r="J6136" s="355"/>
      <c r="K6136" s="355"/>
      <c r="L6136" s="355"/>
      <c r="M6136" s="355"/>
    </row>
    <row r="6137" spans="5:13">
      <c r="E6137" s="355"/>
      <c r="F6137" s="355"/>
      <c r="G6137" s="355"/>
      <c r="H6137" s="355"/>
      <c r="I6137" s="355"/>
      <c r="J6137" s="355"/>
      <c r="K6137" s="355"/>
      <c r="L6137" s="355"/>
      <c r="M6137" s="355"/>
    </row>
    <row r="6138" spans="5:13">
      <c r="E6138" s="355"/>
      <c r="F6138" s="355"/>
      <c r="G6138" s="355"/>
      <c r="H6138" s="355"/>
      <c r="I6138" s="355"/>
      <c r="J6138" s="355"/>
      <c r="K6138" s="355"/>
      <c r="L6138" s="355"/>
      <c r="M6138" s="355"/>
    </row>
    <row r="6139" spans="5:13">
      <c r="E6139" s="355"/>
      <c r="F6139" s="355"/>
      <c r="G6139" s="355"/>
      <c r="H6139" s="355"/>
      <c r="I6139" s="355"/>
      <c r="J6139" s="355"/>
      <c r="K6139" s="355"/>
      <c r="L6139" s="355"/>
      <c r="M6139" s="355"/>
    </row>
    <row r="6140" spans="5:13">
      <c r="E6140" s="355"/>
      <c r="F6140" s="355"/>
      <c r="G6140" s="355"/>
      <c r="H6140" s="355"/>
      <c r="I6140" s="355"/>
      <c r="J6140" s="355"/>
      <c r="K6140" s="355"/>
      <c r="L6140" s="355"/>
      <c r="M6140" s="355"/>
    </row>
    <row r="6141" spans="5:13">
      <c r="E6141" s="355"/>
      <c r="F6141" s="355"/>
      <c r="G6141" s="355"/>
      <c r="H6141" s="355"/>
      <c r="I6141" s="355"/>
      <c r="J6141" s="355"/>
      <c r="K6141" s="355"/>
      <c r="L6141" s="355"/>
      <c r="M6141" s="355"/>
    </row>
    <row r="6142" spans="5:13">
      <c r="E6142" s="355"/>
      <c r="F6142" s="355"/>
      <c r="G6142" s="355"/>
      <c r="H6142" s="355"/>
      <c r="I6142" s="355"/>
      <c r="J6142" s="355"/>
      <c r="K6142" s="355"/>
      <c r="L6142" s="355"/>
      <c r="M6142" s="355"/>
    </row>
    <row r="6143" spans="5:13">
      <c r="E6143" s="355"/>
      <c r="F6143" s="355"/>
      <c r="G6143" s="355"/>
      <c r="H6143" s="355"/>
      <c r="I6143" s="355"/>
      <c r="J6143" s="355"/>
      <c r="K6143" s="355"/>
      <c r="L6143" s="355"/>
      <c r="M6143" s="355"/>
    </row>
    <row r="6144" spans="5:13">
      <c r="E6144" s="355"/>
      <c r="F6144" s="355"/>
      <c r="G6144" s="355"/>
      <c r="H6144" s="355"/>
      <c r="I6144" s="355"/>
      <c r="J6144" s="355"/>
      <c r="K6144" s="355"/>
      <c r="L6144" s="355"/>
      <c r="M6144" s="355"/>
    </row>
    <row r="6145" spans="5:13">
      <c r="E6145" s="355"/>
      <c r="F6145" s="355"/>
      <c r="G6145" s="355"/>
      <c r="H6145" s="355"/>
      <c r="I6145" s="355"/>
      <c r="J6145" s="355"/>
      <c r="K6145" s="355"/>
      <c r="L6145" s="355"/>
      <c r="M6145" s="355"/>
    </row>
    <row r="6146" spans="5:13">
      <c r="E6146" s="355"/>
      <c r="F6146" s="355"/>
      <c r="G6146" s="355"/>
      <c r="H6146" s="355"/>
      <c r="I6146" s="355"/>
      <c r="J6146" s="355"/>
      <c r="K6146" s="355"/>
      <c r="L6146" s="355"/>
      <c r="M6146" s="355"/>
    </row>
    <row r="6147" spans="5:13">
      <c r="E6147" s="355"/>
      <c r="F6147" s="355"/>
      <c r="G6147" s="355"/>
      <c r="H6147" s="355"/>
      <c r="I6147" s="355"/>
      <c r="J6147" s="355"/>
      <c r="K6147" s="355"/>
      <c r="L6147" s="355"/>
      <c r="M6147" s="355"/>
    </row>
    <row r="6148" spans="5:13">
      <c r="E6148" s="355"/>
      <c r="F6148" s="355"/>
      <c r="G6148" s="355"/>
      <c r="H6148" s="355"/>
      <c r="I6148" s="355"/>
      <c r="J6148" s="355"/>
      <c r="K6148" s="355"/>
      <c r="L6148" s="355"/>
      <c r="M6148" s="355"/>
    </row>
    <row r="6149" spans="5:13">
      <c r="E6149" s="355"/>
      <c r="F6149" s="355"/>
      <c r="G6149" s="355"/>
      <c r="H6149" s="355"/>
      <c r="I6149" s="355"/>
      <c r="J6149" s="355"/>
      <c r="K6149" s="355"/>
      <c r="L6149" s="355"/>
      <c r="M6149" s="355"/>
    </row>
    <row r="6150" spans="5:13">
      <c r="E6150" s="355"/>
      <c r="F6150" s="355"/>
      <c r="G6150" s="355"/>
      <c r="H6150" s="355"/>
      <c r="I6150" s="355"/>
      <c r="J6150" s="355"/>
      <c r="K6150" s="355"/>
      <c r="L6150" s="355"/>
      <c r="M6150" s="355"/>
    </row>
    <row r="6151" spans="5:13">
      <c r="E6151" s="355"/>
      <c r="F6151" s="355"/>
      <c r="G6151" s="355"/>
      <c r="H6151" s="355"/>
      <c r="I6151" s="355"/>
      <c r="J6151" s="355"/>
      <c r="K6151" s="355"/>
      <c r="L6151" s="355"/>
      <c r="M6151" s="355"/>
    </row>
    <row r="6152" spans="5:13">
      <c r="E6152" s="355"/>
      <c r="F6152" s="355"/>
      <c r="G6152" s="355"/>
      <c r="H6152" s="355"/>
      <c r="I6152" s="355"/>
      <c r="J6152" s="355"/>
      <c r="K6152" s="355"/>
      <c r="L6152" s="355"/>
      <c r="M6152" s="355"/>
    </row>
    <row r="6153" spans="5:13">
      <c r="E6153" s="355"/>
      <c r="F6153" s="355"/>
      <c r="G6153" s="355"/>
      <c r="H6153" s="355"/>
      <c r="I6153" s="355"/>
      <c r="J6153" s="355"/>
      <c r="K6153" s="355"/>
      <c r="L6153" s="355"/>
      <c r="M6153" s="355"/>
    </row>
    <row r="6154" spans="5:13">
      <c r="E6154" s="355"/>
      <c r="F6154" s="355"/>
      <c r="G6154" s="355"/>
      <c r="H6154" s="355"/>
      <c r="I6154" s="355"/>
      <c r="J6154" s="355"/>
      <c r="K6154" s="355"/>
      <c r="L6154" s="355"/>
      <c r="M6154" s="355"/>
    </row>
    <row r="6155" spans="5:13">
      <c r="E6155" s="355"/>
      <c r="F6155" s="355"/>
      <c r="G6155" s="355"/>
      <c r="H6155" s="355"/>
      <c r="I6155" s="355"/>
      <c r="J6155" s="355"/>
      <c r="K6155" s="355"/>
      <c r="L6155" s="355"/>
      <c r="M6155" s="355"/>
    </row>
    <row r="6156" spans="5:13">
      <c r="E6156" s="355"/>
      <c r="F6156" s="355"/>
      <c r="G6156" s="355"/>
      <c r="H6156" s="355"/>
      <c r="I6156" s="355"/>
      <c r="J6156" s="355"/>
      <c r="K6156" s="355"/>
      <c r="L6156" s="355"/>
      <c r="M6156" s="355"/>
    </row>
    <row r="6157" spans="5:13">
      <c r="E6157" s="355"/>
      <c r="F6157" s="355"/>
      <c r="G6157" s="355"/>
      <c r="H6157" s="355"/>
      <c r="I6157" s="355"/>
      <c r="J6157" s="355"/>
      <c r="K6157" s="355"/>
      <c r="L6157" s="355"/>
      <c r="M6157" s="355"/>
    </row>
    <row r="6158" spans="5:13">
      <c r="E6158" s="355"/>
      <c r="F6158" s="355"/>
      <c r="G6158" s="355"/>
      <c r="H6158" s="355"/>
      <c r="I6158" s="355"/>
      <c r="J6158" s="355"/>
      <c r="K6158" s="355"/>
      <c r="L6158" s="355"/>
      <c r="M6158" s="355"/>
    </row>
    <row r="6159" spans="5:13">
      <c r="E6159" s="355"/>
      <c r="F6159" s="355"/>
      <c r="G6159" s="355"/>
      <c r="H6159" s="355"/>
      <c r="I6159" s="355"/>
      <c r="J6159" s="355"/>
      <c r="K6159" s="355"/>
      <c r="L6159" s="355"/>
      <c r="M6159" s="355"/>
    </row>
    <row r="6160" spans="5:13">
      <c r="E6160" s="355"/>
      <c r="F6160" s="355"/>
      <c r="G6160" s="355"/>
      <c r="H6160" s="355"/>
      <c r="I6160" s="355"/>
      <c r="J6160" s="355"/>
      <c r="K6160" s="355"/>
      <c r="L6160" s="355"/>
      <c r="M6160" s="355"/>
    </row>
    <row r="6161" spans="5:13">
      <c r="E6161" s="355"/>
      <c r="F6161" s="355"/>
      <c r="G6161" s="355"/>
      <c r="H6161" s="355"/>
      <c r="I6161" s="355"/>
      <c r="J6161" s="355"/>
      <c r="K6161" s="355"/>
      <c r="L6161" s="355"/>
      <c r="M6161" s="355"/>
    </row>
    <row r="6162" spans="5:13">
      <c r="E6162" s="355"/>
      <c r="F6162" s="355"/>
      <c r="G6162" s="355"/>
      <c r="H6162" s="355"/>
      <c r="I6162" s="355"/>
      <c r="J6162" s="355"/>
      <c r="K6162" s="355"/>
      <c r="L6162" s="355"/>
      <c r="M6162" s="355"/>
    </row>
    <row r="6163" spans="5:13">
      <c r="E6163" s="355"/>
      <c r="F6163" s="355"/>
      <c r="G6163" s="355"/>
      <c r="H6163" s="355"/>
      <c r="I6163" s="355"/>
      <c r="J6163" s="355"/>
      <c r="K6163" s="355"/>
      <c r="L6163" s="355"/>
      <c r="M6163" s="355"/>
    </row>
    <row r="6164" spans="5:13">
      <c r="E6164" s="355"/>
      <c r="F6164" s="355"/>
      <c r="G6164" s="355"/>
      <c r="H6164" s="355"/>
      <c r="I6164" s="355"/>
      <c r="J6164" s="355"/>
      <c r="K6164" s="355"/>
      <c r="L6164" s="355"/>
      <c r="M6164" s="355"/>
    </row>
    <row r="6165" spans="5:13">
      <c r="E6165" s="355"/>
      <c r="F6165" s="355"/>
      <c r="G6165" s="355"/>
      <c r="H6165" s="355"/>
      <c r="I6165" s="355"/>
      <c r="J6165" s="355"/>
      <c r="K6165" s="355"/>
      <c r="L6165" s="355"/>
      <c r="M6165" s="355"/>
    </row>
    <row r="6166" spans="5:13">
      <c r="E6166" s="355"/>
      <c r="F6166" s="355"/>
      <c r="G6166" s="355"/>
      <c r="H6166" s="355"/>
      <c r="I6166" s="355"/>
      <c r="J6166" s="355"/>
      <c r="K6166" s="355"/>
      <c r="L6166" s="355"/>
      <c r="M6166" s="355"/>
    </row>
    <row r="6167" spans="5:13">
      <c r="E6167" s="355"/>
      <c r="F6167" s="355"/>
      <c r="G6167" s="355"/>
      <c r="H6167" s="355"/>
      <c r="I6167" s="355"/>
      <c r="J6167" s="355"/>
      <c r="K6167" s="355"/>
      <c r="L6167" s="355"/>
      <c r="M6167" s="355"/>
    </row>
    <row r="6168" spans="5:13">
      <c r="E6168" s="355"/>
      <c r="F6168" s="355"/>
      <c r="G6168" s="355"/>
      <c r="H6168" s="355"/>
      <c r="I6168" s="355"/>
      <c r="J6168" s="355"/>
      <c r="K6168" s="355"/>
      <c r="L6168" s="355"/>
      <c r="M6168" s="355"/>
    </row>
    <row r="6169" spans="5:13">
      <c r="E6169" s="355"/>
      <c r="F6169" s="355"/>
      <c r="G6169" s="355"/>
      <c r="H6169" s="355"/>
      <c r="I6169" s="355"/>
      <c r="J6169" s="355"/>
      <c r="K6169" s="355"/>
      <c r="L6169" s="355"/>
      <c r="M6169" s="355"/>
    </row>
    <row r="6170" spans="5:13">
      <c r="E6170" s="355"/>
      <c r="F6170" s="355"/>
      <c r="G6170" s="355"/>
      <c r="H6170" s="355"/>
      <c r="I6170" s="355"/>
      <c r="J6170" s="355"/>
      <c r="K6170" s="355"/>
      <c r="L6170" s="355"/>
      <c r="M6170" s="355"/>
    </row>
    <row r="6171" spans="5:13">
      <c r="E6171" s="355"/>
      <c r="F6171" s="355"/>
      <c r="G6171" s="355"/>
      <c r="H6171" s="355"/>
      <c r="I6171" s="355"/>
      <c r="J6171" s="355"/>
      <c r="K6171" s="355"/>
      <c r="L6171" s="355"/>
      <c r="M6171" s="355"/>
    </row>
    <row r="6172" spans="5:13">
      <c r="E6172" s="355"/>
      <c r="F6172" s="355"/>
      <c r="G6172" s="355"/>
      <c r="H6172" s="355"/>
      <c r="I6172" s="355"/>
      <c r="J6172" s="355"/>
      <c r="K6172" s="355"/>
      <c r="L6172" s="355"/>
      <c r="M6172" s="355"/>
    </row>
    <row r="6173" spans="5:13">
      <c r="E6173" s="355"/>
      <c r="F6173" s="355"/>
      <c r="G6173" s="355"/>
      <c r="H6173" s="355"/>
      <c r="I6173" s="355"/>
      <c r="J6173" s="355"/>
      <c r="K6173" s="355"/>
      <c r="L6173" s="355"/>
      <c r="M6173" s="355"/>
    </row>
    <row r="6174" spans="5:13">
      <c r="E6174" s="355"/>
      <c r="F6174" s="355"/>
      <c r="G6174" s="355"/>
      <c r="H6174" s="355"/>
      <c r="I6174" s="355"/>
      <c r="J6174" s="355"/>
      <c r="K6174" s="355"/>
      <c r="L6174" s="355"/>
      <c r="M6174" s="355"/>
    </row>
    <row r="6175" spans="5:13">
      <c r="E6175" s="355"/>
      <c r="F6175" s="355"/>
      <c r="G6175" s="355"/>
      <c r="H6175" s="355"/>
      <c r="I6175" s="355"/>
      <c r="J6175" s="355"/>
      <c r="K6175" s="355"/>
      <c r="L6175" s="355"/>
      <c r="M6175" s="355"/>
    </row>
    <row r="6176" spans="5:13">
      <c r="E6176" s="355"/>
      <c r="F6176" s="355"/>
      <c r="G6176" s="355"/>
      <c r="H6176" s="355"/>
      <c r="I6176" s="355"/>
      <c r="J6176" s="355"/>
      <c r="K6176" s="355"/>
      <c r="L6176" s="355"/>
      <c r="M6176" s="355"/>
    </row>
    <row r="6177" spans="5:13">
      <c r="E6177" s="355"/>
      <c r="F6177" s="355"/>
      <c r="G6177" s="355"/>
      <c r="H6177" s="355"/>
      <c r="I6177" s="355"/>
      <c r="J6177" s="355"/>
      <c r="K6177" s="355"/>
      <c r="L6177" s="355"/>
      <c r="M6177" s="355"/>
    </row>
    <row r="6178" spans="5:13">
      <c r="E6178" s="355"/>
      <c r="F6178" s="355"/>
      <c r="G6178" s="355"/>
      <c r="H6178" s="355"/>
      <c r="I6178" s="355"/>
      <c r="J6178" s="355"/>
      <c r="K6178" s="355"/>
      <c r="L6178" s="355"/>
      <c r="M6178" s="355"/>
    </row>
    <row r="6179" spans="5:13">
      <c r="E6179" s="355"/>
      <c r="F6179" s="355"/>
      <c r="G6179" s="355"/>
      <c r="H6179" s="355"/>
      <c r="I6179" s="355"/>
      <c r="J6179" s="355"/>
      <c r="K6179" s="355"/>
      <c r="L6179" s="355"/>
      <c r="M6179" s="355"/>
    </row>
    <row r="6180" spans="5:13">
      <c r="E6180" s="355"/>
      <c r="F6180" s="355"/>
      <c r="G6180" s="355"/>
      <c r="H6180" s="355"/>
      <c r="I6180" s="355"/>
      <c r="J6180" s="355"/>
      <c r="K6180" s="355"/>
      <c r="L6180" s="355"/>
      <c r="M6180" s="355"/>
    </row>
    <row r="6181" spans="5:13">
      <c r="E6181" s="355"/>
      <c r="F6181" s="355"/>
      <c r="G6181" s="355"/>
      <c r="H6181" s="355"/>
      <c r="I6181" s="355"/>
      <c r="J6181" s="355"/>
      <c r="K6181" s="355"/>
      <c r="L6181" s="355"/>
      <c r="M6181" s="355"/>
    </row>
    <row r="6182" spans="5:13">
      <c r="E6182" s="355"/>
      <c r="F6182" s="355"/>
      <c r="G6182" s="355"/>
      <c r="H6182" s="355"/>
      <c r="I6182" s="355"/>
      <c r="J6182" s="355"/>
      <c r="K6182" s="355"/>
      <c r="L6182" s="355"/>
      <c r="M6182" s="355"/>
    </row>
    <row r="6183" spans="5:13">
      <c r="E6183" s="355"/>
      <c r="F6183" s="355"/>
      <c r="G6183" s="355"/>
      <c r="H6183" s="355"/>
      <c r="I6183" s="355"/>
      <c r="J6183" s="355"/>
      <c r="K6183" s="355"/>
      <c r="L6183" s="355"/>
      <c r="M6183" s="355"/>
    </row>
    <row r="6184" spans="5:13">
      <c r="E6184" s="355"/>
      <c r="F6184" s="355"/>
      <c r="G6184" s="355"/>
      <c r="H6184" s="355"/>
      <c r="I6184" s="355"/>
      <c r="J6184" s="355"/>
      <c r="K6184" s="355"/>
      <c r="L6184" s="355"/>
      <c r="M6184" s="355"/>
    </row>
    <row r="6185" spans="5:13">
      <c r="E6185" s="355"/>
      <c r="F6185" s="355"/>
      <c r="G6185" s="355"/>
      <c r="H6185" s="355"/>
      <c r="I6185" s="355"/>
      <c r="J6185" s="355"/>
      <c r="K6185" s="355"/>
      <c r="L6185" s="355"/>
      <c r="M6185" s="355"/>
    </row>
    <row r="6186" spans="5:13">
      <c r="E6186" s="355"/>
      <c r="F6186" s="355"/>
      <c r="G6186" s="355"/>
      <c r="H6186" s="355"/>
      <c r="I6186" s="355"/>
      <c r="J6186" s="355"/>
      <c r="K6186" s="355"/>
      <c r="L6186" s="355"/>
      <c r="M6186" s="355"/>
    </row>
    <row r="6187" spans="5:13">
      <c r="E6187" s="355"/>
      <c r="F6187" s="355"/>
      <c r="G6187" s="355"/>
      <c r="H6187" s="355"/>
      <c r="I6187" s="355"/>
      <c r="J6187" s="355"/>
      <c r="K6187" s="355"/>
      <c r="L6187" s="355"/>
      <c r="M6187" s="355"/>
    </row>
    <row r="6188" spans="5:13">
      <c r="E6188" s="355"/>
      <c r="F6188" s="355"/>
      <c r="G6188" s="355"/>
      <c r="H6188" s="355"/>
      <c r="I6188" s="355"/>
      <c r="J6188" s="355"/>
      <c r="K6188" s="355"/>
      <c r="L6188" s="355"/>
      <c r="M6188" s="355"/>
    </row>
    <row r="6189" spans="5:13">
      <c r="E6189" s="355"/>
      <c r="F6189" s="355"/>
      <c r="G6189" s="355"/>
      <c r="H6189" s="355"/>
      <c r="I6189" s="355"/>
      <c r="J6189" s="355"/>
      <c r="K6189" s="355"/>
      <c r="L6189" s="355"/>
      <c r="M6189" s="355"/>
    </row>
    <row r="6190" spans="5:13">
      <c r="E6190" s="355"/>
      <c r="F6190" s="355"/>
      <c r="G6190" s="355"/>
      <c r="H6190" s="355"/>
      <c r="I6190" s="355"/>
      <c r="J6190" s="355"/>
      <c r="K6190" s="355"/>
      <c r="L6190" s="355"/>
      <c r="M6190" s="355"/>
    </row>
    <row r="6191" spans="5:13">
      <c r="E6191" s="355"/>
      <c r="F6191" s="355"/>
      <c r="G6191" s="355"/>
      <c r="H6191" s="355"/>
      <c r="I6191" s="355"/>
      <c r="J6191" s="355"/>
      <c r="K6191" s="355"/>
      <c r="L6191" s="355"/>
      <c r="M6191" s="355"/>
    </row>
    <row r="6192" spans="5:13">
      <c r="E6192" s="355"/>
      <c r="F6192" s="355"/>
      <c r="G6192" s="355"/>
      <c r="H6192" s="355"/>
      <c r="I6192" s="355"/>
      <c r="J6192" s="355"/>
      <c r="K6192" s="355"/>
      <c r="L6192" s="355"/>
      <c r="M6192" s="355"/>
    </row>
    <row r="6193" spans="5:13">
      <c r="E6193" s="355"/>
      <c r="F6193" s="355"/>
      <c r="G6193" s="355"/>
      <c r="H6193" s="355"/>
      <c r="I6193" s="355"/>
      <c r="J6193" s="355"/>
      <c r="K6193" s="355"/>
      <c r="L6193" s="355"/>
      <c r="M6193" s="355"/>
    </row>
    <row r="6194" spans="5:13">
      <c r="E6194" s="355"/>
      <c r="F6194" s="355"/>
      <c r="G6194" s="355"/>
      <c r="H6194" s="355"/>
      <c r="I6194" s="355"/>
      <c r="J6194" s="355"/>
      <c r="K6194" s="355"/>
      <c r="L6194" s="355"/>
      <c r="M6194" s="355"/>
    </row>
    <row r="6195" spans="5:13">
      <c r="E6195" s="355"/>
      <c r="F6195" s="355"/>
      <c r="G6195" s="355"/>
      <c r="H6195" s="355"/>
      <c r="I6195" s="355"/>
      <c r="J6195" s="355"/>
      <c r="K6195" s="355"/>
      <c r="L6195" s="355"/>
      <c r="M6195" s="355"/>
    </row>
    <row r="6196" spans="5:13">
      <c r="E6196" s="355"/>
      <c r="F6196" s="355"/>
      <c r="G6196" s="355"/>
      <c r="H6196" s="355"/>
      <c r="I6196" s="355"/>
      <c r="J6196" s="355"/>
      <c r="K6196" s="355"/>
      <c r="L6196" s="355"/>
      <c r="M6196" s="355"/>
    </row>
    <row r="6197" spans="5:13">
      <c r="E6197" s="355"/>
      <c r="F6197" s="355"/>
      <c r="G6197" s="355"/>
      <c r="H6197" s="355"/>
      <c r="I6197" s="355"/>
      <c r="J6197" s="355"/>
      <c r="K6197" s="355"/>
      <c r="L6197" s="355"/>
      <c r="M6197" s="355"/>
    </row>
    <row r="6198" spans="5:13">
      <c r="E6198" s="355"/>
      <c r="F6198" s="355"/>
      <c r="G6198" s="355"/>
      <c r="H6198" s="355"/>
      <c r="I6198" s="355"/>
      <c r="J6198" s="355"/>
      <c r="K6198" s="355"/>
      <c r="L6198" s="355"/>
      <c r="M6198" s="355"/>
    </row>
    <row r="6199" spans="5:13">
      <c r="E6199" s="355"/>
      <c r="F6199" s="355"/>
      <c r="G6199" s="355"/>
      <c r="H6199" s="355"/>
      <c r="I6199" s="355"/>
      <c r="J6199" s="355"/>
      <c r="K6199" s="355"/>
      <c r="L6199" s="355"/>
      <c r="M6199" s="355"/>
    </row>
    <row r="6200" spans="5:13">
      <c r="E6200" s="355"/>
      <c r="F6200" s="355"/>
      <c r="G6200" s="355"/>
      <c r="H6200" s="355"/>
      <c r="I6200" s="355"/>
      <c r="J6200" s="355"/>
      <c r="K6200" s="355"/>
      <c r="L6200" s="355"/>
      <c r="M6200" s="355"/>
    </row>
    <row r="6201" spans="5:13">
      <c r="E6201" s="355"/>
      <c r="F6201" s="355"/>
      <c r="G6201" s="355"/>
      <c r="H6201" s="355"/>
      <c r="I6201" s="355"/>
      <c r="J6201" s="355"/>
      <c r="K6201" s="355"/>
      <c r="L6201" s="355"/>
      <c r="M6201" s="355"/>
    </row>
    <row r="6202" spans="5:13">
      <c r="E6202" s="355"/>
      <c r="F6202" s="355"/>
      <c r="G6202" s="355"/>
      <c r="H6202" s="355"/>
      <c r="I6202" s="355"/>
      <c r="J6202" s="355"/>
      <c r="K6202" s="355"/>
      <c r="L6202" s="355"/>
      <c r="M6202" s="355"/>
    </row>
    <row r="6203" spans="5:13">
      <c r="E6203" s="355"/>
      <c r="F6203" s="355"/>
      <c r="G6203" s="355"/>
      <c r="H6203" s="355"/>
      <c r="I6203" s="355"/>
      <c r="J6203" s="355"/>
      <c r="K6203" s="355"/>
      <c r="L6203" s="355"/>
      <c r="M6203" s="355"/>
    </row>
    <row r="6204" spans="5:13">
      <c r="E6204" s="355"/>
      <c r="F6204" s="355"/>
      <c r="G6204" s="355"/>
      <c r="H6204" s="355"/>
      <c r="I6204" s="355"/>
      <c r="J6204" s="355"/>
      <c r="K6204" s="355"/>
      <c r="L6204" s="355"/>
      <c r="M6204" s="355"/>
    </row>
    <row r="6205" spans="5:13">
      <c r="E6205" s="355"/>
      <c r="F6205" s="355"/>
      <c r="G6205" s="355"/>
      <c r="H6205" s="355"/>
      <c r="I6205" s="355"/>
      <c r="J6205" s="355"/>
      <c r="K6205" s="355"/>
      <c r="L6205" s="355"/>
      <c r="M6205" s="355"/>
    </row>
    <row r="6206" spans="5:13">
      <c r="E6206" s="355"/>
      <c r="F6206" s="355"/>
      <c r="G6206" s="355"/>
      <c r="H6206" s="355"/>
      <c r="I6206" s="355"/>
      <c r="J6206" s="355"/>
      <c r="K6206" s="355"/>
      <c r="L6206" s="355"/>
      <c r="M6206" s="355"/>
    </row>
    <row r="6207" spans="5:13">
      <c r="E6207" s="355"/>
      <c r="F6207" s="355"/>
      <c r="G6207" s="355"/>
      <c r="H6207" s="355"/>
      <c r="I6207" s="355"/>
      <c r="J6207" s="355"/>
      <c r="K6207" s="355"/>
      <c r="L6207" s="355"/>
      <c r="M6207" s="355"/>
    </row>
    <row r="6208" spans="5:13">
      <c r="E6208" s="355"/>
      <c r="F6208" s="355"/>
      <c r="G6208" s="355"/>
      <c r="H6208" s="355"/>
      <c r="I6208" s="355"/>
      <c r="J6208" s="355"/>
      <c r="K6208" s="355"/>
      <c r="L6208" s="355"/>
      <c r="M6208" s="355"/>
    </row>
    <row r="6209" spans="5:13">
      <c r="E6209" s="355"/>
      <c r="F6209" s="355"/>
      <c r="G6209" s="355"/>
      <c r="H6209" s="355"/>
      <c r="I6209" s="355"/>
      <c r="J6209" s="355"/>
      <c r="K6209" s="355"/>
      <c r="L6209" s="355"/>
      <c r="M6209" s="355"/>
    </row>
    <row r="6210" spans="5:13">
      <c r="E6210" s="355"/>
      <c r="F6210" s="355"/>
      <c r="G6210" s="355"/>
      <c r="H6210" s="355"/>
      <c r="I6210" s="355"/>
      <c r="J6210" s="355"/>
      <c r="K6210" s="355"/>
      <c r="L6210" s="355"/>
      <c r="M6210" s="355"/>
    </row>
    <row r="6211" spans="5:13">
      <c r="E6211" s="355"/>
      <c r="F6211" s="355"/>
      <c r="G6211" s="355"/>
      <c r="H6211" s="355"/>
      <c r="I6211" s="355"/>
      <c r="J6211" s="355"/>
      <c r="K6211" s="355"/>
      <c r="L6211" s="355"/>
      <c r="M6211" s="355"/>
    </row>
    <row r="6212" spans="5:13">
      <c r="E6212" s="355"/>
      <c r="F6212" s="355"/>
      <c r="G6212" s="355"/>
      <c r="H6212" s="355"/>
      <c r="I6212" s="355"/>
      <c r="J6212" s="355"/>
      <c r="K6212" s="355"/>
      <c r="L6212" s="355"/>
      <c r="M6212" s="355"/>
    </row>
    <row r="6213" spans="5:13">
      <c r="E6213" s="355"/>
      <c r="F6213" s="355"/>
      <c r="G6213" s="355"/>
      <c r="H6213" s="355"/>
      <c r="I6213" s="355"/>
      <c r="J6213" s="355"/>
      <c r="K6213" s="355"/>
      <c r="L6213" s="355"/>
      <c r="M6213" s="355"/>
    </row>
    <row r="6214" spans="5:13">
      <c r="E6214" s="355"/>
      <c r="F6214" s="355"/>
      <c r="G6214" s="355"/>
      <c r="H6214" s="355"/>
      <c r="I6214" s="355"/>
      <c r="J6214" s="355"/>
      <c r="K6214" s="355"/>
      <c r="L6214" s="355"/>
      <c r="M6214" s="355"/>
    </row>
    <row r="6215" spans="5:13">
      <c r="E6215" s="355"/>
      <c r="F6215" s="355"/>
      <c r="G6215" s="355"/>
      <c r="H6215" s="355"/>
      <c r="I6215" s="355"/>
      <c r="J6215" s="355"/>
      <c r="K6215" s="355"/>
      <c r="L6215" s="355"/>
      <c r="M6215" s="355"/>
    </row>
    <row r="6216" spans="5:13">
      <c r="E6216" s="355"/>
      <c r="F6216" s="355"/>
      <c r="G6216" s="355"/>
      <c r="H6216" s="355"/>
      <c r="I6216" s="355"/>
      <c r="J6216" s="355"/>
      <c r="K6216" s="355"/>
      <c r="L6216" s="355"/>
      <c r="M6216" s="355"/>
    </row>
    <row r="6217" spans="5:13">
      <c r="E6217" s="355"/>
      <c r="F6217" s="355"/>
      <c r="G6217" s="355"/>
      <c r="H6217" s="355"/>
      <c r="I6217" s="355"/>
      <c r="J6217" s="355"/>
      <c r="K6217" s="355"/>
      <c r="L6217" s="355"/>
      <c r="M6217" s="355"/>
    </row>
    <row r="6218" spans="5:13">
      <c r="E6218" s="355"/>
      <c r="F6218" s="355"/>
      <c r="G6218" s="355"/>
      <c r="H6218" s="355"/>
      <c r="I6218" s="355"/>
      <c r="J6218" s="355"/>
      <c r="K6218" s="355"/>
      <c r="L6218" s="355"/>
      <c r="M6218" s="355"/>
    </row>
    <row r="6219" spans="5:13">
      <c r="E6219" s="355"/>
      <c r="F6219" s="355"/>
      <c r="G6219" s="355"/>
      <c r="H6219" s="355"/>
      <c r="I6219" s="355"/>
      <c r="J6219" s="355"/>
      <c r="K6219" s="355"/>
      <c r="L6219" s="355"/>
      <c r="M6219" s="355"/>
    </row>
    <row r="6220" spans="5:13">
      <c r="E6220" s="355"/>
      <c r="F6220" s="355"/>
      <c r="G6220" s="355"/>
      <c r="H6220" s="355"/>
      <c r="I6220" s="355"/>
      <c r="J6220" s="355"/>
      <c r="K6220" s="355"/>
      <c r="L6220" s="355"/>
      <c r="M6220" s="355"/>
    </row>
    <row r="6221" spans="5:13">
      <c r="E6221" s="355"/>
      <c r="F6221" s="355"/>
      <c r="G6221" s="355"/>
      <c r="H6221" s="355"/>
      <c r="I6221" s="355"/>
      <c r="J6221" s="355"/>
      <c r="K6221" s="355"/>
      <c r="L6221" s="355"/>
      <c r="M6221" s="355"/>
    </row>
    <row r="6222" spans="5:13">
      <c r="E6222" s="355"/>
      <c r="F6222" s="355"/>
      <c r="G6222" s="355"/>
      <c r="H6222" s="355"/>
      <c r="I6222" s="355"/>
      <c r="J6222" s="355"/>
      <c r="K6222" s="355"/>
      <c r="L6222" s="355"/>
      <c r="M6222" s="355"/>
    </row>
    <row r="6223" spans="5:13">
      <c r="E6223" s="355"/>
      <c r="F6223" s="355"/>
      <c r="G6223" s="355"/>
      <c r="H6223" s="355"/>
      <c r="I6223" s="355"/>
      <c r="J6223" s="355"/>
      <c r="K6223" s="355"/>
      <c r="L6223" s="355"/>
      <c r="M6223" s="355"/>
    </row>
    <row r="6224" spans="5:13">
      <c r="E6224" s="355"/>
      <c r="F6224" s="355"/>
      <c r="G6224" s="355"/>
      <c r="H6224" s="355"/>
      <c r="I6224" s="355"/>
      <c r="J6224" s="355"/>
      <c r="K6224" s="355"/>
      <c r="L6224" s="355"/>
      <c r="M6224" s="355"/>
    </row>
    <row r="6225" spans="5:13">
      <c r="E6225" s="355"/>
      <c r="F6225" s="355"/>
      <c r="G6225" s="355"/>
      <c r="H6225" s="355"/>
      <c r="I6225" s="355"/>
      <c r="J6225" s="355"/>
      <c r="K6225" s="355"/>
      <c r="L6225" s="355"/>
      <c r="M6225" s="355"/>
    </row>
    <row r="6226" spans="5:13">
      <c r="E6226" s="355"/>
      <c r="F6226" s="355"/>
      <c r="G6226" s="355"/>
      <c r="H6226" s="355"/>
      <c r="I6226" s="355"/>
      <c r="J6226" s="355"/>
      <c r="K6226" s="355"/>
      <c r="L6226" s="355"/>
      <c r="M6226" s="355"/>
    </row>
    <row r="6227" spans="5:13">
      <c r="E6227" s="355"/>
      <c r="F6227" s="355"/>
      <c r="G6227" s="355"/>
      <c r="H6227" s="355"/>
      <c r="I6227" s="355"/>
      <c r="J6227" s="355"/>
      <c r="K6227" s="355"/>
      <c r="L6227" s="355"/>
      <c r="M6227" s="355"/>
    </row>
    <row r="6228" spans="5:13">
      <c r="E6228" s="355"/>
      <c r="F6228" s="355"/>
      <c r="G6228" s="355"/>
      <c r="H6228" s="355"/>
      <c r="I6228" s="355"/>
      <c r="J6228" s="355"/>
      <c r="K6228" s="355"/>
      <c r="L6228" s="355"/>
      <c r="M6228" s="355"/>
    </row>
    <row r="6229" spans="5:13">
      <c r="E6229" s="355"/>
      <c r="F6229" s="355"/>
      <c r="G6229" s="355"/>
      <c r="H6229" s="355"/>
      <c r="I6229" s="355"/>
      <c r="J6229" s="355"/>
      <c r="K6229" s="355"/>
      <c r="L6229" s="355"/>
      <c r="M6229" s="355"/>
    </row>
    <row r="6230" spans="5:13">
      <c r="E6230" s="355"/>
      <c r="F6230" s="355"/>
      <c r="G6230" s="355"/>
      <c r="H6230" s="355"/>
      <c r="I6230" s="355"/>
      <c r="J6230" s="355"/>
      <c r="K6230" s="355"/>
      <c r="L6230" s="355"/>
      <c r="M6230" s="355"/>
    </row>
    <row r="6231" spans="5:13">
      <c r="E6231" s="355"/>
      <c r="F6231" s="355"/>
      <c r="G6231" s="355"/>
      <c r="H6231" s="355"/>
      <c r="I6231" s="355"/>
      <c r="J6231" s="355"/>
      <c r="K6231" s="355"/>
      <c r="L6231" s="355"/>
      <c r="M6231" s="355"/>
    </row>
    <row r="6232" spans="5:13">
      <c r="E6232" s="355"/>
      <c r="F6232" s="355"/>
      <c r="G6232" s="355"/>
      <c r="H6232" s="355"/>
      <c r="I6232" s="355"/>
      <c r="J6232" s="355"/>
      <c r="K6232" s="355"/>
      <c r="L6232" s="355"/>
      <c r="M6232" s="355"/>
    </row>
    <row r="6233" spans="5:13">
      <c r="E6233" s="355"/>
      <c r="F6233" s="355"/>
      <c r="G6233" s="355"/>
      <c r="H6233" s="355"/>
      <c r="I6233" s="355"/>
      <c r="J6233" s="355"/>
      <c r="K6233" s="355"/>
      <c r="L6233" s="355"/>
      <c r="M6233" s="355"/>
    </row>
    <row r="6234" spans="5:13">
      <c r="E6234" s="355"/>
      <c r="F6234" s="355"/>
      <c r="G6234" s="355"/>
      <c r="H6234" s="355"/>
      <c r="I6234" s="355"/>
      <c r="J6234" s="355"/>
      <c r="K6234" s="355"/>
      <c r="L6234" s="355"/>
      <c r="M6234" s="355"/>
    </row>
    <row r="6235" spans="5:13">
      <c r="E6235" s="355"/>
      <c r="F6235" s="355"/>
      <c r="G6235" s="355"/>
      <c r="H6235" s="355"/>
      <c r="I6235" s="355"/>
      <c r="J6235" s="355"/>
      <c r="K6235" s="355"/>
      <c r="L6235" s="355"/>
      <c r="M6235" s="355"/>
    </row>
    <row r="6236" spans="5:13">
      <c r="E6236" s="355"/>
      <c r="F6236" s="355"/>
      <c r="G6236" s="355"/>
      <c r="H6236" s="355"/>
      <c r="I6236" s="355"/>
      <c r="J6236" s="355"/>
      <c r="K6236" s="355"/>
      <c r="L6236" s="355"/>
      <c r="M6236" s="355"/>
    </row>
    <row r="6237" spans="5:13">
      <c r="E6237" s="355"/>
      <c r="F6237" s="355"/>
      <c r="G6237" s="355"/>
      <c r="H6237" s="355"/>
      <c r="I6237" s="355"/>
      <c r="J6237" s="355"/>
      <c r="K6237" s="355"/>
      <c r="L6237" s="355"/>
      <c r="M6237" s="355"/>
    </row>
    <row r="6238" spans="5:13">
      <c r="E6238" s="355"/>
      <c r="F6238" s="355"/>
      <c r="G6238" s="355"/>
      <c r="H6238" s="355"/>
      <c r="I6238" s="355"/>
      <c r="J6238" s="355"/>
      <c r="K6238" s="355"/>
      <c r="L6238" s="355"/>
      <c r="M6238" s="355"/>
    </row>
    <row r="6239" spans="5:13">
      <c r="E6239" s="355"/>
      <c r="F6239" s="355"/>
      <c r="G6239" s="355"/>
      <c r="H6239" s="355"/>
      <c r="I6239" s="355"/>
      <c r="J6239" s="355"/>
      <c r="K6239" s="355"/>
      <c r="L6239" s="355"/>
      <c r="M6239" s="355"/>
    </row>
    <row r="6240" spans="5:13">
      <c r="E6240" s="355"/>
      <c r="F6240" s="355"/>
      <c r="G6240" s="355"/>
      <c r="H6240" s="355"/>
      <c r="I6240" s="355"/>
      <c r="J6240" s="355"/>
      <c r="K6240" s="355"/>
      <c r="L6240" s="355"/>
      <c r="M6240" s="355"/>
    </row>
    <row r="6241" spans="5:13">
      <c r="E6241" s="355"/>
      <c r="F6241" s="355"/>
      <c r="G6241" s="355"/>
      <c r="H6241" s="355"/>
      <c r="I6241" s="355"/>
      <c r="J6241" s="355"/>
      <c r="K6241" s="355"/>
      <c r="L6241" s="355"/>
      <c r="M6241" s="355"/>
    </row>
    <row r="6242" spans="5:13">
      <c r="E6242" s="355"/>
      <c r="F6242" s="355"/>
      <c r="G6242" s="355"/>
      <c r="H6242" s="355"/>
      <c r="I6242" s="355"/>
      <c r="J6242" s="355"/>
      <c r="K6242" s="355"/>
      <c r="L6242" s="355"/>
      <c r="M6242" s="355"/>
    </row>
    <row r="6243" spans="5:13">
      <c r="E6243" s="355"/>
      <c r="F6243" s="355"/>
      <c r="G6243" s="355"/>
      <c r="H6243" s="355"/>
      <c r="I6243" s="355"/>
      <c r="J6243" s="355"/>
      <c r="K6243" s="355"/>
      <c r="L6243" s="355"/>
      <c r="M6243" s="355"/>
    </row>
    <row r="6244" spans="5:13">
      <c r="E6244" s="355"/>
      <c r="F6244" s="355"/>
      <c r="G6244" s="355"/>
      <c r="H6244" s="355"/>
      <c r="I6244" s="355"/>
      <c r="J6244" s="355"/>
      <c r="K6244" s="355"/>
      <c r="L6244" s="355"/>
      <c r="M6244" s="355"/>
    </row>
    <row r="6245" spans="5:13">
      <c r="E6245" s="355"/>
      <c r="F6245" s="355"/>
      <c r="G6245" s="355"/>
      <c r="H6245" s="355"/>
      <c r="I6245" s="355"/>
      <c r="J6245" s="355"/>
      <c r="K6245" s="355"/>
      <c r="L6245" s="355"/>
      <c r="M6245" s="355"/>
    </row>
    <row r="6246" spans="5:13">
      <c r="E6246" s="355"/>
      <c r="F6246" s="355"/>
      <c r="G6246" s="355"/>
      <c r="H6246" s="355"/>
      <c r="I6246" s="355"/>
      <c r="J6246" s="355"/>
      <c r="K6246" s="355"/>
      <c r="L6246" s="355"/>
      <c r="M6246" s="355"/>
    </row>
    <row r="6247" spans="5:13">
      <c r="E6247" s="355"/>
      <c r="F6247" s="355"/>
      <c r="G6247" s="355"/>
      <c r="H6247" s="355"/>
      <c r="I6247" s="355"/>
      <c r="J6247" s="355"/>
      <c r="K6247" s="355"/>
      <c r="L6247" s="355"/>
      <c r="M6247" s="355"/>
    </row>
    <row r="6248" spans="5:13">
      <c r="E6248" s="355"/>
      <c r="F6248" s="355"/>
      <c r="G6248" s="355"/>
      <c r="H6248" s="355"/>
      <c r="I6248" s="355"/>
      <c r="J6248" s="355"/>
      <c r="K6248" s="355"/>
      <c r="L6248" s="355"/>
      <c r="M6248" s="355"/>
    </row>
    <row r="6249" spans="5:13">
      <c r="E6249" s="355"/>
      <c r="F6249" s="355"/>
      <c r="G6249" s="355"/>
      <c r="H6249" s="355"/>
      <c r="I6249" s="355"/>
      <c r="J6249" s="355"/>
      <c r="K6249" s="355"/>
      <c r="L6249" s="355"/>
      <c r="M6249" s="355"/>
    </row>
    <row r="6250" spans="5:13">
      <c r="E6250" s="355"/>
      <c r="F6250" s="355"/>
      <c r="G6250" s="355"/>
      <c r="H6250" s="355"/>
      <c r="I6250" s="355"/>
      <c r="J6250" s="355"/>
      <c r="K6250" s="355"/>
      <c r="L6250" s="355"/>
      <c r="M6250" s="355"/>
    </row>
    <row r="6251" spans="5:13">
      <c r="E6251" s="355"/>
      <c r="F6251" s="355"/>
      <c r="G6251" s="355"/>
      <c r="H6251" s="355"/>
      <c r="I6251" s="355"/>
      <c r="J6251" s="355"/>
      <c r="K6251" s="355"/>
      <c r="L6251" s="355"/>
      <c r="M6251" s="355"/>
    </row>
    <row r="6252" spans="5:13">
      <c r="E6252" s="355"/>
      <c r="F6252" s="355"/>
      <c r="G6252" s="355"/>
      <c r="H6252" s="355"/>
      <c r="I6252" s="355"/>
      <c r="J6252" s="355"/>
      <c r="K6252" s="355"/>
      <c r="L6252" s="355"/>
      <c r="M6252" s="355"/>
    </row>
    <row r="6253" spans="5:13">
      <c r="E6253" s="355"/>
      <c r="F6253" s="355"/>
      <c r="G6253" s="355"/>
      <c r="H6253" s="355"/>
      <c r="I6253" s="355"/>
      <c r="J6253" s="355"/>
      <c r="K6253" s="355"/>
      <c r="L6253" s="355"/>
      <c r="M6253" s="355"/>
    </row>
    <row r="6254" spans="5:13">
      <c r="E6254" s="355"/>
      <c r="F6254" s="355"/>
      <c r="G6254" s="355"/>
      <c r="H6254" s="355"/>
      <c r="I6254" s="355"/>
      <c r="J6254" s="355"/>
      <c r="K6254" s="355"/>
      <c r="L6254" s="355"/>
      <c r="M6254" s="355"/>
    </row>
    <row r="6255" spans="5:13">
      <c r="E6255" s="355"/>
      <c r="F6255" s="355"/>
      <c r="G6255" s="355"/>
      <c r="H6255" s="355"/>
      <c r="I6255" s="355"/>
      <c r="J6255" s="355"/>
      <c r="K6255" s="355"/>
      <c r="L6255" s="355"/>
      <c r="M6255" s="355"/>
    </row>
    <row r="6256" spans="5:13">
      <c r="E6256" s="355"/>
      <c r="F6256" s="355"/>
      <c r="G6256" s="355"/>
      <c r="H6256" s="355"/>
      <c r="I6256" s="355"/>
      <c r="J6256" s="355"/>
      <c r="K6256" s="355"/>
      <c r="L6256" s="355"/>
      <c r="M6256" s="355"/>
    </row>
    <row r="6257" spans="5:13">
      <c r="E6257" s="355"/>
      <c r="F6257" s="355"/>
      <c r="G6257" s="355"/>
      <c r="H6257" s="355"/>
      <c r="I6257" s="355"/>
      <c r="J6257" s="355"/>
      <c r="K6257" s="355"/>
      <c r="L6257" s="355"/>
      <c r="M6257" s="355"/>
    </row>
    <row r="6258" spans="5:13">
      <c r="E6258" s="355"/>
      <c r="F6258" s="355"/>
      <c r="G6258" s="355"/>
      <c r="H6258" s="355"/>
      <c r="I6258" s="355"/>
      <c r="J6258" s="355"/>
      <c r="K6258" s="355"/>
      <c r="L6258" s="355"/>
      <c r="M6258" s="355"/>
    </row>
    <row r="6259" spans="5:13">
      <c r="E6259" s="355"/>
      <c r="F6259" s="355"/>
      <c r="G6259" s="355"/>
      <c r="H6259" s="355"/>
      <c r="I6259" s="355"/>
      <c r="J6259" s="355"/>
      <c r="K6259" s="355"/>
      <c r="L6259" s="355"/>
      <c r="M6259" s="355"/>
    </row>
    <row r="6260" spans="5:13">
      <c r="E6260" s="355"/>
      <c r="F6260" s="355"/>
      <c r="G6260" s="355"/>
      <c r="H6260" s="355"/>
      <c r="I6260" s="355"/>
      <c r="J6260" s="355"/>
      <c r="K6260" s="355"/>
      <c r="L6260" s="355"/>
      <c r="M6260" s="355"/>
    </row>
    <row r="6261" spans="5:13">
      <c r="E6261" s="355"/>
      <c r="F6261" s="355"/>
      <c r="G6261" s="355"/>
      <c r="H6261" s="355"/>
      <c r="I6261" s="355"/>
      <c r="J6261" s="355"/>
      <c r="K6261" s="355"/>
      <c r="L6261" s="355"/>
      <c r="M6261" s="355"/>
    </row>
    <row r="6262" spans="5:13">
      <c r="E6262" s="355"/>
      <c r="F6262" s="355"/>
      <c r="G6262" s="355"/>
      <c r="H6262" s="355"/>
      <c r="I6262" s="355"/>
      <c r="J6262" s="355"/>
      <c r="K6262" s="355"/>
      <c r="L6262" s="355"/>
      <c r="M6262" s="355"/>
    </row>
    <row r="6263" spans="5:13">
      <c r="E6263" s="355"/>
      <c r="F6263" s="355"/>
      <c r="G6263" s="355"/>
      <c r="H6263" s="355"/>
      <c r="I6263" s="355"/>
      <c r="J6263" s="355"/>
      <c r="K6263" s="355"/>
      <c r="L6263" s="355"/>
      <c r="M6263" s="355"/>
    </row>
    <row r="6264" spans="5:13">
      <c r="E6264" s="355"/>
      <c r="F6264" s="355"/>
      <c r="G6264" s="355"/>
      <c r="H6264" s="355"/>
      <c r="I6264" s="355"/>
      <c r="J6264" s="355"/>
      <c r="K6264" s="355"/>
      <c r="L6264" s="355"/>
      <c r="M6264" s="355"/>
    </row>
    <row r="6265" spans="5:13">
      <c r="E6265" s="355"/>
      <c r="F6265" s="355"/>
      <c r="G6265" s="355"/>
      <c r="H6265" s="355"/>
      <c r="I6265" s="355"/>
      <c r="J6265" s="355"/>
      <c r="K6265" s="355"/>
      <c r="L6265" s="355"/>
      <c r="M6265" s="355"/>
    </row>
    <row r="6266" spans="5:13">
      <c r="E6266" s="355"/>
      <c r="F6266" s="355"/>
      <c r="G6266" s="355"/>
      <c r="H6266" s="355"/>
      <c r="I6266" s="355"/>
      <c r="J6266" s="355"/>
      <c r="K6266" s="355"/>
      <c r="L6266" s="355"/>
      <c r="M6266" s="355"/>
    </row>
    <row r="6267" spans="5:13">
      <c r="E6267" s="355"/>
      <c r="F6267" s="355"/>
      <c r="G6267" s="355"/>
      <c r="H6267" s="355"/>
      <c r="I6267" s="355"/>
      <c r="J6267" s="355"/>
      <c r="K6267" s="355"/>
      <c r="L6267" s="355"/>
      <c r="M6267" s="355"/>
    </row>
    <row r="6268" spans="5:13">
      <c r="E6268" s="355"/>
      <c r="F6268" s="355"/>
      <c r="G6268" s="355"/>
      <c r="H6268" s="355"/>
      <c r="I6268" s="355"/>
      <c r="J6268" s="355"/>
      <c r="K6268" s="355"/>
      <c r="L6268" s="355"/>
      <c r="M6268" s="355"/>
    </row>
    <row r="6269" spans="5:13">
      <c r="E6269" s="355"/>
      <c r="F6269" s="355"/>
      <c r="G6269" s="355"/>
      <c r="H6269" s="355"/>
      <c r="I6269" s="355"/>
      <c r="J6269" s="355"/>
      <c r="K6269" s="355"/>
      <c r="L6269" s="355"/>
      <c r="M6269" s="355"/>
    </row>
    <row r="6270" spans="5:13">
      <c r="E6270" s="355"/>
      <c r="F6270" s="355"/>
      <c r="G6270" s="355"/>
      <c r="H6270" s="355"/>
      <c r="I6270" s="355"/>
      <c r="J6270" s="355"/>
      <c r="K6270" s="355"/>
      <c r="L6270" s="355"/>
      <c r="M6270" s="355"/>
    </row>
    <row r="6271" spans="5:13">
      <c r="E6271" s="355"/>
      <c r="F6271" s="355"/>
      <c r="G6271" s="355"/>
      <c r="H6271" s="355"/>
      <c r="I6271" s="355"/>
      <c r="J6271" s="355"/>
      <c r="K6271" s="355"/>
      <c r="L6271" s="355"/>
      <c r="M6271" s="355"/>
    </row>
    <row r="6272" spans="5:13">
      <c r="E6272" s="355"/>
      <c r="F6272" s="355"/>
      <c r="G6272" s="355"/>
      <c r="H6272" s="355"/>
      <c r="I6272" s="355"/>
      <c r="J6272" s="355"/>
      <c r="K6272" s="355"/>
      <c r="L6272" s="355"/>
      <c r="M6272" s="355"/>
    </row>
    <row r="6273" spans="5:13">
      <c r="E6273" s="355"/>
      <c r="F6273" s="355"/>
      <c r="G6273" s="355"/>
      <c r="H6273" s="355"/>
      <c r="I6273" s="355"/>
      <c r="J6273" s="355"/>
      <c r="K6273" s="355"/>
      <c r="L6273" s="355"/>
      <c r="M6273" s="355"/>
    </row>
    <row r="6274" spans="5:13">
      <c r="E6274" s="355"/>
      <c r="F6274" s="355"/>
      <c r="G6274" s="355"/>
      <c r="H6274" s="355"/>
      <c r="I6274" s="355"/>
      <c r="J6274" s="355"/>
      <c r="K6274" s="355"/>
      <c r="L6274" s="355"/>
      <c r="M6274" s="355"/>
    </row>
    <row r="6275" spans="5:13">
      <c r="E6275" s="355"/>
      <c r="F6275" s="355"/>
      <c r="G6275" s="355"/>
      <c r="H6275" s="355"/>
      <c r="I6275" s="355"/>
      <c r="J6275" s="355"/>
      <c r="K6275" s="355"/>
      <c r="L6275" s="355"/>
      <c r="M6275" s="355"/>
    </row>
    <row r="6276" spans="5:13">
      <c r="E6276" s="355"/>
      <c r="F6276" s="355"/>
      <c r="G6276" s="355"/>
      <c r="H6276" s="355"/>
      <c r="I6276" s="355"/>
      <c r="J6276" s="355"/>
      <c r="K6276" s="355"/>
      <c r="L6276" s="355"/>
      <c r="M6276" s="355"/>
    </row>
    <row r="6277" spans="5:13">
      <c r="E6277" s="355"/>
      <c r="F6277" s="355"/>
      <c r="G6277" s="355"/>
      <c r="H6277" s="355"/>
      <c r="I6277" s="355"/>
      <c r="J6277" s="355"/>
      <c r="K6277" s="355"/>
      <c r="L6277" s="355"/>
      <c r="M6277" s="355"/>
    </row>
    <row r="6278" spans="5:13">
      <c r="E6278" s="355"/>
      <c r="F6278" s="355"/>
      <c r="G6278" s="355"/>
      <c r="H6278" s="355"/>
      <c r="I6278" s="355"/>
      <c r="J6278" s="355"/>
      <c r="K6278" s="355"/>
      <c r="L6278" s="355"/>
      <c r="M6278" s="355"/>
    </row>
    <row r="6279" spans="5:13">
      <c r="E6279" s="355"/>
      <c r="F6279" s="355"/>
      <c r="G6279" s="355"/>
      <c r="H6279" s="355"/>
      <c r="I6279" s="355"/>
      <c r="J6279" s="355"/>
      <c r="K6279" s="355"/>
      <c r="L6279" s="355"/>
      <c r="M6279" s="355"/>
    </row>
    <row r="6280" spans="5:13">
      <c r="E6280" s="355"/>
      <c r="F6280" s="355"/>
      <c r="G6280" s="355"/>
      <c r="H6280" s="355"/>
      <c r="I6280" s="355"/>
      <c r="J6280" s="355"/>
      <c r="K6280" s="355"/>
      <c r="L6280" s="355"/>
      <c r="M6280" s="355"/>
    </row>
    <row r="6281" spans="5:13">
      <c r="E6281" s="355"/>
      <c r="F6281" s="355"/>
      <c r="G6281" s="355"/>
      <c r="H6281" s="355"/>
      <c r="I6281" s="355"/>
      <c r="J6281" s="355"/>
      <c r="K6281" s="355"/>
      <c r="L6281" s="355"/>
      <c r="M6281" s="355"/>
    </row>
    <row r="6282" spans="5:13">
      <c r="E6282" s="355"/>
      <c r="F6282" s="355"/>
      <c r="G6282" s="355"/>
      <c r="H6282" s="355"/>
      <c r="I6282" s="355"/>
      <c r="J6282" s="355"/>
      <c r="K6282" s="355"/>
      <c r="L6282" s="355"/>
      <c r="M6282" s="355"/>
    </row>
    <row r="6283" spans="5:13">
      <c r="E6283" s="355"/>
      <c r="F6283" s="355"/>
      <c r="G6283" s="355"/>
      <c r="H6283" s="355"/>
      <c r="I6283" s="355"/>
      <c r="J6283" s="355"/>
      <c r="K6283" s="355"/>
      <c r="L6283" s="355"/>
      <c r="M6283" s="355"/>
    </row>
    <row r="6284" spans="5:13">
      <c r="E6284" s="355"/>
      <c r="F6284" s="355"/>
      <c r="G6284" s="355"/>
      <c r="H6284" s="355"/>
      <c r="I6284" s="355"/>
      <c r="J6284" s="355"/>
      <c r="K6284" s="355"/>
      <c r="L6284" s="355"/>
      <c r="M6284" s="355"/>
    </row>
    <row r="6285" spans="5:13">
      <c r="E6285" s="355"/>
      <c r="F6285" s="355"/>
      <c r="G6285" s="355"/>
      <c r="H6285" s="355"/>
      <c r="I6285" s="355"/>
      <c r="J6285" s="355"/>
      <c r="K6285" s="355"/>
      <c r="L6285" s="355"/>
      <c r="M6285" s="355"/>
    </row>
    <row r="6286" spans="5:13">
      <c r="E6286" s="355"/>
      <c r="F6286" s="355"/>
      <c r="G6286" s="355"/>
      <c r="H6286" s="355"/>
      <c r="I6286" s="355"/>
      <c r="J6286" s="355"/>
      <c r="K6286" s="355"/>
      <c r="L6286" s="355"/>
      <c r="M6286" s="355"/>
    </row>
    <row r="6287" spans="5:13">
      <c r="E6287" s="355"/>
      <c r="F6287" s="355"/>
      <c r="G6287" s="355"/>
      <c r="H6287" s="355"/>
      <c r="I6287" s="355"/>
      <c r="J6287" s="355"/>
      <c r="K6287" s="355"/>
      <c r="L6287" s="355"/>
      <c r="M6287" s="355"/>
    </row>
    <row r="6288" spans="5:13">
      <c r="E6288" s="355"/>
      <c r="F6288" s="355"/>
      <c r="G6288" s="355"/>
      <c r="H6288" s="355"/>
      <c r="I6288" s="355"/>
      <c r="J6288" s="355"/>
      <c r="K6288" s="355"/>
      <c r="L6288" s="355"/>
      <c r="M6288" s="355"/>
    </row>
    <row r="6289" spans="5:13">
      <c r="E6289" s="355"/>
      <c r="F6289" s="355"/>
      <c r="G6289" s="355"/>
      <c r="H6289" s="355"/>
      <c r="I6289" s="355"/>
      <c r="J6289" s="355"/>
      <c r="K6289" s="355"/>
      <c r="L6289" s="355"/>
      <c r="M6289" s="355"/>
    </row>
    <row r="6290" spans="5:13">
      <c r="E6290" s="355"/>
      <c r="F6290" s="355"/>
      <c r="G6290" s="355"/>
      <c r="H6290" s="355"/>
      <c r="I6290" s="355"/>
      <c r="J6290" s="355"/>
      <c r="K6290" s="355"/>
      <c r="L6290" s="355"/>
      <c r="M6290" s="355"/>
    </row>
    <row r="6291" spans="5:13">
      <c r="E6291" s="355"/>
      <c r="F6291" s="355"/>
      <c r="G6291" s="355"/>
      <c r="H6291" s="355"/>
      <c r="I6291" s="355"/>
      <c r="J6291" s="355"/>
      <c r="K6291" s="355"/>
      <c r="L6291" s="355"/>
      <c r="M6291" s="355"/>
    </row>
    <row r="6292" spans="5:13">
      <c r="E6292" s="355"/>
      <c r="F6292" s="355"/>
      <c r="G6292" s="355"/>
      <c r="H6292" s="355"/>
      <c r="I6292" s="355"/>
      <c r="J6292" s="355"/>
      <c r="K6292" s="355"/>
      <c r="L6292" s="355"/>
      <c r="M6292" s="355"/>
    </row>
    <row r="6293" spans="5:13">
      <c r="E6293" s="355"/>
      <c r="F6293" s="355"/>
      <c r="G6293" s="355"/>
      <c r="H6293" s="355"/>
      <c r="I6293" s="355"/>
      <c r="J6293" s="355"/>
      <c r="K6293" s="355"/>
      <c r="L6293" s="355"/>
      <c r="M6293" s="355"/>
    </row>
    <row r="6294" spans="5:13">
      <c r="E6294" s="355"/>
      <c r="F6294" s="355"/>
      <c r="G6294" s="355"/>
      <c r="H6294" s="355"/>
      <c r="I6294" s="355"/>
      <c r="J6294" s="355"/>
      <c r="K6294" s="355"/>
      <c r="L6294" s="355"/>
      <c r="M6294" s="355"/>
    </row>
    <row r="6295" spans="5:13">
      <c r="E6295" s="355"/>
      <c r="F6295" s="355"/>
      <c r="G6295" s="355"/>
      <c r="H6295" s="355"/>
      <c r="I6295" s="355"/>
      <c r="J6295" s="355"/>
      <c r="K6295" s="355"/>
      <c r="L6295" s="355"/>
      <c r="M6295" s="355"/>
    </row>
    <row r="6296" spans="5:13">
      <c r="E6296" s="355"/>
      <c r="F6296" s="355"/>
      <c r="G6296" s="355"/>
      <c r="H6296" s="355"/>
      <c r="I6296" s="355"/>
      <c r="J6296" s="355"/>
      <c r="K6296" s="355"/>
      <c r="L6296" s="355"/>
      <c r="M6296" s="355"/>
    </row>
    <row r="6297" spans="5:13">
      <c r="E6297" s="355"/>
      <c r="F6297" s="355"/>
      <c r="G6297" s="355"/>
      <c r="H6297" s="355"/>
      <c r="I6297" s="355"/>
      <c r="J6297" s="355"/>
      <c r="K6297" s="355"/>
      <c r="L6297" s="355"/>
      <c r="M6297" s="355"/>
    </row>
    <row r="6298" spans="5:13">
      <c r="E6298" s="355"/>
      <c r="F6298" s="355"/>
      <c r="G6298" s="355"/>
      <c r="H6298" s="355"/>
      <c r="I6298" s="355"/>
      <c r="J6298" s="355"/>
      <c r="K6298" s="355"/>
      <c r="L6298" s="355"/>
      <c r="M6298" s="355"/>
    </row>
    <row r="6299" spans="5:13">
      <c r="E6299" s="355"/>
      <c r="F6299" s="355"/>
      <c r="G6299" s="355"/>
      <c r="H6299" s="355"/>
      <c r="I6299" s="355"/>
      <c r="J6299" s="355"/>
      <c r="K6299" s="355"/>
      <c r="L6299" s="355"/>
      <c r="M6299" s="355"/>
    </row>
    <row r="6300" spans="5:13">
      <c r="E6300" s="355"/>
      <c r="F6300" s="355"/>
      <c r="G6300" s="355"/>
      <c r="H6300" s="355"/>
      <c r="I6300" s="355"/>
      <c r="J6300" s="355"/>
      <c r="K6300" s="355"/>
      <c r="L6300" s="355"/>
      <c r="M6300" s="355"/>
    </row>
    <row r="6301" spans="5:13">
      <c r="E6301" s="355"/>
      <c r="F6301" s="355"/>
      <c r="G6301" s="355"/>
      <c r="H6301" s="355"/>
      <c r="I6301" s="355"/>
      <c r="J6301" s="355"/>
      <c r="K6301" s="355"/>
      <c r="L6301" s="355"/>
      <c r="M6301" s="355"/>
    </row>
    <row r="6302" spans="5:13">
      <c r="E6302" s="355"/>
      <c r="F6302" s="355"/>
      <c r="G6302" s="355"/>
      <c r="H6302" s="355"/>
      <c r="I6302" s="355"/>
      <c r="J6302" s="355"/>
      <c r="K6302" s="355"/>
      <c r="L6302" s="355"/>
      <c r="M6302" s="355"/>
    </row>
    <row r="6303" spans="5:13">
      <c r="E6303" s="355"/>
      <c r="F6303" s="355"/>
      <c r="G6303" s="355"/>
      <c r="H6303" s="355"/>
      <c r="I6303" s="355"/>
      <c r="J6303" s="355"/>
      <c r="K6303" s="355"/>
      <c r="L6303" s="355"/>
      <c r="M6303" s="355"/>
    </row>
    <row r="6304" spans="5:13">
      <c r="E6304" s="355"/>
      <c r="F6304" s="355"/>
      <c r="G6304" s="355"/>
      <c r="H6304" s="355"/>
      <c r="I6304" s="355"/>
      <c r="J6304" s="355"/>
      <c r="K6304" s="355"/>
      <c r="L6304" s="355"/>
      <c r="M6304" s="355"/>
    </row>
    <row r="6305" spans="5:13">
      <c r="E6305" s="355"/>
      <c r="F6305" s="355"/>
      <c r="G6305" s="355"/>
      <c r="H6305" s="355"/>
      <c r="I6305" s="355"/>
      <c r="J6305" s="355"/>
      <c r="K6305" s="355"/>
      <c r="L6305" s="355"/>
      <c r="M6305" s="355"/>
    </row>
    <row r="6306" spans="5:13">
      <c r="E6306" s="355"/>
      <c r="F6306" s="355"/>
      <c r="G6306" s="355"/>
      <c r="H6306" s="355"/>
      <c r="I6306" s="355"/>
      <c r="J6306" s="355"/>
      <c r="K6306" s="355"/>
      <c r="L6306" s="355"/>
      <c r="M6306" s="355"/>
    </row>
    <row r="6307" spans="5:13">
      <c r="E6307" s="355"/>
      <c r="F6307" s="355"/>
      <c r="G6307" s="355"/>
      <c r="H6307" s="355"/>
      <c r="I6307" s="355"/>
      <c r="J6307" s="355"/>
      <c r="K6307" s="355"/>
      <c r="L6307" s="355"/>
      <c r="M6307" s="355"/>
    </row>
    <row r="6308" spans="5:13">
      <c r="E6308" s="355"/>
      <c r="F6308" s="355"/>
      <c r="G6308" s="355"/>
      <c r="H6308" s="355"/>
      <c r="I6308" s="355"/>
      <c r="J6308" s="355"/>
      <c r="K6308" s="355"/>
      <c r="L6308" s="355"/>
      <c r="M6308" s="355"/>
    </row>
    <row r="6309" spans="5:13">
      <c r="E6309" s="355"/>
      <c r="F6309" s="355"/>
      <c r="G6309" s="355"/>
      <c r="H6309" s="355"/>
      <c r="I6309" s="355"/>
      <c r="J6309" s="355"/>
      <c r="K6309" s="355"/>
      <c r="L6309" s="355"/>
      <c r="M6309" s="355"/>
    </row>
    <row r="6310" spans="5:13">
      <c r="E6310" s="355"/>
      <c r="F6310" s="355"/>
      <c r="G6310" s="355"/>
      <c r="H6310" s="355"/>
      <c r="I6310" s="355"/>
      <c r="J6310" s="355"/>
      <c r="K6310" s="355"/>
      <c r="L6310" s="355"/>
      <c r="M6310" s="355"/>
    </row>
    <row r="6311" spans="5:13">
      <c r="E6311" s="355"/>
      <c r="F6311" s="355"/>
      <c r="G6311" s="355"/>
      <c r="H6311" s="355"/>
      <c r="I6311" s="355"/>
      <c r="J6311" s="355"/>
      <c r="K6311" s="355"/>
      <c r="L6311" s="355"/>
      <c r="M6311" s="355"/>
    </row>
    <row r="6312" spans="5:13">
      <c r="E6312" s="355"/>
      <c r="F6312" s="355"/>
      <c r="G6312" s="355"/>
      <c r="H6312" s="355"/>
      <c r="I6312" s="355"/>
      <c r="J6312" s="355"/>
      <c r="K6312" s="355"/>
      <c r="L6312" s="355"/>
      <c r="M6312" s="355"/>
    </row>
    <row r="6313" spans="5:13">
      <c r="E6313" s="355"/>
      <c r="F6313" s="355"/>
      <c r="G6313" s="355"/>
      <c r="H6313" s="355"/>
      <c r="I6313" s="355"/>
      <c r="J6313" s="355"/>
      <c r="K6313" s="355"/>
      <c r="L6313" s="355"/>
      <c r="M6313" s="355"/>
    </row>
    <row r="6314" spans="5:13">
      <c r="E6314" s="355"/>
      <c r="F6314" s="355"/>
      <c r="G6314" s="355"/>
      <c r="H6314" s="355"/>
      <c r="I6314" s="355"/>
      <c r="J6314" s="355"/>
      <c r="K6314" s="355"/>
      <c r="L6314" s="355"/>
      <c r="M6314" s="355"/>
    </row>
    <row r="6315" spans="5:13">
      <c r="E6315" s="355"/>
      <c r="F6315" s="355"/>
      <c r="G6315" s="355"/>
      <c r="H6315" s="355"/>
      <c r="I6315" s="355"/>
      <c r="J6315" s="355"/>
      <c r="K6315" s="355"/>
      <c r="L6315" s="355"/>
      <c r="M6315" s="355"/>
    </row>
    <row r="6316" spans="5:13">
      <c r="E6316" s="355"/>
      <c r="F6316" s="355"/>
      <c r="G6316" s="355"/>
      <c r="H6316" s="355"/>
      <c r="I6316" s="355"/>
      <c r="J6316" s="355"/>
      <c r="K6316" s="355"/>
      <c r="L6316" s="355"/>
      <c r="M6316" s="355"/>
    </row>
    <row r="6317" spans="5:13">
      <c r="E6317" s="355"/>
      <c r="F6317" s="355"/>
      <c r="G6317" s="355"/>
      <c r="H6317" s="355"/>
      <c r="I6317" s="355"/>
      <c r="J6317" s="355"/>
      <c r="K6317" s="355"/>
      <c r="L6317" s="355"/>
      <c r="M6317" s="355"/>
    </row>
    <row r="6318" spans="5:13">
      <c r="E6318" s="355"/>
      <c r="F6318" s="355"/>
      <c r="G6318" s="355"/>
      <c r="H6318" s="355"/>
      <c r="I6318" s="355"/>
      <c r="J6318" s="355"/>
      <c r="K6318" s="355"/>
      <c r="L6318" s="355"/>
      <c r="M6318" s="355"/>
    </row>
    <row r="6319" spans="5:13">
      <c r="E6319" s="355"/>
      <c r="F6319" s="355"/>
      <c r="G6319" s="355"/>
      <c r="H6319" s="355"/>
      <c r="I6319" s="355"/>
      <c r="J6319" s="355"/>
      <c r="K6319" s="355"/>
      <c r="L6319" s="355"/>
      <c r="M6319" s="355"/>
    </row>
    <row r="6320" spans="5:13">
      <c r="E6320" s="355"/>
      <c r="F6320" s="355"/>
      <c r="G6320" s="355"/>
      <c r="H6320" s="355"/>
      <c r="I6320" s="355"/>
      <c r="J6320" s="355"/>
      <c r="K6320" s="355"/>
      <c r="L6320" s="355"/>
      <c r="M6320" s="355"/>
    </row>
    <row r="6321" spans="5:13">
      <c r="E6321" s="355"/>
      <c r="F6321" s="355"/>
      <c r="G6321" s="355"/>
      <c r="H6321" s="355"/>
      <c r="I6321" s="355"/>
      <c r="J6321" s="355"/>
      <c r="K6321" s="355"/>
      <c r="L6321" s="355"/>
      <c r="M6321" s="355"/>
    </row>
    <row r="6322" spans="5:13">
      <c r="E6322" s="355"/>
      <c r="F6322" s="355"/>
      <c r="G6322" s="355"/>
      <c r="H6322" s="355"/>
      <c r="I6322" s="355"/>
      <c r="J6322" s="355"/>
      <c r="K6322" s="355"/>
      <c r="L6322" s="355"/>
      <c r="M6322" s="355"/>
    </row>
    <row r="6323" spans="5:13">
      <c r="E6323" s="355"/>
      <c r="F6323" s="355"/>
      <c r="G6323" s="355"/>
      <c r="H6323" s="355"/>
      <c r="I6323" s="355"/>
      <c r="J6323" s="355"/>
      <c r="K6323" s="355"/>
      <c r="L6323" s="355"/>
      <c r="M6323" s="355"/>
    </row>
    <row r="6324" spans="5:13">
      <c r="E6324" s="355"/>
      <c r="F6324" s="355"/>
      <c r="G6324" s="355"/>
      <c r="H6324" s="355"/>
      <c r="I6324" s="355"/>
      <c r="J6324" s="355"/>
      <c r="K6324" s="355"/>
      <c r="L6324" s="355"/>
      <c r="M6324" s="355"/>
    </row>
    <row r="6325" spans="5:13">
      <c r="E6325" s="355"/>
      <c r="F6325" s="355"/>
      <c r="G6325" s="355"/>
      <c r="H6325" s="355"/>
      <c r="I6325" s="355"/>
      <c r="J6325" s="355"/>
      <c r="K6325" s="355"/>
      <c r="L6325" s="355"/>
      <c r="M6325" s="355"/>
    </row>
    <row r="6326" spans="5:13">
      <c r="E6326" s="355"/>
      <c r="F6326" s="355"/>
      <c r="G6326" s="355"/>
      <c r="H6326" s="355"/>
      <c r="I6326" s="355"/>
      <c r="J6326" s="355"/>
      <c r="K6326" s="355"/>
      <c r="L6326" s="355"/>
      <c r="M6326" s="355"/>
    </row>
    <row r="6327" spans="5:13">
      <c r="E6327" s="355"/>
      <c r="F6327" s="355"/>
      <c r="G6327" s="355"/>
      <c r="H6327" s="355"/>
      <c r="I6327" s="355"/>
      <c r="J6327" s="355"/>
      <c r="K6327" s="355"/>
      <c r="L6327" s="355"/>
      <c r="M6327" s="355"/>
    </row>
    <row r="6328" spans="5:13">
      <c r="E6328" s="355"/>
      <c r="F6328" s="355"/>
      <c r="G6328" s="355"/>
      <c r="H6328" s="355"/>
      <c r="I6328" s="355"/>
      <c r="J6328" s="355"/>
      <c r="K6328" s="355"/>
      <c r="L6328" s="355"/>
      <c r="M6328" s="355"/>
    </row>
    <row r="6329" spans="5:13">
      <c r="E6329" s="355"/>
      <c r="F6329" s="355"/>
      <c r="G6329" s="355"/>
      <c r="H6329" s="355"/>
      <c r="I6329" s="355"/>
      <c r="J6329" s="355"/>
      <c r="K6329" s="355"/>
      <c r="L6329" s="355"/>
      <c r="M6329" s="355"/>
    </row>
    <row r="6330" spans="5:13">
      <c r="E6330" s="355"/>
      <c r="F6330" s="355"/>
      <c r="G6330" s="355"/>
      <c r="H6330" s="355"/>
      <c r="I6330" s="355"/>
      <c r="J6330" s="355"/>
      <c r="K6330" s="355"/>
      <c r="L6330" s="355"/>
      <c r="M6330" s="355"/>
    </row>
    <row r="6331" spans="5:13">
      <c r="E6331" s="355"/>
      <c r="F6331" s="355"/>
      <c r="G6331" s="355"/>
      <c r="H6331" s="355"/>
      <c r="I6331" s="355"/>
      <c r="J6331" s="355"/>
      <c r="K6331" s="355"/>
      <c r="L6331" s="355"/>
      <c r="M6331" s="355"/>
    </row>
    <row r="6332" spans="5:13">
      <c r="E6332" s="355"/>
      <c r="F6332" s="355"/>
      <c r="G6332" s="355"/>
      <c r="H6332" s="355"/>
      <c r="I6332" s="355"/>
      <c r="J6332" s="355"/>
      <c r="K6332" s="355"/>
      <c r="L6332" s="355"/>
      <c r="M6332" s="355"/>
    </row>
    <row r="6333" spans="5:13">
      <c r="E6333" s="355"/>
      <c r="F6333" s="355"/>
      <c r="G6333" s="355"/>
      <c r="H6333" s="355"/>
      <c r="I6333" s="355"/>
      <c r="J6333" s="355"/>
      <c r="K6333" s="355"/>
      <c r="L6333" s="355"/>
      <c r="M6333" s="355"/>
    </row>
    <row r="6334" spans="5:13">
      <c r="E6334" s="355"/>
      <c r="F6334" s="355"/>
      <c r="G6334" s="355"/>
      <c r="H6334" s="355"/>
      <c r="I6334" s="355"/>
      <c r="J6334" s="355"/>
      <c r="K6334" s="355"/>
      <c r="L6334" s="355"/>
      <c r="M6334" s="355"/>
    </row>
    <row r="6335" spans="5:13">
      <c r="E6335" s="355"/>
      <c r="F6335" s="355"/>
      <c r="G6335" s="355"/>
      <c r="H6335" s="355"/>
      <c r="I6335" s="355"/>
      <c r="J6335" s="355"/>
      <c r="K6335" s="355"/>
      <c r="L6335" s="355"/>
      <c r="M6335" s="355"/>
    </row>
    <row r="6336" spans="5:13">
      <c r="E6336" s="355"/>
      <c r="F6336" s="355"/>
      <c r="G6336" s="355"/>
      <c r="H6336" s="355"/>
      <c r="I6336" s="355"/>
      <c r="J6336" s="355"/>
      <c r="K6336" s="355"/>
      <c r="L6336" s="355"/>
      <c r="M6336" s="355"/>
    </row>
    <row r="6337" spans="5:13">
      <c r="E6337" s="355"/>
      <c r="F6337" s="355"/>
      <c r="G6337" s="355"/>
      <c r="H6337" s="355"/>
      <c r="I6337" s="355"/>
      <c r="J6337" s="355"/>
      <c r="K6337" s="355"/>
      <c r="L6337" s="355"/>
      <c r="M6337" s="355"/>
    </row>
    <row r="6338" spans="5:13">
      <c r="E6338" s="355"/>
      <c r="F6338" s="355"/>
      <c r="G6338" s="355"/>
      <c r="H6338" s="355"/>
      <c r="I6338" s="355"/>
      <c r="J6338" s="355"/>
      <c r="K6338" s="355"/>
      <c r="L6338" s="355"/>
      <c r="M6338" s="355"/>
    </row>
    <row r="6339" spans="5:13">
      <c r="E6339" s="355"/>
      <c r="F6339" s="355"/>
      <c r="G6339" s="355"/>
      <c r="H6339" s="355"/>
      <c r="I6339" s="355"/>
      <c r="J6339" s="355"/>
      <c r="K6339" s="355"/>
      <c r="L6339" s="355"/>
      <c r="M6339" s="355"/>
    </row>
    <row r="6340" spans="5:13">
      <c r="E6340" s="355"/>
      <c r="F6340" s="355"/>
      <c r="G6340" s="355"/>
      <c r="H6340" s="355"/>
      <c r="I6340" s="355"/>
      <c r="J6340" s="355"/>
      <c r="K6340" s="355"/>
      <c r="L6340" s="355"/>
      <c r="M6340" s="355"/>
    </row>
    <row r="6341" spans="5:13">
      <c r="E6341" s="355"/>
      <c r="F6341" s="355"/>
      <c r="G6341" s="355"/>
      <c r="H6341" s="355"/>
      <c r="I6341" s="355"/>
      <c r="J6341" s="355"/>
      <c r="K6341" s="355"/>
      <c r="L6341" s="355"/>
      <c r="M6341" s="355"/>
    </row>
    <row r="6342" spans="5:13">
      <c r="E6342" s="355"/>
      <c r="F6342" s="355"/>
      <c r="G6342" s="355"/>
      <c r="H6342" s="355"/>
      <c r="I6342" s="355"/>
      <c r="J6342" s="355"/>
      <c r="K6342" s="355"/>
      <c r="L6342" s="355"/>
      <c r="M6342" s="355"/>
    </row>
    <row r="6343" spans="5:13">
      <c r="E6343" s="355"/>
      <c r="F6343" s="355"/>
      <c r="G6343" s="355"/>
      <c r="H6343" s="355"/>
      <c r="I6343" s="355"/>
      <c r="J6343" s="355"/>
      <c r="K6343" s="355"/>
      <c r="L6343" s="355"/>
      <c r="M6343" s="355"/>
    </row>
    <row r="6344" spans="5:13">
      <c r="E6344" s="355"/>
      <c r="F6344" s="355"/>
      <c r="G6344" s="355"/>
      <c r="H6344" s="355"/>
      <c r="I6344" s="355"/>
      <c r="J6344" s="355"/>
      <c r="K6344" s="355"/>
      <c r="L6344" s="355"/>
      <c r="M6344" s="355"/>
    </row>
    <row r="6345" spans="5:13">
      <c r="E6345" s="355"/>
      <c r="F6345" s="355"/>
      <c r="G6345" s="355"/>
      <c r="H6345" s="355"/>
      <c r="I6345" s="355"/>
      <c r="J6345" s="355"/>
      <c r="K6345" s="355"/>
      <c r="L6345" s="355"/>
      <c r="M6345" s="355"/>
    </row>
    <row r="6346" spans="5:13">
      <c r="E6346" s="355"/>
      <c r="F6346" s="355"/>
      <c r="G6346" s="355"/>
      <c r="H6346" s="355"/>
      <c r="I6346" s="355"/>
      <c r="J6346" s="355"/>
      <c r="K6346" s="355"/>
      <c r="L6346" s="355"/>
      <c r="M6346" s="355"/>
    </row>
    <row r="6347" spans="5:13">
      <c r="E6347" s="355"/>
      <c r="F6347" s="355"/>
      <c r="G6347" s="355"/>
      <c r="H6347" s="355"/>
      <c r="I6347" s="355"/>
      <c r="J6347" s="355"/>
      <c r="K6347" s="355"/>
      <c r="L6347" s="355"/>
      <c r="M6347" s="355"/>
    </row>
    <row r="6348" spans="5:13">
      <c r="E6348" s="355"/>
      <c r="F6348" s="355"/>
      <c r="G6348" s="355"/>
      <c r="H6348" s="355"/>
      <c r="I6348" s="355"/>
      <c r="J6348" s="355"/>
      <c r="K6348" s="355"/>
      <c r="L6348" s="355"/>
      <c r="M6348" s="355"/>
    </row>
    <row r="6349" spans="5:13">
      <c r="E6349" s="355"/>
      <c r="F6349" s="355"/>
      <c r="G6349" s="355"/>
      <c r="H6349" s="355"/>
      <c r="I6349" s="355"/>
      <c r="J6349" s="355"/>
      <c r="K6349" s="355"/>
      <c r="L6349" s="355"/>
      <c r="M6349" s="355"/>
    </row>
    <row r="6350" spans="5:13">
      <c r="E6350" s="355"/>
      <c r="F6350" s="355"/>
      <c r="G6350" s="355"/>
      <c r="H6350" s="355"/>
      <c r="I6350" s="355"/>
      <c r="J6350" s="355"/>
      <c r="K6350" s="355"/>
      <c r="L6350" s="355"/>
      <c r="M6350" s="355"/>
    </row>
    <row r="6351" spans="5:13">
      <c r="E6351" s="355"/>
      <c r="F6351" s="355"/>
      <c r="G6351" s="355"/>
      <c r="H6351" s="355"/>
      <c r="I6351" s="355"/>
      <c r="J6351" s="355"/>
      <c r="K6351" s="355"/>
      <c r="L6351" s="355"/>
      <c r="M6351" s="355"/>
    </row>
    <row r="6352" spans="5:13">
      <c r="E6352" s="355"/>
      <c r="F6352" s="355"/>
      <c r="G6352" s="355"/>
      <c r="H6352" s="355"/>
      <c r="I6352" s="355"/>
      <c r="J6352" s="355"/>
      <c r="K6352" s="355"/>
      <c r="L6352" s="355"/>
      <c r="M6352" s="355"/>
    </row>
    <row r="6353" spans="5:13">
      <c r="E6353" s="355"/>
      <c r="F6353" s="355"/>
      <c r="G6353" s="355"/>
      <c r="H6353" s="355"/>
      <c r="I6353" s="355"/>
      <c r="J6353" s="355"/>
      <c r="K6353" s="355"/>
      <c r="L6353" s="355"/>
      <c r="M6353" s="355"/>
    </row>
    <row r="6354" spans="5:13">
      <c r="E6354" s="355"/>
      <c r="F6354" s="355"/>
      <c r="G6354" s="355"/>
      <c r="H6354" s="355"/>
      <c r="I6354" s="355"/>
      <c r="J6354" s="355"/>
      <c r="K6354" s="355"/>
      <c r="L6354" s="355"/>
      <c r="M6354" s="355"/>
    </row>
    <row r="6355" spans="5:13">
      <c r="E6355" s="355"/>
      <c r="F6355" s="355"/>
      <c r="G6355" s="355"/>
      <c r="H6355" s="355"/>
      <c r="I6355" s="355"/>
      <c r="J6355" s="355"/>
      <c r="K6355" s="355"/>
      <c r="L6355" s="355"/>
      <c r="M6355" s="355"/>
    </row>
    <row r="6356" spans="5:13">
      <c r="E6356" s="355"/>
      <c r="F6356" s="355"/>
      <c r="G6356" s="355"/>
      <c r="H6356" s="355"/>
      <c r="I6356" s="355"/>
      <c r="J6356" s="355"/>
      <c r="K6356" s="355"/>
      <c r="L6356" s="355"/>
      <c r="M6356" s="355"/>
    </row>
    <row r="6357" spans="5:13">
      <c r="E6357" s="355"/>
      <c r="F6357" s="355"/>
      <c r="G6357" s="355"/>
      <c r="H6357" s="355"/>
      <c r="I6357" s="355"/>
      <c r="J6357" s="355"/>
      <c r="K6357" s="355"/>
      <c r="L6357" s="355"/>
      <c r="M6357" s="355"/>
    </row>
    <row r="6358" spans="5:13">
      <c r="E6358" s="355"/>
      <c r="F6358" s="355"/>
      <c r="G6358" s="355"/>
      <c r="H6358" s="355"/>
      <c r="I6358" s="355"/>
      <c r="J6358" s="355"/>
      <c r="K6358" s="355"/>
      <c r="L6358" s="355"/>
      <c r="M6358" s="355"/>
    </row>
    <row r="6359" spans="5:13">
      <c r="E6359" s="355"/>
      <c r="F6359" s="355"/>
      <c r="G6359" s="355"/>
      <c r="H6359" s="355"/>
      <c r="I6359" s="355"/>
      <c r="J6359" s="355"/>
      <c r="K6359" s="355"/>
      <c r="L6359" s="355"/>
      <c r="M6359" s="355"/>
    </row>
    <row r="6360" spans="5:13">
      <c r="E6360" s="355"/>
      <c r="F6360" s="355"/>
      <c r="G6360" s="355"/>
      <c r="H6360" s="355"/>
      <c r="I6360" s="355"/>
      <c r="J6360" s="355"/>
      <c r="K6360" s="355"/>
      <c r="L6360" s="355"/>
      <c r="M6360" s="355"/>
    </row>
    <row r="6361" spans="5:13">
      <c r="E6361" s="355"/>
      <c r="F6361" s="355"/>
      <c r="G6361" s="355"/>
      <c r="H6361" s="355"/>
      <c r="I6361" s="355"/>
      <c r="J6361" s="355"/>
      <c r="K6361" s="355"/>
      <c r="L6361" s="355"/>
      <c r="M6361" s="355"/>
    </row>
    <row r="6362" spans="5:13">
      <c r="E6362" s="355"/>
      <c r="F6362" s="355"/>
      <c r="G6362" s="355"/>
      <c r="H6362" s="355"/>
      <c r="I6362" s="355"/>
      <c r="J6362" s="355"/>
      <c r="K6362" s="355"/>
      <c r="L6362" s="355"/>
      <c r="M6362" s="355"/>
    </row>
    <row r="6363" spans="5:13">
      <c r="E6363" s="355"/>
      <c r="F6363" s="355"/>
      <c r="G6363" s="355"/>
      <c r="H6363" s="355"/>
      <c r="I6363" s="355"/>
      <c r="J6363" s="355"/>
      <c r="K6363" s="355"/>
      <c r="L6363" s="355"/>
      <c r="M6363" s="355"/>
    </row>
    <row r="6364" spans="5:13">
      <c r="E6364" s="355"/>
      <c r="F6364" s="355"/>
      <c r="G6364" s="355"/>
      <c r="H6364" s="355"/>
      <c r="I6364" s="355"/>
      <c r="J6364" s="355"/>
      <c r="K6364" s="355"/>
      <c r="L6364" s="355"/>
      <c r="M6364" s="355"/>
    </row>
    <row r="6365" spans="5:13">
      <c r="E6365" s="355"/>
      <c r="F6365" s="355"/>
      <c r="G6365" s="355"/>
      <c r="H6365" s="355"/>
      <c r="I6365" s="355"/>
      <c r="J6365" s="355"/>
      <c r="K6365" s="355"/>
      <c r="L6365" s="355"/>
      <c r="M6365" s="355"/>
    </row>
    <row r="6366" spans="5:13">
      <c r="E6366" s="355"/>
      <c r="F6366" s="355"/>
      <c r="G6366" s="355"/>
      <c r="H6366" s="355"/>
      <c r="I6366" s="355"/>
      <c r="J6366" s="355"/>
      <c r="K6366" s="355"/>
      <c r="L6366" s="355"/>
      <c r="M6366" s="355"/>
    </row>
    <row r="6367" spans="5:13">
      <c r="E6367" s="355"/>
      <c r="F6367" s="355"/>
      <c r="G6367" s="355"/>
      <c r="H6367" s="355"/>
      <c r="I6367" s="355"/>
      <c r="J6367" s="355"/>
      <c r="K6367" s="355"/>
      <c r="L6367" s="355"/>
      <c r="M6367" s="355"/>
    </row>
    <row r="6368" spans="5:13">
      <c r="E6368" s="355"/>
      <c r="F6368" s="355"/>
      <c r="G6368" s="355"/>
      <c r="H6368" s="355"/>
      <c r="I6368" s="355"/>
      <c r="J6368" s="355"/>
      <c r="K6368" s="355"/>
      <c r="L6368" s="355"/>
      <c r="M6368" s="355"/>
    </row>
    <row r="6369" spans="5:13">
      <c r="E6369" s="355"/>
      <c r="F6369" s="355"/>
      <c r="G6369" s="355"/>
      <c r="H6369" s="355"/>
      <c r="I6369" s="355"/>
      <c r="J6369" s="355"/>
      <c r="K6369" s="355"/>
      <c r="L6369" s="355"/>
      <c r="M6369" s="355"/>
    </row>
    <row r="6370" spans="5:13">
      <c r="E6370" s="355"/>
      <c r="F6370" s="355"/>
      <c r="G6370" s="355"/>
      <c r="H6370" s="355"/>
      <c r="I6370" s="355"/>
      <c r="J6370" s="355"/>
      <c r="K6370" s="355"/>
      <c r="L6370" s="355"/>
      <c r="M6370" s="355"/>
    </row>
    <row r="6371" spans="5:13">
      <c r="E6371" s="355"/>
      <c r="F6371" s="355"/>
      <c r="G6371" s="355"/>
      <c r="H6371" s="355"/>
      <c r="I6371" s="355"/>
      <c r="J6371" s="355"/>
      <c r="K6371" s="355"/>
      <c r="L6371" s="355"/>
      <c r="M6371" s="355"/>
    </row>
    <row r="6372" spans="5:13">
      <c r="E6372" s="355"/>
      <c r="F6372" s="355"/>
      <c r="G6372" s="355"/>
      <c r="H6372" s="355"/>
      <c r="I6372" s="355"/>
      <c r="J6372" s="355"/>
      <c r="K6372" s="355"/>
      <c r="L6372" s="355"/>
      <c r="M6372" s="355"/>
    </row>
    <row r="6373" spans="5:13">
      <c r="E6373" s="355"/>
      <c r="F6373" s="355"/>
      <c r="G6373" s="355"/>
      <c r="H6373" s="355"/>
      <c r="I6373" s="355"/>
      <c r="J6373" s="355"/>
      <c r="K6373" s="355"/>
      <c r="L6373" s="355"/>
      <c r="M6373" s="355"/>
    </row>
    <row r="6374" spans="5:13">
      <c r="E6374" s="355"/>
      <c r="F6374" s="355"/>
      <c r="G6374" s="355"/>
      <c r="H6374" s="355"/>
      <c r="I6374" s="355"/>
      <c r="J6374" s="355"/>
      <c r="K6374" s="355"/>
      <c r="L6374" s="355"/>
      <c r="M6374" s="355"/>
    </row>
    <row r="6375" spans="5:13">
      <c r="E6375" s="355"/>
      <c r="F6375" s="355"/>
      <c r="G6375" s="355"/>
      <c r="H6375" s="355"/>
      <c r="I6375" s="355"/>
      <c r="J6375" s="355"/>
      <c r="K6375" s="355"/>
      <c r="L6375" s="355"/>
      <c r="M6375" s="355"/>
    </row>
    <row r="6376" spans="5:13">
      <c r="E6376" s="355"/>
      <c r="F6376" s="355"/>
      <c r="G6376" s="355"/>
      <c r="H6376" s="355"/>
      <c r="I6376" s="355"/>
      <c r="J6376" s="355"/>
      <c r="K6376" s="355"/>
      <c r="L6376" s="355"/>
      <c r="M6376" s="355"/>
    </row>
    <row r="6377" spans="5:13">
      <c r="E6377" s="355"/>
      <c r="F6377" s="355"/>
      <c r="G6377" s="355"/>
      <c r="H6377" s="355"/>
      <c r="I6377" s="355"/>
      <c r="J6377" s="355"/>
      <c r="K6377" s="355"/>
      <c r="L6377" s="355"/>
      <c r="M6377" s="355"/>
    </row>
    <row r="6378" spans="5:13">
      <c r="E6378" s="355"/>
      <c r="F6378" s="355"/>
      <c r="G6378" s="355"/>
      <c r="H6378" s="355"/>
      <c r="I6378" s="355"/>
      <c r="J6378" s="355"/>
      <c r="K6378" s="355"/>
      <c r="L6378" s="355"/>
      <c r="M6378" s="355"/>
    </row>
    <row r="6379" spans="5:13">
      <c r="E6379" s="355"/>
      <c r="F6379" s="355"/>
      <c r="G6379" s="355"/>
      <c r="H6379" s="355"/>
      <c r="I6379" s="355"/>
      <c r="J6379" s="355"/>
      <c r="K6379" s="355"/>
      <c r="L6379" s="355"/>
      <c r="M6379" s="355"/>
    </row>
    <row r="6380" spans="5:13">
      <c r="E6380" s="355"/>
      <c r="F6380" s="355"/>
      <c r="G6380" s="355"/>
      <c r="H6380" s="355"/>
      <c r="I6380" s="355"/>
      <c r="J6380" s="355"/>
      <c r="K6380" s="355"/>
      <c r="L6380" s="355"/>
      <c r="M6380" s="355"/>
    </row>
    <row r="6381" spans="5:13">
      <c r="E6381" s="355"/>
      <c r="F6381" s="355"/>
      <c r="G6381" s="355"/>
      <c r="H6381" s="355"/>
      <c r="I6381" s="355"/>
      <c r="J6381" s="355"/>
      <c r="K6381" s="355"/>
      <c r="L6381" s="355"/>
      <c r="M6381" s="355"/>
    </row>
    <row r="6382" spans="5:13">
      <c r="E6382" s="355"/>
      <c r="F6382" s="355"/>
      <c r="G6382" s="355"/>
      <c r="H6382" s="355"/>
      <c r="I6382" s="355"/>
      <c r="J6382" s="355"/>
      <c r="K6382" s="355"/>
      <c r="L6382" s="355"/>
      <c r="M6382" s="355"/>
    </row>
    <row r="6383" spans="5:13">
      <c r="E6383" s="355"/>
      <c r="F6383" s="355"/>
      <c r="G6383" s="355"/>
      <c r="H6383" s="355"/>
      <c r="I6383" s="355"/>
      <c r="J6383" s="355"/>
      <c r="K6383" s="355"/>
      <c r="L6383" s="355"/>
      <c r="M6383" s="355"/>
    </row>
    <row r="6384" spans="5:13">
      <c r="E6384" s="355"/>
      <c r="F6384" s="355"/>
      <c r="G6384" s="355"/>
      <c r="H6384" s="355"/>
      <c r="I6384" s="355"/>
      <c r="J6384" s="355"/>
      <c r="K6384" s="355"/>
      <c r="L6384" s="355"/>
      <c r="M6384" s="355"/>
    </row>
    <row r="6385" spans="5:13">
      <c r="E6385" s="355"/>
      <c r="F6385" s="355"/>
      <c r="G6385" s="355"/>
      <c r="H6385" s="355"/>
      <c r="I6385" s="355"/>
      <c r="J6385" s="355"/>
      <c r="K6385" s="355"/>
      <c r="L6385" s="355"/>
      <c r="M6385" s="355"/>
    </row>
    <row r="6386" spans="5:13">
      <c r="E6386" s="355"/>
      <c r="F6386" s="355"/>
      <c r="G6386" s="355"/>
      <c r="H6386" s="355"/>
      <c r="I6386" s="355"/>
      <c r="J6386" s="355"/>
      <c r="K6386" s="355"/>
      <c r="L6386" s="355"/>
      <c r="M6386" s="355"/>
    </row>
    <row r="6387" spans="5:13">
      <c r="E6387" s="355"/>
      <c r="F6387" s="355"/>
      <c r="G6387" s="355"/>
      <c r="H6387" s="355"/>
      <c r="I6387" s="355"/>
      <c r="J6387" s="355"/>
      <c r="K6387" s="355"/>
      <c r="L6387" s="355"/>
      <c r="M6387" s="355"/>
    </row>
    <row r="6388" spans="5:13">
      <c r="E6388" s="355"/>
      <c r="F6388" s="355"/>
      <c r="G6388" s="355"/>
      <c r="H6388" s="355"/>
      <c r="I6388" s="355"/>
      <c r="J6388" s="355"/>
      <c r="K6388" s="355"/>
      <c r="L6388" s="355"/>
      <c r="M6388" s="355"/>
    </row>
    <row r="6389" spans="5:13">
      <c r="E6389" s="355"/>
      <c r="F6389" s="355"/>
      <c r="G6389" s="355"/>
      <c r="H6389" s="355"/>
      <c r="I6389" s="355"/>
      <c r="J6389" s="355"/>
      <c r="K6389" s="355"/>
      <c r="L6389" s="355"/>
      <c r="M6389" s="355"/>
    </row>
    <row r="6390" spans="5:13">
      <c r="E6390" s="355"/>
      <c r="F6390" s="355"/>
      <c r="G6390" s="355"/>
      <c r="H6390" s="355"/>
      <c r="I6390" s="355"/>
      <c r="J6390" s="355"/>
      <c r="K6390" s="355"/>
      <c r="L6390" s="355"/>
      <c r="M6390" s="355"/>
    </row>
    <row r="6391" spans="5:13">
      <c r="E6391" s="355"/>
      <c r="F6391" s="355"/>
      <c r="G6391" s="355"/>
      <c r="H6391" s="355"/>
      <c r="I6391" s="355"/>
      <c r="J6391" s="355"/>
      <c r="K6391" s="355"/>
      <c r="L6391" s="355"/>
      <c r="M6391" s="355"/>
    </row>
    <row r="6392" spans="5:13">
      <c r="E6392" s="355"/>
      <c r="F6392" s="355"/>
      <c r="G6392" s="355"/>
      <c r="H6392" s="355"/>
      <c r="I6392" s="355"/>
      <c r="J6392" s="355"/>
      <c r="K6392" s="355"/>
      <c r="L6392" s="355"/>
      <c r="M6392" s="355"/>
    </row>
    <row r="6393" spans="5:13">
      <c r="E6393" s="355"/>
      <c r="F6393" s="355"/>
      <c r="G6393" s="355"/>
      <c r="H6393" s="355"/>
      <c r="I6393" s="355"/>
      <c r="J6393" s="355"/>
      <c r="K6393" s="355"/>
      <c r="L6393" s="355"/>
      <c r="M6393" s="355"/>
    </row>
    <row r="6394" spans="5:13">
      <c r="E6394" s="355"/>
      <c r="F6394" s="355"/>
      <c r="G6394" s="355"/>
      <c r="H6394" s="355"/>
      <c r="I6394" s="355"/>
      <c r="J6394" s="355"/>
      <c r="K6394" s="355"/>
      <c r="L6394" s="355"/>
      <c r="M6394" s="355"/>
    </row>
    <row r="6395" spans="5:13">
      <c r="E6395" s="355"/>
      <c r="F6395" s="355"/>
      <c r="G6395" s="355"/>
      <c r="H6395" s="355"/>
      <c r="I6395" s="355"/>
      <c r="J6395" s="355"/>
      <c r="K6395" s="355"/>
      <c r="L6395" s="355"/>
      <c r="M6395" s="355"/>
    </row>
    <row r="6396" spans="5:13">
      <c r="E6396" s="355"/>
      <c r="F6396" s="355"/>
      <c r="G6396" s="355"/>
      <c r="H6396" s="355"/>
      <c r="I6396" s="355"/>
      <c r="J6396" s="355"/>
      <c r="K6396" s="355"/>
      <c r="L6396" s="355"/>
      <c r="M6396" s="355"/>
    </row>
    <row r="6397" spans="5:13">
      <c r="E6397" s="355"/>
      <c r="F6397" s="355"/>
      <c r="G6397" s="355"/>
      <c r="H6397" s="355"/>
      <c r="I6397" s="355"/>
      <c r="J6397" s="355"/>
      <c r="K6397" s="355"/>
      <c r="L6397" s="355"/>
      <c r="M6397" s="355"/>
    </row>
    <row r="6398" spans="5:13">
      <c r="E6398" s="355"/>
      <c r="F6398" s="355"/>
      <c r="G6398" s="355"/>
      <c r="H6398" s="355"/>
      <c r="I6398" s="355"/>
      <c r="J6398" s="355"/>
      <c r="K6398" s="355"/>
      <c r="L6398" s="355"/>
      <c r="M6398" s="355"/>
    </row>
    <row r="6399" spans="5:13">
      <c r="E6399" s="355"/>
      <c r="F6399" s="355"/>
      <c r="G6399" s="355"/>
      <c r="H6399" s="355"/>
      <c r="I6399" s="355"/>
      <c r="J6399" s="355"/>
      <c r="K6399" s="355"/>
      <c r="L6399" s="355"/>
      <c r="M6399" s="355"/>
    </row>
    <row r="6400" spans="5:13">
      <c r="E6400" s="355"/>
      <c r="F6400" s="355"/>
      <c r="G6400" s="355"/>
      <c r="H6400" s="355"/>
      <c r="I6400" s="355"/>
      <c r="J6400" s="355"/>
      <c r="K6400" s="355"/>
      <c r="L6400" s="355"/>
      <c r="M6400" s="355"/>
    </row>
    <row r="6401" spans="5:13">
      <c r="E6401" s="355"/>
      <c r="F6401" s="355"/>
      <c r="G6401" s="355"/>
      <c r="H6401" s="355"/>
      <c r="I6401" s="355"/>
      <c r="J6401" s="355"/>
      <c r="K6401" s="355"/>
      <c r="L6401" s="355"/>
      <c r="M6401" s="355"/>
    </row>
    <row r="6402" spans="5:13">
      <c r="E6402" s="355"/>
      <c r="F6402" s="355"/>
      <c r="G6402" s="355"/>
      <c r="H6402" s="355"/>
      <c r="I6402" s="355"/>
      <c r="J6402" s="355"/>
      <c r="K6402" s="355"/>
      <c r="L6402" s="355"/>
      <c r="M6402" s="355"/>
    </row>
    <row r="6403" spans="5:13">
      <c r="E6403" s="355"/>
      <c r="F6403" s="355"/>
      <c r="G6403" s="355"/>
      <c r="H6403" s="355"/>
      <c r="I6403" s="355"/>
      <c r="J6403" s="355"/>
      <c r="K6403" s="355"/>
      <c r="L6403" s="355"/>
      <c r="M6403" s="355"/>
    </row>
    <row r="6404" spans="5:13">
      <c r="E6404" s="355"/>
      <c r="F6404" s="355"/>
      <c r="G6404" s="355"/>
      <c r="H6404" s="355"/>
      <c r="I6404" s="355"/>
      <c r="J6404" s="355"/>
      <c r="K6404" s="355"/>
      <c r="L6404" s="355"/>
      <c r="M6404" s="355"/>
    </row>
    <row r="6405" spans="5:13">
      <c r="E6405" s="355"/>
      <c r="F6405" s="355"/>
      <c r="G6405" s="355"/>
      <c r="H6405" s="355"/>
      <c r="I6405" s="355"/>
      <c r="J6405" s="355"/>
      <c r="K6405" s="355"/>
      <c r="L6405" s="355"/>
      <c r="M6405" s="355"/>
    </row>
    <row r="6406" spans="5:13">
      <c r="E6406" s="355"/>
      <c r="F6406" s="355"/>
      <c r="G6406" s="355"/>
      <c r="H6406" s="355"/>
      <c r="I6406" s="355"/>
      <c r="J6406" s="355"/>
      <c r="K6406" s="355"/>
      <c r="L6406" s="355"/>
      <c r="M6406" s="355"/>
    </row>
    <row r="6407" spans="5:13">
      <c r="E6407" s="355"/>
      <c r="F6407" s="355"/>
      <c r="G6407" s="355"/>
      <c r="H6407" s="355"/>
      <c r="I6407" s="355"/>
      <c r="J6407" s="355"/>
      <c r="K6407" s="355"/>
      <c r="L6407" s="355"/>
      <c r="M6407" s="355"/>
    </row>
    <row r="6408" spans="5:13">
      <c r="E6408" s="355"/>
      <c r="F6408" s="355"/>
      <c r="G6408" s="355"/>
      <c r="H6408" s="355"/>
      <c r="I6408" s="355"/>
      <c r="J6408" s="355"/>
      <c r="K6408" s="355"/>
      <c r="L6408" s="355"/>
      <c r="M6408" s="355"/>
    </row>
    <row r="6409" spans="5:13">
      <c r="E6409" s="355"/>
      <c r="F6409" s="355"/>
      <c r="G6409" s="355"/>
      <c r="H6409" s="355"/>
      <c r="I6409" s="355"/>
      <c r="J6409" s="355"/>
      <c r="K6409" s="355"/>
      <c r="L6409" s="355"/>
      <c r="M6409" s="355"/>
    </row>
    <row r="6410" spans="5:13">
      <c r="E6410" s="355"/>
      <c r="F6410" s="355"/>
      <c r="G6410" s="355"/>
      <c r="H6410" s="355"/>
      <c r="I6410" s="355"/>
      <c r="J6410" s="355"/>
      <c r="K6410" s="355"/>
      <c r="L6410" s="355"/>
      <c r="M6410" s="355"/>
    </row>
    <row r="6411" spans="5:13">
      <c r="E6411" s="355"/>
      <c r="F6411" s="355"/>
      <c r="G6411" s="355"/>
      <c r="H6411" s="355"/>
      <c r="I6411" s="355"/>
      <c r="J6411" s="355"/>
      <c r="K6411" s="355"/>
      <c r="L6411" s="355"/>
      <c r="M6411" s="355"/>
    </row>
    <row r="6412" spans="5:13">
      <c r="E6412" s="355"/>
      <c r="F6412" s="355"/>
      <c r="G6412" s="355"/>
      <c r="H6412" s="355"/>
      <c r="I6412" s="355"/>
      <c r="J6412" s="355"/>
      <c r="K6412" s="355"/>
      <c r="L6412" s="355"/>
      <c r="M6412" s="355"/>
    </row>
    <row r="6413" spans="5:13">
      <c r="E6413" s="355"/>
      <c r="F6413" s="355"/>
      <c r="G6413" s="355"/>
      <c r="H6413" s="355"/>
      <c r="I6413" s="355"/>
      <c r="J6413" s="355"/>
      <c r="K6413" s="355"/>
      <c r="L6413" s="355"/>
      <c r="M6413" s="355"/>
    </row>
    <row r="6414" spans="5:13">
      <c r="E6414" s="355"/>
      <c r="F6414" s="355"/>
      <c r="G6414" s="355"/>
      <c r="H6414" s="355"/>
      <c r="I6414" s="355"/>
      <c r="J6414" s="355"/>
      <c r="K6414" s="355"/>
      <c r="L6414" s="355"/>
      <c r="M6414" s="355"/>
    </row>
    <row r="6415" spans="5:13">
      <c r="E6415" s="355"/>
      <c r="F6415" s="355"/>
      <c r="G6415" s="355"/>
      <c r="H6415" s="355"/>
      <c r="I6415" s="355"/>
      <c r="J6415" s="355"/>
      <c r="K6415" s="355"/>
      <c r="L6415" s="355"/>
      <c r="M6415" s="355"/>
    </row>
    <row r="6416" spans="5:13">
      <c r="E6416" s="355"/>
      <c r="F6416" s="355"/>
      <c r="G6416" s="355"/>
      <c r="H6416" s="355"/>
      <c r="I6416" s="355"/>
      <c r="J6416" s="355"/>
      <c r="K6416" s="355"/>
      <c r="L6416" s="355"/>
      <c r="M6416" s="355"/>
    </row>
    <row r="6417" spans="5:13">
      <c r="E6417" s="355"/>
      <c r="F6417" s="355"/>
      <c r="G6417" s="355"/>
      <c r="H6417" s="355"/>
      <c r="I6417" s="355"/>
      <c r="J6417" s="355"/>
      <c r="K6417" s="355"/>
      <c r="L6417" s="355"/>
      <c r="M6417" s="355"/>
    </row>
    <row r="6418" spans="5:13">
      <c r="E6418" s="355"/>
      <c r="F6418" s="355"/>
      <c r="G6418" s="355"/>
      <c r="H6418" s="355"/>
      <c r="I6418" s="355"/>
      <c r="J6418" s="355"/>
      <c r="K6418" s="355"/>
      <c r="L6418" s="355"/>
      <c r="M6418" s="355"/>
    </row>
    <row r="6419" spans="5:13">
      <c r="E6419" s="355"/>
      <c r="F6419" s="355"/>
      <c r="G6419" s="355"/>
      <c r="H6419" s="355"/>
      <c r="I6419" s="355"/>
      <c r="J6419" s="355"/>
      <c r="K6419" s="355"/>
      <c r="L6419" s="355"/>
      <c r="M6419" s="355"/>
    </row>
    <row r="6420" spans="5:13">
      <c r="E6420" s="355"/>
      <c r="F6420" s="355"/>
      <c r="G6420" s="355"/>
      <c r="H6420" s="355"/>
      <c r="I6420" s="355"/>
      <c r="J6420" s="355"/>
      <c r="K6420" s="355"/>
      <c r="L6420" s="355"/>
      <c r="M6420" s="355"/>
    </row>
    <row r="6421" spans="5:13">
      <c r="E6421" s="355"/>
      <c r="F6421" s="355"/>
      <c r="G6421" s="355"/>
      <c r="H6421" s="355"/>
      <c r="I6421" s="355"/>
      <c r="J6421" s="355"/>
      <c r="K6421" s="355"/>
      <c r="L6421" s="355"/>
      <c r="M6421" s="355"/>
    </row>
    <row r="6422" spans="5:13">
      <c r="E6422" s="355"/>
      <c r="F6422" s="355"/>
      <c r="G6422" s="355"/>
      <c r="H6422" s="355"/>
      <c r="I6422" s="355"/>
      <c r="J6422" s="355"/>
      <c r="K6422" s="355"/>
      <c r="L6422" s="355"/>
      <c r="M6422" s="355"/>
    </row>
    <row r="6423" spans="5:13">
      <c r="E6423" s="355"/>
      <c r="F6423" s="355"/>
      <c r="G6423" s="355"/>
      <c r="H6423" s="355"/>
      <c r="I6423" s="355"/>
      <c r="J6423" s="355"/>
      <c r="K6423" s="355"/>
      <c r="L6423" s="355"/>
      <c r="M6423" s="355"/>
    </row>
    <row r="6424" spans="5:13">
      <c r="E6424" s="355"/>
      <c r="F6424" s="355"/>
      <c r="G6424" s="355"/>
      <c r="H6424" s="355"/>
      <c r="I6424" s="355"/>
      <c r="J6424" s="355"/>
      <c r="K6424" s="355"/>
      <c r="L6424" s="355"/>
      <c r="M6424" s="355"/>
    </row>
    <row r="6425" spans="5:13">
      <c r="E6425" s="355"/>
      <c r="F6425" s="355"/>
      <c r="G6425" s="355"/>
      <c r="H6425" s="355"/>
      <c r="I6425" s="355"/>
      <c r="J6425" s="355"/>
      <c r="K6425" s="355"/>
      <c r="L6425" s="355"/>
      <c r="M6425" s="355"/>
    </row>
    <row r="6426" spans="5:13">
      <c r="E6426" s="355"/>
      <c r="F6426" s="355"/>
      <c r="G6426" s="355"/>
      <c r="H6426" s="355"/>
      <c r="I6426" s="355"/>
      <c r="J6426" s="355"/>
      <c r="K6426" s="355"/>
      <c r="L6426" s="355"/>
      <c r="M6426" s="355"/>
    </row>
    <row r="6427" spans="5:13">
      <c r="E6427" s="355"/>
      <c r="F6427" s="355"/>
      <c r="G6427" s="355"/>
      <c r="H6427" s="355"/>
      <c r="I6427" s="355"/>
      <c r="J6427" s="355"/>
      <c r="K6427" s="355"/>
      <c r="L6427" s="355"/>
      <c r="M6427" s="355"/>
    </row>
    <row r="6428" spans="5:13">
      <c r="E6428" s="355"/>
      <c r="F6428" s="355"/>
      <c r="G6428" s="355"/>
      <c r="H6428" s="355"/>
      <c r="I6428" s="355"/>
      <c r="J6428" s="355"/>
      <c r="K6428" s="355"/>
      <c r="L6428" s="355"/>
      <c r="M6428" s="355"/>
    </row>
    <row r="6429" spans="5:13">
      <c r="E6429" s="355"/>
      <c r="F6429" s="355"/>
      <c r="G6429" s="355"/>
      <c r="H6429" s="355"/>
      <c r="I6429" s="355"/>
      <c r="J6429" s="355"/>
      <c r="K6429" s="355"/>
      <c r="L6429" s="355"/>
      <c r="M6429" s="355"/>
    </row>
    <row r="6430" spans="5:13">
      <c r="E6430" s="355"/>
      <c r="F6430" s="355"/>
      <c r="G6430" s="355"/>
      <c r="H6430" s="355"/>
      <c r="I6430" s="355"/>
      <c r="J6430" s="355"/>
      <c r="K6430" s="355"/>
      <c r="L6430" s="355"/>
      <c r="M6430" s="355"/>
    </row>
    <row r="6431" spans="5:13">
      <c r="E6431" s="355"/>
      <c r="F6431" s="355"/>
      <c r="G6431" s="355"/>
      <c r="H6431" s="355"/>
      <c r="I6431" s="355"/>
      <c r="J6431" s="355"/>
      <c r="K6431" s="355"/>
      <c r="L6431" s="355"/>
      <c r="M6431" s="355"/>
    </row>
    <row r="6432" spans="5:13">
      <c r="E6432" s="355"/>
      <c r="F6432" s="355"/>
      <c r="G6432" s="355"/>
      <c r="H6432" s="355"/>
      <c r="I6432" s="355"/>
      <c r="J6432" s="355"/>
      <c r="K6432" s="355"/>
      <c r="L6432" s="355"/>
      <c r="M6432" s="355"/>
    </row>
    <row r="6433" spans="5:13">
      <c r="E6433" s="355"/>
      <c r="F6433" s="355"/>
      <c r="G6433" s="355"/>
      <c r="H6433" s="355"/>
      <c r="I6433" s="355"/>
      <c r="J6433" s="355"/>
      <c r="K6433" s="355"/>
      <c r="L6433" s="355"/>
      <c r="M6433" s="355"/>
    </row>
    <row r="6434" spans="5:13">
      <c r="E6434" s="355"/>
      <c r="F6434" s="355"/>
      <c r="G6434" s="355"/>
      <c r="H6434" s="355"/>
      <c r="I6434" s="355"/>
      <c r="J6434" s="355"/>
      <c r="K6434" s="355"/>
      <c r="L6434" s="355"/>
      <c r="M6434" s="355"/>
    </row>
    <row r="6435" spans="5:13">
      <c r="E6435" s="355"/>
      <c r="F6435" s="355"/>
      <c r="G6435" s="355"/>
      <c r="H6435" s="355"/>
      <c r="I6435" s="355"/>
      <c r="J6435" s="355"/>
      <c r="K6435" s="355"/>
      <c r="L6435" s="355"/>
      <c r="M6435" s="355"/>
    </row>
    <row r="6436" spans="5:13">
      <c r="E6436" s="355"/>
      <c r="F6436" s="355"/>
      <c r="G6436" s="355"/>
      <c r="H6436" s="355"/>
      <c r="I6436" s="355"/>
      <c r="J6436" s="355"/>
      <c r="K6436" s="355"/>
      <c r="L6436" s="355"/>
      <c r="M6436" s="355"/>
    </row>
    <row r="6437" spans="5:13">
      <c r="E6437" s="355"/>
      <c r="F6437" s="355"/>
      <c r="G6437" s="355"/>
      <c r="H6437" s="355"/>
      <c r="I6437" s="355"/>
      <c r="J6437" s="355"/>
      <c r="K6437" s="355"/>
      <c r="L6437" s="355"/>
      <c r="M6437" s="355"/>
    </row>
    <row r="6438" spans="5:13">
      <c r="E6438" s="355"/>
      <c r="F6438" s="355"/>
      <c r="G6438" s="355"/>
      <c r="H6438" s="355"/>
      <c r="I6438" s="355"/>
      <c r="J6438" s="355"/>
      <c r="K6438" s="355"/>
      <c r="L6438" s="355"/>
      <c r="M6438" s="355"/>
    </row>
    <row r="6439" spans="5:13">
      <c r="E6439" s="355"/>
      <c r="F6439" s="355"/>
      <c r="G6439" s="355"/>
      <c r="H6439" s="355"/>
      <c r="I6439" s="355"/>
      <c r="J6439" s="355"/>
      <c r="K6439" s="355"/>
      <c r="L6439" s="355"/>
      <c r="M6439" s="355"/>
    </row>
    <row r="6440" spans="5:13">
      <c r="E6440" s="355"/>
      <c r="F6440" s="355"/>
      <c r="G6440" s="355"/>
      <c r="H6440" s="355"/>
      <c r="I6440" s="355"/>
      <c r="J6440" s="355"/>
      <c r="K6440" s="355"/>
      <c r="L6440" s="355"/>
      <c r="M6440" s="355"/>
    </row>
    <row r="6441" spans="5:13">
      <c r="E6441" s="355"/>
      <c r="F6441" s="355"/>
      <c r="G6441" s="355"/>
      <c r="H6441" s="355"/>
      <c r="I6441" s="355"/>
      <c r="J6441" s="355"/>
      <c r="K6441" s="355"/>
      <c r="L6441" s="355"/>
      <c r="M6441" s="355"/>
    </row>
    <row r="6442" spans="5:13">
      <c r="E6442" s="355"/>
      <c r="F6442" s="355"/>
      <c r="G6442" s="355"/>
      <c r="H6442" s="355"/>
      <c r="I6442" s="355"/>
      <c r="J6442" s="355"/>
      <c r="K6442" s="355"/>
      <c r="L6442" s="355"/>
      <c r="M6442" s="355"/>
    </row>
    <row r="6443" spans="5:13">
      <c r="E6443" s="355"/>
      <c r="F6443" s="355"/>
      <c r="G6443" s="355"/>
      <c r="H6443" s="355"/>
      <c r="I6443" s="355"/>
      <c r="J6443" s="355"/>
      <c r="K6443" s="355"/>
      <c r="L6443" s="355"/>
      <c r="M6443" s="355"/>
    </row>
    <row r="6444" spans="5:13">
      <c r="E6444" s="355"/>
      <c r="F6444" s="355"/>
      <c r="G6444" s="355"/>
      <c r="H6444" s="355"/>
      <c r="I6444" s="355"/>
      <c r="J6444" s="355"/>
      <c r="K6444" s="355"/>
      <c r="L6444" s="355"/>
      <c r="M6444" s="355"/>
    </row>
    <row r="6445" spans="5:13">
      <c r="E6445" s="355"/>
      <c r="F6445" s="355"/>
      <c r="G6445" s="355"/>
      <c r="H6445" s="355"/>
      <c r="I6445" s="355"/>
      <c r="J6445" s="355"/>
      <c r="K6445" s="355"/>
      <c r="L6445" s="355"/>
      <c r="M6445" s="355"/>
    </row>
    <row r="6446" spans="5:13">
      <c r="E6446" s="355"/>
      <c r="F6446" s="355"/>
      <c r="G6446" s="355"/>
      <c r="H6446" s="355"/>
      <c r="I6446" s="355"/>
      <c r="J6446" s="355"/>
      <c r="K6446" s="355"/>
      <c r="L6446" s="355"/>
      <c r="M6446" s="355"/>
    </row>
    <row r="6447" spans="5:13">
      <c r="E6447" s="355"/>
      <c r="F6447" s="355"/>
      <c r="G6447" s="355"/>
      <c r="H6447" s="355"/>
      <c r="I6447" s="355"/>
      <c r="J6447" s="355"/>
      <c r="K6447" s="355"/>
      <c r="L6447" s="355"/>
      <c r="M6447" s="355"/>
    </row>
    <row r="6448" spans="5:13">
      <c r="E6448" s="355"/>
      <c r="F6448" s="355"/>
      <c r="G6448" s="355"/>
      <c r="H6448" s="355"/>
      <c r="I6448" s="355"/>
      <c r="J6448" s="355"/>
      <c r="K6448" s="355"/>
      <c r="L6448" s="355"/>
      <c r="M6448" s="355"/>
    </row>
    <row r="6449" spans="5:13">
      <c r="E6449" s="355"/>
      <c r="F6449" s="355"/>
      <c r="G6449" s="355"/>
      <c r="H6449" s="355"/>
      <c r="I6449" s="355"/>
      <c r="J6449" s="355"/>
      <c r="K6449" s="355"/>
      <c r="L6449" s="355"/>
      <c r="M6449" s="355"/>
    </row>
    <row r="6450" spans="5:13">
      <c r="E6450" s="355"/>
      <c r="F6450" s="355"/>
      <c r="G6450" s="355"/>
      <c r="H6450" s="355"/>
      <c r="I6450" s="355"/>
      <c r="J6450" s="355"/>
      <c r="K6450" s="355"/>
      <c r="L6450" s="355"/>
      <c r="M6450" s="355"/>
    </row>
    <row r="6451" spans="5:13">
      <c r="E6451" s="355"/>
      <c r="F6451" s="355"/>
      <c r="G6451" s="355"/>
      <c r="H6451" s="355"/>
      <c r="I6451" s="355"/>
      <c r="J6451" s="355"/>
      <c r="K6451" s="355"/>
      <c r="L6451" s="355"/>
      <c r="M6451" s="355"/>
    </row>
    <row r="6452" spans="5:13">
      <c r="E6452" s="355"/>
      <c r="F6452" s="355"/>
      <c r="G6452" s="355"/>
      <c r="H6452" s="355"/>
      <c r="I6452" s="355"/>
      <c r="J6452" s="355"/>
      <c r="K6452" s="355"/>
      <c r="L6452" s="355"/>
      <c r="M6452" s="355"/>
    </row>
    <row r="6453" spans="5:13">
      <c r="E6453" s="355"/>
      <c r="F6453" s="355"/>
      <c r="G6453" s="355"/>
      <c r="H6453" s="355"/>
      <c r="I6453" s="355"/>
      <c r="J6453" s="355"/>
      <c r="K6453" s="355"/>
      <c r="L6453" s="355"/>
      <c r="M6453" s="355"/>
    </row>
    <row r="6454" spans="5:13">
      <c r="E6454" s="355"/>
      <c r="F6454" s="355"/>
      <c r="G6454" s="355"/>
      <c r="H6454" s="355"/>
      <c r="I6454" s="355"/>
      <c r="J6454" s="355"/>
      <c r="K6454" s="355"/>
      <c r="L6454" s="355"/>
      <c r="M6454" s="355"/>
    </row>
    <row r="6455" spans="5:13">
      <c r="E6455" s="355"/>
      <c r="F6455" s="355"/>
      <c r="G6455" s="355"/>
      <c r="H6455" s="355"/>
      <c r="I6455" s="355"/>
      <c r="J6455" s="355"/>
      <c r="K6455" s="355"/>
      <c r="L6455" s="355"/>
      <c r="M6455" s="355"/>
    </row>
    <row r="6456" spans="5:13">
      <c r="E6456" s="355"/>
      <c r="F6456" s="355"/>
      <c r="G6456" s="355"/>
      <c r="H6456" s="355"/>
      <c r="I6456" s="355"/>
      <c r="J6456" s="355"/>
      <c r="K6456" s="355"/>
      <c r="L6456" s="355"/>
      <c r="M6456" s="355"/>
    </row>
    <row r="6457" spans="5:13">
      <c r="E6457" s="355"/>
      <c r="F6457" s="355"/>
      <c r="G6457" s="355"/>
      <c r="H6457" s="355"/>
      <c r="I6457" s="355"/>
      <c r="J6457" s="355"/>
      <c r="K6457" s="355"/>
      <c r="L6457" s="355"/>
      <c r="M6457" s="355"/>
    </row>
    <row r="6458" spans="5:13">
      <c r="E6458" s="355"/>
      <c r="F6458" s="355"/>
      <c r="G6458" s="355"/>
      <c r="H6458" s="355"/>
      <c r="I6458" s="355"/>
      <c r="J6458" s="355"/>
      <c r="K6458" s="355"/>
      <c r="L6458" s="355"/>
      <c r="M6458" s="355"/>
    </row>
    <row r="6459" spans="5:13">
      <c r="E6459" s="355"/>
      <c r="F6459" s="355"/>
      <c r="G6459" s="355"/>
      <c r="H6459" s="355"/>
      <c r="I6459" s="355"/>
      <c r="J6459" s="355"/>
      <c r="K6459" s="355"/>
      <c r="L6459" s="355"/>
      <c r="M6459" s="355"/>
    </row>
    <row r="6460" spans="5:13">
      <c r="E6460" s="355"/>
      <c r="F6460" s="355"/>
      <c r="G6460" s="355"/>
      <c r="H6460" s="355"/>
      <c r="I6460" s="355"/>
      <c r="J6460" s="355"/>
      <c r="K6460" s="355"/>
      <c r="L6460" s="355"/>
      <c r="M6460" s="355"/>
    </row>
    <row r="6461" spans="5:13">
      <c r="E6461" s="355"/>
      <c r="F6461" s="355"/>
      <c r="G6461" s="355"/>
      <c r="H6461" s="355"/>
      <c r="I6461" s="355"/>
      <c r="J6461" s="355"/>
      <c r="K6461" s="355"/>
      <c r="L6461" s="355"/>
      <c r="M6461" s="355"/>
    </row>
    <row r="6462" spans="5:13">
      <c r="E6462" s="355"/>
      <c r="F6462" s="355"/>
      <c r="G6462" s="355"/>
      <c r="H6462" s="355"/>
      <c r="I6462" s="355"/>
      <c r="J6462" s="355"/>
      <c r="K6462" s="355"/>
      <c r="L6462" s="355"/>
      <c r="M6462" s="355"/>
    </row>
    <row r="6463" spans="5:13">
      <c r="E6463" s="355"/>
      <c r="F6463" s="355"/>
      <c r="G6463" s="355"/>
      <c r="H6463" s="355"/>
      <c r="I6463" s="355"/>
      <c r="J6463" s="355"/>
      <c r="K6463" s="355"/>
      <c r="L6463" s="355"/>
      <c r="M6463" s="355"/>
    </row>
    <row r="6464" spans="5:13">
      <c r="E6464" s="355"/>
      <c r="F6464" s="355"/>
      <c r="G6464" s="355"/>
      <c r="H6464" s="355"/>
      <c r="I6464" s="355"/>
      <c r="J6464" s="355"/>
      <c r="K6464" s="355"/>
      <c r="L6464" s="355"/>
      <c r="M6464" s="355"/>
    </row>
    <row r="6465" spans="5:13">
      <c r="E6465" s="355"/>
      <c r="F6465" s="355"/>
      <c r="G6465" s="355"/>
      <c r="H6465" s="355"/>
      <c r="I6465" s="355"/>
      <c r="J6465" s="355"/>
      <c r="K6465" s="355"/>
      <c r="L6465" s="355"/>
      <c r="M6465" s="355"/>
    </row>
    <row r="6466" spans="5:13">
      <c r="E6466" s="355"/>
      <c r="F6466" s="355"/>
      <c r="G6466" s="355"/>
      <c r="H6466" s="355"/>
      <c r="I6466" s="355"/>
      <c r="J6466" s="355"/>
      <c r="K6466" s="355"/>
      <c r="L6466" s="355"/>
      <c r="M6466" s="355"/>
    </row>
    <row r="6467" spans="5:13">
      <c r="E6467" s="355"/>
      <c r="F6467" s="355"/>
      <c r="G6467" s="355"/>
      <c r="H6467" s="355"/>
      <c r="I6467" s="355"/>
      <c r="J6467" s="355"/>
      <c r="K6467" s="355"/>
      <c r="L6467" s="355"/>
      <c r="M6467" s="355"/>
    </row>
    <row r="6468" spans="5:13">
      <c r="E6468" s="355"/>
      <c r="F6468" s="355"/>
      <c r="G6468" s="355"/>
      <c r="H6468" s="355"/>
      <c r="I6468" s="355"/>
      <c r="J6468" s="355"/>
      <c r="K6468" s="355"/>
      <c r="L6468" s="355"/>
      <c r="M6468" s="355"/>
    </row>
    <row r="6469" spans="5:13">
      <c r="E6469" s="355"/>
      <c r="F6469" s="355"/>
      <c r="G6469" s="355"/>
      <c r="H6469" s="355"/>
      <c r="I6469" s="355"/>
      <c r="J6469" s="355"/>
      <c r="K6469" s="355"/>
      <c r="L6469" s="355"/>
      <c r="M6469" s="355"/>
    </row>
    <row r="6470" spans="5:13">
      <c r="E6470" s="355"/>
      <c r="F6470" s="355"/>
      <c r="G6470" s="355"/>
      <c r="H6470" s="355"/>
      <c r="I6470" s="355"/>
      <c r="J6470" s="355"/>
      <c r="K6470" s="355"/>
      <c r="L6470" s="355"/>
      <c r="M6470" s="355"/>
    </row>
    <row r="6471" spans="5:13">
      <c r="E6471" s="355"/>
      <c r="F6471" s="355"/>
      <c r="G6471" s="355"/>
      <c r="H6471" s="355"/>
      <c r="I6471" s="355"/>
      <c r="J6471" s="355"/>
      <c r="K6471" s="355"/>
      <c r="L6471" s="355"/>
      <c r="M6471" s="355"/>
    </row>
    <row r="6472" spans="5:13">
      <c r="E6472" s="355"/>
      <c r="F6472" s="355"/>
      <c r="G6472" s="355"/>
      <c r="H6472" s="355"/>
      <c r="I6472" s="355"/>
      <c r="J6472" s="355"/>
      <c r="K6472" s="355"/>
      <c r="L6472" s="355"/>
      <c r="M6472" s="355"/>
    </row>
    <row r="6473" spans="5:13">
      <c r="E6473" s="355"/>
      <c r="F6473" s="355"/>
      <c r="G6473" s="355"/>
      <c r="H6473" s="355"/>
      <c r="I6473" s="355"/>
      <c r="J6473" s="355"/>
      <c r="K6473" s="355"/>
      <c r="L6473" s="355"/>
      <c r="M6473" s="355"/>
    </row>
    <row r="6474" spans="5:13">
      <c r="E6474" s="355"/>
      <c r="F6474" s="355"/>
      <c r="G6474" s="355"/>
      <c r="H6474" s="355"/>
      <c r="I6474" s="355"/>
      <c r="J6474" s="355"/>
      <c r="K6474" s="355"/>
      <c r="L6474" s="355"/>
      <c r="M6474" s="355"/>
    </row>
    <row r="6475" spans="5:13">
      <c r="E6475" s="355"/>
      <c r="F6475" s="355"/>
      <c r="G6475" s="355"/>
      <c r="H6475" s="355"/>
      <c r="I6475" s="355"/>
      <c r="J6475" s="355"/>
      <c r="K6475" s="355"/>
      <c r="L6475" s="355"/>
      <c r="M6475" s="355"/>
    </row>
    <row r="6476" spans="5:13">
      <c r="E6476" s="355"/>
      <c r="F6476" s="355"/>
      <c r="G6476" s="355"/>
      <c r="H6476" s="355"/>
      <c r="I6476" s="355"/>
      <c r="J6476" s="355"/>
      <c r="K6476" s="355"/>
      <c r="L6476" s="355"/>
      <c r="M6476" s="355"/>
    </row>
    <row r="6477" spans="5:13">
      <c r="E6477" s="355"/>
      <c r="F6477" s="355"/>
      <c r="G6477" s="355"/>
      <c r="H6477" s="355"/>
      <c r="I6477" s="355"/>
      <c r="J6477" s="355"/>
      <c r="K6477" s="355"/>
      <c r="L6477" s="355"/>
      <c r="M6477" s="355"/>
    </row>
    <row r="6478" spans="5:13">
      <c r="E6478" s="355"/>
      <c r="F6478" s="355"/>
      <c r="G6478" s="355"/>
      <c r="H6478" s="355"/>
      <c r="I6478" s="355"/>
      <c r="J6478" s="355"/>
      <c r="K6478" s="355"/>
      <c r="L6478" s="355"/>
      <c r="M6478" s="355"/>
    </row>
    <row r="6479" spans="5:13">
      <c r="E6479" s="355"/>
      <c r="F6479" s="355"/>
      <c r="G6479" s="355"/>
      <c r="H6479" s="355"/>
      <c r="I6479" s="355"/>
      <c r="J6479" s="355"/>
      <c r="K6479" s="355"/>
      <c r="L6479" s="355"/>
      <c r="M6479" s="355"/>
    </row>
    <row r="6480" spans="5:13">
      <c r="E6480" s="355"/>
      <c r="F6480" s="355"/>
      <c r="G6480" s="355"/>
      <c r="H6480" s="355"/>
      <c r="I6480" s="355"/>
      <c r="J6480" s="355"/>
      <c r="K6480" s="355"/>
      <c r="L6480" s="355"/>
      <c r="M6480" s="355"/>
    </row>
    <row r="6481" spans="5:13">
      <c r="E6481" s="355"/>
      <c r="F6481" s="355"/>
      <c r="G6481" s="355"/>
      <c r="H6481" s="355"/>
      <c r="I6481" s="355"/>
      <c r="J6481" s="355"/>
      <c r="K6481" s="355"/>
      <c r="L6481" s="355"/>
      <c r="M6481" s="355"/>
    </row>
    <row r="6482" spans="5:13">
      <c r="E6482" s="355"/>
      <c r="F6482" s="355"/>
      <c r="G6482" s="355"/>
      <c r="H6482" s="355"/>
      <c r="I6482" s="355"/>
      <c r="J6482" s="355"/>
      <c r="K6482" s="355"/>
      <c r="L6482" s="355"/>
      <c r="M6482" s="355"/>
    </row>
    <row r="6483" spans="5:13">
      <c r="E6483" s="355"/>
      <c r="F6483" s="355"/>
      <c r="G6483" s="355"/>
      <c r="H6483" s="355"/>
      <c r="I6483" s="355"/>
      <c r="J6483" s="355"/>
      <c r="K6483" s="355"/>
      <c r="L6483" s="355"/>
      <c r="M6483" s="355"/>
    </row>
    <row r="6484" spans="5:13">
      <c r="E6484" s="355"/>
      <c r="F6484" s="355"/>
      <c r="G6484" s="355"/>
      <c r="H6484" s="355"/>
      <c r="I6484" s="355"/>
      <c r="J6484" s="355"/>
      <c r="K6484" s="355"/>
      <c r="L6484" s="355"/>
      <c r="M6484" s="355"/>
    </row>
    <row r="6485" spans="5:13">
      <c r="E6485" s="355"/>
      <c r="F6485" s="355"/>
      <c r="G6485" s="355"/>
      <c r="H6485" s="355"/>
      <c r="I6485" s="355"/>
      <c r="J6485" s="355"/>
      <c r="K6485" s="355"/>
      <c r="L6485" s="355"/>
      <c r="M6485" s="355"/>
    </row>
    <row r="6486" spans="5:13">
      <c r="E6486" s="355"/>
      <c r="F6486" s="355"/>
      <c r="G6486" s="355"/>
      <c r="H6486" s="355"/>
      <c r="I6486" s="355"/>
      <c r="J6486" s="355"/>
      <c r="K6486" s="355"/>
      <c r="L6486" s="355"/>
      <c r="M6486" s="355"/>
    </row>
    <row r="6487" spans="5:13">
      <c r="E6487" s="355"/>
      <c r="F6487" s="355"/>
      <c r="G6487" s="355"/>
      <c r="H6487" s="355"/>
      <c r="I6487" s="355"/>
      <c r="J6487" s="355"/>
      <c r="K6487" s="355"/>
      <c r="L6487" s="355"/>
      <c r="M6487" s="355"/>
    </row>
    <row r="6488" spans="5:13">
      <c r="E6488" s="355"/>
      <c r="F6488" s="355"/>
      <c r="G6488" s="355"/>
      <c r="H6488" s="355"/>
      <c r="I6488" s="355"/>
      <c r="J6488" s="355"/>
      <c r="K6488" s="355"/>
      <c r="L6488" s="355"/>
      <c r="M6488" s="355"/>
    </row>
    <row r="6489" spans="5:13">
      <c r="E6489" s="355"/>
      <c r="F6489" s="355"/>
      <c r="G6489" s="355"/>
      <c r="H6489" s="355"/>
      <c r="I6489" s="355"/>
      <c r="J6489" s="355"/>
      <c r="K6489" s="355"/>
      <c r="L6489" s="355"/>
      <c r="M6489" s="355"/>
    </row>
    <row r="6490" spans="5:13">
      <c r="E6490" s="355"/>
      <c r="F6490" s="355"/>
      <c r="G6490" s="355"/>
      <c r="H6490" s="355"/>
      <c r="I6490" s="355"/>
      <c r="J6490" s="355"/>
      <c r="K6490" s="355"/>
      <c r="L6490" s="355"/>
      <c r="M6490" s="355"/>
    </row>
    <row r="6491" spans="5:13">
      <c r="E6491" s="355"/>
      <c r="F6491" s="355"/>
      <c r="G6491" s="355"/>
      <c r="H6491" s="355"/>
      <c r="I6491" s="355"/>
      <c r="J6491" s="355"/>
      <c r="K6491" s="355"/>
      <c r="L6491" s="355"/>
      <c r="M6491" s="355"/>
    </row>
    <row r="6492" spans="5:13">
      <c r="E6492" s="355"/>
      <c r="F6492" s="355"/>
      <c r="G6492" s="355"/>
      <c r="H6492" s="355"/>
      <c r="I6492" s="355"/>
      <c r="J6492" s="355"/>
      <c r="K6492" s="355"/>
      <c r="L6492" s="355"/>
      <c r="M6492" s="355"/>
    </row>
    <row r="6493" spans="5:13">
      <c r="E6493" s="355"/>
      <c r="F6493" s="355"/>
      <c r="G6493" s="355"/>
      <c r="H6493" s="355"/>
      <c r="I6493" s="355"/>
      <c r="J6493" s="355"/>
      <c r="K6493" s="355"/>
      <c r="L6493" s="355"/>
      <c r="M6493" s="355"/>
    </row>
    <row r="6494" spans="5:13">
      <c r="E6494" s="355"/>
      <c r="F6494" s="355"/>
      <c r="G6494" s="355"/>
      <c r="H6494" s="355"/>
      <c r="I6494" s="355"/>
      <c r="J6494" s="355"/>
      <c r="K6494" s="355"/>
      <c r="L6494" s="355"/>
      <c r="M6494" s="355"/>
    </row>
    <row r="6495" spans="5:13">
      <c r="E6495" s="355"/>
      <c r="F6495" s="355"/>
      <c r="G6495" s="355"/>
      <c r="H6495" s="355"/>
      <c r="I6495" s="355"/>
      <c r="J6495" s="355"/>
      <c r="K6495" s="355"/>
      <c r="L6495" s="355"/>
      <c r="M6495" s="355"/>
    </row>
    <row r="6496" spans="5:13">
      <c r="E6496" s="355"/>
      <c r="F6496" s="355"/>
      <c r="G6496" s="355"/>
      <c r="H6496" s="355"/>
      <c r="I6496" s="355"/>
      <c r="J6496" s="355"/>
      <c r="K6496" s="355"/>
      <c r="L6496" s="355"/>
      <c r="M6496" s="355"/>
    </row>
    <row r="6497" spans="5:13">
      <c r="E6497" s="355"/>
      <c r="F6497" s="355"/>
      <c r="G6497" s="355"/>
      <c r="H6497" s="355"/>
      <c r="I6497" s="355"/>
      <c r="J6497" s="355"/>
      <c r="K6497" s="355"/>
      <c r="L6497" s="355"/>
      <c r="M6497" s="355"/>
    </row>
    <row r="6498" spans="5:13">
      <c r="E6498" s="355"/>
      <c r="F6498" s="355"/>
      <c r="G6498" s="355"/>
      <c r="H6498" s="355"/>
      <c r="I6498" s="355"/>
      <c r="J6498" s="355"/>
      <c r="K6498" s="355"/>
      <c r="L6498" s="355"/>
      <c r="M6498" s="355"/>
    </row>
    <row r="6499" spans="5:13">
      <c r="E6499" s="355"/>
      <c r="F6499" s="355"/>
      <c r="G6499" s="355"/>
      <c r="H6499" s="355"/>
      <c r="I6499" s="355"/>
      <c r="J6499" s="355"/>
      <c r="K6499" s="355"/>
      <c r="L6499" s="355"/>
      <c r="M6499" s="355"/>
    </row>
    <row r="6500" spans="5:13">
      <c r="E6500" s="355"/>
      <c r="F6500" s="355"/>
      <c r="G6500" s="355"/>
      <c r="H6500" s="355"/>
      <c r="I6500" s="355"/>
      <c r="J6500" s="355"/>
      <c r="K6500" s="355"/>
      <c r="L6500" s="355"/>
      <c r="M6500" s="355"/>
    </row>
    <row r="6501" spans="5:13">
      <c r="E6501" s="355"/>
      <c r="F6501" s="355"/>
      <c r="G6501" s="355"/>
      <c r="H6501" s="355"/>
      <c r="I6501" s="355"/>
      <c r="J6501" s="355"/>
      <c r="K6501" s="355"/>
      <c r="L6501" s="355"/>
      <c r="M6501" s="355"/>
    </row>
    <row r="6502" spans="5:13">
      <c r="E6502" s="355"/>
      <c r="F6502" s="355"/>
      <c r="G6502" s="355"/>
      <c r="H6502" s="355"/>
      <c r="I6502" s="355"/>
      <c r="J6502" s="355"/>
      <c r="K6502" s="355"/>
      <c r="L6502" s="355"/>
      <c r="M6502" s="355"/>
    </row>
    <row r="6503" spans="5:13">
      <c r="E6503" s="355"/>
      <c r="F6503" s="355"/>
      <c r="G6503" s="355"/>
      <c r="H6503" s="355"/>
      <c r="I6503" s="355"/>
      <c r="J6503" s="355"/>
      <c r="K6503" s="355"/>
      <c r="L6503" s="355"/>
      <c r="M6503" s="355"/>
    </row>
    <row r="6504" spans="5:13">
      <c r="E6504" s="355"/>
      <c r="F6504" s="355"/>
      <c r="G6504" s="355"/>
      <c r="H6504" s="355"/>
      <c r="I6504" s="355"/>
      <c r="J6504" s="355"/>
      <c r="K6504" s="355"/>
      <c r="L6504" s="355"/>
      <c r="M6504" s="355"/>
    </row>
    <row r="6505" spans="5:13">
      <c r="E6505" s="355"/>
      <c r="F6505" s="355"/>
      <c r="G6505" s="355"/>
      <c r="H6505" s="355"/>
      <c r="I6505" s="355"/>
      <c r="J6505" s="355"/>
      <c r="K6505" s="355"/>
      <c r="L6505" s="355"/>
      <c r="M6505" s="355"/>
    </row>
    <row r="6506" spans="5:13">
      <c r="E6506" s="355"/>
      <c r="F6506" s="355"/>
      <c r="G6506" s="355"/>
      <c r="H6506" s="355"/>
      <c r="I6506" s="355"/>
      <c r="J6506" s="355"/>
      <c r="K6506" s="355"/>
      <c r="L6506" s="355"/>
      <c r="M6506" s="355"/>
    </row>
    <row r="6507" spans="5:13">
      <c r="E6507" s="355"/>
      <c r="F6507" s="355"/>
      <c r="G6507" s="355"/>
      <c r="H6507" s="355"/>
      <c r="I6507" s="355"/>
      <c r="J6507" s="355"/>
      <c r="K6507" s="355"/>
      <c r="L6507" s="355"/>
      <c r="M6507" s="355"/>
    </row>
    <row r="6508" spans="5:13">
      <c r="E6508" s="355"/>
      <c r="F6508" s="355"/>
      <c r="G6508" s="355"/>
      <c r="H6508" s="355"/>
      <c r="I6508" s="355"/>
      <c r="J6508" s="355"/>
      <c r="K6508" s="355"/>
      <c r="L6508" s="355"/>
      <c r="M6508" s="355"/>
    </row>
    <row r="6509" spans="5:13">
      <c r="E6509" s="355"/>
      <c r="F6509" s="355"/>
      <c r="G6509" s="355"/>
      <c r="H6509" s="355"/>
      <c r="I6509" s="355"/>
      <c r="J6509" s="355"/>
      <c r="K6509" s="355"/>
      <c r="L6509" s="355"/>
      <c r="M6509" s="355"/>
    </row>
    <row r="6510" spans="5:13">
      <c r="E6510" s="355"/>
      <c r="F6510" s="355"/>
      <c r="G6510" s="355"/>
      <c r="H6510" s="355"/>
      <c r="I6510" s="355"/>
      <c r="J6510" s="355"/>
      <c r="K6510" s="355"/>
      <c r="L6510" s="355"/>
      <c r="M6510" s="355"/>
    </row>
    <row r="6511" spans="5:13">
      <c r="E6511" s="355"/>
      <c r="F6511" s="355"/>
      <c r="G6511" s="355"/>
      <c r="H6511" s="355"/>
      <c r="I6511" s="355"/>
      <c r="J6511" s="355"/>
      <c r="K6511" s="355"/>
      <c r="L6511" s="355"/>
      <c r="M6511" s="355"/>
    </row>
    <row r="6512" spans="5:13">
      <c r="E6512" s="355"/>
      <c r="F6512" s="355"/>
      <c r="G6512" s="355"/>
      <c r="H6512" s="355"/>
      <c r="I6512" s="355"/>
      <c r="J6512" s="355"/>
      <c r="K6512" s="355"/>
      <c r="L6512" s="355"/>
      <c r="M6512" s="355"/>
    </row>
    <row r="6513" spans="5:13">
      <c r="E6513" s="355"/>
      <c r="F6513" s="355"/>
      <c r="G6513" s="355"/>
      <c r="H6513" s="355"/>
      <c r="I6513" s="355"/>
      <c r="J6513" s="355"/>
      <c r="K6513" s="355"/>
      <c r="L6513" s="355"/>
      <c r="M6513" s="355"/>
    </row>
    <row r="6514" spans="5:13">
      <c r="E6514" s="355"/>
      <c r="F6514" s="355"/>
      <c r="G6514" s="355"/>
      <c r="H6514" s="355"/>
      <c r="I6514" s="355"/>
      <c r="J6514" s="355"/>
      <c r="K6514" s="355"/>
      <c r="L6514" s="355"/>
      <c r="M6514" s="355"/>
    </row>
    <row r="6515" spans="5:13">
      <c r="E6515" s="355"/>
      <c r="F6515" s="355"/>
      <c r="G6515" s="355"/>
      <c r="H6515" s="355"/>
      <c r="I6515" s="355"/>
      <c r="J6515" s="355"/>
      <c r="K6515" s="355"/>
      <c r="L6515" s="355"/>
      <c r="M6515" s="355"/>
    </row>
    <row r="6516" spans="5:13">
      <c r="E6516" s="355"/>
      <c r="F6516" s="355"/>
      <c r="G6516" s="355"/>
      <c r="H6516" s="355"/>
      <c r="I6516" s="355"/>
      <c r="J6516" s="355"/>
      <c r="K6516" s="355"/>
      <c r="L6516" s="355"/>
      <c r="M6516" s="355"/>
    </row>
    <row r="6517" spans="5:13">
      <c r="E6517" s="355"/>
      <c r="F6517" s="355"/>
      <c r="G6517" s="355"/>
      <c r="H6517" s="355"/>
      <c r="I6517" s="355"/>
      <c r="J6517" s="355"/>
      <c r="K6517" s="355"/>
      <c r="L6517" s="355"/>
      <c r="M6517" s="355"/>
    </row>
    <row r="6518" spans="5:13">
      <c r="E6518" s="355"/>
      <c r="F6518" s="355"/>
      <c r="G6518" s="355"/>
      <c r="H6518" s="355"/>
      <c r="I6518" s="355"/>
      <c r="J6518" s="355"/>
      <c r="K6518" s="355"/>
      <c r="L6518" s="355"/>
      <c r="M6518" s="355"/>
    </row>
    <row r="6519" spans="5:13">
      <c r="E6519" s="355"/>
      <c r="F6519" s="355"/>
      <c r="G6519" s="355"/>
      <c r="H6519" s="355"/>
      <c r="I6519" s="355"/>
      <c r="J6519" s="355"/>
      <c r="K6519" s="355"/>
      <c r="L6519" s="355"/>
      <c r="M6519" s="355"/>
    </row>
    <row r="6520" spans="5:13">
      <c r="E6520" s="355"/>
      <c r="F6520" s="355"/>
      <c r="G6520" s="355"/>
      <c r="H6520" s="355"/>
      <c r="I6520" s="355"/>
      <c r="J6520" s="355"/>
      <c r="K6520" s="355"/>
      <c r="L6520" s="355"/>
      <c r="M6520" s="355"/>
    </row>
    <row r="6521" spans="5:13">
      <c r="E6521" s="355"/>
      <c r="F6521" s="355"/>
      <c r="G6521" s="355"/>
      <c r="H6521" s="355"/>
      <c r="I6521" s="355"/>
      <c r="J6521" s="355"/>
      <c r="K6521" s="355"/>
      <c r="L6521" s="355"/>
      <c r="M6521" s="355"/>
    </row>
    <row r="6522" spans="5:13">
      <c r="E6522" s="355"/>
      <c r="F6522" s="355"/>
      <c r="G6522" s="355"/>
      <c r="H6522" s="355"/>
      <c r="I6522" s="355"/>
      <c r="J6522" s="355"/>
      <c r="K6522" s="355"/>
      <c r="L6522" s="355"/>
      <c r="M6522" s="355"/>
    </row>
    <row r="6523" spans="5:13">
      <c r="E6523" s="355"/>
      <c r="F6523" s="355"/>
      <c r="G6523" s="355"/>
      <c r="H6523" s="355"/>
      <c r="I6523" s="355"/>
      <c r="J6523" s="355"/>
      <c r="K6523" s="355"/>
      <c r="L6523" s="355"/>
      <c r="M6523" s="355"/>
    </row>
    <row r="6524" spans="5:13">
      <c r="E6524" s="355"/>
      <c r="F6524" s="355"/>
      <c r="G6524" s="355"/>
      <c r="H6524" s="355"/>
      <c r="I6524" s="355"/>
      <c r="J6524" s="355"/>
      <c r="K6524" s="355"/>
      <c r="L6524" s="355"/>
      <c r="M6524" s="355"/>
    </row>
    <row r="6525" spans="5:13">
      <c r="E6525" s="355"/>
      <c r="F6525" s="355"/>
      <c r="G6525" s="355"/>
      <c r="H6525" s="355"/>
      <c r="I6525" s="355"/>
      <c r="J6525" s="355"/>
      <c r="K6525" s="355"/>
      <c r="L6525" s="355"/>
      <c r="M6525" s="355"/>
    </row>
    <row r="6526" spans="5:13">
      <c r="E6526" s="355"/>
      <c r="F6526" s="355"/>
      <c r="G6526" s="355"/>
      <c r="H6526" s="355"/>
      <c r="I6526" s="355"/>
      <c r="J6526" s="355"/>
      <c r="K6526" s="355"/>
      <c r="L6526" s="355"/>
      <c r="M6526" s="355"/>
    </row>
    <row r="6527" spans="5:13">
      <c r="E6527" s="355"/>
      <c r="F6527" s="355"/>
      <c r="G6527" s="355"/>
      <c r="H6527" s="355"/>
      <c r="I6527" s="355"/>
      <c r="J6527" s="355"/>
      <c r="K6527" s="355"/>
      <c r="L6527" s="355"/>
      <c r="M6527" s="355"/>
    </row>
    <row r="6528" spans="5:13">
      <c r="E6528" s="355"/>
      <c r="F6528" s="355"/>
      <c r="G6528" s="355"/>
      <c r="H6528" s="355"/>
      <c r="I6528" s="355"/>
      <c r="J6528" s="355"/>
      <c r="K6528" s="355"/>
      <c r="L6528" s="355"/>
      <c r="M6528" s="355"/>
    </row>
    <row r="6529" spans="5:13">
      <c r="E6529" s="355"/>
      <c r="F6529" s="355"/>
      <c r="G6529" s="355"/>
      <c r="H6529" s="355"/>
      <c r="I6529" s="355"/>
      <c r="J6529" s="355"/>
      <c r="K6529" s="355"/>
      <c r="L6529" s="355"/>
      <c r="M6529" s="355"/>
    </row>
    <row r="6530" spans="5:13">
      <c r="E6530" s="355"/>
      <c r="F6530" s="355"/>
      <c r="G6530" s="355"/>
      <c r="H6530" s="355"/>
      <c r="I6530" s="355"/>
      <c r="J6530" s="355"/>
      <c r="K6530" s="355"/>
      <c r="L6530" s="355"/>
      <c r="M6530" s="355"/>
    </row>
    <row r="6531" spans="5:13">
      <c r="E6531" s="355"/>
      <c r="F6531" s="355"/>
      <c r="G6531" s="355"/>
      <c r="H6531" s="355"/>
      <c r="I6531" s="355"/>
      <c r="J6531" s="355"/>
      <c r="K6531" s="355"/>
      <c r="L6531" s="355"/>
      <c r="M6531" s="355"/>
    </row>
    <row r="6532" spans="5:13">
      <c r="E6532" s="355"/>
      <c r="F6532" s="355"/>
      <c r="G6532" s="355"/>
      <c r="H6532" s="355"/>
      <c r="I6532" s="355"/>
      <c r="J6532" s="355"/>
      <c r="K6532" s="355"/>
      <c r="L6532" s="355"/>
      <c r="M6532" s="355"/>
    </row>
    <row r="6533" spans="5:13">
      <c r="E6533" s="355"/>
      <c r="F6533" s="355"/>
      <c r="G6533" s="355"/>
      <c r="H6533" s="355"/>
      <c r="I6533" s="355"/>
      <c r="J6533" s="355"/>
      <c r="K6533" s="355"/>
      <c r="L6533" s="355"/>
      <c r="M6533" s="355"/>
    </row>
    <row r="6534" spans="5:13">
      <c r="E6534" s="355"/>
      <c r="F6534" s="355"/>
      <c r="G6534" s="355"/>
      <c r="H6534" s="355"/>
      <c r="I6534" s="355"/>
      <c r="J6534" s="355"/>
      <c r="K6534" s="355"/>
      <c r="L6534" s="355"/>
      <c r="M6534" s="355"/>
    </row>
    <row r="6535" spans="5:13">
      <c r="E6535" s="355"/>
      <c r="F6535" s="355"/>
      <c r="G6535" s="355"/>
      <c r="H6535" s="355"/>
      <c r="I6535" s="355"/>
      <c r="J6535" s="355"/>
      <c r="K6535" s="355"/>
      <c r="L6535" s="355"/>
      <c r="M6535" s="355"/>
    </row>
    <row r="6536" spans="5:13">
      <c r="E6536" s="355"/>
      <c r="F6536" s="355"/>
      <c r="G6536" s="355"/>
      <c r="H6536" s="355"/>
      <c r="I6536" s="355"/>
      <c r="J6536" s="355"/>
      <c r="K6536" s="355"/>
      <c r="L6536" s="355"/>
      <c r="M6536" s="355"/>
    </row>
    <row r="6537" spans="5:13">
      <c r="E6537" s="355"/>
      <c r="F6537" s="355"/>
      <c r="G6537" s="355"/>
      <c r="H6537" s="355"/>
      <c r="I6537" s="355"/>
      <c r="J6537" s="355"/>
      <c r="K6537" s="355"/>
      <c r="L6537" s="355"/>
      <c r="M6537" s="355"/>
    </row>
    <row r="6538" spans="5:13">
      <c r="E6538" s="355"/>
      <c r="F6538" s="355"/>
      <c r="G6538" s="355"/>
      <c r="H6538" s="355"/>
      <c r="I6538" s="355"/>
      <c r="J6538" s="355"/>
      <c r="K6538" s="355"/>
      <c r="L6538" s="355"/>
      <c r="M6538" s="355"/>
    </row>
    <row r="6539" spans="5:13">
      <c r="E6539" s="355"/>
      <c r="F6539" s="355"/>
      <c r="G6539" s="355"/>
      <c r="H6539" s="355"/>
      <c r="I6539" s="355"/>
      <c r="J6539" s="355"/>
      <c r="K6539" s="355"/>
      <c r="L6539" s="355"/>
      <c r="M6539" s="355"/>
    </row>
    <row r="6540" spans="5:13">
      <c r="E6540" s="355"/>
      <c r="F6540" s="355"/>
      <c r="G6540" s="355"/>
      <c r="H6540" s="355"/>
      <c r="I6540" s="355"/>
      <c r="J6540" s="355"/>
      <c r="K6540" s="355"/>
      <c r="L6540" s="355"/>
      <c r="M6540" s="355"/>
    </row>
    <row r="6541" spans="5:13">
      <c r="E6541" s="355"/>
      <c r="F6541" s="355"/>
      <c r="G6541" s="355"/>
      <c r="H6541" s="355"/>
      <c r="I6541" s="355"/>
      <c r="J6541" s="355"/>
      <c r="K6541" s="355"/>
      <c r="L6541" s="355"/>
      <c r="M6541" s="355"/>
    </row>
    <row r="6542" spans="5:13">
      <c r="E6542" s="355"/>
      <c r="F6542" s="355"/>
      <c r="G6542" s="355"/>
      <c r="H6542" s="355"/>
      <c r="I6542" s="355"/>
      <c r="J6542" s="355"/>
      <c r="K6542" s="355"/>
      <c r="L6542" s="355"/>
      <c r="M6542" s="355"/>
    </row>
    <row r="6543" spans="5:13">
      <c r="E6543" s="355"/>
      <c r="F6543" s="355"/>
      <c r="G6543" s="355"/>
      <c r="H6543" s="355"/>
      <c r="I6543" s="355"/>
      <c r="J6543" s="355"/>
      <c r="K6543" s="355"/>
      <c r="L6543" s="355"/>
      <c r="M6543" s="355"/>
    </row>
    <row r="6544" spans="5:13">
      <c r="E6544" s="355"/>
      <c r="F6544" s="355"/>
      <c r="G6544" s="355"/>
      <c r="H6544" s="355"/>
      <c r="I6544" s="355"/>
      <c r="J6544" s="355"/>
      <c r="K6544" s="355"/>
      <c r="L6544" s="355"/>
      <c r="M6544" s="355"/>
    </row>
    <row r="6545" spans="5:13">
      <c r="E6545" s="355"/>
      <c r="F6545" s="355"/>
      <c r="G6545" s="355"/>
      <c r="H6545" s="355"/>
      <c r="I6545" s="355"/>
      <c r="J6545" s="355"/>
      <c r="K6545" s="355"/>
      <c r="L6545" s="355"/>
      <c r="M6545" s="355"/>
    </row>
    <row r="6546" spans="5:13">
      <c r="E6546" s="355"/>
      <c r="F6546" s="355"/>
      <c r="G6546" s="355"/>
      <c r="H6546" s="355"/>
      <c r="I6546" s="355"/>
      <c r="J6546" s="355"/>
      <c r="K6546" s="355"/>
      <c r="L6546" s="355"/>
      <c r="M6546" s="355"/>
    </row>
    <row r="6547" spans="5:13">
      <c r="E6547" s="355"/>
      <c r="F6547" s="355"/>
      <c r="G6547" s="355"/>
      <c r="H6547" s="355"/>
      <c r="I6547" s="355"/>
      <c r="J6547" s="355"/>
      <c r="K6547" s="355"/>
      <c r="L6547" s="355"/>
      <c r="M6547" s="355"/>
    </row>
    <row r="6548" spans="5:13">
      <c r="E6548" s="355"/>
      <c r="F6548" s="355"/>
      <c r="G6548" s="355"/>
      <c r="H6548" s="355"/>
      <c r="I6548" s="355"/>
      <c r="J6548" s="355"/>
      <c r="K6548" s="355"/>
      <c r="L6548" s="355"/>
      <c r="M6548" s="355"/>
    </row>
    <row r="6549" spans="5:13">
      <c r="E6549" s="355"/>
      <c r="F6549" s="355"/>
      <c r="G6549" s="355"/>
      <c r="H6549" s="355"/>
      <c r="I6549" s="355"/>
      <c r="J6549" s="355"/>
      <c r="K6549" s="355"/>
      <c r="L6549" s="355"/>
      <c r="M6549" s="355"/>
    </row>
    <row r="6550" spans="5:13">
      <c r="E6550" s="355"/>
      <c r="F6550" s="355"/>
      <c r="G6550" s="355"/>
      <c r="H6550" s="355"/>
      <c r="I6550" s="355"/>
      <c r="J6550" s="355"/>
      <c r="K6550" s="355"/>
      <c r="L6550" s="355"/>
      <c r="M6550" s="355"/>
    </row>
    <row r="6551" spans="5:13">
      <c r="E6551" s="355"/>
      <c r="F6551" s="355"/>
      <c r="G6551" s="355"/>
      <c r="H6551" s="355"/>
      <c r="I6551" s="355"/>
      <c r="J6551" s="355"/>
      <c r="K6551" s="355"/>
      <c r="L6551" s="355"/>
      <c r="M6551" s="355"/>
    </row>
    <row r="6552" spans="5:13">
      <c r="E6552" s="355"/>
      <c r="F6552" s="355"/>
      <c r="G6552" s="355"/>
      <c r="H6552" s="355"/>
      <c r="I6552" s="355"/>
      <c r="J6552" s="355"/>
      <c r="K6552" s="355"/>
      <c r="L6552" s="355"/>
      <c r="M6552" s="355"/>
    </row>
    <row r="6553" spans="5:13">
      <c r="E6553" s="355"/>
      <c r="F6553" s="355"/>
      <c r="G6553" s="355"/>
      <c r="H6553" s="355"/>
      <c r="I6553" s="355"/>
      <c r="J6553" s="355"/>
      <c r="K6553" s="355"/>
      <c r="L6553" s="355"/>
      <c r="M6553" s="355"/>
    </row>
    <row r="6554" spans="5:13">
      <c r="E6554" s="355"/>
      <c r="F6554" s="355"/>
      <c r="G6554" s="355"/>
      <c r="H6554" s="355"/>
      <c r="I6554" s="355"/>
      <c r="J6554" s="355"/>
      <c r="K6554" s="355"/>
      <c r="L6554" s="355"/>
      <c r="M6554" s="355"/>
    </row>
    <row r="6555" spans="5:13">
      <c r="E6555" s="355"/>
      <c r="F6555" s="355"/>
      <c r="G6555" s="355"/>
      <c r="H6555" s="355"/>
      <c r="I6555" s="355"/>
      <c r="J6555" s="355"/>
      <c r="K6555" s="355"/>
      <c r="L6555" s="355"/>
      <c r="M6555" s="355"/>
    </row>
    <row r="6556" spans="5:13">
      <c r="E6556" s="355"/>
      <c r="F6556" s="355"/>
      <c r="G6556" s="355"/>
      <c r="H6556" s="355"/>
      <c r="I6556" s="355"/>
      <c r="J6556" s="355"/>
      <c r="K6556" s="355"/>
      <c r="L6556" s="355"/>
      <c r="M6556" s="355"/>
    </row>
    <row r="6557" spans="5:13">
      <c r="E6557" s="355"/>
      <c r="F6557" s="355"/>
      <c r="G6557" s="355"/>
      <c r="H6557" s="355"/>
      <c r="I6557" s="355"/>
      <c r="J6557" s="355"/>
      <c r="K6557" s="355"/>
      <c r="L6557" s="355"/>
      <c r="M6557" s="355"/>
    </row>
    <row r="6558" spans="5:13">
      <c r="E6558" s="355"/>
      <c r="F6558" s="355"/>
      <c r="G6558" s="355"/>
      <c r="H6558" s="355"/>
      <c r="I6558" s="355"/>
      <c r="J6558" s="355"/>
      <c r="K6558" s="355"/>
      <c r="L6558" s="355"/>
      <c r="M6558" s="355"/>
    </row>
    <row r="6559" spans="5:13">
      <c r="E6559" s="355"/>
      <c r="F6559" s="355"/>
      <c r="G6559" s="355"/>
      <c r="H6559" s="355"/>
      <c r="I6559" s="355"/>
      <c r="J6559" s="355"/>
      <c r="K6559" s="355"/>
      <c r="L6559" s="355"/>
      <c r="M6559" s="355"/>
    </row>
    <row r="6560" spans="5:13">
      <c r="E6560" s="355"/>
      <c r="F6560" s="355"/>
      <c r="G6560" s="355"/>
      <c r="H6560" s="355"/>
      <c r="I6560" s="355"/>
      <c r="J6560" s="355"/>
      <c r="K6560" s="355"/>
      <c r="L6560" s="355"/>
      <c r="M6560" s="355"/>
    </row>
    <row r="6561" spans="5:13">
      <c r="E6561" s="355"/>
      <c r="F6561" s="355"/>
      <c r="G6561" s="355"/>
      <c r="H6561" s="355"/>
      <c r="I6561" s="355"/>
      <c r="J6561" s="355"/>
      <c r="K6561" s="355"/>
      <c r="L6561" s="355"/>
      <c r="M6561" s="355"/>
    </row>
    <row r="6562" spans="5:13">
      <c r="E6562" s="355"/>
      <c r="F6562" s="355"/>
      <c r="G6562" s="355"/>
      <c r="H6562" s="355"/>
      <c r="I6562" s="355"/>
      <c r="J6562" s="355"/>
      <c r="K6562" s="355"/>
      <c r="L6562" s="355"/>
      <c r="M6562" s="355"/>
    </row>
    <row r="6563" spans="5:13">
      <c r="E6563" s="355"/>
      <c r="F6563" s="355"/>
      <c r="G6563" s="355"/>
      <c r="H6563" s="355"/>
      <c r="I6563" s="355"/>
      <c r="J6563" s="355"/>
      <c r="K6563" s="355"/>
      <c r="L6563" s="355"/>
      <c r="M6563" s="355"/>
    </row>
    <row r="6564" spans="5:13">
      <c r="E6564" s="355"/>
      <c r="F6564" s="355"/>
      <c r="G6564" s="355"/>
      <c r="H6564" s="355"/>
      <c r="I6564" s="355"/>
      <c r="J6564" s="355"/>
      <c r="K6564" s="355"/>
      <c r="L6564" s="355"/>
      <c r="M6564" s="355"/>
    </row>
    <row r="6565" spans="5:13">
      <c r="E6565" s="355"/>
      <c r="F6565" s="355"/>
      <c r="G6565" s="355"/>
      <c r="H6565" s="355"/>
      <c r="I6565" s="355"/>
      <c r="J6565" s="355"/>
      <c r="K6565" s="355"/>
      <c r="L6565" s="355"/>
      <c r="M6565" s="355"/>
    </row>
    <row r="6566" spans="5:13">
      <c r="E6566" s="355"/>
      <c r="F6566" s="355"/>
      <c r="G6566" s="355"/>
      <c r="H6566" s="355"/>
      <c r="I6566" s="355"/>
      <c r="J6566" s="355"/>
      <c r="K6566" s="355"/>
      <c r="L6566" s="355"/>
      <c r="M6566" s="355"/>
    </row>
    <row r="6567" spans="5:13">
      <c r="E6567" s="355"/>
      <c r="F6567" s="355"/>
      <c r="G6567" s="355"/>
      <c r="H6567" s="355"/>
      <c r="I6567" s="355"/>
      <c r="J6567" s="355"/>
      <c r="K6567" s="355"/>
      <c r="L6567" s="355"/>
      <c r="M6567" s="355"/>
    </row>
    <row r="6568" spans="5:13">
      <c r="E6568" s="355"/>
      <c r="F6568" s="355"/>
      <c r="G6568" s="355"/>
      <c r="H6568" s="355"/>
      <c r="I6568" s="355"/>
      <c r="J6568" s="355"/>
      <c r="K6568" s="355"/>
      <c r="L6568" s="355"/>
      <c r="M6568" s="355"/>
    </row>
    <row r="6569" spans="5:13">
      <c r="E6569" s="355"/>
      <c r="F6569" s="355"/>
      <c r="G6569" s="355"/>
      <c r="H6569" s="355"/>
      <c r="I6569" s="355"/>
      <c r="J6569" s="355"/>
      <c r="K6569" s="355"/>
      <c r="L6569" s="355"/>
      <c r="M6569" s="355"/>
    </row>
    <row r="6570" spans="5:13">
      <c r="E6570" s="355"/>
      <c r="F6570" s="355"/>
      <c r="G6570" s="355"/>
      <c r="H6570" s="355"/>
      <c r="I6570" s="355"/>
      <c r="J6570" s="355"/>
      <c r="K6570" s="355"/>
      <c r="L6570" s="355"/>
      <c r="M6570" s="355"/>
    </row>
    <row r="6571" spans="5:13">
      <c r="E6571" s="355"/>
      <c r="F6571" s="355"/>
      <c r="G6571" s="355"/>
      <c r="H6571" s="355"/>
      <c r="I6571" s="355"/>
      <c r="J6571" s="355"/>
      <c r="K6571" s="355"/>
      <c r="L6571" s="355"/>
      <c r="M6571" s="355"/>
    </row>
    <row r="6572" spans="5:13">
      <c r="E6572" s="355"/>
      <c r="F6572" s="355"/>
      <c r="G6572" s="355"/>
      <c r="H6572" s="355"/>
      <c r="I6572" s="355"/>
      <c r="J6572" s="355"/>
      <c r="K6572" s="355"/>
      <c r="L6572" s="355"/>
      <c r="M6572" s="355"/>
    </row>
    <row r="6573" spans="5:13">
      <c r="E6573" s="355"/>
      <c r="F6573" s="355"/>
      <c r="G6573" s="355"/>
      <c r="H6573" s="355"/>
      <c r="I6573" s="355"/>
      <c r="J6573" s="355"/>
      <c r="K6573" s="355"/>
      <c r="L6573" s="355"/>
      <c r="M6573" s="355"/>
    </row>
    <row r="6574" spans="5:13">
      <c r="E6574" s="355"/>
      <c r="F6574" s="355"/>
      <c r="G6574" s="355"/>
      <c r="H6574" s="355"/>
      <c r="I6574" s="355"/>
      <c r="J6574" s="355"/>
      <c r="K6574" s="355"/>
      <c r="L6574" s="355"/>
      <c r="M6574" s="355"/>
    </row>
    <row r="6575" spans="5:13">
      <c r="E6575" s="355"/>
      <c r="F6575" s="355"/>
      <c r="G6575" s="355"/>
      <c r="H6575" s="355"/>
      <c r="I6575" s="355"/>
      <c r="J6575" s="355"/>
      <c r="K6575" s="355"/>
      <c r="L6575" s="355"/>
      <c r="M6575" s="355"/>
    </row>
    <row r="6576" spans="5:13">
      <c r="E6576" s="355"/>
      <c r="F6576" s="355"/>
      <c r="G6576" s="355"/>
      <c r="H6576" s="355"/>
      <c r="I6576" s="355"/>
      <c r="J6576" s="355"/>
      <c r="K6576" s="355"/>
      <c r="L6576" s="355"/>
      <c r="M6576" s="355"/>
    </row>
    <row r="6577" spans="5:13">
      <c r="E6577" s="355"/>
      <c r="F6577" s="355"/>
      <c r="G6577" s="355"/>
      <c r="H6577" s="355"/>
      <c r="I6577" s="355"/>
      <c r="J6577" s="355"/>
      <c r="K6577" s="355"/>
      <c r="L6577" s="355"/>
      <c r="M6577" s="355"/>
    </row>
    <row r="6578" spans="5:13">
      <c r="E6578" s="355"/>
      <c r="F6578" s="355"/>
      <c r="G6578" s="355"/>
      <c r="H6578" s="355"/>
      <c r="I6578" s="355"/>
      <c r="J6578" s="355"/>
      <c r="K6578" s="355"/>
      <c r="L6578" s="355"/>
      <c r="M6578" s="355"/>
    </row>
    <row r="6579" spans="5:13">
      <c r="E6579" s="355"/>
      <c r="F6579" s="355"/>
      <c r="G6579" s="355"/>
      <c r="H6579" s="355"/>
      <c r="I6579" s="355"/>
      <c r="J6579" s="355"/>
      <c r="K6579" s="355"/>
      <c r="L6579" s="355"/>
      <c r="M6579" s="355"/>
    </row>
    <row r="6580" spans="5:13">
      <c r="E6580" s="355"/>
      <c r="F6580" s="355"/>
      <c r="G6580" s="355"/>
      <c r="H6580" s="355"/>
      <c r="I6580" s="355"/>
      <c r="J6580" s="355"/>
      <c r="K6580" s="355"/>
      <c r="L6580" s="355"/>
      <c r="M6580" s="355"/>
    </row>
    <row r="6581" spans="5:13">
      <c r="E6581" s="355"/>
      <c r="F6581" s="355"/>
      <c r="G6581" s="355"/>
      <c r="H6581" s="355"/>
      <c r="I6581" s="355"/>
      <c r="J6581" s="355"/>
      <c r="K6581" s="355"/>
      <c r="L6581" s="355"/>
      <c r="M6581" s="355"/>
    </row>
    <row r="6582" spans="5:13">
      <c r="E6582" s="355"/>
      <c r="F6582" s="355"/>
      <c r="G6582" s="355"/>
      <c r="H6582" s="355"/>
      <c r="I6582" s="355"/>
      <c r="J6582" s="355"/>
      <c r="K6582" s="355"/>
      <c r="L6582" s="355"/>
      <c r="M6582" s="355"/>
    </row>
    <row r="6583" spans="5:13">
      <c r="E6583" s="355"/>
      <c r="F6583" s="355"/>
      <c r="G6583" s="355"/>
      <c r="H6583" s="355"/>
      <c r="I6583" s="355"/>
      <c r="J6583" s="355"/>
      <c r="K6583" s="355"/>
      <c r="L6583" s="355"/>
      <c r="M6583" s="355"/>
    </row>
    <row r="6584" spans="5:13">
      <c r="E6584" s="355"/>
      <c r="F6584" s="355"/>
      <c r="G6584" s="355"/>
      <c r="H6584" s="355"/>
      <c r="I6584" s="355"/>
      <c r="J6584" s="355"/>
      <c r="K6584" s="355"/>
      <c r="L6584" s="355"/>
      <c r="M6584" s="355"/>
    </row>
    <row r="6585" spans="5:13">
      <c r="E6585" s="355"/>
      <c r="F6585" s="355"/>
      <c r="G6585" s="355"/>
      <c r="H6585" s="355"/>
      <c r="I6585" s="355"/>
      <c r="J6585" s="355"/>
      <c r="K6585" s="355"/>
      <c r="L6585" s="355"/>
      <c r="M6585" s="355"/>
    </row>
    <row r="6586" spans="5:13">
      <c r="E6586" s="355"/>
      <c r="F6586" s="355"/>
      <c r="G6586" s="355"/>
      <c r="H6586" s="355"/>
      <c r="I6586" s="355"/>
      <c r="J6586" s="355"/>
      <c r="K6586" s="355"/>
      <c r="L6586" s="355"/>
      <c r="M6586" s="355"/>
    </row>
    <row r="6587" spans="5:13">
      <c r="E6587" s="355"/>
      <c r="F6587" s="355"/>
      <c r="G6587" s="355"/>
      <c r="H6587" s="355"/>
      <c r="I6587" s="355"/>
      <c r="J6587" s="355"/>
      <c r="K6587" s="355"/>
      <c r="L6587" s="355"/>
      <c r="M6587" s="355"/>
    </row>
    <row r="6588" spans="5:13">
      <c r="E6588" s="355"/>
      <c r="F6588" s="355"/>
      <c r="G6588" s="355"/>
      <c r="H6588" s="355"/>
      <c r="I6588" s="355"/>
      <c r="J6588" s="355"/>
      <c r="K6588" s="355"/>
      <c r="L6588" s="355"/>
      <c r="M6588" s="355"/>
    </row>
    <row r="6589" spans="5:13">
      <c r="E6589" s="355"/>
      <c r="F6589" s="355"/>
      <c r="G6589" s="355"/>
      <c r="H6589" s="355"/>
      <c r="I6589" s="355"/>
      <c r="J6589" s="355"/>
      <c r="K6589" s="355"/>
      <c r="L6589" s="355"/>
      <c r="M6589" s="355"/>
    </row>
    <row r="6590" spans="5:13">
      <c r="E6590" s="355"/>
      <c r="F6590" s="355"/>
      <c r="G6590" s="355"/>
      <c r="H6590" s="355"/>
      <c r="I6590" s="355"/>
      <c r="J6590" s="355"/>
      <c r="K6590" s="355"/>
      <c r="L6590" s="355"/>
      <c r="M6590" s="355"/>
    </row>
    <row r="6591" spans="5:13">
      <c r="E6591" s="355"/>
      <c r="F6591" s="355"/>
      <c r="G6591" s="355"/>
      <c r="H6591" s="355"/>
      <c r="I6591" s="355"/>
      <c r="J6591" s="355"/>
      <c r="K6591" s="355"/>
      <c r="L6591" s="355"/>
      <c r="M6591" s="355"/>
    </row>
    <row r="6592" spans="5:13">
      <c r="E6592" s="355"/>
      <c r="F6592" s="355"/>
      <c r="G6592" s="355"/>
      <c r="H6592" s="355"/>
      <c r="I6592" s="355"/>
      <c r="J6592" s="355"/>
      <c r="K6592" s="355"/>
      <c r="L6592" s="355"/>
      <c r="M6592" s="355"/>
    </row>
    <row r="6593" spans="5:13">
      <c r="E6593" s="355"/>
      <c r="F6593" s="355"/>
      <c r="G6593" s="355"/>
      <c r="H6593" s="355"/>
      <c r="I6593" s="355"/>
      <c r="J6593" s="355"/>
      <c r="K6593" s="355"/>
      <c r="L6593" s="355"/>
      <c r="M6593" s="355"/>
    </row>
    <row r="6594" spans="5:13">
      <c r="E6594" s="355"/>
      <c r="F6594" s="355"/>
      <c r="G6594" s="355"/>
      <c r="H6594" s="355"/>
      <c r="I6594" s="355"/>
      <c r="J6594" s="355"/>
      <c r="K6594" s="355"/>
      <c r="L6594" s="355"/>
      <c r="M6594" s="355"/>
    </row>
    <row r="6595" spans="5:13">
      <c r="E6595" s="355"/>
      <c r="F6595" s="355"/>
      <c r="G6595" s="355"/>
      <c r="H6595" s="355"/>
      <c r="I6595" s="355"/>
      <c r="J6595" s="355"/>
      <c r="K6595" s="355"/>
      <c r="L6595" s="355"/>
      <c r="M6595" s="355"/>
    </row>
    <row r="6596" spans="5:13">
      <c r="E6596" s="355"/>
      <c r="F6596" s="355"/>
      <c r="G6596" s="355"/>
      <c r="H6596" s="355"/>
      <c r="I6596" s="355"/>
      <c r="J6596" s="355"/>
      <c r="K6596" s="355"/>
      <c r="L6596" s="355"/>
      <c r="M6596" s="355"/>
    </row>
    <row r="6597" spans="5:13">
      <c r="E6597" s="355"/>
      <c r="F6597" s="355"/>
      <c r="G6597" s="355"/>
      <c r="H6597" s="355"/>
      <c r="I6597" s="355"/>
      <c r="J6597" s="355"/>
      <c r="K6597" s="355"/>
      <c r="L6597" s="355"/>
      <c r="M6597" s="355"/>
    </row>
    <row r="6598" spans="5:13">
      <c r="E6598" s="355"/>
      <c r="F6598" s="355"/>
      <c r="G6598" s="355"/>
      <c r="H6598" s="355"/>
      <c r="I6598" s="355"/>
      <c r="J6598" s="355"/>
      <c r="K6598" s="355"/>
      <c r="L6598" s="355"/>
      <c r="M6598" s="355"/>
    </row>
    <row r="6599" spans="5:13">
      <c r="E6599" s="355"/>
      <c r="F6599" s="355"/>
      <c r="G6599" s="355"/>
      <c r="H6599" s="355"/>
      <c r="I6599" s="355"/>
      <c r="J6599" s="355"/>
      <c r="K6599" s="355"/>
      <c r="L6599" s="355"/>
      <c r="M6599" s="355"/>
    </row>
    <row r="6600" spans="5:13">
      <c r="E6600" s="355"/>
      <c r="F6600" s="355"/>
      <c r="G6600" s="355"/>
      <c r="H6600" s="355"/>
      <c r="I6600" s="355"/>
      <c r="J6600" s="355"/>
      <c r="K6600" s="355"/>
      <c r="L6600" s="355"/>
      <c r="M6600" s="355"/>
    </row>
    <row r="6601" spans="5:13">
      <c r="E6601" s="355"/>
      <c r="F6601" s="355"/>
      <c r="G6601" s="355"/>
      <c r="H6601" s="355"/>
      <c r="I6601" s="355"/>
      <c r="J6601" s="355"/>
      <c r="K6601" s="355"/>
      <c r="L6601" s="355"/>
      <c r="M6601" s="355"/>
    </row>
    <row r="6602" spans="5:13">
      <c r="E6602" s="355"/>
      <c r="F6602" s="355"/>
      <c r="G6602" s="355"/>
      <c r="H6602" s="355"/>
      <c r="I6602" s="355"/>
      <c r="J6602" s="355"/>
      <c r="K6602" s="355"/>
      <c r="L6602" s="355"/>
      <c r="M6602" s="355"/>
    </row>
    <row r="6603" spans="5:13">
      <c r="E6603" s="355"/>
      <c r="F6603" s="355"/>
      <c r="G6603" s="355"/>
      <c r="H6603" s="355"/>
      <c r="I6603" s="355"/>
      <c r="J6603" s="355"/>
      <c r="K6603" s="355"/>
      <c r="L6603" s="355"/>
      <c r="M6603" s="355"/>
    </row>
    <row r="6604" spans="5:13">
      <c r="E6604" s="355"/>
      <c r="F6604" s="355"/>
      <c r="G6604" s="355"/>
      <c r="H6604" s="355"/>
      <c r="I6604" s="355"/>
      <c r="J6604" s="355"/>
      <c r="K6604" s="355"/>
      <c r="L6604" s="355"/>
      <c r="M6604" s="355"/>
    </row>
    <row r="6605" spans="5:13">
      <c r="E6605" s="355"/>
      <c r="F6605" s="355"/>
      <c r="G6605" s="355"/>
      <c r="H6605" s="355"/>
      <c r="I6605" s="355"/>
      <c r="J6605" s="355"/>
      <c r="K6605" s="355"/>
      <c r="L6605" s="355"/>
      <c r="M6605" s="355"/>
    </row>
    <row r="6606" spans="5:13">
      <c r="E6606" s="355"/>
      <c r="F6606" s="355"/>
      <c r="G6606" s="355"/>
      <c r="H6606" s="355"/>
      <c r="I6606" s="355"/>
      <c r="J6606" s="355"/>
      <c r="K6606" s="355"/>
      <c r="L6606" s="355"/>
      <c r="M6606" s="355"/>
    </row>
    <row r="6607" spans="5:13">
      <c r="E6607" s="355"/>
      <c r="F6607" s="355"/>
      <c r="G6607" s="355"/>
      <c r="H6607" s="355"/>
      <c r="I6607" s="355"/>
      <c r="J6607" s="355"/>
      <c r="K6607" s="355"/>
      <c r="L6607" s="355"/>
      <c r="M6607" s="355"/>
    </row>
    <row r="6608" spans="5:13">
      <c r="E6608" s="355"/>
      <c r="F6608" s="355"/>
      <c r="G6608" s="355"/>
      <c r="H6608" s="355"/>
      <c r="I6608" s="355"/>
      <c r="J6608" s="355"/>
      <c r="K6608" s="355"/>
      <c r="L6608" s="355"/>
      <c r="M6608" s="355"/>
    </row>
    <row r="6609" spans="5:13">
      <c r="E6609" s="355"/>
      <c r="F6609" s="355"/>
      <c r="G6609" s="355"/>
      <c r="H6609" s="355"/>
      <c r="I6609" s="355"/>
      <c r="J6609" s="355"/>
      <c r="K6609" s="355"/>
      <c r="L6609" s="355"/>
      <c r="M6609" s="355"/>
    </row>
    <row r="6610" spans="5:13">
      <c r="E6610" s="355"/>
      <c r="F6610" s="355"/>
      <c r="G6610" s="355"/>
      <c r="H6610" s="355"/>
      <c r="I6610" s="355"/>
      <c r="J6610" s="355"/>
      <c r="K6610" s="355"/>
      <c r="L6610" s="355"/>
      <c r="M6610" s="355"/>
    </row>
    <row r="6611" spans="5:13">
      <c r="E6611" s="355"/>
      <c r="F6611" s="355"/>
      <c r="G6611" s="355"/>
      <c r="H6611" s="355"/>
      <c r="I6611" s="355"/>
      <c r="J6611" s="355"/>
      <c r="K6611" s="355"/>
      <c r="L6611" s="355"/>
      <c r="M6611" s="355"/>
    </row>
    <row r="6612" spans="5:13">
      <c r="E6612" s="355"/>
      <c r="F6612" s="355"/>
      <c r="G6612" s="355"/>
      <c r="H6612" s="355"/>
      <c r="I6612" s="355"/>
      <c r="J6612" s="355"/>
      <c r="K6612" s="355"/>
      <c r="L6612" s="355"/>
      <c r="M6612" s="355"/>
    </row>
    <row r="6613" spans="5:13">
      <c r="E6613" s="355"/>
      <c r="F6613" s="355"/>
      <c r="G6613" s="355"/>
      <c r="H6613" s="355"/>
      <c r="I6613" s="355"/>
      <c r="J6613" s="355"/>
      <c r="K6613" s="355"/>
      <c r="L6613" s="355"/>
      <c r="M6613" s="355"/>
    </row>
    <row r="6614" spans="5:13">
      <c r="E6614" s="355"/>
      <c r="F6614" s="355"/>
      <c r="G6614" s="355"/>
      <c r="H6614" s="355"/>
      <c r="I6614" s="355"/>
      <c r="J6614" s="355"/>
      <c r="K6614" s="355"/>
      <c r="L6614" s="355"/>
      <c r="M6614" s="355"/>
    </row>
    <row r="6615" spans="5:13">
      <c r="E6615" s="355"/>
      <c r="F6615" s="355"/>
      <c r="G6615" s="355"/>
      <c r="H6615" s="355"/>
      <c r="I6615" s="355"/>
      <c r="J6615" s="355"/>
      <c r="K6615" s="355"/>
      <c r="L6615" s="355"/>
      <c r="M6615" s="355"/>
    </row>
    <row r="6616" spans="5:13">
      <c r="E6616" s="355"/>
      <c r="F6616" s="355"/>
      <c r="G6616" s="355"/>
      <c r="H6616" s="355"/>
      <c r="I6616" s="355"/>
      <c r="J6616" s="355"/>
      <c r="K6616" s="355"/>
      <c r="L6616" s="355"/>
      <c r="M6616" s="355"/>
    </row>
    <row r="6617" spans="5:13">
      <c r="E6617" s="355"/>
      <c r="F6617" s="355"/>
      <c r="G6617" s="355"/>
      <c r="H6617" s="355"/>
      <c r="I6617" s="355"/>
      <c r="J6617" s="355"/>
      <c r="K6617" s="355"/>
      <c r="L6617" s="355"/>
      <c r="M6617" s="355"/>
    </row>
    <row r="6618" spans="5:13">
      <c r="E6618" s="355"/>
      <c r="F6618" s="355"/>
      <c r="G6618" s="355"/>
      <c r="H6618" s="355"/>
      <c r="I6618" s="355"/>
      <c r="J6618" s="355"/>
      <c r="K6618" s="355"/>
      <c r="L6618" s="355"/>
      <c r="M6618" s="355"/>
    </row>
    <row r="6619" spans="5:13">
      <c r="E6619" s="355"/>
      <c r="F6619" s="355"/>
      <c r="G6619" s="355"/>
      <c r="H6619" s="355"/>
      <c r="I6619" s="355"/>
      <c r="J6619" s="355"/>
      <c r="K6619" s="355"/>
      <c r="L6619" s="355"/>
      <c r="M6619" s="355"/>
    </row>
    <row r="6620" spans="5:13">
      <c r="E6620" s="355"/>
      <c r="F6620" s="355"/>
      <c r="G6620" s="355"/>
      <c r="H6620" s="355"/>
      <c r="I6620" s="355"/>
      <c r="J6620" s="355"/>
      <c r="K6620" s="355"/>
      <c r="L6620" s="355"/>
      <c r="M6620" s="355"/>
    </row>
    <row r="6621" spans="5:13">
      <c r="E6621" s="355"/>
      <c r="F6621" s="355"/>
      <c r="G6621" s="355"/>
      <c r="H6621" s="355"/>
      <c r="I6621" s="355"/>
      <c r="J6621" s="355"/>
      <c r="K6621" s="355"/>
      <c r="L6621" s="355"/>
      <c r="M6621" s="355"/>
    </row>
    <row r="6622" spans="5:13">
      <c r="E6622" s="355"/>
      <c r="F6622" s="355"/>
      <c r="G6622" s="355"/>
      <c r="H6622" s="355"/>
      <c r="I6622" s="355"/>
      <c r="J6622" s="355"/>
      <c r="K6622" s="355"/>
      <c r="L6622" s="355"/>
      <c r="M6622" s="355"/>
    </row>
    <row r="6623" spans="5:13">
      <c r="E6623" s="355"/>
      <c r="F6623" s="355"/>
      <c r="G6623" s="355"/>
      <c r="H6623" s="355"/>
      <c r="I6623" s="355"/>
      <c r="J6623" s="355"/>
      <c r="K6623" s="355"/>
      <c r="L6623" s="355"/>
      <c r="M6623" s="355"/>
    </row>
    <row r="6624" spans="5:13">
      <c r="E6624" s="355"/>
      <c r="F6624" s="355"/>
      <c r="G6624" s="355"/>
      <c r="H6624" s="355"/>
      <c r="I6624" s="355"/>
      <c r="J6624" s="355"/>
      <c r="K6624" s="355"/>
      <c r="L6624" s="355"/>
      <c r="M6624" s="355"/>
    </row>
    <row r="6625" spans="5:13">
      <c r="E6625" s="355"/>
      <c r="F6625" s="355"/>
      <c r="G6625" s="355"/>
      <c r="H6625" s="355"/>
      <c r="I6625" s="355"/>
      <c r="J6625" s="355"/>
      <c r="K6625" s="355"/>
      <c r="L6625" s="355"/>
      <c r="M6625" s="355"/>
    </row>
    <row r="6626" spans="5:13">
      <c r="E6626" s="355"/>
      <c r="F6626" s="355"/>
      <c r="G6626" s="355"/>
      <c r="H6626" s="355"/>
      <c r="I6626" s="355"/>
      <c r="J6626" s="355"/>
      <c r="K6626" s="355"/>
      <c r="L6626" s="355"/>
      <c r="M6626" s="355"/>
    </row>
    <row r="6627" spans="5:13">
      <c r="E6627" s="355"/>
      <c r="F6627" s="355"/>
      <c r="G6627" s="355"/>
      <c r="H6627" s="355"/>
      <c r="I6627" s="355"/>
      <c r="J6627" s="355"/>
      <c r="K6627" s="355"/>
      <c r="L6627" s="355"/>
      <c r="M6627" s="355"/>
    </row>
    <row r="6628" spans="5:13">
      <c r="E6628" s="355"/>
      <c r="F6628" s="355"/>
      <c r="G6628" s="355"/>
      <c r="H6628" s="355"/>
      <c r="I6628" s="355"/>
      <c r="J6628" s="355"/>
      <c r="K6628" s="355"/>
      <c r="L6628" s="355"/>
      <c r="M6628" s="355"/>
    </row>
    <row r="6629" spans="5:13">
      <c r="E6629" s="355"/>
      <c r="F6629" s="355"/>
      <c r="G6629" s="355"/>
      <c r="H6629" s="355"/>
      <c r="I6629" s="355"/>
      <c r="J6629" s="355"/>
      <c r="K6629" s="355"/>
      <c r="L6629" s="355"/>
      <c r="M6629" s="355"/>
    </row>
    <row r="6630" spans="5:13">
      <c r="E6630" s="355"/>
      <c r="F6630" s="355"/>
      <c r="G6630" s="355"/>
      <c r="H6630" s="355"/>
      <c r="I6630" s="355"/>
      <c r="J6630" s="355"/>
      <c r="K6630" s="355"/>
      <c r="L6630" s="355"/>
      <c r="M6630" s="355"/>
    </row>
    <row r="6631" spans="5:13">
      <c r="E6631" s="355"/>
      <c r="F6631" s="355"/>
      <c r="G6631" s="355"/>
      <c r="H6631" s="355"/>
      <c r="I6631" s="355"/>
      <c r="J6631" s="355"/>
      <c r="K6631" s="355"/>
      <c r="L6631" s="355"/>
      <c r="M6631" s="355"/>
    </row>
    <row r="6632" spans="5:13">
      <c r="E6632" s="355"/>
      <c r="F6632" s="355"/>
      <c r="G6632" s="355"/>
      <c r="H6632" s="355"/>
      <c r="I6632" s="355"/>
      <c r="J6632" s="355"/>
      <c r="K6632" s="355"/>
      <c r="L6632" s="355"/>
      <c r="M6632" s="355"/>
    </row>
    <row r="6633" spans="5:13">
      <c r="E6633" s="355"/>
      <c r="F6633" s="355"/>
      <c r="G6633" s="355"/>
      <c r="H6633" s="355"/>
      <c r="I6633" s="355"/>
      <c r="J6633" s="355"/>
      <c r="K6633" s="355"/>
      <c r="L6633" s="355"/>
      <c r="M6633" s="355"/>
    </row>
    <row r="6634" spans="5:13">
      <c r="E6634" s="355"/>
      <c r="F6634" s="355"/>
      <c r="G6634" s="355"/>
      <c r="H6634" s="355"/>
      <c r="I6634" s="355"/>
      <c r="J6634" s="355"/>
      <c r="K6634" s="355"/>
      <c r="L6634" s="355"/>
      <c r="M6634" s="355"/>
    </row>
    <row r="6635" spans="5:13">
      <c r="E6635" s="355"/>
      <c r="F6635" s="355"/>
      <c r="G6635" s="355"/>
      <c r="H6635" s="355"/>
      <c r="I6635" s="355"/>
      <c r="J6635" s="355"/>
      <c r="K6635" s="355"/>
      <c r="L6635" s="355"/>
      <c r="M6635" s="355"/>
    </row>
    <row r="6636" spans="5:13">
      <c r="E6636" s="355"/>
      <c r="F6636" s="355"/>
      <c r="G6636" s="355"/>
      <c r="H6636" s="355"/>
      <c r="I6636" s="355"/>
      <c r="J6636" s="355"/>
      <c r="K6636" s="355"/>
      <c r="L6636" s="355"/>
      <c r="M6636" s="355"/>
    </row>
    <row r="6637" spans="5:13">
      <c r="E6637" s="355"/>
      <c r="F6637" s="355"/>
      <c r="G6637" s="355"/>
      <c r="H6637" s="355"/>
      <c r="I6637" s="355"/>
      <c r="J6637" s="355"/>
      <c r="K6637" s="355"/>
      <c r="L6637" s="355"/>
      <c r="M6637" s="355"/>
    </row>
    <row r="6638" spans="5:13">
      <c r="E6638" s="355"/>
      <c r="F6638" s="355"/>
      <c r="G6638" s="355"/>
      <c r="H6638" s="355"/>
      <c r="I6638" s="355"/>
      <c r="J6638" s="355"/>
      <c r="K6638" s="355"/>
      <c r="L6638" s="355"/>
      <c r="M6638" s="355"/>
    </row>
    <row r="6639" spans="5:13">
      <c r="E6639" s="355"/>
      <c r="F6639" s="355"/>
      <c r="G6639" s="355"/>
      <c r="H6639" s="355"/>
      <c r="I6639" s="355"/>
      <c r="J6639" s="355"/>
      <c r="K6639" s="355"/>
      <c r="L6639" s="355"/>
      <c r="M6639" s="355"/>
    </row>
    <row r="6640" spans="5:13">
      <c r="E6640" s="355"/>
      <c r="F6640" s="355"/>
      <c r="G6640" s="355"/>
      <c r="H6640" s="355"/>
      <c r="I6640" s="355"/>
      <c r="J6640" s="355"/>
      <c r="K6640" s="355"/>
      <c r="L6640" s="355"/>
      <c r="M6640" s="355"/>
    </row>
    <row r="6641" spans="5:13">
      <c r="E6641" s="355"/>
      <c r="F6641" s="355"/>
      <c r="G6641" s="355"/>
      <c r="H6641" s="355"/>
      <c r="I6641" s="355"/>
      <c r="J6641" s="355"/>
      <c r="K6641" s="355"/>
      <c r="L6641" s="355"/>
      <c r="M6641" s="355"/>
    </row>
    <row r="6642" spans="5:13">
      <c r="E6642" s="355"/>
      <c r="F6642" s="355"/>
      <c r="G6642" s="355"/>
      <c r="H6642" s="355"/>
      <c r="I6642" s="355"/>
      <c r="J6642" s="355"/>
      <c r="K6642" s="355"/>
      <c r="L6642" s="355"/>
      <c r="M6642" s="355"/>
    </row>
    <row r="6643" spans="5:13">
      <c r="E6643" s="355"/>
      <c r="F6643" s="355"/>
      <c r="G6643" s="355"/>
      <c r="H6643" s="355"/>
      <c r="I6643" s="355"/>
      <c r="J6643" s="355"/>
      <c r="K6643" s="355"/>
      <c r="L6643" s="355"/>
      <c r="M6643" s="355"/>
    </row>
    <row r="6644" spans="5:13">
      <c r="E6644" s="355"/>
      <c r="F6644" s="355"/>
      <c r="G6644" s="355"/>
      <c r="H6644" s="355"/>
      <c r="I6644" s="355"/>
      <c r="J6644" s="355"/>
      <c r="K6644" s="355"/>
      <c r="L6644" s="355"/>
      <c r="M6644" s="355"/>
    </row>
    <row r="6645" spans="5:13">
      <c r="E6645" s="355"/>
      <c r="F6645" s="355"/>
      <c r="G6645" s="355"/>
      <c r="H6645" s="355"/>
      <c r="I6645" s="355"/>
      <c r="J6645" s="355"/>
      <c r="K6645" s="355"/>
      <c r="L6645" s="355"/>
      <c r="M6645" s="355"/>
    </row>
    <row r="6646" spans="5:13">
      <c r="E6646" s="355"/>
      <c r="F6646" s="355"/>
      <c r="G6646" s="355"/>
      <c r="H6646" s="355"/>
      <c r="I6646" s="355"/>
      <c r="J6646" s="355"/>
      <c r="K6646" s="355"/>
      <c r="L6646" s="355"/>
      <c r="M6646" s="355"/>
    </row>
    <row r="6647" spans="5:13">
      <c r="E6647" s="355"/>
      <c r="F6647" s="355"/>
      <c r="G6647" s="355"/>
      <c r="H6647" s="355"/>
      <c r="I6647" s="355"/>
      <c r="J6647" s="355"/>
      <c r="K6647" s="355"/>
      <c r="L6647" s="355"/>
      <c r="M6647" s="355"/>
    </row>
    <row r="6648" spans="5:13">
      <c r="E6648" s="355"/>
      <c r="F6648" s="355"/>
      <c r="G6648" s="355"/>
      <c r="H6648" s="355"/>
      <c r="I6648" s="355"/>
      <c r="J6648" s="355"/>
      <c r="K6648" s="355"/>
      <c r="L6648" s="355"/>
      <c r="M6648" s="355"/>
    </row>
    <row r="6649" spans="5:13">
      <c r="E6649" s="355"/>
      <c r="F6649" s="355"/>
      <c r="G6649" s="355"/>
      <c r="H6649" s="355"/>
      <c r="I6649" s="355"/>
      <c r="J6649" s="355"/>
      <c r="K6649" s="355"/>
      <c r="L6649" s="355"/>
      <c r="M6649" s="355"/>
    </row>
    <row r="6650" spans="5:13">
      <c r="E6650" s="355"/>
      <c r="F6650" s="355"/>
      <c r="G6650" s="355"/>
      <c r="H6650" s="355"/>
      <c r="I6650" s="355"/>
      <c r="J6650" s="355"/>
      <c r="K6650" s="355"/>
      <c r="L6650" s="355"/>
      <c r="M6650" s="355"/>
    </row>
    <row r="6651" spans="5:13">
      <c r="E6651" s="355"/>
      <c r="F6651" s="355"/>
      <c r="G6651" s="355"/>
      <c r="H6651" s="355"/>
      <c r="I6651" s="355"/>
      <c r="J6651" s="355"/>
      <c r="K6651" s="355"/>
      <c r="L6651" s="355"/>
      <c r="M6651" s="355"/>
    </row>
    <row r="6652" spans="5:13">
      <c r="E6652" s="355"/>
      <c r="F6652" s="355"/>
      <c r="G6652" s="355"/>
      <c r="H6652" s="355"/>
      <c r="I6652" s="355"/>
      <c r="J6652" s="355"/>
      <c r="K6652" s="355"/>
      <c r="L6652" s="355"/>
      <c r="M6652" s="355"/>
    </row>
    <row r="6653" spans="5:13">
      <c r="E6653" s="355"/>
      <c r="F6653" s="355"/>
      <c r="G6653" s="355"/>
      <c r="H6653" s="355"/>
      <c r="I6653" s="355"/>
      <c r="J6653" s="355"/>
      <c r="K6653" s="355"/>
      <c r="L6653" s="355"/>
      <c r="M6653" s="355"/>
    </row>
    <row r="6654" spans="5:13">
      <c r="E6654" s="355"/>
      <c r="F6654" s="355"/>
      <c r="G6654" s="355"/>
      <c r="H6654" s="355"/>
      <c r="I6654" s="355"/>
      <c r="J6654" s="355"/>
      <c r="K6654" s="355"/>
      <c r="L6654" s="355"/>
      <c r="M6654" s="355"/>
    </row>
    <row r="6655" spans="5:13">
      <c r="E6655" s="355"/>
      <c r="F6655" s="355"/>
      <c r="G6655" s="355"/>
      <c r="H6655" s="355"/>
      <c r="I6655" s="355"/>
      <c r="J6655" s="355"/>
      <c r="K6655" s="355"/>
      <c r="L6655" s="355"/>
      <c r="M6655" s="355"/>
    </row>
    <row r="6656" spans="5:13">
      <c r="E6656" s="355"/>
      <c r="F6656" s="355"/>
      <c r="G6656" s="355"/>
      <c r="H6656" s="355"/>
      <c r="I6656" s="355"/>
      <c r="J6656" s="355"/>
      <c r="K6656" s="355"/>
      <c r="L6656" s="355"/>
      <c r="M6656" s="355"/>
    </row>
    <row r="6657" spans="5:13">
      <c r="E6657" s="355"/>
      <c r="F6657" s="355"/>
      <c r="G6657" s="355"/>
      <c r="H6657" s="355"/>
      <c r="I6657" s="355"/>
      <c r="J6657" s="355"/>
      <c r="K6657" s="355"/>
      <c r="L6657" s="355"/>
      <c r="M6657" s="355"/>
    </row>
    <row r="6658" spans="5:13">
      <c r="E6658" s="355"/>
      <c r="F6658" s="355"/>
      <c r="G6658" s="355"/>
      <c r="H6658" s="355"/>
      <c r="I6658" s="355"/>
      <c r="J6658" s="355"/>
      <c r="K6658" s="355"/>
      <c r="L6658" s="355"/>
      <c r="M6658" s="355"/>
    </row>
    <row r="6659" spans="5:13">
      <c r="E6659" s="355"/>
      <c r="F6659" s="355"/>
      <c r="G6659" s="355"/>
      <c r="H6659" s="355"/>
      <c r="I6659" s="355"/>
      <c r="J6659" s="355"/>
      <c r="K6659" s="355"/>
      <c r="L6659" s="355"/>
      <c r="M6659" s="355"/>
    </row>
    <row r="6660" spans="5:13">
      <c r="E6660" s="355"/>
      <c r="F6660" s="355"/>
      <c r="G6660" s="355"/>
      <c r="H6660" s="355"/>
      <c r="I6660" s="355"/>
      <c r="J6660" s="355"/>
      <c r="K6660" s="355"/>
      <c r="L6660" s="355"/>
      <c r="M6660" s="355"/>
    </row>
    <row r="6661" spans="5:13">
      <c r="E6661" s="355"/>
      <c r="F6661" s="355"/>
      <c r="G6661" s="355"/>
      <c r="H6661" s="355"/>
      <c r="I6661" s="355"/>
      <c r="J6661" s="355"/>
      <c r="K6661" s="355"/>
      <c r="L6661" s="355"/>
      <c r="M6661" s="355"/>
    </row>
    <row r="6662" spans="5:13">
      <c r="E6662" s="355"/>
      <c r="F6662" s="355"/>
      <c r="G6662" s="355"/>
      <c r="H6662" s="355"/>
      <c r="I6662" s="355"/>
      <c r="J6662" s="355"/>
      <c r="K6662" s="355"/>
      <c r="L6662" s="355"/>
      <c r="M6662" s="355"/>
    </row>
    <row r="6663" spans="5:13">
      <c r="E6663" s="355"/>
      <c r="F6663" s="355"/>
      <c r="G6663" s="355"/>
      <c r="H6663" s="355"/>
      <c r="I6663" s="355"/>
      <c r="J6663" s="355"/>
      <c r="K6663" s="355"/>
      <c r="L6663" s="355"/>
      <c r="M6663" s="355"/>
    </row>
    <row r="6664" spans="5:13">
      <c r="E6664" s="355"/>
      <c r="F6664" s="355"/>
      <c r="G6664" s="355"/>
      <c r="H6664" s="355"/>
      <c r="I6664" s="355"/>
      <c r="J6664" s="355"/>
      <c r="K6664" s="355"/>
      <c r="L6664" s="355"/>
      <c r="M6664" s="355"/>
    </row>
    <row r="6665" spans="5:13">
      <c r="E6665" s="355"/>
      <c r="F6665" s="355"/>
      <c r="G6665" s="355"/>
      <c r="H6665" s="355"/>
      <c r="I6665" s="355"/>
      <c r="J6665" s="355"/>
      <c r="K6665" s="355"/>
      <c r="L6665" s="355"/>
      <c r="M6665" s="355"/>
    </row>
    <row r="6666" spans="5:13">
      <c r="E6666" s="355"/>
      <c r="F6666" s="355"/>
      <c r="G6666" s="355"/>
      <c r="H6666" s="355"/>
      <c r="I6666" s="355"/>
      <c r="J6666" s="355"/>
      <c r="K6666" s="355"/>
      <c r="L6666" s="355"/>
      <c r="M6666" s="355"/>
    </row>
    <row r="6667" spans="5:13">
      <c r="E6667" s="355"/>
      <c r="F6667" s="355"/>
      <c r="G6667" s="355"/>
      <c r="H6667" s="355"/>
      <c r="I6667" s="355"/>
      <c r="J6667" s="355"/>
      <c r="K6667" s="355"/>
      <c r="L6667" s="355"/>
      <c r="M6667" s="355"/>
    </row>
    <row r="6668" spans="5:13">
      <c r="E6668" s="355"/>
      <c r="F6668" s="355"/>
      <c r="G6668" s="355"/>
      <c r="H6668" s="355"/>
      <c r="I6668" s="355"/>
      <c r="J6668" s="355"/>
      <c r="K6668" s="355"/>
      <c r="L6668" s="355"/>
      <c r="M6668" s="355"/>
    </row>
    <row r="6669" spans="5:13">
      <c r="E6669" s="355"/>
      <c r="F6669" s="355"/>
      <c r="G6669" s="355"/>
      <c r="H6669" s="355"/>
      <c r="I6669" s="355"/>
      <c r="J6669" s="355"/>
      <c r="K6669" s="355"/>
      <c r="L6669" s="355"/>
      <c r="M6669" s="355"/>
    </row>
    <row r="6670" spans="5:13">
      <c r="E6670" s="355"/>
      <c r="F6670" s="355"/>
      <c r="G6670" s="355"/>
      <c r="H6670" s="355"/>
      <c r="I6670" s="355"/>
      <c r="J6670" s="355"/>
      <c r="K6670" s="355"/>
      <c r="L6670" s="355"/>
      <c r="M6670" s="355"/>
    </row>
    <row r="6671" spans="5:13">
      <c r="E6671" s="355"/>
      <c r="F6671" s="355"/>
      <c r="G6671" s="355"/>
      <c r="H6671" s="355"/>
      <c r="I6671" s="355"/>
      <c r="J6671" s="355"/>
      <c r="K6671" s="355"/>
      <c r="L6671" s="355"/>
      <c r="M6671" s="355"/>
    </row>
    <row r="6672" spans="5:13">
      <c r="E6672" s="355"/>
      <c r="F6672" s="355"/>
      <c r="G6672" s="355"/>
      <c r="H6672" s="355"/>
      <c r="I6672" s="355"/>
      <c r="J6672" s="355"/>
      <c r="K6672" s="355"/>
      <c r="L6672" s="355"/>
      <c r="M6672" s="355"/>
    </row>
    <row r="6673" spans="5:13">
      <c r="E6673" s="355"/>
      <c r="F6673" s="355"/>
      <c r="G6673" s="355"/>
      <c r="H6673" s="355"/>
      <c r="I6673" s="355"/>
      <c r="J6673" s="355"/>
      <c r="K6673" s="355"/>
      <c r="L6673" s="355"/>
      <c r="M6673" s="355"/>
    </row>
    <row r="6674" spans="5:13">
      <c r="E6674" s="355"/>
      <c r="F6674" s="355"/>
      <c r="G6674" s="355"/>
      <c r="H6674" s="355"/>
      <c r="I6674" s="355"/>
      <c r="J6674" s="355"/>
      <c r="K6674" s="355"/>
      <c r="L6674" s="355"/>
      <c r="M6674" s="355"/>
    </row>
    <row r="6675" spans="5:13">
      <c r="E6675" s="355"/>
      <c r="F6675" s="355"/>
      <c r="G6675" s="355"/>
      <c r="H6675" s="355"/>
      <c r="I6675" s="355"/>
      <c r="J6675" s="355"/>
      <c r="K6675" s="355"/>
      <c r="L6675" s="355"/>
      <c r="M6675" s="355"/>
    </row>
    <row r="6676" spans="5:13">
      <c r="E6676" s="355"/>
      <c r="F6676" s="355"/>
      <c r="G6676" s="355"/>
      <c r="H6676" s="355"/>
      <c r="I6676" s="355"/>
      <c r="J6676" s="355"/>
      <c r="K6676" s="355"/>
      <c r="L6676" s="355"/>
      <c r="M6676" s="355"/>
    </row>
    <row r="6677" spans="5:13">
      <c r="E6677" s="355"/>
      <c r="F6677" s="355"/>
      <c r="G6677" s="355"/>
      <c r="H6677" s="355"/>
      <c r="I6677" s="355"/>
      <c r="J6677" s="355"/>
      <c r="K6677" s="355"/>
      <c r="L6677" s="355"/>
      <c r="M6677" s="355"/>
    </row>
    <row r="6678" spans="5:13">
      <c r="E6678" s="355"/>
      <c r="F6678" s="355"/>
      <c r="G6678" s="355"/>
      <c r="H6678" s="355"/>
      <c r="I6678" s="355"/>
      <c r="J6678" s="355"/>
      <c r="K6678" s="355"/>
      <c r="L6678" s="355"/>
      <c r="M6678" s="355"/>
    </row>
    <row r="6679" spans="5:13">
      <c r="E6679" s="355"/>
      <c r="F6679" s="355"/>
      <c r="G6679" s="355"/>
      <c r="H6679" s="355"/>
      <c r="I6679" s="355"/>
      <c r="J6679" s="355"/>
      <c r="K6679" s="355"/>
      <c r="L6679" s="355"/>
      <c r="M6679" s="355"/>
    </row>
    <row r="6680" spans="5:13">
      <c r="E6680" s="355"/>
      <c r="F6680" s="355"/>
      <c r="G6680" s="355"/>
      <c r="H6680" s="355"/>
      <c r="I6680" s="355"/>
      <c r="J6680" s="355"/>
      <c r="K6680" s="355"/>
      <c r="L6680" s="355"/>
      <c r="M6680" s="355"/>
    </row>
    <row r="6681" spans="5:13">
      <c r="E6681" s="355"/>
      <c r="F6681" s="355"/>
      <c r="G6681" s="355"/>
      <c r="H6681" s="355"/>
      <c r="I6681" s="355"/>
      <c r="J6681" s="355"/>
      <c r="K6681" s="355"/>
      <c r="L6681" s="355"/>
      <c r="M6681" s="355"/>
    </row>
    <row r="6682" spans="5:13">
      <c r="E6682" s="355"/>
      <c r="F6682" s="355"/>
      <c r="G6682" s="355"/>
      <c r="H6682" s="355"/>
      <c r="I6682" s="355"/>
      <c r="J6682" s="355"/>
      <c r="K6682" s="355"/>
      <c r="L6682" s="355"/>
      <c r="M6682" s="355"/>
    </row>
    <row r="6683" spans="5:13">
      <c r="E6683" s="355"/>
      <c r="F6683" s="355"/>
      <c r="G6683" s="355"/>
      <c r="H6683" s="355"/>
      <c r="I6683" s="355"/>
      <c r="J6683" s="355"/>
      <c r="K6683" s="355"/>
      <c r="L6683" s="355"/>
      <c r="M6683" s="355"/>
    </row>
    <row r="6684" spans="5:13">
      <c r="E6684" s="355"/>
      <c r="F6684" s="355"/>
      <c r="G6684" s="355"/>
      <c r="H6684" s="355"/>
      <c r="I6684" s="355"/>
      <c r="J6684" s="355"/>
      <c r="K6684" s="355"/>
      <c r="L6684" s="355"/>
      <c r="M6684" s="355"/>
    </row>
    <row r="6685" spans="5:13">
      <c r="E6685" s="355"/>
      <c r="F6685" s="355"/>
      <c r="G6685" s="355"/>
      <c r="H6685" s="355"/>
      <c r="I6685" s="355"/>
      <c r="J6685" s="355"/>
      <c r="K6685" s="355"/>
      <c r="L6685" s="355"/>
      <c r="M6685" s="355"/>
    </row>
    <row r="6686" spans="5:13">
      <c r="E6686" s="355"/>
      <c r="F6686" s="355"/>
      <c r="G6686" s="355"/>
      <c r="H6686" s="355"/>
      <c r="I6686" s="355"/>
      <c r="J6686" s="355"/>
      <c r="K6686" s="355"/>
      <c r="L6686" s="355"/>
      <c r="M6686" s="355"/>
    </row>
    <row r="6687" spans="5:13">
      <c r="E6687" s="355"/>
      <c r="F6687" s="355"/>
      <c r="G6687" s="355"/>
      <c r="H6687" s="355"/>
      <c r="I6687" s="355"/>
      <c r="J6687" s="355"/>
      <c r="K6687" s="355"/>
      <c r="L6687" s="355"/>
      <c r="M6687" s="355"/>
    </row>
    <row r="6688" spans="5:13">
      <c r="E6688" s="355"/>
      <c r="F6688" s="355"/>
      <c r="G6688" s="355"/>
      <c r="H6688" s="355"/>
      <c r="I6688" s="355"/>
      <c r="J6688" s="355"/>
      <c r="K6688" s="355"/>
      <c r="L6688" s="355"/>
      <c r="M6688" s="355"/>
    </row>
    <row r="6689" spans="5:13">
      <c r="E6689" s="355"/>
      <c r="F6689" s="355"/>
      <c r="G6689" s="355"/>
      <c r="H6689" s="355"/>
      <c r="I6689" s="355"/>
      <c r="J6689" s="355"/>
      <c r="K6689" s="355"/>
      <c r="L6689" s="355"/>
      <c r="M6689" s="355"/>
    </row>
    <row r="6690" spans="5:13">
      <c r="E6690" s="355"/>
      <c r="F6690" s="355"/>
      <c r="G6690" s="355"/>
      <c r="H6690" s="355"/>
      <c r="I6690" s="355"/>
      <c r="J6690" s="355"/>
      <c r="K6690" s="355"/>
      <c r="L6690" s="355"/>
      <c r="M6690" s="355"/>
    </row>
    <row r="6691" spans="5:13">
      <c r="E6691" s="355"/>
      <c r="F6691" s="355"/>
      <c r="G6691" s="355"/>
      <c r="H6691" s="355"/>
      <c r="I6691" s="355"/>
      <c r="J6691" s="355"/>
      <c r="K6691" s="355"/>
      <c r="L6691" s="355"/>
      <c r="M6691" s="355"/>
    </row>
    <row r="6692" spans="5:13">
      <c r="E6692" s="355"/>
      <c r="F6692" s="355"/>
      <c r="G6692" s="355"/>
      <c r="H6692" s="355"/>
      <c r="I6692" s="355"/>
      <c r="J6692" s="355"/>
      <c r="K6692" s="355"/>
      <c r="L6692" s="355"/>
      <c r="M6692" s="355"/>
    </row>
    <row r="6693" spans="5:13">
      <c r="E6693" s="355"/>
      <c r="F6693" s="355"/>
      <c r="G6693" s="355"/>
      <c r="H6693" s="355"/>
      <c r="I6693" s="355"/>
      <c r="J6693" s="355"/>
      <c r="K6693" s="355"/>
      <c r="L6693" s="355"/>
      <c r="M6693" s="355"/>
    </row>
    <row r="6694" spans="5:13">
      <c r="E6694" s="355"/>
      <c r="F6694" s="355"/>
      <c r="G6694" s="355"/>
      <c r="H6694" s="355"/>
      <c r="I6694" s="355"/>
      <c r="J6694" s="355"/>
      <c r="K6694" s="355"/>
      <c r="L6694" s="355"/>
      <c r="M6694" s="355"/>
    </row>
    <row r="6695" spans="5:13">
      <c r="E6695" s="355"/>
      <c r="F6695" s="355"/>
      <c r="G6695" s="355"/>
      <c r="H6695" s="355"/>
      <c r="I6695" s="355"/>
      <c r="J6695" s="355"/>
      <c r="K6695" s="355"/>
      <c r="L6695" s="355"/>
      <c r="M6695" s="355"/>
    </row>
    <row r="6696" spans="5:13">
      <c r="E6696" s="355"/>
      <c r="F6696" s="355"/>
      <c r="G6696" s="355"/>
      <c r="H6696" s="355"/>
      <c r="I6696" s="355"/>
      <c r="J6696" s="355"/>
      <c r="K6696" s="355"/>
      <c r="L6696" s="355"/>
      <c r="M6696" s="355"/>
    </row>
    <row r="6697" spans="5:13">
      <c r="E6697" s="355"/>
      <c r="F6697" s="355"/>
      <c r="G6697" s="355"/>
      <c r="H6697" s="355"/>
      <c r="I6697" s="355"/>
      <c r="J6697" s="355"/>
      <c r="K6697" s="355"/>
      <c r="L6697" s="355"/>
      <c r="M6697" s="355"/>
    </row>
    <row r="6698" spans="5:13">
      <c r="E6698" s="355"/>
      <c r="F6698" s="355"/>
      <c r="G6698" s="355"/>
      <c r="H6698" s="355"/>
      <c r="I6698" s="355"/>
      <c r="J6698" s="355"/>
      <c r="K6698" s="355"/>
      <c r="L6698" s="355"/>
      <c r="M6698" s="355"/>
    </row>
    <row r="6699" spans="5:13">
      <c r="E6699" s="355"/>
      <c r="F6699" s="355"/>
      <c r="G6699" s="355"/>
      <c r="H6699" s="355"/>
      <c r="I6699" s="355"/>
      <c r="J6699" s="355"/>
      <c r="K6699" s="355"/>
      <c r="L6699" s="355"/>
      <c r="M6699" s="355"/>
    </row>
    <row r="6700" spans="5:13">
      <c r="E6700" s="355"/>
      <c r="F6700" s="355"/>
      <c r="G6700" s="355"/>
      <c r="H6700" s="355"/>
      <c r="I6700" s="355"/>
      <c r="J6700" s="355"/>
      <c r="K6700" s="355"/>
      <c r="L6700" s="355"/>
      <c r="M6700" s="355"/>
    </row>
    <row r="6701" spans="5:13">
      <c r="E6701" s="355"/>
      <c r="F6701" s="355"/>
      <c r="G6701" s="355"/>
      <c r="H6701" s="355"/>
      <c r="I6701" s="355"/>
      <c r="J6701" s="355"/>
      <c r="K6701" s="355"/>
      <c r="L6701" s="355"/>
      <c r="M6701" s="355"/>
    </row>
    <row r="6702" spans="5:13">
      <c r="E6702" s="355"/>
      <c r="F6702" s="355"/>
      <c r="G6702" s="355"/>
      <c r="H6702" s="355"/>
      <c r="I6702" s="355"/>
      <c r="J6702" s="355"/>
      <c r="K6702" s="355"/>
      <c r="L6702" s="355"/>
      <c r="M6702" s="355"/>
    </row>
    <row r="6703" spans="5:13">
      <c r="E6703" s="355"/>
      <c r="F6703" s="355"/>
      <c r="G6703" s="355"/>
      <c r="H6703" s="355"/>
      <c r="I6703" s="355"/>
      <c r="J6703" s="355"/>
      <c r="K6703" s="355"/>
      <c r="L6703" s="355"/>
      <c r="M6703" s="355"/>
    </row>
    <row r="6704" spans="5:13">
      <c r="E6704" s="355"/>
      <c r="F6704" s="355"/>
      <c r="G6704" s="355"/>
      <c r="H6704" s="355"/>
      <c r="I6704" s="355"/>
      <c r="J6704" s="355"/>
      <c r="K6704" s="355"/>
      <c r="L6704" s="355"/>
      <c r="M6704" s="355"/>
    </row>
    <row r="6705" spans="5:13">
      <c r="E6705" s="355"/>
      <c r="F6705" s="355"/>
      <c r="G6705" s="355"/>
      <c r="H6705" s="355"/>
      <c r="I6705" s="355"/>
      <c r="J6705" s="355"/>
      <c r="K6705" s="355"/>
      <c r="L6705" s="355"/>
      <c r="M6705" s="355"/>
    </row>
    <row r="6706" spans="5:13">
      <c r="E6706" s="355"/>
      <c r="F6706" s="355"/>
      <c r="G6706" s="355"/>
      <c r="H6706" s="355"/>
      <c r="I6706" s="355"/>
      <c r="J6706" s="355"/>
      <c r="K6706" s="355"/>
      <c r="L6706" s="355"/>
      <c r="M6706" s="355"/>
    </row>
    <row r="6707" spans="5:13">
      <c r="E6707" s="355"/>
      <c r="F6707" s="355"/>
      <c r="G6707" s="355"/>
      <c r="H6707" s="355"/>
      <c r="I6707" s="355"/>
      <c r="J6707" s="355"/>
      <c r="K6707" s="355"/>
      <c r="L6707" s="355"/>
      <c r="M6707" s="355"/>
    </row>
    <row r="6708" spans="5:13">
      <c r="E6708" s="355"/>
      <c r="F6708" s="355"/>
      <c r="G6708" s="355"/>
      <c r="H6708" s="355"/>
      <c r="I6708" s="355"/>
      <c r="J6708" s="355"/>
      <c r="K6708" s="355"/>
      <c r="L6708" s="355"/>
      <c r="M6708" s="355"/>
    </row>
    <row r="6709" spans="5:13">
      <c r="E6709" s="355"/>
      <c r="F6709" s="355"/>
      <c r="G6709" s="355"/>
      <c r="H6709" s="355"/>
      <c r="I6709" s="355"/>
      <c r="J6709" s="355"/>
      <c r="K6709" s="355"/>
      <c r="L6709" s="355"/>
      <c r="M6709" s="355"/>
    </row>
    <row r="6710" spans="5:13">
      <c r="E6710" s="355"/>
      <c r="F6710" s="355"/>
      <c r="G6710" s="355"/>
      <c r="H6710" s="355"/>
      <c r="I6710" s="355"/>
      <c r="J6710" s="355"/>
      <c r="K6710" s="355"/>
      <c r="L6710" s="355"/>
      <c r="M6710" s="355"/>
    </row>
    <row r="6711" spans="5:13">
      <c r="E6711" s="355"/>
      <c r="F6711" s="355"/>
      <c r="G6711" s="355"/>
      <c r="H6711" s="355"/>
      <c r="I6711" s="355"/>
      <c r="J6711" s="355"/>
      <c r="K6711" s="355"/>
      <c r="L6711" s="355"/>
      <c r="M6711" s="355"/>
    </row>
    <row r="6712" spans="5:13">
      <c r="E6712" s="355"/>
      <c r="F6712" s="355"/>
      <c r="G6712" s="355"/>
      <c r="H6712" s="355"/>
      <c r="I6712" s="355"/>
      <c r="J6712" s="355"/>
      <c r="K6712" s="355"/>
      <c r="L6712" s="355"/>
      <c r="M6712" s="355"/>
    </row>
    <row r="6713" spans="5:13">
      <c r="E6713" s="355"/>
      <c r="F6713" s="355"/>
      <c r="G6713" s="355"/>
      <c r="H6713" s="355"/>
      <c r="I6713" s="355"/>
      <c r="J6713" s="355"/>
      <c r="K6713" s="355"/>
      <c r="L6713" s="355"/>
      <c r="M6713" s="355"/>
    </row>
    <row r="6714" spans="5:13">
      <c r="E6714" s="355"/>
      <c r="F6714" s="355"/>
      <c r="G6714" s="355"/>
      <c r="H6714" s="355"/>
      <c r="I6714" s="355"/>
      <c r="J6714" s="355"/>
      <c r="K6714" s="355"/>
      <c r="L6714" s="355"/>
      <c r="M6714" s="355"/>
    </row>
    <row r="6715" spans="5:13">
      <c r="E6715" s="355"/>
      <c r="F6715" s="355"/>
      <c r="G6715" s="355"/>
      <c r="H6715" s="355"/>
      <c r="I6715" s="355"/>
      <c r="J6715" s="355"/>
      <c r="K6715" s="355"/>
      <c r="L6715" s="355"/>
      <c r="M6715" s="355"/>
    </row>
    <row r="6716" spans="5:13">
      <c r="E6716" s="355"/>
      <c r="F6716" s="355"/>
      <c r="G6716" s="355"/>
      <c r="H6716" s="355"/>
      <c r="I6716" s="355"/>
      <c r="J6716" s="355"/>
      <c r="K6716" s="355"/>
      <c r="L6716" s="355"/>
      <c r="M6716" s="355"/>
    </row>
    <row r="6717" spans="5:13">
      <c r="E6717" s="355"/>
      <c r="F6717" s="355"/>
      <c r="G6717" s="355"/>
      <c r="H6717" s="355"/>
      <c r="I6717" s="355"/>
      <c r="J6717" s="355"/>
      <c r="K6717" s="355"/>
      <c r="L6717" s="355"/>
      <c r="M6717" s="355"/>
    </row>
    <row r="6718" spans="5:13">
      <c r="E6718" s="355"/>
      <c r="F6718" s="355"/>
      <c r="G6718" s="355"/>
      <c r="H6718" s="355"/>
      <c r="I6718" s="355"/>
      <c r="J6718" s="355"/>
      <c r="K6718" s="355"/>
      <c r="L6718" s="355"/>
      <c r="M6718" s="355"/>
    </row>
    <row r="6719" spans="5:13">
      <c r="E6719" s="355"/>
      <c r="F6719" s="355"/>
      <c r="G6719" s="355"/>
      <c r="H6719" s="355"/>
      <c r="I6719" s="355"/>
      <c r="J6719" s="355"/>
      <c r="K6719" s="355"/>
      <c r="L6719" s="355"/>
      <c r="M6719" s="355"/>
    </row>
    <row r="6720" spans="5:13">
      <c r="E6720" s="355"/>
      <c r="F6720" s="355"/>
      <c r="G6720" s="355"/>
      <c r="H6720" s="355"/>
      <c r="I6720" s="355"/>
      <c r="J6720" s="355"/>
      <c r="K6720" s="355"/>
      <c r="L6720" s="355"/>
      <c r="M6720" s="355"/>
    </row>
    <row r="6721" spans="5:13">
      <c r="E6721" s="355"/>
      <c r="F6721" s="355"/>
      <c r="G6721" s="355"/>
      <c r="H6721" s="355"/>
      <c r="I6721" s="355"/>
      <c r="J6721" s="355"/>
      <c r="K6721" s="355"/>
      <c r="L6721" s="355"/>
      <c r="M6721" s="355"/>
    </row>
    <row r="6722" spans="5:13">
      <c r="E6722" s="355"/>
      <c r="F6722" s="355"/>
      <c r="G6722" s="355"/>
      <c r="H6722" s="355"/>
      <c r="I6722" s="355"/>
      <c r="J6722" s="355"/>
      <c r="K6722" s="355"/>
      <c r="L6722" s="355"/>
      <c r="M6722" s="355"/>
    </row>
    <row r="6723" spans="5:13">
      <c r="E6723" s="355"/>
      <c r="F6723" s="355"/>
      <c r="G6723" s="355"/>
      <c r="H6723" s="355"/>
      <c r="I6723" s="355"/>
      <c r="J6723" s="355"/>
      <c r="K6723" s="355"/>
      <c r="L6723" s="355"/>
      <c r="M6723" s="355"/>
    </row>
    <row r="6724" spans="5:13">
      <c r="E6724" s="355"/>
      <c r="F6724" s="355"/>
      <c r="G6724" s="355"/>
      <c r="H6724" s="355"/>
      <c r="I6724" s="355"/>
      <c r="J6724" s="355"/>
      <c r="K6724" s="355"/>
      <c r="L6724" s="355"/>
      <c r="M6724" s="355"/>
    </row>
    <row r="6725" spans="5:13">
      <c r="E6725" s="355"/>
      <c r="F6725" s="355"/>
      <c r="G6725" s="355"/>
      <c r="H6725" s="355"/>
      <c r="I6725" s="355"/>
      <c r="J6725" s="355"/>
      <c r="K6725" s="355"/>
      <c r="L6725" s="355"/>
      <c r="M6725" s="355"/>
    </row>
    <row r="6726" spans="5:13">
      <c r="E6726" s="355"/>
      <c r="F6726" s="355"/>
      <c r="G6726" s="355"/>
      <c r="H6726" s="355"/>
      <c r="I6726" s="355"/>
      <c r="J6726" s="355"/>
      <c r="K6726" s="355"/>
      <c r="L6726" s="355"/>
      <c r="M6726" s="355"/>
    </row>
    <row r="6727" spans="5:13">
      <c r="E6727" s="355"/>
      <c r="F6727" s="355"/>
      <c r="G6727" s="355"/>
      <c r="H6727" s="355"/>
      <c r="I6727" s="355"/>
      <c r="J6727" s="355"/>
      <c r="K6727" s="355"/>
      <c r="L6727" s="355"/>
      <c r="M6727" s="355"/>
    </row>
    <row r="6728" spans="5:13">
      <c r="E6728" s="355"/>
      <c r="F6728" s="355"/>
      <c r="G6728" s="355"/>
      <c r="H6728" s="355"/>
      <c r="I6728" s="355"/>
      <c r="J6728" s="355"/>
      <c r="K6728" s="355"/>
      <c r="L6728" s="355"/>
      <c r="M6728" s="355"/>
    </row>
    <row r="6729" spans="5:13">
      <c r="E6729" s="355"/>
      <c r="F6729" s="355"/>
      <c r="G6729" s="355"/>
      <c r="H6729" s="355"/>
      <c r="I6729" s="355"/>
      <c r="J6729" s="355"/>
      <c r="K6729" s="355"/>
      <c r="L6729" s="355"/>
      <c r="M6729" s="355"/>
    </row>
    <row r="6730" spans="5:13">
      <c r="E6730" s="355"/>
      <c r="F6730" s="355"/>
      <c r="G6730" s="355"/>
      <c r="H6730" s="355"/>
      <c r="I6730" s="355"/>
      <c r="J6730" s="355"/>
      <c r="K6730" s="355"/>
      <c r="L6730" s="355"/>
      <c r="M6730" s="355"/>
    </row>
    <row r="6731" spans="5:13">
      <c r="E6731" s="355"/>
      <c r="F6731" s="355"/>
      <c r="G6731" s="355"/>
      <c r="H6731" s="355"/>
      <c r="I6731" s="355"/>
      <c r="J6731" s="355"/>
      <c r="K6731" s="355"/>
      <c r="L6731" s="355"/>
      <c r="M6731" s="355"/>
    </row>
    <row r="6732" spans="5:13">
      <c r="E6732" s="355"/>
      <c r="F6732" s="355"/>
      <c r="G6732" s="355"/>
      <c r="H6732" s="355"/>
      <c r="I6732" s="355"/>
      <c r="J6732" s="355"/>
      <c r="K6732" s="355"/>
      <c r="L6732" s="355"/>
      <c r="M6732" s="355"/>
    </row>
    <row r="6733" spans="5:13">
      <c r="E6733" s="355"/>
      <c r="F6733" s="355"/>
      <c r="G6733" s="355"/>
      <c r="H6733" s="355"/>
      <c r="I6733" s="355"/>
      <c r="J6733" s="355"/>
      <c r="K6733" s="355"/>
      <c r="L6733" s="355"/>
      <c r="M6733" s="355"/>
    </row>
    <row r="6734" spans="5:13">
      <c r="E6734" s="355"/>
      <c r="F6734" s="355"/>
      <c r="G6734" s="355"/>
      <c r="H6734" s="355"/>
      <c r="I6734" s="355"/>
      <c r="J6734" s="355"/>
      <c r="K6734" s="355"/>
      <c r="L6734" s="355"/>
      <c r="M6734" s="355"/>
    </row>
    <row r="6735" spans="5:13">
      <c r="E6735" s="355"/>
      <c r="F6735" s="355"/>
      <c r="G6735" s="355"/>
      <c r="H6735" s="355"/>
      <c r="I6735" s="355"/>
      <c r="J6735" s="355"/>
      <c r="K6735" s="355"/>
      <c r="L6735" s="355"/>
      <c r="M6735" s="355"/>
    </row>
    <row r="6736" spans="5:13">
      <c r="E6736" s="355"/>
      <c r="F6736" s="355"/>
      <c r="G6736" s="355"/>
      <c r="H6736" s="355"/>
      <c r="I6736" s="355"/>
      <c r="J6736" s="355"/>
      <c r="K6736" s="355"/>
      <c r="L6736" s="355"/>
      <c r="M6736" s="355"/>
    </row>
    <row r="6737" spans="5:13">
      <c r="E6737" s="355"/>
      <c r="F6737" s="355"/>
      <c r="G6737" s="355"/>
      <c r="H6737" s="355"/>
      <c r="I6737" s="355"/>
      <c r="J6737" s="355"/>
      <c r="K6737" s="355"/>
      <c r="L6737" s="355"/>
      <c r="M6737" s="355"/>
    </row>
    <row r="6738" spans="5:13">
      <c r="E6738" s="355"/>
      <c r="F6738" s="355"/>
      <c r="G6738" s="355"/>
      <c r="H6738" s="355"/>
      <c r="I6738" s="355"/>
      <c r="J6738" s="355"/>
      <c r="K6738" s="355"/>
      <c r="L6738" s="355"/>
      <c r="M6738" s="355"/>
    </row>
    <row r="6739" spans="5:13">
      <c r="E6739" s="355"/>
      <c r="F6739" s="355"/>
      <c r="G6739" s="355"/>
      <c r="H6739" s="355"/>
      <c r="I6739" s="355"/>
      <c r="J6739" s="355"/>
      <c r="K6739" s="355"/>
      <c r="L6739" s="355"/>
      <c r="M6739" s="355"/>
    </row>
    <row r="6740" spans="5:13">
      <c r="E6740" s="355"/>
      <c r="F6740" s="355"/>
      <c r="G6740" s="355"/>
      <c r="H6740" s="355"/>
      <c r="I6740" s="355"/>
      <c r="J6740" s="355"/>
      <c r="K6740" s="355"/>
      <c r="L6740" s="355"/>
      <c r="M6740" s="355"/>
    </row>
    <row r="6741" spans="5:13">
      <c r="E6741" s="355"/>
      <c r="F6741" s="355"/>
      <c r="G6741" s="355"/>
      <c r="H6741" s="355"/>
      <c r="I6741" s="355"/>
      <c r="J6741" s="355"/>
      <c r="K6741" s="355"/>
      <c r="L6741" s="355"/>
      <c r="M6741" s="355"/>
    </row>
    <row r="6742" spans="5:13">
      <c r="E6742" s="355"/>
      <c r="F6742" s="355"/>
      <c r="G6742" s="355"/>
      <c r="H6742" s="355"/>
      <c r="I6742" s="355"/>
      <c r="J6742" s="355"/>
      <c r="K6742" s="355"/>
      <c r="L6742" s="355"/>
      <c r="M6742" s="355"/>
    </row>
    <row r="6743" spans="5:13">
      <c r="E6743" s="355"/>
      <c r="F6743" s="355"/>
      <c r="G6743" s="355"/>
      <c r="H6743" s="355"/>
      <c r="I6743" s="355"/>
      <c r="J6743" s="355"/>
      <c r="K6743" s="355"/>
      <c r="L6743" s="355"/>
      <c r="M6743" s="355"/>
    </row>
    <row r="6744" spans="5:13">
      <c r="E6744" s="355"/>
      <c r="F6744" s="355"/>
      <c r="G6744" s="355"/>
      <c r="H6744" s="355"/>
      <c r="I6744" s="355"/>
      <c r="J6744" s="355"/>
      <c r="K6744" s="355"/>
      <c r="L6744" s="355"/>
      <c r="M6744" s="355"/>
    </row>
    <row r="6745" spans="5:13">
      <c r="E6745" s="355"/>
      <c r="F6745" s="355"/>
      <c r="G6745" s="355"/>
      <c r="H6745" s="355"/>
      <c r="I6745" s="355"/>
      <c r="J6745" s="355"/>
      <c r="K6745" s="355"/>
      <c r="L6745" s="355"/>
      <c r="M6745" s="355"/>
    </row>
    <row r="6746" spans="5:13">
      <c r="E6746" s="355"/>
      <c r="F6746" s="355"/>
      <c r="G6746" s="355"/>
      <c r="H6746" s="355"/>
      <c r="I6746" s="355"/>
      <c r="J6746" s="355"/>
      <c r="K6746" s="355"/>
      <c r="L6746" s="355"/>
      <c r="M6746" s="355"/>
    </row>
    <row r="6747" spans="5:13">
      <c r="E6747" s="355"/>
      <c r="F6747" s="355"/>
      <c r="G6747" s="355"/>
      <c r="H6747" s="355"/>
      <c r="I6747" s="355"/>
      <c r="J6747" s="355"/>
      <c r="K6747" s="355"/>
      <c r="L6747" s="355"/>
      <c r="M6747" s="355"/>
    </row>
    <row r="6748" spans="5:13">
      <c r="E6748" s="355"/>
      <c r="F6748" s="355"/>
      <c r="G6748" s="355"/>
      <c r="H6748" s="355"/>
      <c r="I6748" s="355"/>
      <c r="J6748" s="355"/>
      <c r="K6748" s="355"/>
      <c r="L6748" s="355"/>
      <c r="M6748" s="355"/>
    </row>
    <row r="6749" spans="5:13">
      <c r="E6749" s="355"/>
      <c r="F6749" s="355"/>
      <c r="G6749" s="355"/>
      <c r="H6749" s="355"/>
      <c r="I6749" s="355"/>
      <c r="J6749" s="355"/>
      <c r="K6749" s="355"/>
      <c r="L6749" s="355"/>
      <c r="M6749" s="355"/>
    </row>
    <row r="6750" spans="5:13">
      <c r="E6750" s="355"/>
      <c r="F6750" s="355"/>
      <c r="G6750" s="355"/>
      <c r="H6750" s="355"/>
      <c r="I6750" s="355"/>
      <c r="J6750" s="355"/>
      <c r="K6750" s="355"/>
      <c r="L6750" s="355"/>
      <c r="M6750" s="355"/>
    </row>
    <row r="6751" spans="5:13">
      <c r="E6751" s="355"/>
      <c r="F6751" s="355"/>
      <c r="G6751" s="355"/>
      <c r="H6751" s="355"/>
      <c r="I6751" s="355"/>
      <c r="J6751" s="355"/>
      <c r="K6751" s="355"/>
      <c r="L6751" s="355"/>
      <c r="M6751" s="355"/>
    </row>
    <row r="6752" spans="5:13">
      <c r="E6752" s="355"/>
      <c r="F6752" s="355"/>
      <c r="G6752" s="355"/>
      <c r="H6752" s="355"/>
      <c r="I6752" s="355"/>
      <c r="J6752" s="355"/>
      <c r="K6752" s="355"/>
      <c r="L6752" s="355"/>
      <c r="M6752" s="355"/>
    </row>
    <row r="6753" spans="5:13">
      <c r="E6753" s="355"/>
      <c r="F6753" s="355"/>
      <c r="G6753" s="355"/>
      <c r="H6753" s="355"/>
      <c r="I6753" s="355"/>
      <c r="J6753" s="355"/>
      <c r="K6753" s="355"/>
      <c r="L6753" s="355"/>
      <c r="M6753" s="355"/>
    </row>
    <row r="6754" spans="5:13">
      <c r="E6754" s="355"/>
      <c r="F6754" s="355"/>
      <c r="G6754" s="355"/>
      <c r="H6754" s="355"/>
      <c r="I6754" s="355"/>
      <c r="J6754" s="355"/>
      <c r="K6754" s="355"/>
      <c r="L6754" s="355"/>
      <c r="M6754" s="355"/>
    </row>
    <row r="6755" spans="5:13">
      <c r="E6755" s="355"/>
      <c r="F6755" s="355"/>
      <c r="G6755" s="355"/>
      <c r="H6755" s="355"/>
      <c r="I6755" s="355"/>
      <c r="J6755" s="355"/>
      <c r="K6755" s="355"/>
      <c r="L6755" s="355"/>
      <c r="M6755" s="355"/>
    </row>
    <row r="6756" spans="5:13">
      <c r="E6756" s="355"/>
      <c r="F6756" s="355"/>
      <c r="G6756" s="355"/>
      <c r="H6756" s="355"/>
      <c r="I6756" s="355"/>
      <c r="J6756" s="355"/>
      <c r="K6756" s="355"/>
      <c r="L6756" s="355"/>
      <c r="M6756" s="355"/>
    </row>
    <row r="6757" spans="5:13">
      <c r="E6757" s="355"/>
      <c r="F6757" s="355"/>
      <c r="G6757" s="355"/>
      <c r="H6757" s="355"/>
      <c r="I6757" s="355"/>
      <c r="J6757" s="355"/>
      <c r="K6757" s="355"/>
      <c r="L6757" s="355"/>
      <c r="M6757" s="355"/>
    </row>
    <row r="6758" spans="5:13">
      <c r="E6758" s="355"/>
      <c r="F6758" s="355"/>
      <c r="G6758" s="355"/>
      <c r="H6758" s="355"/>
      <c r="I6758" s="355"/>
      <c r="J6758" s="355"/>
      <c r="K6758" s="355"/>
      <c r="L6758" s="355"/>
      <c r="M6758" s="355"/>
    </row>
    <row r="6759" spans="5:13">
      <c r="E6759" s="355"/>
      <c r="F6759" s="355"/>
      <c r="G6759" s="355"/>
      <c r="H6759" s="355"/>
      <c r="I6759" s="355"/>
      <c r="J6759" s="355"/>
      <c r="K6759" s="355"/>
      <c r="L6759" s="355"/>
      <c r="M6759" s="355"/>
    </row>
    <row r="6760" spans="5:13">
      <c r="E6760" s="355"/>
      <c r="F6760" s="355"/>
      <c r="G6760" s="355"/>
      <c r="H6760" s="355"/>
      <c r="I6760" s="355"/>
      <c r="J6760" s="355"/>
      <c r="K6760" s="355"/>
      <c r="L6760" s="355"/>
      <c r="M6760" s="355"/>
    </row>
    <row r="6761" spans="5:13">
      <c r="E6761" s="355"/>
      <c r="F6761" s="355"/>
      <c r="G6761" s="355"/>
      <c r="H6761" s="355"/>
      <c r="I6761" s="355"/>
      <c r="J6761" s="355"/>
      <c r="K6761" s="355"/>
      <c r="L6761" s="355"/>
      <c r="M6761" s="355"/>
    </row>
    <row r="6762" spans="5:13">
      <c r="E6762" s="355"/>
      <c r="F6762" s="355"/>
      <c r="G6762" s="355"/>
      <c r="H6762" s="355"/>
      <c r="I6762" s="355"/>
      <c r="J6762" s="355"/>
      <c r="K6762" s="355"/>
      <c r="L6762" s="355"/>
      <c r="M6762" s="355"/>
    </row>
    <row r="6763" spans="5:13">
      <c r="E6763" s="355"/>
      <c r="F6763" s="355"/>
      <c r="G6763" s="355"/>
      <c r="H6763" s="355"/>
      <c r="I6763" s="355"/>
      <c r="J6763" s="355"/>
      <c r="K6763" s="355"/>
      <c r="L6763" s="355"/>
      <c r="M6763" s="355"/>
    </row>
    <row r="6764" spans="5:13">
      <c r="E6764" s="355"/>
      <c r="F6764" s="355"/>
      <c r="G6764" s="355"/>
      <c r="H6764" s="355"/>
      <c r="I6764" s="355"/>
      <c r="J6764" s="355"/>
      <c r="K6764" s="355"/>
      <c r="L6764" s="355"/>
      <c r="M6764" s="355"/>
    </row>
    <row r="6765" spans="5:13">
      <c r="E6765" s="355"/>
      <c r="F6765" s="355"/>
      <c r="G6765" s="355"/>
      <c r="H6765" s="355"/>
      <c r="I6765" s="355"/>
      <c r="J6765" s="355"/>
      <c r="K6765" s="355"/>
      <c r="L6765" s="355"/>
      <c r="M6765" s="355"/>
    </row>
    <row r="6766" spans="5:13">
      <c r="E6766" s="355"/>
      <c r="F6766" s="355"/>
      <c r="G6766" s="355"/>
      <c r="H6766" s="355"/>
      <c r="I6766" s="355"/>
      <c r="J6766" s="355"/>
      <c r="K6766" s="355"/>
      <c r="L6766" s="355"/>
      <c r="M6766" s="355"/>
    </row>
    <row r="6767" spans="5:13">
      <c r="E6767" s="355"/>
      <c r="F6767" s="355"/>
      <c r="G6767" s="355"/>
      <c r="H6767" s="355"/>
      <c r="I6767" s="355"/>
      <c r="J6767" s="355"/>
      <c r="K6767" s="355"/>
      <c r="L6767" s="355"/>
      <c r="M6767" s="355"/>
    </row>
    <row r="6768" spans="5:13">
      <c r="E6768" s="355"/>
      <c r="F6768" s="355"/>
      <c r="G6768" s="355"/>
      <c r="H6768" s="355"/>
      <c r="I6768" s="355"/>
      <c r="J6768" s="355"/>
      <c r="K6768" s="355"/>
      <c r="L6768" s="355"/>
      <c r="M6768" s="355"/>
    </row>
    <row r="6769" spans="5:13">
      <c r="E6769" s="355"/>
      <c r="F6769" s="355"/>
      <c r="G6769" s="355"/>
      <c r="H6769" s="355"/>
      <c r="I6769" s="355"/>
      <c r="J6769" s="355"/>
      <c r="K6769" s="355"/>
      <c r="L6769" s="355"/>
      <c r="M6769" s="355"/>
    </row>
    <row r="6770" spans="5:13">
      <c r="E6770" s="355"/>
      <c r="F6770" s="355"/>
      <c r="G6770" s="355"/>
      <c r="H6770" s="355"/>
      <c r="I6770" s="355"/>
      <c r="J6770" s="355"/>
      <c r="K6770" s="355"/>
      <c r="L6770" s="355"/>
      <c r="M6770" s="355"/>
    </row>
    <row r="6771" spans="5:13">
      <c r="E6771" s="355"/>
      <c r="F6771" s="355"/>
      <c r="G6771" s="355"/>
      <c r="H6771" s="355"/>
      <c r="I6771" s="355"/>
      <c r="J6771" s="355"/>
      <c r="K6771" s="355"/>
      <c r="L6771" s="355"/>
      <c r="M6771" s="355"/>
    </row>
    <row r="6772" spans="5:13">
      <c r="E6772" s="355"/>
      <c r="F6772" s="355"/>
      <c r="G6772" s="355"/>
      <c r="H6772" s="355"/>
      <c r="I6772" s="355"/>
      <c r="J6772" s="355"/>
      <c r="K6772" s="355"/>
      <c r="L6772" s="355"/>
      <c r="M6772" s="355"/>
    </row>
    <row r="6773" spans="5:13">
      <c r="E6773" s="355"/>
      <c r="F6773" s="355"/>
      <c r="G6773" s="355"/>
      <c r="H6773" s="355"/>
      <c r="I6773" s="355"/>
      <c r="J6773" s="355"/>
      <c r="K6773" s="355"/>
      <c r="L6773" s="355"/>
      <c r="M6773" s="355"/>
    </row>
    <row r="6774" spans="5:13">
      <c r="E6774" s="355"/>
      <c r="F6774" s="355"/>
      <c r="G6774" s="355"/>
      <c r="H6774" s="355"/>
      <c r="I6774" s="355"/>
      <c r="J6774" s="355"/>
      <c r="K6774" s="355"/>
      <c r="L6774" s="355"/>
      <c r="M6774" s="355"/>
    </row>
    <row r="6775" spans="5:13">
      <c r="E6775" s="355"/>
      <c r="F6775" s="355"/>
      <c r="G6775" s="355"/>
      <c r="H6775" s="355"/>
      <c r="I6775" s="355"/>
      <c r="J6775" s="355"/>
      <c r="K6775" s="355"/>
      <c r="L6775" s="355"/>
      <c r="M6775" s="355"/>
    </row>
    <row r="6776" spans="5:13">
      <c r="E6776" s="355"/>
      <c r="F6776" s="355"/>
      <c r="G6776" s="355"/>
      <c r="H6776" s="355"/>
      <c r="I6776" s="355"/>
      <c r="J6776" s="355"/>
      <c r="K6776" s="355"/>
      <c r="L6776" s="355"/>
      <c r="M6776" s="355"/>
    </row>
    <row r="6777" spans="5:13">
      <c r="E6777" s="355"/>
      <c r="F6777" s="355"/>
      <c r="G6777" s="355"/>
      <c r="H6777" s="355"/>
      <c r="I6777" s="355"/>
      <c r="J6777" s="355"/>
      <c r="K6777" s="355"/>
      <c r="L6777" s="355"/>
      <c r="M6777" s="355"/>
    </row>
    <row r="6778" spans="5:13">
      <c r="E6778" s="355"/>
      <c r="F6778" s="355"/>
      <c r="G6778" s="355"/>
      <c r="H6778" s="355"/>
      <c r="I6778" s="355"/>
      <c r="J6778" s="355"/>
      <c r="K6778" s="355"/>
      <c r="L6778" s="355"/>
      <c r="M6778" s="355"/>
    </row>
    <row r="6779" spans="5:13">
      <c r="E6779" s="355"/>
      <c r="F6779" s="355"/>
      <c r="G6779" s="355"/>
      <c r="H6779" s="355"/>
      <c r="I6779" s="355"/>
      <c r="J6779" s="355"/>
      <c r="K6779" s="355"/>
      <c r="L6779" s="355"/>
      <c r="M6779" s="355"/>
    </row>
    <row r="6780" spans="5:13">
      <c r="E6780" s="355"/>
      <c r="F6780" s="355"/>
      <c r="G6780" s="355"/>
      <c r="H6780" s="355"/>
      <c r="I6780" s="355"/>
      <c r="J6780" s="355"/>
      <c r="K6780" s="355"/>
      <c r="L6780" s="355"/>
      <c r="M6780" s="355"/>
    </row>
    <row r="6781" spans="5:13">
      <c r="E6781" s="355"/>
      <c r="F6781" s="355"/>
      <c r="G6781" s="355"/>
      <c r="H6781" s="355"/>
      <c r="I6781" s="355"/>
      <c r="J6781" s="355"/>
      <c r="K6781" s="355"/>
      <c r="L6781" s="355"/>
      <c r="M6781" s="355"/>
    </row>
    <row r="6782" spans="5:13">
      <c r="E6782" s="355"/>
      <c r="F6782" s="355"/>
      <c r="G6782" s="355"/>
      <c r="H6782" s="355"/>
      <c r="I6782" s="355"/>
      <c r="J6782" s="355"/>
      <c r="K6782" s="355"/>
      <c r="L6782" s="355"/>
      <c r="M6782" s="355"/>
    </row>
    <row r="6783" spans="5:13">
      <c r="E6783" s="355"/>
      <c r="F6783" s="355"/>
      <c r="G6783" s="355"/>
      <c r="H6783" s="355"/>
      <c r="I6783" s="355"/>
      <c r="J6783" s="355"/>
      <c r="K6783" s="355"/>
      <c r="L6783" s="355"/>
      <c r="M6783" s="355"/>
    </row>
    <row r="6784" spans="5:13">
      <c r="E6784" s="355"/>
      <c r="F6784" s="355"/>
      <c r="G6784" s="355"/>
      <c r="H6784" s="355"/>
      <c r="I6784" s="355"/>
      <c r="J6784" s="355"/>
      <c r="K6784" s="355"/>
      <c r="L6784" s="355"/>
      <c r="M6784" s="355"/>
    </row>
    <row r="6785" spans="5:13">
      <c r="E6785" s="355"/>
      <c r="F6785" s="355"/>
      <c r="G6785" s="355"/>
      <c r="H6785" s="355"/>
      <c r="I6785" s="355"/>
      <c r="J6785" s="355"/>
      <c r="K6785" s="355"/>
      <c r="L6785" s="355"/>
      <c r="M6785" s="355"/>
    </row>
    <row r="6786" spans="5:13">
      <c r="E6786" s="355"/>
      <c r="F6786" s="355"/>
      <c r="G6786" s="355"/>
      <c r="H6786" s="355"/>
      <c r="I6786" s="355"/>
      <c r="J6786" s="355"/>
      <c r="K6786" s="355"/>
      <c r="L6786" s="355"/>
      <c r="M6786" s="355"/>
    </row>
    <row r="6787" spans="5:13">
      <c r="E6787" s="355"/>
      <c r="F6787" s="355"/>
      <c r="G6787" s="355"/>
      <c r="H6787" s="355"/>
      <c r="I6787" s="355"/>
      <c r="J6787" s="355"/>
      <c r="K6787" s="355"/>
      <c r="L6787" s="355"/>
      <c r="M6787" s="355"/>
    </row>
    <row r="6788" spans="5:13">
      <c r="E6788" s="355"/>
      <c r="F6788" s="355"/>
      <c r="G6788" s="355"/>
      <c r="H6788" s="355"/>
      <c r="I6788" s="355"/>
      <c r="J6788" s="355"/>
      <c r="K6788" s="355"/>
      <c r="L6788" s="355"/>
      <c r="M6788" s="355"/>
    </row>
    <row r="6789" spans="5:13">
      <c r="E6789" s="355"/>
      <c r="F6789" s="355"/>
      <c r="G6789" s="355"/>
      <c r="H6789" s="355"/>
      <c r="I6789" s="355"/>
      <c r="J6789" s="355"/>
      <c r="K6789" s="355"/>
      <c r="L6789" s="355"/>
      <c r="M6789" s="355"/>
    </row>
    <row r="6790" spans="5:13">
      <c r="E6790" s="355"/>
      <c r="F6790" s="355"/>
      <c r="G6790" s="355"/>
      <c r="H6790" s="355"/>
      <c r="I6790" s="355"/>
      <c r="J6790" s="355"/>
      <c r="K6790" s="355"/>
      <c r="L6790" s="355"/>
      <c r="M6790" s="355"/>
    </row>
    <row r="6791" spans="5:13">
      <c r="E6791" s="355"/>
      <c r="F6791" s="355"/>
      <c r="G6791" s="355"/>
      <c r="H6791" s="355"/>
      <c r="I6791" s="355"/>
      <c r="J6791" s="355"/>
      <c r="K6791" s="355"/>
      <c r="L6791" s="355"/>
      <c r="M6791" s="355"/>
    </row>
    <row r="6792" spans="5:13">
      <c r="E6792" s="355"/>
      <c r="F6792" s="355"/>
      <c r="G6792" s="355"/>
      <c r="H6792" s="355"/>
      <c r="I6792" s="355"/>
      <c r="J6792" s="355"/>
      <c r="K6792" s="355"/>
      <c r="L6792" s="355"/>
      <c r="M6792" s="355"/>
    </row>
    <row r="6793" spans="5:13">
      <c r="E6793" s="355"/>
      <c r="F6793" s="355"/>
      <c r="G6793" s="355"/>
      <c r="H6793" s="355"/>
      <c r="I6793" s="355"/>
      <c r="J6793" s="355"/>
      <c r="K6793" s="355"/>
      <c r="L6793" s="355"/>
      <c r="M6793" s="355"/>
    </row>
    <row r="6794" spans="5:13">
      <c r="E6794" s="355"/>
      <c r="F6794" s="355"/>
      <c r="G6794" s="355"/>
      <c r="H6794" s="355"/>
      <c r="I6794" s="355"/>
      <c r="J6794" s="355"/>
      <c r="K6794" s="355"/>
      <c r="L6794" s="355"/>
      <c r="M6794" s="355"/>
    </row>
    <row r="6795" spans="5:13">
      <c r="E6795" s="355"/>
      <c r="F6795" s="355"/>
      <c r="G6795" s="355"/>
      <c r="H6795" s="355"/>
      <c r="I6795" s="355"/>
      <c r="J6795" s="355"/>
      <c r="K6795" s="355"/>
      <c r="L6795" s="355"/>
      <c r="M6795" s="355"/>
    </row>
    <row r="6796" spans="5:13">
      <c r="E6796" s="355"/>
      <c r="F6796" s="355"/>
      <c r="G6796" s="355"/>
      <c r="H6796" s="355"/>
      <c r="I6796" s="355"/>
      <c r="J6796" s="355"/>
      <c r="K6796" s="355"/>
      <c r="L6796" s="355"/>
      <c r="M6796" s="355"/>
    </row>
    <row r="6797" spans="5:13">
      <c r="E6797" s="355"/>
      <c r="F6797" s="355"/>
      <c r="G6797" s="355"/>
      <c r="H6797" s="355"/>
      <c r="I6797" s="355"/>
      <c r="J6797" s="355"/>
      <c r="K6797" s="355"/>
      <c r="L6797" s="355"/>
      <c r="M6797" s="355"/>
    </row>
    <row r="6798" spans="5:13">
      <c r="E6798" s="355"/>
      <c r="F6798" s="355"/>
      <c r="G6798" s="355"/>
      <c r="H6798" s="355"/>
      <c r="I6798" s="355"/>
      <c r="J6798" s="355"/>
      <c r="K6798" s="355"/>
      <c r="L6798" s="355"/>
      <c r="M6798" s="355"/>
    </row>
    <row r="6799" spans="5:13">
      <c r="E6799" s="355"/>
      <c r="F6799" s="355"/>
      <c r="G6799" s="355"/>
      <c r="H6799" s="355"/>
      <c r="I6799" s="355"/>
      <c r="J6799" s="355"/>
      <c r="K6799" s="355"/>
      <c r="L6799" s="355"/>
      <c r="M6799" s="355"/>
    </row>
    <row r="6800" spans="5:13">
      <c r="E6800" s="355"/>
      <c r="F6800" s="355"/>
      <c r="G6800" s="355"/>
      <c r="H6800" s="355"/>
      <c r="I6800" s="355"/>
      <c r="J6800" s="355"/>
      <c r="K6800" s="355"/>
      <c r="L6800" s="355"/>
      <c r="M6800" s="355"/>
    </row>
    <row r="6801" spans="5:13">
      <c r="E6801" s="355"/>
      <c r="F6801" s="355"/>
      <c r="G6801" s="355"/>
      <c r="H6801" s="355"/>
      <c r="I6801" s="355"/>
      <c r="J6801" s="355"/>
      <c r="K6801" s="355"/>
      <c r="L6801" s="355"/>
      <c r="M6801" s="355"/>
    </row>
    <row r="6802" spans="5:13">
      <c r="E6802" s="355"/>
      <c r="F6802" s="355"/>
      <c r="G6802" s="355"/>
      <c r="H6802" s="355"/>
      <c r="I6802" s="355"/>
      <c r="J6802" s="355"/>
      <c r="K6802" s="355"/>
      <c r="L6802" s="355"/>
      <c r="M6802" s="355"/>
    </row>
    <row r="6803" spans="5:13">
      <c r="E6803" s="355"/>
      <c r="F6803" s="355"/>
      <c r="G6803" s="355"/>
      <c r="H6803" s="355"/>
      <c r="I6803" s="355"/>
      <c r="J6803" s="355"/>
      <c r="K6803" s="355"/>
      <c r="L6803" s="355"/>
      <c r="M6803" s="355"/>
    </row>
    <row r="6804" spans="5:13">
      <c r="E6804" s="355"/>
      <c r="F6804" s="355"/>
      <c r="G6804" s="355"/>
      <c r="H6804" s="355"/>
      <c r="I6804" s="355"/>
      <c r="J6804" s="355"/>
      <c r="K6804" s="355"/>
      <c r="L6804" s="355"/>
      <c r="M6804" s="355"/>
    </row>
    <row r="6805" spans="5:13">
      <c r="E6805" s="355"/>
      <c r="F6805" s="355"/>
      <c r="G6805" s="355"/>
      <c r="H6805" s="355"/>
      <c r="I6805" s="355"/>
      <c r="J6805" s="355"/>
      <c r="K6805" s="355"/>
      <c r="L6805" s="355"/>
      <c r="M6805" s="355"/>
    </row>
    <row r="6806" spans="5:13">
      <c r="E6806" s="355"/>
      <c r="F6806" s="355"/>
      <c r="G6806" s="355"/>
      <c r="H6806" s="355"/>
      <c r="I6806" s="355"/>
      <c r="J6806" s="355"/>
      <c r="K6806" s="355"/>
      <c r="L6806" s="355"/>
      <c r="M6806" s="355"/>
    </row>
    <row r="6807" spans="5:13">
      <c r="E6807" s="355"/>
      <c r="F6807" s="355"/>
      <c r="G6807" s="355"/>
      <c r="H6807" s="355"/>
      <c r="I6807" s="355"/>
      <c r="J6807" s="355"/>
      <c r="K6807" s="355"/>
      <c r="L6807" s="355"/>
      <c r="M6807" s="355"/>
    </row>
    <row r="6808" spans="5:13">
      <c r="E6808" s="355"/>
      <c r="F6808" s="355"/>
      <c r="G6808" s="355"/>
      <c r="H6808" s="355"/>
      <c r="I6808" s="355"/>
      <c r="J6808" s="355"/>
      <c r="K6808" s="355"/>
      <c r="L6808" s="355"/>
      <c r="M6808" s="355"/>
    </row>
    <row r="6809" spans="5:13">
      <c r="E6809" s="355"/>
      <c r="F6809" s="355"/>
      <c r="G6809" s="355"/>
      <c r="H6809" s="355"/>
      <c r="I6809" s="355"/>
      <c r="J6809" s="355"/>
      <c r="K6809" s="355"/>
      <c r="L6809" s="355"/>
      <c r="M6809" s="355"/>
    </row>
    <row r="6810" spans="5:13">
      <c r="E6810" s="355"/>
      <c r="F6810" s="355"/>
      <c r="G6810" s="355"/>
      <c r="H6810" s="355"/>
      <c r="I6810" s="355"/>
      <c r="J6810" s="355"/>
      <c r="K6810" s="355"/>
      <c r="L6810" s="355"/>
      <c r="M6810" s="355"/>
    </row>
    <row r="6811" spans="5:13">
      <c r="E6811" s="355"/>
      <c r="F6811" s="355"/>
      <c r="G6811" s="355"/>
      <c r="H6811" s="355"/>
      <c r="I6811" s="355"/>
      <c r="J6811" s="355"/>
      <c r="K6811" s="355"/>
      <c r="L6811" s="355"/>
      <c r="M6811" s="355"/>
    </row>
    <row r="6812" spans="5:13">
      <c r="E6812" s="355"/>
      <c r="F6812" s="355"/>
      <c r="G6812" s="355"/>
      <c r="H6812" s="355"/>
      <c r="I6812" s="355"/>
      <c r="J6812" s="355"/>
      <c r="K6812" s="355"/>
      <c r="L6812" s="355"/>
      <c r="M6812" s="355"/>
    </row>
    <row r="6813" spans="5:13">
      <c r="E6813" s="355"/>
      <c r="F6813" s="355"/>
      <c r="G6813" s="355"/>
      <c r="H6813" s="355"/>
      <c r="I6813" s="355"/>
      <c r="J6813" s="355"/>
      <c r="K6813" s="355"/>
      <c r="L6813" s="355"/>
      <c r="M6813" s="355"/>
    </row>
    <row r="6814" spans="5:13">
      <c r="E6814" s="355"/>
      <c r="F6814" s="355"/>
      <c r="G6814" s="355"/>
      <c r="H6814" s="355"/>
      <c r="I6814" s="355"/>
      <c r="J6814" s="355"/>
      <c r="K6814" s="355"/>
      <c r="L6814" s="355"/>
      <c r="M6814" s="355"/>
    </row>
    <row r="6815" spans="5:13">
      <c r="E6815" s="355"/>
      <c r="F6815" s="355"/>
      <c r="G6815" s="355"/>
      <c r="H6815" s="355"/>
      <c r="I6815" s="355"/>
      <c r="J6815" s="355"/>
      <c r="K6815" s="355"/>
      <c r="L6815" s="355"/>
      <c r="M6815" s="355"/>
    </row>
    <row r="6816" spans="5:13">
      <c r="E6816" s="355"/>
      <c r="F6816" s="355"/>
      <c r="G6816" s="355"/>
      <c r="H6816" s="355"/>
      <c r="I6816" s="355"/>
      <c r="J6816" s="355"/>
      <c r="K6816" s="355"/>
      <c r="L6816" s="355"/>
      <c r="M6816" s="355"/>
    </row>
    <row r="6817" spans="5:13">
      <c r="E6817" s="355"/>
      <c r="F6817" s="355"/>
      <c r="G6817" s="355"/>
      <c r="H6817" s="355"/>
      <c r="I6817" s="355"/>
      <c r="J6817" s="355"/>
      <c r="K6817" s="355"/>
      <c r="L6817" s="355"/>
      <c r="M6817" s="355"/>
    </row>
    <row r="6818" spans="5:13">
      <c r="E6818" s="355"/>
      <c r="F6818" s="355"/>
      <c r="G6818" s="355"/>
      <c r="H6818" s="355"/>
      <c r="I6818" s="355"/>
      <c r="J6818" s="355"/>
      <c r="K6818" s="355"/>
      <c r="L6818" s="355"/>
      <c r="M6818" s="355"/>
    </row>
    <row r="6819" spans="5:13">
      <c r="E6819" s="355"/>
      <c r="F6819" s="355"/>
      <c r="G6819" s="355"/>
      <c r="H6819" s="355"/>
      <c r="I6819" s="355"/>
      <c r="J6819" s="355"/>
      <c r="K6819" s="355"/>
      <c r="L6819" s="355"/>
      <c r="M6819" s="355"/>
    </row>
    <row r="6820" spans="5:13">
      <c r="E6820" s="355"/>
      <c r="F6820" s="355"/>
      <c r="G6820" s="355"/>
      <c r="H6820" s="355"/>
      <c r="I6820" s="355"/>
      <c r="J6820" s="355"/>
      <c r="K6820" s="355"/>
      <c r="L6820" s="355"/>
      <c r="M6820" s="355"/>
    </row>
    <row r="6821" spans="5:13">
      <c r="E6821" s="355"/>
      <c r="F6821" s="355"/>
      <c r="G6821" s="355"/>
      <c r="H6821" s="355"/>
      <c r="I6821" s="355"/>
      <c r="J6821" s="355"/>
      <c r="K6821" s="355"/>
      <c r="L6821" s="355"/>
      <c r="M6821" s="355"/>
    </row>
    <row r="6822" spans="5:13">
      <c r="E6822" s="355"/>
      <c r="F6822" s="355"/>
      <c r="G6822" s="355"/>
      <c r="H6822" s="355"/>
      <c r="I6822" s="355"/>
      <c r="J6822" s="355"/>
      <c r="K6822" s="355"/>
      <c r="L6822" s="355"/>
      <c r="M6822" s="355"/>
    </row>
    <row r="6823" spans="5:13">
      <c r="E6823" s="355"/>
      <c r="F6823" s="355"/>
      <c r="G6823" s="355"/>
      <c r="H6823" s="355"/>
      <c r="I6823" s="355"/>
      <c r="J6823" s="355"/>
      <c r="K6823" s="355"/>
      <c r="L6823" s="355"/>
      <c r="M6823" s="355"/>
    </row>
    <row r="6824" spans="5:13">
      <c r="E6824" s="355"/>
      <c r="F6824" s="355"/>
      <c r="G6824" s="355"/>
      <c r="H6824" s="355"/>
      <c r="I6824" s="355"/>
      <c r="J6824" s="355"/>
      <c r="K6824" s="355"/>
      <c r="L6824" s="355"/>
      <c r="M6824" s="355"/>
    </row>
    <row r="6825" spans="5:13">
      <c r="E6825" s="355"/>
      <c r="F6825" s="355"/>
      <c r="G6825" s="355"/>
      <c r="H6825" s="355"/>
      <c r="I6825" s="355"/>
      <c r="J6825" s="355"/>
      <c r="K6825" s="355"/>
      <c r="L6825" s="355"/>
      <c r="M6825" s="355"/>
    </row>
    <row r="6826" spans="5:13">
      <c r="E6826" s="355"/>
      <c r="F6826" s="355"/>
      <c r="G6826" s="355"/>
      <c r="H6826" s="355"/>
      <c r="I6826" s="355"/>
      <c r="J6826" s="355"/>
      <c r="K6826" s="355"/>
      <c r="L6826" s="355"/>
      <c r="M6826" s="355"/>
    </row>
    <row r="6827" spans="5:13">
      <c r="E6827" s="355"/>
      <c r="F6827" s="355"/>
      <c r="G6827" s="355"/>
      <c r="H6827" s="355"/>
      <c r="I6827" s="355"/>
      <c r="J6827" s="355"/>
      <c r="K6827" s="355"/>
      <c r="L6827" s="355"/>
      <c r="M6827" s="355"/>
    </row>
    <row r="6828" spans="5:13">
      <c r="E6828" s="355"/>
      <c r="F6828" s="355"/>
      <c r="G6828" s="355"/>
      <c r="H6828" s="355"/>
      <c r="I6828" s="355"/>
      <c r="J6828" s="355"/>
      <c r="K6828" s="355"/>
      <c r="L6828" s="355"/>
      <c r="M6828" s="355"/>
    </row>
    <row r="6829" spans="5:13">
      <c r="E6829" s="355"/>
      <c r="F6829" s="355"/>
      <c r="G6829" s="355"/>
      <c r="H6829" s="355"/>
      <c r="I6829" s="355"/>
      <c r="J6829" s="355"/>
      <c r="K6829" s="355"/>
      <c r="L6829" s="355"/>
      <c r="M6829" s="355"/>
    </row>
    <row r="6830" spans="5:13">
      <c r="E6830" s="355"/>
      <c r="F6830" s="355"/>
      <c r="G6830" s="355"/>
      <c r="H6830" s="355"/>
      <c r="I6830" s="355"/>
      <c r="J6830" s="355"/>
      <c r="K6830" s="355"/>
      <c r="L6830" s="355"/>
      <c r="M6830" s="355"/>
    </row>
    <row r="6831" spans="5:13">
      <c r="E6831" s="355"/>
      <c r="F6831" s="355"/>
      <c r="G6831" s="355"/>
      <c r="H6831" s="355"/>
      <c r="I6831" s="355"/>
      <c r="J6831" s="355"/>
      <c r="K6831" s="355"/>
      <c r="L6831" s="355"/>
      <c r="M6831" s="355"/>
    </row>
    <row r="6832" spans="5:13">
      <c r="E6832" s="355"/>
      <c r="F6832" s="355"/>
      <c r="G6832" s="355"/>
      <c r="H6832" s="355"/>
      <c r="I6832" s="355"/>
      <c r="J6832" s="355"/>
      <c r="K6832" s="355"/>
      <c r="L6832" s="355"/>
      <c r="M6832" s="355"/>
    </row>
    <row r="6833" spans="5:13">
      <c r="E6833" s="355"/>
      <c r="F6833" s="355"/>
      <c r="G6833" s="355"/>
      <c r="H6833" s="355"/>
      <c r="I6833" s="355"/>
      <c r="J6833" s="355"/>
      <c r="K6833" s="355"/>
      <c r="L6833" s="355"/>
      <c r="M6833" s="355"/>
    </row>
    <row r="6834" spans="5:13">
      <c r="E6834" s="355"/>
      <c r="F6834" s="355"/>
      <c r="G6834" s="355"/>
      <c r="H6834" s="355"/>
      <c r="I6834" s="355"/>
      <c r="J6834" s="355"/>
      <c r="K6834" s="355"/>
      <c r="L6834" s="355"/>
      <c r="M6834" s="355"/>
    </row>
    <row r="6835" spans="5:13">
      <c r="E6835" s="355"/>
      <c r="F6835" s="355"/>
      <c r="G6835" s="355"/>
      <c r="H6835" s="355"/>
      <c r="I6835" s="355"/>
      <c r="J6835" s="355"/>
      <c r="K6835" s="355"/>
      <c r="L6835" s="355"/>
      <c r="M6835" s="355"/>
    </row>
    <row r="6836" spans="5:13">
      <c r="E6836" s="355"/>
      <c r="F6836" s="355"/>
      <c r="G6836" s="355"/>
      <c r="H6836" s="355"/>
      <c r="I6836" s="355"/>
      <c r="J6836" s="355"/>
      <c r="K6836" s="355"/>
      <c r="L6836" s="355"/>
      <c r="M6836" s="355"/>
    </row>
    <row r="6837" spans="5:13">
      <c r="E6837" s="355"/>
      <c r="F6837" s="355"/>
      <c r="G6837" s="355"/>
      <c r="H6837" s="355"/>
      <c r="I6837" s="355"/>
      <c r="J6837" s="355"/>
      <c r="K6837" s="355"/>
      <c r="L6837" s="355"/>
      <c r="M6837" s="355"/>
    </row>
    <row r="6838" spans="5:13">
      <c r="E6838" s="355"/>
      <c r="F6838" s="355"/>
      <c r="G6838" s="355"/>
      <c r="H6838" s="355"/>
      <c r="I6838" s="355"/>
      <c r="J6838" s="355"/>
      <c r="K6838" s="355"/>
      <c r="L6838" s="355"/>
      <c r="M6838" s="355"/>
    </row>
    <row r="6839" spans="5:13">
      <c r="E6839" s="355"/>
      <c r="F6839" s="355"/>
      <c r="G6839" s="355"/>
      <c r="H6839" s="355"/>
      <c r="I6839" s="355"/>
      <c r="J6839" s="355"/>
      <c r="K6839" s="355"/>
      <c r="L6839" s="355"/>
      <c r="M6839" s="355"/>
    </row>
    <row r="6840" spans="5:13">
      <c r="E6840" s="355"/>
      <c r="F6840" s="355"/>
      <c r="G6840" s="355"/>
      <c r="H6840" s="355"/>
      <c r="I6840" s="355"/>
      <c r="J6840" s="355"/>
      <c r="K6840" s="355"/>
      <c r="L6840" s="355"/>
      <c r="M6840" s="355"/>
    </row>
    <row r="6841" spans="5:13">
      <c r="E6841" s="355"/>
      <c r="F6841" s="355"/>
      <c r="G6841" s="355"/>
      <c r="H6841" s="355"/>
      <c r="I6841" s="355"/>
      <c r="J6841" s="355"/>
      <c r="K6841" s="355"/>
      <c r="L6841" s="355"/>
      <c r="M6841" s="355"/>
    </row>
    <row r="6842" spans="5:13">
      <c r="E6842" s="355"/>
      <c r="F6842" s="355"/>
      <c r="G6842" s="355"/>
      <c r="H6842" s="355"/>
      <c r="I6842" s="355"/>
      <c r="J6842" s="355"/>
      <c r="K6842" s="355"/>
      <c r="L6842" s="355"/>
      <c r="M6842" s="355"/>
    </row>
    <row r="6843" spans="5:13">
      <c r="E6843" s="355"/>
      <c r="F6843" s="355"/>
      <c r="G6843" s="355"/>
      <c r="H6843" s="355"/>
      <c r="I6843" s="355"/>
      <c r="J6843" s="355"/>
      <c r="K6843" s="355"/>
      <c r="L6843" s="355"/>
      <c r="M6843" s="355"/>
    </row>
    <row r="6844" spans="5:13">
      <c r="E6844" s="355"/>
      <c r="F6844" s="355"/>
      <c r="G6844" s="355"/>
      <c r="H6844" s="355"/>
      <c r="I6844" s="355"/>
      <c r="J6844" s="355"/>
      <c r="K6844" s="355"/>
      <c r="L6844" s="355"/>
      <c r="M6844" s="355"/>
    </row>
    <row r="6845" spans="5:13">
      <c r="E6845" s="355"/>
      <c r="F6845" s="355"/>
      <c r="G6845" s="355"/>
      <c r="H6845" s="355"/>
      <c r="I6845" s="355"/>
      <c r="J6845" s="355"/>
      <c r="K6845" s="355"/>
      <c r="L6845" s="355"/>
      <c r="M6845" s="355"/>
    </row>
    <row r="6846" spans="5:13">
      <c r="E6846" s="355"/>
      <c r="F6846" s="355"/>
      <c r="G6846" s="355"/>
      <c r="H6846" s="355"/>
      <c r="I6846" s="355"/>
      <c r="J6846" s="355"/>
      <c r="K6846" s="355"/>
      <c r="L6846" s="355"/>
      <c r="M6846" s="355"/>
    </row>
    <row r="6847" spans="5:13">
      <c r="E6847" s="355"/>
      <c r="F6847" s="355"/>
      <c r="G6847" s="355"/>
      <c r="H6847" s="355"/>
      <c r="I6847" s="355"/>
      <c r="J6847" s="355"/>
      <c r="K6847" s="355"/>
      <c r="L6847" s="355"/>
      <c r="M6847" s="355"/>
    </row>
    <row r="6848" spans="5:13">
      <c r="E6848" s="355"/>
      <c r="F6848" s="355"/>
      <c r="G6848" s="355"/>
      <c r="H6848" s="355"/>
      <c r="I6848" s="355"/>
      <c r="J6848" s="355"/>
      <c r="K6848" s="355"/>
      <c r="L6848" s="355"/>
      <c r="M6848" s="355"/>
    </row>
    <row r="6849" spans="5:13">
      <c r="E6849" s="355"/>
      <c r="F6849" s="355"/>
      <c r="G6849" s="355"/>
      <c r="H6849" s="355"/>
      <c r="I6849" s="355"/>
      <c r="J6849" s="355"/>
      <c r="K6849" s="355"/>
      <c r="L6849" s="355"/>
      <c r="M6849" s="355"/>
    </row>
    <row r="6850" spans="5:13">
      <c r="E6850" s="355"/>
      <c r="F6850" s="355"/>
      <c r="G6850" s="355"/>
      <c r="H6850" s="355"/>
      <c r="I6850" s="355"/>
      <c r="J6850" s="355"/>
      <c r="K6850" s="355"/>
      <c r="L6850" s="355"/>
      <c r="M6850" s="355"/>
    </row>
    <row r="6851" spans="5:13">
      <c r="E6851" s="355"/>
      <c r="F6851" s="355"/>
      <c r="G6851" s="355"/>
      <c r="H6851" s="355"/>
      <c r="I6851" s="355"/>
      <c r="J6851" s="355"/>
      <c r="K6851" s="355"/>
      <c r="L6851" s="355"/>
      <c r="M6851" s="355"/>
    </row>
    <row r="6852" spans="5:13">
      <c r="E6852" s="355"/>
      <c r="F6852" s="355"/>
      <c r="G6852" s="355"/>
      <c r="H6852" s="355"/>
      <c r="I6852" s="355"/>
      <c r="J6852" s="355"/>
      <c r="K6852" s="355"/>
      <c r="L6852" s="355"/>
      <c r="M6852" s="355"/>
    </row>
    <row r="6853" spans="5:13">
      <c r="E6853" s="355"/>
      <c r="F6853" s="355"/>
      <c r="G6853" s="355"/>
      <c r="H6853" s="355"/>
      <c r="I6853" s="355"/>
      <c r="J6853" s="355"/>
      <c r="K6853" s="355"/>
      <c r="L6853" s="355"/>
      <c r="M6853" s="355"/>
    </row>
    <row r="6854" spans="5:13">
      <c r="E6854" s="355"/>
      <c r="F6854" s="355"/>
      <c r="G6854" s="355"/>
      <c r="H6854" s="355"/>
      <c r="I6854" s="355"/>
      <c r="J6854" s="355"/>
      <c r="K6854" s="355"/>
      <c r="L6854" s="355"/>
      <c r="M6854" s="355"/>
    </row>
    <row r="6855" spans="5:13">
      <c r="E6855" s="355"/>
      <c r="F6855" s="355"/>
      <c r="G6855" s="355"/>
      <c r="H6855" s="355"/>
      <c r="I6855" s="355"/>
      <c r="J6855" s="355"/>
      <c r="K6855" s="355"/>
      <c r="L6855" s="355"/>
      <c r="M6855" s="355"/>
    </row>
    <row r="6856" spans="5:13">
      <c r="E6856" s="355"/>
      <c r="F6856" s="355"/>
      <c r="G6856" s="355"/>
      <c r="H6856" s="355"/>
      <c r="I6856" s="355"/>
      <c r="J6856" s="355"/>
      <c r="K6856" s="355"/>
      <c r="L6856" s="355"/>
      <c r="M6856" s="355"/>
    </row>
    <row r="6857" spans="5:13">
      <c r="E6857" s="355"/>
      <c r="F6857" s="355"/>
      <c r="G6857" s="355"/>
      <c r="H6857" s="355"/>
      <c r="I6857" s="355"/>
      <c r="J6857" s="355"/>
      <c r="K6857" s="355"/>
      <c r="L6857" s="355"/>
      <c r="M6857" s="355"/>
    </row>
    <row r="6858" spans="5:13">
      <c r="E6858" s="355"/>
      <c r="F6858" s="355"/>
      <c r="G6858" s="355"/>
      <c r="H6858" s="355"/>
      <c r="I6858" s="355"/>
      <c r="J6858" s="355"/>
      <c r="K6858" s="355"/>
      <c r="L6858" s="355"/>
      <c r="M6858" s="355"/>
    </row>
    <row r="6859" spans="5:13">
      <c r="E6859" s="355"/>
      <c r="F6859" s="355"/>
      <c r="G6859" s="355"/>
      <c r="H6859" s="355"/>
      <c r="I6859" s="355"/>
      <c r="J6859" s="355"/>
      <c r="K6859" s="355"/>
      <c r="L6859" s="355"/>
      <c r="M6859" s="355"/>
    </row>
    <row r="6860" spans="5:13">
      <c r="E6860" s="355"/>
      <c r="F6860" s="355"/>
      <c r="G6860" s="355"/>
      <c r="H6860" s="355"/>
      <c r="I6860" s="355"/>
      <c r="J6860" s="355"/>
      <c r="K6860" s="355"/>
      <c r="L6860" s="355"/>
      <c r="M6860" s="355"/>
    </row>
    <row r="6861" spans="5:13">
      <c r="E6861" s="355"/>
      <c r="F6861" s="355"/>
      <c r="G6861" s="355"/>
      <c r="H6861" s="355"/>
      <c r="I6861" s="355"/>
      <c r="J6861" s="355"/>
      <c r="K6861" s="355"/>
      <c r="L6861" s="355"/>
      <c r="M6861" s="355"/>
    </row>
    <row r="6862" spans="5:13">
      <c r="E6862" s="355"/>
      <c r="F6862" s="355"/>
      <c r="G6862" s="355"/>
      <c r="H6862" s="355"/>
      <c r="I6862" s="355"/>
      <c r="J6862" s="355"/>
      <c r="K6862" s="355"/>
      <c r="L6862" s="355"/>
      <c r="M6862" s="355"/>
    </row>
    <row r="6863" spans="5:13">
      <c r="E6863" s="355"/>
      <c r="F6863" s="355"/>
      <c r="G6863" s="355"/>
      <c r="H6863" s="355"/>
      <c r="I6863" s="355"/>
      <c r="J6863" s="355"/>
      <c r="K6863" s="355"/>
      <c r="L6863" s="355"/>
      <c r="M6863" s="355"/>
    </row>
    <row r="6864" spans="5:13">
      <c r="E6864" s="355"/>
      <c r="F6864" s="355"/>
      <c r="G6864" s="355"/>
      <c r="H6864" s="355"/>
      <c r="I6864" s="355"/>
      <c r="J6864" s="355"/>
      <c r="K6864" s="355"/>
      <c r="L6864" s="355"/>
      <c r="M6864" s="355"/>
    </row>
    <row r="6865" spans="5:13">
      <c r="E6865" s="355"/>
      <c r="F6865" s="355"/>
      <c r="G6865" s="355"/>
      <c r="H6865" s="355"/>
      <c r="I6865" s="355"/>
      <c r="J6865" s="355"/>
      <c r="K6865" s="355"/>
      <c r="L6865" s="355"/>
      <c r="M6865" s="355"/>
    </row>
    <row r="6866" spans="5:13">
      <c r="E6866" s="355"/>
      <c r="F6866" s="355"/>
      <c r="G6866" s="355"/>
      <c r="H6866" s="355"/>
      <c r="I6866" s="355"/>
      <c r="J6866" s="355"/>
      <c r="K6866" s="355"/>
      <c r="L6866" s="355"/>
      <c r="M6866" s="355"/>
    </row>
    <row r="6867" spans="5:13">
      <c r="E6867" s="355"/>
      <c r="F6867" s="355"/>
      <c r="G6867" s="355"/>
      <c r="H6867" s="355"/>
      <c r="I6867" s="355"/>
      <c r="J6867" s="355"/>
      <c r="K6867" s="355"/>
      <c r="L6867" s="355"/>
      <c r="M6867" s="355"/>
    </row>
    <row r="6868" spans="5:13">
      <c r="E6868" s="355"/>
      <c r="F6868" s="355"/>
      <c r="G6868" s="355"/>
      <c r="H6868" s="355"/>
      <c r="I6868" s="355"/>
      <c r="J6868" s="355"/>
      <c r="K6868" s="355"/>
      <c r="L6868" s="355"/>
      <c r="M6868" s="355"/>
    </row>
    <row r="6869" spans="5:13">
      <c r="E6869" s="355"/>
      <c r="F6869" s="355"/>
      <c r="G6869" s="355"/>
      <c r="H6869" s="355"/>
      <c r="I6869" s="355"/>
      <c r="J6869" s="355"/>
      <c r="K6869" s="355"/>
      <c r="L6869" s="355"/>
      <c r="M6869" s="355"/>
    </row>
    <row r="6870" spans="5:13">
      <c r="E6870" s="355"/>
      <c r="F6870" s="355"/>
      <c r="G6870" s="355"/>
      <c r="H6870" s="355"/>
      <c r="I6870" s="355"/>
      <c r="J6870" s="355"/>
      <c r="K6870" s="355"/>
      <c r="L6870" s="355"/>
      <c r="M6870" s="355"/>
    </row>
    <row r="6871" spans="5:13">
      <c r="E6871" s="355"/>
      <c r="F6871" s="355"/>
      <c r="G6871" s="355"/>
      <c r="H6871" s="355"/>
      <c r="I6871" s="355"/>
      <c r="J6871" s="355"/>
      <c r="K6871" s="355"/>
      <c r="L6871" s="355"/>
      <c r="M6871" s="355"/>
    </row>
    <row r="6872" spans="5:13">
      <c r="E6872" s="355"/>
      <c r="F6872" s="355"/>
      <c r="G6872" s="355"/>
      <c r="H6872" s="355"/>
      <c r="I6872" s="355"/>
      <c r="J6872" s="355"/>
      <c r="K6872" s="355"/>
      <c r="L6872" s="355"/>
      <c r="M6872" s="355"/>
    </row>
    <row r="6873" spans="5:13">
      <c r="E6873" s="355"/>
      <c r="F6873" s="355"/>
      <c r="G6873" s="355"/>
      <c r="H6873" s="355"/>
      <c r="I6873" s="355"/>
      <c r="J6873" s="355"/>
      <c r="K6873" s="355"/>
      <c r="L6873" s="355"/>
      <c r="M6873" s="355"/>
    </row>
    <row r="6874" spans="5:13">
      <c r="E6874" s="355"/>
      <c r="F6874" s="355"/>
      <c r="G6874" s="355"/>
      <c r="H6874" s="355"/>
      <c r="I6874" s="355"/>
      <c r="J6874" s="355"/>
      <c r="K6874" s="355"/>
      <c r="L6874" s="355"/>
      <c r="M6874" s="355"/>
    </row>
    <row r="6875" spans="5:13">
      <c r="E6875" s="355"/>
      <c r="F6875" s="355"/>
      <c r="G6875" s="355"/>
      <c r="H6875" s="355"/>
      <c r="I6875" s="355"/>
      <c r="J6875" s="355"/>
      <c r="K6875" s="355"/>
      <c r="L6875" s="355"/>
      <c r="M6875" s="355"/>
    </row>
    <row r="6876" spans="5:13">
      <c r="E6876" s="355"/>
      <c r="F6876" s="355"/>
      <c r="G6876" s="355"/>
      <c r="H6876" s="355"/>
      <c r="I6876" s="355"/>
      <c r="J6876" s="355"/>
      <c r="K6876" s="355"/>
      <c r="L6876" s="355"/>
      <c r="M6876" s="355"/>
    </row>
    <row r="6877" spans="5:13">
      <c r="E6877" s="355"/>
      <c r="F6877" s="355"/>
      <c r="G6877" s="355"/>
      <c r="H6877" s="355"/>
      <c r="I6877" s="355"/>
      <c r="J6877" s="355"/>
      <c r="K6877" s="355"/>
      <c r="L6877" s="355"/>
      <c r="M6877" s="355"/>
    </row>
    <row r="6878" spans="5:13">
      <c r="E6878" s="355"/>
      <c r="F6878" s="355"/>
      <c r="G6878" s="355"/>
      <c r="H6878" s="355"/>
      <c r="I6878" s="355"/>
      <c r="J6878" s="355"/>
      <c r="K6878" s="355"/>
      <c r="L6878" s="355"/>
      <c r="M6878" s="355"/>
    </row>
    <row r="6879" spans="5:13">
      <c r="E6879" s="355"/>
      <c r="F6879" s="355"/>
      <c r="G6879" s="355"/>
      <c r="H6879" s="355"/>
      <c r="I6879" s="355"/>
      <c r="J6879" s="355"/>
      <c r="K6879" s="355"/>
      <c r="L6879" s="355"/>
      <c r="M6879" s="355"/>
    </row>
    <row r="6880" spans="5:13">
      <c r="E6880" s="355"/>
      <c r="F6880" s="355"/>
      <c r="G6880" s="355"/>
      <c r="H6880" s="355"/>
      <c r="I6880" s="355"/>
      <c r="J6880" s="355"/>
      <c r="K6880" s="355"/>
      <c r="L6880" s="355"/>
      <c r="M6880" s="355"/>
    </row>
    <row r="6881" spans="5:13">
      <c r="E6881" s="355"/>
      <c r="F6881" s="355"/>
      <c r="G6881" s="355"/>
      <c r="H6881" s="355"/>
      <c r="I6881" s="355"/>
      <c r="J6881" s="355"/>
      <c r="K6881" s="355"/>
      <c r="L6881" s="355"/>
      <c r="M6881" s="355"/>
    </row>
    <row r="6882" spans="5:13">
      <c r="E6882" s="355"/>
      <c r="F6882" s="355"/>
      <c r="G6882" s="355"/>
      <c r="H6882" s="355"/>
      <c r="I6882" s="355"/>
      <c r="J6882" s="355"/>
      <c r="K6882" s="355"/>
      <c r="L6882" s="355"/>
      <c r="M6882" s="355"/>
    </row>
    <row r="6883" spans="5:13">
      <c r="E6883" s="355"/>
      <c r="F6883" s="355"/>
      <c r="G6883" s="355"/>
      <c r="H6883" s="355"/>
      <c r="I6883" s="355"/>
      <c r="J6883" s="355"/>
      <c r="K6883" s="355"/>
      <c r="L6883" s="355"/>
      <c r="M6883" s="355"/>
    </row>
    <row r="6884" spans="5:13">
      <c r="E6884" s="355"/>
      <c r="F6884" s="355"/>
      <c r="G6884" s="355"/>
      <c r="H6884" s="355"/>
      <c r="I6884" s="355"/>
      <c r="J6884" s="355"/>
      <c r="K6884" s="355"/>
      <c r="L6884" s="355"/>
      <c r="M6884" s="355"/>
    </row>
    <row r="6885" spans="5:13">
      <c r="E6885" s="355"/>
      <c r="F6885" s="355"/>
      <c r="G6885" s="355"/>
      <c r="H6885" s="355"/>
      <c r="I6885" s="355"/>
      <c r="J6885" s="355"/>
      <c r="K6885" s="355"/>
      <c r="L6885" s="355"/>
      <c r="M6885" s="355"/>
    </row>
    <row r="6886" spans="5:13">
      <c r="E6886" s="355"/>
      <c r="F6886" s="355"/>
      <c r="G6886" s="355"/>
      <c r="H6886" s="355"/>
      <c r="I6886" s="355"/>
      <c r="J6886" s="355"/>
      <c r="K6886" s="355"/>
      <c r="L6886" s="355"/>
      <c r="M6886" s="355"/>
    </row>
    <row r="6887" spans="5:13">
      <c r="E6887" s="355"/>
      <c r="F6887" s="355"/>
      <c r="G6887" s="355"/>
      <c r="H6887" s="355"/>
      <c r="I6887" s="355"/>
      <c r="J6887" s="355"/>
      <c r="K6887" s="355"/>
      <c r="L6887" s="355"/>
      <c r="M6887" s="355"/>
    </row>
    <row r="6888" spans="5:13">
      <c r="E6888" s="355"/>
      <c r="F6888" s="355"/>
      <c r="G6888" s="355"/>
      <c r="H6888" s="355"/>
      <c r="I6888" s="355"/>
      <c r="J6888" s="355"/>
      <c r="K6888" s="355"/>
      <c r="L6888" s="355"/>
      <c r="M6888" s="355"/>
    </row>
    <row r="6889" spans="5:13">
      <c r="E6889" s="355"/>
      <c r="F6889" s="355"/>
      <c r="G6889" s="355"/>
      <c r="H6889" s="355"/>
      <c r="I6889" s="355"/>
      <c r="J6889" s="355"/>
      <c r="K6889" s="355"/>
      <c r="L6889" s="355"/>
      <c r="M6889" s="355"/>
    </row>
    <row r="6890" spans="5:13">
      <c r="E6890" s="355"/>
      <c r="F6890" s="355"/>
      <c r="G6890" s="355"/>
      <c r="H6890" s="355"/>
      <c r="I6890" s="355"/>
      <c r="J6890" s="355"/>
      <c r="K6890" s="355"/>
      <c r="L6890" s="355"/>
      <c r="M6890" s="355"/>
    </row>
    <row r="6891" spans="5:13">
      <c r="E6891" s="355"/>
      <c r="F6891" s="355"/>
      <c r="G6891" s="355"/>
      <c r="H6891" s="355"/>
      <c r="I6891" s="355"/>
      <c r="J6891" s="355"/>
      <c r="K6891" s="355"/>
      <c r="L6891" s="355"/>
      <c r="M6891" s="355"/>
    </row>
    <row r="6892" spans="5:13">
      <c r="E6892" s="355"/>
      <c r="F6892" s="355"/>
      <c r="G6892" s="355"/>
      <c r="H6892" s="355"/>
      <c r="I6892" s="355"/>
      <c r="J6892" s="355"/>
      <c r="K6892" s="355"/>
      <c r="L6892" s="355"/>
      <c r="M6892" s="355"/>
    </row>
    <row r="6893" spans="5:13">
      <c r="E6893" s="355"/>
      <c r="F6893" s="355"/>
      <c r="G6893" s="355"/>
      <c r="H6893" s="355"/>
      <c r="I6893" s="355"/>
      <c r="J6893" s="355"/>
      <c r="K6893" s="355"/>
      <c r="L6893" s="355"/>
      <c r="M6893" s="355"/>
    </row>
    <row r="6894" spans="5:13">
      <c r="E6894" s="355"/>
      <c r="F6894" s="355"/>
      <c r="G6894" s="355"/>
      <c r="H6894" s="355"/>
      <c r="I6894" s="355"/>
      <c r="J6894" s="355"/>
      <c r="K6894" s="355"/>
      <c r="L6894" s="355"/>
      <c r="M6894" s="355"/>
    </row>
    <row r="6895" spans="5:13">
      <c r="E6895" s="355"/>
      <c r="F6895" s="355"/>
      <c r="G6895" s="355"/>
      <c r="H6895" s="355"/>
      <c r="I6895" s="355"/>
      <c r="J6895" s="355"/>
      <c r="K6895" s="355"/>
      <c r="L6895" s="355"/>
      <c r="M6895" s="355"/>
    </row>
    <row r="6896" spans="5:13">
      <c r="E6896" s="355"/>
      <c r="F6896" s="355"/>
      <c r="G6896" s="355"/>
      <c r="H6896" s="355"/>
      <c r="I6896" s="355"/>
      <c r="J6896" s="355"/>
      <c r="K6896" s="355"/>
      <c r="L6896" s="355"/>
      <c r="M6896" s="355"/>
    </row>
    <row r="6897" spans="5:13">
      <c r="E6897" s="355"/>
      <c r="F6897" s="355"/>
      <c r="G6897" s="355"/>
      <c r="H6897" s="355"/>
      <c r="I6897" s="355"/>
      <c r="J6897" s="355"/>
      <c r="K6897" s="355"/>
      <c r="L6897" s="355"/>
      <c r="M6897" s="355"/>
    </row>
    <row r="6898" spans="5:13">
      <c r="E6898" s="355"/>
      <c r="F6898" s="355"/>
      <c r="G6898" s="355"/>
      <c r="H6898" s="355"/>
      <c r="I6898" s="355"/>
      <c r="J6898" s="355"/>
      <c r="K6898" s="355"/>
      <c r="L6898" s="355"/>
      <c r="M6898" s="355"/>
    </row>
    <row r="6899" spans="5:13">
      <c r="E6899" s="355"/>
      <c r="F6899" s="355"/>
      <c r="G6899" s="355"/>
      <c r="H6899" s="355"/>
      <c r="I6899" s="355"/>
      <c r="J6899" s="355"/>
      <c r="K6899" s="355"/>
      <c r="L6899" s="355"/>
      <c r="M6899" s="355"/>
    </row>
    <row r="6900" spans="5:13">
      <c r="E6900" s="355"/>
      <c r="F6900" s="355"/>
      <c r="G6900" s="355"/>
      <c r="H6900" s="355"/>
      <c r="I6900" s="355"/>
      <c r="J6900" s="355"/>
      <c r="K6900" s="355"/>
      <c r="L6900" s="355"/>
      <c r="M6900" s="355"/>
    </row>
    <row r="6901" spans="5:13">
      <c r="E6901" s="355"/>
      <c r="F6901" s="355"/>
      <c r="G6901" s="355"/>
      <c r="H6901" s="355"/>
      <c r="I6901" s="355"/>
      <c r="J6901" s="355"/>
      <c r="K6901" s="355"/>
      <c r="L6901" s="355"/>
      <c r="M6901" s="355"/>
    </row>
    <row r="6902" spans="5:13">
      <c r="E6902" s="355"/>
      <c r="F6902" s="355"/>
      <c r="G6902" s="355"/>
      <c r="H6902" s="355"/>
      <c r="I6902" s="355"/>
      <c r="J6902" s="355"/>
      <c r="K6902" s="355"/>
      <c r="L6902" s="355"/>
      <c r="M6902" s="355"/>
    </row>
    <row r="6903" spans="5:13">
      <c r="E6903" s="355"/>
      <c r="F6903" s="355"/>
      <c r="G6903" s="355"/>
      <c r="H6903" s="355"/>
      <c r="I6903" s="355"/>
      <c r="J6903" s="355"/>
      <c r="K6903" s="355"/>
      <c r="L6903" s="355"/>
      <c r="M6903" s="355"/>
    </row>
    <row r="6904" spans="5:13">
      <c r="E6904" s="355"/>
      <c r="F6904" s="355"/>
      <c r="G6904" s="355"/>
      <c r="H6904" s="355"/>
      <c r="I6904" s="355"/>
      <c r="J6904" s="355"/>
      <c r="K6904" s="355"/>
      <c r="L6904" s="355"/>
      <c r="M6904" s="355"/>
    </row>
    <row r="6905" spans="5:13">
      <c r="E6905" s="355"/>
      <c r="F6905" s="355"/>
      <c r="G6905" s="355"/>
      <c r="H6905" s="355"/>
      <c r="I6905" s="355"/>
      <c r="J6905" s="355"/>
      <c r="K6905" s="355"/>
      <c r="L6905" s="355"/>
      <c r="M6905" s="355"/>
    </row>
    <row r="6906" spans="5:13">
      <c r="E6906" s="355"/>
      <c r="F6906" s="355"/>
      <c r="G6906" s="355"/>
      <c r="H6906" s="355"/>
      <c r="I6906" s="355"/>
      <c r="J6906" s="355"/>
      <c r="K6906" s="355"/>
      <c r="L6906" s="355"/>
      <c r="M6906" s="355"/>
    </row>
    <row r="6907" spans="5:13">
      <c r="E6907" s="355"/>
      <c r="F6907" s="355"/>
      <c r="G6907" s="355"/>
      <c r="H6907" s="355"/>
      <c r="I6907" s="355"/>
      <c r="J6907" s="355"/>
      <c r="K6907" s="355"/>
      <c r="L6907" s="355"/>
      <c r="M6907" s="355"/>
    </row>
    <row r="6908" spans="5:13">
      <c r="E6908" s="355"/>
      <c r="F6908" s="355"/>
      <c r="G6908" s="355"/>
      <c r="H6908" s="355"/>
      <c r="I6908" s="355"/>
      <c r="J6908" s="355"/>
      <c r="K6908" s="355"/>
      <c r="L6908" s="355"/>
      <c r="M6908" s="355"/>
    </row>
    <row r="6909" spans="5:13">
      <c r="E6909" s="355"/>
      <c r="F6909" s="355"/>
      <c r="G6909" s="355"/>
      <c r="H6909" s="355"/>
      <c r="I6909" s="355"/>
      <c r="J6909" s="355"/>
      <c r="K6909" s="355"/>
      <c r="L6909" s="355"/>
      <c r="M6909" s="355"/>
    </row>
    <row r="6910" spans="5:13">
      <c r="E6910" s="355"/>
      <c r="F6910" s="355"/>
      <c r="G6910" s="355"/>
      <c r="H6910" s="355"/>
      <c r="I6910" s="355"/>
      <c r="J6910" s="355"/>
      <c r="K6910" s="355"/>
      <c r="L6910" s="355"/>
      <c r="M6910" s="355"/>
    </row>
    <row r="6911" spans="5:13">
      <c r="E6911" s="355"/>
      <c r="F6911" s="355"/>
      <c r="G6911" s="355"/>
      <c r="H6911" s="355"/>
      <c r="I6911" s="355"/>
      <c r="J6911" s="355"/>
      <c r="K6911" s="355"/>
      <c r="L6911" s="355"/>
      <c r="M6911" s="355"/>
    </row>
    <row r="6912" spans="5:13">
      <c r="E6912" s="355"/>
      <c r="F6912" s="355"/>
      <c r="G6912" s="355"/>
      <c r="H6912" s="355"/>
      <c r="I6912" s="355"/>
      <c r="J6912" s="355"/>
      <c r="K6912" s="355"/>
      <c r="L6912" s="355"/>
      <c r="M6912" s="355"/>
    </row>
    <row r="6913" spans="5:13">
      <c r="E6913" s="355"/>
      <c r="F6913" s="355"/>
      <c r="G6913" s="355"/>
      <c r="H6913" s="355"/>
      <c r="I6913" s="355"/>
      <c r="J6913" s="355"/>
      <c r="K6913" s="355"/>
      <c r="L6913" s="355"/>
      <c r="M6913" s="355"/>
    </row>
    <row r="6914" spans="5:13">
      <c r="E6914" s="355"/>
      <c r="F6914" s="355"/>
      <c r="G6914" s="355"/>
      <c r="H6914" s="355"/>
      <c r="I6914" s="355"/>
      <c r="J6914" s="355"/>
      <c r="K6914" s="355"/>
      <c r="L6914" s="355"/>
      <c r="M6914" s="355"/>
    </row>
    <row r="6915" spans="5:13">
      <c r="E6915" s="355"/>
      <c r="F6915" s="355"/>
      <c r="G6915" s="355"/>
      <c r="H6915" s="355"/>
      <c r="I6915" s="355"/>
      <c r="J6915" s="355"/>
      <c r="K6915" s="355"/>
      <c r="L6915" s="355"/>
      <c r="M6915" s="355"/>
    </row>
    <row r="6916" spans="5:13">
      <c r="E6916" s="355"/>
      <c r="F6916" s="355"/>
      <c r="G6916" s="355"/>
      <c r="H6916" s="355"/>
      <c r="I6916" s="355"/>
      <c r="J6916" s="355"/>
      <c r="K6916" s="355"/>
      <c r="L6916" s="355"/>
      <c r="M6916" s="355"/>
    </row>
    <row r="6917" spans="5:13">
      <c r="E6917" s="355"/>
      <c r="F6917" s="355"/>
      <c r="G6917" s="355"/>
      <c r="H6917" s="355"/>
      <c r="I6917" s="355"/>
      <c r="J6917" s="355"/>
      <c r="K6917" s="355"/>
      <c r="L6917" s="355"/>
      <c r="M6917" s="355"/>
    </row>
    <row r="6918" spans="5:13">
      <c r="E6918" s="355"/>
      <c r="F6918" s="355"/>
      <c r="G6918" s="355"/>
      <c r="H6918" s="355"/>
      <c r="I6918" s="355"/>
      <c r="J6918" s="355"/>
      <c r="K6918" s="355"/>
      <c r="L6918" s="355"/>
      <c r="M6918" s="355"/>
    </row>
    <row r="6919" spans="5:13">
      <c r="E6919" s="355"/>
      <c r="F6919" s="355"/>
      <c r="G6919" s="355"/>
      <c r="H6919" s="355"/>
      <c r="I6919" s="355"/>
      <c r="J6919" s="355"/>
      <c r="K6919" s="355"/>
      <c r="L6919" s="355"/>
      <c r="M6919" s="355"/>
    </row>
    <row r="6920" spans="5:13">
      <c r="E6920" s="355"/>
      <c r="F6920" s="355"/>
      <c r="G6920" s="355"/>
      <c r="H6920" s="355"/>
      <c r="I6920" s="355"/>
      <c r="J6920" s="355"/>
      <c r="K6920" s="355"/>
      <c r="L6920" s="355"/>
      <c r="M6920" s="355"/>
    </row>
    <row r="6921" spans="5:13">
      <c r="E6921" s="355"/>
      <c r="F6921" s="355"/>
      <c r="G6921" s="355"/>
      <c r="H6921" s="355"/>
      <c r="I6921" s="355"/>
      <c r="J6921" s="355"/>
      <c r="K6921" s="355"/>
      <c r="L6921" s="355"/>
      <c r="M6921" s="355"/>
    </row>
    <row r="6922" spans="5:13">
      <c r="E6922" s="355"/>
      <c r="F6922" s="355"/>
      <c r="G6922" s="355"/>
      <c r="H6922" s="355"/>
      <c r="I6922" s="355"/>
      <c r="J6922" s="355"/>
      <c r="K6922" s="355"/>
      <c r="L6922" s="355"/>
      <c r="M6922" s="355"/>
    </row>
    <row r="6923" spans="5:13">
      <c r="E6923" s="355"/>
      <c r="F6923" s="355"/>
      <c r="G6923" s="355"/>
      <c r="H6923" s="355"/>
      <c r="I6923" s="355"/>
      <c r="J6923" s="355"/>
      <c r="K6923" s="355"/>
      <c r="L6923" s="355"/>
      <c r="M6923" s="355"/>
    </row>
    <row r="6924" spans="5:13">
      <c r="E6924" s="355"/>
      <c r="F6924" s="355"/>
      <c r="G6924" s="355"/>
      <c r="H6924" s="355"/>
      <c r="I6924" s="355"/>
      <c r="J6924" s="355"/>
      <c r="K6924" s="355"/>
      <c r="L6924" s="355"/>
      <c r="M6924" s="355"/>
    </row>
    <row r="6925" spans="5:13">
      <c r="E6925" s="355"/>
      <c r="F6925" s="355"/>
      <c r="G6925" s="355"/>
      <c r="H6925" s="355"/>
      <c r="I6925" s="355"/>
      <c r="J6925" s="355"/>
      <c r="K6925" s="355"/>
      <c r="L6925" s="355"/>
      <c r="M6925" s="355"/>
    </row>
    <row r="6926" spans="5:13">
      <c r="E6926" s="355"/>
      <c r="F6926" s="355"/>
      <c r="G6926" s="355"/>
      <c r="H6926" s="355"/>
      <c r="I6926" s="355"/>
      <c r="J6926" s="355"/>
      <c r="K6926" s="355"/>
      <c r="L6926" s="355"/>
      <c r="M6926" s="355"/>
    </row>
    <row r="6927" spans="5:13">
      <c r="E6927" s="355"/>
      <c r="F6927" s="355"/>
      <c r="G6927" s="355"/>
      <c r="H6927" s="355"/>
      <c r="I6927" s="355"/>
      <c r="J6927" s="355"/>
      <c r="K6927" s="355"/>
      <c r="L6927" s="355"/>
      <c r="M6927" s="355"/>
    </row>
    <row r="6928" spans="5:13">
      <c r="E6928" s="355"/>
      <c r="F6928" s="355"/>
      <c r="G6928" s="355"/>
      <c r="H6928" s="355"/>
      <c r="I6928" s="355"/>
      <c r="J6928" s="355"/>
      <c r="K6928" s="355"/>
      <c r="L6928" s="355"/>
      <c r="M6928" s="355"/>
    </row>
    <row r="6929" spans="5:13">
      <c r="E6929" s="355"/>
      <c r="F6929" s="355"/>
      <c r="G6929" s="355"/>
      <c r="H6929" s="355"/>
      <c r="I6929" s="355"/>
      <c r="J6929" s="355"/>
      <c r="K6929" s="355"/>
      <c r="L6929" s="355"/>
      <c r="M6929" s="355"/>
    </row>
    <row r="6930" spans="5:13">
      <c r="E6930" s="355"/>
      <c r="F6930" s="355"/>
      <c r="G6930" s="355"/>
      <c r="H6930" s="355"/>
      <c r="I6930" s="355"/>
      <c r="J6930" s="355"/>
      <c r="K6930" s="355"/>
      <c r="L6930" s="355"/>
      <c r="M6930" s="355"/>
    </row>
    <row r="6931" spans="5:13">
      <c r="E6931" s="355"/>
      <c r="F6931" s="355"/>
      <c r="G6931" s="355"/>
      <c r="H6931" s="355"/>
      <c r="I6931" s="355"/>
      <c r="J6931" s="355"/>
      <c r="K6931" s="355"/>
      <c r="L6931" s="355"/>
      <c r="M6931" s="355"/>
    </row>
    <row r="6932" spans="5:13">
      <c r="E6932" s="355"/>
      <c r="F6932" s="355"/>
      <c r="G6932" s="355"/>
      <c r="H6932" s="355"/>
      <c r="I6932" s="355"/>
      <c r="J6932" s="355"/>
      <c r="K6932" s="355"/>
      <c r="L6932" s="355"/>
      <c r="M6932" s="355"/>
    </row>
    <row r="6933" spans="5:13">
      <c r="E6933" s="355"/>
      <c r="F6933" s="355"/>
      <c r="G6933" s="355"/>
      <c r="H6933" s="355"/>
      <c r="I6933" s="355"/>
      <c r="J6933" s="355"/>
      <c r="K6933" s="355"/>
      <c r="L6933" s="355"/>
      <c r="M6933" s="355"/>
    </row>
    <row r="6934" spans="5:13">
      <c r="E6934" s="355"/>
      <c r="F6934" s="355"/>
      <c r="G6934" s="355"/>
      <c r="H6934" s="355"/>
      <c r="I6934" s="355"/>
      <c r="J6934" s="355"/>
      <c r="K6934" s="355"/>
      <c r="L6934" s="355"/>
      <c r="M6934" s="355"/>
    </row>
    <row r="6935" spans="5:13">
      <c r="E6935" s="355"/>
      <c r="F6935" s="355"/>
      <c r="G6935" s="355"/>
      <c r="H6935" s="355"/>
      <c r="I6935" s="355"/>
      <c r="J6935" s="355"/>
      <c r="K6935" s="355"/>
      <c r="L6935" s="355"/>
      <c r="M6935" s="355"/>
    </row>
    <row r="6936" spans="5:13">
      <c r="E6936" s="355"/>
      <c r="F6936" s="355"/>
      <c r="G6936" s="355"/>
      <c r="H6936" s="355"/>
      <c r="I6936" s="355"/>
      <c r="J6936" s="355"/>
      <c r="K6936" s="355"/>
      <c r="L6936" s="355"/>
      <c r="M6936" s="355"/>
    </row>
    <row r="6937" spans="5:13">
      <c r="E6937" s="355"/>
      <c r="F6937" s="355"/>
      <c r="G6937" s="355"/>
      <c r="H6937" s="355"/>
      <c r="I6937" s="355"/>
      <c r="J6937" s="355"/>
      <c r="K6937" s="355"/>
      <c r="L6937" s="355"/>
      <c r="M6937" s="355"/>
    </row>
    <row r="6938" spans="5:13">
      <c r="E6938" s="355"/>
      <c r="F6938" s="355"/>
      <c r="G6938" s="355"/>
      <c r="H6938" s="355"/>
      <c r="I6938" s="355"/>
      <c r="J6938" s="355"/>
      <c r="K6938" s="355"/>
      <c r="L6938" s="355"/>
      <c r="M6938" s="355"/>
    </row>
    <row r="6939" spans="5:13">
      <c r="E6939" s="355"/>
      <c r="F6939" s="355"/>
      <c r="G6939" s="355"/>
      <c r="H6939" s="355"/>
      <c r="I6939" s="355"/>
      <c r="J6939" s="355"/>
      <c r="K6939" s="355"/>
      <c r="L6939" s="355"/>
      <c r="M6939" s="355"/>
    </row>
    <row r="6940" spans="5:13">
      <c r="E6940" s="355"/>
      <c r="F6940" s="355"/>
      <c r="G6940" s="355"/>
      <c r="H6940" s="355"/>
      <c r="I6940" s="355"/>
      <c r="J6940" s="355"/>
      <c r="K6940" s="355"/>
      <c r="L6940" s="355"/>
      <c r="M6940" s="355"/>
    </row>
    <row r="6941" spans="5:13">
      <c r="E6941" s="355"/>
      <c r="F6941" s="355"/>
      <c r="G6941" s="355"/>
      <c r="H6941" s="355"/>
      <c r="I6941" s="355"/>
      <c r="J6941" s="355"/>
      <c r="K6941" s="355"/>
      <c r="L6941" s="355"/>
      <c r="M6941" s="355"/>
    </row>
    <row r="6942" spans="5:13">
      <c r="E6942" s="355"/>
      <c r="F6942" s="355"/>
      <c r="G6942" s="355"/>
      <c r="H6942" s="355"/>
      <c r="I6942" s="355"/>
      <c r="J6942" s="355"/>
      <c r="K6942" s="355"/>
      <c r="L6942" s="355"/>
      <c r="M6942" s="355"/>
    </row>
    <row r="6943" spans="5:13">
      <c r="E6943" s="355"/>
      <c r="F6943" s="355"/>
      <c r="G6943" s="355"/>
      <c r="H6943" s="355"/>
      <c r="I6943" s="355"/>
      <c r="J6943" s="355"/>
      <c r="K6943" s="355"/>
      <c r="L6943" s="355"/>
      <c r="M6943" s="355"/>
    </row>
    <row r="6944" spans="5:13">
      <c r="E6944" s="355"/>
      <c r="F6944" s="355"/>
      <c r="G6944" s="355"/>
      <c r="H6944" s="355"/>
      <c r="I6944" s="355"/>
      <c r="J6944" s="355"/>
      <c r="K6944" s="355"/>
      <c r="L6944" s="355"/>
      <c r="M6944" s="355"/>
    </row>
    <row r="6945" spans="5:13">
      <c r="E6945" s="355"/>
      <c r="F6945" s="355"/>
      <c r="G6945" s="355"/>
      <c r="H6945" s="355"/>
      <c r="I6945" s="355"/>
      <c r="J6945" s="355"/>
      <c r="K6945" s="355"/>
      <c r="L6945" s="355"/>
      <c r="M6945" s="355"/>
    </row>
    <row r="6946" spans="5:13">
      <c r="E6946" s="355"/>
      <c r="F6946" s="355"/>
      <c r="G6946" s="355"/>
      <c r="H6946" s="355"/>
      <c r="I6946" s="355"/>
      <c r="J6946" s="355"/>
      <c r="K6946" s="355"/>
      <c r="L6946" s="355"/>
      <c r="M6946" s="355"/>
    </row>
    <row r="6947" spans="5:13">
      <c r="E6947" s="355"/>
      <c r="F6947" s="355"/>
      <c r="G6947" s="355"/>
      <c r="H6947" s="355"/>
      <c r="I6947" s="355"/>
      <c r="J6947" s="355"/>
      <c r="K6947" s="355"/>
      <c r="L6947" s="355"/>
      <c r="M6947" s="355"/>
    </row>
    <row r="6948" spans="5:13">
      <c r="E6948" s="355"/>
      <c r="F6948" s="355"/>
      <c r="G6948" s="355"/>
      <c r="H6948" s="355"/>
      <c r="I6948" s="355"/>
      <c r="J6948" s="355"/>
      <c r="K6948" s="355"/>
      <c r="L6948" s="355"/>
      <c r="M6948" s="355"/>
    </row>
    <row r="6949" spans="5:13">
      <c r="E6949" s="355"/>
      <c r="F6949" s="355"/>
      <c r="G6949" s="355"/>
      <c r="H6949" s="355"/>
      <c r="I6949" s="355"/>
      <c r="J6949" s="355"/>
      <c r="K6949" s="355"/>
      <c r="L6949" s="355"/>
      <c r="M6949" s="355"/>
    </row>
    <row r="6950" spans="5:13">
      <c r="E6950" s="355"/>
      <c r="F6950" s="355"/>
      <c r="G6950" s="355"/>
      <c r="H6950" s="355"/>
      <c r="I6950" s="355"/>
      <c r="J6950" s="355"/>
      <c r="K6950" s="355"/>
      <c r="L6950" s="355"/>
      <c r="M6950" s="355"/>
    </row>
    <row r="6951" spans="5:13">
      <c r="E6951" s="355"/>
      <c r="F6951" s="355"/>
      <c r="G6951" s="355"/>
      <c r="H6951" s="355"/>
      <c r="I6951" s="355"/>
      <c r="J6951" s="355"/>
      <c r="K6951" s="355"/>
      <c r="L6951" s="355"/>
      <c r="M6951" s="355"/>
    </row>
    <row r="6952" spans="5:13">
      <c r="E6952" s="355"/>
      <c r="F6952" s="355"/>
      <c r="G6952" s="355"/>
      <c r="H6952" s="355"/>
      <c r="I6952" s="355"/>
      <c r="J6952" s="355"/>
      <c r="K6952" s="355"/>
      <c r="L6952" s="355"/>
      <c r="M6952" s="355"/>
    </row>
    <row r="6953" spans="5:13">
      <c r="E6953" s="355"/>
      <c r="F6953" s="355"/>
      <c r="G6953" s="355"/>
      <c r="H6953" s="355"/>
      <c r="I6953" s="355"/>
      <c r="J6953" s="355"/>
      <c r="K6953" s="355"/>
      <c r="L6953" s="355"/>
      <c r="M6953" s="355"/>
    </row>
    <row r="6954" spans="5:13">
      <c r="E6954" s="355"/>
      <c r="F6954" s="355"/>
      <c r="G6954" s="355"/>
      <c r="H6954" s="355"/>
      <c r="I6954" s="355"/>
      <c r="J6954" s="355"/>
      <c r="K6954" s="355"/>
      <c r="L6954" s="355"/>
      <c r="M6954" s="355"/>
    </row>
    <row r="6955" spans="5:13">
      <c r="E6955" s="355"/>
      <c r="F6955" s="355"/>
      <c r="G6955" s="355"/>
      <c r="H6955" s="355"/>
      <c r="I6955" s="355"/>
      <c r="J6955" s="355"/>
      <c r="K6955" s="355"/>
      <c r="L6955" s="355"/>
      <c r="M6955" s="355"/>
    </row>
    <row r="6956" spans="5:13">
      <c r="E6956" s="355"/>
      <c r="F6956" s="355"/>
      <c r="G6956" s="355"/>
      <c r="H6956" s="355"/>
      <c r="I6956" s="355"/>
      <c r="J6956" s="355"/>
      <c r="K6956" s="355"/>
      <c r="L6956" s="355"/>
      <c r="M6956" s="355"/>
    </row>
    <row r="6957" spans="5:13">
      <c r="E6957" s="355"/>
      <c r="F6957" s="355"/>
      <c r="G6957" s="355"/>
      <c r="H6957" s="355"/>
      <c r="I6957" s="355"/>
      <c r="J6957" s="355"/>
      <c r="K6957" s="355"/>
      <c r="L6957" s="355"/>
      <c r="M6957" s="355"/>
    </row>
    <row r="6958" spans="5:13">
      <c r="E6958" s="355"/>
      <c r="F6958" s="355"/>
      <c r="G6958" s="355"/>
      <c r="H6958" s="355"/>
      <c r="I6958" s="355"/>
      <c r="J6958" s="355"/>
      <c r="K6958" s="355"/>
      <c r="L6958" s="355"/>
      <c r="M6958" s="355"/>
    </row>
    <row r="6959" spans="5:13">
      <c r="E6959" s="355"/>
      <c r="F6959" s="355"/>
      <c r="G6959" s="355"/>
      <c r="H6959" s="355"/>
      <c r="I6959" s="355"/>
      <c r="J6959" s="355"/>
      <c r="K6959" s="355"/>
      <c r="L6959" s="355"/>
      <c r="M6959" s="355"/>
    </row>
    <row r="6960" spans="5:13">
      <c r="E6960" s="355"/>
      <c r="F6960" s="355"/>
      <c r="G6960" s="355"/>
      <c r="H6960" s="355"/>
      <c r="I6960" s="355"/>
      <c r="J6960" s="355"/>
      <c r="K6960" s="355"/>
      <c r="L6960" s="355"/>
      <c r="M6960" s="355"/>
    </row>
    <row r="6961" spans="5:13">
      <c r="E6961" s="355"/>
      <c r="F6961" s="355"/>
      <c r="G6961" s="355"/>
      <c r="H6961" s="355"/>
      <c r="I6961" s="355"/>
      <c r="J6961" s="355"/>
      <c r="K6961" s="355"/>
      <c r="L6961" s="355"/>
      <c r="M6961" s="355"/>
    </row>
    <row r="6962" spans="5:13">
      <c r="E6962" s="355"/>
      <c r="F6962" s="355"/>
      <c r="G6962" s="355"/>
      <c r="H6962" s="355"/>
      <c r="I6962" s="355"/>
      <c r="J6962" s="355"/>
      <c r="K6962" s="355"/>
      <c r="L6962" s="355"/>
      <c r="M6962" s="355"/>
    </row>
    <row r="6963" spans="5:13">
      <c r="E6963" s="355"/>
      <c r="F6963" s="355"/>
      <c r="G6963" s="355"/>
      <c r="H6963" s="355"/>
      <c r="I6963" s="355"/>
      <c r="J6963" s="355"/>
      <c r="K6963" s="355"/>
      <c r="L6963" s="355"/>
      <c r="M6963" s="355"/>
    </row>
    <row r="6964" spans="5:13">
      <c r="E6964" s="355"/>
      <c r="F6964" s="355"/>
      <c r="G6964" s="355"/>
      <c r="H6964" s="355"/>
      <c r="I6964" s="355"/>
      <c r="J6964" s="355"/>
      <c r="K6964" s="355"/>
      <c r="L6964" s="355"/>
      <c r="M6964" s="355"/>
    </row>
    <row r="6965" spans="5:13">
      <c r="E6965" s="355"/>
      <c r="F6965" s="355"/>
      <c r="G6965" s="355"/>
      <c r="H6965" s="355"/>
      <c r="I6965" s="355"/>
      <c r="J6965" s="355"/>
      <c r="K6965" s="355"/>
      <c r="L6965" s="355"/>
      <c r="M6965" s="355"/>
    </row>
    <row r="6966" spans="5:13">
      <c r="E6966" s="355"/>
      <c r="F6966" s="355"/>
      <c r="G6966" s="355"/>
      <c r="H6966" s="355"/>
      <c r="I6966" s="355"/>
      <c r="J6966" s="355"/>
      <c r="K6966" s="355"/>
      <c r="L6966" s="355"/>
      <c r="M6966" s="355"/>
    </row>
    <row r="6967" spans="5:13">
      <c r="E6967" s="355"/>
      <c r="F6967" s="355"/>
      <c r="G6967" s="355"/>
      <c r="H6967" s="355"/>
      <c r="I6967" s="355"/>
      <c r="J6967" s="355"/>
      <c r="K6967" s="355"/>
      <c r="L6967" s="355"/>
      <c r="M6967" s="355"/>
    </row>
    <row r="6968" spans="5:13">
      <c r="E6968" s="355"/>
      <c r="F6968" s="355"/>
      <c r="G6968" s="355"/>
      <c r="H6968" s="355"/>
      <c r="I6968" s="355"/>
      <c r="J6968" s="355"/>
      <c r="K6968" s="355"/>
      <c r="L6968" s="355"/>
      <c r="M6968" s="355"/>
    </row>
    <row r="6969" spans="5:13">
      <c r="E6969" s="355"/>
      <c r="F6969" s="355"/>
      <c r="G6969" s="355"/>
      <c r="H6969" s="355"/>
      <c r="I6969" s="355"/>
      <c r="J6969" s="355"/>
      <c r="K6969" s="355"/>
      <c r="L6969" s="355"/>
      <c r="M6969" s="355"/>
    </row>
    <row r="6970" spans="5:13">
      <c r="E6970" s="355"/>
      <c r="F6970" s="355"/>
      <c r="G6970" s="355"/>
      <c r="H6970" s="355"/>
      <c r="I6970" s="355"/>
      <c r="J6970" s="355"/>
      <c r="K6970" s="355"/>
      <c r="L6970" s="355"/>
      <c r="M6970" s="355"/>
    </row>
    <row r="6971" spans="5:13">
      <c r="E6971" s="355"/>
      <c r="F6971" s="355"/>
      <c r="G6971" s="355"/>
      <c r="H6971" s="355"/>
      <c r="I6971" s="355"/>
      <c r="J6971" s="355"/>
      <c r="K6971" s="355"/>
      <c r="L6971" s="355"/>
      <c r="M6971" s="355"/>
    </row>
    <row r="6972" spans="5:13">
      <c r="E6972" s="355"/>
      <c r="F6972" s="355"/>
      <c r="G6972" s="355"/>
      <c r="H6972" s="355"/>
      <c r="I6972" s="355"/>
      <c r="J6972" s="355"/>
      <c r="K6972" s="355"/>
      <c r="L6972" s="355"/>
      <c r="M6972" s="355"/>
    </row>
    <row r="6973" spans="5:13">
      <c r="E6973" s="355"/>
      <c r="F6973" s="355"/>
      <c r="G6973" s="355"/>
      <c r="H6973" s="355"/>
      <c r="I6973" s="355"/>
      <c r="J6973" s="355"/>
      <c r="K6973" s="355"/>
      <c r="L6973" s="355"/>
      <c r="M6973" s="355"/>
    </row>
    <row r="6974" spans="5:13">
      <c r="E6974" s="355"/>
      <c r="F6974" s="355"/>
      <c r="G6974" s="355"/>
      <c r="H6974" s="355"/>
      <c r="I6974" s="355"/>
      <c r="J6974" s="355"/>
      <c r="K6974" s="355"/>
      <c r="L6974" s="355"/>
      <c r="M6974" s="355"/>
    </row>
    <row r="6975" spans="5:13">
      <c r="E6975" s="355"/>
      <c r="F6975" s="355"/>
      <c r="G6975" s="355"/>
      <c r="H6975" s="355"/>
      <c r="I6975" s="355"/>
      <c r="J6975" s="355"/>
      <c r="K6975" s="355"/>
      <c r="L6975" s="355"/>
      <c r="M6975" s="355"/>
    </row>
    <row r="6976" spans="5:13">
      <c r="E6976" s="355"/>
      <c r="F6976" s="355"/>
      <c r="G6976" s="355"/>
      <c r="H6976" s="355"/>
      <c r="I6976" s="355"/>
      <c r="J6976" s="355"/>
      <c r="K6976" s="355"/>
      <c r="L6976" s="355"/>
      <c r="M6976" s="355"/>
    </row>
    <row r="6977" spans="5:13">
      <c r="E6977" s="355"/>
      <c r="F6977" s="355"/>
      <c r="G6977" s="355"/>
      <c r="H6977" s="355"/>
      <c r="I6977" s="355"/>
      <c r="J6977" s="355"/>
      <c r="K6977" s="355"/>
      <c r="L6977" s="355"/>
      <c r="M6977" s="355"/>
    </row>
    <row r="6978" spans="5:13">
      <c r="E6978" s="355"/>
      <c r="F6978" s="355"/>
      <c r="G6978" s="355"/>
      <c r="H6978" s="355"/>
      <c r="I6978" s="355"/>
      <c r="J6978" s="355"/>
      <c r="K6978" s="355"/>
      <c r="L6978" s="355"/>
      <c r="M6978" s="355"/>
    </row>
    <row r="6979" spans="5:13">
      <c r="E6979" s="355"/>
      <c r="F6979" s="355"/>
      <c r="G6979" s="355"/>
      <c r="H6979" s="355"/>
      <c r="I6979" s="355"/>
      <c r="J6979" s="355"/>
      <c r="K6979" s="355"/>
      <c r="L6979" s="355"/>
      <c r="M6979" s="355"/>
    </row>
    <row r="6980" spans="5:13">
      <c r="E6980" s="355"/>
      <c r="F6980" s="355"/>
      <c r="G6980" s="355"/>
      <c r="H6980" s="355"/>
      <c r="I6980" s="355"/>
      <c r="J6980" s="355"/>
      <c r="K6980" s="355"/>
      <c r="L6980" s="355"/>
      <c r="M6980" s="355"/>
    </row>
    <row r="6981" spans="5:13">
      <c r="E6981" s="355"/>
      <c r="F6981" s="355"/>
      <c r="G6981" s="355"/>
      <c r="H6981" s="355"/>
      <c r="I6981" s="355"/>
      <c r="J6981" s="355"/>
      <c r="K6981" s="355"/>
      <c r="L6981" s="355"/>
      <c r="M6981" s="355"/>
    </row>
    <row r="6982" spans="5:13">
      <c r="E6982" s="355"/>
      <c r="F6982" s="355"/>
      <c r="G6982" s="355"/>
      <c r="H6982" s="355"/>
      <c r="I6982" s="355"/>
      <c r="J6982" s="355"/>
      <c r="K6982" s="355"/>
      <c r="L6982" s="355"/>
      <c r="M6982" s="355"/>
    </row>
    <row r="6983" spans="5:13">
      <c r="E6983" s="355"/>
      <c r="F6983" s="355"/>
      <c r="G6983" s="355"/>
      <c r="H6983" s="355"/>
      <c r="I6983" s="355"/>
      <c r="J6983" s="355"/>
      <c r="K6983" s="355"/>
      <c r="L6983" s="355"/>
      <c r="M6983" s="355"/>
    </row>
    <row r="6984" spans="5:13">
      <c r="E6984" s="355"/>
      <c r="F6984" s="355"/>
      <c r="G6984" s="355"/>
      <c r="H6984" s="355"/>
      <c r="I6984" s="355"/>
      <c r="J6984" s="355"/>
      <c r="K6984" s="355"/>
      <c r="L6984" s="355"/>
      <c r="M6984" s="355"/>
    </row>
    <row r="6985" spans="5:13">
      <c r="E6985" s="355"/>
      <c r="F6985" s="355"/>
      <c r="G6985" s="355"/>
      <c r="H6985" s="355"/>
      <c r="I6985" s="355"/>
      <c r="J6985" s="355"/>
      <c r="K6985" s="355"/>
      <c r="L6985" s="355"/>
      <c r="M6985" s="355"/>
    </row>
    <row r="6986" spans="5:13">
      <c r="E6986" s="355"/>
      <c r="F6986" s="355"/>
      <c r="G6986" s="355"/>
      <c r="H6986" s="355"/>
      <c r="I6986" s="355"/>
      <c r="J6986" s="355"/>
      <c r="K6986" s="355"/>
      <c r="L6986" s="355"/>
      <c r="M6986" s="355"/>
    </row>
    <row r="6987" spans="5:13">
      <c r="E6987" s="355"/>
      <c r="F6987" s="355"/>
      <c r="G6987" s="355"/>
      <c r="H6987" s="355"/>
      <c r="I6987" s="355"/>
      <c r="J6987" s="355"/>
      <c r="K6987" s="355"/>
      <c r="L6987" s="355"/>
      <c r="M6987" s="355"/>
    </row>
    <row r="6988" spans="5:13">
      <c r="E6988" s="355"/>
      <c r="F6988" s="355"/>
      <c r="G6988" s="355"/>
      <c r="H6988" s="355"/>
      <c r="I6988" s="355"/>
      <c r="J6988" s="355"/>
      <c r="K6988" s="355"/>
      <c r="L6988" s="355"/>
      <c r="M6988" s="355"/>
    </row>
    <row r="6989" spans="5:13">
      <c r="E6989" s="355"/>
      <c r="F6989" s="355"/>
      <c r="G6989" s="355"/>
      <c r="H6989" s="355"/>
      <c r="I6989" s="355"/>
      <c r="J6989" s="355"/>
      <c r="K6989" s="355"/>
      <c r="L6989" s="355"/>
      <c r="M6989" s="355"/>
    </row>
    <row r="6990" spans="5:13">
      <c r="E6990" s="355"/>
      <c r="F6990" s="355"/>
      <c r="G6990" s="355"/>
      <c r="H6990" s="355"/>
      <c r="I6990" s="355"/>
      <c r="J6990" s="355"/>
      <c r="K6990" s="355"/>
      <c r="L6990" s="355"/>
      <c r="M6990" s="355"/>
    </row>
    <row r="6991" spans="5:13">
      <c r="E6991" s="355"/>
      <c r="F6991" s="355"/>
      <c r="G6991" s="355"/>
      <c r="H6991" s="355"/>
      <c r="I6991" s="355"/>
      <c r="J6991" s="355"/>
      <c r="K6991" s="355"/>
      <c r="L6991" s="355"/>
      <c r="M6991" s="355"/>
    </row>
    <row r="6992" spans="5:13">
      <c r="E6992" s="355"/>
      <c r="F6992" s="355"/>
      <c r="G6992" s="355"/>
      <c r="H6992" s="355"/>
      <c r="I6992" s="355"/>
      <c r="J6992" s="355"/>
      <c r="K6992" s="355"/>
      <c r="L6992" s="355"/>
      <c r="M6992" s="355"/>
    </row>
    <row r="6993" spans="5:13">
      <c r="E6993" s="355"/>
      <c r="F6993" s="355"/>
      <c r="G6993" s="355"/>
      <c r="H6993" s="355"/>
      <c r="I6993" s="355"/>
      <c r="J6993" s="355"/>
      <c r="K6993" s="355"/>
      <c r="L6993" s="355"/>
      <c r="M6993" s="355"/>
    </row>
    <row r="6994" spans="5:13">
      <c r="E6994" s="355"/>
      <c r="F6994" s="355"/>
      <c r="G6994" s="355"/>
      <c r="H6994" s="355"/>
      <c r="I6994" s="355"/>
      <c r="J6994" s="355"/>
      <c r="K6994" s="355"/>
      <c r="L6994" s="355"/>
      <c r="M6994" s="355"/>
    </row>
    <row r="6995" spans="5:13">
      <c r="E6995" s="355"/>
      <c r="F6995" s="355"/>
      <c r="G6995" s="355"/>
      <c r="H6995" s="355"/>
      <c r="I6995" s="355"/>
      <c r="J6995" s="355"/>
      <c r="K6995" s="355"/>
      <c r="L6995" s="355"/>
      <c r="M6995" s="355"/>
    </row>
    <row r="6996" spans="5:13">
      <c r="E6996" s="355"/>
      <c r="F6996" s="355"/>
      <c r="G6996" s="355"/>
      <c r="H6996" s="355"/>
      <c r="I6996" s="355"/>
      <c r="J6996" s="355"/>
      <c r="K6996" s="355"/>
      <c r="L6996" s="355"/>
      <c r="M6996" s="355"/>
    </row>
    <row r="6997" spans="5:13">
      <c r="E6997" s="355"/>
      <c r="F6997" s="355"/>
      <c r="G6997" s="355"/>
      <c r="H6997" s="355"/>
      <c r="I6997" s="355"/>
      <c r="J6997" s="355"/>
      <c r="K6997" s="355"/>
      <c r="L6997" s="355"/>
      <c r="M6997" s="355"/>
    </row>
    <row r="6998" spans="5:13">
      <c r="E6998" s="355"/>
      <c r="F6998" s="355"/>
      <c r="G6998" s="355"/>
      <c r="H6998" s="355"/>
      <c r="I6998" s="355"/>
      <c r="J6998" s="355"/>
      <c r="K6998" s="355"/>
      <c r="L6998" s="355"/>
      <c r="M6998" s="355"/>
    </row>
    <row r="6999" spans="5:13">
      <c r="E6999" s="355"/>
      <c r="F6999" s="355"/>
      <c r="G6999" s="355"/>
      <c r="H6999" s="355"/>
      <c r="I6999" s="355"/>
      <c r="J6999" s="355"/>
      <c r="K6999" s="355"/>
      <c r="L6999" s="355"/>
      <c r="M6999" s="355"/>
    </row>
    <row r="7000" spans="5:13">
      <c r="E7000" s="355"/>
      <c r="F7000" s="355"/>
      <c r="G7000" s="355"/>
      <c r="H7000" s="355"/>
      <c r="I7000" s="355"/>
      <c r="J7000" s="355"/>
      <c r="K7000" s="355"/>
      <c r="L7000" s="355"/>
      <c r="M7000" s="355"/>
    </row>
    <row r="7001" spans="5:13">
      <c r="E7001" s="355"/>
      <c r="F7001" s="355"/>
      <c r="G7001" s="355"/>
      <c r="H7001" s="355"/>
      <c r="I7001" s="355"/>
      <c r="J7001" s="355"/>
      <c r="K7001" s="355"/>
      <c r="L7001" s="355"/>
      <c r="M7001" s="355"/>
    </row>
    <row r="7002" spans="5:13">
      <c r="E7002" s="355"/>
      <c r="F7002" s="355"/>
      <c r="G7002" s="355"/>
      <c r="H7002" s="355"/>
      <c r="I7002" s="355"/>
      <c r="J7002" s="355"/>
      <c r="K7002" s="355"/>
      <c r="L7002" s="355"/>
      <c r="M7002" s="355"/>
    </row>
    <row r="7003" spans="5:13">
      <c r="E7003" s="355"/>
      <c r="F7003" s="355"/>
      <c r="G7003" s="355"/>
      <c r="H7003" s="355"/>
      <c r="I7003" s="355"/>
      <c r="J7003" s="355"/>
      <c r="K7003" s="355"/>
      <c r="L7003" s="355"/>
      <c r="M7003" s="355"/>
    </row>
    <row r="7004" spans="5:13">
      <c r="E7004" s="355"/>
      <c r="F7004" s="355"/>
      <c r="G7004" s="355"/>
      <c r="H7004" s="355"/>
      <c r="I7004" s="355"/>
      <c r="J7004" s="355"/>
      <c r="K7004" s="355"/>
      <c r="L7004" s="355"/>
      <c r="M7004" s="355"/>
    </row>
    <row r="7005" spans="5:13">
      <c r="E7005" s="355"/>
      <c r="F7005" s="355"/>
      <c r="G7005" s="355"/>
      <c r="H7005" s="355"/>
      <c r="I7005" s="355"/>
      <c r="J7005" s="355"/>
      <c r="K7005" s="355"/>
      <c r="L7005" s="355"/>
      <c r="M7005" s="355"/>
    </row>
    <row r="7006" spans="5:13">
      <c r="E7006" s="355"/>
      <c r="F7006" s="355"/>
      <c r="G7006" s="355"/>
      <c r="H7006" s="355"/>
      <c r="I7006" s="355"/>
      <c r="J7006" s="355"/>
      <c r="K7006" s="355"/>
      <c r="L7006" s="355"/>
      <c r="M7006" s="355"/>
    </row>
    <row r="7007" spans="5:13">
      <c r="E7007" s="355"/>
      <c r="F7007" s="355"/>
      <c r="G7007" s="355"/>
      <c r="H7007" s="355"/>
      <c r="I7007" s="355"/>
      <c r="J7007" s="355"/>
      <c r="K7007" s="355"/>
      <c r="L7007" s="355"/>
      <c r="M7007" s="355"/>
    </row>
    <row r="7008" spans="5:13">
      <c r="E7008" s="355"/>
      <c r="F7008" s="355"/>
      <c r="G7008" s="355"/>
      <c r="H7008" s="355"/>
      <c r="I7008" s="355"/>
      <c r="J7008" s="355"/>
      <c r="K7008" s="355"/>
      <c r="L7008" s="355"/>
      <c r="M7008" s="355"/>
    </row>
    <row r="7009" spans="5:13">
      <c r="E7009" s="355"/>
      <c r="F7009" s="355"/>
      <c r="G7009" s="355"/>
      <c r="H7009" s="355"/>
      <c r="I7009" s="355"/>
      <c r="J7009" s="355"/>
      <c r="K7009" s="355"/>
      <c r="L7009" s="355"/>
      <c r="M7009" s="355"/>
    </row>
    <row r="7010" spans="5:13">
      <c r="E7010" s="355"/>
      <c r="F7010" s="355"/>
      <c r="G7010" s="355"/>
      <c r="H7010" s="355"/>
      <c r="I7010" s="355"/>
      <c r="J7010" s="355"/>
      <c r="K7010" s="355"/>
      <c r="L7010" s="355"/>
      <c r="M7010" s="355"/>
    </row>
    <row r="7011" spans="5:13">
      <c r="E7011" s="355"/>
      <c r="F7011" s="355"/>
      <c r="G7011" s="355"/>
      <c r="H7011" s="355"/>
      <c r="I7011" s="355"/>
      <c r="J7011" s="355"/>
      <c r="K7011" s="355"/>
      <c r="L7011" s="355"/>
      <c r="M7011" s="355"/>
    </row>
    <row r="7012" spans="5:13">
      <c r="E7012" s="355"/>
      <c r="F7012" s="355"/>
      <c r="G7012" s="355"/>
      <c r="H7012" s="355"/>
      <c r="I7012" s="355"/>
      <c r="J7012" s="355"/>
      <c r="K7012" s="355"/>
      <c r="L7012" s="355"/>
      <c r="M7012" s="355"/>
    </row>
    <row r="7013" spans="5:13">
      <c r="E7013" s="355"/>
      <c r="F7013" s="355"/>
      <c r="G7013" s="355"/>
      <c r="H7013" s="355"/>
      <c r="I7013" s="355"/>
      <c r="J7013" s="355"/>
      <c r="K7013" s="355"/>
      <c r="L7013" s="355"/>
      <c r="M7013" s="355"/>
    </row>
    <row r="7014" spans="5:13">
      <c r="E7014" s="355"/>
      <c r="F7014" s="355"/>
      <c r="G7014" s="355"/>
      <c r="H7014" s="355"/>
      <c r="I7014" s="355"/>
      <c r="J7014" s="355"/>
      <c r="K7014" s="355"/>
      <c r="L7014" s="355"/>
      <c r="M7014" s="355"/>
    </row>
    <row r="7015" spans="5:13">
      <c r="E7015" s="355"/>
      <c r="F7015" s="355"/>
      <c r="G7015" s="355"/>
      <c r="H7015" s="355"/>
      <c r="I7015" s="355"/>
      <c r="J7015" s="355"/>
      <c r="K7015" s="355"/>
      <c r="L7015" s="355"/>
      <c r="M7015" s="355"/>
    </row>
    <row r="7016" spans="5:13">
      <c r="E7016" s="355"/>
      <c r="F7016" s="355"/>
      <c r="G7016" s="355"/>
      <c r="H7016" s="355"/>
      <c r="I7016" s="355"/>
      <c r="J7016" s="355"/>
      <c r="K7016" s="355"/>
      <c r="L7016" s="355"/>
      <c r="M7016" s="355"/>
    </row>
    <row r="7017" spans="5:13">
      <c r="E7017" s="355"/>
      <c r="F7017" s="355"/>
      <c r="G7017" s="355"/>
      <c r="H7017" s="355"/>
      <c r="I7017" s="355"/>
      <c r="J7017" s="355"/>
      <c r="K7017" s="355"/>
      <c r="L7017" s="355"/>
      <c r="M7017" s="355"/>
    </row>
    <row r="7018" spans="5:13">
      <c r="E7018" s="355"/>
      <c r="F7018" s="355"/>
      <c r="G7018" s="355"/>
      <c r="H7018" s="355"/>
      <c r="I7018" s="355"/>
      <c r="J7018" s="355"/>
      <c r="K7018" s="355"/>
      <c r="L7018" s="355"/>
      <c r="M7018" s="355"/>
    </row>
    <row r="7019" spans="5:13">
      <c r="E7019" s="355"/>
      <c r="F7019" s="355"/>
      <c r="G7019" s="355"/>
      <c r="H7019" s="355"/>
      <c r="I7019" s="355"/>
      <c r="J7019" s="355"/>
      <c r="K7019" s="355"/>
      <c r="L7019" s="355"/>
      <c r="M7019" s="355"/>
    </row>
    <row r="7020" spans="5:13">
      <c r="E7020" s="355"/>
      <c r="F7020" s="355"/>
      <c r="G7020" s="355"/>
      <c r="H7020" s="355"/>
      <c r="I7020" s="355"/>
      <c r="J7020" s="355"/>
      <c r="K7020" s="355"/>
      <c r="L7020" s="355"/>
      <c r="M7020" s="355"/>
    </row>
    <row r="7021" spans="5:13">
      <c r="E7021" s="355"/>
      <c r="F7021" s="355"/>
      <c r="G7021" s="355"/>
      <c r="H7021" s="355"/>
      <c r="I7021" s="355"/>
      <c r="J7021" s="355"/>
      <c r="K7021" s="355"/>
      <c r="L7021" s="355"/>
      <c r="M7021" s="355"/>
    </row>
    <row r="7022" spans="5:13">
      <c r="E7022" s="355"/>
      <c r="F7022" s="355"/>
      <c r="G7022" s="355"/>
      <c r="H7022" s="355"/>
      <c r="I7022" s="355"/>
      <c r="J7022" s="355"/>
      <c r="K7022" s="355"/>
      <c r="L7022" s="355"/>
      <c r="M7022" s="355"/>
    </row>
    <row r="7023" spans="5:13">
      <c r="E7023" s="355"/>
      <c r="F7023" s="355"/>
      <c r="G7023" s="355"/>
      <c r="H7023" s="355"/>
      <c r="I7023" s="355"/>
      <c r="J7023" s="355"/>
      <c r="K7023" s="355"/>
      <c r="L7023" s="355"/>
      <c r="M7023" s="355"/>
    </row>
    <row r="7024" spans="5:13">
      <c r="E7024" s="355"/>
      <c r="F7024" s="355"/>
      <c r="G7024" s="355"/>
      <c r="H7024" s="355"/>
      <c r="I7024" s="355"/>
      <c r="J7024" s="355"/>
      <c r="K7024" s="355"/>
      <c r="L7024" s="355"/>
      <c r="M7024" s="355"/>
    </row>
    <row r="7025" spans="5:13">
      <c r="E7025" s="355"/>
      <c r="F7025" s="355"/>
      <c r="G7025" s="355"/>
      <c r="H7025" s="355"/>
      <c r="I7025" s="355"/>
      <c r="J7025" s="355"/>
      <c r="K7025" s="355"/>
      <c r="L7025" s="355"/>
      <c r="M7025" s="355"/>
    </row>
    <row r="7026" spans="5:13">
      <c r="E7026" s="355"/>
      <c r="F7026" s="355"/>
      <c r="G7026" s="355"/>
      <c r="H7026" s="355"/>
      <c r="I7026" s="355"/>
      <c r="J7026" s="355"/>
      <c r="K7026" s="355"/>
      <c r="L7026" s="355"/>
      <c r="M7026" s="355"/>
    </row>
    <row r="7027" spans="5:13">
      <c r="E7027" s="355"/>
      <c r="F7027" s="355"/>
      <c r="G7027" s="355"/>
      <c r="H7027" s="355"/>
      <c r="I7027" s="355"/>
      <c r="J7027" s="355"/>
      <c r="K7027" s="355"/>
      <c r="L7027" s="355"/>
      <c r="M7027" s="355"/>
    </row>
    <row r="7028" spans="5:13">
      <c r="E7028" s="355"/>
      <c r="F7028" s="355"/>
      <c r="G7028" s="355"/>
      <c r="H7028" s="355"/>
      <c r="I7028" s="355"/>
      <c r="J7028" s="355"/>
      <c r="K7028" s="355"/>
      <c r="L7028" s="355"/>
      <c r="M7028" s="355"/>
    </row>
    <row r="7029" spans="5:13">
      <c r="E7029" s="355"/>
      <c r="F7029" s="355"/>
      <c r="G7029" s="355"/>
      <c r="H7029" s="355"/>
      <c r="I7029" s="355"/>
      <c r="J7029" s="355"/>
      <c r="K7029" s="355"/>
      <c r="L7029" s="355"/>
      <c r="M7029" s="355"/>
    </row>
    <row r="7030" spans="5:13">
      <c r="E7030" s="355"/>
      <c r="F7030" s="355"/>
      <c r="G7030" s="355"/>
      <c r="H7030" s="355"/>
      <c r="I7030" s="355"/>
      <c r="J7030" s="355"/>
      <c r="K7030" s="355"/>
      <c r="L7030" s="355"/>
      <c r="M7030" s="355"/>
    </row>
    <row r="7031" spans="5:13">
      <c r="E7031" s="355"/>
      <c r="F7031" s="355"/>
      <c r="G7031" s="355"/>
      <c r="H7031" s="355"/>
      <c r="I7031" s="355"/>
      <c r="J7031" s="355"/>
      <c r="K7031" s="355"/>
      <c r="L7031" s="355"/>
      <c r="M7031" s="355"/>
    </row>
    <row r="7032" spans="5:13">
      <c r="E7032" s="355"/>
      <c r="F7032" s="355"/>
      <c r="G7032" s="355"/>
      <c r="H7032" s="355"/>
      <c r="I7032" s="355"/>
      <c r="J7032" s="355"/>
      <c r="K7032" s="355"/>
      <c r="L7032" s="355"/>
      <c r="M7032" s="355"/>
    </row>
    <row r="7033" spans="5:13">
      <c r="E7033" s="355"/>
      <c r="F7033" s="355"/>
      <c r="G7033" s="355"/>
      <c r="H7033" s="355"/>
      <c r="I7033" s="355"/>
      <c r="J7033" s="355"/>
      <c r="K7033" s="355"/>
      <c r="L7033" s="355"/>
      <c r="M7033" s="355"/>
    </row>
    <row r="7034" spans="5:13">
      <c r="E7034" s="355"/>
      <c r="F7034" s="355"/>
      <c r="G7034" s="355"/>
      <c r="H7034" s="355"/>
      <c r="I7034" s="355"/>
      <c r="J7034" s="355"/>
      <c r="K7034" s="355"/>
      <c r="L7034" s="355"/>
      <c r="M7034" s="355"/>
    </row>
    <row r="7035" spans="5:13">
      <c r="E7035" s="355"/>
      <c r="F7035" s="355"/>
      <c r="G7035" s="355"/>
      <c r="H7035" s="355"/>
      <c r="I7035" s="355"/>
      <c r="J7035" s="355"/>
      <c r="K7035" s="355"/>
      <c r="L7035" s="355"/>
      <c r="M7035" s="355"/>
    </row>
    <row r="7036" spans="5:13">
      <c r="E7036" s="355"/>
      <c r="F7036" s="355"/>
      <c r="G7036" s="355"/>
      <c r="H7036" s="355"/>
      <c r="I7036" s="355"/>
      <c r="J7036" s="355"/>
      <c r="K7036" s="355"/>
      <c r="L7036" s="355"/>
      <c r="M7036" s="355"/>
    </row>
    <row r="7037" spans="5:13">
      <c r="E7037" s="355"/>
      <c r="F7037" s="355"/>
      <c r="G7037" s="355"/>
      <c r="H7037" s="355"/>
      <c r="I7037" s="355"/>
      <c r="J7037" s="355"/>
      <c r="K7037" s="355"/>
      <c r="L7037" s="355"/>
      <c r="M7037" s="355"/>
    </row>
    <row r="7038" spans="5:13">
      <c r="E7038" s="355"/>
      <c r="F7038" s="355"/>
      <c r="G7038" s="355"/>
      <c r="H7038" s="355"/>
      <c r="I7038" s="355"/>
      <c r="J7038" s="355"/>
      <c r="K7038" s="355"/>
      <c r="L7038" s="355"/>
      <c r="M7038" s="355"/>
    </row>
    <row r="7039" spans="5:13">
      <c r="E7039" s="355"/>
      <c r="F7039" s="355"/>
      <c r="G7039" s="355"/>
      <c r="H7039" s="355"/>
      <c r="I7039" s="355"/>
      <c r="J7039" s="355"/>
      <c r="K7039" s="355"/>
      <c r="L7039" s="355"/>
      <c r="M7039" s="355"/>
    </row>
    <row r="7040" spans="5:13">
      <c r="E7040" s="355"/>
      <c r="F7040" s="355"/>
      <c r="G7040" s="355"/>
      <c r="H7040" s="355"/>
      <c r="I7040" s="355"/>
      <c r="J7040" s="355"/>
      <c r="K7040" s="355"/>
      <c r="L7040" s="355"/>
      <c r="M7040" s="355"/>
    </row>
    <row r="7041" spans="5:13">
      <c r="E7041" s="355"/>
      <c r="F7041" s="355"/>
      <c r="G7041" s="355"/>
      <c r="H7041" s="355"/>
      <c r="I7041" s="355"/>
      <c r="J7041" s="355"/>
      <c r="K7041" s="355"/>
      <c r="L7041" s="355"/>
      <c r="M7041" s="355"/>
    </row>
    <row r="7042" spans="5:13">
      <c r="E7042" s="355"/>
      <c r="F7042" s="355"/>
      <c r="G7042" s="355"/>
      <c r="H7042" s="355"/>
      <c r="I7042" s="355"/>
      <c r="J7042" s="355"/>
      <c r="K7042" s="355"/>
      <c r="L7042" s="355"/>
      <c r="M7042" s="355"/>
    </row>
    <row r="7043" spans="5:13">
      <c r="E7043" s="355"/>
      <c r="F7043" s="355"/>
      <c r="G7043" s="355"/>
      <c r="H7043" s="355"/>
      <c r="I7043" s="355"/>
      <c r="J7043" s="355"/>
      <c r="K7043" s="355"/>
      <c r="L7043" s="355"/>
      <c r="M7043" s="355"/>
    </row>
    <row r="7044" spans="5:13">
      <c r="E7044" s="355"/>
      <c r="F7044" s="355"/>
      <c r="G7044" s="355"/>
      <c r="H7044" s="355"/>
      <c r="I7044" s="355"/>
      <c r="J7044" s="355"/>
      <c r="K7044" s="355"/>
      <c r="L7044" s="355"/>
      <c r="M7044" s="355"/>
    </row>
    <row r="7045" spans="5:13">
      <c r="E7045" s="355"/>
      <c r="F7045" s="355"/>
      <c r="G7045" s="355"/>
      <c r="H7045" s="355"/>
      <c r="I7045" s="355"/>
      <c r="J7045" s="355"/>
      <c r="K7045" s="355"/>
      <c r="L7045" s="355"/>
      <c r="M7045" s="355"/>
    </row>
    <row r="7046" spans="5:13">
      <c r="E7046" s="355"/>
      <c r="F7046" s="355"/>
      <c r="G7046" s="355"/>
      <c r="H7046" s="355"/>
      <c r="I7046" s="355"/>
      <c r="J7046" s="355"/>
      <c r="K7046" s="355"/>
      <c r="L7046" s="355"/>
      <c r="M7046" s="355"/>
    </row>
    <row r="7047" spans="5:13">
      <c r="E7047" s="355"/>
      <c r="F7047" s="355"/>
      <c r="G7047" s="355"/>
      <c r="H7047" s="355"/>
      <c r="I7047" s="355"/>
      <c r="J7047" s="355"/>
      <c r="K7047" s="355"/>
      <c r="L7047" s="355"/>
      <c r="M7047" s="355"/>
    </row>
    <row r="7048" spans="5:13">
      <c r="E7048" s="355"/>
      <c r="F7048" s="355"/>
      <c r="G7048" s="355"/>
      <c r="H7048" s="355"/>
      <c r="I7048" s="355"/>
      <c r="J7048" s="355"/>
      <c r="K7048" s="355"/>
      <c r="L7048" s="355"/>
      <c r="M7048" s="355"/>
    </row>
    <row r="7049" spans="5:13">
      <c r="E7049" s="355"/>
      <c r="F7049" s="355"/>
      <c r="G7049" s="355"/>
      <c r="H7049" s="355"/>
      <c r="I7049" s="355"/>
      <c r="J7049" s="355"/>
      <c r="K7049" s="355"/>
      <c r="L7049" s="355"/>
      <c r="M7049" s="355"/>
    </row>
    <row r="7050" spans="5:13">
      <c r="E7050" s="355"/>
      <c r="F7050" s="355"/>
      <c r="G7050" s="355"/>
      <c r="H7050" s="355"/>
      <c r="I7050" s="355"/>
      <c r="J7050" s="355"/>
      <c r="K7050" s="355"/>
      <c r="L7050" s="355"/>
      <c r="M7050" s="355"/>
    </row>
    <row r="7051" spans="5:13">
      <c r="E7051" s="355"/>
      <c r="F7051" s="355"/>
      <c r="G7051" s="355"/>
      <c r="H7051" s="355"/>
      <c r="I7051" s="355"/>
      <c r="J7051" s="355"/>
      <c r="K7051" s="355"/>
      <c r="L7051" s="355"/>
      <c r="M7051" s="355"/>
    </row>
    <row r="7052" spans="5:13">
      <c r="E7052" s="355"/>
      <c r="F7052" s="355"/>
      <c r="G7052" s="355"/>
      <c r="H7052" s="355"/>
      <c r="I7052" s="355"/>
      <c r="J7052" s="355"/>
      <c r="K7052" s="355"/>
      <c r="L7052" s="355"/>
      <c r="M7052" s="355"/>
    </row>
    <row r="7053" spans="5:13">
      <c r="E7053" s="355"/>
      <c r="F7053" s="355"/>
      <c r="G7053" s="355"/>
      <c r="H7053" s="355"/>
      <c r="I7053" s="355"/>
      <c r="J7053" s="355"/>
      <c r="K7053" s="355"/>
      <c r="L7053" s="355"/>
      <c r="M7053" s="355"/>
    </row>
    <row r="7054" spans="5:13">
      <c r="E7054" s="355"/>
      <c r="F7054" s="355"/>
      <c r="G7054" s="355"/>
      <c r="H7054" s="355"/>
      <c r="I7054" s="355"/>
      <c r="J7054" s="355"/>
      <c r="K7054" s="355"/>
      <c r="L7054" s="355"/>
      <c r="M7054" s="355"/>
    </row>
    <row r="7055" spans="5:13">
      <c r="E7055" s="355"/>
      <c r="F7055" s="355"/>
      <c r="G7055" s="355"/>
      <c r="H7055" s="355"/>
      <c r="I7055" s="355"/>
      <c r="J7055" s="355"/>
      <c r="K7055" s="355"/>
      <c r="L7055" s="355"/>
      <c r="M7055" s="355"/>
    </row>
    <row r="7056" spans="5:13">
      <c r="E7056" s="355"/>
      <c r="F7056" s="355"/>
      <c r="G7056" s="355"/>
      <c r="H7056" s="355"/>
      <c r="I7056" s="355"/>
      <c r="J7056" s="355"/>
      <c r="K7056" s="355"/>
      <c r="L7056" s="355"/>
      <c r="M7056" s="355"/>
    </row>
    <row r="7057" spans="5:13">
      <c r="E7057" s="355"/>
      <c r="F7057" s="355"/>
      <c r="G7057" s="355"/>
      <c r="H7057" s="355"/>
      <c r="I7057" s="355"/>
      <c r="J7057" s="355"/>
      <c r="K7057" s="355"/>
      <c r="L7057" s="355"/>
      <c r="M7057" s="355"/>
    </row>
    <row r="7058" spans="5:13">
      <c r="E7058" s="355"/>
      <c r="F7058" s="355"/>
      <c r="G7058" s="355"/>
      <c r="H7058" s="355"/>
      <c r="I7058" s="355"/>
      <c r="J7058" s="355"/>
      <c r="K7058" s="355"/>
      <c r="L7058" s="355"/>
      <c r="M7058" s="355"/>
    </row>
    <row r="7059" spans="5:13">
      <c r="E7059" s="355"/>
      <c r="F7059" s="355"/>
      <c r="G7059" s="355"/>
      <c r="H7059" s="355"/>
      <c r="I7059" s="355"/>
      <c r="J7059" s="355"/>
      <c r="K7059" s="355"/>
      <c r="L7059" s="355"/>
      <c r="M7059" s="355"/>
    </row>
    <row r="7060" spans="5:13">
      <c r="E7060" s="355"/>
      <c r="F7060" s="355"/>
      <c r="G7060" s="355"/>
      <c r="H7060" s="355"/>
      <c r="I7060" s="355"/>
      <c r="J7060" s="355"/>
      <c r="K7060" s="355"/>
      <c r="L7060" s="355"/>
      <c r="M7060" s="355"/>
    </row>
    <row r="7061" spans="5:13">
      <c r="E7061" s="355"/>
      <c r="F7061" s="355"/>
      <c r="G7061" s="355"/>
      <c r="H7061" s="355"/>
      <c r="I7061" s="355"/>
      <c r="J7061" s="355"/>
      <c r="K7061" s="355"/>
      <c r="L7061" s="355"/>
      <c r="M7061" s="355"/>
    </row>
    <row r="7062" spans="5:13">
      <c r="E7062" s="355"/>
      <c r="F7062" s="355"/>
      <c r="G7062" s="355"/>
      <c r="H7062" s="355"/>
      <c r="I7062" s="355"/>
      <c r="J7062" s="355"/>
      <c r="K7062" s="355"/>
      <c r="L7062" s="355"/>
      <c r="M7062" s="355"/>
    </row>
    <row r="7063" spans="5:13">
      <c r="E7063" s="355"/>
      <c r="F7063" s="355"/>
      <c r="G7063" s="355"/>
      <c r="H7063" s="355"/>
      <c r="I7063" s="355"/>
      <c r="J7063" s="355"/>
      <c r="K7063" s="355"/>
      <c r="L7063" s="355"/>
      <c r="M7063" s="355"/>
    </row>
    <row r="7064" spans="5:13">
      <c r="E7064" s="355"/>
      <c r="F7064" s="355"/>
      <c r="G7064" s="355"/>
      <c r="H7064" s="355"/>
      <c r="I7064" s="355"/>
      <c r="J7064" s="355"/>
      <c r="K7064" s="355"/>
      <c r="L7064" s="355"/>
      <c r="M7064" s="355"/>
    </row>
    <row r="7065" spans="5:13">
      <c r="E7065" s="355"/>
      <c r="F7065" s="355"/>
      <c r="G7065" s="355"/>
      <c r="H7065" s="355"/>
      <c r="I7065" s="355"/>
      <c r="J7065" s="355"/>
      <c r="K7065" s="355"/>
      <c r="L7065" s="355"/>
      <c r="M7065" s="355"/>
    </row>
    <row r="7066" spans="5:13">
      <c r="E7066" s="355"/>
      <c r="F7066" s="355"/>
      <c r="G7066" s="355"/>
      <c r="H7066" s="355"/>
      <c r="I7066" s="355"/>
      <c r="J7066" s="355"/>
      <c r="K7066" s="355"/>
      <c r="L7066" s="355"/>
      <c r="M7066" s="355"/>
    </row>
    <row r="7067" spans="5:13">
      <c r="E7067" s="355"/>
      <c r="F7067" s="355"/>
      <c r="G7067" s="355"/>
      <c r="H7067" s="355"/>
      <c r="I7067" s="355"/>
      <c r="J7067" s="355"/>
      <c r="K7067" s="355"/>
      <c r="L7067" s="355"/>
      <c r="M7067" s="355"/>
    </row>
    <row r="7068" spans="5:13">
      <c r="E7068" s="355"/>
      <c r="F7068" s="355"/>
      <c r="G7068" s="355"/>
      <c r="H7068" s="355"/>
      <c r="I7068" s="355"/>
      <c r="J7068" s="355"/>
      <c r="K7068" s="355"/>
      <c r="L7068" s="355"/>
      <c r="M7068" s="355"/>
    </row>
    <row r="7069" spans="5:13">
      <c r="E7069" s="355"/>
      <c r="F7069" s="355"/>
      <c r="G7069" s="355"/>
      <c r="H7069" s="355"/>
      <c r="I7069" s="355"/>
      <c r="J7069" s="355"/>
      <c r="K7069" s="355"/>
      <c r="L7069" s="355"/>
      <c r="M7069" s="355"/>
    </row>
    <row r="7070" spans="5:13">
      <c r="E7070" s="355"/>
      <c r="F7070" s="355"/>
      <c r="G7070" s="355"/>
      <c r="H7070" s="355"/>
      <c r="I7070" s="355"/>
      <c r="J7070" s="355"/>
      <c r="K7070" s="355"/>
      <c r="L7070" s="355"/>
      <c r="M7070" s="355"/>
    </row>
    <row r="7071" spans="5:13">
      <c r="E7071" s="355"/>
      <c r="F7071" s="355"/>
      <c r="G7071" s="355"/>
      <c r="H7071" s="355"/>
      <c r="I7071" s="355"/>
      <c r="J7071" s="355"/>
      <c r="K7071" s="355"/>
      <c r="L7071" s="355"/>
      <c r="M7071" s="355"/>
    </row>
    <row r="7072" spans="5:13">
      <c r="E7072" s="355"/>
      <c r="F7072" s="355"/>
      <c r="G7072" s="355"/>
      <c r="H7072" s="355"/>
      <c r="I7072" s="355"/>
      <c r="J7072" s="355"/>
      <c r="K7072" s="355"/>
      <c r="L7072" s="355"/>
      <c r="M7072" s="355"/>
    </row>
    <row r="7073" spans="5:13">
      <c r="E7073" s="355"/>
      <c r="F7073" s="355"/>
      <c r="G7073" s="355"/>
      <c r="H7073" s="355"/>
      <c r="I7073" s="355"/>
      <c r="J7073" s="355"/>
      <c r="K7073" s="355"/>
      <c r="L7073" s="355"/>
      <c r="M7073" s="355"/>
    </row>
    <row r="7074" spans="5:13">
      <c r="E7074" s="355"/>
      <c r="F7074" s="355"/>
      <c r="G7074" s="355"/>
      <c r="H7074" s="355"/>
      <c r="I7074" s="355"/>
      <c r="J7074" s="355"/>
      <c r="K7074" s="355"/>
      <c r="L7074" s="355"/>
      <c r="M7074" s="355"/>
    </row>
    <row r="7075" spans="5:13">
      <c r="E7075" s="355"/>
      <c r="F7075" s="355"/>
      <c r="G7075" s="355"/>
      <c r="H7075" s="355"/>
      <c r="I7075" s="355"/>
      <c r="J7075" s="355"/>
      <c r="K7075" s="355"/>
      <c r="L7075" s="355"/>
      <c r="M7075" s="355"/>
    </row>
    <row r="7076" spans="5:13">
      <c r="E7076" s="355"/>
      <c r="F7076" s="355"/>
      <c r="G7076" s="355"/>
      <c r="H7076" s="355"/>
      <c r="I7076" s="355"/>
      <c r="J7076" s="355"/>
      <c r="K7076" s="355"/>
      <c r="L7076" s="355"/>
      <c r="M7076" s="355"/>
    </row>
    <row r="7077" spans="5:13">
      <c r="E7077" s="355"/>
      <c r="F7077" s="355"/>
      <c r="G7077" s="355"/>
      <c r="H7077" s="355"/>
      <c r="I7077" s="355"/>
      <c r="J7077" s="355"/>
      <c r="K7077" s="355"/>
      <c r="L7077" s="355"/>
      <c r="M7077" s="355"/>
    </row>
    <row r="7078" spans="5:13">
      <c r="E7078" s="355"/>
      <c r="F7078" s="355"/>
      <c r="G7078" s="355"/>
      <c r="H7078" s="355"/>
      <c r="I7078" s="355"/>
      <c r="J7078" s="355"/>
      <c r="K7078" s="355"/>
      <c r="L7078" s="355"/>
      <c r="M7078" s="355"/>
    </row>
    <row r="7079" spans="5:13">
      <c r="E7079" s="355"/>
      <c r="F7079" s="355"/>
      <c r="G7079" s="355"/>
      <c r="H7079" s="355"/>
      <c r="I7079" s="355"/>
      <c r="J7079" s="355"/>
      <c r="K7079" s="355"/>
      <c r="L7079" s="355"/>
      <c r="M7079" s="355"/>
    </row>
    <row r="7080" spans="5:13">
      <c r="E7080" s="355"/>
      <c r="F7080" s="355"/>
      <c r="G7080" s="355"/>
      <c r="H7080" s="355"/>
      <c r="I7080" s="355"/>
      <c r="J7080" s="355"/>
      <c r="K7080" s="355"/>
      <c r="L7080" s="355"/>
      <c r="M7080" s="355"/>
    </row>
    <row r="7081" spans="5:13">
      <c r="E7081" s="355"/>
      <c r="F7081" s="355"/>
      <c r="G7081" s="355"/>
      <c r="H7081" s="355"/>
      <c r="I7081" s="355"/>
      <c r="J7081" s="355"/>
      <c r="K7081" s="355"/>
      <c r="L7081" s="355"/>
      <c r="M7081" s="355"/>
    </row>
    <row r="7082" spans="5:13">
      <c r="E7082" s="355"/>
      <c r="F7082" s="355"/>
      <c r="G7082" s="355"/>
      <c r="H7082" s="355"/>
      <c r="I7082" s="355"/>
      <c r="J7082" s="355"/>
      <c r="K7082" s="355"/>
      <c r="L7082" s="355"/>
      <c r="M7082" s="355"/>
    </row>
    <row r="7083" spans="5:13">
      <c r="E7083" s="355"/>
      <c r="F7083" s="355"/>
      <c r="G7083" s="355"/>
      <c r="H7083" s="355"/>
      <c r="I7083" s="355"/>
      <c r="J7083" s="355"/>
      <c r="K7083" s="355"/>
      <c r="L7083" s="355"/>
      <c r="M7083" s="355"/>
    </row>
    <row r="7084" spans="5:13">
      <c r="E7084" s="355"/>
      <c r="F7084" s="355"/>
      <c r="G7084" s="355"/>
      <c r="H7084" s="355"/>
      <c r="I7084" s="355"/>
      <c r="J7084" s="355"/>
      <c r="K7084" s="355"/>
      <c r="L7084" s="355"/>
      <c r="M7084" s="355"/>
    </row>
    <row r="7085" spans="5:13">
      <c r="E7085" s="355"/>
      <c r="F7085" s="355"/>
      <c r="G7085" s="355"/>
      <c r="H7085" s="355"/>
      <c r="I7085" s="355"/>
      <c r="J7085" s="355"/>
      <c r="K7085" s="355"/>
      <c r="L7085" s="355"/>
      <c r="M7085" s="355"/>
    </row>
    <row r="7086" spans="5:13">
      <c r="E7086" s="355"/>
      <c r="F7086" s="355"/>
      <c r="G7086" s="355"/>
      <c r="H7086" s="355"/>
      <c r="I7086" s="355"/>
      <c r="J7086" s="355"/>
      <c r="K7086" s="355"/>
      <c r="L7086" s="355"/>
      <c r="M7086" s="355"/>
    </row>
    <row r="7087" spans="5:13">
      <c r="E7087" s="355"/>
      <c r="F7087" s="355"/>
      <c r="G7087" s="355"/>
      <c r="H7087" s="355"/>
      <c r="I7087" s="355"/>
      <c r="J7087" s="355"/>
      <c r="K7087" s="355"/>
      <c r="L7087" s="355"/>
      <c r="M7087" s="355"/>
    </row>
    <row r="7088" spans="5:13">
      <c r="E7088" s="355"/>
      <c r="F7088" s="355"/>
      <c r="G7088" s="355"/>
      <c r="H7088" s="355"/>
      <c r="I7088" s="355"/>
      <c r="J7088" s="355"/>
      <c r="K7088" s="355"/>
      <c r="L7088" s="355"/>
      <c r="M7088" s="355"/>
    </row>
    <row r="7089" spans="5:13">
      <c r="E7089" s="355"/>
      <c r="F7089" s="355"/>
      <c r="G7089" s="355"/>
      <c r="H7089" s="355"/>
      <c r="I7089" s="355"/>
      <c r="J7089" s="355"/>
      <c r="K7089" s="355"/>
      <c r="L7089" s="355"/>
      <c r="M7089" s="355"/>
    </row>
    <row r="7090" spans="5:13">
      <c r="E7090" s="355"/>
      <c r="F7090" s="355"/>
      <c r="G7090" s="355"/>
      <c r="H7090" s="355"/>
      <c r="I7090" s="355"/>
      <c r="J7090" s="355"/>
      <c r="K7090" s="355"/>
      <c r="L7090" s="355"/>
      <c r="M7090" s="355"/>
    </row>
    <row r="7091" spans="5:13">
      <c r="E7091" s="355"/>
      <c r="F7091" s="355"/>
      <c r="G7091" s="355"/>
      <c r="H7091" s="355"/>
      <c r="I7091" s="355"/>
      <c r="J7091" s="355"/>
      <c r="K7091" s="355"/>
      <c r="L7091" s="355"/>
      <c r="M7091" s="355"/>
    </row>
    <row r="7092" spans="5:13">
      <c r="E7092" s="355"/>
      <c r="F7092" s="355"/>
      <c r="G7092" s="355"/>
      <c r="H7092" s="355"/>
      <c r="I7092" s="355"/>
      <c r="J7092" s="355"/>
      <c r="K7092" s="355"/>
      <c r="L7092" s="355"/>
      <c r="M7092" s="355"/>
    </row>
    <row r="7093" spans="5:13">
      <c r="E7093" s="355"/>
      <c r="F7093" s="355"/>
      <c r="G7093" s="355"/>
      <c r="H7093" s="355"/>
      <c r="I7093" s="355"/>
      <c r="J7093" s="355"/>
      <c r="K7093" s="355"/>
      <c r="L7093" s="355"/>
      <c r="M7093" s="355"/>
    </row>
    <row r="7094" spans="5:13">
      <c r="E7094" s="355"/>
      <c r="F7094" s="355"/>
      <c r="G7094" s="355"/>
      <c r="H7094" s="355"/>
      <c r="I7094" s="355"/>
      <c r="J7094" s="355"/>
      <c r="K7094" s="355"/>
      <c r="L7094" s="355"/>
      <c r="M7094" s="355"/>
    </row>
    <row r="7095" spans="5:13">
      <c r="E7095" s="355"/>
      <c r="F7095" s="355"/>
      <c r="G7095" s="355"/>
      <c r="H7095" s="355"/>
      <c r="I7095" s="355"/>
      <c r="J7095" s="355"/>
      <c r="K7095" s="355"/>
      <c r="L7095" s="355"/>
      <c r="M7095" s="355"/>
    </row>
    <row r="7096" spans="5:13">
      <c r="E7096" s="355"/>
      <c r="F7096" s="355"/>
      <c r="G7096" s="355"/>
      <c r="H7096" s="355"/>
      <c r="I7096" s="355"/>
      <c r="J7096" s="355"/>
      <c r="K7096" s="355"/>
      <c r="L7096" s="355"/>
      <c r="M7096" s="355"/>
    </row>
    <row r="7097" spans="5:13">
      <c r="E7097" s="355"/>
      <c r="F7097" s="355"/>
      <c r="G7097" s="355"/>
      <c r="H7097" s="355"/>
      <c r="I7097" s="355"/>
      <c r="J7097" s="355"/>
      <c r="K7097" s="355"/>
      <c r="L7097" s="355"/>
      <c r="M7097" s="355"/>
    </row>
    <row r="7098" spans="5:13">
      <c r="E7098" s="355"/>
      <c r="F7098" s="355"/>
      <c r="G7098" s="355"/>
      <c r="H7098" s="355"/>
      <c r="I7098" s="355"/>
      <c r="J7098" s="355"/>
      <c r="K7098" s="355"/>
      <c r="L7098" s="355"/>
      <c r="M7098" s="355"/>
    </row>
    <row r="7099" spans="5:13">
      <c r="E7099" s="355"/>
      <c r="F7099" s="355"/>
      <c r="G7099" s="355"/>
      <c r="H7099" s="355"/>
      <c r="I7099" s="355"/>
      <c r="J7099" s="355"/>
      <c r="K7099" s="355"/>
      <c r="L7099" s="355"/>
      <c r="M7099" s="355"/>
    </row>
    <row r="7100" spans="5:13">
      <c r="E7100" s="355"/>
      <c r="F7100" s="355"/>
      <c r="G7100" s="355"/>
      <c r="H7100" s="355"/>
      <c r="I7100" s="355"/>
      <c r="J7100" s="355"/>
      <c r="K7100" s="355"/>
      <c r="L7100" s="355"/>
      <c r="M7100" s="355"/>
    </row>
    <row r="7101" spans="5:13">
      <c r="E7101" s="355"/>
      <c r="F7101" s="355"/>
      <c r="G7101" s="355"/>
      <c r="H7101" s="355"/>
      <c r="I7101" s="355"/>
      <c r="J7101" s="355"/>
      <c r="K7101" s="355"/>
      <c r="L7101" s="355"/>
      <c r="M7101" s="355"/>
    </row>
    <row r="7102" spans="5:13">
      <c r="E7102" s="355"/>
      <c r="F7102" s="355"/>
      <c r="G7102" s="355"/>
      <c r="H7102" s="355"/>
      <c r="I7102" s="355"/>
      <c r="J7102" s="355"/>
      <c r="K7102" s="355"/>
      <c r="L7102" s="355"/>
      <c r="M7102" s="355"/>
    </row>
    <row r="7103" spans="5:13">
      <c r="E7103" s="355"/>
      <c r="F7103" s="355"/>
      <c r="G7103" s="355"/>
      <c r="H7103" s="355"/>
      <c r="I7103" s="355"/>
      <c r="J7103" s="355"/>
      <c r="K7103" s="355"/>
      <c r="L7103" s="355"/>
      <c r="M7103" s="355"/>
    </row>
    <row r="7104" spans="5:13">
      <c r="E7104" s="355"/>
      <c r="F7104" s="355"/>
      <c r="G7104" s="355"/>
      <c r="H7104" s="355"/>
      <c r="I7104" s="355"/>
      <c r="J7104" s="355"/>
      <c r="K7104" s="355"/>
      <c r="L7104" s="355"/>
      <c r="M7104" s="355"/>
    </row>
    <row r="7105" spans="5:13">
      <c r="E7105" s="355"/>
      <c r="F7105" s="355"/>
      <c r="G7105" s="355"/>
      <c r="H7105" s="355"/>
      <c r="I7105" s="355"/>
      <c r="J7105" s="355"/>
      <c r="K7105" s="355"/>
      <c r="L7105" s="355"/>
      <c r="M7105" s="355"/>
    </row>
    <row r="7106" spans="5:13">
      <c r="E7106" s="355"/>
      <c r="F7106" s="355"/>
      <c r="G7106" s="355"/>
      <c r="H7106" s="355"/>
      <c r="I7106" s="355"/>
      <c r="J7106" s="355"/>
      <c r="K7106" s="355"/>
      <c r="L7106" s="355"/>
      <c r="M7106" s="355"/>
    </row>
    <row r="7107" spans="5:13">
      <c r="E7107" s="355"/>
      <c r="F7107" s="355"/>
      <c r="G7107" s="355"/>
      <c r="H7107" s="355"/>
      <c r="I7107" s="355"/>
      <c r="J7107" s="355"/>
      <c r="K7107" s="355"/>
      <c r="L7107" s="355"/>
      <c r="M7107" s="355"/>
    </row>
    <row r="7108" spans="5:13">
      <c r="E7108" s="355"/>
      <c r="F7108" s="355"/>
      <c r="G7108" s="355"/>
      <c r="H7108" s="355"/>
      <c r="I7108" s="355"/>
      <c r="J7108" s="355"/>
      <c r="K7108" s="355"/>
      <c r="L7108" s="355"/>
      <c r="M7108" s="355"/>
    </row>
    <row r="7109" spans="5:13">
      <c r="E7109" s="355"/>
      <c r="F7109" s="355"/>
      <c r="G7109" s="355"/>
      <c r="H7109" s="355"/>
      <c r="I7109" s="355"/>
      <c r="J7109" s="355"/>
      <c r="K7109" s="355"/>
      <c r="L7109" s="355"/>
      <c r="M7109" s="355"/>
    </row>
    <row r="7110" spans="5:13">
      <c r="E7110" s="355"/>
      <c r="F7110" s="355"/>
      <c r="G7110" s="355"/>
      <c r="H7110" s="355"/>
      <c r="I7110" s="355"/>
      <c r="J7110" s="355"/>
      <c r="K7110" s="355"/>
      <c r="L7110" s="355"/>
      <c r="M7110" s="355"/>
    </row>
    <row r="7111" spans="5:13">
      <c r="E7111" s="355"/>
      <c r="F7111" s="355"/>
      <c r="G7111" s="355"/>
      <c r="H7111" s="355"/>
      <c r="I7111" s="355"/>
      <c r="J7111" s="355"/>
      <c r="K7111" s="355"/>
      <c r="L7111" s="355"/>
      <c r="M7111" s="355"/>
    </row>
    <row r="7112" spans="5:13">
      <c r="E7112" s="355"/>
      <c r="F7112" s="355"/>
      <c r="G7112" s="355"/>
      <c r="H7112" s="355"/>
      <c r="I7112" s="355"/>
      <c r="J7112" s="355"/>
      <c r="K7112" s="355"/>
      <c r="L7112" s="355"/>
      <c r="M7112" s="355"/>
    </row>
    <row r="7113" spans="5:13">
      <c r="E7113" s="355"/>
      <c r="F7113" s="355"/>
      <c r="G7113" s="355"/>
      <c r="H7113" s="355"/>
      <c r="I7113" s="355"/>
      <c r="J7113" s="355"/>
      <c r="K7113" s="355"/>
      <c r="L7113" s="355"/>
      <c r="M7113" s="355"/>
    </row>
    <row r="7114" spans="5:13">
      <c r="E7114" s="355"/>
      <c r="F7114" s="355"/>
      <c r="G7114" s="355"/>
      <c r="H7114" s="355"/>
      <c r="I7114" s="355"/>
      <c r="J7114" s="355"/>
      <c r="K7114" s="355"/>
      <c r="L7114" s="355"/>
      <c r="M7114" s="355"/>
    </row>
    <row r="7115" spans="5:13">
      <c r="E7115" s="355"/>
      <c r="F7115" s="355"/>
      <c r="G7115" s="355"/>
      <c r="H7115" s="355"/>
      <c r="I7115" s="355"/>
      <c r="J7115" s="355"/>
      <c r="K7115" s="355"/>
      <c r="L7115" s="355"/>
      <c r="M7115" s="355"/>
    </row>
    <row r="7116" spans="5:13">
      <c r="E7116" s="355"/>
      <c r="F7116" s="355"/>
      <c r="G7116" s="355"/>
      <c r="H7116" s="355"/>
      <c r="I7116" s="355"/>
      <c r="J7116" s="355"/>
      <c r="K7116" s="355"/>
      <c r="L7116" s="355"/>
      <c r="M7116" s="355"/>
    </row>
    <row r="7117" spans="5:13">
      <c r="E7117" s="355"/>
      <c r="F7117" s="355"/>
      <c r="G7117" s="355"/>
      <c r="H7117" s="355"/>
      <c r="I7117" s="355"/>
      <c r="J7117" s="355"/>
      <c r="K7117" s="355"/>
      <c r="L7117" s="355"/>
      <c r="M7117" s="355"/>
    </row>
    <row r="7118" spans="5:13">
      <c r="E7118" s="355"/>
      <c r="F7118" s="355"/>
      <c r="G7118" s="355"/>
      <c r="H7118" s="355"/>
      <c r="I7118" s="355"/>
      <c r="J7118" s="355"/>
      <c r="K7118" s="355"/>
      <c r="L7118" s="355"/>
      <c r="M7118" s="355"/>
    </row>
    <row r="7119" spans="5:13">
      <c r="E7119" s="355"/>
      <c r="F7119" s="355"/>
      <c r="G7119" s="355"/>
      <c r="H7119" s="355"/>
      <c r="I7119" s="355"/>
      <c r="J7119" s="355"/>
      <c r="K7119" s="355"/>
      <c r="L7119" s="355"/>
      <c r="M7119" s="355"/>
    </row>
    <row r="7120" spans="5:13">
      <c r="E7120" s="355"/>
      <c r="F7120" s="355"/>
      <c r="G7120" s="355"/>
      <c r="H7120" s="355"/>
      <c r="I7120" s="355"/>
      <c r="J7120" s="355"/>
      <c r="K7120" s="355"/>
      <c r="L7120" s="355"/>
      <c r="M7120" s="355"/>
    </row>
    <row r="7121" spans="5:13">
      <c r="E7121" s="355"/>
      <c r="F7121" s="355"/>
      <c r="G7121" s="355"/>
      <c r="H7121" s="355"/>
      <c r="I7121" s="355"/>
      <c r="J7121" s="355"/>
      <c r="K7121" s="355"/>
      <c r="L7121" s="355"/>
      <c r="M7121" s="355"/>
    </row>
    <row r="7122" spans="5:13">
      <c r="E7122" s="355"/>
      <c r="F7122" s="355"/>
      <c r="G7122" s="355"/>
      <c r="H7122" s="355"/>
      <c r="I7122" s="355"/>
      <c r="J7122" s="355"/>
      <c r="K7122" s="355"/>
      <c r="L7122" s="355"/>
      <c r="M7122" s="355"/>
    </row>
    <row r="7123" spans="5:13">
      <c r="E7123" s="355"/>
      <c r="F7123" s="355"/>
      <c r="G7123" s="355"/>
      <c r="H7123" s="355"/>
      <c r="I7123" s="355"/>
      <c r="J7123" s="355"/>
      <c r="K7123" s="355"/>
      <c r="L7123" s="355"/>
      <c r="M7123" s="355"/>
    </row>
    <row r="7124" spans="5:13">
      <c r="E7124" s="355"/>
      <c r="F7124" s="355"/>
      <c r="G7124" s="355"/>
      <c r="H7124" s="355"/>
      <c r="I7124" s="355"/>
      <c r="J7124" s="355"/>
      <c r="K7124" s="355"/>
      <c r="L7124" s="355"/>
      <c r="M7124" s="355"/>
    </row>
    <row r="7125" spans="5:13">
      <c r="E7125" s="355"/>
      <c r="F7125" s="355"/>
      <c r="G7125" s="355"/>
      <c r="H7125" s="355"/>
      <c r="I7125" s="355"/>
      <c r="J7125" s="355"/>
      <c r="K7125" s="355"/>
      <c r="L7125" s="355"/>
      <c r="M7125" s="355"/>
    </row>
    <row r="7126" spans="5:13">
      <c r="E7126" s="355"/>
      <c r="F7126" s="355"/>
      <c r="G7126" s="355"/>
      <c r="H7126" s="355"/>
      <c r="I7126" s="355"/>
      <c r="J7126" s="355"/>
      <c r="K7126" s="355"/>
      <c r="L7126" s="355"/>
      <c r="M7126" s="355"/>
    </row>
    <row r="7127" spans="5:13">
      <c r="E7127" s="355"/>
      <c r="F7127" s="355"/>
      <c r="G7127" s="355"/>
      <c r="H7127" s="355"/>
      <c r="I7127" s="355"/>
      <c r="J7127" s="355"/>
      <c r="K7127" s="355"/>
      <c r="L7127" s="355"/>
      <c r="M7127" s="355"/>
    </row>
    <row r="7128" spans="5:13">
      <c r="E7128" s="355"/>
      <c r="F7128" s="355"/>
      <c r="G7128" s="355"/>
      <c r="H7128" s="355"/>
      <c r="I7128" s="355"/>
      <c r="J7128" s="355"/>
      <c r="K7128" s="355"/>
      <c r="L7128" s="355"/>
      <c r="M7128" s="355"/>
    </row>
    <row r="7129" spans="5:13">
      <c r="E7129" s="355"/>
      <c r="F7129" s="355"/>
      <c r="G7129" s="355"/>
      <c r="H7129" s="355"/>
      <c r="I7129" s="355"/>
      <c r="J7129" s="355"/>
      <c r="K7129" s="355"/>
      <c r="L7129" s="355"/>
      <c r="M7129" s="355"/>
    </row>
    <row r="7130" spans="5:13">
      <c r="E7130" s="355"/>
      <c r="F7130" s="355"/>
      <c r="G7130" s="355"/>
      <c r="H7130" s="355"/>
      <c r="I7130" s="355"/>
      <c r="J7130" s="355"/>
      <c r="K7130" s="355"/>
      <c r="L7130" s="355"/>
      <c r="M7130" s="355"/>
    </row>
    <row r="7131" spans="5:13">
      <c r="E7131" s="355"/>
      <c r="F7131" s="355"/>
      <c r="G7131" s="355"/>
      <c r="H7131" s="355"/>
      <c r="I7131" s="355"/>
      <c r="J7131" s="355"/>
      <c r="K7131" s="355"/>
      <c r="L7131" s="355"/>
      <c r="M7131" s="355"/>
    </row>
    <row r="7132" spans="5:13">
      <c r="E7132" s="355"/>
      <c r="F7132" s="355"/>
      <c r="G7132" s="355"/>
      <c r="H7132" s="355"/>
      <c r="I7132" s="355"/>
      <c r="J7132" s="355"/>
      <c r="K7132" s="355"/>
      <c r="L7132" s="355"/>
      <c r="M7132" s="355"/>
    </row>
    <row r="7133" spans="5:13">
      <c r="E7133" s="355"/>
      <c r="F7133" s="355"/>
      <c r="G7133" s="355"/>
      <c r="H7133" s="355"/>
      <c r="I7133" s="355"/>
      <c r="J7133" s="355"/>
      <c r="K7133" s="355"/>
      <c r="L7133" s="355"/>
      <c r="M7133" s="355"/>
    </row>
    <row r="7134" spans="5:13">
      <c r="E7134" s="355"/>
      <c r="F7134" s="355"/>
      <c r="G7134" s="355"/>
      <c r="H7134" s="355"/>
      <c r="I7134" s="355"/>
      <c r="J7134" s="355"/>
      <c r="K7134" s="355"/>
      <c r="L7134" s="355"/>
      <c r="M7134" s="355"/>
    </row>
    <row r="7135" spans="5:13">
      <c r="E7135" s="355"/>
      <c r="F7135" s="355"/>
      <c r="G7135" s="355"/>
      <c r="H7135" s="355"/>
      <c r="I7135" s="355"/>
      <c r="J7135" s="355"/>
      <c r="K7135" s="355"/>
      <c r="L7135" s="355"/>
      <c r="M7135" s="355"/>
    </row>
    <row r="7136" spans="5:13">
      <c r="E7136" s="355"/>
      <c r="F7136" s="355"/>
      <c r="G7136" s="355"/>
      <c r="H7136" s="355"/>
      <c r="I7136" s="355"/>
      <c r="J7136" s="355"/>
      <c r="K7136" s="355"/>
      <c r="L7136" s="355"/>
      <c r="M7136" s="355"/>
    </row>
    <row r="7137" spans="5:13">
      <c r="E7137" s="355"/>
      <c r="F7137" s="355"/>
      <c r="G7137" s="355"/>
      <c r="H7137" s="355"/>
      <c r="I7137" s="355"/>
      <c r="J7137" s="355"/>
      <c r="K7137" s="355"/>
      <c r="L7137" s="355"/>
      <c r="M7137" s="355"/>
    </row>
    <row r="7138" spans="5:13">
      <c r="E7138" s="355"/>
      <c r="F7138" s="355"/>
      <c r="G7138" s="355"/>
      <c r="H7138" s="355"/>
      <c r="I7138" s="355"/>
      <c r="J7138" s="355"/>
      <c r="K7138" s="355"/>
      <c r="L7138" s="355"/>
      <c r="M7138" s="355"/>
    </row>
    <row r="7139" spans="5:13">
      <c r="E7139" s="355"/>
      <c r="F7139" s="355"/>
      <c r="G7139" s="355"/>
      <c r="H7139" s="355"/>
      <c r="I7139" s="355"/>
      <c r="J7139" s="355"/>
      <c r="K7139" s="355"/>
      <c r="L7139" s="355"/>
      <c r="M7139" s="355"/>
    </row>
    <row r="7140" spans="5:13">
      <c r="E7140" s="355"/>
      <c r="F7140" s="355"/>
      <c r="G7140" s="355"/>
      <c r="H7140" s="355"/>
      <c r="I7140" s="355"/>
      <c r="J7140" s="355"/>
      <c r="K7140" s="355"/>
      <c r="L7140" s="355"/>
      <c r="M7140" s="355"/>
    </row>
    <row r="7141" spans="5:13">
      <c r="E7141" s="355"/>
      <c r="F7141" s="355"/>
      <c r="G7141" s="355"/>
      <c r="H7141" s="355"/>
      <c r="I7141" s="355"/>
      <c r="J7141" s="355"/>
      <c r="K7141" s="355"/>
      <c r="L7141" s="355"/>
      <c r="M7141" s="355"/>
    </row>
    <row r="7142" spans="5:13">
      <c r="E7142" s="355"/>
      <c r="F7142" s="355"/>
      <c r="G7142" s="355"/>
      <c r="H7142" s="355"/>
      <c r="I7142" s="355"/>
      <c r="J7142" s="355"/>
      <c r="K7142" s="355"/>
      <c r="L7142" s="355"/>
      <c r="M7142" s="355"/>
    </row>
    <row r="7143" spans="5:13">
      <c r="E7143" s="355"/>
      <c r="F7143" s="355"/>
      <c r="G7143" s="355"/>
      <c r="H7143" s="355"/>
      <c r="I7143" s="355"/>
      <c r="J7143" s="355"/>
      <c r="K7143" s="355"/>
      <c r="L7143" s="355"/>
      <c r="M7143" s="355"/>
    </row>
    <row r="7144" spans="5:13">
      <c r="E7144" s="355"/>
      <c r="F7144" s="355"/>
      <c r="G7144" s="355"/>
      <c r="H7144" s="355"/>
      <c r="I7144" s="355"/>
      <c r="J7144" s="355"/>
      <c r="K7144" s="355"/>
      <c r="L7144" s="355"/>
      <c r="M7144" s="355"/>
    </row>
    <row r="7145" spans="5:13">
      <c r="E7145" s="355"/>
      <c r="F7145" s="355"/>
      <c r="G7145" s="355"/>
      <c r="H7145" s="355"/>
      <c r="I7145" s="355"/>
      <c r="J7145" s="355"/>
      <c r="K7145" s="355"/>
      <c r="L7145" s="355"/>
      <c r="M7145" s="355"/>
    </row>
    <row r="7146" spans="5:13">
      <c r="E7146" s="355"/>
      <c r="F7146" s="355"/>
      <c r="G7146" s="355"/>
      <c r="H7146" s="355"/>
      <c r="I7146" s="355"/>
      <c r="J7146" s="355"/>
      <c r="K7146" s="355"/>
      <c r="L7146" s="355"/>
      <c r="M7146" s="355"/>
    </row>
    <row r="7147" spans="5:13">
      <c r="E7147" s="355"/>
      <c r="F7147" s="355"/>
      <c r="G7147" s="355"/>
      <c r="H7147" s="355"/>
      <c r="I7147" s="355"/>
      <c r="J7147" s="355"/>
      <c r="K7147" s="355"/>
      <c r="L7147" s="355"/>
      <c r="M7147" s="355"/>
    </row>
    <row r="7148" spans="5:13">
      <c r="E7148" s="355"/>
      <c r="F7148" s="355"/>
      <c r="G7148" s="355"/>
      <c r="H7148" s="355"/>
      <c r="I7148" s="355"/>
      <c r="J7148" s="355"/>
      <c r="K7148" s="355"/>
      <c r="L7148" s="355"/>
      <c r="M7148" s="355"/>
    </row>
    <row r="7149" spans="5:13">
      <c r="E7149" s="355"/>
      <c r="F7149" s="355"/>
      <c r="G7149" s="355"/>
      <c r="H7149" s="355"/>
      <c r="I7149" s="355"/>
      <c r="J7149" s="355"/>
      <c r="K7149" s="355"/>
      <c r="L7149" s="355"/>
      <c r="M7149" s="355"/>
    </row>
    <row r="7150" spans="5:13">
      <c r="E7150" s="355"/>
      <c r="F7150" s="355"/>
      <c r="G7150" s="355"/>
      <c r="H7150" s="355"/>
      <c r="I7150" s="355"/>
      <c r="J7150" s="355"/>
      <c r="K7150" s="355"/>
      <c r="L7150" s="355"/>
      <c r="M7150" s="355"/>
    </row>
    <row r="7151" spans="5:13">
      <c r="E7151" s="355"/>
      <c r="F7151" s="355"/>
      <c r="G7151" s="355"/>
      <c r="H7151" s="355"/>
      <c r="I7151" s="355"/>
      <c r="J7151" s="355"/>
      <c r="K7151" s="355"/>
      <c r="L7151" s="355"/>
      <c r="M7151" s="355"/>
    </row>
    <row r="7152" spans="5:13">
      <c r="E7152" s="355"/>
      <c r="F7152" s="355"/>
      <c r="G7152" s="355"/>
      <c r="H7152" s="355"/>
      <c r="I7152" s="355"/>
      <c r="J7152" s="355"/>
      <c r="K7152" s="355"/>
      <c r="L7152" s="355"/>
      <c r="M7152" s="355"/>
    </row>
    <row r="7153" spans="5:13">
      <c r="E7153" s="355"/>
      <c r="F7153" s="355"/>
      <c r="G7153" s="355"/>
      <c r="H7153" s="355"/>
      <c r="I7153" s="355"/>
      <c r="J7153" s="355"/>
      <c r="K7153" s="355"/>
      <c r="L7153" s="355"/>
      <c r="M7153" s="355"/>
    </row>
    <row r="7154" spans="5:13">
      <c r="E7154" s="355"/>
      <c r="F7154" s="355"/>
      <c r="G7154" s="355"/>
      <c r="H7154" s="355"/>
      <c r="I7154" s="355"/>
      <c r="J7154" s="355"/>
      <c r="K7154" s="355"/>
      <c r="L7154" s="355"/>
      <c r="M7154" s="355"/>
    </row>
    <row r="7155" spans="5:13">
      <c r="E7155" s="355"/>
      <c r="F7155" s="355"/>
      <c r="G7155" s="355"/>
      <c r="H7155" s="355"/>
      <c r="I7155" s="355"/>
      <c r="J7155" s="355"/>
      <c r="K7155" s="355"/>
      <c r="L7155" s="355"/>
      <c r="M7155" s="355"/>
    </row>
    <row r="7156" spans="5:13">
      <c r="E7156" s="355"/>
      <c r="F7156" s="355"/>
      <c r="G7156" s="355"/>
      <c r="H7156" s="355"/>
      <c r="I7156" s="355"/>
      <c r="J7156" s="355"/>
      <c r="K7156" s="355"/>
      <c r="L7156" s="355"/>
      <c r="M7156" s="355"/>
    </row>
    <row r="7157" spans="5:13">
      <c r="E7157" s="355"/>
      <c r="F7157" s="355"/>
      <c r="G7157" s="355"/>
      <c r="H7157" s="355"/>
      <c r="I7157" s="355"/>
      <c r="J7157" s="355"/>
      <c r="K7157" s="355"/>
      <c r="L7157" s="355"/>
      <c r="M7157" s="355"/>
    </row>
    <row r="7158" spans="5:13">
      <c r="E7158" s="355"/>
      <c r="F7158" s="355"/>
      <c r="G7158" s="355"/>
      <c r="H7158" s="355"/>
      <c r="I7158" s="355"/>
      <c r="J7158" s="355"/>
      <c r="K7158" s="355"/>
      <c r="L7158" s="355"/>
      <c r="M7158" s="355"/>
    </row>
    <row r="7159" spans="5:13">
      <c r="E7159" s="355"/>
      <c r="F7159" s="355"/>
      <c r="G7159" s="355"/>
      <c r="H7159" s="355"/>
      <c r="I7159" s="355"/>
      <c r="J7159" s="355"/>
      <c r="K7159" s="355"/>
      <c r="L7159" s="355"/>
      <c r="M7159" s="355"/>
    </row>
    <row r="7160" spans="5:13">
      <c r="E7160" s="355"/>
      <c r="F7160" s="355"/>
      <c r="G7160" s="355"/>
      <c r="H7160" s="355"/>
      <c r="I7160" s="355"/>
      <c r="J7160" s="355"/>
      <c r="K7160" s="355"/>
      <c r="L7160" s="355"/>
      <c r="M7160" s="355"/>
    </row>
    <row r="7161" spans="5:13">
      <c r="E7161" s="355"/>
      <c r="F7161" s="355"/>
      <c r="G7161" s="355"/>
      <c r="H7161" s="355"/>
      <c r="I7161" s="355"/>
      <c r="J7161" s="355"/>
      <c r="K7161" s="355"/>
      <c r="L7161" s="355"/>
      <c r="M7161" s="355"/>
    </row>
    <row r="7162" spans="5:13">
      <c r="E7162" s="355"/>
      <c r="F7162" s="355"/>
      <c r="G7162" s="355"/>
      <c r="H7162" s="355"/>
      <c r="I7162" s="355"/>
      <c r="J7162" s="355"/>
      <c r="K7162" s="355"/>
      <c r="L7162" s="355"/>
      <c r="M7162" s="355"/>
    </row>
    <row r="7163" spans="5:13">
      <c r="E7163" s="355"/>
      <c r="F7163" s="355"/>
      <c r="G7163" s="355"/>
      <c r="H7163" s="355"/>
      <c r="I7163" s="355"/>
      <c r="J7163" s="355"/>
      <c r="K7163" s="355"/>
      <c r="L7163" s="355"/>
      <c r="M7163" s="355"/>
    </row>
    <row r="7164" spans="5:13">
      <c r="E7164" s="355"/>
      <c r="F7164" s="355"/>
      <c r="G7164" s="355"/>
      <c r="H7164" s="355"/>
      <c r="I7164" s="355"/>
      <c r="J7164" s="355"/>
      <c r="K7164" s="355"/>
      <c r="L7164" s="355"/>
      <c r="M7164" s="355"/>
    </row>
    <row r="7165" spans="5:13">
      <c r="E7165" s="355"/>
      <c r="F7165" s="355"/>
      <c r="G7165" s="355"/>
      <c r="H7165" s="355"/>
      <c r="I7165" s="355"/>
      <c r="J7165" s="355"/>
      <c r="K7165" s="355"/>
      <c r="L7165" s="355"/>
      <c r="M7165" s="355"/>
    </row>
    <row r="7166" spans="5:13">
      <c r="E7166" s="355"/>
      <c r="F7166" s="355"/>
      <c r="G7166" s="355"/>
      <c r="H7166" s="355"/>
      <c r="I7166" s="355"/>
      <c r="J7166" s="355"/>
      <c r="K7166" s="355"/>
      <c r="L7166" s="355"/>
      <c r="M7166" s="355"/>
    </row>
    <row r="7167" spans="5:13">
      <c r="E7167" s="355"/>
      <c r="F7167" s="355"/>
      <c r="G7167" s="355"/>
      <c r="H7167" s="355"/>
      <c r="I7167" s="355"/>
      <c r="J7167" s="355"/>
      <c r="K7167" s="355"/>
      <c r="L7167" s="355"/>
      <c r="M7167" s="355"/>
    </row>
    <row r="7168" spans="5:13">
      <c r="E7168" s="355"/>
      <c r="F7168" s="355"/>
      <c r="G7168" s="355"/>
      <c r="H7168" s="355"/>
      <c r="I7168" s="355"/>
      <c r="J7168" s="355"/>
      <c r="K7168" s="355"/>
      <c r="L7168" s="355"/>
      <c r="M7168" s="355"/>
    </row>
    <row r="7169" spans="5:13">
      <c r="E7169" s="355"/>
      <c r="F7169" s="355"/>
      <c r="G7169" s="355"/>
      <c r="H7169" s="355"/>
      <c r="I7169" s="355"/>
      <c r="J7169" s="355"/>
      <c r="K7169" s="355"/>
      <c r="L7169" s="355"/>
      <c r="M7169" s="355"/>
    </row>
    <row r="7170" spans="5:13">
      <c r="E7170" s="355"/>
      <c r="F7170" s="355"/>
      <c r="G7170" s="355"/>
      <c r="H7170" s="355"/>
      <c r="I7170" s="355"/>
      <c r="J7170" s="355"/>
      <c r="K7170" s="355"/>
      <c r="L7170" s="355"/>
      <c r="M7170" s="355"/>
    </row>
    <row r="7171" spans="5:13">
      <c r="E7171" s="355"/>
      <c r="F7171" s="355"/>
      <c r="G7171" s="355"/>
      <c r="H7171" s="355"/>
      <c r="I7171" s="355"/>
      <c r="J7171" s="355"/>
      <c r="K7171" s="355"/>
      <c r="L7171" s="355"/>
      <c r="M7171" s="355"/>
    </row>
    <row r="7172" spans="5:13">
      <c r="E7172" s="355"/>
      <c r="F7172" s="355"/>
      <c r="G7172" s="355"/>
      <c r="H7172" s="355"/>
      <c r="I7172" s="355"/>
      <c r="J7172" s="355"/>
      <c r="K7172" s="355"/>
      <c r="L7172" s="355"/>
      <c r="M7172" s="355"/>
    </row>
    <row r="7173" spans="5:13">
      <c r="E7173" s="355"/>
      <c r="F7173" s="355"/>
      <c r="G7173" s="355"/>
      <c r="H7173" s="355"/>
      <c r="I7173" s="355"/>
      <c r="J7173" s="355"/>
      <c r="K7173" s="355"/>
      <c r="L7173" s="355"/>
      <c r="M7173" s="355"/>
    </row>
    <row r="7174" spans="5:13">
      <c r="E7174" s="355"/>
      <c r="F7174" s="355"/>
      <c r="G7174" s="355"/>
      <c r="H7174" s="355"/>
      <c r="I7174" s="355"/>
      <c r="J7174" s="355"/>
      <c r="K7174" s="355"/>
      <c r="L7174" s="355"/>
      <c r="M7174" s="355"/>
    </row>
    <row r="7175" spans="5:13">
      <c r="E7175" s="355"/>
      <c r="F7175" s="355"/>
      <c r="G7175" s="355"/>
      <c r="H7175" s="355"/>
      <c r="I7175" s="355"/>
      <c r="J7175" s="355"/>
      <c r="K7175" s="355"/>
      <c r="L7175" s="355"/>
      <c r="M7175" s="355"/>
    </row>
    <row r="7176" spans="5:13">
      <c r="E7176" s="355"/>
      <c r="F7176" s="355"/>
      <c r="G7176" s="355"/>
      <c r="H7176" s="355"/>
      <c r="I7176" s="355"/>
      <c r="J7176" s="355"/>
      <c r="K7176" s="355"/>
      <c r="L7176" s="355"/>
      <c r="M7176" s="355"/>
    </row>
    <row r="7177" spans="5:13">
      <c r="E7177" s="355"/>
      <c r="F7177" s="355"/>
      <c r="G7177" s="355"/>
      <c r="H7177" s="355"/>
      <c r="I7177" s="355"/>
      <c r="J7177" s="355"/>
      <c r="K7177" s="355"/>
      <c r="L7177" s="355"/>
      <c r="M7177" s="355"/>
    </row>
    <row r="7178" spans="5:13">
      <c r="E7178" s="355"/>
      <c r="F7178" s="355"/>
      <c r="G7178" s="355"/>
      <c r="H7178" s="355"/>
      <c r="I7178" s="355"/>
      <c r="J7178" s="355"/>
      <c r="K7178" s="355"/>
      <c r="L7178" s="355"/>
      <c r="M7178" s="355"/>
    </row>
    <row r="7179" spans="5:13">
      <c r="E7179" s="355"/>
      <c r="F7179" s="355"/>
      <c r="G7179" s="355"/>
      <c r="H7179" s="355"/>
      <c r="I7179" s="355"/>
      <c r="J7179" s="355"/>
      <c r="K7179" s="355"/>
      <c r="L7179" s="355"/>
      <c r="M7179" s="355"/>
    </row>
    <row r="7180" spans="5:13">
      <c r="E7180" s="355"/>
      <c r="F7180" s="355"/>
      <c r="G7180" s="355"/>
      <c r="H7180" s="355"/>
      <c r="I7180" s="355"/>
      <c r="J7180" s="355"/>
      <c r="K7180" s="355"/>
      <c r="L7180" s="355"/>
      <c r="M7180" s="355"/>
    </row>
    <row r="7181" spans="5:13">
      <c r="E7181" s="355"/>
      <c r="F7181" s="355"/>
      <c r="G7181" s="355"/>
      <c r="H7181" s="355"/>
      <c r="I7181" s="355"/>
      <c r="J7181" s="355"/>
      <c r="K7181" s="355"/>
      <c r="L7181" s="355"/>
      <c r="M7181" s="355"/>
    </row>
    <row r="7182" spans="5:13">
      <c r="E7182" s="355"/>
      <c r="F7182" s="355"/>
      <c r="G7182" s="355"/>
      <c r="H7182" s="355"/>
      <c r="I7182" s="355"/>
      <c r="J7182" s="355"/>
      <c r="K7182" s="355"/>
      <c r="L7182" s="355"/>
      <c r="M7182" s="355"/>
    </row>
    <row r="7183" spans="5:13">
      <c r="E7183" s="355"/>
      <c r="F7183" s="355"/>
      <c r="G7183" s="355"/>
      <c r="H7183" s="355"/>
      <c r="I7183" s="355"/>
      <c r="J7183" s="355"/>
      <c r="K7183" s="355"/>
      <c r="L7183" s="355"/>
      <c r="M7183" s="355"/>
    </row>
    <row r="7184" spans="5:13">
      <c r="E7184" s="355"/>
      <c r="F7184" s="355"/>
      <c r="G7184" s="355"/>
      <c r="H7184" s="355"/>
      <c r="I7184" s="355"/>
      <c r="J7184" s="355"/>
      <c r="K7184" s="355"/>
      <c r="L7184" s="355"/>
      <c r="M7184" s="355"/>
    </row>
    <row r="7185" spans="5:13">
      <c r="E7185" s="355"/>
      <c r="F7185" s="355"/>
      <c r="G7185" s="355"/>
      <c r="H7185" s="355"/>
      <c r="I7185" s="355"/>
      <c r="J7185" s="355"/>
      <c r="K7185" s="355"/>
      <c r="L7185" s="355"/>
      <c r="M7185" s="355"/>
    </row>
    <row r="7186" spans="5:13">
      <c r="E7186" s="355"/>
      <c r="F7186" s="355"/>
      <c r="G7186" s="355"/>
      <c r="H7186" s="355"/>
      <c r="I7186" s="355"/>
      <c r="J7186" s="355"/>
      <c r="K7186" s="355"/>
      <c r="L7186" s="355"/>
      <c r="M7186" s="355"/>
    </row>
    <row r="7187" spans="5:13">
      <c r="E7187" s="355"/>
      <c r="F7187" s="355"/>
      <c r="G7187" s="355"/>
      <c r="H7187" s="355"/>
      <c r="I7187" s="355"/>
      <c r="J7187" s="355"/>
      <c r="K7187" s="355"/>
      <c r="L7187" s="355"/>
      <c r="M7187" s="355"/>
    </row>
    <row r="7188" spans="5:13">
      <c r="E7188" s="355"/>
      <c r="F7188" s="355"/>
      <c r="G7188" s="355"/>
      <c r="H7188" s="355"/>
      <c r="I7188" s="355"/>
      <c r="J7188" s="355"/>
      <c r="K7188" s="355"/>
      <c r="L7188" s="355"/>
      <c r="M7188" s="355"/>
    </row>
    <row r="7189" spans="5:13">
      <c r="E7189" s="355"/>
      <c r="F7189" s="355"/>
      <c r="G7189" s="355"/>
      <c r="H7189" s="355"/>
      <c r="I7189" s="355"/>
      <c r="J7189" s="355"/>
      <c r="K7189" s="355"/>
      <c r="L7189" s="355"/>
      <c r="M7189" s="355"/>
    </row>
    <row r="7190" spans="5:13">
      <c r="E7190" s="355"/>
      <c r="F7190" s="355"/>
      <c r="G7190" s="355"/>
      <c r="H7190" s="355"/>
      <c r="I7190" s="355"/>
      <c r="J7190" s="355"/>
      <c r="K7190" s="355"/>
      <c r="L7190" s="355"/>
      <c r="M7190" s="355"/>
    </row>
    <row r="7191" spans="5:13">
      <c r="E7191" s="355"/>
      <c r="F7191" s="355"/>
      <c r="G7191" s="355"/>
      <c r="H7191" s="355"/>
      <c r="I7191" s="355"/>
      <c r="J7191" s="355"/>
      <c r="K7191" s="355"/>
      <c r="L7191" s="355"/>
      <c r="M7191" s="355"/>
    </row>
    <row r="7192" spans="5:13">
      <c r="E7192" s="355"/>
      <c r="F7192" s="355"/>
      <c r="G7192" s="355"/>
      <c r="H7192" s="355"/>
      <c r="I7192" s="355"/>
      <c r="J7192" s="355"/>
      <c r="K7192" s="355"/>
      <c r="L7192" s="355"/>
      <c r="M7192" s="355"/>
    </row>
    <row r="7193" spans="5:13">
      <c r="E7193" s="355"/>
      <c r="F7193" s="355"/>
      <c r="G7193" s="355"/>
      <c r="H7193" s="355"/>
      <c r="I7193" s="355"/>
      <c r="J7193" s="355"/>
      <c r="K7193" s="355"/>
      <c r="L7193" s="355"/>
      <c r="M7193" s="355"/>
    </row>
    <row r="7194" spans="5:13">
      <c r="E7194" s="355"/>
      <c r="F7194" s="355"/>
      <c r="G7194" s="355"/>
      <c r="H7194" s="355"/>
      <c r="I7194" s="355"/>
      <c r="J7194" s="355"/>
      <c r="K7194" s="355"/>
      <c r="L7194" s="355"/>
      <c r="M7194" s="355"/>
    </row>
    <row r="7195" spans="5:13">
      <c r="E7195" s="355"/>
      <c r="F7195" s="355"/>
      <c r="G7195" s="355"/>
      <c r="H7195" s="355"/>
      <c r="I7195" s="355"/>
      <c r="J7195" s="355"/>
      <c r="K7195" s="355"/>
      <c r="L7195" s="355"/>
      <c r="M7195" s="355"/>
    </row>
    <row r="7196" spans="5:13">
      <c r="E7196" s="355"/>
      <c r="F7196" s="355"/>
      <c r="G7196" s="355"/>
      <c r="H7196" s="355"/>
      <c r="I7196" s="355"/>
      <c r="J7196" s="355"/>
      <c r="K7196" s="355"/>
      <c r="L7196" s="355"/>
      <c r="M7196" s="355"/>
    </row>
    <row r="7197" spans="5:13">
      <c r="E7197" s="355"/>
      <c r="F7197" s="355"/>
      <c r="G7197" s="355"/>
      <c r="H7197" s="355"/>
      <c r="I7197" s="355"/>
      <c r="J7197" s="355"/>
      <c r="K7197" s="355"/>
      <c r="L7197" s="355"/>
      <c r="M7197" s="355"/>
    </row>
    <row r="7198" spans="5:13">
      <c r="E7198" s="355"/>
      <c r="F7198" s="355"/>
      <c r="G7198" s="355"/>
      <c r="H7198" s="355"/>
      <c r="I7198" s="355"/>
      <c r="J7198" s="355"/>
      <c r="K7198" s="355"/>
      <c r="L7198" s="355"/>
      <c r="M7198" s="355"/>
    </row>
    <row r="7199" spans="5:13">
      <c r="E7199" s="355"/>
      <c r="F7199" s="355"/>
      <c r="G7199" s="355"/>
      <c r="H7199" s="355"/>
      <c r="I7199" s="355"/>
      <c r="J7199" s="355"/>
      <c r="K7199" s="355"/>
      <c r="L7199" s="355"/>
      <c r="M7199" s="355"/>
    </row>
    <row r="7200" spans="5:13">
      <c r="E7200" s="355"/>
      <c r="F7200" s="355"/>
      <c r="G7200" s="355"/>
      <c r="H7200" s="355"/>
      <c r="I7200" s="355"/>
      <c r="J7200" s="355"/>
      <c r="K7200" s="355"/>
      <c r="L7200" s="355"/>
      <c r="M7200" s="355"/>
    </row>
    <row r="7201" spans="5:13">
      <c r="E7201" s="355"/>
      <c r="F7201" s="355"/>
      <c r="G7201" s="355"/>
      <c r="H7201" s="355"/>
      <c r="I7201" s="355"/>
      <c r="J7201" s="355"/>
      <c r="K7201" s="355"/>
      <c r="L7201" s="355"/>
      <c r="M7201" s="355"/>
    </row>
    <row r="7202" spans="5:13">
      <c r="E7202" s="355"/>
      <c r="F7202" s="355"/>
      <c r="G7202" s="355"/>
      <c r="H7202" s="355"/>
      <c r="I7202" s="355"/>
      <c r="J7202" s="355"/>
      <c r="K7202" s="355"/>
      <c r="L7202" s="355"/>
      <c r="M7202" s="355"/>
    </row>
    <row r="7203" spans="5:13">
      <c r="E7203" s="355"/>
      <c r="F7203" s="355"/>
      <c r="G7203" s="355"/>
      <c r="H7203" s="355"/>
      <c r="I7203" s="355"/>
      <c r="J7203" s="355"/>
      <c r="K7203" s="355"/>
      <c r="L7203" s="355"/>
      <c r="M7203" s="355"/>
    </row>
    <row r="7204" spans="5:13">
      <c r="E7204" s="355"/>
      <c r="F7204" s="355"/>
      <c r="G7204" s="355"/>
      <c r="H7204" s="355"/>
      <c r="I7204" s="355"/>
      <c r="J7204" s="355"/>
      <c r="K7204" s="355"/>
      <c r="L7204" s="355"/>
      <c r="M7204" s="355"/>
    </row>
    <row r="7205" spans="5:13">
      <c r="E7205" s="355"/>
      <c r="F7205" s="355"/>
      <c r="G7205" s="355"/>
      <c r="H7205" s="355"/>
      <c r="I7205" s="355"/>
      <c r="J7205" s="355"/>
      <c r="K7205" s="355"/>
      <c r="L7205" s="355"/>
      <c r="M7205" s="355"/>
    </row>
    <row r="7206" spans="5:13">
      <c r="E7206" s="355"/>
      <c r="F7206" s="355"/>
      <c r="G7206" s="355"/>
      <c r="H7206" s="355"/>
      <c r="I7206" s="355"/>
      <c r="J7206" s="355"/>
      <c r="K7206" s="355"/>
      <c r="L7206" s="355"/>
      <c r="M7206" s="355"/>
    </row>
    <row r="7207" spans="5:13">
      <c r="E7207" s="355"/>
      <c r="F7207" s="355"/>
      <c r="G7207" s="355"/>
      <c r="H7207" s="355"/>
      <c r="I7207" s="355"/>
      <c r="J7207" s="355"/>
      <c r="K7207" s="355"/>
      <c r="L7207" s="355"/>
      <c r="M7207" s="355"/>
    </row>
    <row r="7208" spans="5:13">
      <c r="E7208" s="355"/>
      <c r="F7208" s="355"/>
      <c r="G7208" s="355"/>
      <c r="H7208" s="355"/>
      <c r="I7208" s="355"/>
      <c r="J7208" s="355"/>
      <c r="K7208" s="355"/>
      <c r="L7208" s="355"/>
      <c r="M7208" s="355"/>
    </row>
    <row r="7209" spans="5:13">
      <c r="E7209" s="355"/>
      <c r="F7209" s="355"/>
      <c r="G7209" s="355"/>
      <c r="H7209" s="355"/>
      <c r="I7209" s="355"/>
      <c r="J7209" s="355"/>
      <c r="K7209" s="355"/>
      <c r="L7209" s="355"/>
      <c r="M7209" s="355"/>
    </row>
    <row r="7210" spans="5:13">
      <c r="E7210" s="355"/>
      <c r="F7210" s="355"/>
      <c r="G7210" s="355"/>
      <c r="H7210" s="355"/>
      <c r="I7210" s="355"/>
      <c r="J7210" s="355"/>
      <c r="K7210" s="355"/>
      <c r="L7210" s="355"/>
      <c r="M7210" s="355"/>
    </row>
    <row r="7211" spans="5:13">
      <c r="E7211" s="355"/>
      <c r="F7211" s="355"/>
      <c r="G7211" s="355"/>
      <c r="H7211" s="355"/>
      <c r="I7211" s="355"/>
      <c r="J7211" s="355"/>
      <c r="K7211" s="355"/>
      <c r="L7211" s="355"/>
      <c r="M7211" s="355"/>
    </row>
    <row r="7212" spans="5:13">
      <c r="E7212" s="355"/>
      <c r="F7212" s="355"/>
      <c r="G7212" s="355"/>
      <c r="H7212" s="355"/>
      <c r="I7212" s="355"/>
      <c r="J7212" s="355"/>
      <c r="K7212" s="355"/>
      <c r="L7212" s="355"/>
      <c r="M7212" s="355"/>
    </row>
    <row r="7213" spans="5:13">
      <c r="E7213" s="355"/>
      <c r="F7213" s="355"/>
      <c r="G7213" s="355"/>
      <c r="H7213" s="355"/>
      <c r="I7213" s="355"/>
      <c r="J7213" s="355"/>
      <c r="K7213" s="355"/>
      <c r="L7213" s="355"/>
      <c r="M7213" s="355"/>
    </row>
    <row r="7214" spans="5:13">
      <c r="E7214" s="355"/>
      <c r="F7214" s="355"/>
      <c r="G7214" s="355"/>
      <c r="H7214" s="355"/>
      <c r="I7214" s="355"/>
      <c r="J7214" s="355"/>
      <c r="K7214" s="355"/>
      <c r="L7214" s="355"/>
      <c r="M7214" s="355"/>
    </row>
    <row r="7215" spans="5:13">
      <c r="E7215" s="355"/>
      <c r="F7215" s="355"/>
      <c r="G7215" s="355"/>
      <c r="H7215" s="355"/>
      <c r="I7215" s="355"/>
      <c r="J7215" s="355"/>
      <c r="K7215" s="355"/>
      <c r="L7215" s="355"/>
      <c r="M7215" s="355"/>
    </row>
    <row r="7216" spans="5:13">
      <c r="E7216" s="355"/>
      <c r="F7216" s="355"/>
      <c r="G7216" s="355"/>
      <c r="H7216" s="355"/>
      <c r="I7216" s="355"/>
      <c r="J7216" s="355"/>
      <c r="K7216" s="355"/>
      <c r="L7216" s="355"/>
      <c r="M7216" s="355"/>
    </row>
    <row r="7217" spans="5:13">
      <c r="E7217" s="355"/>
      <c r="F7217" s="355"/>
      <c r="G7217" s="355"/>
      <c r="H7217" s="355"/>
      <c r="I7217" s="355"/>
      <c r="J7217" s="355"/>
      <c r="K7217" s="355"/>
      <c r="L7217" s="355"/>
      <c r="M7217" s="355"/>
    </row>
    <row r="7218" spans="5:13">
      <c r="E7218" s="355"/>
      <c r="F7218" s="355"/>
      <c r="G7218" s="355"/>
      <c r="H7218" s="355"/>
      <c r="I7218" s="355"/>
      <c r="J7218" s="355"/>
      <c r="K7218" s="355"/>
      <c r="L7218" s="355"/>
      <c r="M7218" s="355"/>
    </row>
    <row r="7219" spans="5:13">
      <c r="E7219" s="355"/>
      <c r="F7219" s="355"/>
      <c r="G7219" s="355"/>
      <c r="H7219" s="355"/>
      <c r="I7219" s="355"/>
      <c r="J7219" s="355"/>
      <c r="K7219" s="355"/>
      <c r="L7219" s="355"/>
      <c r="M7219" s="355"/>
    </row>
    <row r="7220" spans="5:13">
      <c r="E7220" s="355"/>
      <c r="F7220" s="355"/>
      <c r="G7220" s="355"/>
      <c r="H7220" s="355"/>
      <c r="I7220" s="355"/>
      <c r="J7220" s="355"/>
      <c r="K7220" s="355"/>
      <c r="L7220" s="355"/>
      <c r="M7220" s="355"/>
    </row>
    <row r="7221" spans="5:13">
      <c r="E7221" s="355"/>
      <c r="F7221" s="355"/>
      <c r="G7221" s="355"/>
      <c r="H7221" s="355"/>
      <c r="I7221" s="355"/>
      <c r="J7221" s="355"/>
      <c r="K7221" s="355"/>
      <c r="L7221" s="355"/>
      <c r="M7221" s="355"/>
    </row>
    <row r="7222" spans="5:13">
      <c r="E7222" s="355"/>
      <c r="F7222" s="355"/>
      <c r="G7222" s="355"/>
      <c r="H7222" s="355"/>
      <c r="I7222" s="355"/>
      <c r="J7222" s="355"/>
      <c r="K7222" s="355"/>
      <c r="L7222" s="355"/>
      <c r="M7222" s="355"/>
    </row>
    <row r="7223" spans="5:13">
      <c r="E7223" s="355"/>
      <c r="F7223" s="355"/>
      <c r="G7223" s="355"/>
      <c r="H7223" s="355"/>
      <c r="I7223" s="355"/>
      <c r="J7223" s="355"/>
      <c r="K7223" s="355"/>
      <c r="L7223" s="355"/>
      <c r="M7223" s="355"/>
    </row>
    <row r="7224" spans="5:13">
      <c r="E7224" s="355"/>
      <c r="F7224" s="355"/>
      <c r="G7224" s="355"/>
      <c r="H7224" s="355"/>
      <c r="I7224" s="355"/>
      <c r="J7224" s="355"/>
      <c r="K7224" s="355"/>
      <c r="L7224" s="355"/>
      <c r="M7224" s="355"/>
    </row>
    <row r="7225" spans="5:13">
      <c r="E7225" s="355"/>
      <c r="F7225" s="355"/>
      <c r="G7225" s="355"/>
      <c r="H7225" s="355"/>
      <c r="I7225" s="355"/>
      <c r="J7225" s="355"/>
      <c r="K7225" s="355"/>
      <c r="L7225" s="355"/>
      <c r="M7225" s="355"/>
    </row>
    <row r="7226" spans="5:13">
      <c r="E7226" s="355"/>
      <c r="F7226" s="355"/>
      <c r="G7226" s="355"/>
      <c r="H7226" s="355"/>
      <c r="I7226" s="355"/>
      <c r="J7226" s="355"/>
      <c r="K7226" s="355"/>
      <c r="L7226" s="355"/>
      <c r="M7226" s="355"/>
    </row>
    <row r="7227" spans="5:13">
      <c r="E7227" s="355"/>
      <c r="F7227" s="355"/>
      <c r="G7227" s="355"/>
      <c r="H7227" s="355"/>
      <c r="I7227" s="355"/>
      <c r="J7227" s="355"/>
      <c r="K7227" s="355"/>
      <c r="L7227" s="355"/>
      <c r="M7227" s="355"/>
    </row>
    <row r="7228" spans="5:13">
      <c r="E7228" s="355"/>
      <c r="F7228" s="355"/>
      <c r="G7228" s="355"/>
      <c r="H7228" s="355"/>
      <c r="I7228" s="355"/>
      <c r="J7228" s="355"/>
      <c r="K7228" s="355"/>
      <c r="L7228" s="355"/>
      <c r="M7228" s="355"/>
    </row>
    <row r="7229" spans="5:13">
      <c r="E7229" s="355"/>
      <c r="F7229" s="355"/>
      <c r="G7229" s="355"/>
      <c r="H7229" s="355"/>
      <c r="I7229" s="355"/>
      <c r="J7229" s="355"/>
      <c r="K7229" s="355"/>
      <c r="L7229" s="355"/>
      <c r="M7229" s="355"/>
    </row>
    <row r="7230" spans="5:13">
      <c r="E7230" s="355"/>
      <c r="F7230" s="355"/>
      <c r="G7230" s="355"/>
      <c r="H7230" s="355"/>
      <c r="I7230" s="355"/>
      <c r="J7230" s="355"/>
      <c r="K7230" s="355"/>
      <c r="L7230" s="355"/>
      <c r="M7230" s="355"/>
    </row>
    <row r="7231" spans="5:13">
      <c r="E7231" s="355"/>
      <c r="F7231" s="355"/>
      <c r="G7231" s="355"/>
      <c r="H7231" s="355"/>
      <c r="I7231" s="355"/>
      <c r="J7231" s="355"/>
      <c r="K7231" s="355"/>
      <c r="L7231" s="355"/>
      <c r="M7231" s="355"/>
    </row>
    <row r="7232" spans="5:13">
      <c r="E7232" s="355"/>
      <c r="F7232" s="355"/>
      <c r="G7232" s="355"/>
      <c r="H7232" s="355"/>
      <c r="I7232" s="355"/>
      <c r="J7232" s="355"/>
      <c r="K7232" s="355"/>
      <c r="L7232" s="355"/>
      <c r="M7232" s="355"/>
    </row>
    <row r="7233" spans="5:13">
      <c r="E7233" s="355"/>
      <c r="F7233" s="355"/>
      <c r="G7233" s="355"/>
      <c r="H7233" s="355"/>
      <c r="I7233" s="355"/>
      <c r="J7233" s="355"/>
      <c r="K7233" s="355"/>
      <c r="L7233" s="355"/>
      <c r="M7233" s="355"/>
    </row>
    <row r="7234" spans="5:13">
      <c r="E7234" s="355"/>
      <c r="F7234" s="355"/>
      <c r="G7234" s="355"/>
      <c r="H7234" s="355"/>
      <c r="I7234" s="355"/>
      <c r="J7234" s="355"/>
      <c r="K7234" s="355"/>
      <c r="L7234" s="355"/>
      <c r="M7234" s="355"/>
    </row>
    <row r="7235" spans="5:13">
      <c r="E7235" s="355"/>
      <c r="F7235" s="355"/>
      <c r="G7235" s="355"/>
      <c r="H7235" s="355"/>
      <c r="I7235" s="355"/>
      <c r="J7235" s="355"/>
      <c r="K7235" s="355"/>
      <c r="L7235" s="355"/>
      <c r="M7235" s="355"/>
    </row>
    <row r="7236" spans="5:13">
      <c r="E7236" s="355"/>
      <c r="F7236" s="355"/>
      <c r="G7236" s="355"/>
      <c r="H7236" s="355"/>
      <c r="I7236" s="355"/>
      <c r="J7236" s="355"/>
      <c r="K7236" s="355"/>
      <c r="L7236" s="355"/>
      <c r="M7236" s="355"/>
    </row>
    <row r="7237" spans="5:13">
      <c r="E7237" s="355"/>
      <c r="F7237" s="355"/>
      <c r="G7237" s="355"/>
      <c r="H7237" s="355"/>
      <c r="I7237" s="355"/>
      <c r="J7237" s="355"/>
      <c r="K7237" s="355"/>
      <c r="L7237" s="355"/>
      <c r="M7237" s="355"/>
    </row>
    <row r="7238" spans="5:13">
      <c r="E7238" s="355"/>
      <c r="F7238" s="355"/>
      <c r="G7238" s="355"/>
      <c r="H7238" s="355"/>
      <c r="I7238" s="355"/>
      <c r="J7238" s="355"/>
      <c r="K7238" s="355"/>
      <c r="L7238" s="355"/>
      <c r="M7238" s="355"/>
    </row>
    <row r="7239" spans="5:13">
      <c r="E7239" s="355"/>
      <c r="F7239" s="355"/>
      <c r="G7239" s="355"/>
      <c r="H7239" s="355"/>
      <c r="I7239" s="355"/>
      <c r="J7239" s="355"/>
      <c r="K7239" s="355"/>
      <c r="L7239" s="355"/>
      <c r="M7239" s="355"/>
    </row>
    <row r="7240" spans="5:13">
      <c r="E7240" s="355"/>
      <c r="F7240" s="355"/>
      <c r="G7240" s="355"/>
      <c r="H7240" s="355"/>
      <c r="I7240" s="355"/>
      <c r="J7240" s="355"/>
      <c r="K7240" s="355"/>
      <c r="L7240" s="355"/>
      <c r="M7240" s="355"/>
    </row>
    <row r="7241" spans="5:13">
      <c r="E7241" s="355"/>
      <c r="F7241" s="355"/>
      <c r="G7241" s="355"/>
      <c r="H7241" s="355"/>
      <c r="I7241" s="355"/>
      <c r="J7241" s="355"/>
      <c r="K7241" s="355"/>
      <c r="L7241" s="355"/>
      <c r="M7241" s="355"/>
    </row>
    <row r="7242" spans="5:13">
      <c r="E7242" s="355"/>
      <c r="F7242" s="355"/>
      <c r="G7242" s="355"/>
      <c r="H7242" s="355"/>
      <c r="I7242" s="355"/>
      <c r="J7242" s="355"/>
      <c r="K7242" s="355"/>
      <c r="L7242" s="355"/>
      <c r="M7242" s="355"/>
    </row>
    <row r="7243" spans="5:13">
      <c r="E7243" s="355"/>
      <c r="F7243" s="355"/>
      <c r="G7243" s="355"/>
      <c r="H7243" s="355"/>
      <c r="I7243" s="355"/>
      <c r="J7243" s="355"/>
      <c r="K7243" s="355"/>
      <c r="L7243" s="355"/>
      <c r="M7243" s="355"/>
    </row>
    <row r="7244" spans="5:13">
      <c r="E7244" s="355"/>
      <c r="F7244" s="355"/>
      <c r="G7244" s="355"/>
      <c r="H7244" s="355"/>
      <c r="I7244" s="355"/>
      <c r="J7244" s="355"/>
      <c r="K7244" s="355"/>
      <c r="L7244" s="355"/>
      <c r="M7244" s="355"/>
    </row>
    <row r="7245" spans="5:13">
      <c r="E7245" s="355"/>
      <c r="F7245" s="355"/>
      <c r="G7245" s="355"/>
      <c r="H7245" s="355"/>
      <c r="I7245" s="355"/>
      <c r="J7245" s="355"/>
      <c r="K7245" s="355"/>
      <c r="L7245" s="355"/>
      <c r="M7245" s="355"/>
    </row>
    <row r="7246" spans="5:13">
      <c r="E7246" s="355"/>
      <c r="F7246" s="355"/>
      <c r="G7246" s="355"/>
      <c r="H7246" s="355"/>
      <c r="I7246" s="355"/>
      <c r="J7246" s="355"/>
      <c r="K7246" s="355"/>
      <c r="L7246" s="355"/>
      <c r="M7246" s="355"/>
    </row>
    <row r="7247" spans="5:13">
      <c r="E7247" s="355"/>
      <c r="F7247" s="355"/>
      <c r="G7247" s="355"/>
      <c r="H7247" s="355"/>
      <c r="I7247" s="355"/>
      <c r="J7247" s="355"/>
      <c r="K7247" s="355"/>
      <c r="L7247" s="355"/>
      <c r="M7247" s="355"/>
    </row>
    <row r="7248" spans="5:13">
      <c r="E7248" s="355"/>
      <c r="F7248" s="355"/>
      <c r="G7248" s="355"/>
      <c r="H7248" s="355"/>
      <c r="I7248" s="355"/>
      <c r="J7248" s="355"/>
      <c r="K7248" s="355"/>
      <c r="L7248" s="355"/>
      <c r="M7248" s="355"/>
    </row>
    <row r="7249" spans="5:13">
      <c r="E7249" s="355"/>
      <c r="F7249" s="355"/>
      <c r="G7249" s="355"/>
      <c r="H7249" s="355"/>
      <c r="I7249" s="355"/>
      <c r="J7249" s="355"/>
      <c r="K7249" s="355"/>
      <c r="L7249" s="355"/>
      <c r="M7249" s="355"/>
    </row>
    <row r="7250" spans="5:13">
      <c r="E7250" s="355"/>
      <c r="F7250" s="355"/>
      <c r="G7250" s="355"/>
      <c r="H7250" s="355"/>
      <c r="I7250" s="355"/>
      <c r="J7250" s="355"/>
      <c r="K7250" s="355"/>
      <c r="L7250" s="355"/>
      <c r="M7250" s="355"/>
    </row>
    <row r="7251" spans="5:13">
      <c r="E7251" s="355"/>
      <c r="F7251" s="355"/>
      <c r="G7251" s="355"/>
      <c r="H7251" s="355"/>
      <c r="I7251" s="355"/>
      <c r="J7251" s="355"/>
      <c r="K7251" s="355"/>
      <c r="L7251" s="355"/>
      <c r="M7251" s="355"/>
    </row>
    <row r="7252" spans="5:13">
      <c r="E7252" s="355"/>
      <c r="F7252" s="355"/>
      <c r="G7252" s="355"/>
      <c r="H7252" s="355"/>
      <c r="I7252" s="355"/>
      <c r="J7252" s="355"/>
      <c r="K7252" s="355"/>
      <c r="L7252" s="355"/>
      <c r="M7252" s="355"/>
    </row>
    <row r="7253" spans="5:13">
      <c r="E7253" s="355"/>
      <c r="F7253" s="355"/>
      <c r="G7253" s="355"/>
      <c r="H7253" s="355"/>
      <c r="I7253" s="355"/>
      <c r="J7253" s="355"/>
      <c r="K7253" s="355"/>
      <c r="L7253" s="355"/>
      <c r="M7253" s="355"/>
    </row>
    <row r="7254" spans="5:13">
      <c r="E7254" s="355"/>
      <c r="F7254" s="355"/>
      <c r="G7254" s="355"/>
      <c r="H7254" s="355"/>
      <c r="I7254" s="355"/>
      <c r="J7254" s="355"/>
      <c r="K7254" s="355"/>
      <c r="L7254" s="355"/>
      <c r="M7254" s="355"/>
    </row>
    <row r="7255" spans="5:13">
      <c r="E7255" s="355"/>
      <c r="F7255" s="355"/>
      <c r="G7255" s="355"/>
      <c r="H7255" s="355"/>
      <c r="I7255" s="355"/>
      <c r="J7255" s="355"/>
      <c r="K7255" s="355"/>
      <c r="L7255" s="355"/>
      <c r="M7255" s="355"/>
    </row>
    <row r="7256" spans="5:13">
      <c r="E7256" s="355"/>
      <c r="F7256" s="355"/>
      <c r="G7256" s="355"/>
      <c r="H7256" s="355"/>
      <c r="I7256" s="355"/>
      <c r="J7256" s="355"/>
      <c r="K7256" s="355"/>
      <c r="L7256" s="355"/>
      <c r="M7256" s="355"/>
    </row>
    <row r="7257" spans="5:13">
      <c r="E7257" s="355"/>
      <c r="F7257" s="355"/>
      <c r="G7257" s="355"/>
      <c r="H7257" s="355"/>
      <c r="I7257" s="355"/>
      <c r="J7257" s="355"/>
      <c r="K7257" s="355"/>
      <c r="L7257" s="355"/>
      <c r="M7257" s="355"/>
    </row>
    <row r="7258" spans="5:13">
      <c r="E7258" s="355"/>
      <c r="F7258" s="355"/>
      <c r="G7258" s="355"/>
      <c r="H7258" s="355"/>
      <c r="I7258" s="355"/>
      <c r="J7258" s="355"/>
      <c r="K7258" s="355"/>
      <c r="L7258" s="355"/>
      <c r="M7258" s="355"/>
    </row>
    <row r="7259" spans="5:13">
      <c r="E7259" s="355"/>
      <c r="F7259" s="355"/>
      <c r="G7259" s="355"/>
      <c r="H7259" s="355"/>
      <c r="I7259" s="355"/>
      <c r="J7259" s="355"/>
      <c r="K7259" s="355"/>
      <c r="L7259" s="355"/>
      <c r="M7259" s="355"/>
    </row>
    <row r="7260" spans="5:13">
      <c r="E7260" s="355"/>
      <c r="F7260" s="355"/>
      <c r="G7260" s="355"/>
      <c r="H7260" s="355"/>
      <c r="I7260" s="355"/>
      <c r="J7260" s="355"/>
      <c r="K7260" s="355"/>
      <c r="L7260" s="355"/>
      <c r="M7260" s="355"/>
    </row>
    <row r="7261" spans="5:13">
      <c r="E7261" s="355"/>
      <c r="F7261" s="355"/>
      <c r="G7261" s="355"/>
      <c r="H7261" s="355"/>
      <c r="I7261" s="355"/>
      <c r="J7261" s="355"/>
      <c r="K7261" s="355"/>
      <c r="L7261" s="355"/>
      <c r="M7261" s="355"/>
    </row>
    <row r="7262" spans="5:13">
      <c r="E7262" s="355"/>
      <c r="F7262" s="355"/>
      <c r="G7262" s="355"/>
      <c r="H7262" s="355"/>
      <c r="I7262" s="355"/>
      <c r="J7262" s="355"/>
      <c r="K7262" s="355"/>
      <c r="L7262" s="355"/>
      <c r="M7262" s="355"/>
    </row>
    <row r="7263" spans="5:13">
      <c r="E7263" s="355"/>
      <c r="F7263" s="355"/>
      <c r="G7263" s="355"/>
      <c r="H7263" s="355"/>
      <c r="I7263" s="355"/>
      <c r="J7263" s="355"/>
      <c r="K7263" s="355"/>
      <c r="L7263" s="355"/>
      <c r="M7263" s="355"/>
    </row>
    <row r="7264" spans="5:13">
      <c r="E7264" s="355"/>
      <c r="F7264" s="355"/>
      <c r="G7264" s="355"/>
      <c r="H7264" s="355"/>
      <c r="I7264" s="355"/>
      <c r="J7264" s="355"/>
      <c r="K7264" s="355"/>
      <c r="L7264" s="355"/>
      <c r="M7264" s="355"/>
    </row>
    <row r="7265" spans="5:13">
      <c r="E7265" s="355"/>
      <c r="F7265" s="355"/>
      <c r="G7265" s="355"/>
      <c r="H7265" s="355"/>
      <c r="I7265" s="355"/>
      <c r="J7265" s="355"/>
      <c r="K7265" s="355"/>
      <c r="L7265" s="355"/>
      <c r="M7265" s="355"/>
    </row>
    <row r="7266" spans="5:13">
      <c r="E7266" s="355"/>
      <c r="F7266" s="355"/>
      <c r="G7266" s="355"/>
      <c r="H7266" s="355"/>
      <c r="I7266" s="355"/>
      <c r="J7266" s="355"/>
      <c r="K7266" s="355"/>
      <c r="L7266" s="355"/>
      <c r="M7266" s="355"/>
    </row>
    <row r="7267" spans="5:13">
      <c r="E7267" s="355"/>
      <c r="F7267" s="355"/>
      <c r="G7267" s="355"/>
      <c r="H7267" s="355"/>
      <c r="I7267" s="355"/>
      <c r="J7267" s="355"/>
      <c r="K7267" s="355"/>
      <c r="L7267" s="355"/>
      <c r="M7267" s="355"/>
    </row>
    <row r="7268" spans="5:13">
      <c r="E7268" s="355"/>
      <c r="F7268" s="355"/>
      <c r="G7268" s="355"/>
      <c r="H7268" s="355"/>
      <c r="I7268" s="355"/>
      <c r="J7268" s="355"/>
      <c r="K7268" s="355"/>
      <c r="L7268" s="355"/>
      <c r="M7268" s="355"/>
    </row>
    <row r="7269" spans="5:13">
      <c r="E7269" s="355"/>
      <c r="F7269" s="355"/>
      <c r="G7269" s="355"/>
      <c r="H7269" s="355"/>
      <c r="I7269" s="355"/>
      <c r="J7269" s="355"/>
      <c r="K7269" s="355"/>
      <c r="L7269" s="355"/>
      <c r="M7269" s="355"/>
    </row>
    <row r="7270" spans="5:13">
      <c r="E7270" s="355"/>
      <c r="F7270" s="355"/>
      <c r="G7270" s="355"/>
      <c r="H7270" s="355"/>
      <c r="I7270" s="355"/>
      <c r="J7270" s="355"/>
      <c r="K7270" s="355"/>
      <c r="L7270" s="355"/>
      <c r="M7270" s="355"/>
    </row>
    <row r="7271" spans="5:13">
      <c r="E7271" s="355"/>
      <c r="F7271" s="355"/>
      <c r="G7271" s="355"/>
      <c r="H7271" s="355"/>
      <c r="I7271" s="355"/>
      <c r="J7271" s="355"/>
      <c r="K7271" s="355"/>
      <c r="L7271" s="355"/>
      <c r="M7271" s="355"/>
    </row>
    <row r="7272" spans="5:13">
      <c r="E7272" s="355"/>
      <c r="F7272" s="355"/>
      <c r="G7272" s="355"/>
      <c r="H7272" s="355"/>
      <c r="I7272" s="355"/>
      <c r="J7272" s="355"/>
      <c r="K7272" s="355"/>
      <c r="L7272" s="355"/>
      <c r="M7272" s="355"/>
    </row>
    <row r="7273" spans="5:13">
      <c r="E7273" s="355"/>
      <c r="F7273" s="355"/>
      <c r="G7273" s="355"/>
      <c r="H7273" s="355"/>
      <c r="I7273" s="355"/>
      <c r="J7273" s="355"/>
      <c r="K7273" s="355"/>
      <c r="L7273" s="355"/>
      <c r="M7273" s="355"/>
    </row>
    <row r="7274" spans="5:13">
      <c r="E7274" s="355"/>
      <c r="F7274" s="355"/>
      <c r="G7274" s="355"/>
      <c r="H7274" s="355"/>
      <c r="I7274" s="355"/>
      <c r="J7274" s="355"/>
      <c r="K7274" s="355"/>
      <c r="L7274" s="355"/>
      <c r="M7274" s="355"/>
    </row>
    <row r="7275" spans="5:13">
      <c r="E7275" s="355"/>
      <c r="F7275" s="355"/>
      <c r="G7275" s="355"/>
      <c r="H7275" s="355"/>
      <c r="I7275" s="355"/>
      <c r="J7275" s="355"/>
      <c r="K7275" s="355"/>
      <c r="L7275" s="355"/>
      <c r="M7275" s="355"/>
    </row>
    <row r="7276" spans="5:13">
      <c r="E7276" s="355"/>
      <c r="F7276" s="355"/>
      <c r="G7276" s="355"/>
      <c r="H7276" s="355"/>
      <c r="I7276" s="355"/>
      <c r="J7276" s="355"/>
      <c r="K7276" s="355"/>
      <c r="L7276" s="355"/>
      <c r="M7276" s="355"/>
    </row>
    <row r="7277" spans="5:13">
      <c r="E7277" s="355"/>
      <c r="F7277" s="355"/>
      <c r="G7277" s="355"/>
      <c r="H7277" s="355"/>
      <c r="I7277" s="355"/>
      <c r="J7277" s="355"/>
      <c r="K7277" s="355"/>
      <c r="L7277" s="355"/>
      <c r="M7277" s="355"/>
    </row>
    <row r="7278" spans="5:13">
      <c r="E7278" s="355"/>
      <c r="F7278" s="355"/>
      <c r="G7278" s="355"/>
      <c r="H7278" s="355"/>
      <c r="I7278" s="355"/>
      <c r="J7278" s="355"/>
      <c r="K7278" s="355"/>
      <c r="L7278" s="355"/>
      <c r="M7278" s="355"/>
    </row>
    <row r="7279" spans="5:13">
      <c r="E7279" s="355"/>
      <c r="F7279" s="355"/>
      <c r="G7279" s="355"/>
      <c r="H7279" s="355"/>
      <c r="I7279" s="355"/>
      <c r="J7279" s="355"/>
      <c r="K7279" s="355"/>
      <c r="L7279" s="355"/>
      <c r="M7279" s="355"/>
    </row>
    <row r="7280" spans="5:13">
      <c r="E7280" s="355"/>
      <c r="F7280" s="355"/>
      <c r="G7280" s="355"/>
      <c r="H7280" s="355"/>
      <c r="I7280" s="355"/>
      <c r="J7280" s="355"/>
      <c r="K7280" s="355"/>
      <c r="L7280" s="355"/>
      <c r="M7280" s="355"/>
    </row>
    <row r="7281" spans="5:13">
      <c r="E7281" s="355"/>
      <c r="F7281" s="355"/>
      <c r="G7281" s="355"/>
      <c r="H7281" s="355"/>
      <c r="I7281" s="355"/>
      <c r="J7281" s="355"/>
      <c r="K7281" s="355"/>
      <c r="L7281" s="355"/>
      <c r="M7281" s="355"/>
    </row>
    <row r="7282" spans="5:13">
      <c r="E7282" s="355"/>
      <c r="F7282" s="355"/>
      <c r="G7282" s="355"/>
      <c r="H7282" s="355"/>
      <c r="I7282" s="355"/>
      <c r="J7282" s="355"/>
      <c r="K7282" s="355"/>
      <c r="L7282" s="355"/>
      <c r="M7282" s="355"/>
    </row>
    <row r="7283" spans="5:13">
      <c r="E7283" s="355"/>
      <c r="F7283" s="355"/>
      <c r="G7283" s="355"/>
      <c r="H7283" s="355"/>
      <c r="I7283" s="355"/>
      <c r="J7283" s="355"/>
      <c r="K7283" s="355"/>
      <c r="L7283" s="355"/>
      <c r="M7283" s="355"/>
    </row>
    <row r="7284" spans="5:13">
      <c r="E7284" s="355"/>
      <c r="F7284" s="355"/>
      <c r="G7284" s="355"/>
      <c r="H7284" s="355"/>
      <c r="I7284" s="355"/>
      <c r="J7284" s="355"/>
      <c r="K7284" s="355"/>
      <c r="L7284" s="355"/>
      <c r="M7284" s="355"/>
    </row>
    <row r="7285" spans="5:13">
      <c r="E7285" s="355"/>
      <c r="F7285" s="355"/>
      <c r="G7285" s="355"/>
      <c r="H7285" s="355"/>
      <c r="I7285" s="355"/>
      <c r="J7285" s="355"/>
      <c r="K7285" s="355"/>
      <c r="L7285" s="355"/>
      <c r="M7285" s="355"/>
    </row>
    <row r="7286" spans="5:13">
      <c r="E7286" s="355"/>
      <c r="F7286" s="355"/>
      <c r="G7286" s="355"/>
      <c r="H7286" s="355"/>
      <c r="I7286" s="355"/>
      <c r="J7286" s="355"/>
      <c r="K7286" s="355"/>
      <c r="L7286" s="355"/>
      <c r="M7286" s="355"/>
    </row>
    <row r="7287" spans="5:13">
      <c r="E7287" s="355"/>
      <c r="F7287" s="355"/>
      <c r="G7287" s="355"/>
      <c r="H7287" s="355"/>
      <c r="I7287" s="355"/>
      <c r="J7287" s="355"/>
      <c r="K7287" s="355"/>
      <c r="L7287" s="355"/>
      <c r="M7287" s="355"/>
    </row>
    <row r="7288" spans="5:13">
      <c r="E7288" s="355"/>
      <c r="F7288" s="355"/>
      <c r="G7288" s="355"/>
      <c r="H7288" s="355"/>
      <c r="I7288" s="355"/>
      <c r="J7288" s="355"/>
      <c r="K7288" s="355"/>
      <c r="L7288" s="355"/>
      <c r="M7288" s="355"/>
    </row>
    <row r="7289" spans="5:13">
      <c r="E7289" s="355"/>
      <c r="F7289" s="355"/>
      <c r="G7289" s="355"/>
      <c r="H7289" s="355"/>
      <c r="I7289" s="355"/>
      <c r="J7289" s="355"/>
      <c r="K7289" s="355"/>
      <c r="L7289" s="355"/>
      <c r="M7289" s="355"/>
    </row>
    <row r="7290" spans="5:13">
      <c r="E7290" s="355"/>
      <c r="F7290" s="355"/>
      <c r="G7290" s="355"/>
      <c r="H7290" s="355"/>
      <c r="I7290" s="355"/>
      <c r="J7290" s="355"/>
      <c r="K7290" s="355"/>
      <c r="L7290" s="355"/>
      <c r="M7290" s="355"/>
    </row>
    <row r="7291" spans="5:13">
      <c r="E7291" s="355"/>
      <c r="F7291" s="355"/>
      <c r="G7291" s="355"/>
      <c r="H7291" s="355"/>
      <c r="I7291" s="355"/>
      <c r="J7291" s="355"/>
      <c r="K7291" s="355"/>
      <c r="L7291" s="355"/>
      <c r="M7291" s="355"/>
    </row>
    <row r="7292" spans="5:13">
      <c r="E7292" s="355"/>
      <c r="F7292" s="355"/>
      <c r="G7292" s="355"/>
      <c r="H7292" s="355"/>
      <c r="I7292" s="355"/>
      <c r="J7292" s="355"/>
      <c r="K7292" s="355"/>
      <c r="L7292" s="355"/>
      <c r="M7292" s="355"/>
    </row>
    <row r="7293" spans="5:13">
      <c r="E7293" s="355"/>
      <c r="F7293" s="355"/>
      <c r="G7293" s="355"/>
      <c r="H7293" s="355"/>
      <c r="I7293" s="355"/>
      <c r="J7293" s="355"/>
      <c r="K7293" s="355"/>
      <c r="L7293" s="355"/>
      <c r="M7293" s="355"/>
    </row>
    <row r="7294" spans="5:13">
      <c r="E7294" s="355"/>
      <c r="F7294" s="355"/>
      <c r="G7294" s="355"/>
      <c r="H7294" s="355"/>
      <c r="I7294" s="355"/>
      <c r="J7294" s="355"/>
      <c r="K7294" s="355"/>
      <c r="L7294" s="355"/>
      <c r="M7294" s="355"/>
    </row>
    <row r="7295" spans="5:13">
      <c r="E7295" s="355"/>
      <c r="F7295" s="355"/>
      <c r="G7295" s="355"/>
      <c r="H7295" s="355"/>
      <c r="I7295" s="355"/>
      <c r="J7295" s="355"/>
      <c r="K7295" s="355"/>
      <c r="L7295" s="355"/>
      <c r="M7295" s="355"/>
    </row>
    <row r="7296" spans="5:13">
      <c r="E7296" s="355"/>
      <c r="F7296" s="355"/>
      <c r="G7296" s="355"/>
      <c r="H7296" s="355"/>
      <c r="I7296" s="355"/>
      <c r="J7296" s="355"/>
      <c r="K7296" s="355"/>
      <c r="L7296" s="355"/>
      <c r="M7296" s="355"/>
    </row>
    <row r="7297" spans="5:13">
      <c r="E7297" s="355"/>
      <c r="F7297" s="355"/>
      <c r="G7297" s="355"/>
      <c r="H7297" s="355"/>
      <c r="I7297" s="355"/>
      <c r="J7297" s="355"/>
      <c r="K7297" s="355"/>
      <c r="L7297" s="355"/>
      <c r="M7297" s="355"/>
    </row>
    <row r="7298" spans="5:13">
      <c r="E7298" s="355"/>
      <c r="F7298" s="355"/>
      <c r="G7298" s="355"/>
      <c r="H7298" s="355"/>
      <c r="I7298" s="355"/>
      <c r="J7298" s="355"/>
      <c r="K7298" s="355"/>
      <c r="L7298" s="355"/>
      <c r="M7298" s="355"/>
    </row>
    <row r="7299" spans="5:13">
      <c r="E7299" s="355"/>
      <c r="F7299" s="355"/>
      <c r="G7299" s="355"/>
      <c r="H7299" s="355"/>
      <c r="I7299" s="355"/>
      <c r="J7299" s="355"/>
      <c r="K7299" s="355"/>
      <c r="L7299" s="355"/>
      <c r="M7299" s="355"/>
    </row>
    <row r="7300" spans="5:13">
      <c r="E7300" s="355"/>
      <c r="F7300" s="355"/>
      <c r="G7300" s="355"/>
      <c r="H7300" s="355"/>
      <c r="I7300" s="355"/>
      <c r="J7300" s="355"/>
      <c r="K7300" s="355"/>
      <c r="L7300" s="355"/>
      <c r="M7300" s="355"/>
    </row>
    <row r="7301" spans="5:13">
      <c r="E7301" s="355"/>
      <c r="F7301" s="355"/>
      <c r="G7301" s="355"/>
      <c r="H7301" s="355"/>
      <c r="I7301" s="355"/>
      <c r="J7301" s="355"/>
      <c r="K7301" s="355"/>
      <c r="L7301" s="355"/>
      <c r="M7301" s="355"/>
    </row>
    <row r="7302" spans="5:13">
      <c r="E7302" s="355"/>
      <c r="F7302" s="355"/>
      <c r="G7302" s="355"/>
      <c r="H7302" s="355"/>
      <c r="I7302" s="355"/>
      <c r="J7302" s="355"/>
      <c r="K7302" s="355"/>
      <c r="L7302" s="355"/>
      <c r="M7302" s="355"/>
    </row>
    <row r="7303" spans="5:13">
      <c r="E7303" s="355"/>
      <c r="F7303" s="355"/>
      <c r="G7303" s="355"/>
      <c r="H7303" s="355"/>
      <c r="I7303" s="355"/>
      <c r="J7303" s="355"/>
      <c r="K7303" s="355"/>
      <c r="L7303" s="355"/>
      <c r="M7303" s="355"/>
    </row>
    <row r="7304" spans="5:13">
      <c r="E7304" s="355"/>
      <c r="F7304" s="355"/>
      <c r="G7304" s="355"/>
      <c r="H7304" s="355"/>
      <c r="I7304" s="355"/>
      <c r="J7304" s="355"/>
      <c r="K7304" s="355"/>
      <c r="L7304" s="355"/>
      <c r="M7304" s="355"/>
    </row>
    <row r="7305" spans="5:13">
      <c r="E7305" s="355"/>
      <c r="F7305" s="355"/>
      <c r="G7305" s="355"/>
      <c r="H7305" s="355"/>
      <c r="I7305" s="355"/>
      <c r="J7305" s="355"/>
      <c r="K7305" s="355"/>
      <c r="L7305" s="355"/>
      <c r="M7305" s="355"/>
    </row>
    <row r="7306" spans="5:13">
      <c r="E7306" s="355"/>
      <c r="F7306" s="355"/>
      <c r="G7306" s="355"/>
      <c r="H7306" s="355"/>
      <c r="I7306" s="355"/>
      <c r="J7306" s="355"/>
      <c r="K7306" s="355"/>
      <c r="L7306" s="355"/>
      <c r="M7306" s="355"/>
    </row>
    <row r="7307" spans="5:13">
      <c r="E7307" s="355"/>
      <c r="F7307" s="355"/>
      <c r="G7307" s="355"/>
      <c r="H7307" s="355"/>
      <c r="I7307" s="355"/>
      <c r="J7307" s="355"/>
      <c r="K7307" s="355"/>
      <c r="L7307" s="355"/>
      <c r="M7307" s="355"/>
    </row>
    <row r="7308" spans="5:13">
      <c r="E7308" s="355"/>
      <c r="F7308" s="355"/>
      <c r="G7308" s="355"/>
      <c r="H7308" s="355"/>
      <c r="I7308" s="355"/>
      <c r="J7308" s="355"/>
      <c r="K7308" s="355"/>
      <c r="L7308" s="355"/>
      <c r="M7308" s="355"/>
    </row>
    <row r="7309" spans="5:13">
      <c r="E7309" s="355"/>
      <c r="F7309" s="355"/>
      <c r="G7309" s="355"/>
      <c r="H7309" s="355"/>
      <c r="I7309" s="355"/>
      <c r="J7309" s="355"/>
      <c r="K7309" s="355"/>
      <c r="L7309" s="355"/>
      <c r="M7309" s="355"/>
    </row>
    <row r="7310" spans="5:13">
      <c r="E7310" s="355"/>
      <c r="F7310" s="355"/>
      <c r="G7310" s="355"/>
      <c r="H7310" s="355"/>
      <c r="I7310" s="355"/>
      <c r="J7310" s="355"/>
      <c r="K7310" s="355"/>
      <c r="L7310" s="355"/>
      <c r="M7310" s="355"/>
    </row>
    <row r="7311" spans="5:13">
      <c r="E7311" s="355"/>
      <c r="F7311" s="355"/>
      <c r="G7311" s="355"/>
      <c r="H7311" s="355"/>
      <c r="I7311" s="355"/>
      <c r="J7311" s="355"/>
      <c r="K7311" s="355"/>
      <c r="L7311" s="355"/>
      <c r="M7311" s="355"/>
    </row>
    <row r="7312" spans="5:13">
      <c r="E7312" s="355"/>
      <c r="F7312" s="355"/>
      <c r="G7312" s="355"/>
      <c r="H7312" s="355"/>
      <c r="I7312" s="355"/>
      <c r="J7312" s="355"/>
      <c r="K7312" s="355"/>
      <c r="L7312" s="355"/>
      <c r="M7312" s="355"/>
    </row>
    <row r="7313" spans="5:13">
      <c r="E7313" s="355"/>
      <c r="F7313" s="355"/>
      <c r="G7313" s="355"/>
      <c r="H7313" s="355"/>
      <c r="I7313" s="355"/>
      <c r="J7313" s="355"/>
      <c r="K7313" s="355"/>
      <c r="L7313" s="355"/>
      <c r="M7313" s="355"/>
    </row>
    <row r="7314" spans="5:13">
      <c r="E7314" s="355"/>
      <c r="F7314" s="355"/>
      <c r="G7314" s="355"/>
      <c r="H7314" s="355"/>
      <c r="I7314" s="355"/>
      <c r="J7314" s="355"/>
      <c r="K7314" s="355"/>
      <c r="L7314" s="355"/>
      <c r="M7314" s="355"/>
    </row>
    <row r="7315" spans="5:13">
      <c r="E7315" s="355"/>
      <c r="F7315" s="355"/>
      <c r="G7315" s="355"/>
      <c r="H7315" s="355"/>
      <c r="I7315" s="355"/>
      <c r="J7315" s="355"/>
      <c r="K7315" s="355"/>
      <c r="L7315" s="355"/>
      <c r="M7315" s="355"/>
    </row>
    <row r="7316" spans="5:13">
      <c r="E7316" s="355"/>
      <c r="F7316" s="355"/>
      <c r="G7316" s="355"/>
      <c r="H7316" s="355"/>
      <c r="I7316" s="355"/>
      <c r="J7316" s="355"/>
      <c r="K7316" s="355"/>
      <c r="L7316" s="355"/>
      <c r="M7316" s="355"/>
    </row>
    <row r="7317" spans="5:13">
      <c r="E7317" s="355"/>
      <c r="F7317" s="355"/>
      <c r="G7317" s="355"/>
      <c r="H7317" s="355"/>
      <c r="I7317" s="355"/>
      <c r="J7317" s="355"/>
      <c r="K7317" s="355"/>
      <c r="L7317" s="355"/>
      <c r="M7317" s="355"/>
    </row>
    <row r="7318" spans="5:13">
      <c r="E7318" s="355"/>
      <c r="F7318" s="355"/>
      <c r="G7318" s="355"/>
      <c r="H7318" s="355"/>
      <c r="I7318" s="355"/>
      <c r="J7318" s="355"/>
      <c r="K7318" s="355"/>
      <c r="L7318" s="355"/>
      <c r="M7318" s="355"/>
    </row>
    <row r="7319" spans="5:13">
      <c r="E7319" s="355"/>
      <c r="F7319" s="355"/>
      <c r="G7319" s="355"/>
      <c r="H7319" s="355"/>
      <c r="I7319" s="355"/>
      <c r="J7319" s="355"/>
      <c r="K7319" s="355"/>
      <c r="L7319" s="355"/>
      <c r="M7319" s="355"/>
    </row>
    <row r="7320" spans="5:13">
      <c r="E7320" s="355"/>
      <c r="F7320" s="355"/>
      <c r="G7320" s="355"/>
      <c r="H7320" s="355"/>
      <c r="I7320" s="355"/>
      <c r="J7320" s="355"/>
      <c r="K7320" s="355"/>
      <c r="L7320" s="355"/>
      <c r="M7320" s="355"/>
    </row>
    <row r="7321" spans="5:13">
      <c r="E7321" s="355"/>
      <c r="F7321" s="355"/>
      <c r="G7321" s="355"/>
      <c r="H7321" s="355"/>
      <c r="I7321" s="355"/>
      <c r="J7321" s="355"/>
      <c r="K7321" s="355"/>
      <c r="L7321" s="355"/>
      <c r="M7321" s="355"/>
    </row>
    <row r="7322" spans="5:13">
      <c r="E7322" s="355"/>
      <c r="F7322" s="355"/>
      <c r="G7322" s="355"/>
      <c r="H7322" s="355"/>
      <c r="I7322" s="355"/>
      <c r="J7322" s="355"/>
      <c r="K7322" s="355"/>
      <c r="L7322" s="355"/>
      <c r="M7322" s="355"/>
    </row>
    <row r="7323" spans="5:13">
      <c r="E7323" s="355"/>
      <c r="F7323" s="355"/>
      <c r="G7323" s="355"/>
      <c r="H7323" s="355"/>
      <c r="I7323" s="355"/>
      <c r="J7323" s="355"/>
      <c r="K7323" s="355"/>
      <c r="L7323" s="355"/>
      <c r="M7323" s="355"/>
    </row>
    <row r="7324" spans="5:13">
      <c r="E7324" s="355"/>
      <c r="F7324" s="355"/>
      <c r="G7324" s="355"/>
      <c r="H7324" s="355"/>
      <c r="I7324" s="355"/>
      <c r="J7324" s="355"/>
      <c r="K7324" s="355"/>
      <c r="L7324" s="355"/>
      <c r="M7324" s="355"/>
    </row>
    <row r="7325" spans="5:13">
      <c r="E7325" s="355"/>
      <c r="F7325" s="355"/>
      <c r="G7325" s="355"/>
      <c r="H7325" s="355"/>
      <c r="I7325" s="355"/>
      <c r="J7325" s="355"/>
      <c r="K7325" s="355"/>
      <c r="L7325" s="355"/>
      <c r="M7325" s="355"/>
    </row>
    <row r="7326" spans="5:13">
      <c r="E7326" s="355"/>
      <c r="F7326" s="355"/>
      <c r="G7326" s="355"/>
      <c r="H7326" s="355"/>
      <c r="I7326" s="355"/>
      <c r="J7326" s="355"/>
      <c r="K7326" s="355"/>
      <c r="L7326" s="355"/>
      <c r="M7326" s="355"/>
    </row>
    <row r="7327" spans="5:13">
      <c r="E7327" s="355"/>
      <c r="F7327" s="355"/>
      <c r="G7327" s="355"/>
      <c r="H7327" s="355"/>
      <c r="I7327" s="355"/>
      <c r="J7327" s="355"/>
      <c r="K7327" s="355"/>
      <c r="L7327" s="355"/>
      <c r="M7327" s="355"/>
    </row>
    <row r="7328" spans="5:13">
      <c r="E7328" s="355"/>
      <c r="F7328" s="355"/>
      <c r="G7328" s="355"/>
      <c r="H7328" s="355"/>
      <c r="I7328" s="355"/>
      <c r="J7328" s="355"/>
      <c r="K7328" s="355"/>
      <c r="L7328" s="355"/>
      <c r="M7328" s="355"/>
    </row>
    <row r="7329" spans="5:13">
      <c r="E7329" s="355"/>
      <c r="F7329" s="355"/>
      <c r="G7329" s="355"/>
      <c r="H7329" s="355"/>
      <c r="I7329" s="355"/>
      <c r="J7329" s="355"/>
      <c r="K7329" s="355"/>
      <c r="L7329" s="355"/>
      <c r="M7329" s="355"/>
    </row>
    <row r="7330" spans="5:13">
      <c r="E7330" s="355"/>
      <c r="F7330" s="355"/>
      <c r="G7330" s="355"/>
      <c r="H7330" s="355"/>
      <c r="I7330" s="355"/>
      <c r="J7330" s="355"/>
      <c r="K7330" s="355"/>
      <c r="L7330" s="355"/>
      <c r="M7330" s="355"/>
    </row>
    <row r="7331" spans="5:13">
      <c r="E7331" s="355"/>
      <c r="F7331" s="355"/>
      <c r="G7331" s="355"/>
      <c r="H7331" s="355"/>
      <c r="I7331" s="355"/>
      <c r="J7331" s="355"/>
      <c r="K7331" s="355"/>
      <c r="L7331" s="355"/>
      <c r="M7331" s="355"/>
    </row>
    <row r="7332" spans="5:13">
      <c r="E7332" s="355"/>
      <c r="F7332" s="355"/>
      <c r="G7332" s="355"/>
      <c r="H7332" s="355"/>
      <c r="I7332" s="355"/>
      <c r="J7332" s="355"/>
      <c r="K7332" s="355"/>
      <c r="L7332" s="355"/>
      <c r="M7332" s="355"/>
    </row>
    <row r="7333" spans="5:13">
      <c r="E7333" s="355"/>
      <c r="F7333" s="355"/>
      <c r="G7333" s="355"/>
      <c r="H7333" s="355"/>
      <c r="I7333" s="355"/>
      <c r="J7333" s="355"/>
      <c r="K7333" s="355"/>
      <c r="L7333" s="355"/>
      <c r="M7333" s="355"/>
    </row>
    <row r="7334" spans="5:13">
      <c r="E7334" s="355"/>
      <c r="F7334" s="355"/>
      <c r="G7334" s="355"/>
      <c r="H7334" s="355"/>
      <c r="I7334" s="355"/>
      <c r="J7334" s="355"/>
      <c r="K7334" s="355"/>
      <c r="L7334" s="355"/>
      <c r="M7334" s="355"/>
    </row>
    <row r="7335" spans="5:13">
      <c r="E7335" s="355"/>
      <c r="F7335" s="355"/>
      <c r="G7335" s="355"/>
      <c r="H7335" s="355"/>
      <c r="I7335" s="355"/>
      <c r="J7335" s="355"/>
      <c r="K7335" s="355"/>
      <c r="L7335" s="355"/>
      <c r="M7335" s="355"/>
    </row>
    <row r="7336" spans="5:13">
      <c r="E7336" s="355"/>
      <c r="F7336" s="355"/>
      <c r="G7336" s="355"/>
      <c r="H7336" s="355"/>
      <c r="I7336" s="355"/>
      <c r="J7336" s="355"/>
      <c r="K7336" s="355"/>
      <c r="L7336" s="355"/>
      <c r="M7336" s="355"/>
    </row>
    <row r="7337" spans="5:13">
      <c r="E7337" s="355"/>
      <c r="F7337" s="355"/>
      <c r="G7337" s="355"/>
      <c r="H7337" s="355"/>
      <c r="I7337" s="355"/>
      <c r="J7337" s="355"/>
      <c r="K7337" s="355"/>
      <c r="L7337" s="355"/>
      <c r="M7337" s="355"/>
    </row>
    <row r="7338" spans="5:13">
      <c r="E7338" s="355"/>
      <c r="F7338" s="355"/>
      <c r="G7338" s="355"/>
      <c r="H7338" s="355"/>
      <c r="I7338" s="355"/>
      <c r="J7338" s="355"/>
      <c r="K7338" s="355"/>
      <c r="L7338" s="355"/>
      <c r="M7338" s="355"/>
    </row>
    <row r="7339" spans="5:13">
      <c r="E7339" s="355"/>
      <c r="F7339" s="355"/>
      <c r="G7339" s="355"/>
      <c r="H7339" s="355"/>
      <c r="I7339" s="355"/>
      <c r="J7339" s="355"/>
      <c r="K7339" s="355"/>
      <c r="L7339" s="355"/>
      <c r="M7339" s="355"/>
    </row>
    <row r="7340" spans="5:13">
      <c r="E7340" s="355"/>
      <c r="F7340" s="355"/>
      <c r="G7340" s="355"/>
      <c r="H7340" s="355"/>
      <c r="I7340" s="355"/>
      <c r="J7340" s="355"/>
      <c r="K7340" s="355"/>
      <c r="L7340" s="355"/>
      <c r="M7340" s="355"/>
    </row>
    <row r="7341" spans="5:13">
      <c r="E7341" s="355"/>
      <c r="F7341" s="355"/>
      <c r="G7341" s="355"/>
      <c r="H7341" s="355"/>
      <c r="I7341" s="355"/>
      <c r="J7341" s="355"/>
      <c r="K7341" s="355"/>
      <c r="L7341" s="355"/>
      <c r="M7341" s="355"/>
    </row>
    <row r="7342" spans="5:13">
      <c r="E7342" s="355"/>
      <c r="F7342" s="355"/>
      <c r="G7342" s="355"/>
      <c r="H7342" s="355"/>
      <c r="I7342" s="355"/>
      <c r="J7342" s="355"/>
      <c r="K7342" s="355"/>
      <c r="L7342" s="355"/>
      <c r="M7342" s="355"/>
    </row>
    <row r="7343" spans="5:13">
      <c r="E7343" s="355"/>
      <c r="F7343" s="355"/>
      <c r="G7343" s="355"/>
      <c r="H7343" s="355"/>
      <c r="I7343" s="355"/>
      <c r="J7343" s="355"/>
      <c r="K7343" s="355"/>
      <c r="L7343" s="355"/>
      <c r="M7343" s="355"/>
    </row>
    <row r="7344" spans="5:13">
      <c r="E7344" s="355"/>
      <c r="F7344" s="355"/>
      <c r="G7344" s="355"/>
      <c r="H7344" s="355"/>
      <c r="I7344" s="355"/>
      <c r="J7344" s="355"/>
      <c r="K7344" s="355"/>
      <c r="L7344" s="355"/>
      <c r="M7344" s="355"/>
    </row>
    <row r="7345" spans="5:13">
      <c r="E7345" s="355"/>
      <c r="F7345" s="355"/>
      <c r="G7345" s="355"/>
      <c r="H7345" s="355"/>
      <c r="I7345" s="355"/>
      <c r="J7345" s="355"/>
      <c r="K7345" s="355"/>
      <c r="L7345" s="355"/>
      <c r="M7345" s="355"/>
    </row>
    <row r="7346" spans="5:13">
      <c r="E7346" s="355"/>
      <c r="F7346" s="355"/>
      <c r="G7346" s="355"/>
      <c r="H7346" s="355"/>
      <c r="I7346" s="355"/>
      <c r="J7346" s="355"/>
      <c r="K7346" s="355"/>
      <c r="L7346" s="355"/>
      <c r="M7346" s="355"/>
    </row>
    <row r="7347" spans="5:13">
      <c r="E7347" s="355"/>
      <c r="F7347" s="355"/>
      <c r="G7347" s="355"/>
      <c r="H7347" s="355"/>
      <c r="I7347" s="355"/>
      <c r="J7347" s="355"/>
      <c r="K7347" s="355"/>
      <c r="L7347" s="355"/>
      <c r="M7347" s="355"/>
    </row>
    <row r="7348" spans="5:13">
      <c r="E7348" s="355"/>
      <c r="F7348" s="355"/>
      <c r="G7348" s="355"/>
      <c r="H7348" s="355"/>
      <c r="I7348" s="355"/>
      <c r="J7348" s="355"/>
      <c r="K7348" s="355"/>
      <c r="L7348" s="355"/>
      <c r="M7348" s="355"/>
    </row>
    <row r="7349" spans="5:13">
      <c r="E7349" s="355"/>
      <c r="F7349" s="355"/>
      <c r="G7349" s="355"/>
      <c r="H7349" s="355"/>
      <c r="I7349" s="355"/>
      <c r="J7349" s="355"/>
      <c r="K7349" s="355"/>
      <c r="L7349" s="355"/>
      <c r="M7349" s="355"/>
    </row>
    <row r="7350" spans="5:13">
      <c r="E7350" s="355"/>
      <c r="F7350" s="355"/>
      <c r="G7350" s="355"/>
      <c r="H7350" s="355"/>
      <c r="I7350" s="355"/>
      <c r="J7350" s="355"/>
      <c r="K7350" s="355"/>
      <c r="L7350" s="355"/>
      <c r="M7350" s="355"/>
    </row>
    <row r="7351" spans="5:13">
      <c r="E7351" s="355"/>
      <c r="F7351" s="355"/>
      <c r="G7351" s="355"/>
      <c r="H7351" s="355"/>
      <c r="I7351" s="355"/>
      <c r="J7351" s="355"/>
      <c r="K7351" s="355"/>
      <c r="L7351" s="355"/>
      <c r="M7351" s="355"/>
    </row>
    <row r="7352" spans="5:13">
      <c r="E7352" s="355"/>
      <c r="F7352" s="355"/>
      <c r="G7352" s="355"/>
      <c r="H7352" s="355"/>
      <c r="I7352" s="355"/>
      <c r="J7352" s="355"/>
      <c r="K7352" s="355"/>
      <c r="L7352" s="355"/>
      <c r="M7352" s="355"/>
    </row>
    <row r="7353" spans="5:13">
      <c r="E7353" s="355"/>
      <c r="F7353" s="355"/>
      <c r="G7353" s="355"/>
      <c r="H7353" s="355"/>
      <c r="I7353" s="355"/>
      <c r="J7353" s="355"/>
      <c r="K7353" s="355"/>
      <c r="L7353" s="355"/>
      <c r="M7353" s="355"/>
    </row>
    <row r="7354" spans="5:13">
      <c r="E7354" s="355"/>
      <c r="F7354" s="355"/>
      <c r="G7354" s="355"/>
      <c r="H7354" s="355"/>
      <c r="I7354" s="355"/>
      <c r="J7354" s="355"/>
      <c r="K7354" s="355"/>
      <c r="L7354" s="355"/>
      <c r="M7354" s="355"/>
    </row>
    <row r="7355" spans="5:13">
      <c r="E7355" s="355"/>
      <c r="F7355" s="355"/>
      <c r="G7355" s="355"/>
      <c r="H7355" s="355"/>
      <c r="I7355" s="355"/>
      <c r="J7355" s="355"/>
      <c r="K7355" s="355"/>
      <c r="L7355" s="355"/>
      <c r="M7355" s="355"/>
    </row>
    <row r="7356" spans="5:13">
      <c r="E7356" s="355"/>
      <c r="F7356" s="355"/>
      <c r="G7356" s="355"/>
      <c r="H7356" s="355"/>
      <c r="I7356" s="355"/>
      <c r="J7356" s="355"/>
      <c r="K7356" s="355"/>
      <c r="L7356" s="355"/>
      <c r="M7356" s="355"/>
    </row>
    <row r="7357" spans="5:13">
      <c r="E7357" s="355"/>
      <c r="F7357" s="355"/>
      <c r="G7357" s="355"/>
      <c r="H7357" s="355"/>
      <c r="I7357" s="355"/>
      <c r="J7357" s="355"/>
      <c r="K7357" s="355"/>
      <c r="L7357" s="355"/>
      <c r="M7357" s="355"/>
    </row>
    <row r="7358" spans="5:13">
      <c r="E7358" s="355"/>
      <c r="F7358" s="355"/>
      <c r="G7358" s="355"/>
      <c r="H7358" s="355"/>
      <c r="I7358" s="355"/>
      <c r="J7358" s="355"/>
      <c r="K7358" s="355"/>
      <c r="L7358" s="355"/>
      <c r="M7358" s="355"/>
    </row>
    <row r="7359" spans="5:13">
      <c r="E7359" s="355"/>
      <c r="F7359" s="355"/>
      <c r="G7359" s="355"/>
      <c r="H7359" s="355"/>
      <c r="I7359" s="355"/>
      <c r="J7359" s="355"/>
      <c r="K7359" s="355"/>
      <c r="L7359" s="355"/>
      <c r="M7359" s="355"/>
    </row>
    <row r="7360" spans="5:13">
      <c r="E7360" s="355"/>
      <c r="F7360" s="355"/>
      <c r="G7360" s="355"/>
      <c r="H7360" s="355"/>
      <c r="I7360" s="355"/>
      <c r="J7360" s="355"/>
      <c r="K7360" s="355"/>
      <c r="L7360" s="355"/>
      <c r="M7360" s="355"/>
    </row>
    <row r="7361" spans="5:13">
      <c r="E7361" s="355"/>
      <c r="F7361" s="355"/>
      <c r="G7361" s="355"/>
      <c r="H7361" s="355"/>
      <c r="I7361" s="355"/>
      <c r="J7361" s="355"/>
      <c r="K7361" s="355"/>
      <c r="L7361" s="355"/>
      <c r="M7361" s="355"/>
    </row>
    <row r="7362" spans="5:13">
      <c r="E7362" s="355"/>
      <c r="F7362" s="355"/>
      <c r="G7362" s="355"/>
      <c r="H7362" s="355"/>
      <c r="I7362" s="355"/>
      <c r="J7362" s="355"/>
      <c r="K7362" s="355"/>
      <c r="L7362" s="355"/>
      <c r="M7362" s="355"/>
    </row>
    <row r="7363" spans="5:13">
      <c r="E7363" s="355"/>
      <c r="F7363" s="355"/>
      <c r="G7363" s="355"/>
      <c r="H7363" s="355"/>
      <c r="I7363" s="355"/>
      <c r="J7363" s="355"/>
      <c r="K7363" s="355"/>
      <c r="L7363" s="355"/>
      <c r="M7363" s="355"/>
    </row>
    <row r="7364" spans="5:13">
      <c r="E7364" s="355"/>
      <c r="F7364" s="355"/>
      <c r="G7364" s="355"/>
      <c r="H7364" s="355"/>
      <c r="I7364" s="355"/>
      <c r="J7364" s="355"/>
      <c r="K7364" s="355"/>
      <c r="L7364" s="355"/>
      <c r="M7364" s="355"/>
    </row>
    <row r="7365" spans="5:13">
      <c r="E7365" s="355"/>
      <c r="F7365" s="355"/>
      <c r="G7365" s="355"/>
      <c r="H7365" s="355"/>
      <c r="I7365" s="355"/>
      <c r="J7365" s="355"/>
      <c r="K7365" s="355"/>
      <c r="L7365" s="355"/>
      <c r="M7365" s="355"/>
    </row>
    <row r="7366" spans="5:13">
      <c r="E7366" s="355"/>
      <c r="F7366" s="355"/>
      <c r="G7366" s="355"/>
      <c r="H7366" s="355"/>
      <c r="I7366" s="355"/>
      <c r="J7366" s="355"/>
      <c r="K7366" s="355"/>
      <c r="L7366" s="355"/>
      <c r="M7366" s="355"/>
    </row>
    <row r="7367" spans="5:13">
      <c r="E7367" s="355"/>
      <c r="F7367" s="355"/>
      <c r="G7367" s="355"/>
      <c r="H7367" s="355"/>
      <c r="I7367" s="355"/>
      <c r="J7367" s="355"/>
      <c r="K7367" s="355"/>
      <c r="L7367" s="355"/>
      <c r="M7367" s="355"/>
    </row>
    <row r="7368" spans="5:13">
      <c r="E7368" s="355"/>
      <c r="F7368" s="355"/>
      <c r="G7368" s="355"/>
      <c r="H7368" s="355"/>
      <c r="I7368" s="355"/>
      <c r="J7368" s="355"/>
      <c r="K7368" s="355"/>
      <c r="L7368" s="355"/>
      <c r="M7368" s="355"/>
    </row>
    <row r="7369" spans="5:13">
      <c r="E7369" s="355"/>
      <c r="F7369" s="355"/>
      <c r="G7369" s="355"/>
      <c r="H7369" s="355"/>
      <c r="I7369" s="355"/>
      <c r="J7369" s="355"/>
      <c r="K7369" s="355"/>
      <c r="L7369" s="355"/>
      <c r="M7369" s="355"/>
    </row>
    <row r="7370" spans="5:13">
      <c r="E7370" s="355"/>
      <c r="F7370" s="355"/>
      <c r="G7370" s="355"/>
      <c r="H7370" s="355"/>
      <c r="I7370" s="355"/>
      <c r="J7370" s="355"/>
      <c r="K7370" s="355"/>
      <c r="L7370" s="355"/>
      <c r="M7370" s="355"/>
    </row>
    <row r="7371" spans="5:13">
      <c r="E7371" s="355"/>
      <c r="F7371" s="355"/>
      <c r="G7371" s="355"/>
      <c r="H7371" s="355"/>
      <c r="I7371" s="355"/>
      <c r="J7371" s="355"/>
      <c r="K7371" s="355"/>
      <c r="L7371" s="355"/>
      <c r="M7371" s="355"/>
    </row>
    <row r="7372" spans="5:13">
      <c r="E7372" s="355"/>
      <c r="F7372" s="355"/>
      <c r="G7372" s="355"/>
      <c r="H7372" s="355"/>
      <c r="I7372" s="355"/>
      <c r="J7372" s="355"/>
      <c r="K7372" s="355"/>
      <c r="L7372" s="355"/>
      <c r="M7372" s="355"/>
    </row>
    <row r="7373" spans="5:13">
      <c r="E7373" s="355"/>
      <c r="F7373" s="355"/>
      <c r="G7373" s="355"/>
      <c r="H7373" s="355"/>
      <c r="I7373" s="355"/>
      <c r="J7373" s="355"/>
      <c r="K7373" s="355"/>
      <c r="L7373" s="355"/>
      <c r="M7373" s="355"/>
    </row>
    <row r="7374" spans="5:13">
      <c r="E7374" s="355"/>
      <c r="F7374" s="355"/>
      <c r="G7374" s="355"/>
      <c r="H7374" s="355"/>
      <c r="I7374" s="355"/>
      <c r="J7374" s="355"/>
      <c r="K7374" s="355"/>
      <c r="L7374" s="355"/>
      <c r="M7374" s="355"/>
    </row>
    <row r="7375" spans="5:13">
      <c r="E7375" s="355"/>
      <c r="F7375" s="355"/>
      <c r="G7375" s="355"/>
      <c r="H7375" s="355"/>
      <c r="I7375" s="355"/>
      <c r="J7375" s="355"/>
      <c r="K7375" s="355"/>
      <c r="L7375" s="355"/>
      <c r="M7375" s="355"/>
    </row>
    <row r="7376" spans="5:13">
      <c r="E7376" s="355"/>
      <c r="F7376" s="355"/>
      <c r="G7376" s="355"/>
      <c r="H7376" s="355"/>
      <c r="I7376" s="355"/>
      <c r="J7376" s="355"/>
      <c r="K7376" s="355"/>
      <c r="L7376" s="355"/>
      <c r="M7376" s="355"/>
    </row>
    <row r="7377" spans="5:13">
      <c r="E7377" s="355"/>
      <c r="F7377" s="355"/>
      <c r="G7377" s="355"/>
      <c r="H7377" s="355"/>
      <c r="I7377" s="355"/>
      <c r="J7377" s="355"/>
      <c r="K7377" s="355"/>
      <c r="L7377" s="355"/>
      <c r="M7377" s="355"/>
    </row>
    <row r="7378" spans="5:13">
      <c r="E7378" s="355"/>
      <c r="F7378" s="355"/>
      <c r="G7378" s="355"/>
      <c r="H7378" s="355"/>
      <c r="I7378" s="355"/>
      <c r="J7378" s="355"/>
      <c r="K7378" s="355"/>
      <c r="L7378" s="355"/>
      <c r="M7378" s="355"/>
    </row>
    <row r="7379" spans="5:13">
      <c r="E7379" s="355"/>
      <c r="F7379" s="355"/>
      <c r="G7379" s="355"/>
      <c r="H7379" s="355"/>
      <c r="I7379" s="355"/>
      <c r="J7379" s="355"/>
      <c r="K7379" s="355"/>
      <c r="L7379" s="355"/>
      <c r="M7379" s="355"/>
    </row>
    <row r="7380" spans="5:13">
      <c r="E7380" s="355"/>
      <c r="F7380" s="355"/>
      <c r="G7380" s="355"/>
      <c r="H7380" s="355"/>
      <c r="I7380" s="355"/>
      <c r="J7380" s="355"/>
      <c r="K7380" s="355"/>
      <c r="L7380" s="355"/>
      <c r="M7380" s="355"/>
    </row>
    <row r="7381" spans="5:13">
      <c r="E7381" s="355"/>
      <c r="F7381" s="355"/>
      <c r="G7381" s="355"/>
      <c r="H7381" s="355"/>
      <c r="I7381" s="355"/>
      <c r="J7381" s="355"/>
      <c r="K7381" s="355"/>
      <c r="L7381" s="355"/>
      <c r="M7381" s="355"/>
    </row>
    <row r="7382" spans="5:13">
      <c r="E7382" s="355"/>
      <c r="F7382" s="355"/>
      <c r="G7382" s="355"/>
      <c r="H7382" s="355"/>
      <c r="I7382" s="355"/>
      <c r="J7382" s="355"/>
      <c r="K7382" s="355"/>
      <c r="L7382" s="355"/>
      <c r="M7382" s="355"/>
    </row>
    <row r="7383" spans="5:13">
      <c r="E7383" s="355"/>
      <c r="F7383" s="355"/>
      <c r="G7383" s="355"/>
      <c r="H7383" s="355"/>
      <c r="I7383" s="355"/>
      <c r="J7383" s="355"/>
      <c r="K7383" s="355"/>
      <c r="L7383" s="355"/>
      <c r="M7383" s="355"/>
    </row>
    <row r="7384" spans="5:13">
      <c r="E7384" s="355"/>
      <c r="F7384" s="355"/>
      <c r="G7384" s="355"/>
      <c r="H7384" s="355"/>
      <c r="I7384" s="355"/>
      <c r="J7384" s="355"/>
      <c r="K7384" s="355"/>
      <c r="L7384" s="355"/>
      <c r="M7384" s="355"/>
    </row>
    <row r="7385" spans="5:13">
      <c r="E7385" s="355"/>
      <c r="F7385" s="355"/>
      <c r="G7385" s="355"/>
      <c r="H7385" s="355"/>
      <c r="I7385" s="355"/>
      <c r="J7385" s="355"/>
      <c r="K7385" s="355"/>
      <c r="L7385" s="355"/>
      <c r="M7385" s="355"/>
    </row>
    <row r="7386" spans="5:13">
      <c r="E7386" s="355"/>
      <c r="F7386" s="355"/>
      <c r="G7386" s="355"/>
      <c r="H7386" s="355"/>
      <c r="I7386" s="355"/>
      <c r="J7386" s="355"/>
      <c r="K7386" s="355"/>
      <c r="L7386" s="355"/>
      <c r="M7386" s="355"/>
    </row>
    <row r="7387" spans="5:13">
      <c r="E7387" s="355"/>
      <c r="F7387" s="355"/>
      <c r="G7387" s="355"/>
      <c r="H7387" s="355"/>
      <c r="I7387" s="355"/>
      <c r="J7387" s="355"/>
      <c r="K7387" s="355"/>
      <c r="L7387" s="355"/>
      <c r="M7387" s="355"/>
    </row>
    <row r="7388" spans="5:13">
      <c r="E7388" s="355"/>
      <c r="F7388" s="355"/>
      <c r="G7388" s="355"/>
      <c r="H7388" s="355"/>
      <c r="I7388" s="355"/>
      <c r="J7388" s="355"/>
      <c r="K7388" s="355"/>
      <c r="L7388" s="355"/>
      <c r="M7388" s="355"/>
    </row>
    <row r="7389" spans="5:13">
      <c r="E7389" s="355"/>
      <c r="F7389" s="355"/>
      <c r="G7389" s="355"/>
      <c r="H7389" s="355"/>
      <c r="I7389" s="355"/>
      <c r="J7389" s="355"/>
      <c r="K7389" s="355"/>
      <c r="L7389" s="355"/>
      <c r="M7389" s="355"/>
    </row>
    <row r="7390" spans="5:13">
      <c r="E7390" s="355"/>
      <c r="F7390" s="355"/>
      <c r="G7390" s="355"/>
      <c r="H7390" s="355"/>
      <c r="I7390" s="355"/>
      <c r="J7390" s="355"/>
      <c r="K7390" s="355"/>
      <c r="L7390" s="355"/>
      <c r="M7390" s="355"/>
    </row>
    <row r="7391" spans="5:13">
      <c r="E7391" s="355"/>
      <c r="F7391" s="355"/>
      <c r="G7391" s="355"/>
      <c r="H7391" s="355"/>
      <c r="I7391" s="355"/>
      <c r="J7391" s="355"/>
      <c r="K7391" s="355"/>
      <c r="L7391" s="355"/>
      <c r="M7391" s="355"/>
    </row>
    <row r="7392" spans="5:13">
      <c r="E7392" s="355"/>
      <c r="F7392" s="355"/>
      <c r="G7392" s="355"/>
      <c r="H7392" s="355"/>
      <c r="I7392" s="355"/>
      <c r="J7392" s="355"/>
      <c r="K7392" s="355"/>
      <c r="L7392" s="355"/>
      <c r="M7392" s="355"/>
    </row>
    <row r="7393" spans="5:13">
      <c r="E7393" s="355"/>
      <c r="F7393" s="355"/>
      <c r="G7393" s="355"/>
      <c r="H7393" s="355"/>
      <c r="I7393" s="355"/>
      <c r="J7393" s="355"/>
      <c r="K7393" s="355"/>
      <c r="L7393" s="355"/>
      <c r="M7393" s="355"/>
    </row>
    <row r="7394" spans="5:13">
      <c r="E7394" s="355"/>
      <c r="F7394" s="355"/>
      <c r="G7394" s="355"/>
      <c r="H7394" s="355"/>
      <c r="I7394" s="355"/>
      <c r="J7394" s="355"/>
      <c r="K7394" s="355"/>
      <c r="L7394" s="355"/>
      <c r="M7394" s="355"/>
    </row>
    <row r="7395" spans="5:13">
      <c r="E7395" s="355"/>
      <c r="F7395" s="355"/>
      <c r="G7395" s="355"/>
      <c r="H7395" s="355"/>
      <c r="I7395" s="355"/>
      <c r="J7395" s="355"/>
      <c r="K7395" s="355"/>
      <c r="L7395" s="355"/>
      <c r="M7395" s="355"/>
    </row>
    <row r="7396" spans="5:13">
      <c r="E7396" s="355"/>
      <c r="F7396" s="355"/>
      <c r="G7396" s="355"/>
      <c r="H7396" s="355"/>
      <c r="I7396" s="355"/>
      <c r="J7396" s="355"/>
      <c r="K7396" s="355"/>
      <c r="L7396" s="355"/>
      <c r="M7396" s="355"/>
    </row>
    <row r="7397" spans="5:13">
      <c r="E7397" s="355"/>
      <c r="F7397" s="355"/>
      <c r="G7397" s="355"/>
      <c r="H7397" s="355"/>
      <c r="I7397" s="355"/>
      <c r="J7397" s="355"/>
      <c r="K7397" s="355"/>
      <c r="L7397" s="355"/>
      <c r="M7397" s="355"/>
    </row>
    <row r="7398" spans="5:13">
      <c r="E7398" s="355"/>
      <c r="F7398" s="355"/>
      <c r="G7398" s="355"/>
      <c r="H7398" s="355"/>
      <c r="I7398" s="355"/>
      <c r="J7398" s="355"/>
      <c r="K7398" s="355"/>
      <c r="L7398" s="355"/>
      <c r="M7398" s="355"/>
    </row>
    <row r="7399" spans="5:13">
      <c r="E7399" s="355"/>
      <c r="F7399" s="355"/>
      <c r="G7399" s="355"/>
      <c r="H7399" s="355"/>
      <c r="I7399" s="355"/>
      <c r="J7399" s="355"/>
      <c r="K7399" s="355"/>
      <c r="L7399" s="355"/>
      <c r="M7399" s="355"/>
    </row>
    <row r="7400" spans="5:13">
      <c r="E7400" s="355"/>
      <c r="F7400" s="355"/>
      <c r="G7400" s="355"/>
      <c r="H7400" s="355"/>
      <c r="I7400" s="355"/>
      <c r="J7400" s="355"/>
      <c r="K7400" s="355"/>
      <c r="L7400" s="355"/>
      <c r="M7400" s="355"/>
    </row>
    <row r="7401" spans="5:13">
      <c r="E7401" s="355"/>
      <c r="F7401" s="355"/>
      <c r="G7401" s="355"/>
      <c r="H7401" s="355"/>
      <c r="I7401" s="355"/>
      <c r="J7401" s="355"/>
      <c r="K7401" s="355"/>
      <c r="L7401" s="355"/>
      <c r="M7401" s="355"/>
    </row>
    <row r="7402" spans="5:13">
      <c r="E7402" s="355"/>
      <c r="F7402" s="355"/>
      <c r="G7402" s="355"/>
      <c r="H7402" s="355"/>
      <c r="I7402" s="355"/>
      <c r="J7402" s="355"/>
      <c r="K7402" s="355"/>
      <c r="L7402" s="355"/>
      <c r="M7402" s="355"/>
    </row>
    <row r="7403" spans="5:13">
      <c r="E7403" s="355"/>
      <c r="F7403" s="355"/>
      <c r="G7403" s="355"/>
      <c r="H7403" s="355"/>
      <c r="I7403" s="355"/>
      <c r="J7403" s="355"/>
      <c r="K7403" s="355"/>
      <c r="L7403" s="355"/>
      <c r="M7403" s="355"/>
    </row>
    <row r="7404" spans="5:13">
      <c r="E7404" s="355"/>
      <c r="F7404" s="355"/>
      <c r="G7404" s="355"/>
      <c r="H7404" s="355"/>
      <c r="I7404" s="355"/>
      <c r="J7404" s="355"/>
      <c r="K7404" s="355"/>
      <c r="L7404" s="355"/>
      <c r="M7404" s="355"/>
    </row>
    <row r="7405" spans="5:13">
      <c r="E7405" s="355"/>
      <c r="F7405" s="355"/>
      <c r="G7405" s="355"/>
      <c r="H7405" s="355"/>
      <c r="I7405" s="355"/>
      <c r="J7405" s="355"/>
      <c r="K7405" s="355"/>
      <c r="L7405" s="355"/>
      <c r="M7405" s="355"/>
    </row>
    <row r="7406" spans="5:13">
      <c r="E7406" s="355"/>
      <c r="F7406" s="355"/>
      <c r="G7406" s="355"/>
      <c r="H7406" s="355"/>
      <c r="I7406" s="355"/>
      <c r="J7406" s="355"/>
      <c r="K7406" s="355"/>
      <c r="L7406" s="355"/>
      <c r="M7406" s="355"/>
    </row>
    <row r="7407" spans="5:13">
      <c r="E7407" s="355"/>
      <c r="F7407" s="355"/>
      <c r="G7407" s="355"/>
      <c r="H7407" s="355"/>
      <c r="I7407" s="355"/>
      <c r="J7407" s="355"/>
      <c r="K7407" s="355"/>
      <c r="L7407" s="355"/>
      <c r="M7407" s="355"/>
    </row>
    <row r="7408" spans="5:13">
      <c r="E7408" s="355"/>
      <c r="F7408" s="355"/>
      <c r="G7408" s="355"/>
      <c r="H7408" s="355"/>
      <c r="I7408" s="355"/>
      <c r="J7408" s="355"/>
      <c r="K7408" s="355"/>
      <c r="L7408" s="355"/>
      <c r="M7408" s="355"/>
    </row>
    <row r="7409" spans="5:13">
      <c r="E7409" s="355"/>
      <c r="F7409" s="355"/>
      <c r="G7409" s="355"/>
      <c r="H7409" s="355"/>
      <c r="I7409" s="355"/>
      <c r="J7409" s="355"/>
      <c r="K7409" s="355"/>
      <c r="L7409" s="355"/>
      <c r="M7409" s="355"/>
    </row>
    <row r="7410" spans="5:13">
      <c r="E7410" s="355"/>
      <c r="F7410" s="355"/>
      <c r="G7410" s="355"/>
      <c r="H7410" s="355"/>
      <c r="I7410" s="355"/>
      <c r="J7410" s="355"/>
      <c r="K7410" s="355"/>
      <c r="L7410" s="355"/>
      <c r="M7410" s="355"/>
    </row>
    <row r="7411" spans="5:13">
      <c r="E7411" s="355"/>
      <c r="F7411" s="355"/>
      <c r="G7411" s="355"/>
      <c r="H7411" s="355"/>
      <c r="I7411" s="355"/>
      <c r="J7411" s="355"/>
      <c r="K7411" s="355"/>
      <c r="L7411" s="355"/>
      <c r="M7411" s="355"/>
    </row>
    <row r="7412" spans="5:13">
      <c r="E7412" s="355"/>
      <c r="F7412" s="355"/>
      <c r="G7412" s="355"/>
      <c r="H7412" s="355"/>
      <c r="I7412" s="355"/>
      <c r="J7412" s="355"/>
      <c r="K7412" s="355"/>
      <c r="L7412" s="355"/>
      <c r="M7412" s="355"/>
    </row>
    <row r="7413" spans="5:13">
      <c r="E7413" s="355"/>
      <c r="F7413" s="355"/>
      <c r="G7413" s="355"/>
      <c r="H7413" s="355"/>
      <c r="I7413" s="355"/>
      <c r="J7413" s="355"/>
      <c r="K7413" s="355"/>
      <c r="L7413" s="355"/>
      <c r="M7413" s="355"/>
    </row>
    <row r="7414" spans="5:13">
      <c r="E7414" s="355"/>
      <c r="F7414" s="355"/>
      <c r="G7414" s="355"/>
      <c r="H7414" s="355"/>
      <c r="I7414" s="355"/>
      <c r="J7414" s="355"/>
      <c r="K7414" s="355"/>
      <c r="L7414" s="355"/>
      <c r="M7414" s="355"/>
    </row>
    <row r="7415" spans="5:13">
      <c r="E7415" s="355"/>
      <c r="F7415" s="355"/>
      <c r="G7415" s="355"/>
      <c r="H7415" s="355"/>
      <c r="I7415" s="355"/>
      <c r="J7415" s="355"/>
      <c r="K7415" s="355"/>
      <c r="L7415" s="355"/>
      <c r="M7415" s="355"/>
    </row>
    <row r="7416" spans="5:13">
      <c r="E7416" s="355"/>
      <c r="F7416" s="355"/>
      <c r="G7416" s="355"/>
      <c r="H7416" s="355"/>
      <c r="I7416" s="355"/>
      <c r="J7416" s="355"/>
      <c r="K7416" s="355"/>
      <c r="L7416" s="355"/>
      <c r="M7416" s="355"/>
    </row>
    <row r="7417" spans="5:13">
      <c r="E7417" s="355"/>
      <c r="F7417" s="355"/>
      <c r="G7417" s="355"/>
      <c r="H7417" s="355"/>
      <c r="I7417" s="355"/>
      <c r="J7417" s="355"/>
      <c r="K7417" s="355"/>
      <c r="L7417" s="355"/>
      <c r="M7417" s="355"/>
    </row>
    <row r="7418" spans="5:13">
      <c r="E7418" s="355"/>
      <c r="F7418" s="355"/>
      <c r="G7418" s="355"/>
      <c r="H7418" s="355"/>
      <c r="I7418" s="355"/>
      <c r="J7418" s="355"/>
      <c r="K7418" s="355"/>
      <c r="L7418" s="355"/>
      <c r="M7418" s="355"/>
    </row>
    <row r="7419" spans="5:13">
      <c r="E7419" s="355"/>
      <c r="F7419" s="355"/>
      <c r="G7419" s="355"/>
      <c r="H7419" s="355"/>
      <c r="I7419" s="355"/>
      <c r="J7419" s="355"/>
      <c r="K7419" s="355"/>
      <c r="L7419" s="355"/>
      <c r="M7419" s="355"/>
    </row>
    <row r="7420" spans="5:13">
      <c r="E7420" s="355"/>
      <c r="F7420" s="355"/>
      <c r="G7420" s="355"/>
      <c r="H7420" s="355"/>
      <c r="I7420" s="355"/>
      <c r="J7420" s="355"/>
      <c r="K7420" s="355"/>
      <c r="L7420" s="355"/>
      <c r="M7420" s="355"/>
    </row>
    <row r="7421" spans="5:13">
      <c r="E7421" s="355"/>
      <c r="F7421" s="355"/>
      <c r="G7421" s="355"/>
      <c r="H7421" s="355"/>
      <c r="I7421" s="355"/>
      <c r="J7421" s="355"/>
      <c r="K7421" s="355"/>
      <c r="L7421" s="355"/>
      <c r="M7421" s="355"/>
    </row>
    <row r="7422" spans="5:13">
      <c r="E7422" s="355"/>
      <c r="F7422" s="355"/>
      <c r="G7422" s="355"/>
      <c r="H7422" s="355"/>
      <c r="I7422" s="355"/>
      <c r="J7422" s="355"/>
      <c r="K7422" s="355"/>
      <c r="L7422" s="355"/>
      <c r="M7422" s="355"/>
    </row>
    <row r="7423" spans="5:13">
      <c r="E7423" s="355"/>
      <c r="F7423" s="355"/>
      <c r="G7423" s="355"/>
      <c r="H7423" s="355"/>
      <c r="I7423" s="355"/>
      <c r="J7423" s="355"/>
      <c r="K7423" s="355"/>
      <c r="L7423" s="355"/>
      <c r="M7423" s="355"/>
    </row>
    <row r="7424" spans="5:13">
      <c r="E7424" s="355"/>
      <c r="F7424" s="355"/>
      <c r="G7424" s="355"/>
      <c r="H7424" s="355"/>
      <c r="I7424" s="355"/>
      <c r="J7424" s="355"/>
      <c r="K7424" s="355"/>
      <c r="L7424" s="355"/>
      <c r="M7424" s="355"/>
    </row>
    <row r="7425" spans="5:13">
      <c r="E7425" s="355"/>
      <c r="F7425" s="355"/>
      <c r="G7425" s="355"/>
      <c r="H7425" s="355"/>
      <c r="I7425" s="355"/>
      <c r="J7425" s="355"/>
      <c r="K7425" s="355"/>
      <c r="L7425" s="355"/>
      <c r="M7425" s="355"/>
    </row>
    <row r="7426" spans="5:13">
      <c r="E7426" s="355"/>
      <c r="F7426" s="355"/>
      <c r="G7426" s="355"/>
      <c r="H7426" s="355"/>
      <c r="I7426" s="355"/>
      <c r="J7426" s="355"/>
      <c r="K7426" s="355"/>
      <c r="L7426" s="355"/>
      <c r="M7426" s="355"/>
    </row>
    <row r="7427" spans="5:13">
      <c r="E7427" s="355"/>
      <c r="F7427" s="355"/>
      <c r="G7427" s="355"/>
      <c r="H7427" s="355"/>
      <c r="I7427" s="355"/>
      <c r="J7427" s="355"/>
      <c r="K7427" s="355"/>
      <c r="L7427" s="355"/>
      <c r="M7427" s="355"/>
    </row>
    <row r="7428" spans="5:13">
      <c r="E7428" s="355"/>
      <c r="F7428" s="355"/>
      <c r="G7428" s="355"/>
      <c r="H7428" s="355"/>
      <c r="I7428" s="355"/>
      <c r="J7428" s="355"/>
      <c r="K7428" s="355"/>
      <c r="L7428" s="355"/>
      <c r="M7428" s="355"/>
    </row>
    <row r="7429" spans="5:13">
      <c r="E7429" s="355"/>
      <c r="F7429" s="355"/>
      <c r="G7429" s="355"/>
      <c r="H7429" s="355"/>
      <c r="I7429" s="355"/>
      <c r="J7429" s="355"/>
      <c r="K7429" s="355"/>
      <c r="L7429" s="355"/>
      <c r="M7429" s="355"/>
    </row>
    <row r="7430" spans="5:13">
      <c r="E7430" s="355"/>
      <c r="F7430" s="355"/>
      <c r="G7430" s="355"/>
      <c r="H7430" s="355"/>
      <c r="I7430" s="355"/>
      <c r="J7430" s="355"/>
      <c r="K7430" s="355"/>
      <c r="L7430" s="355"/>
      <c r="M7430" s="355"/>
    </row>
    <row r="7431" spans="5:13">
      <c r="E7431" s="355"/>
      <c r="F7431" s="355"/>
      <c r="G7431" s="355"/>
      <c r="H7431" s="355"/>
      <c r="I7431" s="355"/>
      <c r="J7431" s="355"/>
      <c r="K7431" s="355"/>
      <c r="L7431" s="355"/>
      <c r="M7431" s="355"/>
    </row>
    <row r="7432" spans="5:13">
      <c r="E7432" s="355"/>
      <c r="F7432" s="355"/>
      <c r="G7432" s="355"/>
      <c r="H7432" s="355"/>
      <c r="I7432" s="355"/>
      <c r="J7432" s="355"/>
      <c r="K7432" s="355"/>
      <c r="L7432" s="355"/>
      <c r="M7432" s="355"/>
    </row>
    <row r="7433" spans="5:13">
      <c r="E7433" s="355"/>
      <c r="F7433" s="355"/>
      <c r="G7433" s="355"/>
      <c r="H7433" s="355"/>
      <c r="I7433" s="355"/>
      <c r="J7433" s="355"/>
      <c r="K7433" s="355"/>
      <c r="L7433" s="355"/>
      <c r="M7433" s="355"/>
    </row>
    <row r="7434" spans="5:13">
      <c r="E7434" s="355"/>
      <c r="F7434" s="355"/>
      <c r="G7434" s="355"/>
      <c r="H7434" s="355"/>
      <c r="I7434" s="355"/>
      <c r="J7434" s="355"/>
      <c r="K7434" s="355"/>
      <c r="L7434" s="355"/>
      <c r="M7434" s="355"/>
    </row>
    <row r="7435" spans="5:13">
      <c r="E7435" s="355"/>
      <c r="F7435" s="355"/>
      <c r="G7435" s="355"/>
      <c r="H7435" s="355"/>
      <c r="I7435" s="355"/>
      <c r="J7435" s="355"/>
      <c r="K7435" s="355"/>
      <c r="L7435" s="355"/>
      <c r="M7435" s="355"/>
    </row>
    <row r="7436" spans="5:13">
      <c r="E7436" s="355"/>
      <c r="F7436" s="355"/>
      <c r="G7436" s="355"/>
      <c r="H7436" s="355"/>
      <c r="I7436" s="355"/>
      <c r="J7436" s="355"/>
      <c r="K7436" s="355"/>
      <c r="L7436" s="355"/>
      <c r="M7436" s="355"/>
    </row>
    <row r="7437" spans="5:13">
      <c r="E7437" s="355"/>
      <c r="F7437" s="355"/>
      <c r="G7437" s="355"/>
      <c r="H7437" s="355"/>
      <c r="I7437" s="355"/>
      <c r="J7437" s="355"/>
      <c r="K7437" s="355"/>
      <c r="L7437" s="355"/>
      <c r="M7437" s="355"/>
    </row>
    <row r="7438" spans="5:13">
      <c r="E7438" s="355"/>
      <c r="F7438" s="355"/>
      <c r="G7438" s="355"/>
      <c r="H7438" s="355"/>
      <c r="I7438" s="355"/>
      <c r="J7438" s="355"/>
      <c r="K7438" s="355"/>
      <c r="L7438" s="355"/>
      <c r="M7438" s="355"/>
    </row>
    <row r="7439" spans="5:13">
      <c r="E7439" s="355"/>
      <c r="F7439" s="355"/>
      <c r="G7439" s="355"/>
      <c r="H7439" s="355"/>
      <c r="I7439" s="355"/>
      <c r="J7439" s="355"/>
      <c r="K7439" s="355"/>
      <c r="L7439" s="355"/>
      <c r="M7439" s="355"/>
    </row>
    <row r="7440" spans="5:13">
      <c r="E7440" s="355"/>
      <c r="F7440" s="355"/>
      <c r="G7440" s="355"/>
      <c r="H7440" s="355"/>
      <c r="I7440" s="355"/>
      <c r="J7440" s="355"/>
      <c r="K7440" s="355"/>
      <c r="L7440" s="355"/>
      <c r="M7440" s="355"/>
    </row>
    <row r="7441" spans="5:13">
      <c r="E7441" s="355"/>
      <c r="F7441" s="355"/>
      <c r="G7441" s="355"/>
      <c r="H7441" s="355"/>
      <c r="I7441" s="355"/>
      <c r="J7441" s="355"/>
      <c r="K7441" s="355"/>
      <c r="L7441" s="355"/>
      <c r="M7441" s="355"/>
    </row>
    <row r="7442" spans="5:13">
      <c r="E7442" s="355"/>
      <c r="F7442" s="355"/>
      <c r="G7442" s="355"/>
      <c r="H7442" s="355"/>
      <c r="I7442" s="355"/>
      <c r="J7442" s="355"/>
      <c r="K7442" s="355"/>
      <c r="L7442" s="355"/>
      <c r="M7442" s="355"/>
    </row>
    <row r="7443" spans="5:13">
      <c r="E7443" s="355"/>
      <c r="F7443" s="355"/>
      <c r="G7443" s="355"/>
      <c r="H7443" s="355"/>
      <c r="I7443" s="355"/>
      <c r="J7443" s="355"/>
      <c r="K7443" s="355"/>
      <c r="L7443" s="355"/>
      <c r="M7443" s="355"/>
    </row>
    <row r="7444" spans="5:13">
      <c r="E7444" s="355"/>
      <c r="F7444" s="355"/>
      <c r="G7444" s="355"/>
      <c r="H7444" s="355"/>
      <c r="I7444" s="355"/>
      <c r="J7444" s="355"/>
      <c r="K7444" s="355"/>
      <c r="L7444" s="355"/>
      <c r="M7444" s="355"/>
    </row>
    <row r="7445" spans="5:13">
      <c r="E7445" s="355"/>
      <c r="F7445" s="355"/>
      <c r="G7445" s="355"/>
      <c r="H7445" s="355"/>
      <c r="I7445" s="355"/>
      <c r="J7445" s="355"/>
      <c r="K7445" s="355"/>
      <c r="L7445" s="355"/>
      <c r="M7445" s="355"/>
    </row>
    <row r="7446" spans="5:13">
      <c r="E7446" s="355"/>
      <c r="F7446" s="355"/>
      <c r="G7446" s="355"/>
      <c r="H7446" s="355"/>
      <c r="I7446" s="355"/>
      <c r="J7446" s="355"/>
      <c r="K7446" s="355"/>
      <c r="L7446" s="355"/>
      <c r="M7446" s="355"/>
    </row>
    <row r="7447" spans="5:13">
      <c r="E7447" s="355"/>
      <c r="F7447" s="355"/>
      <c r="G7447" s="355"/>
      <c r="H7447" s="355"/>
      <c r="I7447" s="355"/>
      <c r="J7447" s="355"/>
      <c r="K7447" s="355"/>
      <c r="L7447" s="355"/>
      <c r="M7447" s="355"/>
    </row>
    <row r="7448" spans="5:13">
      <c r="E7448" s="355"/>
      <c r="F7448" s="355"/>
      <c r="G7448" s="355"/>
      <c r="H7448" s="355"/>
      <c r="I7448" s="355"/>
      <c r="J7448" s="355"/>
      <c r="K7448" s="355"/>
      <c r="L7448" s="355"/>
      <c r="M7448" s="355"/>
    </row>
    <row r="7449" spans="5:13">
      <c r="E7449" s="355"/>
      <c r="F7449" s="355"/>
      <c r="G7449" s="355"/>
      <c r="H7449" s="355"/>
      <c r="I7449" s="355"/>
      <c r="J7449" s="355"/>
      <c r="K7449" s="355"/>
      <c r="L7449" s="355"/>
      <c r="M7449" s="355"/>
    </row>
    <row r="7450" spans="5:13">
      <c r="E7450" s="355"/>
      <c r="F7450" s="355"/>
      <c r="G7450" s="355"/>
      <c r="H7450" s="355"/>
      <c r="I7450" s="355"/>
      <c r="J7450" s="355"/>
      <c r="K7450" s="355"/>
      <c r="L7450" s="355"/>
      <c r="M7450" s="355"/>
    </row>
    <row r="7451" spans="5:13">
      <c r="E7451" s="355"/>
      <c r="F7451" s="355"/>
      <c r="G7451" s="355"/>
      <c r="H7451" s="355"/>
      <c r="I7451" s="355"/>
      <c r="J7451" s="355"/>
      <c r="K7451" s="355"/>
      <c r="L7451" s="355"/>
      <c r="M7451" s="355"/>
    </row>
    <row r="7452" spans="5:13">
      <c r="E7452" s="355"/>
      <c r="F7452" s="355"/>
      <c r="G7452" s="355"/>
      <c r="H7452" s="355"/>
      <c r="I7452" s="355"/>
      <c r="J7452" s="355"/>
      <c r="K7452" s="355"/>
      <c r="L7452" s="355"/>
      <c r="M7452" s="355"/>
    </row>
    <row r="7453" spans="5:13">
      <c r="E7453" s="355"/>
      <c r="F7453" s="355"/>
      <c r="G7453" s="355"/>
      <c r="H7453" s="355"/>
      <c r="I7453" s="355"/>
      <c r="J7453" s="355"/>
      <c r="K7453" s="355"/>
      <c r="L7453" s="355"/>
      <c r="M7453" s="355"/>
    </row>
    <row r="7454" spans="5:13">
      <c r="E7454" s="355"/>
      <c r="F7454" s="355"/>
      <c r="G7454" s="355"/>
      <c r="H7454" s="355"/>
      <c r="I7454" s="355"/>
      <c r="J7454" s="355"/>
      <c r="K7454" s="355"/>
      <c r="L7454" s="355"/>
      <c r="M7454" s="355"/>
    </row>
    <row r="7455" spans="5:13">
      <c r="E7455" s="355"/>
      <c r="F7455" s="355"/>
      <c r="G7455" s="355"/>
      <c r="H7455" s="355"/>
      <c r="I7455" s="355"/>
      <c r="J7455" s="355"/>
      <c r="K7455" s="355"/>
      <c r="L7455" s="355"/>
      <c r="M7455" s="355"/>
    </row>
    <row r="7456" spans="5:13">
      <c r="E7456" s="355"/>
      <c r="F7456" s="355"/>
      <c r="G7456" s="355"/>
      <c r="H7456" s="355"/>
      <c r="I7456" s="355"/>
      <c r="J7456" s="355"/>
      <c r="K7456" s="355"/>
      <c r="L7456" s="355"/>
      <c r="M7456" s="355"/>
    </row>
    <row r="7457" spans="5:13">
      <c r="E7457" s="355"/>
      <c r="F7457" s="355"/>
      <c r="G7457" s="355"/>
      <c r="H7457" s="355"/>
      <c r="I7457" s="355"/>
      <c r="J7457" s="355"/>
      <c r="K7457" s="355"/>
      <c r="L7457" s="355"/>
      <c r="M7457" s="355"/>
    </row>
    <row r="7458" spans="5:13">
      <c r="E7458" s="355"/>
      <c r="F7458" s="355"/>
      <c r="G7458" s="355"/>
      <c r="H7458" s="355"/>
      <c r="I7458" s="355"/>
      <c r="J7458" s="355"/>
      <c r="K7458" s="355"/>
      <c r="L7458" s="355"/>
      <c r="M7458" s="355"/>
    </row>
    <row r="7459" spans="5:13">
      <c r="E7459" s="355"/>
      <c r="F7459" s="355"/>
      <c r="G7459" s="355"/>
      <c r="H7459" s="355"/>
      <c r="I7459" s="355"/>
      <c r="J7459" s="355"/>
      <c r="K7459" s="355"/>
      <c r="L7459" s="355"/>
      <c r="M7459" s="355"/>
    </row>
    <row r="7460" spans="5:13">
      <c r="E7460" s="355"/>
      <c r="F7460" s="355"/>
      <c r="G7460" s="355"/>
      <c r="H7460" s="355"/>
      <c r="I7460" s="355"/>
      <c r="J7460" s="355"/>
      <c r="K7460" s="355"/>
      <c r="L7460" s="355"/>
      <c r="M7460" s="355"/>
    </row>
    <row r="7461" spans="5:13">
      <c r="E7461" s="355"/>
      <c r="F7461" s="355"/>
      <c r="G7461" s="355"/>
      <c r="H7461" s="355"/>
      <c r="I7461" s="355"/>
      <c r="J7461" s="355"/>
      <c r="K7461" s="355"/>
      <c r="L7461" s="355"/>
      <c r="M7461" s="355"/>
    </row>
    <row r="7462" spans="5:13">
      <c r="E7462" s="355"/>
      <c r="F7462" s="355"/>
      <c r="G7462" s="355"/>
      <c r="H7462" s="355"/>
      <c r="I7462" s="355"/>
      <c r="J7462" s="355"/>
      <c r="K7462" s="355"/>
      <c r="L7462" s="355"/>
      <c r="M7462" s="355"/>
    </row>
    <row r="7463" spans="5:13">
      <c r="E7463" s="355"/>
      <c r="F7463" s="355"/>
      <c r="G7463" s="355"/>
      <c r="H7463" s="355"/>
      <c r="I7463" s="355"/>
      <c r="J7463" s="355"/>
      <c r="K7463" s="355"/>
      <c r="L7463" s="355"/>
      <c r="M7463" s="355"/>
    </row>
    <row r="7464" spans="5:13">
      <c r="E7464" s="355"/>
      <c r="F7464" s="355"/>
      <c r="G7464" s="355"/>
      <c r="H7464" s="355"/>
      <c r="I7464" s="355"/>
      <c r="J7464" s="355"/>
      <c r="K7464" s="355"/>
      <c r="L7464" s="355"/>
      <c r="M7464" s="355"/>
    </row>
    <row r="7465" spans="5:13">
      <c r="E7465" s="355"/>
      <c r="F7465" s="355"/>
      <c r="G7465" s="355"/>
      <c r="H7465" s="355"/>
      <c r="I7465" s="355"/>
      <c r="J7465" s="355"/>
      <c r="K7465" s="355"/>
      <c r="L7465" s="355"/>
      <c r="M7465" s="355"/>
    </row>
    <row r="7466" spans="5:13">
      <c r="E7466" s="355"/>
      <c r="F7466" s="355"/>
      <c r="G7466" s="355"/>
      <c r="H7466" s="355"/>
      <c r="I7466" s="355"/>
      <c r="J7466" s="355"/>
      <c r="K7466" s="355"/>
      <c r="L7466" s="355"/>
      <c r="M7466" s="355"/>
    </row>
    <row r="7467" spans="5:13">
      <c r="E7467" s="355"/>
      <c r="F7467" s="355"/>
      <c r="G7467" s="355"/>
      <c r="H7467" s="355"/>
      <c r="I7467" s="355"/>
      <c r="J7467" s="355"/>
      <c r="K7467" s="355"/>
      <c r="L7467" s="355"/>
      <c r="M7467" s="355"/>
    </row>
    <row r="7468" spans="5:13">
      <c r="E7468" s="355"/>
      <c r="F7468" s="355"/>
      <c r="G7468" s="355"/>
      <c r="H7468" s="355"/>
      <c r="I7468" s="355"/>
      <c r="J7468" s="355"/>
      <c r="K7468" s="355"/>
      <c r="L7468" s="355"/>
      <c r="M7468" s="355"/>
    </row>
    <row r="7469" spans="5:13">
      <c r="E7469" s="355"/>
      <c r="F7469" s="355"/>
      <c r="G7469" s="355"/>
      <c r="H7469" s="355"/>
      <c r="I7469" s="355"/>
      <c r="J7469" s="355"/>
      <c r="K7469" s="355"/>
      <c r="L7469" s="355"/>
      <c r="M7469" s="355"/>
    </row>
    <row r="7470" spans="5:13">
      <c r="E7470" s="355"/>
      <c r="F7470" s="355"/>
      <c r="G7470" s="355"/>
      <c r="H7470" s="355"/>
      <c r="I7470" s="355"/>
      <c r="J7470" s="355"/>
      <c r="K7470" s="355"/>
      <c r="L7470" s="355"/>
      <c r="M7470" s="355"/>
    </row>
    <row r="7471" spans="5:13">
      <c r="E7471" s="355"/>
      <c r="F7471" s="355"/>
      <c r="G7471" s="355"/>
      <c r="H7471" s="355"/>
      <c r="I7471" s="355"/>
      <c r="J7471" s="355"/>
      <c r="K7471" s="355"/>
      <c r="L7471" s="355"/>
      <c r="M7471" s="355"/>
    </row>
    <row r="7472" spans="5:13">
      <c r="E7472" s="355"/>
      <c r="F7472" s="355"/>
      <c r="G7472" s="355"/>
      <c r="H7472" s="355"/>
      <c r="I7472" s="355"/>
      <c r="J7472" s="355"/>
      <c r="K7472" s="355"/>
      <c r="L7472" s="355"/>
      <c r="M7472" s="355"/>
    </row>
    <row r="7473" spans="5:13">
      <c r="E7473" s="355"/>
      <c r="F7473" s="355"/>
      <c r="G7473" s="355"/>
      <c r="H7473" s="355"/>
      <c r="I7473" s="355"/>
      <c r="J7473" s="355"/>
      <c r="K7473" s="355"/>
      <c r="L7473" s="355"/>
      <c r="M7473" s="355"/>
    </row>
    <row r="7474" spans="5:13">
      <c r="E7474" s="355"/>
      <c r="F7474" s="355"/>
      <c r="G7474" s="355"/>
      <c r="H7474" s="355"/>
      <c r="I7474" s="355"/>
      <c r="J7474" s="355"/>
      <c r="K7474" s="355"/>
      <c r="L7474" s="355"/>
      <c r="M7474" s="355"/>
    </row>
    <row r="7475" spans="5:13">
      <c r="E7475" s="355"/>
      <c r="F7475" s="355"/>
      <c r="G7475" s="355"/>
      <c r="H7475" s="355"/>
      <c r="I7475" s="355"/>
      <c r="J7475" s="355"/>
      <c r="K7475" s="355"/>
      <c r="L7475" s="355"/>
      <c r="M7475" s="355"/>
    </row>
    <row r="7476" spans="5:13">
      <c r="E7476" s="355"/>
      <c r="F7476" s="355"/>
      <c r="G7476" s="355"/>
      <c r="H7476" s="355"/>
      <c r="I7476" s="355"/>
      <c r="J7476" s="355"/>
      <c r="K7476" s="355"/>
      <c r="L7476" s="355"/>
      <c r="M7476" s="355"/>
    </row>
    <row r="7477" spans="5:13">
      <c r="E7477" s="355"/>
      <c r="F7477" s="355"/>
      <c r="G7477" s="355"/>
      <c r="H7477" s="355"/>
      <c r="I7477" s="355"/>
      <c r="J7477" s="355"/>
      <c r="K7477" s="355"/>
      <c r="L7477" s="355"/>
      <c r="M7477" s="355"/>
    </row>
    <row r="7478" spans="5:13">
      <c r="E7478" s="355"/>
      <c r="F7478" s="355"/>
      <c r="G7478" s="355"/>
      <c r="H7478" s="355"/>
      <c r="I7478" s="355"/>
      <c r="J7478" s="355"/>
      <c r="K7478" s="355"/>
      <c r="L7478" s="355"/>
      <c r="M7478" s="355"/>
    </row>
    <row r="7479" spans="5:13">
      <c r="E7479" s="355"/>
      <c r="F7479" s="355"/>
      <c r="G7479" s="355"/>
      <c r="H7479" s="355"/>
      <c r="I7479" s="355"/>
      <c r="J7479" s="355"/>
      <c r="K7479" s="355"/>
      <c r="L7479" s="355"/>
      <c r="M7479" s="355"/>
    </row>
    <row r="7480" spans="5:13">
      <c r="E7480" s="355"/>
      <c r="F7480" s="355"/>
      <c r="G7480" s="355"/>
      <c r="H7480" s="355"/>
      <c r="I7480" s="355"/>
      <c r="J7480" s="355"/>
      <c r="K7480" s="355"/>
      <c r="L7480" s="355"/>
      <c r="M7480" s="355"/>
    </row>
    <row r="7481" spans="5:13">
      <c r="E7481" s="355"/>
      <c r="F7481" s="355"/>
      <c r="G7481" s="355"/>
      <c r="H7481" s="355"/>
      <c r="I7481" s="355"/>
      <c r="J7481" s="355"/>
      <c r="K7481" s="355"/>
      <c r="L7481" s="355"/>
      <c r="M7481" s="355"/>
    </row>
    <row r="7482" spans="5:13">
      <c r="E7482" s="355"/>
      <c r="F7482" s="355"/>
      <c r="G7482" s="355"/>
      <c r="H7482" s="355"/>
      <c r="I7482" s="355"/>
      <c r="J7482" s="355"/>
      <c r="K7482" s="355"/>
      <c r="L7482" s="355"/>
      <c r="M7482" s="355"/>
    </row>
    <row r="7483" spans="5:13">
      <c r="E7483" s="355"/>
      <c r="F7483" s="355"/>
      <c r="G7483" s="355"/>
      <c r="H7483" s="355"/>
      <c r="I7483" s="355"/>
      <c r="J7483" s="355"/>
      <c r="K7483" s="355"/>
      <c r="L7483" s="355"/>
      <c r="M7483" s="355"/>
    </row>
    <row r="7484" spans="5:13">
      <c r="E7484" s="355"/>
      <c r="F7484" s="355"/>
      <c r="G7484" s="355"/>
      <c r="H7484" s="355"/>
      <c r="I7484" s="355"/>
      <c r="J7484" s="355"/>
      <c r="K7484" s="355"/>
      <c r="L7484" s="355"/>
      <c r="M7484" s="355"/>
    </row>
    <row r="7485" spans="5:13">
      <c r="E7485" s="355"/>
      <c r="F7485" s="355"/>
      <c r="G7485" s="355"/>
      <c r="H7485" s="355"/>
      <c r="I7485" s="355"/>
      <c r="J7485" s="355"/>
      <c r="K7485" s="355"/>
      <c r="L7485" s="355"/>
      <c r="M7485" s="355"/>
    </row>
    <row r="7486" spans="5:13">
      <c r="E7486" s="355"/>
      <c r="F7486" s="355"/>
      <c r="G7486" s="355"/>
      <c r="H7486" s="355"/>
      <c r="I7486" s="355"/>
      <c r="J7486" s="355"/>
      <c r="K7486" s="355"/>
      <c r="L7486" s="355"/>
      <c r="M7486" s="355"/>
    </row>
    <row r="7487" spans="5:13">
      <c r="E7487" s="355"/>
      <c r="F7487" s="355"/>
      <c r="G7487" s="355"/>
      <c r="H7487" s="355"/>
      <c r="I7487" s="355"/>
      <c r="J7487" s="355"/>
      <c r="K7487" s="355"/>
      <c r="L7487" s="355"/>
      <c r="M7487" s="355"/>
    </row>
    <row r="7488" spans="5:13">
      <c r="E7488" s="355"/>
      <c r="F7488" s="355"/>
      <c r="G7488" s="355"/>
      <c r="H7488" s="355"/>
      <c r="I7488" s="355"/>
      <c r="J7488" s="355"/>
      <c r="K7488" s="355"/>
      <c r="L7488" s="355"/>
      <c r="M7488" s="355"/>
    </row>
    <row r="7489" spans="5:13">
      <c r="E7489" s="355"/>
      <c r="F7489" s="355"/>
      <c r="G7489" s="355"/>
      <c r="H7489" s="355"/>
      <c r="I7489" s="355"/>
      <c r="J7489" s="355"/>
      <c r="K7489" s="355"/>
      <c r="L7489" s="355"/>
      <c r="M7489" s="355"/>
    </row>
    <row r="7490" spans="5:13">
      <c r="E7490" s="355"/>
      <c r="F7490" s="355"/>
      <c r="G7490" s="355"/>
      <c r="H7490" s="355"/>
      <c r="I7490" s="355"/>
      <c r="J7490" s="355"/>
      <c r="K7490" s="355"/>
      <c r="L7490" s="355"/>
      <c r="M7490" s="355"/>
    </row>
    <row r="7491" spans="5:13">
      <c r="E7491" s="355"/>
      <c r="F7491" s="355"/>
      <c r="G7491" s="355"/>
      <c r="H7491" s="355"/>
      <c r="I7491" s="355"/>
      <c r="J7491" s="355"/>
      <c r="K7491" s="355"/>
      <c r="L7491" s="355"/>
      <c r="M7491" s="355"/>
    </row>
    <row r="7492" spans="5:13">
      <c r="E7492" s="355"/>
      <c r="F7492" s="355"/>
      <c r="G7492" s="355"/>
      <c r="H7492" s="355"/>
      <c r="I7492" s="355"/>
      <c r="J7492" s="355"/>
      <c r="K7492" s="355"/>
      <c r="L7492" s="355"/>
      <c r="M7492" s="355"/>
    </row>
    <row r="7493" spans="5:13">
      <c r="E7493" s="355"/>
      <c r="F7493" s="355"/>
      <c r="G7493" s="355"/>
      <c r="H7493" s="355"/>
      <c r="I7493" s="355"/>
      <c r="J7493" s="355"/>
      <c r="K7493" s="355"/>
      <c r="L7493" s="355"/>
      <c r="M7493" s="355"/>
    </row>
    <row r="7494" spans="5:13">
      <c r="E7494" s="355"/>
      <c r="F7494" s="355"/>
      <c r="G7494" s="355"/>
      <c r="H7494" s="355"/>
      <c r="I7494" s="355"/>
      <c r="J7494" s="355"/>
      <c r="K7494" s="355"/>
      <c r="L7494" s="355"/>
      <c r="M7494" s="355"/>
    </row>
    <row r="7495" spans="5:13">
      <c r="E7495" s="355"/>
      <c r="F7495" s="355"/>
      <c r="G7495" s="355"/>
      <c r="H7495" s="355"/>
      <c r="I7495" s="355"/>
      <c r="J7495" s="355"/>
      <c r="K7495" s="355"/>
      <c r="L7495" s="355"/>
      <c r="M7495" s="355"/>
    </row>
    <row r="7496" spans="5:13">
      <c r="E7496" s="355"/>
      <c r="F7496" s="355"/>
      <c r="G7496" s="355"/>
      <c r="H7496" s="355"/>
      <c r="I7496" s="355"/>
      <c r="J7496" s="355"/>
      <c r="K7496" s="355"/>
      <c r="L7496" s="355"/>
      <c r="M7496" s="355"/>
    </row>
    <row r="7497" spans="5:13">
      <c r="E7497" s="355"/>
      <c r="F7497" s="355"/>
      <c r="G7497" s="355"/>
      <c r="H7497" s="355"/>
      <c r="I7497" s="355"/>
      <c r="J7497" s="355"/>
      <c r="K7497" s="355"/>
      <c r="L7497" s="355"/>
      <c r="M7497" s="355"/>
    </row>
    <row r="7498" spans="5:13">
      <c r="E7498" s="355"/>
      <c r="F7498" s="355"/>
      <c r="G7498" s="355"/>
      <c r="H7498" s="355"/>
      <c r="I7498" s="355"/>
      <c r="J7498" s="355"/>
      <c r="K7498" s="355"/>
      <c r="L7498" s="355"/>
      <c r="M7498" s="355"/>
    </row>
    <row r="7499" spans="5:13">
      <c r="E7499" s="355"/>
      <c r="F7499" s="355"/>
      <c r="G7499" s="355"/>
      <c r="H7499" s="355"/>
      <c r="I7499" s="355"/>
      <c r="J7499" s="355"/>
      <c r="K7499" s="355"/>
      <c r="L7499" s="355"/>
      <c r="M7499" s="355"/>
    </row>
    <row r="7500" spans="5:13">
      <c r="E7500" s="355"/>
      <c r="F7500" s="355"/>
      <c r="G7500" s="355"/>
      <c r="H7500" s="355"/>
      <c r="I7500" s="355"/>
      <c r="J7500" s="355"/>
      <c r="K7500" s="355"/>
      <c r="L7500" s="355"/>
      <c r="M7500" s="355"/>
    </row>
    <row r="7501" spans="5:13">
      <c r="E7501" s="355"/>
      <c r="F7501" s="355"/>
      <c r="G7501" s="355"/>
      <c r="H7501" s="355"/>
      <c r="I7501" s="355"/>
      <c r="J7501" s="355"/>
      <c r="K7501" s="355"/>
      <c r="L7501" s="355"/>
      <c r="M7501" s="355"/>
    </row>
    <row r="7502" spans="5:13">
      <c r="E7502" s="355"/>
      <c r="F7502" s="355"/>
      <c r="G7502" s="355"/>
      <c r="H7502" s="355"/>
      <c r="I7502" s="355"/>
      <c r="J7502" s="355"/>
      <c r="K7502" s="355"/>
      <c r="L7502" s="355"/>
      <c r="M7502" s="355"/>
    </row>
    <row r="7503" spans="5:13">
      <c r="E7503" s="355"/>
      <c r="F7503" s="355"/>
      <c r="G7503" s="355"/>
      <c r="H7503" s="355"/>
      <c r="I7503" s="355"/>
      <c r="J7503" s="355"/>
      <c r="K7503" s="355"/>
      <c r="L7503" s="355"/>
      <c r="M7503" s="355"/>
    </row>
    <row r="7504" spans="5:13">
      <c r="E7504" s="355"/>
      <c r="F7504" s="355"/>
      <c r="G7504" s="355"/>
      <c r="H7504" s="355"/>
      <c r="I7504" s="355"/>
      <c r="J7504" s="355"/>
      <c r="K7504" s="355"/>
      <c r="L7504" s="355"/>
      <c r="M7504" s="355"/>
    </row>
    <row r="7505" spans="5:13">
      <c r="E7505" s="355"/>
      <c r="F7505" s="355"/>
      <c r="G7505" s="355"/>
      <c r="H7505" s="355"/>
      <c r="I7505" s="355"/>
      <c r="J7505" s="355"/>
      <c r="K7505" s="355"/>
      <c r="L7505" s="355"/>
      <c r="M7505" s="355"/>
    </row>
    <row r="7506" spans="5:13">
      <c r="E7506" s="355"/>
      <c r="F7506" s="355"/>
      <c r="G7506" s="355"/>
      <c r="H7506" s="355"/>
      <c r="I7506" s="355"/>
      <c r="J7506" s="355"/>
      <c r="K7506" s="355"/>
      <c r="L7506" s="355"/>
      <c r="M7506" s="355"/>
    </row>
    <row r="7507" spans="5:13">
      <c r="E7507" s="355"/>
      <c r="F7507" s="355"/>
      <c r="G7507" s="355"/>
      <c r="H7507" s="355"/>
      <c r="I7507" s="355"/>
      <c r="J7507" s="355"/>
      <c r="K7507" s="355"/>
      <c r="L7507" s="355"/>
      <c r="M7507" s="355"/>
    </row>
    <row r="7508" spans="5:13">
      <c r="E7508" s="355"/>
      <c r="F7508" s="355"/>
      <c r="G7508" s="355"/>
      <c r="H7508" s="355"/>
      <c r="I7508" s="355"/>
      <c r="J7508" s="355"/>
      <c r="K7508" s="355"/>
      <c r="L7508" s="355"/>
      <c r="M7508" s="355"/>
    </row>
    <row r="7509" spans="5:13">
      <c r="E7509" s="355"/>
      <c r="F7509" s="355"/>
      <c r="G7509" s="355"/>
      <c r="H7509" s="355"/>
      <c r="I7509" s="355"/>
      <c r="J7509" s="355"/>
      <c r="K7509" s="355"/>
      <c r="L7509" s="355"/>
      <c r="M7509" s="355"/>
    </row>
    <row r="7510" spans="5:13">
      <c r="E7510" s="355"/>
      <c r="F7510" s="355"/>
      <c r="G7510" s="355"/>
      <c r="H7510" s="355"/>
      <c r="I7510" s="355"/>
      <c r="J7510" s="355"/>
      <c r="K7510" s="355"/>
      <c r="L7510" s="355"/>
      <c r="M7510" s="355"/>
    </row>
    <row r="7511" spans="5:13">
      <c r="E7511" s="355"/>
      <c r="F7511" s="355"/>
      <c r="G7511" s="355"/>
      <c r="H7511" s="355"/>
      <c r="I7511" s="355"/>
      <c r="J7511" s="355"/>
      <c r="K7511" s="355"/>
      <c r="L7511" s="355"/>
      <c r="M7511" s="355"/>
    </row>
    <row r="7512" spans="5:13">
      <c r="E7512" s="355"/>
      <c r="F7512" s="355"/>
      <c r="G7512" s="355"/>
      <c r="H7512" s="355"/>
      <c r="I7512" s="355"/>
      <c r="J7512" s="355"/>
      <c r="K7512" s="355"/>
      <c r="L7512" s="355"/>
      <c r="M7512" s="355"/>
    </row>
    <row r="7513" spans="5:13">
      <c r="E7513" s="355"/>
      <c r="F7513" s="355"/>
      <c r="G7513" s="355"/>
      <c r="H7513" s="355"/>
      <c r="I7513" s="355"/>
      <c r="J7513" s="355"/>
      <c r="K7513" s="355"/>
      <c r="L7513" s="355"/>
      <c r="M7513" s="355"/>
    </row>
    <row r="7514" spans="5:13">
      <c r="E7514" s="355"/>
      <c r="F7514" s="355"/>
      <c r="G7514" s="355"/>
      <c r="H7514" s="355"/>
      <c r="I7514" s="355"/>
      <c r="J7514" s="355"/>
      <c r="K7514" s="355"/>
      <c r="L7514" s="355"/>
      <c r="M7514" s="355"/>
    </row>
    <row r="7515" spans="5:13">
      <c r="E7515" s="355"/>
      <c r="F7515" s="355"/>
      <c r="G7515" s="355"/>
      <c r="H7515" s="355"/>
      <c r="I7515" s="355"/>
      <c r="J7515" s="355"/>
      <c r="K7515" s="355"/>
      <c r="L7515" s="355"/>
      <c r="M7515" s="355"/>
    </row>
    <row r="7516" spans="5:13">
      <c r="E7516" s="355"/>
      <c r="F7516" s="355"/>
      <c r="G7516" s="355"/>
      <c r="H7516" s="355"/>
      <c r="I7516" s="355"/>
      <c r="J7516" s="355"/>
      <c r="K7516" s="355"/>
      <c r="L7516" s="355"/>
      <c r="M7516" s="355"/>
    </row>
    <row r="7517" spans="5:13">
      <c r="E7517" s="355"/>
      <c r="F7517" s="355"/>
      <c r="G7517" s="355"/>
      <c r="H7517" s="355"/>
      <c r="I7517" s="355"/>
      <c r="J7517" s="355"/>
      <c r="K7517" s="355"/>
      <c r="L7517" s="355"/>
      <c r="M7517" s="355"/>
    </row>
    <row r="7518" spans="5:13">
      <c r="E7518" s="355"/>
      <c r="F7518" s="355"/>
      <c r="G7518" s="355"/>
      <c r="H7518" s="355"/>
      <c r="I7518" s="355"/>
      <c r="J7518" s="355"/>
      <c r="K7518" s="355"/>
      <c r="L7518" s="355"/>
      <c r="M7518" s="355"/>
    </row>
    <row r="7519" spans="5:13">
      <c r="E7519" s="355"/>
      <c r="F7519" s="355"/>
      <c r="G7519" s="355"/>
      <c r="H7519" s="355"/>
      <c r="I7519" s="355"/>
      <c r="J7519" s="355"/>
      <c r="K7519" s="355"/>
      <c r="L7519" s="355"/>
      <c r="M7519" s="355"/>
    </row>
    <row r="7520" spans="5:13">
      <c r="E7520" s="355"/>
      <c r="F7520" s="355"/>
      <c r="G7520" s="355"/>
      <c r="H7520" s="355"/>
      <c r="I7520" s="355"/>
      <c r="J7520" s="355"/>
      <c r="K7520" s="355"/>
      <c r="L7520" s="355"/>
      <c r="M7520" s="355"/>
    </row>
    <row r="7521" spans="5:13">
      <c r="E7521" s="355"/>
      <c r="F7521" s="355"/>
      <c r="G7521" s="355"/>
      <c r="H7521" s="355"/>
      <c r="I7521" s="355"/>
      <c r="J7521" s="355"/>
      <c r="K7521" s="355"/>
      <c r="L7521" s="355"/>
      <c r="M7521" s="355"/>
    </row>
    <row r="7522" spans="5:13">
      <c r="E7522" s="355"/>
      <c r="F7522" s="355"/>
      <c r="G7522" s="355"/>
      <c r="H7522" s="355"/>
      <c r="I7522" s="355"/>
      <c r="J7522" s="355"/>
      <c r="K7522" s="355"/>
      <c r="L7522" s="355"/>
      <c r="M7522" s="355"/>
    </row>
    <row r="7523" spans="5:13">
      <c r="E7523" s="355"/>
      <c r="F7523" s="355"/>
      <c r="G7523" s="355"/>
      <c r="H7523" s="355"/>
      <c r="I7523" s="355"/>
      <c r="J7523" s="355"/>
      <c r="K7523" s="355"/>
      <c r="L7523" s="355"/>
      <c r="M7523" s="355"/>
    </row>
    <row r="7524" spans="5:13">
      <c r="E7524" s="355"/>
      <c r="F7524" s="355"/>
      <c r="G7524" s="355"/>
      <c r="H7524" s="355"/>
      <c r="I7524" s="355"/>
      <c r="J7524" s="355"/>
      <c r="K7524" s="355"/>
      <c r="L7524" s="355"/>
      <c r="M7524" s="355"/>
    </row>
    <row r="7525" spans="5:13">
      <c r="E7525" s="355"/>
      <c r="F7525" s="355"/>
      <c r="G7525" s="355"/>
      <c r="H7525" s="355"/>
      <c r="I7525" s="355"/>
      <c r="J7525" s="355"/>
      <c r="K7525" s="355"/>
      <c r="L7525" s="355"/>
      <c r="M7525" s="355"/>
    </row>
    <row r="7526" spans="5:13">
      <c r="E7526" s="355"/>
      <c r="F7526" s="355"/>
      <c r="G7526" s="355"/>
      <c r="H7526" s="355"/>
      <c r="I7526" s="355"/>
      <c r="J7526" s="355"/>
      <c r="K7526" s="355"/>
      <c r="L7526" s="355"/>
      <c r="M7526" s="355"/>
    </row>
    <row r="7527" spans="5:13">
      <c r="E7527" s="355"/>
      <c r="F7527" s="355"/>
      <c r="G7527" s="355"/>
      <c r="H7527" s="355"/>
      <c r="I7527" s="355"/>
      <c r="J7527" s="355"/>
      <c r="K7527" s="355"/>
      <c r="L7527" s="355"/>
      <c r="M7527" s="355"/>
    </row>
    <row r="7528" spans="5:13">
      <c r="E7528" s="355"/>
      <c r="F7528" s="355"/>
      <c r="G7528" s="355"/>
      <c r="H7528" s="355"/>
      <c r="I7528" s="355"/>
      <c r="J7528" s="355"/>
      <c r="K7528" s="355"/>
      <c r="L7528" s="355"/>
      <c r="M7528" s="355"/>
    </row>
    <row r="7529" spans="5:13">
      <c r="E7529" s="355"/>
      <c r="F7529" s="355"/>
      <c r="G7529" s="355"/>
      <c r="H7529" s="355"/>
      <c r="I7529" s="355"/>
      <c r="J7529" s="355"/>
      <c r="K7529" s="355"/>
      <c r="L7529" s="355"/>
      <c r="M7529" s="355"/>
    </row>
    <row r="7530" spans="5:13">
      <c r="E7530" s="355"/>
      <c r="F7530" s="355"/>
      <c r="G7530" s="355"/>
      <c r="H7530" s="355"/>
      <c r="I7530" s="355"/>
      <c r="J7530" s="355"/>
      <c r="K7530" s="355"/>
      <c r="L7530" s="355"/>
      <c r="M7530" s="355"/>
    </row>
    <row r="7531" spans="5:13">
      <c r="E7531" s="355"/>
      <c r="F7531" s="355"/>
      <c r="G7531" s="355"/>
      <c r="H7531" s="355"/>
      <c r="I7531" s="355"/>
      <c r="J7531" s="355"/>
      <c r="K7531" s="355"/>
      <c r="L7531" s="355"/>
      <c r="M7531" s="355"/>
    </row>
    <row r="7532" spans="5:13">
      <c r="E7532" s="355"/>
      <c r="F7532" s="355"/>
      <c r="G7532" s="355"/>
      <c r="H7532" s="355"/>
      <c r="I7532" s="355"/>
      <c r="J7532" s="355"/>
      <c r="K7532" s="355"/>
      <c r="L7532" s="355"/>
      <c r="M7532" s="355"/>
    </row>
    <row r="7533" spans="5:13">
      <c r="E7533" s="355"/>
      <c r="F7533" s="355"/>
      <c r="G7533" s="355"/>
      <c r="H7533" s="355"/>
      <c r="I7533" s="355"/>
      <c r="J7533" s="355"/>
      <c r="K7533" s="355"/>
      <c r="L7533" s="355"/>
      <c r="M7533" s="355"/>
    </row>
    <row r="7534" spans="5:13">
      <c r="E7534" s="355"/>
      <c r="F7534" s="355"/>
      <c r="G7534" s="355"/>
      <c r="H7534" s="355"/>
      <c r="I7534" s="355"/>
      <c r="J7534" s="355"/>
      <c r="K7534" s="355"/>
      <c r="L7534" s="355"/>
      <c r="M7534" s="355"/>
    </row>
    <row r="7535" spans="5:13">
      <c r="E7535" s="355"/>
      <c r="F7535" s="355"/>
      <c r="G7535" s="355"/>
      <c r="H7535" s="355"/>
      <c r="I7535" s="355"/>
      <c r="J7535" s="355"/>
      <c r="K7535" s="355"/>
      <c r="L7535" s="355"/>
      <c r="M7535" s="355"/>
    </row>
    <row r="7536" spans="5:13">
      <c r="E7536" s="355"/>
      <c r="F7536" s="355"/>
      <c r="G7536" s="355"/>
      <c r="H7536" s="355"/>
      <c r="I7536" s="355"/>
      <c r="J7536" s="355"/>
      <c r="K7536" s="355"/>
      <c r="L7536" s="355"/>
      <c r="M7536" s="355"/>
    </row>
    <row r="7537" spans="5:13">
      <c r="E7537" s="355"/>
      <c r="F7537" s="355"/>
      <c r="G7537" s="355"/>
      <c r="H7537" s="355"/>
      <c r="I7537" s="355"/>
      <c r="J7537" s="355"/>
      <c r="K7537" s="355"/>
      <c r="L7537" s="355"/>
      <c r="M7537" s="355"/>
    </row>
    <row r="7538" spans="5:13">
      <c r="E7538" s="355"/>
      <c r="F7538" s="355"/>
      <c r="G7538" s="355"/>
      <c r="H7538" s="355"/>
      <c r="I7538" s="355"/>
      <c r="J7538" s="355"/>
      <c r="K7538" s="355"/>
      <c r="L7538" s="355"/>
      <c r="M7538" s="355"/>
    </row>
    <row r="7539" spans="5:13">
      <c r="E7539" s="355"/>
      <c r="F7539" s="355"/>
      <c r="G7539" s="355"/>
      <c r="H7539" s="355"/>
      <c r="I7539" s="355"/>
      <c r="J7539" s="355"/>
      <c r="K7539" s="355"/>
      <c r="L7539" s="355"/>
      <c r="M7539" s="355"/>
    </row>
    <row r="7540" spans="5:13">
      <c r="E7540" s="355"/>
      <c r="F7540" s="355"/>
      <c r="G7540" s="355"/>
      <c r="H7540" s="355"/>
      <c r="I7540" s="355"/>
      <c r="J7540" s="355"/>
      <c r="K7540" s="355"/>
      <c r="L7540" s="355"/>
      <c r="M7540" s="355"/>
    </row>
    <row r="7541" spans="5:13">
      <c r="E7541" s="355"/>
      <c r="F7541" s="355"/>
      <c r="G7541" s="355"/>
      <c r="H7541" s="355"/>
      <c r="I7541" s="355"/>
      <c r="J7541" s="355"/>
      <c r="K7541" s="355"/>
      <c r="L7541" s="355"/>
      <c r="M7541" s="355"/>
    </row>
    <row r="7542" spans="5:13">
      <c r="E7542" s="355"/>
      <c r="F7542" s="355"/>
      <c r="G7542" s="355"/>
      <c r="H7542" s="355"/>
      <c r="I7542" s="355"/>
      <c r="J7542" s="355"/>
      <c r="K7542" s="355"/>
      <c r="L7542" s="355"/>
      <c r="M7542" s="355"/>
    </row>
    <row r="7543" spans="5:13">
      <c r="E7543" s="355"/>
      <c r="F7543" s="355"/>
      <c r="G7543" s="355"/>
      <c r="H7543" s="355"/>
      <c r="I7543" s="355"/>
      <c r="J7543" s="355"/>
      <c r="K7543" s="355"/>
      <c r="L7543" s="355"/>
      <c r="M7543" s="355"/>
    </row>
    <row r="7544" spans="5:13">
      <c r="E7544" s="355"/>
      <c r="F7544" s="355"/>
      <c r="G7544" s="355"/>
      <c r="H7544" s="355"/>
      <c r="I7544" s="355"/>
      <c r="J7544" s="355"/>
      <c r="K7544" s="355"/>
      <c r="L7544" s="355"/>
      <c r="M7544" s="355"/>
    </row>
    <row r="7545" spans="5:13">
      <c r="E7545" s="355"/>
      <c r="F7545" s="355"/>
      <c r="G7545" s="355"/>
      <c r="H7545" s="355"/>
      <c r="I7545" s="355"/>
      <c r="J7545" s="355"/>
      <c r="K7545" s="355"/>
      <c r="L7545" s="355"/>
      <c r="M7545" s="355"/>
    </row>
    <row r="7546" spans="5:13">
      <c r="E7546" s="355"/>
      <c r="F7546" s="355"/>
      <c r="G7546" s="355"/>
      <c r="H7546" s="355"/>
      <c r="I7546" s="355"/>
      <c r="J7546" s="355"/>
      <c r="K7546" s="355"/>
      <c r="L7546" s="355"/>
      <c r="M7546" s="355"/>
    </row>
    <row r="7547" spans="5:13">
      <c r="E7547" s="355"/>
      <c r="F7547" s="355"/>
      <c r="G7547" s="355"/>
      <c r="H7547" s="355"/>
      <c r="I7547" s="355"/>
      <c r="J7547" s="355"/>
      <c r="K7547" s="355"/>
      <c r="L7547" s="355"/>
      <c r="M7547" s="355"/>
    </row>
    <row r="7548" spans="5:13">
      <c r="E7548" s="355"/>
      <c r="F7548" s="355"/>
      <c r="G7548" s="355"/>
      <c r="H7548" s="355"/>
      <c r="I7548" s="355"/>
      <c r="J7548" s="355"/>
      <c r="K7548" s="355"/>
      <c r="L7548" s="355"/>
      <c r="M7548" s="355"/>
    </row>
    <row r="7549" spans="5:13">
      <c r="E7549" s="355"/>
      <c r="F7549" s="355"/>
      <c r="G7549" s="355"/>
      <c r="H7549" s="355"/>
      <c r="I7549" s="355"/>
      <c r="J7549" s="355"/>
      <c r="K7549" s="355"/>
      <c r="L7549" s="355"/>
      <c r="M7549" s="355"/>
    </row>
    <row r="7550" spans="5:13">
      <c r="E7550" s="355"/>
      <c r="F7550" s="355"/>
      <c r="G7550" s="355"/>
      <c r="H7550" s="355"/>
      <c r="I7550" s="355"/>
      <c r="J7550" s="355"/>
      <c r="K7550" s="355"/>
      <c r="L7550" s="355"/>
      <c r="M7550" s="355"/>
    </row>
    <row r="7551" spans="5:13">
      <c r="E7551" s="355"/>
      <c r="F7551" s="355"/>
      <c r="G7551" s="355"/>
      <c r="H7551" s="355"/>
      <c r="I7551" s="355"/>
      <c r="J7551" s="355"/>
      <c r="K7551" s="355"/>
      <c r="L7551" s="355"/>
      <c r="M7551" s="355"/>
    </row>
    <row r="7552" spans="5:13">
      <c r="E7552" s="355"/>
      <c r="F7552" s="355"/>
      <c r="G7552" s="355"/>
      <c r="H7552" s="355"/>
      <c r="I7552" s="355"/>
      <c r="J7552" s="355"/>
      <c r="K7552" s="355"/>
      <c r="L7552" s="355"/>
      <c r="M7552" s="355"/>
    </row>
    <row r="7553" spans="5:13">
      <c r="E7553" s="355"/>
      <c r="F7553" s="355"/>
      <c r="G7553" s="355"/>
      <c r="H7553" s="355"/>
      <c r="I7553" s="355"/>
      <c r="J7553" s="355"/>
      <c r="K7553" s="355"/>
      <c r="L7553" s="355"/>
      <c r="M7553" s="355"/>
    </row>
    <row r="7554" spans="5:13">
      <c r="E7554" s="355"/>
      <c r="F7554" s="355"/>
      <c r="G7554" s="355"/>
      <c r="H7554" s="355"/>
      <c r="I7554" s="355"/>
      <c r="J7554" s="355"/>
      <c r="K7554" s="355"/>
      <c r="L7554" s="355"/>
      <c r="M7554" s="355"/>
    </row>
    <row r="7555" spans="5:13">
      <c r="E7555" s="355"/>
      <c r="F7555" s="355"/>
      <c r="G7555" s="355"/>
      <c r="H7555" s="355"/>
      <c r="I7555" s="355"/>
      <c r="J7555" s="355"/>
      <c r="K7555" s="355"/>
      <c r="L7555" s="355"/>
      <c r="M7555" s="355"/>
    </row>
    <row r="7556" spans="5:13">
      <c r="E7556" s="355"/>
      <c r="F7556" s="355"/>
      <c r="G7556" s="355"/>
      <c r="H7556" s="355"/>
      <c r="I7556" s="355"/>
      <c r="J7556" s="355"/>
      <c r="K7556" s="355"/>
      <c r="L7556" s="355"/>
      <c r="M7556" s="355"/>
    </row>
    <row r="7557" spans="5:13">
      <c r="E7557" s="355"/>
      <c r="F7557" s="355"/>
      <c r="G7557" s="355"/>
      <c r="H7557" s="355"/>
      <c r="I7557" s="355"/>
      <c r="J7557" s="355"/>
      <c r="K7557" s="355"/>
      <c r="L7557" s="355"/>
      <c r="M7557" s="355"/>
    </row>
    <row r="7558" spans="5:13">
      <c r="E7558" s="355"/>
      <c r="F7558" s="355"/>
      <c r="G7558" s="355"/>
      <c r="H7558" s="355"/>
      <c r="I7558" s="355"/>
      <c r="J7558" s="355"/>
      <c r="K7558" s="355"/>
      <c r="L7558" s="355"/>
      <c r="M7558" s="355"/>
    </row>
    <row r="7559" spans="5:13">
      <c r="E7559" s="355"/>
      <c r="F7559" s="355"/>
      <c r="G7559" s="355"/>
      <c r="H7559" s="355"/>
      <c r="I7559" s="355"/>
      <c r="J7559" s="355"/>
      <c r="K7559" s="355"/>
      <c r="L7559" s="355"/>
      <c r="M7559" s="355"/>
    </row>
    <row r="7560" spans="5:13">
      <c r="E7560" s="355"/>
      <c r="F7560" s="355"/>
      <c r="G7560" s="355"/>
      <c r="H7560" s="355"/>
      <c r="I7560" s="355"/>
      <c r="J7560" s="355"/>
      <c r="K7560" s="355"/>
      <c r="L7560" s="355"/>
      <c r="M7560" s="355"/>
    </row>
    <row r="7561" spans="5:13">
      <c r="E7561" s="355"/>
      <c r="F7561" s="355"/>
      <c r="G7561" s="355"/>
      <c r="H7561" s="355"/>
      <c r="I7561" s="355"/>
      <c r="J7561" s="355"/>
      <c r="K7561" s="355"/>
      <c r="L7561" s="355"/>
      <c r="M7561" s="355"/>
    </row>
    <row r="7562" spans="5:13">
      <c r="E7562" s="355"/>
      <c r="F7562" s="355"/>
      <c r="G7562" s="355"/>
      <c r="H7562" s="355"/>
      <c r="I7562" s="355"/>
      <c r="J7562" s="355"/>
      <c r="K7562" s="355"/>
      <c r="L7562" s="355"/>
      <c r="M7562" s="355"/>
    </row>
    <row r="7563" spans="5:13">
      <c r="E7563" s="355"/>
      <c r="F7563" s="355"/>
      <c r="G7563" s="355"/>
      <c r="H7563" s="355"/>
      <c r="I7563" s="355"/>
      <c r="J7563" s="355"/>
      <c r="K7563" s="355"/>
      <c r="L7563" s="355"/>
      <c r="M7563" s="355"/>
    </row>
    <row r="7564" spans="5:13">
      <c r="E7564" s="355"/>
      <c r="F7564" s="355"/>
      <c r="G7564" s="355"/>
      <c r="H7564" s="355"/>
      <c r="I7564" s="355"/>
      <c r="J7564" s="355"/>
      <c r="K7564" s="355"/>
      <c r="L7564" s="355"/>
      <c r="M7564" s="355"/>
    </row>
    <row r="7565" spans="5:13">
      <c r="E7565" s="355"/>
      <c r="F7565" s="355"/>
      <c r="G7565" s="355"/>
      <c r="H7565" s="355"/>
      <c r="I7565" s="355"/>
      <c r="J7565" s="355"/>
      <c r="K7565" s="355"/>
      <c r="L7565" s="355"/>
      <c r="M7565" s="355"/>
    </row>
    <row r="7566" spans="5:13">
      <c r="E7566" s="355"/>
      <c r="F7566" s="355"/>
      <c r="G7566" s="355"/>
      <c r="H7566" s="355"/>
      <c r="I7566" s="355"/>
      <c r="J7566" s="355"/>
      <c r="K7566" s="355"/>
      <c r="L7566" s="355"/>
      <c r="M7566" s="355"/>
    </row>
    <row r="7567" spans="5:13">
      <c r="E7567" s="355"/>
      <c r="F7567" s="355"/>
      <c r="G7567" s="355"/>
      <c r="H7567" s="355"/>
      <c r="I7567" s="355"/>
      <c r="J7567" s="355"/>
      <c r="K7567" s="355"/>
      <c r="L7567" s="355"/>
      <c r="M7567" s="355"/>
    </row>
    <row r="7568" spans="5:13">
      <c r="E7568" s="355"/>
      <c r="F7568" s="355"/>
      <c r="G7568" s="355"/>
      <c r="H7568" s="355"/>
      <c r="I7568" s="355"/>
      <c r="J7568" s="355"/>
      <c r="K7568" s="355"/>
      <c r="L7568" s="355"/>
      <c r="M7568" s="355"/>
    </row>
    <row r="7569" spans="5:13">
      <c r="E7569" s="355"/>
      <c r="F7569" s="355"/>
      <c r="G7569" s="355"/>
      <c r="H7569" s="355"/>
      <c r="I7569" s="355"/>
      <c r="J7569" s="355"/>
      <c r="K7569" s="355"/>
      <c r="L7569" s="355"/>
      <c r="M7569" s="355"/>
    </row>
    <row r="7570" spans="5:13">
      <c r="E7570" s="355"/>
      <c r="F7570" s="355"/>
      <c r="G7570" s="355"/>
      <c r="H7570" s="355"/>
      <c r="I7570" s="355"/>
      <c r="J7570" s="355"/>
      <c r="K7570" s="355"/>
      <c r="L7570" s="355"/>
      <c r="M7570" s="355"/>
    </row>
    <row r="7571" spans="5:13">
      <c r="E7571" s="355"/>
      <c r="F7571" s="355"/>
      <c r="G7571" s="355"/>
      <c r="H7571" s="355"/>
      <c r="I7571" s="355"/>
      <c r="J7571" s="355"/>
      <c r="K7571" s="355"/>
      <c r="L7571" s="355"/>
      <c r="M7571" s="355"/>
    </row>
    <row r="7572" spans="5:13">
      <c r="E7572" s="355"/>
      <c r="F7572" s="355"/>
      <c r="G7572" s="355"/>
      <c r="H7572" s="355"/>
      <c r="I7572" s="355"/>
      <c r="J7572" s="355"/>
      <c r="K7572" s="355"/>
      <c r="L7572" s="355"/>
      <c r="M7572" s="355"/>
    </row>
    <row r="7573" spans="5:13">
      <c r="E7573" s="355"/>
      <c r="F7573" s="355"/>
      <c r="G7573" s="355"/>
      <c r="H7573" s="355"/>
      <c r="I7573" s="355"/>
      <c r="J7573" s="355"/>
      <c r="K7573" s="355"/>
      <c r="L7573" s="355"/>
      <c r="M7573" s="355"/>
    </row>
    <row r="7574" spans="5:13">
      <c r="E7574" s="355"/>
      <c r="F7574" s="355"/>
      <c r="G7574" s="355"/>
      <c r="H7574" s="355"/>
      <c r="I7574" s="355"/>
      <c r="J7574" s="355"/>
      <c r="K7574" s="355"/>
      <c r="L7574" s="355"/>
      <c r="M7574" s="355"/>
    </row>
    <row r="7575" spans="5:13">
      <c r="E7575" s="355"/>
      <c r="F7575" s="355"/>
      <c r="G7575" s="355"/>
      <c r="H7575" s="355"/>
      <c r="I7575" s="355"/>
      <c r="J7575" s="355"/>
      <c r="K7575" s="355"/>
      <c r="L7575" s="355"/>
      <c r="M7575" s="355"/>
    </row>
    <row r="7576" spans="5:13">
      <c r="E7576" s="355"/>
      <c r="F7576" s="355"/>
      <c r="G7576" s="355"/>
      <c r="H7576" s="355"/>
      <c r="I7576" s="355"/>
      <c r="J7576" s="355"/>
      <c r="K7576" s="355"/>
      <c r="L7576" s="355"/>
      <c r="M7576" s="355"/>
    </row>
    <row r="7577" spans="5:13">
      <c r="E7577" s="355"/>
      <c r="F7577" s="355"/>
      <c r="G7577" s="355"/>
      <c r="H7577" s="355"/>
      <c r="I7577" s="355"/>
      <c r="J7577" s="355"/>
      <c r="K7577" s="355"/>
      <c r="L7577" s="355"/>
      <c r="M7577" s="355"/>
    </row>
    <row r="7578" spans="5:13">
      <c r="E7578" s="355"/>
      <c r="F7578" s="355"/>
      <c r="G7578" s="355"/>
      <c r="H7578" s="355"/>
      <c r="I7578" s="355"/>
      <c r="J7578" s="355"/>
      <c r="K7578" s="355"/>
      <c r="L7578" s="355"/>
      <c r="M7578" s="355"/>
    </row>
    <row r="7579" spans="5:13">
      <c r="E7579" s="355"/>
      <c r="F7579" s="355"/>
      <c r="G7579" s="355"/>
      <c r="H7579" s="355"/>
      <c r="I7579" s="355"/>
      <c r="J7579" s="355"/>
      <c r="K7579" s="355"/>
      <c r="L7579" s="355"/>
      <c r="M7579" s="355"/>
    </row>
    <row r="7580" spans="5:13">
      <c r="E7580" s="355"/>
      <c r="F7580" s="355"/>
      <c r="G7580" s="355"/>
      <c r="H7580" s="355"/>
      <c r="I7580" s="355"/>
      <c r="J7580" s="355"/>
      <c r="K7580" s="355"/>
      <c r="L7580" s="355"/>
      <c r="M7580" s="355"/>
    </row>
    <row r="7581" spans="5:13">
      <c r="E7581" s="355"/>
      <c r="F7581" s="355"/>
      <c r="G7581" s="355"/>
      <c r="H7581" s="355"/>
      <c r="I7581" s="355"/>
      <c r="J7581" s="355"/>
      <c r="K7581" s="355"/>
      <c r="L7581" s="355"/>
      <c r="M7581" s="355"/>
    </row>
    <row r="7582" spans="5:13">
      <c r="E7582" s="355"/>
      <c r="F7582" s="355"/>
      <c r="G7582" s="355"/>
      <c r="H7582" s="355"/>
      <c r="I7582" s="355"/>
      <c r="J7582" s="355"/>
      <c r="K7582" s="355"/>
      <c r="L7582" s="355"/>
      <c r="M7582" s="355"/>
    </row>
    <row r="7583" spans="5:13">
      <c r="E7583" s="355"/>
      <c r="F7583" s="355"/>
      <c r="G7583" s="355"/>
      <c r="H7583" s="355"/>
      <c r="I7583" s="355"/>
      <c r="J7583" s="355"/>
      <c r="K7583" s="355"/>
      <c r="L7583" s="355"/>
      <c r="M7583" s="355"/>
    </row>
    <row r="7584" spans="5:13">
      <c r="E7584" s="355"/>
      <c r="F7584" s="355"/>
      <c r="G7584" s="355"/>
      <c r="H7584" s="355"/>
      <c r="I7584" s="355"/>
      <c r="J7584" s="355"/>
      <c r="K7584" s="355"/>
      <c r="L7584" s="355"/>
      <c r="M7584" s="355"/>
    </row>
    <row r="7585" spans="5:13">
      <c r="E7585" s="355"/>
      <c r="F7585" s="355"/>
      <c r="G7585" s="355"/>
      <c r="H7585" s="355"/>
      <c r="I7585" s="355"/>
      <c r="J7585" s="355"/>
      <c r="K7585" s="355"/>
      <c r="L7585" s="355"/>
      <c r="M7585" s="355"/>
    </row>
    <row r="7586" spans="5:13">
      <c r="E7586" s="355"/>
      <c r="F7586" s="355"/>
      <c r="G7586" s="355"/>
      <c r="H7586" s="355"/>
      <c r="I7586" s="355"/>
      <c r="J7586" s="355"/>
      <c r="K7586" s="355"/>
      <c r="L7586" s="355"/>
      <c r="M7586" s="355"/>
    </row>
    <row r="7587" spans="5:13">
      <c r="E7587" s="355"/>
      <c r="F7587" s="355"/>
      <c r="G7587" s="355"/>
      <c r="H7587" s="355"/>
      <c r="I7587" s="355"/>
      <c r="J7587" s="355"/>
      <c r="K7587" s="355"/>
      <c r="L7587" s="355"/>
      <c r="M7587" s="355"/>
    </row>
    <row r="7588" spans="5:13">
      <c r="E7588" s="355"/>
      <c r="F7588" s="355"/>
      <c r="G7588" s="355"/>
      <c r="H7588" s="355"/>
      <c r="I7588" s="355"/>
      <c r="J7588" s="355"/>
      <c r="K7588" s="355"/>
      <c r="L7588" s="355"/>
      <c r="M7588" s="355"/>
    </row>
    <row r="7589" spans="5:13">
      <c r="E7589" s="355"/>
      <c r="F7589" s="355"/>
      <c r="G7589" s="355"/>
      <c r="H7589" s="355"/>
      <c r="I7589" s="355"/>
      <c r="J7589" s="355"/>
      <c r="K7589" s="355"/>
      <c r="L7589" s="355"/>
      <c r="M7589" s="355"/>
    </row>
    <row r="7590" spans="5:13">
      <c r="E7590" s="355"/>
      <c r="F7590" s="355"/>
      <c r="G7590" s="355"/>
      <c r="H7590" s="355"/>
      <c r="I7590" s="355"/>
      <c r="J7590" s="355"/>
      <c r="K7590" s="355"/>
      <c r="L7590" s="355"/>
      <c r="M7590" s="355"/>
    </row>
    <row r="7591" spans="5:13">
      <c r="E7591" s="355"/>
      <c r="F7591" s="355"/>
      <c r="G7591" s="355"/>
      <c r="H7591" s="355"/>
      <c r="I7591" s="355"/>
      <c r="J7591" s="355"/>
      <c r="K7591" s="355"/>
      <c r="L7591" s="355"/>
      <c r="M7591" s="355"/>
    </row>
    <row r="7592" spans="5:13">
      <c r="E7592" s="355"/>
      <c r="F7592" s="355"/>
      <c r="G7592" s="355"/>
      <c r="H7592" s="355"/>
      <c r="I7592" s="355"/>
      <c r="J7592" s="355"/>
      <c r="K7592" s="355"/>
      <c r="L7592" s="355"/>
      <c r="M7592" s="355"/>
    </row>
    <row r="7593" spans="5:13">
      <c r="E7593" s="355"/>
      <c r="F7593" s="355"/>
      <c r="G7593" s="355"/>
      <c r="H7593" s="355"/>
      <c r="I7593" s="355"/>
      <c r="J7593" s="355"/>
      <c r="K7593" s="355"/>
      <c r="L7593" s="355"/>
      <c r="M7593" s="355"/>
    </row>
    <row r="7594" spans="5:13">
      <c r="E7594" s="355"/>
      <c r="F7594" s="355"/>
      <c r="G7594" s="355"/>
      <c r="H7594" s="355"/>
      <c r="I7594" s="355"/>
      <c r="J7594" s="355"/>
      <c r="K7594" s="355"/>
      <c r="L7594" s="355"/>
      <c r="M7594" s="355"/>
    </row>
    <row r="7595" spans="5:13">
      <c r="E7595" s="355"/>
      <c r="F7595" s="355"/>
      <c r="G7595" s="355"/>
      <c r="H7595" s="355"/>
      <c r="I7595" s="355"/>
      <c r="J7595" s="355"/>
      <c r="K7595" s="355"/>
      <c r="L7595" s="355"/>
      <c r="M7595" s="355"/>
    </row>
    <row r="7596" spans="5:13">
      <c r="E7596" s="355"/>
      <c r="F7596" s="355"/>
      <c r="G7596" s="355"/>
      <c r="H7596" s="355"/>
      <c r="I7596" s="355"/>
      <c r="J7596" s="355"/>
      <c r="K7596" s="355"/>
      <c r="L7596" s="355"/>
      <c r="M7596" s="355"/>
    </row>
    <row r="7597" spans="5:13">
      <c r="E7597" s="355"/>
      <c r="F7597" s="355"/>
      <c r="G7597" s="355"/>
      <c r="H7597" s="355"/>
      <c r="I7597" s="355"/>
      <c r="J7597" s="355"/>
      <c r="K7597" s="355"/>
      <c r="L7597" s="355"/>
      <c r="M7597" s="355"/>
    </row>
    <row r="7598" spans="5:13">
      <c r="E7598" s="355"/>
      <c r="F7598" s="355"/>
      <c r="G7598" s="355"/>
      <c r="H7598" s="355"/>
      <c r="I7598" s="355"/>
      <c r="J7598" s="355"/>
      <c r="K7598" s="355"/>
      <c r="L7598" s="355"/>
      <c r="M7598" s="355"/>
    </row>
    <row r="7599" spans="5:13">
      <c r="E7599" s="355"/>
      <c r="F7599" s="355"/>
      <c r="G7599" s="355"/>
      <c r="H7599" s="355"/>
      <c r="I7599" s="355"/>
      <c r="J7599" s="355"/>
      <c r="K7599" s="355"/>
      <c r="L7599" s="355"/>
      <c r="M7599" s="355"/>
    </row>
    <row r="7600" spans="5:13">
      <c r="E7600" s="355"/>
      <c r="F7600" s="355"/>
      <c r="G7600" s="355"/>
      <c r="H7600" s="355"/>
      <c r="I7600" s="355"/>
      <c r="J7600" s="355"/>
      <c r="K7600" s="355"/>
      <c r="L7600" s="355"/>
      <c r="M7600" s="355"/>
    </row>
    <row r="7601" spans="5:13">
      <c r="E7601" s="355"/>
      <c r="F7601" s="355"/>
      <c r="G7601" s="355"/>
      <c r="H7601" s="355"/>
      <c r="I7601" s="355"/>
      <c r="J7601" s="355"/>
      <c r="K7601" s="355"/>
      <c r="L7601" s="355"/>
      <c r="M7601" s="355"/>
    </row>
    <row r="7602" spans="5:13">
      <c r="E7602" s="355"/>
      <c r="F7602" s="355"/>
      <c r="G7602" s="355"/>
      <c r="H7602" s="355"/>
      <c r="I7602" s="355"/>
      <c r="J7602" s="355"/>
      <c r="K7602" s="355"/>
      <c r="L7602" s="355"/>
      <c r="M7602" s="355"/>
    </row>
    <row r="7603" spans="5:13">
      <c r="E7603" s="355"/>
      <c r="F7603" s="355"/>
      <c r="G7603" s="355"/>
      <c r="H7603" s="355"/>
      <c r="I7603" s="355"/>
      <c r="J7603" s="355"/>
      <c r="K7603" s="355"/>
      <c r="L7603" s="355"/>
      <c r="M7603" s="355"/>
    </row>
    <row r="7604" spans="5:13">
      <c r="E7604" s="355"/>
      <c r="F7604" s="355"/>
      <c r="G7604" s="355"/>
      <c r="H7604" s="355"/>
      <c r="I7604" s="355"/>
      <c r="J7604" s="355"/>
      <c r="K7604" s="355"/>
      <c r="L7604" s="355"/>
      <c r="M7604" s="355"/>
    </row>
    <row r="7605" spans="5:13">
      <c r="E7605" s="355"/>
      <c r="F7605" s="355"/>
      <c r="G7605" s="355"/>
      <c r="H7605" s="355"/>
      <c r="I7605" s="355"/>
      <c r="J7605" s="355"/>
      <c r="K7605" s="355"/>
      <c r="L7605" s="355"/>
      <c r="M7605" s="355"/>
    </row>
    <row r="7606" spans="5:13">
      <c r="E7606" s="355"/>
      <c r="F7606" s="355"/>
      <c r="G7606" s="355"/>
      <c r="H7606" s="355"/>
      <c r="I7606" s="355"/>
      <c r="J7606" s="355"/>
      <c r="K7606" s="355"/>
      <c r="L7606" s="355"/>
      <c r="M7606" s="355"/>
    </row>
    <row r="7607" spans="5:13">
      <c r="E7607" s="355"/>
      <c r="F7607" s="355"/>
      <c r="G7607" s="355"/>
      <c r="H7607" s="355"/>
      <c r="I7607" s="355"/>
      <c r="J7607" s="355"/>
      <c r="K7607" s="355"/>
      <c r="L7607" s="355"/>
      <c r="M7607" s="355"/>
    </row>
    <row r="7608" spans="5:13">
      <c r="E7608" s="355"/>
      <c r="F7608" s="355"/>
      <c r="G7608" s="355"/>
      <c r="H7608" s="355"/>
      <c r="I7608" s="355"/>
      <c r="J7608" s="355"/>
      <c r="K7608" s="355"/>
      <c r="L7608" s="355"/>
      <c r="M7608" s="355"/>
    </row>
    <row r="7609" spans="5:13">
      <c r="E7609" s="355"/>
      <c r="F7609" s="355"/>
      <c r="G7609" s="355"/>
      <c r="H7609" s="355"/>
      <c r="I7609" s="355"/>
      <c r="J7609" s="355"/>
      <c r="K7609" s="355"/>
      <c r="L7609" s="355"/>
      <c r="M7609" s="355"/>
    </row>
    <row r="7610" spans="5:13">
      <c r="E7610" s="355"/>
      <c r="F7610" s="355"/>
      <c r="G7610" s="355"/>
      <c r="H7610" s="355"/>
      <c r="I7610" s="355"/>
      <c r="J7610" s="355"/>
      <c r="K7610" s="355"/>
      <c r="L7610" s="355"/>
      <c r="M7610" s="355"/>
    </row>
    <row r="7611" spans="5:13">
      <c r="E7611" s="355"/>
      <c r="F7611" s="355"/>
      <c r="G7611" s="355"/>
      <c r="H7611" s="355"/>
      <c r="I7611" s="355"/>
      <c r="J7611" s="355"/>
      <c r="K7611" s="355"/>
      <c r="L7611" s="355"/>
      <c r="M7611" s="355"/>
    </row>
    <row r="7612" spans="5:13">
      <c r="E7612" s="355"/>
      <c r="F7612" s="355"/>
      <c r="G7612" s="355"/>
      <c r="H7612" s="355"/>
      <c r="I7612" s="355"/>
      <c r="J7612" s="355"/>
      <c r="K7612" s="355"/>
      <c r="L7612" s="355"/>
      <c r="M7612" s="355"/>
    </row>
    <row r="7613" spans="5:13">
      <c r="E7613" s="355"/>
      <c r="F7613" s="355"/>
      <c r="G7613" s="355"/>
      <c r="H7613" s="355"/>
      <c r="I7613" s="355"/>
      <c r="J7613" s="355"/>
      <c r="K7613" s="355"/>
      <c r="L7613" s="355"/>
      <c r="M7613" s="355"/>
    </row>
    <row r="7614" spans="5:13">
      <c r="E7614" s="355"/>
      <c r="F7614" s="355"/>
      <c r="G7614" s="355"/>
      <c r="H7614" s="355"/>
      <c r="I7614" s="355"/>
      <c r="J7614" s="355"/>
      <c r="K7614" s="355"/>
      <c r="L7614" s="355"/>
      <c r="M7614" s="355"/>
    </row>
    <row r="7615" spans="5:13">
      <c r="E7615" s="355"/>
      <c r="F7615" s="355"/>
      <c r="G7615" s="355"/>
      <c r="H7615" s="355"/>
      <c r="I7615" s="355"/>
      <c r="J7615" s="355"/>
      <c r="K7615" s="355"/>
      <c r="L7615" s="355"/>
      <c r="M7615" s="355"/>
    </row>
    <row r="7616" spans="5:13">
      <c r="E7616" s="355"/>
      <c r="F7616" s="355"/>
      <c r="G7616" s="355"/>
      <c r="H7616" s="355"/>
      <c r="I7616" s="355"/>
      <c r="J7616" s="355"/>
      <c r="K7616" s="355"/>
      <c r="L7616" s="355"/>
      <c r="M7616" s="355"/>
    </row>
    <row r="7617" spans="5:13">
      <c r="E7617" s="355"/>
      <c r="F7617" s="355"/>
      <c r="G7617" s="355"/>
      <c r="H7617" s="355"/>
      <c r="I7617" s="355"/>
      <c r="J7617" s="355"/>
      <c r="K7617" s="355"/>
      <c r="L7617" s="355"/>
      <c r="M7617" s="355"/>
    </row>
    <row r="7618" spans="5:13">
      <c r="E7618" s="355"/>
      <c r="F7618" s="355"/>
      <c r="G7618" s="355"/>
      <c r="H7618" s="355"/>
      <c r="I7618" s="355"/>
      <c r="J7618" s="355"/>
      <c r="K7618" s="355"/>
      <c r="L7618" s="355"/>
      <c r="M7618" s="355"/>
    </row>
    <row r="7619" spans="5:13">
      <c r="E7619" s="355"/>
      <c r="F7619" s="355"/>
      <c r="G7619" s="355"/>
      <c r="H7619" s="355"/>
      <c r="I7619" s="355"/>
      <c r="J7619" s="355"/>
      <c r="K7619" s="355"/>
      <c r="L7619" s="355"/>
      <c r="M7619" s="355"/>
    </row>
    <row r="7620" spans="5:13">
      <c r="E7620" s="355"/>
      <c r="F7620" s="355"/>
      <c r="G7620" s="355"/>
      <c r="H7620" s="355"/>
      <c r="I7620" s="355"/>
      <c r="J7620" s="355"/>
      <c r="K7620" s="355"/>
      <c r="L7620" s="355"/>
      <c r="M7620" s="355"/>
    </row>
    <row r="7621" spans="5:13">
      <c r="E7621" s="355"/>
      <c r="F7621" s="355"/>
      <c r="G7621" s="355"/>
      <c r="H7621" s="355"/>
      <c r="I7621" s="355"/>
      <c r="J7621" s="355"/>
      <c r="K7621" s="355"/>
      <c r="L7621" s="355"/>
      <c r="M7621" s="355"/>
    </row>
    <row r="7622" spans="5:13">
      <c r="E7622" s="355"/>
      <c r="F7622" s="355"/>
      <c r="G7622" s="355"/>
      <c r="H7622" s="355"/>
      <c r="I7622" s="355"/>
      <c r="J7622" s="355"/>
      <c r="K7622" s="355"/>
      <c r="L7622" s="355"/>
      <c r="M7622" s="355"/>
    </row>
    <row r="7623" spans="5:13">
      <c r="E7623" s="355"/>
      <c r="F7623" s="355"/>
      <c r="G7623" s="355"/>
      <c r="H7623" s="355"/>
      <c r="I7623" s="355"/>
      <c r="J7623" s="355"/>
      <c r="K7623" s="355"/>
      <c r="L7623" s="355"/>
      <c r="M7623" s="355"/>
    </row>
    <row r="7624" spans="5:13">
      <c r="E7624" s="355"/>
      <c r="F7624" s="355"/>
      <c r="G7624" s="355"/>
      <c r="H7624" s="355"/>
      <c r="I7624" s="355"/>
      <c r="J7624" s="355"/>
      <c r="K7624" s="355"/>
      <c r="L7624" s="355"/>
      <c r="M7624" s="355"/>
    </row>
    <row r="7625" spans="5:13">
      <c r="E7625" s="355"/>
      <c r="F7625" s="355"/>
      <c r="G7625" s="355"/>
      <c r="H7625" s="355"/>
      <c r="I7625" s="355"/>
      <c r="J7625" s="355"/>
      <c r="K7625" s="355"/>
      <c r="L7625" s="355"/>
      <c r="M7625" s="355"/>
    </row>
    <row r="7626" spans="5:13">
      <c r="E7626" s="355"/>
      <c r="F7626" s="355"/>
      <c r="G7626" s="355"/>
      <c r="H7626" s="355"/>
      <c r="I7626" s="355"/>
      <c r="J7626" s="355"/>
      <c r="K7626" s="355"/>
      <c r="L7626" s="355"/>
      <c r="M7626" s="355"/>
    </row>
    <row r="7627" spans="5:13">
      <c r="E7627" s="355"/>
      <c r="F7627" s="355"/>
      <c r="G7627" s="355"/>
      <c r="H7627" s="355"/>
      <c r="I7627" s="355"/>
      <c r="J7627" s="355"/>
      <c r="K7627" s="355"/>
      <c r="L7627" s="355"/>
      <c r="M7627" s="355"/>
    </row>
    <row r="7628" spans="5:13">
      <c r="E7628" s="355"/>
      <c r="F7628" s="355"/>
      <c r="G7628" s="355"/>
      <c r="H7628" s="355"/>
      <c r="I7628" s="355"/>
      <c r="J7628" s="355"/>
      <c r="K7628" s="355"/>
      <c r="L7628" s="355"/>
      <c r="M7628" s="355"/>
    </row>
    <row r="7629" spans="5:13">
      <c r="E7629" s="355"/>
      <c r="F7629" s="355"/>
      <c r="G7629" s="355"/>
      <c r="H7629" s="355"/>
      <c r="I7629" s="355"/>
      <c r="J7629" s="355"/>
      <c r="K7629" s="355"/>
      <c r="L7629" s="355"/>
      <c r="M7629" s="355"/>
    </row>
    <row r="7630" spans="5:13">
      <c r="E7630" s="355"/>
      <c r="F7630" s="355"/>
      <c r="G7630" s="355"/>
      <c r="H7630" s="355"/>
      <c r="I7630" s="355"/>
      <c r="J7630" s="355"/>
      <c r="K7630" s="355"/>
      <c r="L7630" s="355"/>
      <c r="M7630" s="355"/>
    </row>
    <row r="7631" spans="5:13">
      <c r="E7631" s="355"/>
      <c r="F7631" s="355"/>
      <c r="G7631" s="355"/>
      <c r="H7631" s="355"/>
      <c r="I7631" s="355"/>
      <c r="J7631" s="355"/>
      <c r="K7631" s="355"/>
      <c r="L7631" s="355"/>
      <c r="M7631" s="355"/>
    </row>
    <row r="7632" spans="5:13">
      <c r="E7632" s="355"/>
      <c r="F7632" s="355"/>
      <c r="G7632" s="355"/>
      <c r="H7632" s="355"/>
      <c r="I7632" s="355"/>
      <c r="J7632" s="355"/>
      <c r="K7632" s="355"/>
      <c r="L7632" s="355"/>
      <c r="M7632" s="355"/>
    </row>
    <row r="7633" spans="5:13">
      <c r="E7633" s="355"/>
      <c r="F7633" s="355"/>
      <c r="G7633" s="355"/>
      <c r="H7633" s="355"/>
      <c r="I7633" s="355"/>
      <c r="J7633" s="355"/>
      <c r="K7633" s="355"/>
      <c r="L7633" s="355"/>
      <c r="M7633" s="355"/>
    </row>
    <row r="7634" spans="5:13">
      <c r="E7634" s="355"/>
      <c r="F7634" s="355"/>
      <c r="G7634" s="355"/>
      <c r="H7634" s="355"/>
      <c r="I7634" s="355"/>
      <c r="J7634" s="355"/>
      <c r="K7634" s="355"/>
      <c r="L7634" s="355"/>
      <c r="M7634" s="355"/>
    </row>
    <row r="7635" spans="5:13">
      <c r="E7635" s="355"/>
      <c r="F7635" s="355"/>
      <c r="G7635" s="355"/>
      <c r="H7635" s="355"/>
      <c r="I7635" s="355"/>
      <c r="J7635" s="355"/>
      <c r="K7635" s="355"/>
      <c r="L7635" s="355"/>
      <c r="M7635" s="355"/>
    </row>
    <row r="7636" spans="5:13">
      <c r="E7636" s="355"/>
      <c r="F7636" s="355"/>
      <c r="G7636" s="355"/>
      <c r="H7636" s="355"/>
      <c r="I7636" s="355"/>
      <c r="J7636" s="355"/>
      <c r="K7636" s="355"/>
      <c r="L7636" s="355"/>
      <c r="M7636" s="355"/>
    </row>
    <row r="7637" spans="5:13">
      <c r="E7637" s="355"/>
      <c r="F7637" s="355"/>
      <c r="G7637" s="355"/>
      <c r="H7637" s="355"/>
      <c r="I7637" s="355"/>
      <c r="J7637" s="355"/>
      <c r="K7637" s="355"/>
      <c r="L7637" s="355"/>
      <c r="M7637" s="355"/>
    </row>
    <row r="7638" spans="5:13">
      <c r="E7638" s="355"/>
      <c r="F7638" s="355"/>
      <c r="G7638" s="355"/>
      <c r="H7638" s="355"/>
      <c r="I7638" s="355"/>
      <c r="J7638" s="355"/>
      <c r="K7638" s="355"/>
      <c r="L7638" s="355"/>
      <c r="M7638" s="355"/>
    </row>
    <row r="7639" spans="5:13">
      <c r="E7639" s="355"/>
      <c r="F7639" s="355"/>
      <c r="G7639" s="355"/>
      <c r="H7639" s="355"/>
      <c r="I7639" s="355"/>
      <c r="J7639" s="355"/>
      <c r="K7639" s="355"/>
      <c r="L7639" s="355"/>
      <c r="M7639" s="355"/>
    </row>
    <row r="7640" spans="5:13">
      <c r="E7640" s="355"/>
      <c r="F7640" s="355"/>
      <c r="G7640" s="355"/>
      <c r="H7640" s="355"/>
      <c r="I7640" s="355"/>
      <c r="J7640" s="355"/>
      <c r="K7640" s="355"/>
      <c r="L7640" s="355"/>
      <c r="M7640" s="355"/>
    </row>
    <row r="7641" spans="5:13">
      <c r="E7641" s="355"/>
      <c r="F7641" s="355"/>
      <c r="G7641" s="355"/>
      <c r="H7641" s="355"/>
      <c r="I7641" s="355"/>
      <c r="J7641" s="355"/>
      <c r="K7641" s="355"/>
      <c r="L7641" s="355"/>
      <c r="M7641" s="355"/>
    </row>
    <row r="7642" spans="5:13">
      <c r="E7642" s="355"/>
      <c r="F7642" s="355"/>
      <c r="G7642" s="355"/>
      <c r="H7642" s="355"/>
      <c r="I7642" s="355"/>
      <c r="J7642" s="355"/>
      <c r="K7642" s="355"/>
      <c r="L7642" s="355"/>
      <c r="M7642" s="355"/>
    </row>
    <row r="7643" spans="5:13">
      <c r="E7643" s="355"/>
      <c r="F7643" s="355"/>
      <c r="G7643" s="355"/>
      <c r="H7643" s="355"/>
      <c r="I7643" s="355"/>
      <c r="J7643" s="355"/>
      <c r="K7643" s="355"/>
      <c r="L7643" s="355"/>
      <c r="M7643" s="355"/>
    </row>
    <row r="7644" spans="5:13">
      <c r="E7644" s="355"/>
      <c r="F7644" s="355"/>
      <c r="G7644" s="355"/>
      <c r="H7644" s="355"/>
      <c r="I7644" s="355"/>
      <c r="J7644" s="355"/>
      <c r="K7644" s="355"/>
      <c r="L7644" s="355"/>
      <c r="M7644" s="355"/>
    </row>
    <row r="7645" spans="5:13">
      <c r="E7645" s="355"/>
      <c r="F7645" s="355"/>
      <c r="G7645" s="355"/>
      <c r="H7645" s="355"/>
      <c r="I7645" s="355"/>
      <c r="J7645" s="355"/>
      <c r="K7645" s="355"/>
      <c r="L7645" s="355"/>
      <c r="M7645" s="355"/>
    </row>
    <row r="7646" spans="5:13">
      <c r="E7646" s="355"/>
      <c r="F7646" s="355"/>
      <c r="G7646" s="355"/>
      <c r="H7646" s="355"/>
      <c r="I7646" s="355"/>
      <c r="J7646" s="355"/>
      <c r="K7646" s="355"/>
      <c r="L7646" s="355"/>
      <c r="M7646" s="355"/>
    </row>
    <row r="7647" spans="5:13">
      <c r="E7647" s="355"/>
      <c r="F7647" s="355"/>
      <c r="G7647" s="355"/>
      <c r="H7647" s="355"/>
      <c r="I7647" s="355"/>
      <c r="J7647" s="355"/>
      <c r="K7647" s="355"/>
      <c r="L7647" s="355"/>
      <c r="M7647" s="355"/>
    </row>
    <row r="7648" spans="5:13">
      <c r="E7648" s="355"/>
      <c r="F7648" s="355"/>
      <c r="G7648" s="355"/>
      <c r="H7648" s="355"/>
      <c r="I7648" s="355"/>
      <c r="J7648" s="355"/>
      <c r="K7648" s="355"/>
      <c r="L7648" s="355"/>
      <c r="M7648" s="355"/>
    </row>
    <row r="7649" spans="5:13">
      <c r="E7649" s="355"/>
      <c r="F7649" s="355"/>
      <c r="G7649" s="355"/>
      <c r="H7649" s="355"/>
      <c r="I7649" s="355"/>
      <c r="J7649" s="355"/>
      <c r="K7649" s="355"/>
      <c r="L7649" s="355"/>
      <c r="M7649" s="355"/>
    </row>
    <row r="7650" spans="5:13">
      <c r="E7650" s="355"/>
      <c r="F7650" s="355"/>
      <c r="G7650" s="355"/>
      <c r="H7650" s="355"/>
      <c r="I7650" s="355"/>
      <c r="J7650" s="355"/>
      <c r="K7650" s="355"/>
      <c r="L7650" s="355"/>
      <c r="M7650" s="355"/>
    </row>
    <row r="7651" spans="5:13">
      <c r="E7651" s="355"/>
      <c r="F7651" s="355"/>
      <c r="G7651" s="355"/>
      <c r="H7651" s="355"/>
      <c r="I7651" s="355"/>
      <c r="J7651" s="355"/>
      <c r="K7651" s="355"/>
      <c r="L7651" s="355"/>
      <c r="M7651" s="355"/>
    </row>
    <row r="7652" spans="5:13">
      <c r="E7652" s="355"/>
      <c r="F7652" s="355"/>
      <c r="G7652" s="355"/>
      <c r="H7652" s="355"/>
      <c r="I7652" s="355"/>
      <c r="J7652" s="355"/>
      <c r="K7652" s="355"/>
      <c r="L7652" s="355"/>
      <c r="M7652" s="355"/>
    </row>
    <row r="7653" spans="5:13">
      <c r="E7653" s="355"/>
      <c r="F7653" s="355"/>
      <c r="G7653" s="355"/>
      <c r="H7653" s="355"/>
      <c r="I7653" s="355"/>
      <c r="J7653" s="355"/>
      <c r="K7653" s="355"/>
      <c r="L7653" s="355"/>
      <c r="M7653" s="355"/>
    </row>
    <row r="7654" spans="5:13">
      <c r="E7654" s="355"/>
      <c r="F7654" s="355"/>
      <c r="G7654" s="355"/>
      <c r="H7654" s="355"/>
      <c r="I7654" s="355"/>
      <c r="J7654" s="355"/>
      <c r="K7654" s="355"/>
      <c r="L7654" s="355"/>
      <c r="M7654" s="355"/>
    </row>
    <row r="7655" spans="5:13">
      <c r="E7655" s="355"/>
      <c r="F7655" s="355"/>
      <c r="G7655" s="355"/>
      <c r="H7655" s="355"/>
      <c r="I7655" s="355"/>
      <c r="J7655" s="355"/>
      <c r="K7655" s="355"/>
      <c r="L7655" s="355"/>
      <c r="M7655" s="355"/>
    </row>
    <row r="7656" spans="5:13">
      <c r="E7656" s="355"/>
      <c r="F7656" s="355"/>
      <c r="G7656" s="355"/>
      <c r="H7656" s="355"/>
      <c r="I7656" s="355"/>
      <c r="J7656" s="355"/>
      <c r="K7656" s="355"/>
      <c r="L7656" s="355"/>
      <c r="M7656" s="355"/>
    </row>
    <row r="7657" spans="5:13">
      <c r="E7657" s="355"/>
      <c r="F7657" s="355"/>
      <c r="G7657" s="355"/>
      <c r="H7657" s="355"/>
      <c r="I7657" s="355"/>
      <c r="J7657" s="355"/>
      <c r="K7657" s="355"/>
      <c r="L7657" s="355"/>
      <c r="M7657" s="355"/>
    </row>
    <row r="7658" spans="5:13">
      <c r="E7658" s="355"/>
      <c r="F7658" s="355"/>
      <c r="G7658" s="355"/>
      <c r="H7658" s="355"/>
      <c r="I7658" s="355"/>
      <c r="J7658" s="355"/>
      <c r="K7658" s="355"/>
      <c r="L7658" s="355"/>
      <c r="M7658" s="355"/>
    </row>
    <row r="7659" spans="5:13">
      <c r="E7659" s="355"/>
      <c r="F7659" s="355"/>
      <c r="G7659" s="355"/>
      <c r="H7659" s="355"/>
      <c r="I7659" s="355"/>
      <c r="J7659" s="355"/>
      <c r="K7659" s="355"/>
      <c r="L7659" s="355"/>
      <c r="M7659" s="355"/>
    </row>
    <row r="7660" spans="5:13">
      <c r="E7660" s="355"/>
      <c r="F7660" s="355"/>
      <c r="G7660" s="355"/>
      <c r="H7660" s="355"/>
      <c r="I7660" s="355"/>
      <c r="J7660" s="355"/>
      <c r="K7660" s="355"/>
      <c r="L7660" s="355"/>
      <c r="M7660" s="355"/>
    </row>
    <row r="7661" spans="5:13">
      <c r="E7661" s="355"/>
      <c r="F7661" s="355"/>
      <c r="G7661" s="355"/>
      <c r="H7661" s="355"/>
      <c r="I7661" s="355"/>
      <c r="J7661" s="355"/>
      <c r="K7661" s="355"/>
      <c r="L7661" s="355"/>
      <c r="M7661" s="355"/>
    </row>
    <row r="7662" spans="5:13">
      <c r="E7662" s="355"/>
      <c r="F7662" s="355"/>
      <c r="G7662" s="355"/>
      <c r="H7662" s="355"/>
      <c r="I7662" s="355"/>
      <c r="J7662" s="355"/>
      <c r="K7662" s="355"/>
      <c r="L7662" s="355"/>
      <c r="M7662" s="355"/>
    </row>
    <row r="7663" spans="5:13">
      <c r="E7663" s="355"/>
      <c r="F7663" s="355"/>
      <c r="G7663" s="355"/>
      <c r="H7663" s="355"/>
      <c r="I7663" s="355"/>
      <c r="J7663" s="355"/>
      <c r="K7663" s="355"/>
      <c r="L7663" s="355"/>
      <c r="M7663" s="355"/>
    </row>
    <row r="7664" spans="5:13">
      <c r="E7664" s="355"/>
      <c r="F7664" s="355"/>
      <c r="G7664" s="355"/>
      <c r="H7664" s="355"/>
      <c r="I7664" s="355"/>
      <c r="J7664" s="355"/>
      <c r="K7664" s="355"/>
      <c r="L7664" s="355"/>
      <c r="M7664" s="355"/>
    </row>
    <row r="7665" spans="5:13">
      <c r="E7665" s="355"/>
      <c r="F7665" s="355"/>
      <c r="G7665" s="355"/>
      <c r="H7665" s="355"/>
      <c r="I7665" s="355"/>
      <c r="J7665" s="355"/>
      <c r="K7665" s="355"/>
      <c r="L7665" s="355"/>
      <c r="M7665" s="355"/>
    </row>
    <row r="7666" spans="5:13">
      <c r="E7666" s="355"/>
      <c r="F7666" s="355"/>
      <c r="G7666" s="355"/>
      <c r="H7666" s="355"/>
      <c r="I7666" s="355"/>
      <c r="J7666" s="355"/>
      <c r="K7666" s="355"/>
      <c r="L7666" s="355"/>
      <c r="M7666" s="355"/>
    </row>
    <row r="7667" spans="5:13">
      <c r="E7667" s="355"/>
      <c r="F7667" s="355"/>
      <c r="G7667" s="355"/>
      <c r="H7667" s="355"/>
      <c r="I7667" s="355"/>
      <c r="J7667" s="355"/>
      <c r="K7667" s="355"/>
      <c r="L7667" s="355"/>
      <c r="M7667" s="355"/>
    </row>
    <row r="7668" spans="5:13">
      <c r="E7668" s="355"/>
      <c r="F7668" s="355"/>
      <c r="G7668" s="355"/>
      <c r="H7668" s="355"/>
      <c r="I7668" s="355"/>
      <c r="J7668" s="355"/>
      <c r="K7668" s="355"/>
      <c r="L7668" s="355"/>
      <c r="M7668" s="355"/>
    </row>
    <row r="7669" spans="5:13">
      <c r="E7669" s="355"/>
      <c r="F7669" s="355"/>
      <c r="G7669" s="355"/>
      <c r="H7669" s="355"/>
      <c r="I7669" s="355"/>
      <c r="J7669" s="355"/>
      <c r="K7669" s="355"/>
      <c r="L7669" s="355"/>
      <c r="M7669" s="355"/>
    </row>
    <row r="7670" spans="5:13">
      <c r="E7670" s="355"/>
      <c r="F7670" s="355"/>
      <c r="G7670" s="355"/>
      <c r="H7670" s="355"/>
      <c r="I7670" s="355"/>
      <c r="J7670" s="355"/>
      <c r="K7670" s="355"/>
      <c r="L7670" s="355"/>
      <c r="M7670" s="355"/>
    </row>
    <row r="7671" spans="5:13">
      <c r="E7671" s="355"/>
      <c r="F7671" s="355"/>
      <c r="G7671" s="355"/>
      <c r="H7671" s="355"/>
      <c r="I7671" s="355"/>
      <c r="J7671" s="355"/>
      <c r="K7671" s="355"/>
      <c r="L7671" s="355"/>
      <c r="M7671" s="355"/>
    </row>
    <row r="7672" spans="5:13">
      <c r="E7672" s="355"/>
      <c r="F7672" s="355"/>
      <c r="G7672" s="355"/>
      <c r="H7672" s="355"/>
      <c r="I7672" s="355"/>
      <c r="J7672" s="355"/>
      <c r="K7672" s="355"/>
      <c r="L7672" s="355"/>
      <c r="M7672" s="355"/>
    </row>
    <row r="7673" spans="5:13">
      <c r="E7673" s="355"/>
      <c r="F7673" s="355"/>
      <c r="G7673" s="355"/>
      <c r="H7673" s="355"/>
      <c r="I7673" s="355"/>
      <c r="J7673" s="355"/>
      <c r="K7673" s="355"/>
      <c r="L7673" s="355"/>
      <c r="M7673" s="355"/>
    </row>
    <row r="7674" spans="5:13">
      <c r="E7674" s="355"/>
      <c r="F7674" s="355"/>
      <c r="G7674" s="355"/>
      <c r="H7674" s="355"/>
      <c r="I7674" s="355"/>
      <c r="J7674" s="355"/>
      <c r="K7674" s="355"/>
      <c r="L7674" s="355"/>
      <c r="M7674" s="355"/>
    </row>
    <row r="7675" spans="5:13">
      <c r="E7675" s="355"/>
      <c r="F7675" s="355"/>
      <c r="G7675" s="355"/>
      <c r="H7675" s="355"/>
      <c r="I7675" s="355"/>
      <c r="J7675" s="355"/>
      <c r="K7675" s="355"/>
      <c r="L7675" s="355"/>
      <c r="M7675" s="355"/>
    </row>
    <row r="7676" spans="5:13">
      <c r="E7676" s="355"/>
      <c r="F7676" s="355"/>
      <c r="G7676" s="355"/>
      <c r="H7676" s="355"/>
      <c r="I7676" s="355"/>
      <c r="J7676" s="355"/>
      <c r="K7676" s="355"/>
      <c r="L7676" s="355"/>
      <c r="M7676" s="355"/>
    </row>
    <row r="7677" spans="5:13">
      <c r="E7677" s="355"/>
      <c r="F7677" s="355"/>
      <c r="G7677" s="355"/>
      <c r="H7677" s="355"/>
      <c r="I7677" s="355"/>
      <c r="J7677" s="355"/>
      <c r="K7677" s="355"/>
      <c r="L7677" s="355"/>
      <c r="M7677" s="355"/>
    </row>
    <row r="7678" spans="5:13">
      <c r="E7678" s="355"/>
      <c r="F7678" s="355"/>
      <c r="G7678" s="355"/>
      <c r="H7678" s="355"/>
      <c r="I7678" s="355"/>
      <c r="J7678" s="355"/>
      <c r="K7678" s="355"/>
      <c r="L7678" s="355"/>
      <c r="M7678" s="355"/>
    </row>
    <row r="7679" spans="5:13">
      <c r="E7679" s="355"/>
      <c r="F7679" s="355"/>
      <c r="G7679" s="355"/>
      <c r="H7679" s="355"/>
      <c r="I7679" s="355"/>
      <c r="J7679" s="355"/>
      <c r="K7679" s="355"/>
      <c r="L7679" s="355"/>
      <c r="M7679" s="355"/>
    </row>
    <row r="7680" spans="5:13">
      <c r="E7680" s="355"/>
      <c r="F7680" s="355"/>
      <c r="G7680" s="355"/>
      <c r="H7680" s="355"/>
      <c r="I7680" s="355"/>
      <c r="J7680" s="355"/>
      <c r="K7680" s="355"/>
      <c r="L7680" s="355"/>
      <c r="M7680" s="355"/>
    </row>
    <row r="7681" spans="5:13">
      <c r="E7681" s="355"/>
      <c r="F7681" s="355"/>
      <c r="G7681" s="355"/>
      <c r="H7681" s="355"/>
      <c r="I7681" s="355"/>
      <c r="J7681" s="355"/>
      <c r="K7681" s="355"/>
      <c r="L7681" s="355"/>
      <c r="M7681" s="355"/>
    </row>
    <row r="7682" spans="5:13">
      <c r="E7682" s="355"/>
      <c r="F7682" s="355"/>
      <c r="G7682" s="355"/>
      <c r="H7682" s="355"/>
      <c r="I7682" s="355"/>
      <c r="J7682" s="355"/>
      <c r="K7682" s="355"/>
      <c r="L7682" s="355"/>
      <c r="M7682" s="355"/>
    </row>
    <row r="7683" spans="5:13">
      <c r="E7683" s="355"/>
      <c r="F7683" s="355"/>
      <c r="G7683" s="355"/>
      <c r="H7683" s="355"/>
      <c r="I7683" s="355"/>
      <c r="J7683" s="355"/>
      <c r="K7683" s="355"/>
      <c r="L7683" s="355"/>
      <c r="M7683" s="355"/>
    </row>
    <row r="7684" spans="5:13">
      <c r="E7684" s="355"/>
      <c r="F7684" s="355"/>
      <c r="G7684" s="355"/>
      <c r="H7684" s="355"/>
      <c r="I7684" s="355"/>
      <c r="J7684" s="355"/>
      <c r="K7684" s="355"/>
      <c r="L7684" s="355"/>
      <c r="M7684" s="355"/>
    </row>
    <row r="7685" spans="5:13">
      <c r="E7685" s="355"/>
      <c r="F7685" s="355"/>
      <c r="G7685" s="355"/>
      <c r="H7685" s="355"/>
      <c r="I7685" s="355"/>
      <c r="J7685" s="355"/>
      <c r="K7685" s="355"/>
      <c r="L7685" s="355"/>
      <c r="M7685" s="355"/>
    </row>
    <row r="7686" spans="5:13">
      <c r="E7686" s="355"/>
      <c r="F7686" s="355"/>
      <c r="G7686" s="355"/>
      <c r="H7686" s="355"/>
      <c r="I7686" s="355"/>
      <c r="J7686" s="355"/>
      <c r="K7686" s="355"/>
      <c r="L7686" s="355"/>
      <c r="M7686" s="355"/>
    </row>
    <row r="7687" spans="5:13">
      <c r="E7687" s="355"/>
      <c r="F7687" s="355"/>
      <c r="G7687" s="355"/>
      <c r="H7687" s="355"/>
      <c r="I7687" s="355"/>
      <c r="J7687" s="355"/>
      <c r="K7687" s="355"/>
      <c r="L7687" s="355"/>
      <c r="M7687" s="355"/>
    </row>
    <row r="7688" spans="5:13">
      <c r="E7688" s="355"/>
      <c r="F7688" s="355"/>
      <c r="G7688" s="355"/>
      <c r="H7688" s="355"/>
      <c r="I7688" s="355"/>
      <c r="J7688" s="355"/>
      <c r="K7688" s="355"/>
      <c r="L7688" s="355"/>
      <c r="M7688" s="355"/>
    </row>
    <row r="7689" spans="5:13">
      <c r="E7689" s="355"/>
      <c r="F7689" s="355"/>
      <c r="G7689" s="355"/>
      <c r="H7689" s="355"/>
      <c r="I7689" s="355"/>
      <c r="J7689" s="355"/>
      <c r="K7689" s="355"/>
      <c r="L7689" s="355"/>
      <c r="M7689" s="355"/>
    </row>
    <row r="7690" spans="5:13">
      <c r="E7690" s="355"/>
      <c r="F7690" s="355"/>
      <c r="G7690" s="355"/>
      <c r="H7690" s="355"/>
      <c r="I7690" s="355"/>
      <c r="J7690" s="355"/>
      <c r="K7690" s="355"/>
      <c r="L7690" s="355"/>
      <c r="M7690" s="355"/>
    </row>
    <row r="7691" spans="5:13">
      <c r="E7691" s="355"/>
      <c r="F7691" s="355"/>
      <c r="G7691" s="355"/>
      <c r="H7691" s="355"/>
      <c r="I7691" s="355"/>
      <c r="J7691" s="355"/>
      <c r="K7691" s="355"/>
      <c r="L7691" s="355"/>
      <c r="M7691" s="355"/>
    </row>
    <row r="7692" spans="5:13">
      <c r="E7692" s="355"/>
      <c r="F7692" s="355"/>
      <c r="G7692" s="355"/>
      <c r="H7692" s="355"/>
      <c r="I7692" s="355"/>
      <c r="J7692" s="355"/>
      <c r="K7692" s="355"/>
      <c r="L7692" s="355"/>
      <c r="M7692" s="355"/>
    </row>
    <row r="7693" spans="5:13">
      <c r="E7693" s="355"/>
      <c r="F7693" s="355"/>
      <c r="G7693" s="355"/>
      <c r="H7693" s="355"/>
      <c r="I7693" s="355"/>
      <c r="J7693" s="355"/>
      <c r="K7693" s="355"/>
      <c r="L7693" s="355"/>
      <c r="M7693" s="355"/>
    </row>
    <row r="7694" spans="5:13">
      <c r="E7694" s="355"/>
      <c r="F7694" s="355"/>
      <c r="G7694" s="355"/>
      <c r="H7694" s="355"/>
      <c r="I7694" s="355"/>
      <c r="J7694" s="355"/>
      <c r="K7694" s="355"/>
      <c r="L7694" s="355"/>
      <c r="M7694" s="355"/>
    </row>
    <row r="7695" spans="5:13">
      <c r="E7695" s="355"/>
      <c r="F7695" s="355"/>
      <c r="G7695" s="355"/>
      <c r="H7695" s="355"/>
      <c r="I7695" s="355"/>
      <c r="J7695" s="355"/>
      <c r="K7695" s="355"/>
      <c r="L7695" s="355"/>
      <c r="M7695" s="355"/>
    </row>
    <row r="7696" spans="5:13">
      <c r="E7696" s="355"/>
      <c r="F7696" s="355"/>
      <c r="G7696" s="355"/>
      <c r="H7696" s="355"/>
      <c r="I7696" s="355"/>
      <c r="J7696" s="355"/>
      <c r="K7696" s="355"/>
      <c r="L7696" s="355"/>
      <c r="M7696" s="355"/>
    </row>
    <row r="7697" spans="5:13">
      <c r="E7697" s="355"/>
      <c r="F7697" s="355"/>
      <c r="G7697" s="355"/>
      <c r="H7697" s="355"/>
      <c r="I7697" s="355"/>
      <c r="J7697" s="355"/>
      <c r="K7697" s="355"/>
      <c r="L7697" s="355"/>
      <c r="M7697" s="355"/>
    </row>
    <row r="7698" spans="5:13">
      <c r="E7698" s="355"/>
      <c r="F7698" s="355"/>
      <c r="G7698" s="355"/>
      <c r="H7698" s="355"/>
      <c r="I7698" s="355"/>
      <c r="J7698" s="355"/>
      <c r="K7698" s="355"/>
      <c r="L7698" s="355"/>
      <c r="M7698" s="355"/>
    </row>
    <row r="7699" spans="5:13">
      <c r="E7699" s="355"/>
      <c r="F7699" s="355"/>
      <c r="G7699" s="355"/>
      <c r="H7699" s="355"/>
      <c r="I7699" s="355"/>
      <c r="J7699" s="355"/>
      <c r="K7699" s="355"/>
      <c r="L7699" s="355"/>
      <c r="M7699" s="355"/>
    </row>
    <row r="7700" spans="5:13">
      <c r="E7700" s="355"/>
      <c r="F7700" s="355"/>
      <c r="G7700" s="355"/>
      <c r="H7700" s="355"/>
      <c r="I7700" s="355"/>
      <c r="J7700" s="355"/>
      <c r="K7700" s="355"/>
      <c r="L7700" s="355"/>
      <c r="M7700" s="355"/>
    </row>
    <row r="7701" spans="5:13">
      <c r="E7701" s="355"/>
      <c r="F7701" s="355"/>
      <c r="G7701" s="355"/>
      <c r="H7701" s="355"/>
      <c r="I7701" s="355"/>
      <c r="J7701" s="355"/>
      <c r="K7701" s="355"/>
      <c r="L7701" s="355"/>
      <c r="M7701" s="355"/>
    </row>
    <row r="7702" spans="5:13">
      <c r="E7702" s="355"/>
      <c r="F7702" s="355"/>
      <c r="G7702" s="355"/>
      <c r="H7702" s="355"/>
      <c r="I7702" s="355"/>
      <c r="J7702" s="355"/>
      <c r="K7702" s="355"/>
      <c r="L7702" s="355"/>
      <c r="M7702" s="355"/>
    </row>
    <row r="7703" spans="5:13">
      <c r="E7703" s="355"/>
      <c r="F7703" s="355"/>
      <c r="G7703" s="355"/>
      <c r="H7703" s="355"/>
      <c r="I7703" s="355"/>
      <c r="J7703" s="355"/>
      <c r="K7703" s="355"/>
      <c r="L7703" s="355"/>
      <c r="M7703" s="355"/>
    </row>
    <row r="7704" spans="5:13">
      <c r="E7704" s="355"/>
      <c r="F7704" s="355"/>
      <c r="G7704" s="355"/>
      <c r="H7704" s="355"/>
      <c r="I7704" s="355"/>
      <c r="J7704" s="355"/>
      <c r="K7704" s="355"/>
      <c r="L7704" s="355"/>
      <c r="M7704" s="355"/>
    </row>
    <row r="7705" spans="5:13">
      <c r="E7705" s="355"/>
      <c r="F7705" s="355"/>
      <c r="G7705" s="355"/>
      <c r="H7705" s="355"/>
      <c r="I7705" s="355"/>
      <c r="J7705" s="355"/>
      <c r="K7705" s="355"/>
      <c r="L7705" s="355"/>
      <c r="M7705" s="355"/>
    </row>
    <row r="7706" spans="5:13">
      <c r="E7706" s="355"/>
      <c r="F7706" s="355"/>
      <c r="G7706" s="355"/>
      <c r="H7706" s="355"/>
      <c r="I7706" s="355"/>
      <c r="J7706" s="355"/>
      <c r="K7706" s="355"/>
      <c r="L7706" s="355"/>
      <c r="M7706" s="355"/>
    </row>
    <row r="7707" spans="5:13">
      <c r="E7707" s="355"/>
      <c r="F7707" s="355"/>
      <c r="G7707" s="355"/>
      <c r="H7707" s="355"/>
      <c r="I7707" s="355"/>
      <c r="J7707" s="355"/>
      <c r="K7707" s="355"/>
      <c r="L7707" s="355"/>
      <c r="M7707" s="355"/>
    </row>
    <row r="7708" spans="5:13">
      <c r="E7708" s="355"/>
      <c r="F7708" s="355"/>
      <c r="G7708" s="355"/>
      <c r="H7708" s="355"/>
      <c r="I7708" s="355"/>
      <c r="J7708" s="355"/>
      <c r="K7708" s="355"/>
      <c r="L7708" s="355"/>
      <c r="M7708" s="355"/>
    </row>
    <row r="7709" spans="5:13">
      <c r="E7709" s="355"/>
      <c r="F7709" s="355"/>
      <c r="G7709" s="355"/>
      <c r="H7709" s="355"/>
      <c r="I7709" s="355"/>
      <c r="J7709" s="355"/>
      <c r="K7709" s="355"/>
      <c r="L7709" s="355"/>
      <c r="M7709" s="355"/>
    </row>
    <row r="7710" spans="5:13">
      <c r="E7710" s="355"/>
      <c r="F7710" s="355"/>
      <c r="G7710" s="355"/>
      <c r="H7710" s="355"/>
      <c r="I7710" s="355"/>
      <c r="J7710" s="355"/>
      <c r="K7710" s="355"/>
      <c r="L7710" s="355"/>
      <c r="M7710" s="355"/>
    </row>
    <row r="7711" spans="5:13">
      <c r="E7711" s="355"/>
      <c r="F7711" s="355"/>
      <c r="G7711" s="355"/>
      <c r="H7711" s="355"/>
      <c r="I7711" s="355"/>
      <c r="J7711" s="355"/>
      <c r="K7711" s="355"/>
      <c r="L7711" s="355"/>
      <c r="M7711" s="355"/>
    </row>
    <row r="7712" spans="5:13">
      <c r="E7712" s="355"/>
      <c r="F7712" s="355"/>
      <c r="G7712" s="355"/>
      <c r="H7712" s="355"/>
      <c r="I7712" s="355"/>
      <c r="J7712" s="355"/>
      <c r="K7712" s="355"/>
      <c r="L7712" s="355"/>
      <c r="M7712" s="355"/>
    </row>
    <row r="7713" spans="5:13">
      <c r="E7713" s="355"/>
      <c r="F7713" s="355"/>
      <c r="G7713" s="355"/>
      <c r="H7713" s="355"/>
      <c r="I7713" s="355"/>
      <c r="J7713" s="355"/>
      <c r="K7713" s="355"/>
      <c r="L7713" s="355"/>
      <c r="M7713" s="355"/>
    </row>
    <row r="7714" spans="5:13">
      <c r="E7714" s="355"/>
      <c r="F7714" s="355"/>
      <c r="G7714" s="355"/>
      <c r="H7714" s="355"/>
      <c r="I7714" s="355"/>
      <c r="J7714" s="355"/>
      <c r="K7714" s="355"/>
      <c r="L7714" s="355"/>
      <c r="M7714" s="355"/>
    </row>
    <row r="7715" spans="5:13">
      <c r="E7715" s="355"/>
      <c r="F7715" s="355"/>
      <c r="G7715" s="355"/>
      <c r="H7715" s="355"/>
      <c r="I7715" s="355"/>
      <c r="J7715" s="355"/>
      <c r="K7715" s="355"/>
      <c r="L7715" s="355"/>
      <c r="M7715" s="355"/>
    </row>
    <row r="7716" spans="5:13">
      <c r="E7716" s="355"/>
      <c r="F7716" s="355"/>
      <c r="G7716" s="355"/>
      <c r="H7716" s="355"/>
      <c r="I7716" s="355"/>
      <c r="J7716" s="355"/>
      <c r="K7716" s="355"/>
      <c r="L7716" s="355"/>
      <c r="M7716" s="355"/>
    </row>
    <row r="7717" spans="5:13">
      <c r="E7717" s="355"/>
      <c r="F7717" s="355"/>
      <c r="G7717" s="355"/>
      <c r="H7717" s="355"/>
      <c r="I7717" s="355"/>
      <c r="J7717" s="355"/>
      <c r="K7717" s="355"/>
      <c r="L7717" s="355"/>
      <c r="M7717" s="355"/>
    </row>
    <row r="7718" spans="5:13">
      <c r="E7718" s="355"/>
      <c r="F7718" s="355"/>
      <c r="G7718" s="355"/>
      <c r="H7718" s="355"/>
      <c r="I7718" s="355"/>
      <c r="J7718" s="355"/>
      <c r="K7718" s="355"/>
      <c r="L7718" s="355"/>
      <c r="M7718" s="355"/>
    </row>
    <row r="7719" spans="5:13">
      <c r="E7719" s="355"/>
      <c r="F7719" s="355"/>
      <c r="G7719" s="355"/>
      <c r="H7719" s="355"/>
      <c r="I7719" s="355"/>
      <c r="J7719" s="355"/>
      <c r="K7719" s="355"/>
      <c r="L7719" s="355"/>
      <c r="M7719" s="355"/>
    </row>
    <row r="7720" spans="5:13">
      <c r="E7720" s="355"/>
      <c r="F7720" s="355"/>
      <c r="G7720" s="355"/>
      <c r="H7720" s="355"/>
      <c r="I7720" s="355"/>
      <c r="J7720" s="355"/>
      <c r="K7720" s="355"/>
      <c r="L7720" s="355"/>
      <c r="M7720" s="355"/>
    </row>
    <row r="7721" spans="5:13">
      <c r="E7721" s="355"/>
      <c r="F7721" s="355"/>
      <c r="G7721" s="355"/>
      <c r="H7721" s="355"/>
      <c r="I7721" s="355"/>
      <c r="J7721" s="355"/>
      <c r="K7721" s="355"/>
      <c r="L7721" s="355"/>
      <c r="M7721" s="355"/>
    </row>
    <row r="7722" spans="5:13">
      <c r="E7722" s="355"/>
      <c r="F7722" s="355"/>
      <c r="G7722" s="355"/>
      <c r="H7722" s="355"/>
      <c r="I7722" s="355"/>
      <c r="J7722" s="355"/>
      <c r="K7722" s="355"/>
      <c r="L7722" s="355"/>
      <c r="M7722" s="355"/>
    </row>
    <row r="7723" spans="5:13">
      <c r="E7723" s="355"/>
      <c r="F7723" s="355"/>
      <c r="G7723" s="355"/>
      <c r="H7723" s="355"/>
      <c r="I7723" s="355"/>
      <c r="J7723" s="355"/>
      <c r="K7723" s="355"/>
      <c r="L7723" s="355"/>
      <c r="M7723" s="355"/>
    </row>
    <row r="7724" spans="5:13">
      <c r="E7724" s="355"/>
      <c r="F7724" s="355"/>
      <c r="G7724" s="355"/>
      <c r="H7724" s="355"/>
      <c r="I7724" s="355"/>
      <c r="J7724" s="355"/>
      <c r="K7724" s="355"/>
      <c r="L7724" s="355"/>
      <c r="M7724" s="355"/>
    </row>
    <row r="7725" spans="5:13">
      <c r="E7725" s="355"/>
      <c r="F7725" s="355"/>
      <c r="G7725" s="355"/>
      <c r="H7725" s="355"/>
      <c r="I7725" s="355"/>
      <c r="J7725" s="355"/>
      <c r="K7725" s="355"/>
      <c r="L7725" s="355"/>
      <c r="M7725" s="355"/>
    </row>
    <row r="7726" spans="5:13">
      <c r="E7726" s="355"/>
      <c r="F7726" s="355"/>
      <c r="G7726" s="355"/>
      <c r="H7726" s="355"/>
      <c r="I7726" s="355"/>
      <c r="J7726" s="355"/>
      <c r="K7726" s="355"/>
      <c r="L7726" s="355"/>
      <c r="M7726" s="355"/>
    </row>
    <row r="7727" spans="5:13">
      <c r="E7727" s="355"/>
      <c r="F7727" s="355"/>
      <c r="G7727" s="355"/>
      <c r="H7727" s="355"/>
      <c r="I7727" s="355"/>
      <c r="J7727" s="355"/>
      <c r="K7727" s="355"/>
      <c r="L7727" s="355"/>
      <c r="M7727" s="355"/>
    </row>
    <row r="7728" spans="5:13">
      <c r="E7728" s="355"/>
      <c r="F7728" s="355"/>
      <c r="G7728" s="355"/>
      <c r="H7728" s="355"/>
      <c r="I7728" s="355"/>
      <c r="J7728" s="355"/>
      <c r="K7728" s="355"/>
      <c r="L7728" s="355"/>
      <c r="M7728" s="355"/>
    </row>
    <row r="7729" spans="5:13">
      <c r="E7729" s="355"/>
      <c r="F7729" s="355"/>
      <c r="G7729" s="355"/>
      <c r="H7729" s="355"/>
      <c r="I7729" s="355"/>
      <c r="J7729" s="355"/>
      <c r="K7729" s="355"/>
      <c r="L7729" s="355"/>
      <c r="M7729" s="355"/>
    </row>
    <row r="7730" spans="5:13">
      <c r="E7730" s="355"/>
      <c r="F7730" s="355"/>
      <c r="G7730" s="355"/>
      <c r="H7730" s="355"/>
      <c r="I7730" s="355"/>
      <c r="J7730" s="355"/>
      <c r="K7730" s="355"/>
      <c r="L7730" s="355"/>
      <c r="M7730" s="355"/>
    </row>
    <row r="7731" spans="5:13">
      <c r="E7731" s="355"/>
      <c r="F7731" s="355"/>
      <c r="G7731" s="355"/>
      <c r="H7731" s="355"/>
      <c r="I7731" s="355"/>
      <c r="J7731" s="355"/>
      <c r="K7731" s="355"/>
      <c r="L7731" s="355"/>
      <c r="M7731" s="355"/>
    </row>
    <row r="7732" spans="5:13">
      <c r="E7732" s="355"/>
      <c r="F7732" s="355"/>
      <c r="G7732" s="355"/>
      <c r="H7732" s="355"/>
      <c r="I7732" s="355"/>
      <c r="J7732" s="355"/>
      <c r="K7732" s="355"/>
      <c r="L7732" s="355"/>
      <c r="M7732" s="355"/>
    </row>
    <row r="7733" spans="5:13">
      <c r="E7733" s="355"/>
      <c r="F7733" s="355"/>
      <c r="G7733" s="355"/>
      <c r="H7733" s="355"/>
      <c r="I7733" s="355"/>
      <c r="J7733" s="355"/>
      <c r="K7733" s="355"/>
      <c r="L7733" s="355"/>
      <c r="M7733" s="355"/>
    </row>
    <row r="7734" spans="5:13">
      <c r="E7734" s="355"/>
      <c r="F7734" s="355"/>
      <c r="G7734" s="355"/>
      <c r="H7734" s="355"/>
      <c r="I7734" s="355"/>
      <c r="J7734" s="355"/>
      <c r="K7734" s="355"/>
      <c r="L7734" s="355"/>
      <c r="M7734" s="355"/>
    </row>
    <row r="7735" spans="5:13">
      <c r="E7735" s="355"/>
      <c r="F7735" s="355"/>
      <c r="G7735" s="355"/>
      <c r="H7735" s="355"/>
      <c r="I7735" s="355"/>
      <c r="J7735" s="355"/>
      <c r="K7735" s="355"/>
      <c r="L7735" s="355"/>
      <c r="M7735" s="355"/>
    </row>
    <row r="7736" spans="5:13">
      <c r="E7736" s="355"/>
      <c r="F7736" s="355"/>
      <c r="G7736" s="355"/>
      <c r="H7736" s="355"/>
      <c r="I7736" s="355"/>
      <c r="J7736" s="355"/>
      <c r="K7736" s="355"/>
      <c r="L7736" s="355"/>
      <c r="M7736" s="355"/>
    </row>
    <row r="7737" spans="5:13">
      <c r="E7737" s="355"/>
      <c r="F7737" s="355"/>
      <c r="G7737" s="355"/>
      <c r="H7737" s="355"/>
      <c r="I7737" s="355"/>
      <c r="J7737" s="355"/>
      <c r="K7737" s="355"/>
      <c r="L7737" s="355"/>
      <c r="M7737" s="355"/>
    </row>
    <row r="7738" spans="5:13">
      <c r="E7738" s="355"/>
      <c r="F7738" s="355"/>
      <c r="G7738" s="355"/>
      <c r="H7738" s="355"/>
      <c r="I7738" s="355"/>
      <c r="J7738" s="355"/>
      <c r="K7738" s="355"/>
      <c r="L7738" s="355"/>
      <c r="M7738" s="355"/>
    </row>
    <row r="7739" spans="5:13">
      <c r="E7739" s="355"/>
      <c r="F7739" s="355"/>
      <c r="G7739" s="355"/>
      <c r="H7739" s="355"/>
      <c r="I7739" s="355"/>
      <c r="J7739" s="355"/>
      <c r="K7739" s="355"/>
      <c r="L7739" s="355"/>
      <c r="M7739" s="355"/>
    </row>
    <row r="7740" spans="5:13">
      <c r="E7740" s="355"/>
      <c r="F7740" s="355"/>
      <c r="G7740" s="355"/>
      <c r="H7740" s="355"/>
      <c r="I7740" s="355"/>
      <c r="J7740" s="355"/>
      <c r="K7740" s="355"/>
      <c r="L7740" s="355"/>
      <c r="M7740" s="355"/>
    </row>
    <row r="7741" spans="5:13">
      <c r="E7741" s="355"/>
      <c r="F7741" s="355"/>
      <c r="G7741" s="355"/>
      <c r="H7741" s="355"/>
      <c r="I7741" s="355"/>
      <c r="J7741" s="355"/>
      <c r="K7741" s="355"/>
      <c r="L7741" s="355"/>
      <c r="M7741" s="355"/>
    </row>
    <row r="7742" spans="5:13">
      <c r="E7742" s="355"/>
      <c r="F7742" s="355"/>
      <c r="G7742" s="355"/>
      <c r="H7742" s="355"/>
      <c r="I7742" s="355"/>
      <c r="J7742" s="355"/>
      <c r="K7742" s="355"/>
      <c r="L7742" s="355"/>
      <c r="M7742" s="355"/>
    </row>
    <row r="7743" spans="5:13">
      <c r="E7743" s="355"/>
      <c r="F7743" s="355"/>
      <c r="G7743" s="355"/>
      <c r="H7743" s="355"/>
      <c r="I7743" s="355"/>
      <c r="J7743" s="355"/>
      <c r="K7743" s="355"/>
      <c r="L7743" s="355"/>
      <c r="M7743" s="355"/>
    </row>
    <row r="7744" spans="5:13">
      <c r="E7744" s="355"/>
      <c r="F7744" s="355"/>
      <c r="G7744" s="355"/>
      <c r="H7744" s="355"/>
      <c r="I7744" s="355"/>
      <c r="J7744" s="355"/>
      <c r="K7744" s="355"/>
      <c r="L7744" s="355"/>
      <c r="M7744" s="355"/>
    </row>
    <row r="7745" spans="5:13">
      <c r="E7745" s="355"/>
      <c r="F7745" s="355"/>
      <c r="G7745" s="355"/>
      <c r="H7745" s="355"/>
      <c r="I7745" s="355"/>
      <c r="J7745" s="355"/>
      <c r="K7745" s="355"/>
      <c r="L7745" s="355"/>
      <c r="M7745" s="355"/>
    </row>
    <row r="7746" spans="5:13">
      <c r="E7746" s="355"/>
      <c r="F7746" s="355"/>
      <c r="G7746" s="355"/>
      <c r="H7746" s="355"/>
      <c r="I7746" s="355"/>
      <c r="J7746" s="355"/>
      <c r="K7746" s="355"/>
      <c r="L7746" s="355"/>
      <c r="M7746" s="355"/>
    </row>
    <row r="7747" spans="5:13">
      <c r="E7747" s="355"/>
      <c r="F7747" s="355"/>
      <c r="G7747" s="355"/>
      <c r="H7747" s="355"/>
      <c r="I7747" s="355"/>
      <c r="J7747" s="355"/>
      <c r="K7747" s="355"/>
      <c r="L7747" s="355"/>
      <c r="M7747" s="355"/>
    </row>
    <row r="7748" spans="5:13">
      <c r="E7748" s="355"/>
      <c r="F7748" s="355"/>
      <c r="G7748" s="355"/>
      <c r="H7748" s="355"/>
      <c r="I7748" s="355"/>
      <c r="J7748" s="355"/>
      <c r="K7748" s="355"/>
      <c r="L7748" s="355"/>
      <c r="M7748" s="355"/>
    </row>
    <row r="7749" spans="5:13">
      <c r="E7749" s="355"/>
      <c r="F7749" s="355"/>
      <c r="G7749" s="355"/>
      <c r="H7749" s="355"/>
      <c r="I7749" s="355"/>
      <c r="J7749" s="355"/>
      <c r="K7749" s="355"/>
      <c r="L7749" s="355"/>
      <c r="M7749" s="355"/>
    </row>
    <row r="7750" spans="5:13">
      <c r="E7750" s="355"/>
      <c r="F7750" s="355"/>
      <c r="G7750" s="355"/>
      <c r="H7750" s="355"/>
      <c r="I7750" s="355"/>
      <c r="J7750" s="355"/>
      <c r="K7750" s="355"/>
      <c r="L7750" s="355"/>
      <c r="M7750" s="355"/>
    </row>
    <row r="7751" spans="5:13">
      <c r="E7751" s="355"/>
      <c r="F7751" s="355"/>
      <c r="G7751" s="355"/>
      <c r="H7751" s="355"/>
      <c r="I7751" s="355"/>
      <c r="J7751" s="355"/>
      <c r="K7751" s="355"/>
      <c r="L7751" s="355"/>
      <c r="M7751" s="355"/>
    </row>
    <row r="7752" spans="5:13">
      <c r="E7752" s="355"/>
      <c r="F7752" s="355"/>
      <c r="G7752" s="355"/>
      <c r="H7752" s="355"/>
      <c r="I7752" s="355"/>
      <c r="J7752" s="355"/>
      <c r="K7752" s="355"/>
      <c r="L7752" s="355"/>
      <c r="M7752" s="355"/>
    </row>
    <row r="7753" spans="5:13">
      <c r="E7753" s="355"/>
      <c r="F7753" s="355"/>
      <c r="G7753" s="355"/>
      <c r="H7753" s="355"/>
      <c r="I7753" s="355"/>
      <c r="J7753" s="355"/>
      <c r="K7753" s="355"/>
      <c r="L7753" s="355"/>
      <c r="M7753" s="355"/>
    </row>
    <row r="7754" spans="5:13">
      <c r="E7754" s="355"/>
      <c r="F7754" s="355"/>
      <c r="G7754" s="355"/>
      <c r="H7754" s="355"/>
      <c r="I7754" s="355"/>
      <c r="J7754" s="355"/>
      <c r="K7754" s="355"/>
      <c r="L7754" s="355"/>
      <c r="M7754" s="355"/>
    </row>
    <row r="7755" spans="5:13">
      <c r="E7755" s="355"/>
      <c r="F7755" s="355"/>
      <c r="G7755" s="355"/>
      <c r="H7755" s="355"/>
      <c r="I7755" s="355"/>
      <c r="J7755" s="355"/>
      <c r="K7755" s="355"/>
      <c r="L7755" s="355"/>
      <c r="M7755" s="355"/>
    </row>
    <row r="7756" spans="5:13">
      <c r="E7756" s="355"/>
      <c r="F7756" s="355"/>
      <c r="G7756" s="355"/>
      <c r="H7756" s="355"/>
      <c r="I7756" s="355"/>
      <c r="J7756" s="355"/>
      <c r="K7756" s="355"/>
      <c r="L7756" s="355"/>
      <c r="M7756" s="355"/>
    </row>
    <row r="7757" spans="5:13">
      <c r="E7757" s="355"/>
      <c r="F7757" s="355"/>
      <c r="G7757" s="355"/>
      <c r="H7757" s="355"/>
      <c r="I7757" s="355"/>
      <c r="J7757" s="355"/>
      <c r="K7757" s="355"/>
      <c r="L7757" s="355"/>
      <c r="M7757" s="355"/>
    </row>
    <row r="7758" spans="5:13">
      <c r="E7758" s="355"/>
      <c r="F7758" s="355"/>
      <c r="G7758" s="355"/>
      <c r="H7758" s="355"/>
      <c r="I7758" s="355"/>
      <c r="J7758" s="355"/>
      <c r="K7758" s="355"/>
      <c r="L7758" s="355"/>
      <c r="M7758" s="355"/>
    </row>
    <row r="7759" spans="5:13">
      <c r="E7759" s="355"/>
      <c r="F7759" s="355"/>
      <c r="G7759" s="355"/>
      <c r="H7759" s="355"/>
      <c r="I7759" s="355"/>
      <c r="J7759" s="355"/>
      <c r="K7759" s="355"/>
      <c r="L7759" s="355"/>
      <c r="M7759" s="355"/>
    </row>
    <row r="7760" spans="5:13">
      <c r="E7760" s="355"/>
      <c r="F7760" s="355"/>
      <c r="G7760" s="355"/>
      <c r="H7760" s="355"/>
      <c r="I7760" s="355"/>
      <c r="J7760" s="355"/>
      <c r="K7760" s="355"/>
      <c r="L7760" s="355"/>
      <c r="M7760" s="355"/>
    </row>
    <row r="7761" spans="5:13">
      <c r="E7761" s="355"/>
      <c r="F7761" s="355"/>
      <c r="G7761" s="355"/>
      <c r="H7761" s="355"/>
      <c r="I7761" s="355"/>
      <c r="J7761" s="355"/>
      <c r="K7761" s="355"/>
      <c r="L7761" s="355"/>
      <c r="M7761" s="355"/>
    </row>
    <row r="7762" spans="5:13">
      <c r="E7762" s="355"/>
      <c r="F7762" s="355"/>
      <c r="G7762" s="355"/>
      <c r="H7762" s="355"/>
      <c r="I7762" s="355"/>
      <c r="J7762" s="355"/>
      <c r="K7762" s="355"/>
      <c r="L7762" s="355"/>
      <c r="M7762" s="355"/>
    </row>
    <row r="7763" spans="5:13">
      <c r="E7763" s="355"/>
      <c r="F7763" s="355"/>
      <c r="G7763" s="355"/>
      <c r="H7763" s="355"/>
      <c r="I7763" s="355"/>
      <c r="J7763" s="355"/>
      <c r="K7763" s="355"/>
      <c r="L7763" s="355"/>
      <c r="M7763" s="355"/>
    </row>
    <row r="7764" spans="5:13">
      <c r="E7764" s="355"/>
      <c r="F7764" s="355"/>
      <c r="G7764" s="355"/>
      <c r="H7764" s="355"/>
      <c r="I7764" s="355"/>
      <c r="J7764" s="355"/>
      <c r="K7764" s="355"/>
      <c r="L7764" s="355"/>
      <c r="M7764" s="355"/>
    </row>
    <row r="7765" spans="5:13">
      <c r="E7765" s="355"/>
      <c r="F7765" s="355"/>
      <c r="G7765" s="355"/>
      <c r="H7765" s="355"/>
      <c r="I7765" s="355"/>
      <c r="J7765" s="355"/>
      <c r="K7765" s="355"/>
      <c r="L7765" s="355"/>
      <c r="M7765" s="355"/>
    </row>
    <row r="7766" spans="5:13">
      <c r="E7766" s="355"/>
      <c r="F7766" s="355"/>
      <c r="G7766" s="355"/>
      <c r="H7766" s="355"/>
      <c r="I7766" s="355"/>
      <c r="J7766" s="355"/>
      <c r="K7766" s="355"/>
      <c r="L7766" s="355"/>
      <c r="M7766" s="355"/>
    </row>
    <row r="7767" spans="5:13">
      <c r="E7767" s="355"/>
      <c r="F7767" s="355"/>
      <c r="G7767" s="355"/>
      <c r="H7767" s="355"/>
      <c r="I7767" s="355"/>
      <c r="J7767" s="355"/>
      <c r="K7767" s="355"/>
      <c r="L7767" s="355"/>
      <c r="M7767" s="355"/>
    </row>
    <row r="7768" spans="5:13">
      <c r="E7768" s="355"/>
      <c r="F7768" s="355"/>
      <c r="G7768" s="355"/>
      <c r="H7768" s="355"/>
      <c r="I7768" s="355"/>
      <c r="J7768" s="355"/>
      <c r="K7768" s="355"/>
      <c r="L7768" s="355"/>
      <c r="M7768" s="355"/>
    </row>
    <row r="7769" spans="5:13">
      <c r="E7769" s="355"/>
      <c r="F7769" s="355"/>
      <c r="G7769" s="355"/>
      <c r="H7769" s="355"/>
      <c r="I7769" s="355"/>
      <c r="J7769" s="355"/>
      <c r="K7769" s="355"/>
      <c r="L7769" s="355"/>
      <c r="M7769" s="355"/>
    </row>
    <row r="7770" spans="5:13">
      <c r="E7770" s="355"/>
      <c r="F7770" s="355"/>
      <c r="G7770" s="355"/>
      <c r="H7770" s="355"/>
      <c r="I7770" s="355"/>
      <c r="J7770" s="355"/>
      <c r="K7770" s="355"/>
      <c r="L7770" s="355"/>
      <c r="M7770" s="355"/>
    </row>
    <row r="7771" spans="5:13">
      <c r="E7771" s="355"/>
      <c r="F7771" s="355"/>
      <c r="G7771" s="355"/>
      <c r="H7771" s="355"/>
      <c r="I7771" s="355"/>
      <c r="J7771" s="355"/>
      <c r="K7771" s="355"/>
      <c r="L7771" s="355"/>
      <c r="M7771" s="355"/>
    </row>
    <row r="7772" spans="5:13">
      <c r="E7772" s="355"/>
      <c r="F7772" s="355"/>
      <c r="G7772" s="355"/>
      <c r="H7772" s="355"/>
      <c r="I7772" s="355"/>
      <c r="J7772" s="355"/>
      <c r="K7772" s="355"/>
      <c r="L7772" s="355"/>
      <c r="M7772" s="355"/>
    </row>
    <row r="7773" spans="5:13">
      <c r="E7773" s="355"/>
      <c r="F7773" s="355"/>
      <c r="G7773" s="355"/>
      <c r="H7773" s="355"/>
      <c r="I7773" s="355"/>
      <c r="J7773" s="355"/>
      <c r="K7773" s="355"/>
      <c r="L7773" s="355"/>
      <c r="M7773" s="355"/>
    </row>
    <row r="7774" spans="5:13">
      <c r="E7774" s="355"/>
      <c r="F7774" s="355"/>
      <c r="G7774" s="355"/>
      <c r="H7774" s="355"/>
      <c r="I7774" s="355"/>
      <c r="J7774" s="355"/>
      <c r="K7774" s="355"/>
      <c r="L7774" s="355"/>
      <c r="M7774" s="355"/>
    </row>
    <row r="7775" spans="5:13">
      <c r="E7775" s="355"/>
      <c r="F7775" s="355"/>
      <c r="G7775" s="355"/>
      <c r="H7775" s="355"/>
      <c r="I7775" s="355"/>
      <c r="J7775" s="355"/>
      <c r="K7775" s="355"/>
      <c r="L7775" s="355"/>
      <c r="M7775" s="355"/>
    </row>
    <row r="7776" spans="5:13">
      <c r="E7776" s="355"/>
      <c r="F7776" s="355"/>
      <c r="G7776" s="355"/>
      <c r="H7776" s="355"/>
      <c r="I7776" s="355"/>
      <c r="J7776" s="355"/>
      <c r="K7776" s="355"/>
      <c r="L7776" s="355"/>
      <c r="M7776" s="355"/>
    </row>
    <row r="7777" spans="5:13">
      <c r="E7777" s="355"/>
      <c r="F7777" s="355"/>
      <c r="G7777" s="355"/>
      <c r="H7777" s="355"/>
      <c r="I7777" s="355"/>
      <c r="J7777" s="355"/>
      <c r="K7777" s="355"/>
      <c r="L7777" s="355"/>
      <c r="M7777" s="355"/>
    </row>
    <row r="7778" spans="5:13">
      <c r="E7778" s="355"/>
      <c r="F7778" s="355"/>
      <c r="G7778" s="355"/>
      <c r="H7778" s="355"/>
      <c r="I7778" s="355"/>
      <c r="J7778" s="355"/>
      <c r="K7778" s="355"/>
      <c r="L7778" s="355"/>
      <c r="M7778" s="355"/>
    </row>
    <row r="7779" spans="5:13">
      <c r="E7779" s="355"/>
      <c r="F7779" s="355"/>
      <c r="G7779" s="355"/>
      <c r="H7779" s="355"/>
      <c r="I7779" s="355"/>
      <c r="J7779" s="355"/>
      <c r="K7779" s="355"/>
      <c r="L7779" s="355"/>
      <c r="M7779" s="355"/>
    </row>
    <row r="7780" spans="5:13">
      <c r="E7780" s="355"/>
      <c r="F7780" s="355"/>
      <c r="G7780" s="355"/>
      <c r="H7780" s="355"/>
      <c r="I7780" s="355"/>
      <c r="J7780" s="355"/>
      <c r="K7780" s="355"/>
      <c r="L7780" s="355"/>
      <c r="M7780" s="355"/>
    </row>
    <row r="7781" spans="5:13">
      <c r="E7781" s="355"/>
      <c r="F7781" s="355"/>
      <c r="G7781" s="355"/>
      <c r="H7781" s="355"/>
      <c r="I7781" s="355"/>
      <c r="J7781" s="355"/>
      <c r="K7781" s="355"/>
      <c r="L7781" s="355"/>
      <c r="M7781" s="355"/>
    </row>
    <row r="7782" spans="5:13">
      <c r="E7782" s="355"/>
      <c r="F7782" s="355"/>
      <c r="G7782" s="355"/>
      <c r="H7782" s="355"/>
      <c r="I7782" s="355"/>
      <c r="J7782" s="355"/>
      <c r="K7782" s="355"/>
      <c r="L7782" s="355"/>
      <c r="M7782" s="355"/>
    </row>
    <row r="7783" spans="5:13">
      <c r="E7783" s="355"/>
      <c r="F7783" s="355"/>
      <c r="G7783" s="355"/>
      <c r="H7783" s="355"/>
      <c r="I7783" s="355"/>
      <c r="J7783" s="355"/>
      <c r="K7783" s="355"/>
      <c r="L7783" s="355"/>
      <c r="M7783" s="355"/>
    </row>
    <row r="7784" spans="5:13">
      <c r="E7784" s="355"/>
      <c r="F7784" s="355"/>
      <c r="G7784" s="355"/>
      <c r="H7784" s="355"/>
      <c r="I7784" s="355"/>
      <c r="J7784" s="355"/>
      <c r="K7784" s="355"/>
      <c r="L7784" s="355"/>
      <c r="M7784" s="355"/>
    </row>
    <row r="7785" spans="5:13">
      <c r="E7785" s="355"/>
      <c r="F7785" s="355"/>
      <c r="G7785" s="355"/>
      <c r="H7785" s="355"/>
      <c r="I7785" s="355"/>
      <c r="J7785" s="355"/>
      <c r="K7785" s="355"/>
      <c r="L7785" s="355"/>
      <c r="M7785" s="355"/>
    </row>
    <row r="7786" spans="5:13">
      <c r="E7786" s="355"/>
      <c r="F7786" s="355"/>
      <c r="G7786" s="355"/>
      <c r="H7786" s="355"/>
      <c r="I7786" s="355"/>
      <c r="J7786" s="355"/>
      <c r="K7786" s="355"/>
      <c r="L7786" s="355"/>
      <c r="M7786" s="355"/>
    </row>
    <row r="7787" spans="5:13">
      <c r="E7787" s="355"/>
      <c r="F7787" s="355"/>
      <c r="G7787" s="355"/>
      <c r="H7787" s="355"/>
      <c r="I7787" s="355"/>
      <c r="J7787" s="355"/>
      <c r="K7787" s="355"/>
      <c r="L7787" s="355"/>
      <c r="M7787" s="355"/>
    </row>
    <row r="7788" spans="5:13">
      <c r="E7788" s="355"/>
      <c r="F7788" s="355"/>
      <c r="G7788" s="355"/>
      <c r="H7788" s="355"/>
      <c r="I7788" s="355"/>
      <c r="J7788" s="355"/>
      <c r="K7788" s="355"/>
      <c r="L7788" s="355"/>
      <c r="M7788" s="355"/>
    </row>
    <row r="7789" spans="5:13">
      <c r="E7789" s="355"/>
      <c r="F7789" s="355"/>
      <c r="G7789" s="355"/>
      <c r="H7789" s="355"/>
      <c r="I7789" s="355"/>
      <c r="J7789" s="355"/>
      <c r="K7789" s="355"/>
      <c r="L7789" s="355"/>
      <c r="M7789" s="355"/>
    </row>
    <row r="7790" spans="5:13">
      <c r="E7790" s="355"/>
      <c r="F7790" s="355"/>
      <c r="G7790" s="355"/>
      <c r="H7790" s="355"/>
      <c r="I7790" s="355"/>
      <c r="J7790" s="355"/>
      <c r="K7790" s="355"/>
      <c r="L7790" s="355"/>
      <c r="M7790" s="355"/>
    </row>
    <row r="7791" spans="5:13">
      <c r="E7791" s="355"/>
      <c r="F7791" s="355"/>
      <c r="G7791" s="355"/>
      <c r="H7791" s="355"/>
      <c r="I7791" s="355"/>
      <c r="J7791" s="355"/>
      <c r="K7791" s="355"/>
      <c r="L7791" s="355"/>
      <c r="M7791" s="355"/>
    </row>
    <row r="7792" spans="5:13">
      <c r="E7792" s="355"/>
      <c r="F7792" s="355"/>
      <c r="G7792" s="355"/>
      <c r="H7792" s="355"/>
      <c r="I7792" s="355"/>
      <c r="J7792" s="355"/>
      <c r="K7792" s="355"/>
      <c r="L7792" s="355"/>
      <c r="M7792" s="355"/>
    </row>
    <row r="7793" spans="5:13">
      <c r="E7793" s="355"/>
      <c r="F7793" s="355"/>
      <c r="G7793" s="355"/>
      <c r="H7793" s="355"/>
      <c r="I7793" s="355"/>
      <c r="J7793" s="355"/>
      <c r="K7793" s="355"/>
      <c r="L7793" s="355"/>
      <c r="M7793" s="355"/>
    </row>
    <row r="7794" spans="5:13">
      <c r="E7794" s="355"/>
      <c r="F7794" s="355"/>
      <c r="G7794" s="355"/>
      <c r="H7794" s="355"/>
      <c r="I7794" s="355"/>
      <c r="J7794" s="355"/>
      <c r="K7794" s="355"/>
      <c r="L7794" s="355"/>
      <c r="M7794" s="355"/>
    </row>
    <row r="7795" spans="5:13">
      <c r="E7795" s="355"/>
      <c r="F7795" s="355"/>
      <c r="G7795" s="355"/>
      <c r="H7795" s="355"/>
      <c r="I7795" s="355"/>
      <c r="J7795" s="355"/>
      <c r="K7795" s="355"/>
      <c r="L7795" s="355"/>
      <c r="M7795" s="355"/>
    </row>
    <row r="7796" spans="5:13">
      <c r="E7796" s="355"/>
      <c r="F7796" s="355"/>
      <c r="G7796" s="355"/>
      <c r="H7796" s="355"/>
      <c r="I7796" s="355"/>
      <c r="J7796" s="355"/>
      <c r="K7796" s="355"/>
      <c r="L7796" s="355"/>
      <c r="M7796" s="355"/>
    </row>
    <row r="7797" spans="5:13">
      <c r="E7797" s="355"/>
      <c r="F7797" s="355"/>
      <c r="G7797" s="355"/>
      <c r="H7797" s="355"/>
      <c r="I7797" s="355"/>
      <c r="J7797" s="355"/>
      <c r="K7797" s="355"/>
      <c r="L7797" s="355"/>
      <c r="M7797" s="355"/>
    </row>
    <row r="7798" spans="5:13">
      <c r="E7798" s="355"/>
      <c r="F7798" s="355"/>
      <c r="G7798" s="355"/>
      <c r="H7798" s="355"/>
      <c r="I7798" s="355"/>
      <c r="J7798" s="355"/>
      <c r="K7798" s="355"/>
      <c r="L7798" s="355"/>
      <c r="M7798" s="355"/>
    </row>
    <row r="7799" spans="5:13">
      <c r="E7799" s="355"/>
      <c r="F7799" s="355"/>
      <c r="G7799" s="355"/>
      <c r="H7799" s="355"/>
      <c r="I7799" s="355"/>
      <c r="J7799" s="355"/>
      <c r="K7799" s="355"/>
      <c r="L7799" s="355"/>
      <c r="M7799" s="355"/>
    </row>
    <row r="7800" spans="5:13">
      <c r="E7800" s="355"/>
      <c r="F7800" s="355"/>
      <c r="G7800" s="355"/>
      <c r="H7800" s="355"/>
      <c r="I7800" s="355"/>
      <c r="J7800" s="355"/>
      <c r="K7800" s="355"/>
      <c r="L7800" s="355"/>
      <c r="M7800" s="355"/>
    </row>
    <row r="7801" spans="5:13">
      <c r="E7801" s="355"/>
      <c r="F7801" s="355"/>
      <c r="G7801" s="355"/>
      <c r="H7801" s="355"/>
      <c r="I7801" s="355"/>
      <c r="J7801" s="355"/>
      <c r="K7801" s="355"/>
      <c r="L7801" s="355"/>
      <c r="M7801" s="355"/>
    </row>
    <row r="7802" spans="5:13">
      <c r="E7802" s="355"/>
      <c r="F7802" s="355"/>
      <c r="G7802" s="355"/>
      <c r="H7802" s="355"/>
      <c r="I7802" s="355"/>
      <c r="J7802" s="355"/>
      <c r="K7802" s="355"/>
      <c r="L7802" s="355"/>
      <c r="M7802" s="355"/>
    </row>
    <row r="7803" spans="5:13">
      <c r="E7803" s="355"/>
      <c r="F7803" s="355"/>
      <c r="G7803" s="355"/>
      <c r="H7803" s="355"/>
      <c r="I7803" s="355"/>
      <c r="J7803" s="355"/>
      <c r="K7803" s="355"/>
      <c r="L7803" s="355"/>
      <c r="M7803" s="355"/>
    </row>
    <row r="7804" spans="5:13">
      <c r="E7804" s="355"/>
      <c r="F7804" s="355"/>
      <c r="G7804" s="355"/>
      <c r="H7804" s="355"/>
      <c r="I7804" s="355"/>
      <c r="J7804" s="355"/>
      <c r="K7804" s="355"/>
      <c r="L7804" s="355"/>
      <c r="M7804" s="355"/>
    </row>
    <row r="7805" spans="5:13">
      <c r="E7805" s="355"/>
      <c r="F7805" s="355"/>
      <c r="G7805" s="355"/>
      <c r="H7805" s="355"/>
      <c r="I7805" s="355"/>
      <c r="J7805" s="355"/>
      <c r="K7805" s="355"/>
      <c r="L7805" s="355"/>
      <c r="M7805" s="355"/>
    </row>
    <row r="7806" spans="5:13">
      <c r="E7806" s="355"/>
      <c r="F7806" s="355"/>
      <c r="G7806" s="355"/>
      <c r="H7806" s="355"/>
      <c r="I7806" s="355"/>
      <c r="J7806" s="355"/>
      <c r="K7806" s="355"/>
      <c r="L7806" s="355"/>
      <c r="M7806" s="355"/>
    </row>
    <row r="7807" spans="5:13">
      <c r="E7807" s="355"/>
      <c r="F7807" s="355"/>
      <c r="G7807" s="355"/>
      <c r="H7807" s="355"/>
      <c r="I7807" s="355"/>
      <c r="J7807" s="355"/>
      <c r="K7807" s="355"/>
      <c r="L7807" s="355"/>
      <c r="M7807" s="355"/>
    </row>
    <row r="7808" spans="5:13">
      <c r="E7808" s="355"/>
      <c r="F7808" s="355"/>
      <c r="G7808" s="355"/>
      <c r="H7808" s="355"/>
      <c r="I7808" s="355"/>
      <c r="J7808" s="355"/>
      <c r="K7808" s="355"/>
      <c r="L7808" s="355"/>
      <c r="M7808" s="355"/>
    </row>
    <row r="7809" spans="5:13">
      <c r="E7809" s="355"/>
      <c r="F7809" s="355"/>
      <c r="G7809" s="355"/>
      <c r="H7809" s="355"/>
      <c r="I7809" s="355"/>
      <c r="J7809" s="355"/>
      <c r="K7809" s="355"/>
      <c r="L7809" s="355"/>
      <c r="M7809" s="355"/>
    </row>
    <row r="7810" spans="5:13">
      <c r="E7810" s="355"/>
      <c r="F7810" s="355"/>
      <c r="G7810" s="355"/>
      <c r="H7810" s="355"/>
      <c r="I7810" s="355"/>
      <c r="J7810" s="355"/>
      <c r="K7810" s="355"/>
      <c r="L7810" s="355"/>
      <c r="M7810" s="355"/>
    </row>
    <row r="7811" spans="5:13">
      <c r="E7811" s="355"/>
      <c r="F7811" s="355"/>
      <c r="G7811" s="355"/>
      <c r="H7811" s="355"/>
      <c r="I7811" s="355"/>
      <c r="J7811" s="355"/>
      <c r="K7811" s="355"/>
      <c r="L7811" s="355"/>
      <c r="M7811" s="355"/>
    </row>
    <row r="7812" spans="5:13">
      <c r="E7812" s="355"/>
      <c r="F7812" s="355"/>
      <c r="G7812" s="355"/>
      <c r="H7812" s="355"/>
      <c r="I7812" s="355"/>
      <c r="J7812" s="355"/>
      <c r="K7812" s="355"/>
      <c r="L7812" s="355"/>
      <c r="M7812" s="355"/>
    </row>
    <row r="7813" spans="5:13">
      <c r="E7813" s="355"/>
      <c r="F7813" s="355"/>
      <c r="G7813" s="355"/>
      <c r="H7813" s="355"/>
      <c r="I7813" s="355"/>
      <c r="J7813" s="355"/>
      <c r="K7813" s="355"/>
      <c r="L7813" s="355"/>
      <c r="M7813" s="355"/>
    </row>
    <row r="7814" spans="5:13">
      <c r="E7814" s="355"/>
      <c r="F7814" s="355"/>
      <c r="G7814" s="355"/>
      <c r="H7814" s="355"/>
      <c r="I7814" s="355"/>
      <c r="J7814" s="355"/>
      <c r="K7814" s="355"/>
      <c r="L7814" s="355"/>
      <c r="M7814" s="355"/>
    </row>
    <row r="7815" spans="5:13">
      <c r="E7815" s="355"/>
      <c r="F7815" s="355"/>
      <c r="G7815" s="355"/>
      <c r="H7815" s="355"/>
      <c r="I7815" s="355"/>
      <c r="J7815" s="355"/>
      <c r="K7815" s="355"/>
      <c r="L7815" s="355"/>
      <c r="M7815" s="355"/>
    </row>
    <row r="7816" spans="5:13">
      <c r="E7816" s="355"/>
      <c r="F7816" s="355"/>
      <c r="G7816" s="355"/>
      <c r="H7816" s="355"/>
      <c r="I7816" s="355"/>
      <c r="J7816" s="355"/>
      <c r="K7816" s="355"/>
      <c r="L7816" s="355"/>
      <c r="M7816" s="355"/>
    </row>
    <row r="7817" spans="5:13">
      <c r="E7817" s="355"/>
      <c r="F7817" s="355"/>
      <c r="G7817" s="355"/>
      <c r="H7817" s="355"/>
      <c r="I7817" s="355"/>
      <c r="J7817" s="355"/>
      <c r="K7817" s="355"/>
      <c r="L7817" s="355"/>
      <c r="M7817" s="355"/>
    </row>
    <row r="7818" spans="5:13">
      <c r="E7818" s="355"/>
      <c r="F7818" s="355"/>
      <c r="G7818" s="355"/>
      <c r="H7818" s="355"/>
      <c r="I7818" s="355"/>
      <c r="J7818" s="355"/>
      <c r="K7818" s="355"/>
      <c r="L7818" s="355"/>
      <c r="M7818" s="355"/>
    </row>
    <row r="7819" spans="5:13">
      <c r="E7819" s="355"/>
      <c r="F7819" s="355"/>
      <c r="G7819" s="355"/>
      <c r="H7819" s="355"/>
      <c r="I7819" s="355"/>
      <c r="J7819" s="355"/>
      <c r="K7819" s="355"/>
      <c r="L7819" s="355"/>
      <c r="M7819" s="355"/>
    </row>
    <row r="7820" spans="5:13">
      <c r="E7820" s="355"/>
      <c r="F7820" s="355"/>
      <c r="G7820" s="355"/>
      <c r="H7820" s="355"/>
      <c r="I7820" s="355"/>
      <c r="J7820" s="355"/>
      <c r="K7820" s="355"/>
      <c r="L7820" s="355"/>
      <c r="M7820" s="355"/>
    </row>
    <row r="7821" spans="5:13">
      <c r="E7821" s="355"/>
      <c r="F7821" s="355"/>
      <c r="G7821" s="355"/>
      <c r="H7821" s="355"/>
      <c r="I7821" s="355"/>
      <c r="J7821" s="355"/>
      <c r="K7821" s="355"/>
      <c r="L7821" s="355"/>
      <c r="M7821" s="355"/>
    </row>
    <row r="7822" spans="5:13">
      <c r="E7822" s="355"/>
      <c r="F7822" s="355"/>
      <c r="G7822" s="355"/>
      <c r="H7822" s="355"/>
      <c r="I7822" s="355"/>
      <c r="J7822" s="355"/>
      <c r="K7822" s="355"/>
      <c r="L7822" s="355"/>
      <c r="M7822" s="355"/>
    </row>
    <row r="7823" spans="5:13">
      <c r="E7823" s="355"/>
      <c r="F7823" s="355"/>
      <c r="G7823" s="355"/>
      <c r="H7823" s="355"/>
      <c r="I7823" s="355"/>
      <c r="J7823" s="355"/>
      <c r="K7823" s="355"/>
      <c r="L7823" s="355"/>
      <c r="M7823" s="355"/>
    </row>
    <row r="7824" spans="5:13">
      <c r="E7824" s="355"/>
      <c r="F7824" s="355"/>
      <c r="G7824" s="355"/>
      <c r="H7824" s="355"/>
      <c r="I7824" s="355"/>
      <c r="J7824" s="355"/>
      <c r="K7824" s="355"/>
      <c r="L7824" s="355"/>
      <c r="M7824" s="355"/>
    </row>
    <row r="7825" spans="5:13">
      <c r="E7825" s="355"/>
      <c r="F7825" s="355"/>
      <c r="G7825" s="355"/>
      <c r="H7825" s="355"/>
      <c r="I7825" s="355"/>
      <c r="J7825" s="355"/>
      <c r="K7825" s="355"/>
      <c r="L7825" s="355"/>
      <c r="M7825" s="355"/>
    </row>
    <row r="7826" spans="5:13">
      <c r="E7826" s="355"/>
      <c r="F7826" s="355"/>
      <c r="G7826" s="355"/>
      <c r="H7826" s="355"/>
      <c r="I7826" s="355"/>
      <c r="J7826" s="355"/>
      <c r="K7826" s="355"/>
      <c r="L7826" s="355"/>
      <c r="M7826" s="355"/>
    </row>
    <row r="7827" spans="5:13">
      <c r="E7827" s="355"/>
      <c r="F7827" s="355"/>
      <c r="G7827" s="355"/>
      <c r="H7827" s="355"/>
      <c r="I7827" s="355"/>
      <c r="J7827" s="355"/>
      <c r="K7827" s="355"/>
      <c r="L7827" s="355"/>
      <c r="M7827" s="355"/>
    </row>
    <row r="7828" spans="5:13">
      <c r="E7828" s="355"/>
      <c r="F7828" s="355"/>
      <c r="G7828" s="355"/>
      <c r="H7828" s="355"/>
      <c r="I7828" s="355"/>
      <c r="J7828" s="355"/>
      <c r="K7828" s="355"/>
      <c r="L7828" s="355"/>
      <c r="M7828" s="355"/>
    </row>
    <row r="7829" spans="5:13">
      <c r="E7829" s="355"/>
      <c r="F7829" s="355"/>
      <c r="G7829" s="355"/>
      <c r="H7829" s="355"/>
      <c r="I7829" s="355"/>
      <c r="J7829" s="355"/>
      <c r="K7829" s="355"/>
      <c r="L7829" s="355"/>
      <c r="M7829" s="355"/>
    </row>
    <row r="7830" spans="5:13">
      <c r="E7830" s="355"/>
      <c r="F7830" s="355"/>
      <c r="G7830" s="355"/>
      <c r="H7830" s="355"/>
      <c r="I7830" s="355"/>
      <c r="J7830" s="355"/>
      <c r="K7830" s="355"/>
      <c r="L7830" s="355"/>
      <c r="M7830" s="355"/>
    </row>
    <row r="7831" spans="5:13">
      <c r="E7831" s="355"/>
      <c r="F7831" s="355"/>
      <c r="G7831" s="355"/>
      <c r="H7831" s="355"/>
      <c r="I7831" s="355"/>
      <c r="J7831" s="355"/>
      <c r="K7831" s="355"/>
      <c r="L7831" s="355"/>
      <c r="M7831" s="355"/>
    </row>
    <row r="7832" spans="5:13">
      <c r="E7832" s="355"/>
      <c r="F7832" s="355"/>
      <c r="G7832" s="355"/>
      <c r="H7832" s="355"/>
      <c r="I7832" s="355"/>
      <c r="J7832" s="355"/>
      <c r="K7832" s="355"/>
      <c r="L7832" s="355"/>
      <c r="M7832" s="355"/>
    </row>
    <row r="7833" spans="5:13">
      <c r="E7833" s="355"/>
      <c r="F7833" s="355"/>
      <c r="G7833" s="355"/>
      <c r="H7833" s="355"/>
      <c r="I7833" s="355"/>
      <c r="J7833" s="355"/>
      <c r="K7833" s="355"/>
      <c r="L7833" s="355"/>
      <c r="M7833" s="355"/>
    </row>
    <row r="7834" spans="5:13">
      <c r="E7834" s="355"/>
      <c r="F7834" s="355"/>
      <c r="G7834" s="355"/>
      <c r="H7834" s="355"/>
      <c r="I7834" s="355"/>
      <c r="J7834" s="355"/>
      <c r="K7834" s="355"/>
      <c r="L7834" s="355"/>
      <c r="M7834" s="355"/>
    </row>
    <row r="7835" spans="5:13">
      <c r="E7835" s="355"/>
      <c r="F7835" s="355"/>
      <c r="G7835" s="355"/>
      <c r="H7835" s="355"/>
      <c r="I7835" s="355"/>
      <c r="J7835" s="355"/>
      <c r="K7835" s="355"/>
      <c r="L7835" s="355"/>
      <c r="M7835" s="355"/>
    </row>
    <row r="7836" spans="5:13">
      <c r="E7836" s="355"/>
      <c r="F7836" s="355"/>
      <c r="G7836" s="355"/>
      <c r="H7836" s="355"/>
      <c r="I7836" s="355"/>
      <c r="J7836" s="355"/>
      <c r="K7836" s="355"/>
      <c r="L7836" s="355"/>
      <c r="M7836" s="355"/>
    </row>
    <row r="7837" spans="5:13">
      <c r="E7837" s="355"/>
      <c r="F7837" s="355"/>
      <c r="G7837" s="355"/>
      <c r="H7837" s="355"/>
      <c r="I7837" s="355"/>
      <c r="J7837" s="355"/>
      <c r="K7837" s="355"/>
      <c r="L7837" s="355"/>
      <c r="M7837" s="355"/>
    </row>
    <row r="7838" spans="5:13">
      <c r="E7838" s="355"/>
      <c r="F7838" s="355"/>
      <c r="G7838" s="355"/>
      <c r="H7838" s="355"/>
      <c r="I7838" s="355"/>
      <c r="J7838" s="355"/>
      <c r="K7838" s="355"/>
      <c r="L7838" s="355"/>
      <c r="M7838" s="355"/>
    </row>
    <row r="7839" spans="5:13">
      <c r="E7839" s="355"/>
      <c r="F7839" s="355"/>
      <c r="G7839" s="355"/>
      <c r="H7839" s="355"/>
      <c r="I7839" s="355"/>
      <c r="J7839" s="355"/>
      <c r="K7839" s="355"/>
      <c r="L7839" s="355"/>
      <c r="M7839" s="355"/>
    </row>
    <row r="7840" spans="5:13">
      <c r="E7840" s="355"/>
      <c r="F7840" s="355"/>
      <c r="G7840" s="355"/>
      <c r="H7840" s="355"/>
      <c r="I7840" s="355"/>
      <c r="J7840" s="355"/>
      <c r="K7840" s="355"/>
      <c r="L7840" s="355"/>
      <c r="M7840" s="355"/>
    </row>
    <row r="7841" spans="5:13">
      <c r="E7841" s="355"/>
      <c r="F7841" s="355"/>
      <c r="G7841" s="355"/>
      <c r="H7841" s="355"/>
      <c r="I7841" s="355"/>
      <c r="J7841" s="355"/>
      <c r="K7841" s="355"/>
      <c r="L7841" s="355"/>
      <c r="M7841" s="355"/>
    </row>
    <row r="7842" spans="5:13">
      <c r="E7842" s="355"/>
      <c r="F7842" s="355"/>
      <c r="G7842" s="355"/>
      <c r="H7842" s="355"/>
      <c r="I7842" s="355"/>
      <c r="J7842" s="355"/>
      <c r="K7842" s="355"/>
      <c r="L7842" s="355"/>
      <c r="M7842" s="355"/>
    </row>
    <row r="7843" spans="5:13">
      <c r="E7843" s="355"/>
      <c r="F7843" s="355"/>
      <c r="G7843" s="355"/>
      <c r="H7843" s="355"/>
      <c r="I7843" s="355"/>
      <c r="J7843" s="355"/>
      <c r="K7843" s="355"/>
      <c r="L7843" s="355"/>
      <c r="M7843" s="355"/>
    </row>
    <row r="7844" spans="5:13">
      <c r="E7844" s="355"/>
      <c r="F7844" s="355"/>
      <c r="G7844" s="355"/>
      <c r="H7844" s="355"/>
      <c r="I7844" s="355"/>
      <c r="J7844" s="355"/>
      <c r="K7844" s="355"/>
      <c r="L7844" s="355"/>
      <c r="M7844" s="355"/>
    </row>
    <row r="7845" spans="5:13">
      <c r="E7845" s="355"/>
      <c r="F7845" s="355"/>
      <c r="G7845" s="355"/>
      <c r="H7845" s="355"/>
      <c r="I7845" s="355"/>
      <c r="J7845" s="355"/>
      <c r="K7845" s="355"/>
      <c r="L7845" s="355"/>
      <c r="M7845" s="355"/>
    </row>
    <row r="7846" spans="5:13">
      <c r="E7846" s="355"/>
      <c r="F7846" s="355"/>
      <c r="G7846" s="355"/>
      <c r="H7846" s="355"/>
      <c r="I7846" s="355"/>
      <c r="J7846" s="355"/>
      <c r="K7846" s="355"/>
      <c r="L7846" s="355"/>
      <c r="M7846" s="355"/>
    </row>
    <row r="7847" spans="5:13">
      <c r="E7847" s="355"/>
      <c r="F7847" s="355"/>
      <c r="G7847" s="355"/>
      <c r="H7847" s="355"/>
      <c r="I7847" s="355"/>
      <c r="J7847" s="355"/>
      <c r="K7847" s="355"/>
      <c r="L7847" s="355"/>
      <c r="M7847" s="355"/>
    </row>
    <row r="7848" spans="5:13">
      <c r="E7848" s="355"/>
      <c r="F7848" s="355"/>
      <c r="G7848" s="355"/>
      <c r="H7848" s="355"/>
      <c r="I7848" s="355"/>
      <c r="J7848" s="355"/>
      <c r="K7848" s="355"/>
      <c r="L7848" s="355"/>
      <c r="M7848" s="355"/>
    </row>
    <row r="7849" spans="5:13">
      <c r="E7849" s="355"/>
      <c r="F7849" s="355"/>
      <c r="G7849" s="355"/>
      <c r="H7849" s="355"/>
      <c r="I7849" s="355"/>
      <c r="J7849" s="355"/>
      <c r="K7849" s="355"/>
      <c r="L7849" s="355"/>
      <c r="M7849" s="355"/>
    </row>
    <row r="7850" spans="5:13">
      <c r="E7850" s="355"/>
      <c r="F7850" s="355"/>
      <c r="G7850" s="355"/>
      <c r="H7850" s="355"/>
      <c r="I7850" s="355"/>
      <c r="J7850" s="355"/>
      <c r="K7850" s="355"/>
      <c r="L7850" s="355"/>
      <c r="M7850" s="355"/>
    </row>
    <row r="7851" spans="5:13">
      <c r="E7851" s="355"/>
      <c r="F7851" s="355"/>
      <c r="G7851" s="355"/>
      <c r="H7851" s="355"/>
      <c r="I7851" s="355"/>
      <c r="J7851" s="355"/>
      <c r="K7851" s="355"/>
      <c r="L7851" s="355"/>
      <c r="M7851" s="355"/>
    </row>
    <row r="7852" spans="5:13">
      <c r="E7852" s="355"/>
      <c r="F7852" s="355"/>
      <c r="G7852" s="355"/>
      <c r="H7852" s="355"/>
      <c r="I7852" s="355"/>
      <c r="J7852" s="355"/>
      <c r="K7852" s="355"/>
      <c r="L7852" s="355"/>
      <c r="M7852" s="355"/>
    </row>
    <row r="7853" spans="5:13">
      <c r="E7853" s="355"/>
      <c r="F7853" s="355"/>
      <c r="G7853" s="355"/>
      <c r="H7853" s="355"/>
      <c r="I7853" s="355"/>
      <c r="J7853" s="355"/>
      <c r="K7853" s="355"/>
      <c r="L7853" s="355"/>
      <c r="M7853" s="355"/>
    </row>
    <row r="7854" spans="5:13">
      <c r="E7854" s="355"/>
      <c r="F7854" s="355"/>
      <c r="G7854" s="355"/>
      <c r="H7854" s="355"/>
      <c r="I7854" s="355"/>
      <c r="J7854" s="355"/>
      <c r="K7854" s="355"/>
      <c r="L7854" s="355"/>
      <c r="M7854" s="355"/>
    </row>
    <row r="7855" spans="5:13">
      <c r="E7855" s="355"/>
      <c r="F7855" s="355"/>
      <c r="G7855" s="355"/>
      <c r="H7855" s="355"/>
      <c r="I7855" s="355"/>
      <c r="J7855" s="355"/>
      <c r="K7855" s="355"/>
      <c r="L7855" s="355"/>
      <c r="M7855" s="355"/>
    </row>
    <row r="7856" spans="5:13">
      <c r="E7856" s="355"/>
      <c r="F7856" s="355"/>
      <c r="G7856" s="355"/>
      <c r="H7856" s="355"/>
      <c r="I7856" s="355"/>
      <c r="J7856" s="355"/>
      <c r="K7856" s="355"/>
      <c r="L7856" s="355"/>
      <c r="M7856" s="355"/>
    </row>
    <row r="7857" spans="5:13">
      <c r="E7857" s="355"/>
      <c r="F7857" s="355"/>
      <c r="G7857" s="355"/>
      <c r="H7857" s="355"/>
      <c r="I7857" s="355"/>
      <c r="J7857" s="355"/>
      <c r="K7857" s="355"/>
      <c r="L7857" s="355"/>
      <c r="M7857" s="355"/>
    </row>
    <row r="7858" spans="5:13">
      <c r="E7858" s="355"/>
      <c r="F7858" s="355"/>
      <c r="G7858" s="355"/>
      <c r="H7858" s="355"/>
      <c r="I7858" s="355"/>
      <c r="J7858" s="355"/>
      <c r="K7858" s="355"/>
      <c r="L7858" s="355"/>
      <c r="M7858" s="355"/>
    </row>
    <row r="7859" spans="5:13">
      <c r="E7859" s="355"/>
      <c r="F7859" s="355"/>
      <c r="G7859" s="355"/>
      <c r="H7859" s="355"/>
      <c r="I7859" s="355"/>
      <c r="J7859" s="355"/>
      <c r="K7859" s="355"/>
      <c r="L7859" s="355"/>
      <c r="M7859" s="355"/>
    </row>
    <row r="7860" spans="5:13">
      <c r="E7860" s="355"/>
      <c r="F7860" s="355"/>
      <c r="G7860" s="355"/>
      <c r="H7860" s="355"/>
      <c r="I7860" s="355"/>
      <c r="J7860" s="355"/>
      <c r="K7860" s="355"/>
      <c r="L7860" s="355"/>
      <c r="M7860" s="355"/>
    </row>
    <row r="7861" spans="5:13">
      <c r="E7861" s="355"/>
      <c r="F7861" s="355"/>
      <c r="G7861" s="355"/>
      <c r="H7861" s="355"/>
      <c r="I7861" s="355"/>
      <c r="J7861" s="355"/>
      <c r="K7861" s="355"/>
      <c r="L7861" s="355"/>
      <c r="M7861" s="355"/>
    </row>
    <row r="7862" spans="5:13">
      <c r="E7862" s="355"/>
      <c r="F7862" s="355"/>
      <c r="G7862" s="355"/>
      <c r="H7862" s="355"/>
      <c r="I7862" s="355"/>
      <c r="J7862" s="355"/>
      <c r="K7862" s="355"/>
      <c r="L7862" s="355"/>
      <c r="M7862" s="355"/>
    </row>
    <row r="7863" spans="5:13">
      <c r="E7863" s="355"/>
      <c r="F7863" s="355"/>
      <c r="G7863" s="355"/>
      <c r="H7863" s="355"/>
      <c r="I7863" s="355"/>
      <c r="J7863" s="355"/>
      <c r="K7863" s="355"/>
      <c r="L7863" s="355"/>
      <c r="M7863" s="355"/>
    </row>
    <row r="7864" spans="5:13">
      <c r="E7864" s="355"/>
      <c r="F7864" s="355"/>
      <c r="G7864" s="355"/>
      <c r="H7864" s="355"/>
      <c r="I7864" s="355"/>
      <c r="J7864" s="355"/>
      <c r="K7864" s="355"/>
      <c r="L7864" s="355"/>
      <c r="M7864" s="355"/>
    </row>
    <row r="7865" spans="5:13">
      <c r="E7865" s="355"/>
      <c r="F7865" s="355"/>
      <c r="G7865" s="355"/>
      <c r="H7865" s="355"/>
      <c r="I7865" s="355"/>
      <c r="J7865" s="355"/>
      <c r="K7865" s="355"/>
      <c r="L7865" s="355"/>
      <c r="M7865" s="355"/>
    </row>
    <row r="7866" spans="5:13">
      <c r="E7866" s="355"/>
      <c r="F7866" s="355"/>
      <c r="G7866" s="355"/>
      <c r="H7866" s="355"/>
      <c r="I7866" s="355"/>
      <c r="J7866" s="355"/>
      <c r="K7866" s="355"/>
      <c r="L7866" s="355"/>
      <c r="M7866" s="355"/>
    </row>
    <row r="7867" spans="5:13">
      <c r="E7867" s="355"/>
      <c r="F7867" s="355"/>
      <c r="G7867" s="355"/>
      <c r="H7867" s="355"/>
      <c r="I7867" s="355"/>
      <c r="J7867" s="355"/>
      <c r="K7867" s="355"/>
      <c r="L7867" s="355"/>
      <c r="M7867" s="355"/>
    </row>
    <row r="7868" spans="5:13">
      <c r="E7868" s="355"/>
      <c r="F7868" s="355"/>
      <c r="G7868" s="355"/>
      <c r="H7868" s="355"/>
      <c r="I7868" s="355"/>
      <c r="J7868" s="355"/>
      <c r="K7868" s="355"/>
      <c r="L7868" s="355"/>
      <c r="M7868" s="355"/>
    </row>
    <row r="7869" spans="5:13">
      <c r="E7869" s="355"/>
      <c r="F7869" s="355"/>
      <c r="G7869" s="355"/>
      <c r="H7869" s="355"/>
      <c r="I7869" s="355"/>
      <c r="J7869" s="355"/>
      <c r="K7869" s="355"/>
      <c r="L7869" s="355"/>
      <c r="M7869" s="355"/>
    </row>
    <row r="7870" spans="5:13">
      <c r="E7870" s="355"/>
      <c r="F7870" s="355"/>
      <c r="G7870" s="355"/>
      <c r="H7870" s="355"/>
      <c r="I7870" s="355"/>
      <c r="J7870" s="355"/>
      <c r="K7870" s="355"/>
      <c r="L7870" s="355"/>
      <c r="M7870" s="355"/>
    </row>
    <row r="7871" spans="5:13">
      <c r="E7871" s="355"/>
      <c r="F7871" s="355"/>
      <c r="G7871" s="355"/>
      <c r="H7871" s="355"/>
      <c r="I7871" s="355"/>
      <c r="J7871" s="355"/>
      <c r="K7871" s="355"/>
      <c r="L7871" s="355"/>
      <c r="M7871" s="355"/>
    </row>
    <row r="7872" spans="5:13">
      <c r="E7872" s="355"/>
      <c r="F7872" s="355"/>
      <c r="G7872" s="355"/>
      <c r="H7872" s="355"/>
      <c r="I7872" s="355"/>
      <c r="J7872" s="355"/>
      <c r="K7872" s="355"/>
      <c r="L7872" s="355"/>
      <c r="M7872" s="355"/>
    </row>
    <row r="7873" spans="5:13">
      <c r="E7873" s="355"/>
      <c r="F7873" s="355"/>
      <c r="G7873" s="355"/>
      <c r="H7873" s="355"/>
      <c r="I7873" s="355"/>
      <c r="J7873" s="355"/>
      <c r="K7873" s="355"/>
      <c r="L7873" s="355"/>
      <c r="M7873" s="355"/>
    </row>
    <row r="7874" spans="5:13">
      <c r="E7874" s="355"/>
      <c r="F7874" s="355"/>
      <c r="G7874" s="355"/>
      <c r="H7874" s="355"/>
      <c r="I7874" s="355"/>
      <c r="J7874" s="355"/>
      <c r="K7874" s="355"/>
      <c r="L7874" s="355"/>
      <c r="M7874" s="355"/>
    </row>
    <row r="7875" spans="5:13">
      <c r="E7875" s="355"/>
      <c r="F7875" s="355"/>
      <c r="G7875" s="355"/>
      <c r="H7875" s="355"/>
      <c r="I7875" s="355"/>
      <c r="J7875" s="355"/>
      <c r="K7875" s="355"/>
      <c r="L7875" s="355"/>
      <c r="M7875" s="355"/>
    </row>
    <row r="7876" spans="5:13">
      <c r="E7876" s="355"/>
      <c r="F7876" s="355"/>
      <c r="G7876" s="355"/>
      <c r="H7876" s="355"/>
      <c r="I7876" s="355"/>
      <c r="J7876" s="355"/>
      <c r="K7876" s="355"/>
      <c r="L7876" s="355"/>
      <c r="M7876" s="355"/>
    </row>
    <row r="7877" spans="5:13">
      <c r="E7877" s="355"/>
      <c r="F7877" s="355"/>
      <c r="G7877" s="355"/>
      <c r="H7877" s="355"/>
      <c r="I7877" s="355"/>
      <c r="J7877" s="355"/>
      <c r="K7877" s="355"/>
      <c r="L7877" s="355"/>
      <c r="M7877" s="355"/>
    </row>
    <row r="7878" spans="5:13">
      <c r="E7878" s="355"/>
      <c r="F7878" s="355"/>
      <c r="G7878" s="355"/>
      <c r="H7878" s="355"/>
      <c r="I7878" s="355"/>
      <c r="J7878" s="355"/>
      <c r="K7878" s="355"/>
      <c r="L7878" s="355"/>
      <c r="M7878" s="355"/>
    </row>
    <row r="7879" spans="5:13">
      <c r="E7879" s="355"/>
      <c r="F7879" s="355"/>
      <c r="G7879" s="355"/>
      <c r="H7879" s="355"/>
      <c r="I7879" s="355"/>
      <c r="J7879" s="355"/>
      <c r="K7879" s="355"/>
      <c r="L7879" s="355"/>
      <c r="M7879" s="355"/>
    </row>
    <row r="7880" spans="5:13">
      <c r="E7880" s="355"/>
      <c r="F7880" s="355"/>
      <c r="G7880" s="355"/>
      <c r="H7880" s="355"/>
      <c r="I7880" s="355"/>
      <c r="J7880" s="355"/>
      <c r="K7880" s="355"/>
      <c r="L7880" s="355"/>
      <c r="M7880" s="355"/>
    </row>
    <row r="7881" spans="5:13">
      <c r="E7881" s="355"/>
      <c r="F7881" s="355"/>
      <c r="G7881" s="355"/>
      <c r="H7881" s="355"/>
      <c r="I7881" s="355"/>
      <c r="J7881" s="355"/>
      <c r="K7881" s="355"/>
      <c r="L7881" s="355"/>
      <c r="M7881" s="355"/>
    </row>
    <row r="7882" spans="5:13">
      <c r="E7882" s="355"/>
      <c r="F7882" s="355"/>
      <c r="G7882" s="355"/>
      <c r="H7882" s="355"/>
      <c r="I7882" s="355"/>
      <c r="J7882" s="355"/>
      <c r="K7882" s="355"/>
      <c r="L7882" s="355"/>
      <c r="M7882" s="355"/>
    </row>
    <row r="7883" spans="5:13">
      <c r="E7883" s="355"/>
      <c r="F7883" s="355"/>
      <c r="G7883" s="355"/>
      <c r="H7883" s="355"/>
      <c r="I7883" s="355"/>
      <c r="J7883" s="355"/>
      <c r="K7883" s="355"/>
      <c r="L7883" s="355"/>
      <c r="M7883" s="355"/>
    </row>
    <row r="7884" spans="5:13">
      <c r="E7884" s="355"/>
      <c r="F7884" s="355"/>
      <c r="G7884" s="355"/>
      <c r="H7884" s="355"/>
      <c r="I7884" s="355"/>
      <c r="J7884" s="355"/>
      <c r="K7884" s="355"/>
      <c r="L7884" s="355"/>
      <c r="M7884" s="355"/>
    </row>
    <row r="7885" spans="5:13">
      <c r="E7885" s="355"/>
      <c r="F7885" s="355"/>
      <c r="G7885" s="355"/>
      <c r="H7885" s="355"/>
      <c r="I7885" s="355"/>
      <c r="J7885" s="355"/>
      <c r="K7885" s="355"/>
      <c r="L7885" s="355"/>
      <c r="M7885" s="355"/>
    </row>
    <row r="7886" spans="5:13">
      <c r="E7886" s="355"/>
      <c r="F7886" s="355"/>
      <c r="G7886" s="355"/>
      <c r="H7886" s="355"/>
      <c r="I7886" s="355"/>
      <c r="J7886" s="355"/>
      <c r="K7886" s="355"/>
      <c r="L7886" s="355"/>
      <c r="M7886" s="355"/>
    </row>
    <row r="7887" spans="5:13">
      <c r="E7887" s="355"/>
      <c r="F7887" s="355"/>
      <c r="G7887" s="355"/>
      <c r="H7887" s="355"/>
      <c r="I7887" s="355"/>
      <c r="J7887" s="355"/>
      <c r="K7887" s="355"/>
      <c r="L7887" s="355"/>
      <c r="M7887" s="355"/>
    </row>
    <row r="7888" spans="5:13">
      <c r="E7888" s="355"/>
      <c r="F7888" s="355"/>
      <c r="G7888" s="355"/>
      <c r="H7888" s="355"/>
      <c r="I7888" s="355"/>
      <c r="J7888" s="355"/>
      <c r="K7888" s="355"/>
      <c r="L7888" s="355"/>
      <c r="M7888" s="355"/>
    </row>
    <row r="7889" spans="5:13">
      <c r="E7889" s="355"/>
      <c r="F7889" s="355"/>
      <c r="G7889" s="355"/>
      <c r="H7889" s="355"/>
      <c r="I7889" s="355"/>
      <c r="J7889" s="355"/>
      <c r="K7889" s="355"/>
      <c r="L7889" s="355"/>
      <c r="M7889" s="355"/>
    </row>
    <row r="7890" spans="5:13">
      <c r="E7890" s="355"/>
      <c r="F7890" s="355"/>
      <c r="G7890" s="355"/>
      <c r="H7890" s="355"/>
      <c r="I7890" s="355"/>
      <c r="J7890" s="355"/>
      <c r="K7890" s="355"/>
      <c r="L7890" s="355"/>
      <c r="M7890" s="355"/>
    </row>
    <row r="7891" spans="5:13">
      <c r="E7891" s="355"/>
      <c r="F7891" s="355"/>
      <c r="G7891" s="355"/>
      <c r="H7891" s="355"/>
      <c r="I7891" s="355"/>
      <c r="J7891" s="355"/>
      <c r="K7891" s="355"/>
      <c r="L7891" s="355"/>
      <c r="M7891" s="355"/>
    </row>
    <row r="7892" spans="5:13">
      <c r="E7892" s="355"/>
      <c r="F7892" s="355"/>
      <c r="G7892" s="355"/>
      <c r="H7892" s="355"/>
      <c r="I7892" s="355"/>
      <c r="J7892" s="355"/>
      <c r="K7892" s="355"/>
      <c r="L7892" s="355"/>
      <c r="M7892" s="355"/>
    </row>
    <row r="7893" spans="5:13">
      <c r="E7893" s="355"/>
      <c r="F7893" s="355"/>
      <c r="G7893" s="355"/>
      <c r="H7893" s="355"/>
      <c r="I7893" s="355"/>
      <c r="J7893" s="355"/>
      <c r="K7893" s="355"/>
      <c r="L7893" s="355"/>
      <c r="M7893" s="355"/>
    </row>
    <row r="7894" spans="5:13">
      <c r="E7894" s="355"/>
      <c r="F7894" s="355"/>
      <c r="G7894" s="355"/>
      <c r="H7894" s="355"/>
      <c r="I7894" s="355"/>
      <c r="J7894" s="355"/>
      <c r="K7894" s="355"/>
      <c r="L7894" s="355"/>
      <c r="M7894" s="355"/>
    </row>
    <row r="7895" spans="5:13">
      <c r="E7895" s="355"/>
      <c r="F7895" s="355"/>
      <c r="G7895" s="355"/>
      <c r="H7895" s="355"/>
      <c r="I7895" s="355"/>
      <c r="J7895" s="355"/>
      <c r="K7895" s="355"/>
      <c r="L7895" s="355"/>
      <c r="M7895" s="355"/>
    </row>
    <row r="7896" spans="5:13">
      <c r="E7896" s="355"/>
      <c r="F7896" s="355"/>
      <c r="G7896" s="355"/>
      <c r="H7896" s="355"/>
      <c r="I7896" s="355"/>
      <c r="J7896" s="355"/>
      <c r="K7896" s="355"/>
      <c r="L7896" s="355"/>
      <c r="M7896" s="355"/>
    </row>
    <row r="7897" spans="5:13">
      <c r="E7897" s="355"/>
      <c r="F7897" s="355"/>
      <c r="G7897" s="355"/>
      <c r="H7897" s="355"/>
      <c r="I7897" s="355"/>
      <c r="J7897" s="355"/>
      <c r="K7897" s="355"/>
      <c r="L7897" s="355"/>
      <c r="M7897" s="355"/>
    </row>
    <row r="7898" spans="5:13">
      <c r="E7898" s="355"/>
      <c r="F7898" s="355"/>
      <c r="G7898" s="355"/>
      <c r="H7898" s="355"/>
      <c r="I7898" s="355"/>
      <c r="J7898" s="355"/>
      <c r="K7898" s="355"/>
      <c r="L7898" s="355"/>
      <c r="M7898" s="355"/>
    </row>
    <row r="7899" spans="5:13">
      <c r="E7899" s="355"/>
      <c r="F7899" s="355"/>
      <c r="G7899" s="355"/>
      <c r="H7899" s="355"/>
      <c r="I7899" s="355"/>
      <c r="J7899" s="355"/>
      <c r="K7899" s="355"/>
      <c r="L7899" s="355"/>
      <c r="M7899" s="355"/>
    </row>
    <row r="7900" spans="5:13">
      <c r="E7900" s="355"/>
      <c r="F7900" s="355"/>
      <c r="G7900" s="355"/>
      <c r="H7900" s="355"/>
      <c r="I7900" s="355"/>
      <c r="J7900" s="355"/>
      <c r="K7900" s="355"/>
      <c r="L7900" s="355"/>
      <c r="M7900" s="355"/>
    </row>
    <row r="7901" spans="5:13">
      <c r="E7901" s="355"/>
      <c r="F7901" s="355"/>
      <c r="G7901" s="355"/>
      <c r="H7901" s="355"/>
      <c r="I7901" s="355"/>
      <c r="J7901" s="355"/>
      <c r="K7901" s="355"/>
      <c r="L7901" s="355"/>
      <c r="M7901" s="355"/>
    </row>
    <row r="7902" spans="5:13">
      <c r="E7902" s="355"/>
      <c r="F7902" s="355"/>
      <c r="G7902" s="355"/>
      <c r="H7902" s="355"/>
      <c r="I7902" s="355"/>
      <c r="J7902" s="355"/>
      <c r="K7902" s="355"/>
      <c r="L7902" s="355"/>
      <c r="M7902" s="355"/>
    </row>
    <row r="7903" spans="5:13">
      <c r="E7903" s="355"/>
      <c r="F7903" s="355"/>
      <c r="G7903" s="355"/>
      <c r="H7903" s="355"/>
      <c r="I7903" s="355"/>
      <c r="J7903" s="355"/>
      <c r="K7903" s="355"/>
      <c r="L7903" s="355"/>
      <c r="M7903" s="355"/>
    </row>
    <row r="7904" spans="5:13">
      <c r="E7904" s="355"/>
      <c r="F7904" s="355"/>
      <c r="G7904" s="355"/>
      <c r="H7904" s="355"/>
      <c r="I7904" s="355"/>
      <c r="J7904" s="355"/>
      <c r="K7904" s="355"/>
      <c r="L7904" s="355"/>
      <c r="M7904" s="355"/>
    </row>
    <row r="7905" spans="5:13">
      <c r="E7905" s="355"/>
      <c r="F7905" s="355"/>
      <c r="G7905" s="355"/>
      <c r="H7905" s="355"/>
      <c r="I7905" s="355"/>
      <c r="J7905" s="355"/>
      <c r="K7905" s="355"/>
      <c r="L7905" s="355"/>
      <c r="M7905" s="355"/>
    </row>
    <row r="7906" spans="5:13">
      <c r="E7906" s="355"/>
      <c r="F7906" s="355"/>
      <c r="G7906" s="355"/>
      <c r="H7906" s="355"/>
      <c r="I7906" s="355"/>
      <c r="J7906" s="355"/>
      <c r="K7906" s="355"/>
      <c r="L7906" s="355"/>
      <c r="M7906" s="355"/>
    </row>
    <row r="7907" spans="5:13">
      <c r="E7907" s="355"/>
      <c r="F7907" s="355"/>
      <c r="G7907" s="355"/>
      <c r="H7907" s="355"/>
      <c r="I7907" s="355"/>
      <c r="J7907" s="355"/>
      <c r="K7907" s="355"/>
      <c r="L7907" s="355"/>
      <c r="M7907" s="355"/>
    </row>
    <row r="7908" spans="5:13">
      <c r="E7908" s="355"/>
      <c r="F7908" s="355"/>
      <c r="G7908" s="355"/>
      <c r="H7908" s="355"/>
      <c r="I7908" s="355"/>
      <c r="J7908" s="355"/>
      <c r="K7908" s="355"/>
      <c r="L7908" s="355"/>
      <c r="M7908" s="355"/>
    </row>
    <row r="7909" spans="5:13">
      <c r="E7909" s="355"/>
      <c r="F7909" s="355"/>
      <c r="G7909" s="355"/>
      <c r="H7909" s="355"/>
      <c r="I7909" s="355"/>
      <c r="J7909" s="355"/>
      <c r="K7909" s="355"/>
      <c r="L7909" s="355"/>
      <c r="M7909" s="355"/>
    </row>
    <row r="7910" spans="5:13">
      <c r="E7910" s="355"/>
      <c r="F7910" s="355"/>
      <c r="G7910" s="355"/>
      <c r="H7910" s="355"/>
      <c r="I7910" s="355"/>
      <c r="J7910" s="355"/>
      <c r="K7910" s="355"/>
      <c r="L7910" s="355"/>
      <c r="M7910" s="355"/>
    </row>
    <row r="7911" spans="5:13">
      <c r="E7911" s="355"/>
      <c r="F7911" s="355"/>
      <c r="G7911" s="355"/>
      <c r="H7911" s="355"/>
      <c r="I7911" s="355"/>
      <c r="J7911" s="355"/>
      <c r="K7911" s="355"/>
      <c r="L7911" s="355"/>
      <c r="M7911" s="355"/>
    </row>
    <row r="7912" spans="5:13">
      <c r="E7912" s="355"/>
      <c r="F7912" s="355"/>
      <c r="G7912" s="355"/>
      <c r="H7912" s="355"/>
      <c r="I7912" s="355"/>
      <c r="J7912" s="355"/>
      <c r="K7912" s="355"/>
      <c r="L7912" s="355"/>
      <c r="M7912" s="355"/>
    </row>
    <row r="7913" spans="5:13">
      <c r="E7913" s="355"/>
      <c r="F7913" s="355"/>
      <c r="G7913" s="355"/>
      <c r="H7913" s="355"/>
      <c r="I7913" s="355"/>
      <c r="J7913" s="355"/>
      <c r="K7913" s="355"/>
      <c r="L7913" s="355"/>
      <c r="M7913" s="355"/>
    </row>
    <row r="7914" spans="5:13">
      <c r="H7914" s="276"/>
    </row>
    <row r="7915" spans="5:13">
      <c r="H7915" s="276"/>
    </row>
    <row r="7916" spans="5:13">
      <c r="H7916" s="276"/>
    </row>
    <row r="7917" spans="5:13">
      <c r="H7917" s="276"/>
    </row>
    <row r="7918" spans="5:13">
      <c r="H7918" s="276"/>
    </row>
    <row r="7919" spans="5:13">
      <c r="H7919" s="276"/>
    </row>
    <row r="7920" spans="5:13">
      <c r="H7920" s="276"/>
    </row>
    <row r="7921" spans="8:8">
      <c r="H7921" s="276"/>
    </row>
    <row r="7922" spans="8:8">
      <c r="H7922" s="276"/>
    </row>
    <row r="7923" spans="8:8">
      <c r="H7923" s="276"/>
    </row>
    <row r="7924" spans="8:8">
      <c r="H7924" s="276"/>
    </row>
    <row r="7925" spans="8:8">
      <c r="H7925" s="276"/>
    </row>
    <row r="7926" spans="8:8">
      <c r="H7926" s="276"/>
    </row>
    <row r="7927" spans="8:8">
      <c r="H7927" s="276"/>
    </row>
    <row r="7928" spans="8:8">
      <c r="H7928" s="276"/>
    </row>
    <row r="7929" spans="8:8">
      <c r="H7929" s="276"/>
    </row>
    <row r="7930" spans="8:8">
      <c r="H7930" s="276"/>
    </row>
    <row r="7931" spans="8:8">
      <c r="H7931" s="276"/>
    </row>
    <row r="7932" spans="8:8">
      <c r="H7932" s="276"/>
    </row>
    <row r="7933" spans="8:8">
      <c r="H7933" s="276"/>
    </row>
    <row r="7934" spans="8:8">
      <c r="H7934" s="276"/>
    </row>
    <row r="7935" spans="8:8">
      <c r="H7935" s="276"/>
    </row>
    <row r="7936" spans="8:8">
      <c r="H7936" s="276"/>
    </row>
    <row r="7937" spans="8:8">
      <c r="H7937" s="276"/>
    </row>
    <row r="7938" spans="8:8">
      <c r="H7938" s="276"/>
    </row>
    <row r="7939" spans="8:8">
      <c r="H7939" s="276"/>
    </row>
    <row r="7940" spans="8:8">
      <c r="H7940" s="276"/>
    </row>
    <row r="7941" spans="8:8">
      <c r="H7941" s="276"/>
    </row>
    <row r="7942" spans="8:8">
      <c r="H7942" s="276"/>
    </row>
    <row r="7943" spans="8:8">
      <c r="H7943" s="276"/>
    </row>
    <row r="7944" spans="8:8">
      <c r="H7944" s="276"/>
    </row>
    <row r="7945" spans="8:8">
      <c r="H7945" s="276"/>
    </row>
    <row r="7946" spans="8:8">
      <c r="H7946" s="276"/>
    </row>
    <row r="7947" spans="8:8">
      <c r="H7947" s="276"/>
    </row>
    <row r="7948" spans="8:8">
      <c r="H7948" s="276"/>
    </row>
    <row r="7949" spans="8:8">
      <c r="H7949" s="276"/>
    </row>
    <row r="7950" spans="8:8">
      <c r="H7950" s="276"/>
    </row>
    <row r="7951" spans="8:8">
      <c r="H7951" s="276"/>
    </row>
    <row r="7952" spans="8:8">
      <c r="H7952" s="276"/>
    </row>
    <row r="7953" spans="8:8">
      <c r="H7953" s="276"/>
    </row>
    <row r="7954" spans="8:8">
      <c r="H7954" s="276"/>
    </row>
    <row r="7955" spans="8:8">
      <c r="H7955" s="276"/>
    </row>
    <row r="7956" spans="8:8">
      <c r="H7956" s="276"/>
    </row>
    <row r="7957" spans="8:8">
      <c r="H7957" s="276"/>
    </row>
    <row r="7958" spans="8:8">
      <c r="H7958" s="276"/>
    </row>
    <row r="7959" spans="8:8">
      <c r="H7959" s="276"/>
    </row>
    <row r="7960" spans="8:8">
      <c r="H7960" s="276"/>
    </row>
    <row r="7961" spans="8:8">
      <c r="H7961" s="276"/>
    </row>
    <row r="7962" spans="8:8">
      <c r="H7962" s="276"/>
    </row>
    <row r="7963" spans="8:8">
      <c r="H7963" s="276"/>
    </row>
    <row r="7964" spans="8:8">
      <c r="H7964" s="276"/>
    </row>
    <row r="7965" spans="8:8">
      <c r="H7965" s="276"/>
    </row>
    <row r="7966" spans="8:8">
      <c r="H7966" s="276"/>
    </row>
    <row r="7967" spans="8:8">
      <c r="H7967" s="276"/>
    </row>
    <row r="7968" spans="8:8">
      <c r="H7968" s="276"/>
    </row>
    <row r="7969" spans="8:8">
      <c r="H7969" s="276"/>
    </row>
    <row r="7970" spans="8:8">
      <c r="H7970" s="276"/>
    </row>
    <row r="7971" spans="8:8">
      <c r="H7971" s="276"/>
    </row>
    <row r="7972" spans="8:8">
      <c r="H7972" s="276"/>
    </row>
    <row r="7973" spans="8:8">
      <c r="H7973" s="276"/>
    </row>
    <row r="7974" spans="8:8">
      <c r="H7974" s="276"/>
    </row>
    <row r="7975" spans="8:8">
      <c r="H7975" s="276"/>
    </row>
    <row r="7976" spans="8:8">
      <c r="H7976" s="276"/>
    </row>
    <row r="7977" spans="8:8">
      <c r="H7977" s="276"/>
    </row>
    <row r="7978" spans="8:8">
      <c r="H7978" s="276"/>
    </row>
    <row r="7979" spans="8:8">
      <c r="H7979" s="276"/>
    </row>
    <row r="7980" spans="8:8">
      <c r="H7980" s="276"/>
    </row>
    <row r="7981" spans="8:8">
      <c r="H7981" s="276"/>
    </row>
    <row r="7982" spans="8:8">
      <c r="H7982" s="276"/>
    </row>
    <row r="7983" spans="8:8">
      <c r="H7983" s="276"/>
    </row>
    <row r="7984" spans="8:8">
      <c r="H7984" s="276"/>
    </row>
    <row r="7985" spans="8:8">
      <c r="H7985" s="276"/>
    </row>
    <row r="7986" spans="8:8">
      <c r="H7986" s="276"/>
    </row>
    <row r="7987" spans="8:8">
      <c r="H7987" s="276"/>
    </row>
    <row r="7988" spans="8:8">
      <c r="H7988" s="276"/>
    </row>
    <row r="7989" spans="8:8">
      <c r="H7989" s="276"/>
    </row>
    <row r="7990" spans="8:8">
      <c r="H7990" s="276"/>
    </row>
    <row r="7991" spans="8:8">
      <c r="H7991" s="276"/>
    </row>
    <row r="7992" spans="8:8">
      <c r="H7992" s="276"/>
    </row>
    <row r="7993" spans="8:8">
      <c r="H7993" s="276"/>
    </row>
    <row r="7994" spans="8:8">
      <c r="H7994" s="276"/>
    </row>
    <row r="7995" spans="8:8">
      <c r="H7995" s="276"/>
    </row>
    <row r="7996" spans="8:8">
      <c r="H7996" s="276"/>
    </row>
    <row r="7997" spans="8:8">
      <c r="H7997" s="276"/>
    </row>
    <row r="7998" spans="8:8">
      <c r="H7998" s="276"/>
    </row>
    <row r="7999" spans="8:8">
      <c r="H7999" s="276"/>
    </row>
    <row r="8000" spans="8:8">
      <c r="H8000" s="276"/>
    </row>
    <row r="8001" spans="8:8">
      <c r="H8001" s="276"/>
    </row>
    <row r="8002" spans="8:8">
      <c r="H8002" s="276"/>
    </row>
    <row r="8003" spans="8:8">
      <c r="H8003" s="276"/>
    </row>
    <row r="8004" spans="8:8">
      <c r="H8004" s="276"/>
    </row>
    <row r="8005" spans="8:8">
      <c r="H8005" s="276"/>
    </row>
    <row r="8006" spans="8:8">
      <c r="H8006" s="276"/>
    </row>
    <row r="8007" spans="8:8">
      <c r="H8007" s="276"/>
    </row>
    <row r="8008" spans="8:8">
      <c r="H8008" s="276"/>
    </row>
    <row r="8009" spans="8:8">
      <c r="H8009" s="276"/>
    </row>
    <row r="8010" spans="8:8">
      <c r="H8010" s="276"/>
    </row>
    <row r="8011" spans="8:8">
      <c r="H8011" s="276"/>
    </row>
    <row r="8012" spans="8:8">
      <c r="H8012" s="276"/>
    </row>
    <row r="8013" spans="8:8">
      <c r="H8013" s="276"/>
    </row>
    <row r="8014" spans="8:8">
      <c r="H8014" s="276"/>
    </row>
    <row r="8015" spans="8:8">
      <c r="H8015" s="276"/>
    </row>
    <row r="8016" spans="8:8">
      <c r="H8016" s="276"/>
    </row>
    <row r="8017" spans="8:8">
      <c r="H8017" s="276"/>
    </row>
    <row r="8018" spans="8:8">
      <c r="H8018" s="276"/>
    </row>
    <row r="8019" spans="8:8">
      <c r="H8019" s="276"/>
    </row>
    <row r="8020" spans="8:8">
      <c r="H8020" s="276"/>
    </row>
    <row r="8021" spans="8:8">
      <c r="H8021" s="276"/>
    </row>
    <row r="8022" spans="8:8">
      <c r="H8022" s="276"/>
    </row>
    <row r="8023" spans="8:8">
      <c r="H8023" s="276"/>
    </row>
    <row r="8024" spans="8:8">
      <c r="H8024" s="276"/>
    </row>
    <row r="8025" spans="8:8">
      <c r="H8025" s="276"/>
    </row>
    <row r="8026" spans="8:8">
      <c r="H8026" s="276"/>
    </row>
    <row r="8027" spans="8:8">
      <c r="H8027" s="276"/>
    </row>
    <row r="8028" spans="8:8">
      <c r="H8028" s="276"/>
    </row>
    <row r="8029" spans="8:8">
      <c r="H8029" s="276"/>
    </row>
    <row r="8030" spans="8:8">
      <c r="H8030" s="276"/>
    </row>
    <row r="8031" spans="8:8">
      <c r="H8031" s="276"/>
    </row>
    <row r="8032" spans="8:8">
      <c r="H8032" s="276"/>
    </row>
    <row r="8033" spans="8:8">
      <c r="H8033" s="276"/>
    </row>
    <row r="8034" spans="8:8">
      <c r="H8034" s="276"/>
    </row>
    <row r="8035" spans="8:8">
      <c r="H8035" s="276"/>
    </row>
    <row r="8036" spans="8:8">
      <c r="H8036" s="276"/>
    </row>
    <row r="8037" spans="8:8">
      <c r="H8037" s="276"/>
    </row>
    <row r="8038" spans="8:8">
      <c r="H8038" s="276"/>
    </row>
    <row r="8039" spans="8:8">
      <c r="H8039" s="276"/>
    </row>
    <row r="8040" spans="8:8">
      <c r="H8040" s="276"/>
    </row>
    <row r="8041" spans="8:8">
      <c r="H8041" s="276"/>
    </row>
    <row r="8042" spans="8:8">
      <c r="H8042" s="276"/>
    </row>
    <row r="8043" spans="8:8">
      <c r="H8043" s="276"/>
    </row>
    <row r="8044" spans="8:8">
      <c r="H8044" s="276"/>
    </row>
    <row r="8045" spans="8:8">
      <c r="H8045" s="276"/>
    </row>
    <row r="8046" spans="8:8">
      <c r="H8046" s="276"/>
    </row>
    <row r="8047" spans="8:8">
      <c r="H8047" s="276"/>
    </row>
    <row r="8048" spans="8:8">
      <c r="H8048" s="276"/>
    </row>
    <row r="8049" spans="8:8">
      <c r="H8049" s="276"/>
    </row>
    <row r="8050" spans="8:8">
      <c r="H8050" s="276"/>
    </row>
    <row r="8051" spans="8:8">
      <c r="H8051" s="276"/>
    </row>
    <row r="8052" spans="8:8">
      <c r="H8052" s="276"/>
    </row>
    <row r="8053" spans="8:8">
      <c r="H8053" s="276"/>
    </row>
    <row r="8054" spans="8:8">
      <c r="H8054" s="276"/>
    </row>
    <row r="8055" spans="8:8">
      <c r="H8055" s="276"/>
    </row>
    <row r="8056" spans="8:8">
      <c r="H8056" s="276"/>
    </row>
    <row r="8057" spans="8:8">
      <c r="H8057" s="276"/>
    </row>
    <row r="8058" spans="8:8">
      <c r="H8058" s="276"/>
    </row>
    <row r="8059" spans="8:8">
      <c r="H8059" s="276"/>
    </row>
    <row r="8060" spans="8:8">
      <c r="H8060" s="276"/>
    </row>
    <row r="8061" spans="8:8">
      <c r="H8061" s="276"/>
    </row>
    <row r="8062" spans="8:8">
      <c r="H8062" s="276"/>
    </row>
    <row r="8063" spans="8:8">
      <c r="H8063" s="276"/>
    </row>
    <row r="8064" spans="8:8">
      <c r="H8064" s="276"/>
    </row>
    <row r="8065" spans="8:8">
      <c r="H8065" s="276"/>
    </row>
    <row r="8066" spans="8:8">
      <c r="H8066" s="276"/>
    </row>
    <row r="8067" spans="8:8">
      <c r="H8067" s="276"/>
    </row>
    <row r="8068" spans="8:8">
      <c r="H8068" s="276"/>
    </row>
    <row r="8069" spans="8:8">
      <c r="H8069" s="276"/>
    </row>
    <row r="8070" spans="8:8">
      <c r="H8070" s="276"/>
    </row>
    <row r="8071" spans="8:8">
      <c r="H8071" s="276"/>
    </row>
    <row r="8072" spans="8:8">
      <c r="H8072" s="276"/>
    </row>
    <row r="8073" spans="8:8">
      <c r="H8073" s="276"/>
    </row>
    <row r="8074" spans="8:8">
      <c r="H8074" s="276"/>
    </row>
    <row r="8075" spans="8:8">
      <c r="H8075" s="276"/>
    </row>
    <row r="8076" spans="8:8">
      <c r="H8076" s="276"/>
    </row>
    <row r="8077" spans="8:8">
      <c r="H8077" s="276"/>
    </row>
    <row r="8078" spans="8:8">
      <c r="H8078" s="276"/>
    </row>
    <row r="8079" spans="8:8">
      <c r="H8079" s="276"/>
    </row>
    <row r="8080" spans="8:8">
      <c r="H8080" s="276"/>
    </row>
    <row r="8081" spans="8:8">
      <c r="H8081" s="276"/>
    </row>
    <row r="8082" spans="8:8">
      <c r="H8082" s="276"/>
    </row>
    <row r="8083" spans="8:8">
      <c r="H8083" s="276"/>
    </row>
    <row r="8084" spans="8:8">
      <c r="H8084" s="276"/>
    </row>
    <row r="8085" spans="8:8">
      <c r="H8085" s="276"/>
    </row>
    <row r="8086" spans="8:8">
      <c r="H8086" s="276"/>
    </row>
    <row r="8087" spans="8:8">
      <c r="H8087" s="276"/>
    </row>
    <row r="8088" spans="8:8">
      <c r="H8088" s="276"/>
    </row>
    <row r="8089" spans="8:8">
      <c r="H8089" s="276"/>
    </row>
    <row r="8090" spans="8:8">
      <c r="H8090" s="276"/>
    </row>
    <row r="8091" spans="8:8">
      <c r="H8091" s="276"/>
    </row>
    <row r="8092" spans="8:8">
      <c r="H8092" s="276"/>
    </row>
    <row r="8093" spans="8:8">
      <c r="H8093" s="276"/>
    </row>
    <row r="8094" spans="8:8">
      <c r="H8094" s="276"/>
    </row>
    <row r="8095" spans="8:8">
      <c r="H8095" s="276"/>
    </row>
    <row r="8096" spans="8:8">
      <c r="H8096" s="276"/>
    </row>
    <row r="8097" spans="8:8">
      <c r="H8097" s="276"/>
    </row>
    <row r="8098" spans="8:8">
      <c r="H8098" s="276"/>
    </row>
    <row r="8099" spans="8:8">
      <c r="H8099" s="276"/>
    </row>
    <row r="8100" spans="8:8">
      <c r="H8100" s="276"/>
    </row>
    <row r="8101" spans="8:8">
      <c r="H8101" s="276"/>
    </row>
    <row r="8102" spans="8:8">
      <c r="H8102" s="276"/>
    </row>
    <row r="8103" spans="8:8">
      <c r="H8103" s="276"/>
    </row>
    <row r="8104" spans="8:8">
      <c r="H8104" s="276"/>
    </row>
    <row r="8105" spans="8:8">
      <c r="H8105" s="276"/>
    </row>
    <row r="8106" spans="8:8">
      <c r="H8106" s="276"/>
    </row>
    <row r="8107" spans="8:8">
      <c r="H8107" s="276"/>
    </row>
    <row r="8108" spans="8:8">
      <c r="H8108" s="276"/>
    </row>
    <row r="8109" spans="8:8">
      <c r="H8109" s="276"/>
    </row>
    <row r="8110" spans="8:8">
      <c r="H8110" s="276"/>
    </row>
    <row r="8111" spans="8:8">
      <c r="H8111" s="276"/>
    </row>
    <row r="8112" spans="8:8">
      <c r="H8112" s="276"/>
    </row>
    <row r="8113" spans="8:8">
      <c r="H8113" s="276"/>
    </row>
    <row r="8114" spans="8:8">
      <c r="H8114" s="276"/>
    </row>
    <row r="8115" spans="8:8">
      <c r="H8115" s="276"/>
    </row>
    <row r="8116" spans="8:8">
      <c r="H8116" s="276"/>
    </row>
    <row r="8117" spans="8:8">
      <c r="H8117" s="276"/>
    </row>
    <row r="8118" spans="8:8">
      <c r="H8118" s="276"/>
    </row>
    <row r="8119" spans="8:8">
      <c r="H8119" s="276"/>
    </row>
    <row r="8120" spans="8:8">
      <c r="H8120" s="276"/>
    </row>
    <row r="8121" spans="8:8">
      <c r="H8121" s="276"/>
    </row>
    <row r="8122" spans="8:8">
      <c r="H8122" s="276"/>
    </row>
    <row r="8123" spans="8:8">
      <c r="H8123" s="276"/>
    </row>
    <row r="8124" spans="8:8">
      <c r="H8124" s="276"/>
    </row>
    <row r="8125" spans="8:8">
      <c r="H8125" s="276"/>
    </row>
    <row r="8126" spans="8:8">
      <c r="H8126" s="276"/>
    </row>
    <row r="8127" spans="8:8">
      <c r="H8127" s="276"/>
    </row>
    <row r="8128" spans="8:8">
      <c r="H8128" s="276"/>
    </row>
    <row r="8129" spans="8:8">
      <c r="H8129" s="276"/>
    </row>
    <row r="8130" spans="8:8">
      <c r="H8130" s="276"/>
    </row>
    <row r="8131" spans="8:8">
      <c r="H8131" s="276"/>
    </row>
    <row r="8132" spans="8:8">
      <c r="H8132" s="276"/>
    </row>
    <row r="8133" spans="8:8">
      <c r="H8133" s="276"/>
    </row>
    <row r="8134" spans="8:8">
      <c r="H8134" s="276"/>
    </row>
    <row r="8135" spans="8:8">
      <c r="H8135" s="276"/>
    </row>
    <row r="8136" spans="8:8">
      <c r="H8136" s="276"/>
    </row>
    <row r="8137" spans="8:8">
      <c r="H8137" s="276"/>
    </row>
    <row r="8138" spans="8:8">
      <c r="H8138" s="276"/>
    </row>
    <row r="8139" spans="8:8">
      <c r="H8139" s="276"/>
    </row>
    <row r="8140" spans="8:8">
      <c r="H8140" s="276"/>
    </row>
    <row r="8141" spans="8:8">
      <c r="H8141" s="276"/>
    </row>
    <row r="8142" spans="8:8">
      <c r="H8142" s="276"/>
    </row>
    <row r="8143" spans="8:8">
      <c r="H8143" s="276"/>
    </row>
    <row r="8144" spans="8:8">
      <c r="H8144" s="276"/>
    </row>
    <row r="8145" spans="8:8">
      <c r="H8145" s="276"/>
    </row>
    <row r="8146" spans="8:8">
      <c r="H8146" s="276"/>
    </row>
    <row r="8147" spans="8:8">
      <c r="H8147" s="276"/>
    </row>
    <row r="8148" spans="8:8">
      <c r="H8148" s="276"/>
    </row>
    <row r="8149" spans="8:8">
      <c r="H8149" s="276"/>
    </row>
    <row r="8150" spans="8:8">
      <c r="H8150" s="276"/>
    </row>
    <row r="8151" spans="8:8">
      <c r="H8151" s="276"/>
    </row>
    <row r="8152" spans="8:8">
      <c r="H8152" s="276"/>
    </row>
    <row r="8153" spans="8:8">
      <c r="H8153" s="276"/>
    </row>
    <row r="8154" spans="8:8">
      <c r="H8154" s="276"/>
    </row>
    <row r="8155" spans="8:8">
      <c r="H8155" s="276"/>
    </row>
    <row r="8156" spans="8:8">
      <c r="H8156" s="276"/>
    </row>
    <row r="8157" spans="8:8">
      <c r="H8157" s="276"/>
    </row>
    <row r="8158" spans="8:8">
      <c r="H8158" s="276"/>
    </row>
    <row r="8159" spans="8:8">
      <c r="H8159" s="276"/>
    </row>
    <row r="8160" spans="8:8">
      <c r="H8160" s="276"/>
    </row>
    <row r="8161" spans="8:8">
      <c r="H8161" s="276"/>
    </row>
    <row r="8162" spans="8:8">
      <c r="H8162" s="276"/>
    </row>
    <row r="8163" spans="8:8">
      <c r="H8163" s="276"/>
    </row>
    <row r="8164" spans="8:8">
      <c r="H8164" s="276"/>
    </row>
    <row r="8165" spans="8:8">
      <c r="H8165" s="276"/>
    </row>
    <row r="8166" spans="8:8">
      <c r="H8166" s="276"/>
    </row>
    <row r="8167" spans="8:8">
      <c r="H8167" s="276"/>
    </row>
    <row r="8168" spans="8:8">
      <c r="H8168" s="276"/>
    </row>
    <row r="8169" spans="8:8">
      <c r="H8169" s="276"/>
    </row>
    <row r="8170" spans="8:8">
      <c r="H8170" s="276"/>
    </row>
    <row r="8171" spans="8:8">
      <c r="H8171" s="276"/>
    </row>
    <row r="8172" spans="8:8">
      <c r="H8172" s="276"/>
    </row>
    <row r="8173" spans="8:8">
      <c r="H8173" s="276"/>
    </row>
    <row r="8174" spans="8:8">
      <c r="H8174" s="276"/>
    </row>
    <row r="8175" spans="8:8">
      <c r="H8175" s="276"/>
    </row>
    <row r="8176" spans="8:8">
      <c r="H8176" s="276"/>
    </row>
    <row r="8177" spans="8:8">
      <c r="H8177" s="276"/>
    </row>
    <row r="8178" spans="8:8">
      <c r="H8178" s="276"/>
    </row>
    <row r="8179" spans="8:8">
      <c r="H8179" s="276"/>
    </row>
    <row r="8180" spans="8:8">
      <c r="H8180" s="276"/>
    </row>
    <row r="8181" spans="8:8">
      <c r="H8181" s="276"/>
    </row>
    <row r="8182" spans="8:8">
      <c r="H8182" s="276"/>
    </row>
    <row r="8183" spans="8:8">
      <c r="H8183" s="276"/>
    </row>
    <row r="8184" spans="8:8">
      <c r="H8184" s="276"/>
    </row>
    <row r="8185" spans="8:8">
      <c r="H8185" s="276"/>
    </row>
    <row r="8186" spans="8:8">
      <c r="H8186" s="276"/>
    </row>
    <row r="8187" spans="8:8">
      <c r="H8187" s="276"/>
    </row>
    <row r="8188" spans="8:8">
      <c r="H8188" s="276"/>
    </row>
    <row r="8189" spans="8:8">
      <c r="H8189" s="276"/>
    </row>
    <row r="8190" spans="8:8">
      <c r="H8190" s="276"/>
    </row>
    <row r="8191" spans="8:8">
      <c r="H8191" s="276"/>
    </row>
    <row r="8192" spans="8:8">
      <c r="H8192" s="276"/>
    </row>
    <row r="8193" spans="8:8">
      <c r="H8193" s="276"/>
    </row>
    <row r="8194" spans="8:8">
      <c r="H8194" s="276"/>
    </row>
    <row r="8195" spans="8:8">
      <c r="H8195" s="276"/>
    </row>
    <row r="8196" spans="8:8">
      <c r="H8196" s="276"/>
    </row>
    <row r="8197" spans="8:8">
      <c r="H8197" s="276"/>
    </row>
    <row r="8198" spans="8:8">
      <c r="H8198" s="276"/>
    </row>
    <row r="8199" spans="8:8">
      <c r="H8199" s="276"/>
    </row>
    <row r="8200" spans="8:8">
      <c r="H8200" s="276"/>
    </row>
    <row r="8201" spans="8:8">
      <c r="H8201" s="276"/>
    </row>
    <row r="8202" spans="8:8">
      <c r="H8202" s="276"/>
    </row>
    <row r="8203" spans="8:8">
      <c r="H8203" s="276"/>
    </row>
    <row r="8204" spans="8:8">
      <c r="H8204" s="276"/>
    </row>
    <row r="8205" spans="8:8">
      <c r="H8205" s="276"/>
    </row>
    <row r="8206" spans="8:8">
      <c r="H8206" s="276"/>
    </row>
    <row r="8207" spans="8:8">
      <c r="H8207" s="276"/>
    </row>
    <row r="8208" spans="8:8">
      <c r="H8208" s="276"/>
    </row>
    <row r="8209" spans="8:8">
      <c r="H8209" s="276"/>
    </row>
    <row r="8210" spans="8:8">
      <c r="H8210" s="276"/>
    </row>
    <row r="8211" spans="8:8">
      <c r="H8211" s="276"/>
    </row>
    <row r="8212" spans="8:8">
      <c r="H8212" s="276"/>
    </row>
    <row r="8213" spans="8:8">
      <c r="H8213" s="276"/>
    </row>
    <row r="8214" spans="8:8">
      <c r="H8214" s="276"/>
    </row>
    <row r="8215" spans="8:8">
      <c r="H8215" s="276"/>
    </row>
    <row r="8216" spans="8:8">
      <c r="H8216" s="276"/>
    </row>
    <row r="8217" spans="8:8">
      <c r="H8217" s="276"/>
    </row>
    <row r="8218" spans="8:8">
      <c r="H8218" s="276"/>
    </row>
    <row r="8219" spans="8:8">
      <c r="H8219" s="276"/>
    </row>
    <row r="8220" spans="8:8">
      <c r="H8220" s="276"/>
    </row>
    <row r="8221" spans="8:8">
      <c r="H8221" s="276"/>
    </row>
    <row r="8222" spans="8:8">
      <c r="H8222" s="276"/>
    </row>
    <row r="8223" spans="8:8">
      <c r="H8223" s="276"/>
    </row>
    <row r="8224" spans="8:8">
      <c r="H8224" s="276"/>
    </row>
    <row r="8225" spans="8:8">
      <c r="H8225" s="276"/>
    </row>
    <row r="8226" spans="8:8">
      <c r="H8226" s="276"/>
    </row>
    <row r="8227" spans="8:8">
      <c r="H8227" s="276"/>
    </row>
    <row r="8228" spans="8:8">
      <c r="H8228" s="276"/>
    </row>
    <row r="8229" spans="8:8">
      <c r="H8229" s="276"/>
    </row>
    <row r="8230" spans="8:8">
      <c r="H8230" s="276"/>
    </row>
    <row r="8231" spans="8:8">
      <c r="H8231" s="276"/>
    </row>
    <row r="8232" spans="8:8">
      <c r="H8232" s="276"/>
    </row>
    <row r="8233" spans="8:8">
      <c r="H8233" s="276"/>
    </row>
    <row r="8234" spans="8:8">
      <c r="H8234" s="276"/>
    </row>
    <row r="8235" spans="8:8">
      <c r="H8235" s="276"/>
    </row>
    <row r="8236" spans="8:8">
      <c r="H8236" s="276"/>
    </row>
    <row r="8237" spans="8:8">
      <c r="H8237" s="276"/>
    </row>
    <row r="8238" spans="8:8">
      <c r="H8238" s="276"/>
    </row>
    <row r="8239" spans="8:8">
      <c r="H8239" s="276"/>
    </row>
    <row r="8240" spans="8:8">
      <c r="H8240" s="276"/>
    </row>
    <row r="8241" spans="8:8">
      <c r="H8241" s="276"/>
    </row>
    <row r="8242" spans="8:8">
      <c r="H8242" s="276"/>
    </row>
    <row r="8243" spans="8:8">
      <c r="H8243" s="276"/>
    </row>
    <row r="8244" spans="8:8">
      <c r="H8244" s="276"/>
    </row>
    <row r="8245" spans="8:8">
      <c r="H8245" s="276"/>
    </row>
    <row r="8246" spans="8:8">
      <c r="H8246" s="276"/>
    </row>
    <row r="8247" spans="8:8">
      <c r="H8247" s="276"/>
    </row>
    <row r="8248" spans="8:8">
      <c r="H8248" s="276"/>
    </row>
    <row r="8249" spans="8:8">
      <c r="H8249" s="276"/>
    </row>
    <row r="8250" spans="8:8">
      <c r="H8250" s="276"/>
    </row>
    <row r="8251" spans="8:8">
      <c r="H8251" s="276"/>
    </row>
    <row r="8252" spans="8:8">
      <c r="H8252" s="276"/>
    </row>
    <row r="8253" spans="8:8">
      <c r="H8253" s="276"/>
    </row>
    <row r="8254" spans="8:8">
      <c r="H8254" s="276"/>
    </row>
    <row r="8255" spans="8:8">
      <c r="H8255" s="276"/>
    </row>
    <row r="8256" spans="8:8">
      <c r="H8256" s="276"/>
    </row>
    <row r="8257" spans="8:8">
      <c r="H8257" s="276"/>
    </row>
    <row r="8258" spans="8:8">
      <c r="H8258" s="276"/>
    </row>
    <row r="8259" spans="8:8">
      <c r="H8259" s="276"/>
    </row>
    <row r="8260" spans="8:8">
      <c r="H8260" s="276"/>
    </row>
    <row r="8261" spans="8:8">
      <c r="H8261" s="276"/>
    </row>
    <row r="8262" spans="8:8">
      <c r="H8262" s="276"/>
    </row>
    <row r="8263" spans="8:8">
      <c r="H8263" s="276"/>
    </row>
    <row r="8264" spans="8:8">
      <c r="H8264" s="276"/>
    </row>
    <row r="8265" spans="8:8">
      <c r="H8265" s="276"/>
    </row>
    <row r="8266" spans="8:8">
      <c r="H8266" s="276"/>
    </row>
    <row r="8267" spans="8:8">
      <c r="H8267" s="276"/>
    </row>
    <row r="8268" spans="8:8">
      <c r="H8268" s="276"/>
    </row>
    <row r="8269" spans="8:8">
      <c r="H8269" s="276"/>
    </row>
    <row r="8270" spans="8:8">
      <c r="H8270" s="276"/>
    </row>
    <row r="8271" spans="8:8">
      <c r="H8271" s="276"/>
    </row>
    <row r="8272" spans="8:8">
      <c r="H8272" s="276"/>
    </row>
    <row r="8273" spans="8:8">
      <c r="H8273" s="276"/>
    </row>
    <row r="8274" spans="8:8">
      <c r="H8274" s="276"/>
    </row>
    <row r="8275" spans="8:8">
      <c r="H8275" s="276"/>
    </row>
    <row r="8276" spans="8:8">
      <c r="H8276" s="276"/>
    </row>
    <row r="8277" spans="8:8">
      <c r="H8277" s="276"/>
    </row>
    <row r="8278" spans="8:8">
      <c r="H8278" s="276"/>
    </row>
    <row r="8279" spans="8:8">
      <c r="H8279" s="276"/>
    </row>
    <row r="8280" spans="8:8">
      <c r="H8280" s="276"/>
    </row>
    <row r="8281" spans="8:8">
      <c r="H8281" s="276"/>
    </row>
    <row r="8282" spans="8:8">
      <c r="H8282" s="276"/>
    </row>
    <row r="8283" spans="8:8">
      <c r="H8283" s="276"/>
    </row>
    <row r="8284" spans="8:8">
      <c r="H8284" s="276"/>
    </row>
    <row r="8285" spans="8:8">
      <c r="H8285" s="276"/>
    </row>
    <row r="8286" spans="8:8">
      <c r="H8286" s="276"/>
    </row>
    <row r="8287" spans="8:8">
      <c r="H8287" s="276"/>
    </row>
    <row r="8288" spans="8:8">
      <c r="H8288" s="276"/>
    </row>
    <row r="8289" spans="8:8">
      <c r="H8289" s="276"/>
    </row>
    <row r="8290" spans="8:8">
      <c r="H8290" s="276"/>
    </row>
    <row r="8291" spans="8:8">
      <c r="H8291" s="276"/>
    </row>
    <row r="8292" spans="8:8">
      <c r="H8292" s="276"/>
    </row>
    <row r="8293" spans="8:8">
      <c r="H8293" s="276"/>
    </row>
    <row r="8294" spans="8:8">
      <c r="H8294" s="276"/>
    </row>
    <row r="8295" spans="8:8">
      <c r="H8295" s="276"/>
    </row>
    <row r="8296" spans="8:8">
      <c r="H8296" s="276"/>
    </row>
    <row r="8297" spans="8:8">
      <c r="H8297" s="276"/>
    </row>
    <row r="8298" spans="8:8">
      <c r="H8298" s="276"/>
    </row>
    <row r="8299" spans="8:8">
      <c r="H8299" s="276"/>
    </row>
    <row r="8300" spans="8:8">
      <c r="H8300" s="276"/>
    </row>
    <row r="8301" spans="8:8">
      <c r="H8301" s="276"/>
    </row>
    <row r="8302" spans="8:8">
      <c r="H8302" s="276"/>
    </row>
    <row r="8303" spans="8:8">
      <c r="H8303" s="276"/>
    </row>
    <row r="8304" spans="8:8">
      <c r="H8304" s="276"/>
    </row>
    <row r="8305" spans="8:8">
      <c r="H8305" s="276"/>
    </row>
  </sheetData>
  <mergeCells count="14">
    <mergeCell ref="P3667:Q3667"/>
    <mergeCell ref="P3645:Q3645"/>
    <mergeCell ref="E2341:K2341"/>
    <mergeCell ref="F2370:G2370"/>
    <mergeCell ref="F2374:G2374"/>
    <mergeCell ref="I2374:J2374"/>
    <mergeCell ref="M3611:R3611"/>
    <mergeCell ref="P3619:Q3619"/>
    <mergeCell ref="M3610:R3610"/>
    <mergeCell ref="O3111:P3111"/>
    <mergeCell ref="H2713:I2713"/>
    <mergeCell ref="I2390:J2390"/>
    <mergeCell ref="M3641:R3641"/>
    <mergeCell ref="M3659:R3659"/>
  </mergeCells>
  <phoneticPr fontId="0" type="noConversion"/>
  <printOptions horizontalCentered="1"/>
  <pageMargins left="0.55118110236220497" right="0.511811023622047" top="0.46" bottom="0.59055118110236204" header="0.31496062992126" footer="0.23622047244094499"/>
  <pageSetup paperSize="9" scale="70" orientation="portrait" r:id="rId1"/>
  <headerFooter alignWithMargins="0">
    <oddHeader>&amp;CElectrical Data 2021-2022
&amp;R&amp;P</oddHeader>
  </headerFooter>
  <rowBreaks count="2" manualBreakCount="2">
    <brk id="2865" min="12" max="18" man="1"/>
    <brk id="3121" min="12" max="18" man="1"/>
  </rowBreaks>
  <drawing r:id="rId2"/>
</worksheet>
</file>

<file path=xl/worksheets/sheet7.xml><?xml version="1.0" encoding="utf-8"?>
<worksheet xmlns="http://schemas.openxmlformats.org/spreadsheetml/2006/main" xmlns:r="http://schemas.openxmlformats.org/officeDocument/2006/relationships">
  <sheetPr>
    <tabColor rgb="FFFFFF00"/>
  </sheetPr>
  <dimension ref="A1:J34"/>
  <sheetViews>
    <sheetView view="pageBreakPreview" topLeftCell="A28" zoomScale="90" zoomScaleNormal="75" zoomScaleSheetLayoutView="90" workbookViewId="0">
      <selection activeCell="F32" sqref="F32"/>
    </sheetView>
  </sheetViews>
  <sheetFormatPr defaultRowHeight="35.1" customHeight="1"/>
  <cols>
    <col min="1" max="1" width="8" style="958" customWidth="1"/>
    <col min="2" max="2" width="6.6640625" style="958" customWidth="1"/>
    <col min="3" max="3" width="43" style="958" customWidth="1"/>
    <col min="4" max="4" width="15.6640625" style="958" customWidth="1"/>
    <col min="5" max="5" width="8.6640625" style="958" bestFit="1" customWidth="1"/>
    <col min="6" max="6" width="18.5546875" style="958" customWidth="1"/>
    <col min="7" max="7" width="19.109375" customWidth="1"/>
    <col min="8" max="8" width="19" customWidth="1"/>
    <col min="9" max="9" width="10" bestFit="1" customWidth="1"/>
    <col min="10" max="10" width="34.109375" customWidth="1"/>
  </cols>
  <sheetData>
    <row r="1" spans="1:10" ht="40.5" customHeight="1">
      <c r="A1" s="1487" t="s">
        <v>5692</v>
      </c>
      <c r="B1" s="1487"/>
      <c r="C1" s="1487"/>
      <c r="D1" s="1487"/>
      <c r="E1" s="1487"/>
      <c r="F1" s="1487"/>
    </row>
    <row r="2" spans="1:10" ht="40.5" customHeight="1">
      <c r="A2" s="1487" t="s">
        <v>5693</v>
      </c>
      <c r="B2" s="1487"/>
      <c r="C2" s="1487"/>
      <c r="D2" s="1487"/>
      <c r="E2" s="1487"/>
      <c r="F2" s="1487"/>
    </row>
    <row r="3" spans="1:10" s="721" customFormat="1" ht="63" customHeight="1">
      <c r="A3" s="1488" t="s">
        <v>5059</v>
      </c>
      <c r="B3" s="1488"/>
      <c r="C3" s="1488"/>
      <c r="D3" s="1488"/>
      <c r="E3" s="1488"/>
      <c r="F3" s="1488"/>
    </row>
    <row r="4" spans="1:10" s="721" customFormat="1" ht="35.1" customHeight="1">
      <c r="A4" s="1292" t="s">
        <v>1006</v>
      </c>
      <c r="B4" s="1292" t="s">
        <v>1007</v>
      </c>
      <c r="C4" s="1292" t="s">
        <v>1720</v>
      </c>
      <c r="D4" s="1292" t="s">
        <v>95</v>
      </c>
      <c r="E4" s="1292" t="s">
        <v>216</v>
      </c>
      <c r="F4" s="1292" t="s">
        <v>939</v>
      </c>
    </row>
    <row r="5" spans="1:10" s="721" customFormat="1" ht="35.1" customHeight="1">
      <c r="A5" s="1293"/>
      <c r="B5" s="1293"/>
      <c r="C5" s="1294" t="s">
        <v>5694</v>
      </c>
      <c r="D5" s="1489" t="s">
        <v>5695</v>
      </c>
      <c r="E5" s="1489"/>
      <c r="F5" s="1489"/>
    </row>
    <row r="6" spans="1:10" s="721" customFormat="1" ht="35.1" customHeight="1">
      <c r="A6" s="1295">
        <v>1</v>
      </c>
      <c r="B6" s="1296">
        <v>1</v>
      </c>
      <c r="C6" s="1296" t="s">
        <v>5709</v>
      </c>
      <c r="D6" s="1296">
        <f>building!F362</f>
        <v>26070798.969999999</v>
      </c>
      <c r="E6" s="1296" t="s">
        <v>4152</v>
      </c>
      <c r="F6" s="1296">
        <f>B6*D6</f>
        <v>26070798.969999999</v>
      </c>
      <c r="G6" s="721">
        <f>building!Z362</f>
        <v>30645784.420000002</v>
      </c>
      <c r="H6" s="721">
        <f>G6-F6</f>
        <v>4574985.45</v>
      </c>
    </row>
    <row r="7" spans="1:10" s="721" customFormat="1" ht="30" customHeight="1">
      <c r="A7" s="955"/>
      <c r="B7" s="956"/>
      <c r="C7" s="956" t="s">
        <v>5696</v>
      </c>
      <c r="D7" s="956"/>
      <c r="E7" s="956"/>
      <c r="F7" s="1297">
        <f>SUM(F6:F6)</f>
        <v>26070798.969999999</v>
      </c>
      <c r="G7" s="721">
        <f>building!F362-F7</f>
        <v>0</v>
      </c>
      <c r="J7" s="842"/>
    </row>
    <row r="8" spans="1:10" s="721" customFormat="1" ht="39" customHeight="1">
      <c r="A8" s="1295">
        <v>2</v>
      </c>
      <c r="B8" s="1298">
        <v>1</v>
      </c>
      <c r="C8" s="1296" t="s">
        <v>5697</v>
      </c>
      <c r="D8" s="1296">
        <f>building!H362</f>
        <v>183231.24</v>
      </c>
      <c r="E8" s="956"/>
      <c r="F8" s="1296">
        <f t="shared" ref="F8:F15" si="0">D8*B8</f>
        <v>183231.24</v>
      </c>
      <c r="J8" s="842"/>
    </row>
    <row r="9" spans="1:10" s="721" customFormat="1" ht="29.25" customHeight="1">
      <c r="A9" s="1295">
        <f t="shared" ref="A9:A15" si="1">A8+1</f>
        <v>3</v>
      </c>
      <c r="B9" s="1298">
        <v>1</v>
      </c>
      <c r="C9" s="1296" t="s">
        <v>5056</v>
      </c>
      <c r="D9" s="1296">
        <f>building!J362</f>
        <v>403834.21</v>
      </c>
      <c r="E9" s="956"/>
      <c r="F9" s="1296">
        <f t="shared" si="0"/>
        <v>403834.21</v>
      </c>
      <c r="J9" s="842"/>
    </row>
    <row r="10" spans="1:10" s="721" customFormat="1" ht="35.1" customHeight="1">
      <c r="A10" s="1295">
        <f t="shared" si="1"/>
        <v>4</v>
      </c>
      <c r="B10" s="1298">
        <v>1</v>
      </c>
      <c r="C10" s="1296" t="s">
        <v>5698</v>
      </c>
      <c r="D10" s="1296">
        <f>building!L362</f>
        <v>215285.95</v>
      </c>
      <c r="E10" s="956"/>
      <c r="F10" s="1296">
        <f t="shared" si="0"/>
        <v>215285.95</v>
      </c>
      <c r="G10" s="723" t="e">
        <f>#REF!*1/100</f>
        <v>#REF!</v>
      </c>
    </row>
    <row r="11" spans="1:10" s="721" customFormat="1" ht="35.1" customHeight="1">
      <c r="A11" s="1295">
        <f t="shared" si="1"/>
        <v>5</v>
      </c>
      <c r="B11" s="1298">
        <v>1</v>
      </c>
      <c r="C11" s="1296" t="s">
        <v>5054</v>
      </c>
      <c r="D11" s="1296">
        <f>building!N362</f>
        <v>1678758.17</v>
      </c>
      <c r="E11" s="956"/>
      <c r="F11" s="1296">
        <f t="shared" si="0"/>
        <v>1678758.17</v>
      </c>
      <c r="G11" s="723"/>
    </row>
    <row r="12" spans="1:10" s="721" customFormat="1" ht="53.25" customHeight="1">
      <c r="A12" s="1295">
        <f>A11+1</f>
        <v>6</v>
      </c>
      <c r="B12" s="1298">
        <v>1</v>
      </c>
      <c r="C12" s="1296" t="s">
        <v>5053</v>
      </c>
      <c r="D12" s="1296">
        <f>building!P362</f>
        <v>177198.21</v>
      </c>
      <c r="E12" s="956"/>
      <c r="F12" s="1296">
        <f t="shared" si="0"/>
        <v>177198.21</v>
      </c>
      <c r="G12" s="723"/>
    </row>
    <row r="13" spans="1:10" s="721" customFormat="1" ht="38.25" customHeight="1">
      <c r="A13" s="1295">
        <f t="shared" si="1"/>
        <v>7</v>
      </c>
      <c r="B13" s="1298">
        <v>1</v>
      </c>
      <c r="C13" s="1296" t="s">
        <v>5052</v>
      </c>
      <c r="D13" s="1296">
        <f>building!R362</f>
        <v>557643</v>
      </c>
      <c r="E13" s="956"/>
      <c r="F13" s="1296">
        <f t="shared" si="0"/>
        <v>557643</v>
      </c>
      <c r="H13" s="721">
        <f>19734000-2</f>
        <v>19733998</v>
      </c>
    </row>
    <row r="14" spans="1:10" s="721" customFormat="1" ht="38.25" customHeight="1">
      <c r="A14" s="1295">
        <f t="shared" si="1"/>
        <v>8</v>
      </c>
      <c r="B14" s="1298">
        <v>1</v>
      </c>
      <c r="C14" s="1296" t="s">
        <v>5051</v>
      </c>
      <c r="D14" s="1296">
        <f>building!T362</f>
        <v>180474.34</v>
      </c>
      <c r="E14" s="956"/>
      <c r="F14" s="1296">
        <f t="shared" si="0"/>
        <v>180474.34</v>
      </c>
      <c r="H14" s="721">
        <f>F13/100000</f>
        <v>5.58</v>
      </c>
    </row>
    <row r="15" spans="1:10" s="721" customFormat="1" ht="38.25" customHeight="1">
      <c r="A15" s="1295">
        <f t="shared" si="1"/>
        <v>9</v>
      </c>
      <c r="B15" s="1298">
        <v>1</v>
      </c>
      <c r="C15" s="1296" t="s">
        <v>4950</v>
      </c>
      <c r="D15" s="1296">
        <f>building!V362</f>
        <v>1178560.42</v>
      </c>
      <c r="E15" s="956"/>
      <c r="F15" s="1296">
        <f t="shared" si="0"/>
        <v>1178560.42</v>
      </c>
    </row>
    <row r="16" spans="1:10" ht="35.1" customHeight="1">
      <c r="A16" s="1295"/>
      <c r="B16" s="1299"/>
      <c r="C16" s="1485" t="s">
        <v>3883</v>
      </c>
      <c r="D16" s="1485"/>
      <c r="E16" s="1485"/>
      <c r="F16" s="1300">
        <f>SUM(F7:F15)+0.01</f>
        <v>30645784.52</v>
      </c>
      <c r="G16">
        <f>F16-building!Z362</f>
        <v>0.1</v>
      </c>
    </row>
    <row r="17" spans="1:6" ht="35.1" customHeight="1">
      <c r="A17" s="1295">
        <f>A15+1</f>
        <v>10</v>
      </c>
      <c r="B17" s="1299"/>
      <c r="C17" s="1301" t="s">
        <v>6035</v>
      </c>
      <c r="D17" s="1485"/>
      <c r="E17" s="1485"/>
      <c r="F17" s="1302">
        <f>F16*18/100</f>
        <v>5516241.21</v>
      </c>
    </row>
    <row r="18" spans="1:6" ht="35.1" customHeight="1">
      <c r="A18" s="1295"/>
      <c r="B18" s="1299"/>
      <c r="C18" s="1485" t="s">
        <v>4145</v>
      </c>
      <c r="D18" s="1485"/>
      <c r="E18" s="1485"/>
      <c r="F18" s="1300">
        <f>SUM(F16:F17)</f>
        <v>36162025.729999997</v>
      </c>
    </row>
    <row r="19" spans="1:6" ht="35.1" customHeight="1">
      <c r="A19" s="1295">
        <f>A17+1</f>
        <v>11</v>
      </c>
      <c r="B19" s="1299"/>
      <c r="C19" s="1303" t="s">
        <v>5699</v>
      </c>
      <c r="D19" s="1484" t="s">
        <v>625</v>
      </c>
      <c r="E19" s="1484"/>
      <c r="F19" s="1296">
        <v>28000</v>
      </c>
    </row>
    <row r="20" spans="1:6" ht="42" customHeight="1">
      <c r="A20" s="1295">
        <f>A19+1</f>
        <v>12</v>
      </c>
      <c r="B20" s="1305"/>
      <c r="C20" s="1303" t="s">
        <v>6073</v>
      </c>
      <c r="D20" s="1484" t="s">
        <v>625</v>
      </c>
      <c r="E20" s="1484"/>
      <c r="F20" s="1296">
        <v>1000000</v>
      </c>
    </row>
    <row r="21" spans="1:6" ht="35.1" customHeight="1">
      <c r="A21" s="1295">
        <f>A20+1</f>
        <v>13</v>
      </c>
      <c r="B21" s="1299"/>
      <c r="C21" s="1303" t="s">
        <v>5700</v>
      </c>
      <c r="D21" s="1484" t="s">
        <v>625</v>
      </c>
      <c r="E21" s="1484"/>
      <c r="F21" s="1441">
        <v>200000</v>
      </c>
    </row>
    <row r="22" spans="1:6" ht="35.1" customHeight="1">
      <c r="A22" s="1295">
        <f>A21+1</f>
        <v>14</v>
      </c>
      <c r="B22" s="1299"/>
      <c r="C22" s="1303" t="s">
        <v>5701</v>
      </c>
      <c r="D22" s="1484" t="s">
        <v>625</v>
      </c>
      <c r="E22" s="1484"/>
      <c r="F22" s="1441">
        <v>500000</v>
      </c>
    </row>
    <row r="23" spans="1:6" ht="35.1" customHeight="1">
      <c r="A23" s="957"/>
      <c r="B23" s="1299"/>
      <c r="C23" s="1485" t="s">
        <v>5702</v>
      </c>
      <c r="D23" s="1485"/>
      <c r="E23" s="1485"/>
      <c r="F23" s="1442">
        <f>SUM(F18:F22)</f>
        <v>37890025.729999997</v>
      </c>
    </row>
    <row r="24" spans="1:6" ht="35.1" customHeight="1">
      <c r="A24" s="1304">
        <f>A22+1</f>
        <v>15</v>
      </c>
      <c r="B24" s="1299"/>
      <c r="C24" s="1303" t="s">
        <v>4155</v>
      </c>
      <c r="D24" s="1486"/>
      <c r="E24" s="1486"/>
      <c r="F24" s="1296">
        <f>F16*1/100</f>
        <v>306457.84999999998</v>
      </c>
    </row>
    <row r="25" spans="1:6" ht="35.1" customHeight="1">
      <c r="A25" s="1304">
        <f>A24+1</f>
        <v>16</v>
      </c>
      <c r="B25" s="1299"/>
      <c r="C25" s="1303" t="s">
        <v>4954</v>
      </c>
      <c r="D25" s="1490"/>
      <c r="E25" s="1491"/>
      <c r="F25" s="1296">
        <f>F16*2.5%</f>
        <v>766144.61</v>
      </c>
    </row>
    <row r="26" spans="1:6" ht="35.1" customHeight="1">
      <c r="A26" s="1304">
        <f>A25+1</f>
        <v>17</v>
      </c>
      <c r="B26" s="1299"/>
      <c r="C26" s="1303" t="s">
        <v>4263</v>
      </c>
      <c r="D26" s="1493"/>
      <c r="E26" s="1493"/>
      <c r="F26" s="1296">
        <f>F16*7.5%-8230.07</f>
        <v>2290203.77</v>
      </c>
    </row>
    <row r="27" spans="1:6" ht="35.1" customHeight="1">
      <c r="A27" s="957"/>
      <c r="B27" s="1299"/>
      <c r="C27" s="1485" t="s">
        <v>5703</v>
      </c>
      <c r="D27" s="1485"/>
      <c r="E27" s="1485"/>
      <c r="F27" s="1297">
        <f>SUM(F23:F26)</f>
        <v>41252831.960000001</v>
      </c>
    </row>
    <row r="28" spans="1:6" ht="35.1" customHeight="1">
      <c r="A28" s="1304">
        <f>A26+1</f>
        <v>18</v>
      </c>
      <c r="B28" s="1299"/>
      <c r="C28" s="1303" t="s">
        <v>5704</v>
      </c>
      <c r="D28" s="1492" t="s">
        <v>625</v>
      </c>
      <c r="E28" s="1492"/>
      <c r="F28" s="1296">
        <v>50000</v>
      </c>
    </row>
    <row r="29" spans="1:6" ht="35.1" customHeight="1">
      <c r="A29" s="1304">
        <f>A28+1</f>
        <v>19</v>
      </c>
      <c r="B29" s="1299"/>
      <c r="C29" s="1303" t="s">
        <v>5705</v>
      </c>
      <c r="D29" s="1484" t="s">
        <v>625</v>
      </c>
      <c r="E29" s="1484"/>
      <c r="F29" s="1296">
        <v>200000</v>
      </c>
    </row>
    <row r="30" spans="1:6" ht="45" customHeight="1">
      <c r="A30" s="1304">
        <f>A29+1</f>
        <v>20</v>
      </c>
      <c r="B30" s="1299"/>
      <c r="C30" s="1303" t="s">
        <v>5706</v>
      </c>
      <c r="D30" s="1484" t="s">
        <v>625</v>
      </c>
      <c r="E30" s="1484"/>
      <c r="F30" s="1296">
        <v>200000</v>
      </c>
    </row>
    <row r="31" spans="1:6" ht="35.1" customHeight="1">
      <c r="A31" s="1304">
        <f>A30+1</f>
        <v>21</v>
      </c>
      <c r="B31" s="1299"/>
      <c r="C31" s="1303" t="s">
        <v>5707</v>
      </c>
      <c r="D31" s="1492" t="s">
        <v>625</v>
      </c>
      <c r="E31" s="1492"/>
      <c r="F31" s="1296">
        <v>50000</v>
      </c>
    </row>
    <row r="32" spans="1:6" ht="35.1" customHeight="1">
      <c r="A32" s="957"/>
      <c r="B32" s="1299"/>
      <c r="C32" s="1485" t="s">
        <v>4265</v>
      </c>
      <c r="D32" s="1485"/>
      <c r="E32" s="1485"/>
      <c r="F32" s="1297">
        <f>SUM(F27:F31)</f>
        <v>41752831.960000001</v>
      </c>
    </row>
    <row r="33" spans="1:6" ht="35.1" customHeight="1">
      <c r="A33" s="1306"/>
      <c r="B33" s="1306"/>
      <c r="C33" s="1306"/>
      <c r="D33" s="1307" t="s">
        <v>5708</v>
      </c>
      <c r="E33" s="1307">
        <f>F32/100000</f>
        <v>417.53</v>
      </c>
      <c r="F33" s="1307" t="s">
        <v>4953</v>
      </c>
    </row>
    <row r="34" spans="1:6" ht="35.1" customHeight="1">
      <c r="A34" s="1443" t="s">
        <v>6082</v>
      </c>
      <c r="B34" s="1443"/>
      <c r="C34" s="1443"/>
      <c r="D34" s="1443"/>
      <c r="E34" s="1444">
        <f>+E33*1.125</f>
        <v>469.72</v>
      </c>
      <c r="F34" s="1307" t="s">
        <v>4953</v>
      </c>
    </row>
  </sheetData>
  <mergeCells count="21">
    <mergeCell ref="D25:E25"/>
    <mergeCell ref="D31:E31"/>
    <mergeCell ref="C32:E32"/>
    <mergeCell ref="D26:E26"/>
    <mergeCell ref="C27:E27"/>
    <mergeCell ref="D28:E28"/>
    <mergeCell ref="D29:E29"/>
    <mergeCell ref="D30:E30"/>
    <mergeCell ref="D21:E21"/>
    <mergeCell ref="D22:E22"/>
    <mergeCell ref="C23:E23"/>
    <mergeCell ref="D24:E24"/>
    <mergeCell ref="A1:F1"/>
    <mergeCell ref="A2:F2"/>
    <mergeCell ref="A3:F3"/>
    <mergeCell ref="D5:F5"/>
    <mergeCell ref="D20:E20"/>
    <mergeCell ref="C16:E16"/>
    <mergeCell ref="D17:E17"/>
    <mergeCell ref="C18:E18"/>
    <mergeCell ref="D19:E19"/>
  </mergeCells>
  <printOptions horizontalCentered="1"/>
  <pageMargins left="0.74803149606299213" right="0.47244094488188981" top="1.0236220472440944" bottom="0.6692913385826772" header="0.43307086614173229" footer="0.27559055118110237"/>
  <pageSetup paperSize="9" scale="74" orientation="portrait" r:id="rId1"/>
  <headerFooter alignWithMargins="0">
    <oddHeader>&amp;R&amp;P</oddHeader>
  </headerFooter>
</worksheet>
</file>

<file path=xl/worksheets/sheet8.xml><?xml version="1.0" encoding="utf-8"?>
<worksheet xmlns="http://schemas.openxmlformats.org/spreadsheetml/2006/main" xmlns:r="http://schemas.openxmlformats.org/officeDocument/2006/relationships">
  <dimension ref="A1:K704"/>
  <sheetViews>
    <sheetView topLeftCell="A22" workbookViewId="0">
      <selection activeCell="D40" sqref="D40"/>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9" bestFit="1" customWidth="1"/>
    <col min="10" max="10" width="8.88671875" customWidth="1"/>
  </cols>
  <sheetData>
    <row r="1" spans="1:6">
      <c r="C1" s="34" t="s">
        <v>1684</v>
      </c>
    </row>
    <row r="2" spans="1:6">
      <c r="C2" s="40" t="s">
        <v>3811</v>
      </c>
    </row>
    <row r="5" spans="1:6">
      <c r="A5" s="76">
        <v>2.2800000000000001E-2</v>
      </c>
      <c r="B5" s="54" t="s">
        <v>836</v>
      </c>
      <c r="C5" s="55" t="s">
        <v>3073</v>
      </c>
      <c r="D5" s="55">
        <f>[3]Data!I2634</f>
        <v>121800</v>
      </c>
      <c r="E5" s="72" t="s">
        <v>836</v>
      </c>
      <c r="F5" s="55">
        <f>D5*A5</f>
        <v>2777.04</v>
      </c>
    </row>
    <row r="6" spans="1:6">
      <c r="A6" s="76">
        <v>3.5400000000000001E-2</v>
      </c>
      <c r="B6" s="54" t="s">
        <v>836</v>
      </c>
      <c r="C6" s="55" t="s">
        <v>2413</v>
      </c>
      <c r="D6" s="55">
        <f>[3]Data!I2635</f>
        <v>108400</v>
      </c>
      <c r="E6" s="72" t="s">
        <v>836</v>
      </c>
      <c r="F6" s="55">
        <f t="shared" ref="F6:F15" si="0">D6*A6</f>
        <v>3837.36</v>
      </c>
    </row>
    <row r="7" spans="1:6">
      <c r="A7" s="77">
        <v>3.2300000000000002E-2</v>
      </c>
      <c r="B7" s="54" t="s">
        <v>836</v>
      </c>
      <c r="C7" t="s">
        <v>3844</v>
      </c>
      <c r="D7" s="55">
        <f>[3]Data!I2636</f>
        <v>116700</v>
      </c>
      <c r="E7" s="72" t="s">
        <v>836</v>
      </c>
      <c r="F7" s="55">
        <f t="shared" si="0"/>
        <v>3769.41</v>
      </c>
    </row>
    <row r="8" spans="1:6">
      <c r="A8" s="74">
        <v>2.835</v>
      </c>
      <c r="B8" s="54" t="s">
        <v>578</v>
      </c>
      <c r="C8" s="55" t="s">
        <v>850</v>
      </c>
      <c r="D8" s="55">
        <v>843</v>
      </c>
      <c r="E8" s="72" t="s">
        <v>578</v>
      </c>
      <c r="F8" s="55">
        <f t="shared" si="0"/>
        <v>2389.91</v>
      </c>
    </row>
    <row r="9" spans="1:6">
      <c r="A9" s="55">
        <v>2</v>
      </c>
      <c r="B9" s="54" t="s">
        <v>1807</v>
      </c>
      <c r="C9" t="s">
        <v>3655</v>
      </c>
      <c r="D9" s="526">
        <v>450</v>
      </c>
      <c r="E9" s="72" t="s">
        <v>1341</v>
      </c>
      <c r="F9" s="55">
        <f t="shared" si="0"/>
        <v>900</v>
      </c>
    </row>
    <row r="10" spans="1:6">
      <c r="A10" s="55">
        <v>6</v>
      </c>
      <c r="B10" s="54" t="s">
        <v>1807</v>
      </c>
      <c r="C10" t="s">
        <v>3656</v>
      </c>
      <c r="D10" s="526">
        <v>79</v>
      </c>
      <c r="E10" s="72" t="s">
        <v>1341</v>
      </c>
      <c r="F10" s="55">
        <f t="shared" si="0"/>
        <v>474</v>
      </c>
    </row>
    <row r="11" spans="1:6">
      <c r="A11" s="55">
        <v>4</v>
      </c>
      <c r="B11" s="54" t="s">
        <v>1807</v>
      </c>
      <c r="C11" t="s">
        <v>3657</v>
      </c>
      <c r="D11" s="526">
        <v>130</v>
      </c>
      <c r="E11" s="72" t="s">
        <v>1341</v>
      </c>
      <c r="F11" s="55">
        <f t="shared" si="0"/>
        <v>520</v>
      </c>
    </row>
    <row r="12" spans="1:6">
      <c r="A12" s="55">
        <v>1</v>
      </c>
      <c r="B12" s="54" t="s">
        <v>1807</v>
      </c>
      <c r="C12" t="s">
        <v>3658</v>
      </c>
      <c r="D12" s="526">
        <v>985</v>
      </c>
      <c r="E12" s="72" t="s">
        <v>1341</v>
      </c>
      <c r="F12" s="55">
        <f t="shared" si="0"/>
        <v>985</v>
      </c>
    </row>
    <row r="13" spans="1:6">
      <c r="A13" s="55">
        <v>2</v>
      </c>
      <c r="B13" s="54" t="s">
        <v>1807</v>
      </c>
      <c r="C13" t="s">
        <v>3650</v>
      </c>
      <c r="D13" s="526">
        <v>24.6</v>
      </c>
      <c r="E13" s="72" t="s">
        <v>1341</v>
      </c>
      <c r="F13" s="55">
        <f t="shared" si="0"/>
        <v>49.2</v>
      </c>
    </row>
    <row r="14" spans="1:6">
      <c r="A14" s="55">
        <v>2</v>
      </c>
      <c r="B14" s="54" t="s">
        <v>1807</v>
      </c>
      <c r="C14" s="55" t="s">
        <v>1913</v>
      </c>
      <c r="D14" s="55">
        <v>51.3</v>
      </c>
      <c r="E14" s="72" t="s">
        <v>1341</v>
      </c>
      <c r="F14" s="55">
        <f t="shared" si="0"/>
        <v>102.6</v>
      </c>
    </row>
    <row r="15" spans="1:6">
      <c r="A15" s="442">
        <v>118</v>
      </c>
      <c r="B15" s="73"/>
      <c r="C15" s="442" t="s">
        <v>1102</v>
      </c>
      <c r="D15" s="55">
        <v>2.4500000000000002</v>
      </c>
      <c r="E15" s="72"/>
      <c r="F15" s="55">
        <f t="shared" si="0"/>
        <v>289.10000000000002</v>
      </c>
    </row>
    <row r="16" spans="1:6">
      <c r="E16" s="72"/>
      <c r="F16" s="37">
        <f>SUM(F5:F15)</f>
        <v>16093.62</v>
      </c>
    </row>
    <row r="17" spans="1:7">
      <c r="A17" s="55"/>
      <c r="B17" s="73"/>
      <c r="C17" s="37"/>
      <c r="D17" s="55"/>
      <c r="E17" s="72"/>
      <c r="F17" s="57" t="s">
        <v>144</v>
      </c>
    </row>
    <row r="18" spans="1:7">
      <c r="A18" s="55"/>
      <c r="B18" s="73"/>
      <c r="C18" s="37" t="s">
        <v>2002</v>
      </c>
      <c r="D18" s="55"/>
      <c r="E18" s="72"/>
      <c r="F18" s="37">
        <f>F16/2.835</f>
        <v>5676.76</v>
      </c>
    </row>
    <row r="19" spans="1:7">
      <c r="A19" s="55"/>
      <c r="B19" s="73"/>
      <c r="E19" s="11"/>
      <c r="F19" s="56" t="s">
        <v>144</v>
      </c>
    </row>
    <row r="20" spans="1:7">
      <c r="B20" s="3"/>
      <c r="E20" s="11"/>
    </row>
    <row r="21" spans="1:7" ht="16.5">
      <c r="A21" s="1495" t="s">
        <v>3812</v>
      </c>
      <c r="B21" s="1495"/>
      <c r="C21" s="1495"/>
      <c r="D21" s="578"/>
      <c r="E21" s="579"/>
      <c r="F21" s="580"/>
      <c r="G21" s="581"/>
    </row>
    <row r="22" spans="1:7" ht="16.5">
      <c r="A22" s="1495"/>
      <c r="B22" s="1495"/>
      <c r="C22" s="1495"/>
      <c r="D22" s="1497"/>
      <c r="E22" s="1497"/>
      <c r="F22" s="1497"/>
      <c r="G22" s="1497"/>
    </row>
    <row r="23" spans="1:7" ht="16.5">
      <c r="A23" s="582">
        <v>11.61</v>
      </c>
      <c r="B23" s="583" t="s">
        <v>876</v>
      </c>
      <c r="C23" s="584" t="s">
        <v>1788</v>
      </c>
      <c r="D23" s="580">
        <f>Data!V1355</f>
        <v>301</v>
      </c>
      <c r="E23" s="583" t="s">
        <v>876</v>
      </c>
      <c r="F23" s="580">
        <f>D23*A23</f>
        <v>3494.61</v>
      </c>
      <c r="G23" s="581"/>
    </row>
    <row r="24" spans="1:7" ht="16.5">
      <c r="A24" s="582">
        <v>7.8</v>
      </c>
      <c r="B24" s="583" t="s">
        <v>794</v>
      </c>
      <c r="C24" s="584" t="s">
        <v>3813</v>
      </c>
      <c r="D24" s="580">
        <f>Data!V1360</f>
        <v>28.8</v>
      </c>
      <c r="E24" s="583" t="s">
        <v>794</v>
      </c>
      <c r="F24" s="580">
        <f t="shared" ref="F24:F29" si="1">D24*A24</f>
        <v>224.64</v>
      </c>
      <c r="G24" s="581"/>
    </row>
    <row r="25" spans="1:7" ht="16.5">
      <c r="A25" s="582">
        <v>1.62</v>
      </c>
      <c r="B25" s="583" t="s">
        <v>222</v>
      </c>
      <c r="C25" s="584" t="s">
        <v>3814</v>
      </c>
      <c r="D25" s="580">
        <v>208.8</v>
      </c>
      <c r="E25" s="583" t="s">
        <v>222</v>
      </c>
      <c r="F25" s="580">
        <f t="shared" si="1"/>
        <v>338.26</v>
      </c>
      <c r="G25" s="581"/>
    </row>
    <row r="26" spans="1:7" ht="16.5">
      <c r="A26" s="582">
        <v>2</v>
      </c>
      <c r="B26" s="583" t="s">
        <v>739</v>
      </c>
      <c r="C26" s="584" t="s">
        <v>3815</v>
      </c>
      <c r="D26" s="580">
        <v>48</v>
      </c>
      <c r="E26" s="583" t="s">
        <v>739</v>
      </c>
      <c r="F26" s="580">
        <f t="shared" si="1"/>
        <v>96</v>
      </c>
      <c r="G26" s="581"/>
    </row>
    <row r="27" spans="1:7" ht="16.5">
      <c r="A27" s="582">
        <v>2</v>
      </c>
      <c r="B27" s="583" t="s">
        <v>739</v>
      </c>
      <c r="C27" s="584" t="s">
        <v>3816</v>
      </c>
      <c r="D27" s="580">
        <v>350</v>
      </c>
      <c r="E27" s="583" t="s">
        <v>739</v>
      </c>
      <c r="F27" s="580">
        <f t="shared" si="1"/>
        <v>700</v>
      </c>
      <c r="G27" s="581"/>
    </row>
    <row r="28" spans="1:7" ht="16.5">
      <c r="A28" s="582">
        <v>4</v>
      </c>
      <c r="B28" s="583" t="s">
        <v>739</v>
      </c>
      <c r="C28" s="584" t="s">
        <v>3817</v>
      </c>
      <c r="D28" s="580">
        <v>15</v>
      </c>
      <c r="E28" s="583" t="s">
        <v>739</v>
      </c>
      <c r="F28" s="580">
        <f t="shared" si="1"/>
        <v>60</v>
      </c>
      <c r="G28" s="581"/>
    </row>
    <row r="29" spans="1:7" ht="16.5">
      <c r="A29" s="582">
        <v>1.62</v>
      </c>
      <c r="B29" s="583" t="s">
        <v>2199</v>
      </c>
      <c r="C29" s="584" t="s">
        <v>3818</v>
      </c>
      <c r="D29" s="580">
        <f>D42</f>
        <v>1724</v>
      </c>
      <c r="E29" s="583" t="s">
        <v>2199</v>
      </c>
      <c r="F29" s="580">
        <f t="shared" si="1"/>
        <v>2792.88</v>
      </c>
      <c r="G29" s="581"/>
    </row>
    <row r="30" spans="1:7" ht="16.5">
      <c r="A30" s="578"/>
      <c r="B30" s="585"/>
      <c r="C30" s="584" t="s">
        <v>2187</v>
      </c>
      <c r="D30" s="578"/>
      <c r="E30" s="579"/>
      <c r="F30" s="580"/>
      <c r="G30" s="581"/>
    </row>
    <row r="31" spans="1:7" ht="16.5">
      <c r="A31" s="578"/>
      <c r="B31" s="578"/>
      <c r="C31" s="586" t="s">
        <v>3740</v>
      </c>
      <c r="D31" s="578"/>
      <c r="E31" s="578"/>
      <c r="F31" s="587">
        <f>SUM(F23:F30)</f>
        <v>7706.39</v>
      </c>
      <c r="G31" s="588" t="s">
        <v>1341</v>
      </c>
    </row>
    <row r="32" spans="1:7" ht="16.5">
      <c r="A32" s="578"/>
      <c r="B32" s="578"/>
      <c r="C32" s="37" t="s">
        <v>3819</v>
      </c>
      <c r="D32" s="578"/>
      <c r="E32" s="578"/>
      <c r="F32" s="37">
        <f>F31/A29</f>
        <v>4757.03</v>
      </c>
      <c r="G32" s="578" t="s">
        <v>2199</v>
      </c>
    </row>
    <row r="33" spans="1:11" ht="16.5">
      <c r="A33" s="588"/>
      <c r="B33" s="588"/>
      <c r="C33" s="589"/>
      <c r="D33" s="588"/>
      <c r="E33" s="588"/>
      <c r="F33" s="588"/>
      <c r="G33" s="578"/>
    </row>
    <row r="34" spans="1:11" ht="16.5">
      <c r="A34" s="578"/>
      <c r="B34" s="585"/>
      <c r="C34" s="577" t="s">
        <v>3820</v>
      </c>
      <c r="D34" s="577"/>
      <c r="E34" s="577"/>
      <c r="F34" s="577"/>
      <c r="G34" s="578"/>
    </row>
    <row r="35" spans="1:11" ht="16.5">
      <c r="A35" s="582"/>
      <c r="B35" s="583"/>
      <c r="C35" s="590" t="s">
        <v>3821</v>
      </c>
      <c r="D35" s="580"/>
      <c r="E35" s="583"/>
      <c r="F35" s="580"/>
      <c r="G35" s="578"/>
    </row>
    <row r="36" spans="1:11" ht="16.5">
      <c r="A36" s="582">
        <v>12.08</v>
      </c>
      <c r="B36" s="583" t="s">
        <v>876</v>
      </c>
      <c r="C36" s="584" t="s">
        <v>1788</v>
      </c>
      <c r="D36" s="580">
        <f>D23</f>
        <v>301</v>
      </c>
      <c r="E36" s="583" t="s">
        <v>876</v>
      </c>
      <c r="F36" s="580">
        <f>D36*A36</f>
        <v>3636.08</v>
      </c>
      <c r="G36" s="578"/>
      <c r="I36">
        <f>Data!I4009</f>
        <v>301</v>
      </c>
      <c r="J36" s="51">
        <f>Data!F4009</f>
        <v>12.08</v>
      </c>
      <c r="K36">
        <f>Data!K4009</f>
        <v>3636.08</v>
      </c>
    </row>
    <row r="37" spans="1:11" ht="16.5">
      <c r="A37" s="582">
        <v>8.1</v>
      </c>
      <c r="B37" s="583" t="s">
        <v>222</v>
      </c>
      <c r="C37" s="584" t="s">
        <v>3813</v>
      </c>
      <c r="D37" s="580">
        <v>27.1</v>
      </c>
      <c r="E37" s="583" t="s">
        <v>222</v>
      </c>
      <c r="F37" s="580">
        <f t="shared" ref="F37:F42" si="2">D37*A37</f>
        <v>219.51</v>
      </c>
      <c r="G37" s="578"/>
      <c r="I37">
        <f>Data!I4010</f>
        <v>303.89999999999998</v>
      </c>
      <c r="J37" s="51">
        <f>Data!F4010</f>
        <v>1.823</v>
      </c>
    </row>
    <row r="38" spans="1:11" ht="16.5">
      <c r="A38" s="582">
        <v>1.823</v>
      </c>
      <c r="B38" s="583" t="s">
        <v>794</v>
      </c>
      <c r="C38" s="584" t="s">
        <v>3814</v>
      </c>
      <c r="D38" s="580">
        <f>D25</f>
        <v>208.8</v>
      </c>
      <c r="E38" s="583" t="s">
        <v>794</v>
      </c>
      <c r="F38" s="580">
        <f t="shared" si="2"/>
        <v>380.64</v>
      </c>
      <c r="G38" s="578"/>
      <c r="I38">
        <f>Data!I4011</f>
        <v>28.8</v>
      </c>
      <c r="J38" s="51">
        <f>Data!F4011</f>
        <v>8.1</v>
      </c>
    </row>
    <row r="39" spans="1:11" ht="16.5">
      <c r="A39" s="582">
        <v>2</v>
      </c>
      <c r="B39" s="583" t="s">
        <v>3822</v>
      </c>
      <c r="C39" s="584" t="s">
        <v>3815</v>
      </c>
      <c r="D39" s="580">
        <f>D26</f>
        <v>48</v>
      </c>
      <c r="E39" s="583" t="s">
        <v>739</v>
      </c>
      <c r="F39" s="580">
        <f t="shared" si="2"/>
        <v>96</v>
      </c>
      <c r="G39" s="578"/>
      <c r="I39">
        <f>Data!I4012</f>
        <v>350</v>
      </c>
      <c r="J39" s="51">
        <f>Data!F4012</f>
        <v>2</v>
      </c>
    </row>
    <row r="40" spans="1:11" ht="16.5">
      <c r="A40" s="582">
        <v>2</v>
      </c>
      <c r="B40" s="583" t="s">
        <v>739</v>
      </c>
      <c r="C40" s="584" t="s">
        <v>3816</v>
      </c>
      <c r="D40" s="580">
        <f>D27</f>
        <v>350</v>
      </c>
      <c r="E40" s="583" t="s">
        <v>739</v>
      </c>
      <c r="F40" s="580">
        <f t="shared" si="2"/>
        <v>700</v>
      </c>
      <c r="G40" s="578"/>
      <c r="I40">
        <f>Data!I4013</f>
        <v>53.4</v>
      </c>
      <c r="J40" s="51">
        <f>Data!F4013</f>
        <v>2</v>
      </c>
    </row>
    <row r="41" spans="1:11" ht="16.5">
      <c r="A41" s="582">
        <v>4</v>
      </c>
      <c r="B41" s="583" t="s">
        <v>739</v>
      </c>
      <c r="C41" s="584" t="s">
        <v>3817</v>
      </c>
      <c r="D41" s="580">
        <f>D28</f>
        <v>15</v>
      </c>
      <c r="E41" s="583" t="s">
        <v>739</v>
      </c>
      <c r="F41" s="580">
        <f t="shared" si="2"/>
        <v>60</v>
      </c>
      <c r="G41" s="578"/>
      <c r="I41">
        <f>Data!I4014</f>
        <v>15</v>
      </c>
      <c r="J41" s="51">
        <f>Data!F4014</f>
        <v>4</v>
      </c>
    </row>
    <row r="42" spans="1:11" ht="16.5">
      <c r="A42" s="582">
        <v>1.823</v>
      </c>
      <c r="B42" s="583" t="s">
        <v>2199</v>
      </c>
      <c r="C42" s="584" t="s">
        <v>3818</v>
      </c>
      <c r="D42" s="578">
        <f>F52</f>
        <v>1724</v>
      </c>
      <c r="E42" s="583" t="s">
        <v>2199</v>
      </c>
      <c r="F42" s="580">
        <f t="shared" si="2"/>
        <v>3142.85</v>
      </c>
      <c r="G42" s="578"/>
      <c r="I42">
        <f>Data!I4015</f>
        <v>1724</v>
      </c>
      <c r="J42" s="51">
        <f>Data!F4015</f>
        <v>1.823</v>
      </c>
    </row>
    <row r="43" spans="1:11" ht="16.5">
      <c r="A43" s="582"/>
      <c r="B43" s="583"/>
      <c r="C43" s="584" t="s">
        <v>2187</v>
      </c>
      <c r="D43" s="578"/>
      <c r="E43" s="579"/>
      <c r="F43" s="580"/>
      <c r="G43" s="578"/>
    </row>
    <row r="44" spans="1:11" ht="16.5">
      <c r="A44" s="578"/>
      <c r="B44" s="585"/>
      <c r="C44" s="584"/>
      <c r="D44" s="578"/>
      <c r="E44" s="579"/>
      <c r="F44" s="580"/>
      <c r="G44" s="578"/>
    </row>
    <row r="45" spans="1:11" ht="16.5">
      <c r="A45" s="578"/>
      <c r="B45" s="578"/>
      <c r="C45" s="591" t="s">
        <v>3740</v>
      </c>
      <c r="D45" s="578"/>
      <c r="E45" s="578"/>
      <c r="F45" s="587">
        <f>SUM(F36:F44)</f>
        <v>8235.08</v>
      </c>
      <c r="G45" s="588" t="s">
        <v>1341</v>
      </c>
    </row>
    <row r="46" spans="1:11" ht="16.5">
      <c r="A46" s="578"/>
      <c r="B46" s="578"/>
      <c r="C46" s="37" t="s">
        <v>3823</v>
      </c>
      <c r="D46" s="578"/>
      <c r="E46" s="578"/>
      <c r="F46" s="37">
        <f>F45/A42</f>
        <v>4517.32</v>
      </c>
      <c r="G46" s="578" t="s">
        <v>2199</v>
      </c>
    </row>
    <row r="47" spans="1:11" ht="16.5">
      <c r="A47" s="578"/>
      <c r="B47" s="578"/>
      <c r="C47" s="591"/>
      <c r="D47" s="578"/>
      <c r="E47" s="578"/>
      <c r="F47" s="578"/>
      <c r="G47" s="578"/>
    </row>
    <row r="48" spans="1:11" ht="16.5">
      <c r="A48" s="580">
        <v>1</v>
      </c>
      <c r="B48" s="583" t="s">
        <v>835</v>
      </c>
      <c r="C48" s="584" t="s">
        <v>3824</v>
      </c>
      <c r="D48" s="580">
        <f>Data!AE17</f>
        <v>760</v>
      </c>
      <c r="E48" s="584" t="s">
        <v>835</v>
      </c>
      <c r="F48" s="580">
        <f>D48*A48</f>
        <v>760</v>
      </c>
      <c r="G48" s="578"/>
    </row>
    <row r="49" spans="1:7" ht="16.5">
      <c r="A49" s="580">
        <v>1</v>
      </c>
      <c r="B49" s="583" t="s">
        <v>835</v>
      </c>
      <c r="C49" s="584" t="s">
        <v>3825</v>
      </c>
      <c r="D49" s="580">
        <f>Data!AE11</f>
        <v>562</v>
      </c>
      <c r="E49" s="584" t="s">
        <v>835</v>
      </c>
      <c r="F49" s="580">
        <f>D49*A49</f>
        <v>562</v>
      </c>
      <c r="G49" s="578"/>
    </row>
    <row r="50" spans="1:7" ht="16.5">
      <c r="A50" s="580">
        <v>0.5</v>
      </c>
      <c r="B50" s="583" t="s">
        <v>835</v>
      </c>
      <c r="C50" s="584" t="s">
        <v>3826</v>
      </c>
      <c r="D50" s="580">
        <f>Data!AE20</f>
        <v>804</v>
      </c>
      <c r="E50" s="584" t="s">
        <v>835</v>
      </c>
      <c r="F50" s="580">
        <f>D50*A50</f>
        <v>402</v>
      </c>
      <c r="G50" s="578"/>
    </row>
    <row r="51" spans="1:7" ht="16.5">
      <c r="A51" s="578"/>
      <c r="B51" s="585"/>
      <c r="C51" s="578"/>
      <c r="D51" s="578"/>
      <c r="E51" s="592"/>
      <c r="F51" s="593" t="s">
        <v>1530</v>
      </c>
      <c r="G51" s="578"/>
    </row>
    <row r="52" spans="1:7" ht="16.5">
      <c r="A52" s="578"/>
      <c r="B52" s="585"/>
      <c r="C52" s="584" t="s">
        <v>3827</v>
      </c>
      <c r="D52" s="578"/>
      <c r="E52" s="592"/>
      <c r="F52" s="587">
        <f>SUM(F48:F51)</f>
        <v>1724</v>
      </c>
      <c r="G52" s="578"/>
    </row>
    <row r="53" spans="1:7" ht="16.5">
      <c r="A53" s="578"/>
      <c r="B53" s="585"/>
      <c r="C53" s="578"/>
      <c r="D53" s="578"/>
      <c r="E53" s="592"/>
      <c r="F53" s="593" t="s">
        <v>1530</v>
      </c>
      <c r="G53" s="578"/>
    </row>
    <row r="54" spans="1:7" ht="16.5">
      <c r="A54" s="588"/>
      <c r="B54" s="588"/>
      <c r="C54" s="589"/>
      <c r="D54" s="588"/>
      <c r="E54" s="588"/>
      <c r="F54" s="588"/>
      <c r="G54" s="578"/>
    </row>
    <row r="55" spans="1:7" ht="16.5">
      <c r="A55" s="578"/>
      <c r="B55" s="1495" t="s">
        <v>3828</v>
      </c>
      <c r="C55" s="1495"/>
      <c r="D55" s="1495"/>
      <c r="E55" s="1495"/>
      <c r="F55" s="1495"/>
      <c r="G55" s="578"/>
    </row>
    <row r="56" spans="1:7" ht="16.5">
      <c r="A56" s="582"/>
      <c r="B56" s="583"/>
      <c r="C56" s="590" t="s">
        <v>3829</v>
      </c>
      <c r="D56" s="580"/>
      <c r="E56" s="583"/>
      <c r="F56" s="580"/>
      <c r="G56" s="578"/>
    </row>
    <row r="57" spans="1:7" ht="16.5">
      <c r="A57" s="582"/>
      <c r="B57" s="583"/>
      <c r="C57" s="584"/>
      <c r="D57" s="580"/>
      <c r="E57" s="583"/>
      <c r="F57" s="580"/>
      <c r="G57" s="578"/>
    </row>
    <row r="58" spans="1:7" ht="16.5">
      <c r="A58" s="582"/>
      <c r="B58" s="583"/>
      <c r="C58" s="584"/>
      <c r="D58" s="580"/>
      <c r="E58" s="583"/>
      <c r="F58" s="580"/>
      <c r="G58" s="578"/>
    </row>
    <row r="59" spans="1:7" ht="16.5">
      <c r="A59" s="582">
        <v>17.510000000000002</v>
      </c>
      <c r="B59" s="583" t="s">
        <v>876</v>
      </c>
      <c r="C59" s="584" t="s">
        <v>3830</v>
      </c>
      <c r="D59" s="580">
        <f>D36</f>
        <v>301</v>
      </c>
      <c r="E59" s="583" t="s">
        <v>876</v>
      </c>
      <c r="F59" s="580">
        <f>D59*A59</f>
        <v>5270.51</v>
      </c>
      <c r="G59" s="578"/>
    </row>
    <row r="60" spans="1:7" ht="16.5">
      <c r="A60" s="582">
        <v>2.48</v>
      </c>
      <c r="B60" s="583" t="s">
        <v>222</v>
      </c>
      <c r="C60" s="584" t="s">
        <v>3814</v>
      </c>
      <c r="D60" s="580">
        <f>D38</f>
        <v>208.8</v>
      </c>
      <c r="E60" s="583" t="s">
        <v>222</v>
      </c>
      <c r="F60" s="580">
        <f t="shared" ref="F60:F65" si="3">D60*A60</f>
        <v>517.82000000000005</v>
      </c>
      <c r="G60" s="578"/>
    </row>
    <row r="61" spans="1:7" ht="16.5">
      <c r="A61" s="582">
        <v>14.7</v>
      </c>
      <c r="B61" s="583" t="s">
        <v>794</v>
      </c>
      <c r="C61" s="584" t="s">
        <v>3995</v>
      </c>
      <c r="D61" s="580">
        <v>27.1</v>
      </c>
      <c r="E61" s="583" t="s">
        <v>794</v>
      </c>
      <c r="F61" s="580">
        <f t="shared" si="3"/>
        <v>398.37</v>
      </c>
      <c r="G61" s="578"/>
    </row>
    <row r="62" spans="1:7" ht="16.5">
      <c r="A62" s="582">
        <v>3</v>
      </c>
      <c r="B62" s="583" t="s">
        <v>3822</v>
      </c>
      <c r="C62" s="584" t="s">
        <v>3816</v>
      </c>
      <c r="D62" s="580">
        <v>175</v>
      </c>
      <c r="E62" s="583" t="s">
        <v>739</v>
      </c>
      <c r="F62" s="580">
        <f t="shared" si="3"/>
        <v>525</v>
      </c>
      <c r="G62" s="578"/>
    </row>
    <row r="63" spans="1:7" ht="16.5">
      <c r="A63" s="582">
        <v>3</v>
      </c>
      <c r="B63" s="583" t="s">
        <v>739</v>
      </c>
      <c r="C63" s="584" t="s">
        <v>3815</v>
      </c>
      <c r="D63" s="580">
        <v>60</v>
      </c>
      <c r="E63" s="583" t="s">
        <v>739</v>
      </c>
      <c r="F63" s="580">
        <f t="shared" si="3"/>
        <v>180</v>
      </c>
      <c r="G63" s="578"/>
    </row>
    <row r="64" spans="1:7" ht="16.5">
      <c r="A64" s="582">
        <v>6</v>
      </c>
      <c r="B64" s="583" t="s">
        <v>739</v>
      </c>
      <c r="C64" s="584" t="s">
        <v>3817</v>
      </c>
      <c r="D64" s="580">
        <v>15</v>
      </c>
      <c r="E64" s="583" t="s">
        <v>739</v>
      </c>
      <c r="F64" s="580">
        <f t="shared" si="3"/>
        <v>90</v>
      </c>
      <c r="G64" s="578"/>
    </row>
    <row r="65" spans="1:7" ht="16.5">
      <c r="A65" s="582">
        <v>2.48</v>
      </c>
      <c r="B65" s="583" t="s">
        <v>2199</v>
      </c>
      <c r="C65" s="584" t="s">
        <v>3818</v>
      </c>
      <c r="D65" s="578">
        <f>F76</f>
        <v>1724</v>
      </c>
      <c r="E65" s="583" t="s">
        <v>2199</v>
      </c>
      <c r="F65" s="580">
        <f t="shared" si="3"/>
        <v>4275.5200000000004</v>
      </c>
      <c r="G65" s="578"/>
    </row>
    <row r="66" spans="1:7" ht="16.5">
      <c r="A66" s="582"/>
      <c r="B66" s="583"/>
      <c r="C66" s="584" t="s">
        <v>2187</v>
      </c>
      <c r="D66" s="578"/>
      <c r="E66" s="579"/>
      <c r="F66" s="580"/>
      <c r="G66" s="578"/>
    </row>
    <row r="67" spans="1:7" ht="16.5">
      <c r="A67" s="578"/>
      <c r="B67" s="585"/>
      <c r="C67" s="584"/>
      <c r="D67" s="578"/>
      <c r="E67" s="579"/>
      <c r="F67" s="580"/>
      <c r="G67" s="578"/>
    </row>
    <row r="68" spans="1:7" ht="16.5">
      <c r="A68" s="578"/>
      <c r="B68" s="578"/>
      <c r="C68" s="591" t="s">
        <v>3740</v>
      </c>
      <c r="D68" s="578"/>
      <c r="E68" s="578"/>
      <c r="F68" s="587">
        <f>SUM(F59:F67)</f>
        <v>11257.22</v>
      </c>
      <c r="G68" s="588" t="s">
        <v>1341</v>
      </c>
    </row>
    <row r="69" spans="1:7" ht="16.5">
      <c r="A69" s="578"/>
      <c r="B69" s="578"/>
      <c r="C69" s="591"/>
      <c r="D69" s="578"/>
      <c r="E69" s="578"/>
      <c r="F69" s="37">
        <f>F68/A65</f>
        <v>4539.2</v>
      </c>
      <c r="G69" s="578" t="s">
        <v>2199</v>
      </c>
    </row>
    <row r="70" spans="1:7" ht="16.5">
      <c r="A70" s="578"/>
      <c r="B70" s="578"/>
      <c r="C70" s="591"/>
      <c r="D70" s="578"/>
      <c r="E70" s="578"/>
      <c r="F70" s="578"/>
      <c r="G70" s="578"/>
    </row>
    <row r="71" spans="1:7" ht="16.5">
      <c r="A71" s="580">
        <v>1</v>
      </c>
      <c r="B71" s="583" t="s">
        <v>835</v>
      </c>
      <c r="C71" s="584" t="s">
        <v>3824</v>
      </c>
      <c r="D71" s="580">
        <f>D48</f>
        <v>760</v>
      </c>
      <c r="E71" s="584" t="s">
        <v>835</v>
      </c>
      <c r="F71" s="580">
        <f>D71*A71</f>
        <v>760</v>
      </c>
      <c r="G71" s="578"/>
    </row>
    <row r="72" spans="1:7" ht="16.5">
      <c r="A72" s="580">
        <v>1</v>
      </c>
      <c r="B72" s="583" t="s">
        <v>835</v>
      </c>
      <c r="C72" s="584" t="s">
        <v>3825</v>
      </c>
      <c r="D72" s="580">
        <f>D49</f>
        <v>562</v>
      </c>
      <c r="E72" s="584" t="s">
        <v>835</v>
      </c>
      <c r="F72" s="580">
        <f>D72*A72</f>
        <v>562</v>
      </c>
      <c r="G72" s="578"/>
    </row>
    <row r="73" spans="1:7" ht="16.5">
      <c r="A73" s="580">
        <v>0.5</v>
      </c>
      <c r="B73" s="583" t="s">
        <v>835</v>
      </c>
      <c r="C73" s="584" t="s">
        <v>3826</v>
      </c>
      <c r="D73" s="580">
        <f>D50</f>
        <v>804</v>
      </c>
      <c r="E73" s="584" t="s">
        <v>835</v>
      </c>
      <c r="F73" s="580">
        <f>D73*A73</f>
        <v>402</v>
      </c>
      <c r="G73" s="578"/>
    </row>
    <row r="74" spans="1:7" ht="16.5">
      <c r="A74" s="578"/>
      <c r="B74" s="583" t="s">
        <v>419</v>
      </c>
      <c r="C74" s="584" t="s">
        <v>1771</v>
      </c>
      <c r="D74" s="584" t="s">
        <v>940</v>
      </c>
      <c r="E74" s="584" t="s">
        <v>419</v>
      </c>
      <c r="F74" s="580"/>
      <c r="G74" s="578"/>
    </row>
    <row r="75" spans="1:7" ht="16.5">
      <c r="A75" s="578"/>
      <c r="B75" s="585"/>
      <c r="C75" s="578"/>
      <c r="D75" s="578"/>
      <c r="E75" s="592"/>
      <c r="F75" s="593" t="s">
        <v>1530</v>
      </c>
      <c r="G75" s="578"/>
    </row>
    <row r="76" spans="1:7" ht="16.5">
      <c r="A76" s="578"/>
      <c r="B76" s="585"/>
      <c r="C76" s="584" t="s">
        <v>3827</v>
      </c>
      <c r="D76" s="578"/>
      <c r="E76" s="592"/>
      <c r="F76" s="587">
        <f>SUM(F71:F75)</f>
        <v>1724</v>
      </c>
      <c r="G76" s="578"/>
    </row>
    <row r="77" spans="1:7" ht="16.5">
      <c r="A77" s="578"/>
      <c r="B77" s="585"/>
      <c r="C77" s="578"/>
      <c r="D77" s="578"/>
      <c r="E77" s="592"/>
      <c r="F77" s="593" t="s">
        <v>1530</v>
      </c>
      <c r="G77" s="578"/>
    </row>
    <row r="78" spans="1:7" ht="16.5">
      <c r="A78" s="578"/>
      <c r="B78" s="585"/>
      <c r="C78" s="584"/>
      <c r="D78" s="578"/>
      <c r="E78" s="592"/>
      <c r="F78" s="580"/>
      <c r="G78" s="578"/>
    </row>
    <row r="79" spans="1:7" ht="16.5">
      <c r="A79" s="578"/>
      <c r="B79" s="578"/>
      <c r="C79" s="578"/>
      <c r="D79" s="578"/>
      <c r="E79" s="578"/>
      <c r="F79" s="578"/>
      <c r="G79" s="578"/>
    </row>
    <row r="80" spans="1:7" ht="16.5">
      <c r="A80" s="578"/>
      <c r="B80" s="1495" t="s">
        <v>3831</v>
      </c>
      <c r="C80" s="1495"/>
      <c r="D80" s="1495"/>
      <c r="E80" s="577"/>
      <c r="F80" s="577"/>
      <c r="G80" s="578"/>
    </row>
    <row r="81" spans="1:7" ht="16.5">
      <c r="A81" s="582"/>
      <c r="B81" s="583"/>
      <c r="C81" s="590" t="s">
        <v>3832</v>
      </c>
      <c r="D81" s="580"/>
      <c r="E81" s="583"/>
      <c r="F81" s="580"/>
      <c r="G81" s="578"/>
    </row>
    <row r="82" spans="1:7" ht="16.5">
      <c r="A82" s="582"/>
      <c r="B82" s="583"/>
      <c r="C82" s="584"/>
      <c r="D82" s="580"/>
      <c r="E82" s="583"/>
      <c r="F82" s="580"/>
      <c r="G82" s="578"/>
    </row>
    <row r="83" spans="1:7" ht="16.5">
      <c r="A83" s="582"/>
      <c r="B83" s="583"/>
      <c r="C83" s="584"/>
      <c r="D83" s="580"/>
      <c r="E83" s="583"/>
      <c r="F83" s="580"/>
      <c r="G83" s="578"/>
    </row>
    <row r="84" spans="1:7" ht="16.5">
      <c r="A84" s="582">
        <v>4.88</v>
      </c>
      <c r="B84" s="583" t="s">
        <v>876</v>
      </c>
      <c r="C84" s="584" t="s">
        <v>3833</v>
      </c>
      <c r="D84" s="580">
        <f>D59</f>
        <v>301</v>
      </c>
      <c r="E84" s="583" t="s">
        <v>876</v>
      </c>
      <c r="F84" s="580">
        <f>D84*A84</f>
        <v>1468.88</v>
      </c>
      <c r="G84" s="578"/>
    </row>
    <row r="85" spans="1:7" ht="16.5">
      <c r="A85" s="582">
        <v>7.76</v>
      </c>
      <c r="B85" s="583" t="s">
        <v>876</v>
      </c>
      <c r="C85" s="584" t="s">
        <v>3834</v>
      </c>
      <c r="D85" s="580">
        <f>D84</f>
        <v>301</v>
      </c>
      <c r="E85" s="583" t="s">
        <v>876</v>
      </c>
      <c r="F85" s="580">
        <f t="shared" ref="F85:F93" si="4">D85*A85</f>
        <v>2335.7600000000002</v>
      </c>
      <c r="G85" s="578"/>
    </row>
    <row r="86" spans="1:7" ht="16.5">
      <c r="A86" s="582">
        <v>3.03</v>
      </c>
      <c r="B86" s="583" t="s">
        <v>876</v>
      </c>
      <c r="C86" s="584" t="s">
        <v>3835</v>
      </c>
      <c r="D86" s="580">
        <f>D85</f>
        <v>301</v>
      </c>
      <c r="E86" s="583" t="s">
        <v>876</v>
      </c>
      <c r="F86" s="580">
        <f t="shared" si="4"/>
        <v>912.03</v>
      </c>
      <c r="G86" s="578"/>
    </row>
    <row r="87" spans="1:7" ht="16.5">
      <c r="A87" s="582">
        <v>1.45</v>
      </c>
      <c r="B87" s="583" t="s">
        <v>876</v>
      </c>
      <c r="C87" s="584" t="s">
        <v>3830</v>
      </c>
      <c r="D87" s="580">
        <f>D86</f>
        <v>301</v>
      </c>
      <c r="E87" s="583" t="s">
        <v>876</v>
      </c>
      <c r="F87" s="580">
        <f t="shared" si="4"/>
        <v>436.45</v>
      </c>
      <c r="G87" s="578"/>
    </row>
    <row r="88" spans="1:7" ht="16.5">
      <c r="A88" s="582">
        <v>2.4300000000000002</v>
      </c>
      <c r="B88" s="583" t="s">
        <v>222</v>
      </c>
      <c r="C88" s="584" t="s">
        <v>3814</v>
      </c>
      <c r="D88" s="580">
        <v>209.9</v>
      </c>
      <c r="E88" s="583" t="s">
        <v>222</v>
      </c>
      <c r="F88" s="580">
        <f t="shared" si="4"/>
        <v>510.06</v>
      </c>
      <c r="G88" s="578"/>
    </row>
    <row r="89" spans="1:7" ht="16.5">
      <c r="A89" s="582">
        <v>11.7</v>
      </c>
      <c r="B89" s="583" t="s">
        <v>794</v>
      </c>
      <c r="C89" s="584" t="s">
        <v>3813</v>
      </c>
      <c r="D89" s="580">
        <f>D61</f>
        <v>27.1</v>
      </c>
      <c r="E89" s="583" t="s">
        <v>794</v>
      </c>
      <c r="F89" s="580">
        <f t="shared" si="4"/>
        <v>317.07</v>
      </c>
      <c r="G89" s="578"/>
    </row>
    <row r="90" spans="1:7" ht="16.5">
      <c r="A90" s="582">
        <v>3</v>
      </c>
      <c r="B90" s="583" t="s">
        <v>3822</v>
      </c>
      <c r="C90" s="584" t="s">
        <v>3836</v>
      </c>
      <c r="D90" s="580">
        <v>175</v>
      </c>
      <c r="E90" s="583" t="s">
        <v>739</v>
      </c>
      <c r="F90" s="580">
        <f t="shared" si="4"/>
        <v>525</v>
      </c>
      <c r="G90" s="578"/>
    </row>
    <row r="91" spans="1:7" ht="16.5">
      <c r="A91" s="582">
        <v>3</v>
      </c>
      <c r="B91" s="583" t="s">
        <v>739</v>
      </c>
      <c r="C91" s="584" t="s">
        <v>3815</v>
      </c>
      <c r="D91" s="580">
        <v>60</v>
      </c>
      <c r="E91" s="583" t="s">
        <v>739</v>
      </c>
      <c r="F91" s="580">
        <f t="shared" si="4"/>
        <v>180</v>
      </c>
      <c r="G91" s="578"/>
    </row>
    <row r="92" spans="1:7" ht="16.5">
      <c r="A92" s="582">
        <v>4</v>
      </c>
      <c r="B92" s="583" t="s">
        <v>739</v>
      </c>
      <c r="C92" s="584" t="s">
        <v>3817</v>
      </c>
      <c r="D92" s="580">
        <v>15</v>
      </c>
      <c r="E92" s="583" t="s">
        <v>739</v>
      </c>
      <c r="F92" s="580">
        <f t="shared" si="4"/>
        <v>60</v>
      </c>
      <c r="G92" s="578"/>
    </row>
    <row r="93" spans="1:7" ht="16.5">
      <c r="A93" s="582">
        <v>2.4300000000000002</v>
      </c>
      <c r="B93" s="583" t="s">
        <v>2199</v>
      </c>
      <c r="C93" s="584" t="s">
        <v>3818</v>
      </c>
      <c r="D93" s="578">
        <f>D65</f>
        <v>1724</v>
      </c>
      <c r="E93" s="583" t="s">
        <v>2199</v>
      </c>
      <c r="F93" s="580">
        <f t="shared" si="4"/>
        <v>4189.32</v>
      </c>
      <c r="G93" s="578"/>
    </row>
    <row r="94" spans="1:7" ht="16.5">
      <c r="A94" s="582"/>
      <c r="B94" s="583"/>
      <c r="C94" s="584" t="s">
        <v>2187</v>
      </c>
      <c r="D94" s="578"/>
      <c r="E94" s="579"/>
      <c r="F94" s="580">
        <v>11.26</v>
      </c>
      <c r="G94" s="578">
        <v>0</v>
      </c>
    </row>
    <row r="95" spans="1:7" ht="16.5">
      <c r="A95" s="578"/>
      <c r="B95" s="585"/>
      <c r="C95" s="584"/>
      <c r="D95" s="578"/>
      <c r="E95" s="579"/>
      <c r="F95" s="580"/>
      <c r="G95" s="578"/>
    </row>
    <row r="96" spans="1:7" ht="16.5">
      <c r="A96" s="578"/>
      <c r="B96" s="578"/>
      <c r="C96" s="591" t="s">
        <v>3740</v>
      </c>
      <c r="D96" s="578"/>
      <c r="E96" s="578"/>
      <c r="F96" s="587">
        <f>SUM(F84:F95)</f>
        <v>10945.83</v>
      </c>
      <c r="G96" s="588" t="s">
        <v>1341</v>
      </c>
    </row>
    <row r="97" spans="1:7" ht="16.5">
      <c r="A97" s="578"/>
      <c r="B97" s="578"/>
      <c r="C97" s="591"/>
      <c r="D97" s="578"/>
      <c r="E97" s="578"/>
      <c r="F97" s="37">
        <f>F96/A93</f>
        <v>4504.46</v>
      </c>
      <c r="G97" s="578" t="s">
        <v>2199</v>
      </c>
    </row>
    <row r="98" spans="1:7" ht="16.5">
      <c r="A98" s="578"/>
      <c r="B98" s="578"/>
      <c r="C98" s="591"/>
      <c r="D98" s="578"/>
      <c r="E98" s="578"/>
      <c r="F98" s="578"/>
      <c r="G98" s="578"/>
    </row>
    <row r="99" spans="1:7" ht="16.5">
      <c r="A99" s="580">
        <v>1</v>
      </c>
      <c r="B99" s="583" t="s">
        <v>835</v>
      </c>
      <c r="C99" s="584" t="s">
        <v>3824</v>
      </c>
      <c r="D99" s="580">
        <f>D71</f>
        <v>760</v>
      </c>
      <c r="E99" s="584" t="s">
        <v>835</v>
      </c>
      <c r="F99" s="580">
        <f>D99*A99</f>
        <v>760</v>
      </c>
      <c r="G99" s="578"/>
    </row>
    <row r="100" spans="1:7" ht="16.5">
      <c r="A100" s="580">
        <v>1</v>
      </c>
      <c r="B100" s="583" t="s">
        <v>835</v>
      </c>
      <c r="C100" s="584" t="s">
        <v>3825</v>
      </c>
      <c r="D100" s="580">
        <f>D72</f>
        <v>562</v>
      </c>
      <c r="E100" s="584" t="s">
        <v>835</v>
      </c>
      <c r="F100" s="580">
        <f>D100*A100</f>
        <v>562</v>
      </c>
      <c r="G100" s="578"/>
    </row>
    <row r="101" spans="1:7" ht="16.5">
      <c r="A101" s="580">
        <v>0.5</v>
      </c>
      <c r="B101" s="583" t="s">
        <v>835</v>
      </c>
      <c r="C101" s="584" t="s">
        <v>3826</v>
      </c>
      <c r="D101" s="580">
        <f>D73</f>
        <v>804</v>
      </c>
      <c r="E101" s="584" t="s">
        <v>835</v>
      </c>
      <c r="F101" s="580">
        <f>D101*A101</f>
        <v>402</v>
      </c>
      <c r="G101" s="578"/>
    </row>
    <row r="102" spans="1:7" ht="16.5">
      <c r="A102" s="578"/>
      <c r="B102" s="583"/>
      <c r="C102" s="584"/>
      <c r="D102" s="580"/>
      <c r="E102" s="584"/>
      <c r="F102" s="580"/>
      <c r="G102" s="578"/>
    </row>
    <row r="103" spans="1:7" ht="16.5">
      <c r="A103" s="578"/>
      <c r="B103" s="585"/>
      <c r="C103" s="584" t="s">
        <v>3827</v>
      </c>
      <c r="D103" s="578"/>
      <c r="E103" s="592"/>
      <c r="F103" s="587">
        <f>SUM(F99:F102)</f>
        <v>1724</v>
      </c>
      <c r="G103" s="578"/>
    </row>
    <row r="104" spans="1:7" ht="16.5">
      <c r="A104" s="578"/>
      <c r="B104" s="585"/>
      <c r="C104" s="578"/>
      <c r="D104" s="578"/>
      <c r="E104" s="592"/>
      <c r="F104" s="593" t="s">
        <v>1530</v>
      </c>
      <c r="G104" s="578"/>
    </row>
    <row r="105" spans="1:7" ht="16.5">
      <c r="A105" s="578"/>
      <c r="B105" s="578"/>
      <c r="C105" s="578"/>
      <c r="D105" s="578"/>
      <c r="E105" s="578"/>
      <c r="F105" s="578"/>
      <c r="G105" s="578"/>
    </row>
    <row r="106" spans="1:7" ht="16.5">
      <c r="A106" s="1495" t="s">
        <v>3837</v>
      </c>
      <c r="B106" s="1495"/>
      <c r="C106" s="1495"/>
      <c r="D106" s="1495"/>
      <c r="E106" s="1495"/>
      <c r="F106" s="1495"/>
      <c r="G106" s="578"/>
    </row>
    <row r="107" spans="1:7" ht="16.5">
      <c r="A107" s="1495"/>
      <c r="B107" s="1495"/>
      <c r="C107" s="1495"/>
      <c r="D107" s="1495"/>
      <c r="E107" s="1495"/>
      <c r="F107" s="1495"/>
      <c r="G107" s="578"/>
    </row>
    <row r="108" spans="1:7" ht="16.5">
      <c r="A108" s="582"/>
      <c r="B108" s="583"/>
      <c r="C108" s="584"/>
      <c r="D108" s="580"/>
      <c r="E108" s="583"/>
      <c r="F108" s="580"/>
      <c r="G108" s="578"/>
    </row>
    <row r="109" spans="1:7" ht="16.5">
      <c r="A109" s="582">
        <v>10.33</v>
      </c>
      <c r="B109" s="583" t="s">
        <v>876</v>
      </c>
      <c r="C109" s="584" t="s">
        <v>3830</v>
      </c>
      <c r="D109" s="580">
        <f>D87</f>
        <v>301</v>
      </c>
      <c r="E109" s="583" t="s">
        <v>876</v>
      </c>
      <c r="F109" s="580">
        <f>D109*A109</f>
        <v>3109.33</v>
      </c>
      <c r="G109" s="578"/>
    </row>
    <row r="110" spans="1:7" ht="16.5">
      <c r="A110" s="582">
        <v>1.42</v>
      </c>
      <c r="B110" s="583" t="s">
        <v>222</v>
      </c>
      <c r="C110" s="584" t="s">
        <v>3814</v>
      </c>
      <c r="D110" s="580">
        <v>208.8</v>
      </c>
      <c r="E110" s="583" t="s">
        <v>222</v>
      </c>
      <c r="F110" s="580">
        <f t="shared" ref="F110:F115" si="5">D110*A110</f>
        <v>296.5</v>
      </c>
      <c r="G110" s="578"/>
    </row>
    <row r="111" spans="1:7" ht="16.5">
      <c r="A111" s="582">
        <v>6.9</v>
      </c>
      <c r="B111" s="583" t="s">
        <v>794</v>
      </c>
      <c r="C111" s="584" t="s">
        <v>3813</v>
      </c>
      <c r="D111" s="580">
        <f>D89</f>
        <v>27.1</v>
      </c>
      <c r="E111" s="583" t="s">
        <v>794</v>
      </c>
      <c r="F111" s="580">
        <f t="shared" si="5"/>
        <v>186.99</v>
      </c>
      <c r="G111" s="578"/>
    </row>
    <row r="112" spans="1:7" ht="16.5">
      <c r="A112" s="582">
        <v>2</v>
      </c>
      <c r="B112" s="583" t="s">
        <v>3822</v>
      </c>
      <c r="C112" s="584" t="str">
        <f>C36</f>
        <v>Aluminium section</v>
      </c>
      <c r="D112" s="580">
        <v>350</v>
      </c>
      <c r="E112" s="583" t="s">
        <v>739</v>
      </c>
      <c r="F112" s="580">
        <f t="shared" si="5"/>
        <v>700</v>
      </c>
      <c r="G112" s="578"/>
    </row>
    <row r="113" spans="1:8" ht="16.5">
      <c r="A113" s="582">
        <v>2</v>
      </c>
      <c r="B113" s="583" t="s">
        <v>739</v>
      </c>
      <c r="C113" s="584" t="s">
        <v>3815</v>
      </c>
      <c r="D113" s="580">
        <v>48</v>
      </c>
      <c r="E113" s="583" t="s">
        <v>739</v>
      </c>
      <c r="F113" s="580">
        <f t="shared" si="5"/>
        <v>96</v>
      </c>
      <c r="G113" s="578"/>
    </row>
    <row r="114" spans="1:8" ht="16.5">
      <c r="A114" s="582">
        <v>4</v>
      </c>
      <c r="B114" s="583" t="s">
        <v>739</v>
      </c>
      <c r="C114" s="584" t="s">
        <v>3817</v>
      </c>
      <c r="D114" s="580">
        <v>15</v>
      </c>
      <c r="E114" s="583" t="s">
        <v>739</v>
      </c>
      <c r="F114" s="580">
        <f t="shared" si="5"/>
        <v>60</v>
      </c>
      <c r="G114" s="578"/>
    </row>
    <row r="115" spans="1:8" ht="16.5">
      <c r="A115" s="582">
        <v>1.42</v>
      </c>
      <c r="B115" s="583" t="s">
        <v>2199</v>
      </c>
      <c r="C115" s="584" t="s">
        <v>3818</v>
      </c>
      <c r="D115" s="578">
        <f>F125</f>
        <v>1724</v>
      </c>
      <c r="E115" s="583" t="s">
        <v>2199</v>
      </c>
      <c r="F115" s="580">
        <f t="shared" si="5"/>
        <v>2448.08</v>
      </c>
      <c r="G115" s="578"/>
    </row>
    <row r="116" spans="1:8" ht="16.5">
      <c r="A116" s="582"/>
      <c r="B116" s="583"/>
      <c r="C116" s="584" t="s">
        <v>2187</v>
      </c>
      <c r="D116" s="578"/>
      <c r="E116" s="579"/>
      <c r="F116" s="580">
        <v>3.06</v>
      </c>
      <c r="G116" s="578"/>
    </row>
    <row r="117" spans="1:8" ht="16.5">
      <c r="A117" s="582"/>
      <c r="B117" s="583"/>
      <c r="C117" s="584"/>
      <c r="D117" s="578"/>
      <c r="E117" s="583"/>
      <c r="F117" s="580"/>
      <c r="G117" s="578"/>
    </row>
    <row r="118" spans="1:8" ht="16.5">
      <c r="A118" s="582"/>
      <c r="B118" s="583"/>
      <c r="C118" s="586" t="s">
        <v>3470</v>
      </c>
      <c r="D118" s="588"/>
      <c r="E118" s="577"/>
      <c r="F118" s="587">
        <f>SUM(F109:F117)</f>
        <v>6899.96</v>
      </c>
      <c r="G118" s="588" t="s">
        <v>1341</v>
      </c>
      <c r="H118">
        <f>F118/A115</f>
        <v>4859.13</v>
      </c>
    </row>
    <row r="119" spans="1:8" ht="16.5">
      <c r="A119" s="578"/>
      <c r="B119" s="578"/>
      <c r="C119" s="591"/>
      <c r="D119" s="578"/>
      <c r="E119" s="578"/>
      <c r="F119" s="578"/>
      <c r="G119" s="578"/>
    </row>
    <row r="120" spans="1:8" ht="16.5">
      <c r="A120" s="580">
        <v>1</v>
      </c>
      <c r="B120" s="583" t="s">
        <v>835</v>
      </c>
      <c r="C120" s="584" t="s">
        <v>3824</v>
      </c>
      <c r="D120" s="580">
        <f>D99</f>
        <v>760</v>
      </c>
      <c r="E120" s="584" t="s">
        <v>835</v>
      </c>
      <c r="F120" s="580">
        <f>D120*A120</f>
        <v>760</v>
      </c>
      <c r="G120" s="578"/>
    </row>
    <row r="121" spans="1:8" ht="16.5">
      <c r="A121" s="580">
        <v>1</v>
      </c>
      <c r="B121" s="583" t="s">
        <v>835</v>
      </c>
      <c r="C121" s="584" t="s">
        <v>3825</v>
      </c>
      <c r="D121" s="580">
        <f>D100</f>
        <v>562</v>
      </c>
      <c r="E121" s="584" t="s">
        <v>835</v>
      </c>
      <c r="F121" s="580">
        <f>D121*A121</f>
        <v>562</v>
      </c>
      <c r="G121" s="578"/>
    </row>
    <row r="122" spans="1:8" ht="16.5">
      <c r="A122" s="580">
        <v>0.5</v>
      </c>
      <c r="B122" s="583" t="s">
        <v>835</v>
      </c>
      <c r="C122" s="584" t="s">
        <v>3826</v>
      </c>
      <c r="D122" s="580">
        <f>D101</f>
        <v>804</v>
      </c>
      <c r="E122" s="584" t="s">
        <v>835</v>
      </c>
      <c r="F122" s="580">
        <f>D122*A122</f>
        <v>402</v>
      </c>
      <c r="G122" s="578"/>
    </row>
    <row r="123" spans="1:8" ht="16.5">
      <c r="A123" s="578"/>
      <c r="B123" s="583"/>
      <c r="C123" s="584"/>
      <c r="D123" s="580"/>
      <c r="E123" s="584"/>
      <c r="F123" s="580"/>
      <c r="G123" s="578"/>
    </row>
    <row r="124" spans="1:8" ht="16.5">
      <c r="A124" s="578"/>
      <c r="B124" s="585"/>
      <c r="C124" s="578"/>
      <c r="D124" s="578"/>
      <c r="E124" s="592"/>
      <c r="F124" s="593" t="s">
        <v>1530</v>
      </c>
      <c r="G124" s="578"/>
    </row>
    <row r="125" spans="1:8" ht="16.5">
      <c r="A125" s="578"/>
      <c r="B125" s="585"/>
      <c r="C125" s="584" t="s">
        <v>3827</v>
      </c>
      <c r="D125" s="578"/>
      <c r="E125" s="592"/>
      <c r="F125" s="587">
        <f>SUM(F120:F124)</f>
        <v>1724</v>
      </c>
      <c r="G125" s="578"/>
    </row>
    <row r="126" spans="1:8" ht="16.5">
      <c r="A126" s="578"/>
      <c r="B126" s="585"/>
      <c r="C126" s="584"/>
      <c r="D126" s="578"/>
      <c r="E126" s="592"/>
      <c r="F126" s="587"/>
      <c r="G126" s="578"/>
    </row>
    <row r="127" spans="1:8" ht="16.5">
      <c r="A127" s="578"/>
      <c r="B127" s="585"/>
      <c r="C127" s="578"/>
      <c r="D127" s="578"/>
      <c r="E127" s="592"/>
      <c r="F127" s="593" t="s">
        <v>1530</v>
      </c>
      <c r="G127" s="578"/>
    </row>
    <row r="128" spans="1:8" ht="16.5">
      <c r="A128" s="578"/>
      <c r="B128" s="1495" t="s">
        <v>3838</v>
      </c>
      <c r="C128" s="1495"/>
      <c r="D128" s="1495"/>
      <c r="E128" s="577"/>
      <c r="F128" s="577"/>
      <c r="G128" s="578"/>
    </row>
    <row r="129" spans="1:7" ht="16.5">
      <c r="A129" s="582"/>
      <c r="B129" s="583"/>
      <c r="C129" s="590" t="s">
        <v>3832</v>
      </c>
      <c r="D129" s="580"/>
      <c r="E129" s="583"/>
      <c r="F129" s="580"/>
      <c r="G129" s="578"/>
    </row>
    <row r="130" spans="1:7" ht="16.5">
      <c r="A130" s="582"/>
      <c r="B130" s="583"/>
      <c r="C130" s="584"/>
      <c r="D130" s="580"/>
      <c r="E130" s="583"/>
      <c r="F130" s="580"/>
      <c r="G130" s="578"/>
    </row>
    <row r="131" spans="1:7" ht="16.5">
      <c r="A131" s="582"/>
      <c r="B131" s="583"/>
      <c r="C131" s="584"/>
      <c r="D131" s="580"/>
      <c r="E131" s="583"/>
      <c r="F131" s="580"/>
      <c r="G131" s="578"/>
    </row>
    <row r="132" spans="1:7" ht="16.5">
      <c r="A132" s="582">
        <v>4.42</v>
      </c>
      <c r="B132" s="583" t="s">
        <v>876</v>
      </c>
      <c r="C132" s="584" t="s">
        <v>3833</v>
      </c>
      <c r="D132" s="580">
        <f>D109</f>
        <v>301</v>
      </c>
      <c r="E132" s="583" t="s">
        <v>876</v>
      </c>
      <c r="F132" s="580">
        <f>D132*A132</f>
        <v>1330.42</v>
      </c>
      <c r="G132" s="578"/>
    </row>
    <row r="133" spans="1:7" ht="16.5">
      <c r="A133" s="582">
        <v>7.36</v>
      </c>
      <c r="B133" s="583" t="s">
        <v>876</v>
      </c>
      <c r="C133" s="584" t="s">
        <v>3834</v>
      </c>
      <c r="D133" s="580">
        <f>D132</f>
        <v>301</v>
      </c>
      <c r="E133" s="583" t="s">
        <v>876</v>
      </c>
      <c r="F133" s="580">
        <f t="shared" ref="F133:F141" si="6">D133*A133</f>
        <v>2215.36</v>
      </c>
      <c r="G133" s="578"/>
    </row>
    <row r="134" spans="1:7" ht="16.5">
      <c r="A134" s="582">
        <v>3.03</v>
      </c>
      <c r="B134" s="583" t="s">
        <v>876</v>
      </c>
      <c r="C134" s="584" t="s">
        <v>3835</v>
      </c>
      <c r="D134" s="580">
        <f>D133</f>
        <v>301</v>
      </c>
      <c r="E134" s="583" t="s">
        <v>876</v>
      </c>
      <c r="F134" s="580">
        <f t="shared" si="6"/>
        <v>912.03</v>
      </c>
      <c r="G134" s="578"/>
    </row>
    <row r="135" spans="1:7" ht="16.5">
      <c r="A135" s="582">
        <v>1.38</v>
      </c>
      <c r="B135" s="583" t="s">
        <v>876</v>
      </c>
      <c r="C135" s="584" t="s">
        <v>3830</v>
      </c>
      <c r="D135" s="580">
        <f>D134</f>
        <v>301</v>
      </c>
      <c r="E135" s="583" t="s">
        <v>876</v>
      </c>
      <c r="F135" s="580">
        <f t="shared" si="6"/>
        <v>415.38</v>
      </c>
      <c r="G135" s="578"/>
    </row>
    <row r="136" spans="1:7" ht="16.5">
      <c r="A136" s="582">
        <v>2.0249999999999999</v>
      </c>
      <c r="B136" s="583" t="s">
        <v>222</v>
      </c>
      <c r="C136" s="584" t="s">
        <v>1789</v>
      </c>
      <c r="D136" s="580">
        <f>D110</f>
        <v>208.8</v>
      </c>
      <c r="E136" s="583" t="s">
        <v>222</v>
      </c>
      <c r="F136" s="580">
        <f t="shared" si="6"/>
        <v>422.82</v>
      </c>
      <c r="G136" s="578"/>
    </row>
    <row r="137" spans="1:7" ht="16.5">
      <c r="A137" s="582">
        <v>11.1</v>
      </c>
      <c r="B137" s="583" t="s">
        <v>794</v>
      </c>
      <c r="C137" s="584" t="s">
        <v>1790</v>
      </c>
      <c r="D137" s="580">
        <f>D111</f>
        <v>27.1</v>
      </c>
      <c r="E137" s="583" t="s">
        <v>794</v>
      </c>
      <c r="F137" s="580">
        <f t="shared" si="6"/>
        <v>300.81</v>
      </c>
      <c r="G137" s="578"/>
    </row>
    <row r="138" spans="1:7" ht="16.5">
      <c r="A138" s="582">
        <v>3</v>
      </c>
      <c r="B138" s="583" t="s">
        <v>3822</v>
      </c>
      <c r="C138" s="584" t="str">
        <f>C62</f>
        <v>10" I Max hinges (304 grade) qtn</v>
      </c>
      <c r="D138" s="580">
        <f>D112</f>
        <v>350</v>
      </c>
      <c r="E138" s="583" t="s">
        <v>739</v>
      </c>
      <c r="F138" s="580">
        <f t="shared" si="6"/>
        <v>1050</v>
      </c>
      <c r="G138" s="578"/>
    </row>
    <row r="139" spans="1:7" ht="16.5">
      <c r="A139" s="582">
        <v>3</v>
      </c>
      <c r="B139" s="583" t="s">
        <v>739</v>
      </c>
      <c r="C139" s="584" t="s">
        <v>3839</v>
      </c>
      <c r="D139" s="580">
        <f>D113</f>
        <v>48</v>
      </c>
      <c r="E139" s="583" t="s">
        <v>739</v>
      </c>
      <c r="F139" s="580">
        <f t="shared" si="6"/>
        <v>144</v>
      </c>
      <c r="G139" s="578"/>
    </row>
    <row r="140" spans="1:7" ht="16.5">
      <c r="A140" s="582">
        <v>4</v>
      </c>
      <c r="B140" s="583" t="s">
        <v>739</v>
      </c>
      <c r="C140" s="584" t="s">
        <v>3840</v>
      </c>
      <c r="D140" s="580">
        <v>15</v>
      </c>
      <c r="E140" s="583" t="s">
        <v>739</v>
      </c>
      <c r="F140" s="580">
        <f t="shared" si="6"/>
        <v>60</v>
      </c>
      <c r="G140" s="578"/>
    </row>
    <row r="141" spans="1:7" ht="16.5">
      <c r="A141" s="582">
        <v>2.0249999999999999</v>
      </c>
      <c r="B141" s="583" t="s">
        <v>2199</v>
      </c>
      <c r="C141" s="584" t="s">
        <v>1796</v>
      </c>
      <c r="D141" s="578">
        <f>F152</f>
        <v>1724</v>
      </c>
      <c r="E141" s="583" t="s">
        <v>2199</v>
      </c>
      <c r="F141" s="580">
        <f t="shared" si="6"/>
        <v>3491.1</v>
      </c>
      <c r="G141" s="578"/>
    </row>
    <row r="142" spans="1:7" ht="16.5">
      <c r="A142" s="582"/>
      <c r="B142" s="583"/>
      <c r="C142" s="584" t="s">
        <v>1797</v>
      </c>
      <c r="D142" s="578"/>
      <c r="E142" s="579"/>
      <c r="F142" s="580"/>
      <c r="G142" s="578"/>
    </row>
    <row r="143" spans="1:7" ht="16.5">
      <c r="A143" s="578"/>
      <c r="B143" s="585"/>
      <c r="C143" s="584"/>
      <c r="D143" s="578"/>
      <c r="E143" s="579"/>
      <c r="F143" s="580"/>
      <c r="G143" s="578"/>
    </row>
    <row r="144" spans="1:7" ht="16.5">
      <c r="A144" s="578"/>
      <c r="B144" s="578"/>
      <c r="C144" s="591" t="s">
        <v>3740</v>
      </c>
      <c r="D144" s="578"/>
      <c r="E144" s="578"/>
      <c r="F144" s="588">
        <f>SUM(F132:F143)</f>
        <v>10341.92</v>
      </c>
      <c r="G144" s="588" t="s">
        <v>1341</v>
      </c>
    </row>
    <row r="145" spans="1:7" ht="16.5">
      <c r="A145" s="578"/>
      <c r="B145" s="578"/>
      <c r="C145" s="37" t="s">
        <v>3841</v>
      </c>
      <c r="D145" s="578"/>
      <c r="E145" s="578"/>
      <c r="F145" s="37">
        <f>F144/A136</f>
        <v>5107.12</v>
      </c>
      <c r="G145" s="578" t="s">
        <v>2199</v>
      </c>
    </row>
    <row r="146" spans="1:7" ht="16.5">
      <c r="A146" s="578"/>
      <c r="B146" s="578"/>
      <c r="C146" s="591"/>
      <c r="D146" s="578"/>
      <c r="E146" s="578"/>
      <c r="F146" s="578"/>
      <c r="G146" s="578"/>
    </row>
    <row r="147" spans="1:7" ht="16.5">
      <c r="A147" s="580">
        <v>1</v>
      </c>
      <c r="B147" s="583" t="s">
        <v>835</v>
      </c>
      <c r="C147" s="584" t="s">
        <v>3824</v>
      </c>
      <c r="D147" s="580">
        <f>D120</f>
        <v>760</v>
      </c>
      <c r="E147" s="584" t="s">
        <v>835</v>
      </c>
      <c r="F147" s="580">
        <f>D147*A147</f>
        <v>760</v>
      </c>
      <c r="G147" s="578"/>
    </row>
    <row r="148" spans="1:7" ht="16.5">
      <c r="A148" s="580">
        <v>1</v>
      </c>
      <c r="B148" s="583" t="s">
        <v>835</v>
      </c>
      <c r="C148" s="584" t="s">
        <v>3825</v>
      </c>
      <c r="D148" s="580">
        <f>D121</f>
        <v>562</v>
      </c>
      <c r="E148" s="584" t="s">
        <v>835</v>
      </c>
      <c r="F148" s="580">
        <f>D148*A148</f>
        <v>562</v>
      </c>
      <c r="G148" s="578"/>
    </row>
    <row r="149" spans="1:7" ht="16.5">
      <c r="A149" s="580">
        <v>0.5</v>
      </c>
      <c r="B149" s="583" t="s">
        <v>835</v>
      </c>
      <c r="C149" s="584" t="s">
        <v>3826</v>
      </c>
      <c r="D149" s="580">
        <f>D122</f>
        <v>804</v>
      </c>
      <c r="E149" s="584" t="s">
        <v>835</v>
      </c>
      <c r="F149" s="580">
        <f>D149*A149</f>
        <v>402</v>
      </c>
      <c r="G149" s="578"/>
    </row>
    <row r="150" spans="1:7" ht="16.5">
      <c r="A150" s="578"/>
      <c r="B150" s="583"/>
      <c r="C150" s="584"/>
      <c r="D150" s="580"/>
      <c r="E150" s="584"/>
      <c r="F150" s="580"/>
      <c r="G150" s="578"/>
    </row>
    <row r="151" spans="1:7" ht="16.5">
      <c r="A151" s="578"/>
      <c r="B151" s="585"/>
      <c r="C151" s="578"/>
      <c r="D151" s="578"/>
      <c r="E151" s="592"/>
      <c r="F151" s="593" t="s">
        <v>1530</v>
      </c>
      <c r="G151" s="578"/>
    </row>
    <row r="152" spans="1:7" ht="16.5">
      <c r="A152" s="578"/>
      <c r="B152" s="585"/>
      <c r="C152" s="584" t="s">
        <v>3827</v>
      </c>
      <c r="D152" s="578"/>
      <c r="E152" s="592"/>
      <c r="F152" s="587">
        <f>SUM(F147:F151)</f>
        <v>1724</v>
      </c>
      <c r="G152" s="578"/>
    </row>
    <row r="153" spans="1:7" ht="16.5">
      <c r="A153" s="578"/>
      <c r="B153" s="585"/>
      <c r="C153" s="578"/>
      <c r="D153" s="578"/>
      <c r="E153" s="592"/>
      <c r="F153" s="593" t="s">
        <v>1530</v>
      </c>
      <c r="G153" s="578"/>
    </row>
    <row r="155" spans="1:7">
      <c r="A155" s="1495" t="s">
        <v>3842</v>
      </c>
      <c r="B155" s="1495"/>
      <c r="C155" s="1495"/>
      <c r="D155" s="1495"/>
      <c r="E155" s="1495"/>
      <c r="F155" s="1495"/>
    </row>
    <row r="156" spans="1:7">
      <c r="A156" s="1495"/>
      <c r="B156" s="1495"/>
      <c r="C156" s="1495"/>
      <c r="D156" s="1495"/>
      <c r="E156" s="1495"/>
      <c r="F156" s="1495"/>
    </row>
    <row r="157" spans="1:7" ht="16.5">
      <c r="A157" s="582"/>
      <c r="B157" s="583"/>
      <c r="C157" s="584"/>
      <c r="D157" s="580"/>
      <c r="E157" s="583"/>
      <c r="F157" s="580"/>
    </row>
    <row r="158" spans="1:7" ht="16.5">
      <c r="A158" s="582">
        <v>6.56</v>
      </c>
      <c r="B158" s="583" t="s">
        <v>876</v>
      </c>
      <c r="C158" s="584" t="s">
        <v>3830</v>
      </c>
      <c r="D158" s="580">
        <f>D135</f>
        <v>301</v>
      </c>
      <c r="E158" s="583" t="s">
        <v>876</v>
      </c>
      <c r="F158" s="580">
        <f>D158*A158</f>
        <v>1974.56</v>
      </c>
    </row>
    <row r="159" spans="1:7" ht="16.5">
      <c r="A159" s="582">
        <v>1.0129999999999999</v>
      </c>
      <c r="B159" s="583" t="s">
        <v>222</v>
      </c>
      <c r="C159" s="584" t="s">
        <v>3814</v>
      </c>
      <c r="D159" s="580">
        <f>D136</f>
        <v>208.8</v>
      </c>
      <c r="E159" s="583" t="s">
        <v>222</v>
      </c>
      <c r="F159" s="580">
        <f t="shared" ref="F159:F164" si="7">D159*A159</f>
        <v>211.51</v>
      </c>
    </row>
    <row r="160" spans="1:7" ht="16.5">
      <c r="A160" s="582">
        <v>4.2</v>
      </c>
      <c r="B160" s="583" t="s">
        <v>794</v>
      </c>
      <c r="C160" s="584" t="s">
        <v>3813</v>
      </c>
      <c r="D160" s="580">
        <f>D137</f>
        <v>27.1</v>
      </c>
      <c r="E160" s="583" t="s">
        <v>794</v>
      </c>
      <c r="F160" s="580">
        <f t="shared" si="7"/>
        <v>113.82</v>
      </c>
    </row>
    <row r="161" spans="1:7" ht="16.5">
      <c r="A161" s="582">
        <v>1</v>
      </c>
      <c r="B161" s="583" t="s">
        <v>3822</v>
      </c>
      <c r="C161" s="584" t="str">
        <f>C138</f>
        <v>10" I Max hinges (304 grade) qtn</v>
      </c>
      <c r="D161" s="580">
        <f>D138</f>
        <v>350</v>
      </c>
      <c r="E161" s="583" t="s">
        <v>739</v>
      </c>
      <c r="F161" s="580">
        <f t="shared" si="7"/>
        <v>350</v>
      </c>
    </row>
    <row r="162" spans="1:7" ht="16.5">
      <c r="A162" s="582">
        <v>1</v>
      </c>
      <c r="B162" s="583" t="s">
        <v>739</v>
      </c>
      <c r="C162" s="584" t="s">
        <v>3815</v>
      </c>
      <c r="D162" s="580">
        <f>D139</f>
        <v>48</v>
      </c>
      <c r="E162" s="583" t="s">
        <v>739</v>
      </c>
      <c r="F162" s="580">
        <f t="shared" si="7"/>
        <v>48</v>
      </c>
    </row>
    <row r="163" spans="1:7" ht="16.5">
      <c r="A163" s="582">
        <v>4</v>
      </c>
      <c r="B163" s="583" t="s">
        <v>739</v>
      </c>
      <c r="C163" s="584" t="s">
        <v>3817</v>
      </c>
      <c r="D163" s="580">
        <v>15</v>
      </c>
      <c r="E163" s="583" t="s">
        <v>739</v>
      </c>
      <c r="F163" s="580">
        <f>D163*A163</f>
        <v>60</v>
      </c>
    </row>
    <row r="164" spans="1:7" ht="16.5">
      <c r="A164" s="582">
        <v>1.0129999999999999</v>
      </c>
      <c r="B164" s="583" t="s">
        <v>2199</v>
      </c>
      <c r="C164" s="584" t="s">
        <v>3818</v>
      </c>
      <c r="D164" s="578">
        <f>D141</f>
        <v>1724</v>
      </c>
      <c r="E164" s="583" t="s">
        <v>2199</v>
      </c>
      <c r="F164" s="580">
        <f t="shared" si="7"/>
        <v>1746.41</v>
      </c>
    </row>
    <row r="165" spans="1:7" ht="16.5">
      <c r="A165" s="582"/>
      <c r="B165" s="583"/>
      <c r="C165" s="584" t="s">
        <v>2187</v>
      </c>
      <c r="D165" s="578"/>
      <c r="E165" s="579"/>
      <c r="F165" s="580"/>
    </row>
    <row r="166" spans="1:7" ht="23.25" customHeight="1">
      <c r="A166" s="582"/>
      <c r="B166" s="583"/>
      <c r="C166" s="586" t="s">
        <v>3470</v>
      </c>
      <c r="D166" s="588"/>
      <c r="E166" s="577"/>
      <c r="F166" s="587">
        <f>SUM(F158:F165)</f>
        <v>4504.3</v>
      </c>
    </row>
    <row r="167" spans="1:7" ht="13.5" customHeight="1">
      <c r="A167" s="582"/>
      <c r="B167" s="583"/>
      <c r="C167" s="37" t="s">
        <v>3843</v>
      </c>
      <c r="D167" s="578"/>
      <c r="E167" s="578"/>
      <c r="F167" s="37">
        <f>F166/A164</f>
        <v>4446.5</v>
      </c>
      <c r="G167" s="578" t="s">
        <v>2199</v>
      </c>
    </row>
    <row r="168" spans="1:7" ht="16.5">
      <c r="A168" s="578"/>
      <c r="B168" s="578"/>
      <c r="C168" s="591"/>
      <c r="D168" s="578"/>
      <c r="E168" s="578"/>
      <c r="F168" s="578"/>
    </row>
    <row r="169" spans="1:7" ht="16.5">
      <c r="A169" s="580">
        <v>1</v>
      </c>
      <c r="B169" s="583" t="s">
        <v>835</v>
      </c>
      <c r="C169" s="584" t="s">
        <v>3824</v>
      </c>
      <c r="D169" s="580">
        <f>D147</f>
        <v>760</v>
      </c>
      <c r="E169" s="584" t="s">
        <v>835</v>
      </c>
      <c r="F169" s="580">
        <f>D169*A169</f>
        <v>760</v>
      </c>
    </row>
    <row r="170" spans="1:7" ht="16.5">
      <c r="A170" s="580">
        <v>1</v>
      </c>
      <c r="B170" s="583" t="s">
        <v>835</v>
      </c>
      <c r="C170" s="584" t="s">
        <v>3825</v>
      </c>
      <c r="D170" s="580">
        <f>D148</f>
        <v>562</v>
      </c>
      <c r="E170" s="584" t="s">
        <v>835</v>
      </c>
      <c r="F170" s="580">
        <f>D170*A170</f>
        <v>562</v>
      </c>
    </row>
    <row r="171" spans="1:7" ht="16.5">
      <c r="A171" s="580">
        <v>0.5</v>
      </c>
      <c r="B171" s="583" t="s">
        <v>835</v>
      </c>
      <c r="C171" s="584" t="s">
        <v>3826</v>
      </c>
      <c r="D171" s="580">
        <f>D149</f>
        <v>804</v>
      </c>
      <c r="E171" s="584" t="s">
        <v>835</v>
      </c>
      <c r="F171" s="580">
        <f>D171*A171</f>
        <v>402</v>
      </c>
    </row>
    <row r="172" spans="1:7" ht="35.25" hidden="1" customHeight="1">
      <c r="A172" s="578"/>
      <c r="B172" s="583"/>
      <c r="C172" s="584"/>
      <c r="D172" s="580"/>
      <c r="E172" s="584"/>
      <c r="F172" s="580"/>
    </row>
    <row r="173" spans="1:7" ht="15.75" hidden="1" customHeight="1">
      <c r="A173" s="578"/>
      <c r="B173" s="585"/>
      <c r="C173" s="578"/>
      <c r="D173" s="578"/>
      <c r="E173" s="592"/>
      <c r="F173" s="593" t="s">
        <v>1530</v>
      </c>
    </row>
    <row r="174" spans="1:7" ht="15.75" hidden="1" customHeight="1">
      <c r="A174" s="578"/>
      <c r="B174" s="585"/>
      <c r="C174" s="584" t="s">
        <v>3827</v>
      </c>
      <c r="D174" s="578"/>
      <c r="E174" s="592"/>
      <c r="F174" s="587">
        <f>SUM(F169:F173)</f>
        <v>1724</v>
      </c>
    </row>
    <row r="175" spans="1:7" ht="15.75" hidden="1" customHeight="1">
      <c r="A175" s="578"/>
      <c r="B175" s="585"/>
      <c r="C175" s="578"/>
      <c r="D175" s="578"/>
      <c r="E175" s="592"/>
      <c r="F175" s="593" t="s">
        <v>1530</v>
      </c>
    </row>
    <row r="176" spans="1:7">
      <c r="F176" s="37">
        <f>SUM(F174)</f>
        <v>1724</v>
      </c>
    </row>
    <row r="178" spans="1:7" ht="19.5">
      <c r="B178" s="3"/>
      <c r="C178" s="218"/>
      <c r="D178" s="1496"/>
      <c r="E178" s="1496"/>
      <c r="F178" s="1496"/>
    </row>
    <row r="179" spans="1:7">
      <c r="A179" s="16"/>
      <c r="B179" s="7"/>
      <c r="C179" s="1"/>
      <c r="D179" s="8"/>
      <c r="E179" s="7"/>
      <c r="F179" s="8"/>
    </row>
    <row r="180" spans="1:7">
      <c r="A180" s="118"/>
      <c r="B180" s="119" t="s">
        <v>2167</v>
      </c>
      <c r="C180" s="120" t="s">
        <v>4425</v>
      </c>
      <c r="D180" s="111"/>
      <c r="E180" s="114"/>
      <c r="F180" s="111"/>
      <c r="G180" s="51"/>
    </row>
    <row r="181" spans="1:7">
      <c r="A181" s="111"/>
      <c r="B181" s="112"/>
      <c r="C181" s="120" t="s">
        <v>4426</v>
      </c>
      <c r="D181" s="111"/>
      <c r="E181" s="114"/>
      <c r="F181" s="111"/>
      <c r="G181" s="51"/>
    </row>
    <row r="182" spans="1:7" ht="18">
      <c r="A182" s="111"/>
      <c r="B182" s="112"/>
      <c r="C182" s="385" t="s">
        <v>4427</v>
      </c>
      <c r="D182" s="111"/>
      <c r="E182" s="114"/>
      <c r="F182" s="111"/>
      <c r="G182" s="51"/>
    </row>
    <row r="183" spans="1:7">
      <c r="A183" s="111"/>
      <c r="B183" s="112"/>
      <c r="C183" s="121" t="s">
        <v>1530</v>
      </c>
      <c r="D183" s="111"/>
      <c r="E183" s="114"/>
      <c r="F183" s="111"/>
      <c r="G183" s="51"/>
    </row>
    <row r="184" spans="1:7">
      <c r="A184" s="111"/>
      <c r="B184" s="112"/>
      <c r="C184" s="814" t="s">
        <v>4428</v>
      </c>
      <c r="D184" s="115"/>
      <c r="E184" s="386"/>
      <c r="F184" s="111"/>
      <c r="G184" s="51"/>
    </row>
    <row r="185" spans="1:7">
      <c r="A185" s="111"/>
      <c r="B185" s="112"/>
      <c r="C185" s="120" t="s">
        <v>4429</v>
      </c>
      <c r="D185" s="115"/>
      <c r="E185" s="386"/>
      <c r="F185" s="111"/>
      <c r="G185" s="51"/>
    </row>
    <row r="186" spans="1:7">
      <c r="A186" s="111"/>
      <c r="B186" s="112"/>
      <c r="C186" s="120" t="s">
        <v>4430</v>
      </c>
      <c r="G186" s="51"/>
    </row>
    <row r="187" spans="1:7">
      <c r="A187" s="111"/>
      <c r="B187" s="112"/>
      <c r="C187" s="120" t="s">
        <v>4445</v>
      </c>
      <c r="D187" s="115" t="s">
        <v>1980</v>
      </c>
      <c r="E187" s="387">
        <f>2*2*3*0.15*0.15</f>
        <v>0.27</v>
      </c>
      <c r="F187" s="111" t="s">
        <v>2070</v>
      </c>
      <c r="G187" s="51"/>
    </row>
    <row r="188" spans="1:7" ht="39" customHeight="1">
      <c r="A188" s="111"/>
      <c r="B188" s="112"/>
      <c r="C188" s="120" t="s">
        <v>4431</v>
      </c>
      <c r="D188" s="115" t="s">
        <v>1980</v>
      </c>
      <c r="E188" s="387">
        <f>4*2*0.15*0.15*2.4</f>
        <v>0.432</v>
      </c>
      <c r="F188" s="111" t="s">
        <v>2070</v>
      </c>
      <c r="G188" s="51"/>
    </row>
    <row r="189" spans="1:7" ht="22.5" customHeight="1">
      <c r="A189" s="111"/>
      <c r="B189" s="112"/>
      <c r="C189" s="120"/>
      <c r="D189" s="115"/>
      <c r="E189" s="121" t="s">
        <v>1530</v>
      </c>
      <c r="F189" s="131"/>
      <c r="G189" s="51"/>
    </row>
    <row r="190" spans="1:7" ht="16.5" customHeight="1">
      <c r="A190" s="111"/>
      <c r="B190" s="112"/>
      <c r="C190" s="111"/>
      <c r="D190" s="111"/>
      <c r="E190" s="419">
        <f>SUM(E187:E189)</f>
        <v>0.70199999999999996</v>
      </c>
      <c r="F190" s="37" t="s">
        <v>2070</v>
      </c>
      <c r="G190" s="51"/>
    </row>
    <row r="191" spans="1:7" ht="16.5" customHeight="1">
      <c r="A191" s="111"/>
      <c r="B191" s="112"/>
      <c r="C191" s="120" t="s">
        <v>4446</v>
      </c>
      <c r="D191" s="111"/>
      <c r="E191" s="158"/>
      <c r="F191" s="136"/>
      <c r="G191" s="51"/>
    </row>
    <row r="192" spans="1:7" ht="27.75" customHeight="1">
      <c r="A192" s="111"/>
      <c r="B192" s="112"/>
      <c r="C192" s="120" t="s">
        <v>4432</v>
      </c>
      <c r="D192" s="111"/>
      <c r="E192" s="394"/>
      <c r="F192" s="136"/>
      <c r="G192" s="51"/>
    </row>
    <row r="193" spans="1:8" ht="14.25" customHeight="1">
      <c r="A193" s="111"/>
      <c r="B193" s="112"/>
      <c r="C193" s="120"/>
      <c r="D193" s="111"/>
      <c r="E193" s="394"/>
      <c r="F193" s="136"/>
      <c r="G193" s="51"/>
    </row>
    <row r="194" spans="1:8" ht="39" customHeight="1">
      <c r="A194" s="137">
        <f>D197</f>
        <v>0.1208</v>
      </c>
      <c r="B194" s="112" t="s">
        <v>836</v>
      </c>
      <c r="C194" s="815" t="s">
        <v>4433</v>
      </c>
      <c r="D194" s="384">
        <f>3*1*1.8*0.15*0.05</f>
        <v>4.0500000000000001E-2</v>
      </c>
      <c r="E194" s="111">
        <v>106376</v>
      </c>
      <c r="F194" s="118" t="s">
        <v>836</v>
      </c>
      <c r="G194" s="122">
        <f>E194*A194</f>
        <v>12850.22</v>
      </c>
    </row>
    <row r="195" spans="1:8" ht="39" customHeight="1">
      <c r="A195" s="137"/>
      <c r="B195" s="112"/>
      <c r="C195" s="111" t="s">
        <v>4434</v>
      </c>
      <c r="D195" s="137">
        <f>6*1*0.1*0.05*2.15</f>
        <v>6.4500000000000002E-2</v>
      </c>
      <c r="E195" s="118"/>
      <c r="F195" s="122"/>
      <c r="G195" s="51"/>
    </row>
    <row r="196" spans="1:8" ht="39" customHeight="1">
      <c r="A196" s="137"/>
      <c r="B196" s="112"/>
      <c r="C196" s="111" t="s">
        <v>4435</v>
      </c>
      <c r="D196" s="137">
        <f>2*3*0.35*0.15*0.05</f>
        <v>1.5800000000000002E-2</v>
      </c>
      <c r="E196" s="118"/>
      <c r="F196" s="122"/>
      <c r="G196" s="51"/>
    </row>
    <row r="197" spans="1:8" ht="39" customHeight="1">
      <c r="A197" s="137"/>
      <c r="B197" s="112"/>
      <c r="C197" s="111"/>
      <c r="D197" s="818">
        <f>SUM(D194:D196)</f>
        <v>0.1208</v>
      </c>
      <c r="E197" s="118"/>
      <c r="F197" s="122"/>
      <c r="G197" s="51"/>
    </row>
    <row r="198" spans="1:8" ht="54.75" customHeight="1">
      <c r="A198" s="131">
        <v>4.5969999999999997E-2</v>
      </c>
      <c r="B198" s="119" t="s">
        <v>836</v>
      </c>
      <c r="C198" s="127" t="s">
        <v>4448</v>
      </c>
      <c r="D198" s="170">
        <f>8*1*0.815*0.35*0.01875</f>
        <v>4.2790000000000002E-2</v>
      </c>
      <c r="E198" s="122">
        <v>101921</v>
      </c>
      <c r="F198" s="118" t="s">
        <v>836</v>
      </c>
      <c r="G198" s="122">
        <f>E198*A198</f>
        <v>4685.3100000000004</v>
      </c>
      <c r="H198" s="51"/>
    </row>
    <row r="199" spans="1:8" ht="30.75">
      <c r="A199" s="131">
        <f>D199</f>
        <v>3.98</v>
      </c>
      <c r="B199" s="119" t="s">
        <v>836</v>
      </c>
      <c r="C199" s="127" t="s">
        <v>4447</v>
      </c>
      <c r="D199">
        <f>1.85*2.15</f>
        <v>3.98</v>
      </c>
      <c r="E199" s="122">
        <f>Data!AE30</f>
        <v>1325</v>
      </c>
      <c r="F199" s="118" t="s">
        <v>2199</v>
      </c>
      <c r="G199" s="122">
        <f>E199*A199</f>
        <v>5273.5</v>
      </c>
      <c r="H199" s="51"/>
    </row>
    <row r="200" spans="1:8">
      <c r="A200" s="131">
        <f>D200</f>
        <v>17.399999999999999</v>
      </c>
      <c r="B200" s="119" t="s">
        <v>1714</v>
      </c>
      <c r="C200" s="127" t="s">
        <v>4449</v>
      </c>
      <c r="D200">
        <f>6*2+3*1.8</f>
        <v>17.399999999999999</v>
      </c>
      <c r="E200" s="122">
        <v>30</v>
      </c>
      <c r="F200" s="118" t="s">
        <v>1714</v>
      </c>
      <c r="G200" s="122">
        <f>E200*A200</f>
        <v>522</v>
      </c>
      <c r="H200" s="51"/>
    </row>
    <row r="201" spans="1:8">
      <c r="A201" s="133"/>
      <c r="B201" s="112"/>
      <c r="C201" s="120"/>
      <c r="E201" s="122"/>
      <c r="F201" s="114"/>
      <c r="G201" s="122">
        <f>E201*A201</f>
        <v>0</v>
      </c>
      <c r="H201" s="51"/>
    </row>
    <row r="202" spans="1:8">
      <c r="A202" s="133"/>
      <c r="B202" s="112"/>
      <c r="C202" s="120" t="s">
        <v>4450</v>
      </c>
      <c r="E202" s="122"/>
      <c r="F202" s="114"/>
      <c r="G202" s="122"/>
      <c r="H202" s="51"/>
    </row>
    <row r="203" spans="1:8" ht="37.5" customHeight="1">
      <c r="A203" s="133">
        <f>D205</f>
        <v>1.26</v>
      </c>
      <c r="B203" s="119" t="s">
        <v>578</v>
      </c>
      <c r="C203" s="127" t="s">
        <v>4453</v>
      </c>
      <c r="D203">
        <f>2*1*0.35*1.4</f>
        <v>0.98</v>
      </c>
      <c r="E203" s="122">
        <v>336</v>
      </c>
      <c r="F203" s="114" t="s">
        <v>578</v>
      </c>
      <c r="G203" s="122">
        <f>E203*A203</f>
        <v>423.36</v>
      </c>
      <c r="H203" s="51"/>
    </row>
    <row r="204" spans="1:8" ht="37.5" customHeight="1">
      <c r="A204" s="133"/>
      <c r="B204" s="119"/>
      <c r="C204" s="127" t="s">
        <v>4451</v>
      </c>
      <c r="D204">
        <f>2*1*0.35*0.4</f>
        <v>0.28000000000000003</v>
      </c>
      <c r="E204" s="122"/>
      <c r="F204" s="114"/>
      <c r="G204" s="122"/>
      <c r="H204" s="51"/>
    </row>
    <row r="205" spans="1:8" ht="37.5" customHeight="1">
      <c r="A205" s="133"/>
      <c r="B205" s="119"/>
      <c r="C205" s="127"/>
      <c r="D205" s="37">
        <f>SUM(D203:D204)</f>
        <v>1.26</v>
      </c>
      <c r="E205" s="122"/>
      <c r="F205" s="114"/>
      <c r="G205" s="122"/>
      <c r="H205" s="51"/>
    </row>
    <row r="206" spans="1:8" ht="42.75" customHeight="1">
      <c r="A206" s="133">
        <v>9.8000000000000007</v>
      </c>
      <c r="B206" s="119" t="s">
        <v>1714</v>
      </c>
      <c r="C206" s="127" t="s">
        <v>4454</v>
      </c>
      <c r="D206">
        <v>9.8000000000000007</v>
      </c>
      <c r="E206" s="122">
        <v>59</v>
      </c>
      <c r="F206" s="114" t="s">
        <v>794</v>
      </c>
      <c r="G206" s="122">
        <f t="shared" ref="G206:G214" si="8">E206*A206</f>
        <v>578.20000000000005</v>
      </c>
      <c r="H206" s="51"/>
    </row>
    <row r="207" spans="1:8" ht="47.25">
      <c r="A207" s="133">
        <f>D207</f>
        <v>1.51</v>
      </c>
      <c r="B207" s="119" t="s">
        <v>578</v>
      </c>
      <c r="C207" s="816" t="s">
        <v>4436</v>
      </c>
      <c r="D207">
        <f>2*1*0.35*2.15</f>
        <v>1.51</v>
      </c>
      <c r="E207" s="122">
        <f>Data!AE32</f>
        <v>1239</v>
      </c>
      <c r="F207" s="118" t="s">
        <v>578</v>
      </c>
      <c r="G207" s="122">
        <f t="shared" si="8"/>
        <v>1870.89</v>
      </c>
      <c r="H207" s="51"/>
    </row>
    <row r="208" spans="1:8">
      <c r="A208" s="122"/>
      <c r="B208" s="119"/>
      <c r="C208" s="109" t="s">
        <v>2741</v>
      </c>
      <c r="E208" s="122"/>
      <c r="F208" s="118"/>
      <c r="G208" s="122">
        <f t="shared" si="8"/>
        <v>0</v>
      </c>
      <c r="H208" s="51"/>
    </row>
    <row r="209" spans="1:8">
      <c r="A209" s="122">
        <v>8</v>
      </c>
      <c r="B209" s="119" t="s">
        <v>835</v>
      </c>
      <c r="C209" s="120" t="s">
        <v>4437</v>
      </c>
      <c r="E209" s="122">
        <f>Data!P2648</f>
        <v>79</v>
      </c>
      <c r="F209" s="118" t="s">
        <v>835</v>
      </c>
      <c r="G209" s="122">
        <f t="shared" si="8"/>
        <v>632</v>
      </c>
      <c r="H209" s="51"/>
    </row>
    <row r="210" spans="1:8">
      <c r="A210" s="122">
        <v>3</v>
      </c>
      <c r="B210" s="119" t="s">
        <v>835</v>
      </c>
      <c r="C210" s="120" t="s">
        <v>4438</v>
      </c>
      <c r="E210" s="122">
        <f>Data!P2649</f>
        <v>130</v>
      </c>
      <c r="F210" s="118" t="s">
        <v>835</v>
      </c>
      <c r="G210" s="122">
        <f t="shared" si="8"/>
        <v>390</v>
      </c>
      <c r="H210" s="51"/>
    </row>
    <row r="211" spans="1:8">
      <c r="A211" s="122">
        <v>1</v>
      </c>
      <c r="B211" s="119" t="s">
        <v>835</v>
      </c>
      <c r="C211" s="120" t="s">
        <v>4439</v>
      </c>
      <c r="E211" s="817">
        <v>320</v>
      </c>
      <c r="F211" s="118" t="s">
        <v>835</v>
      </c>
      <c r="G211" s="122">
        <f t="shared" si="8"/>
        <v>320</v>
      </c>
      <c r="H211" s="51"/>
    </row>
    <row r="212" spans="1:8">
      <c r="A212" s="122">
        <v>2</v>
      </c>
      <c r="B212" s="119" t="s">
        <v>835</v>
      </c>
      <c r="C212" s="120" t="s">
        <v>4440</v>
      </c>
      <c r="E212" s="122">
        <v>650</v>
      </c>
      <c r="F212" s="118" t="s">
        <v>835</v>
      </c>
      <c r="G212" s="122">
        <f t="shared" si="8"/>
        <v>1300</v>
      </c>
      <c r="H212" s="51"/>
    </row>
    <row r="213" spans="1:8">
      <c r="A213" s="122">
        <v>2</v>
      </c>
      <c r="B213" s="119" t="s">
        <v>835</v>
      </c>
      <c r="C213" s="120" t="s">
        <v>4441</v>
      </c>
      <c r="E213" s="122">
        <v>200</v>
      </c>
      <c r="F213" s="118" t="s">
        <v>835</v>
      </c>
      <c r="G213" s="122">
        <f t="shared" si="8"/>
        <v>400</v>
      </c>
      <c r="H213" s="51"/>
    </row>
    <row r="214" spans="1:8">
      <c r="A214" s="122">
        <v>2</v>
      </c>
      <c r="B214" s="119" t="s">
        <v>835</v>
      </c>
      <c r="C214" s="120" t="s">
        <v>4442</v>
      </c>
      <c r="E214" s="122">
        <v>60</v>
      </c>
      <c r="F214" s="118" t="s">
        <v>835</v>
      </c>
      <c r="G214" s="122">
        <f t="shared" si="8"/>
        <v>120</v>
      </c>
      <c r="H214" s="51"/>
    </row>
    <row r="215" spans="1:8" hidden="1">
      <c r="A215" s="111"/>
      <c r="B215" s="112"/>
      <c r="C215" s="111" t="s">
        <v>4443</v>
      </c>
      <c r="E215" s="118" t="s">
        <v>625</v>
      </c>
      <c r="F215" s="114"/>
      <c r="G215" s="395">
        <v>400</v>
      </c>
      <c r="H215" s="51"/>
    </row>
    <row r="216" spans="1:8">
      <c r="A216" s="111"/>
      <c r="B216" s="112"/>
      <c r="C216" s="111" t="s">
        <v>4452</v>
      </c>
      <c r="E216" s="122"/>
      <c r="F216" s="114" t="s">
        <v>625</v>
      </c>
      <c r="G216" s="125">
        <v>400</v>
      </c>
      <c r="H216" s="51"/>
    </row>
    <row r="217" spans="1:8">
      <c r="A217" s="111"/>
      <c r="B217" s="112"/>
      <c r="E217" s="122"/>
      <c r="F217" s="114"/>
      <c r="G217" s="122"/>
      <c r="H217" s="51"/>
    </row>
    <row r="218" spans="1:8">
      <c r="A218" s="111"/>
      <c r="B218" s="112"/>
      <c r="C218" s="120" t="s">
        <v>3740</v>
      </c>
      <c r="E218" s="122"/>
      <c r="F218" s="114"/>
      <c r="G218" s="121">
        <f>SUM(G194:G217)</f>
        <v>30165.48</v>
      </c>
      <c r="H218" s="51"/>
    </row>
    <row r="219" spans="1:8">
      <c r="A219" s="111"/>
      <c r="B219" s="112"/>
      <c r="C219" s="109" t="s">
        <v>521</v>
      </c>
      <c r="E219" s="111"/>
      <c r="F219" s="116" t="s">
        <v>690</v>
      </c>
      <c r="G219" s="110">
        <v>27750</v>
      </c>
      <c r="H219" s="419" t="s">
        <v>3542</v>
      </c>
    </row>
    <row r="220" spans="1:8">
      <c r="G220" s="51"/>
    </row>
    <row r="221" spans="1:8">
      <c r="A221" s="51"/>
      <c r="B221" s="3"/>
      <c r="C221" s="1"/>
      <c r="E221" s="11"/>
    </row>
    <row r="222" spans="1:8">
      <c r="A222" s="51"/>
      <c r="B222" s="3"/>
      <c r="C222" s="1"/>
      <c r="E222" s="11"/>
    </row>
    <row r="223" spans="1:8">
      <c r="A223" s="51"/>
      <c r="B223" s="3"/>
      <c r="C223" s="1"/>
      <c r="E223" s="11"/>
    </row>
    <row r="224" spans="1:8">
      <c r="A224" s="51"/>
      <c r="B224" s="3"/>
      <c r="C224" s="5"/>
      <c r="D224" s="5"/>
      <c r="E224" s="11"/>
    </row>
    <row r="225" spans="1:6" ht="18" customHeight="1">
      <c r="A225" s="51"/>
      <c r="B225" s="7"/>
      <c r="C225" s="1"/>
      <c r="E225" s="11"/>
    </row>
    <row r="226" spans="1:6">
      <c r="A226" s="51"/>
      <c r="B226" s="3"/>
      <c r="C226" s="1"/>
      <c r="E226" s="11"/>
    </row>
    <row r="227" spans="1:6">
      <c r="A227" s="13"/>
      <c r="B227" s="7"/>
      <c r="C227" s="1"/>
      <c r="D227" s="64"/>
      <c r="E227" s="1"/>
      <c r="F227" s="8"/>
    </row>
    <row r="228" spans="1:6">
      <c r="A228" s="13"/>
      <c r="B228" s="7"/>
      <c r="C228" s="1"/>
      <c r="D228" s="64"/>
      <c r="E228" s="1"/>
      <c r="F228" s="8"/>
    </row>
    <row r="229" spans="1:6">
      <c r="A229" s="13"/>
      <c r="B229" s="7"/>
      <c r="C229" s="1"/>
      <c r="D229" s="64"/>
      <c r="E229" s="1"/>
      <c r="F229" s="8"/>
    </row>
    <row r="230" spans="1:6" ht="18" customHeight="1">
      <c r="A230" s="51"/>
      <c r="B230" s="7"/>
      <c r="C230" s="1"/>
      <c r="D230" s="64"/>
      <c r="E230" s="1"/>
      <c r="F230" s="8"/>
    </row>
    <row r="231" spans="1:6">
      <c r="A231" s="51"/>
      <c r="B231" s="3"/>
      <c r="C231" s="1"/>
      <c r="E231" s="11"/>
      <c r="F231" s="5"/>
    </row>
    <row r="232" spans="1:6">
      <c r="A232" s="51"/>
      <c r="B232" s="3"/>
      <c r="C232" s="2"/>
      <c r="E232" s="11"/>
      <c r="F232" s="8"/>
    </row>
    <row r="233" spans="1:6">
      <c r="A233" s="51"/>
      <c r="B233" s="3"/>
      <c r="E233" s="11"/>
      <c r="F233" s="5"/>
    </row>
    <row r="234" spans="1:6">
      <c r="A234" s="51"/>
      <c r="B234" s="3"/>
      <c r="C234" s="2"/>
      <c r="E234" s="11"/>
      <c r="F234" s="8"/>
    </row>
    <row r="235" spans="1:6">
      <c r="A235" s="51"/>
      <c r="B235" s="3"/>
      <c r="C235" s="1"/>
      <c r="D235" s="8"/>
      <c r="E235" s="1"/>
      <c r="F235" s="39"/>
    </row>
    <row r="236" spans="1:6">
      <c r="A236" s="51"/>
      <c r="B236" s="3"/>
      <c r="C236" s="1"/>
      <c r="D236" s="8"/>
      <c r="E236" s="1"/>
      <c r="F236" s="39"/>
    </row>
    <row r="237" spans="1:6">
      <c r="A237" s="51"/>
      <c r="B237" s="3"/>
      <c r="C237" s="1"/>
      <c r="D237" s="8"/>
      <c r="E237" s="1"/>
      <c r="F237" s="39"/>
    </row>
    <row r="238" spans="1:6">
      <c r="A238" s="51"/>
      <c r="B238" s="3"/>
      <c r="C238" s="1"/>
      <c r="D238" s="8"/>
      <c r="E238" s="1"/>
      <c r="F238" s="39"/>
    </row>
    <row r="239" spans="1:6">
      <c r="A239" s="51"/>
      <c r="B239" s="3"/>
      <c r="C239" s="1"/>
      <c r="D239" s="8"/>
      <c r="E239" s="1"/>
      <c r="F239" s="39"/>
    </row>
    <row r="247" spans="1:8" ht="16.5">
      <c r="A247" s="1495" t="s">
        <v>4006</v>
      </c>
      <c r="B247" s="1495"/>
      <c r="C247" s="1495"/>
      <c r="D247" s="1495"/>
      <c r="E247" s="577"/>
      <c r="F247" s="577"/>
      <c r="G247" s="578"/>
    </row>
    <row r="248" spans="1:8" ht="16.5">
      <c r="A248" s="582"/>
      <c r="B248" s="583"/>
      <c r="C248" s="590"/>
      <c r="D248" s="580"/>
      <c r="E248" s="583"/>
      <c r="F248" s="580"/>
      <c r="G248" s="578"/>
    </row>
    <row r="249" spans="1:8" ht="16.5">
      <c r="A249" s="582"/>
      <c r="B249" s="583"/>
      <c r="C249" s="584"/>
      <c r="D249" s="580"/>
      <c r="E249" s="583"/>
      <c r="F249" s="580"/>
      <c r="G249" s="578"/>
    </row>
    <row r="250" spans="1:8" ht="16.5">
      <c r="A250" s="582">
        <v>28.49</v>
      </c>
      <c r="B250" s="583" t="s">
        <v>876</v>
      </c>
      <c r="C250" s="665" t="s">
        <v>4007</v>
      </c>
      <c r="D250" s="580">
        <v>292</v>
      </c>
      <c r="E250" s="583" t="s">
        <v>876</v>
      </c>
      <c r="F250" s="580">
        <f>D250*A250</f>
        <v>8319.08</v>
      </c>
      <c r="G250" s="578"/>
    </row>
    <row r="251" spans="1:8" ht="16.5">
      <c r="A251" s="630">
        <v>3.82</v>
      </c>
      <c r="B251" s="583" t="s">
        <v>794</v>
      </c>
      <c r="C251" s="584" t="s">
        <v>3941</v>
      </c>
      <c r="D251" s="580">
        <v>36.299999999999997</v>
      </c>
      <c r="E251" s="583" t="s">
        <v>794</v>
      </c>
      <c r="F251" s="580">
        <v>501.66</v>
      </c>
      <c r="G251" s="578"/>
    </row>
    <row r="252" spans="1:8" ht="16.5">
      <c r="A252" s="582">
        <v>1.52</v>
      </c>
      <c r="B252" s="583" t="s">
        <v>222</v>
      </c>
      <c r="C252" s="584" t="s">
        <v>3939</v>
      </c>
      <c r="D252" s="580">
        <v>387.2</v>
      </c>
      <c r="E252" s="583" t="s">
        <v>222</v>
      </c>
      <c r="F252" s="580">
        <f t="shared" ref="F252:F261" si="9">D252*A252</f>
        <v>588.54</v>
      </c>
      <c r="G252" s="578"/>
    </row>
    <row r="253" spans="1:8" ht="16.5">
      <c r="A253" s="582">
        <v>1.52</v>
      </c>
      <c r="B253" s="583" t="s">
        <v>222</v>
      </c>
      <c r="C253" s="584" t="s">
        <v>3940</v>
      </c>
      <c r="D253" s="580">
        <v>695</v>
      </c>
      <c r="E253" s="583" t="s">
        <v>739</v>
      </c>
      <c r="F253" s="580">
        <f t="shared" si="9"/>
        <v>1056.4000000000001</v>
      </c>
      <c r="G253" s="578"/>
    </row>
    <row r="254" spans="1:8" ht="16.5">
      <c r="A254" s="582">
        <v>3</v>
      </c>
      <c r="B254" s="583" t="s">
        <v>216</v>
      </c>
      <c r="C254" s="584" t="s">
        <v>3943</v>
      </c>
      <c r="D254" s="580">
        <v>9</v>
      </c>
      <c r="E254" s="583" t="s">
        <v>216</v>
      </c>
      <c r="F254" s="580">
        <f t="shared" si="9"/>
        <v>27</v>
      </c>
      <c r="G254" s="578"/>
      <c r="H254" s="627"/>
    </row>
    <row r="255" spans="1:8" ht="16.5">
      <c r="A255" s="582">
        <v>4.2</v>
      </c>
      <c r="B255" s="583" t="s">
        <v>1341</v>
      </c>
      <c r="C255" s="584" t="s">
        <v>4008</v>
      </c>
      <c r="D255" s="580">
        <v>8.4499999999999993</v>
      </c>
      <c r="E255" s="583" t="s">
        <v>739</v>
      </c>
      <c r="F255" s="580">
        <f t="shared" si="9"/>
        <v>35.49</v>
      </c>
      <c r="G255" s="578"/>
      <c r="H255" s="627"/>
    </row>
    <row r="256" spans="1:8" ht="16.5">
      <c r="A256" s="582">
        <v>3.15</v>
      </c>
      <c r="B256" s="583" t="s">
        <v>2199</v>
      </c>
      <c r="C256" s="584" t="s">
        <v>3818</v>
      </c>
      <c r="D256" s="578">
        <f>F272</f>
        <v>0</v>
      </c>
      <c r="E256" s="583" t="s">
        <v>2199</v>
      </c>
      <c r="F256" s="580">
        <f t="shared" si="9"/>
        <v>0</v>
      </c>
      <c r="G256" s="578"/>
      <c r="H256" s="627"/>
    </row>
    <row r="257" spans="1:8" ht="16.5">
      <c r="A257" s="37">
        <v>1</v>
      </c>
      <c r="B257" s="73" t="s">
        <v>1807</v>
      </c>
      <c r="C257" s="37" t="s">
        <v>4009</v>
      </c>
      <c r="D257" s="37">
        <v>44.4</v>
      </c>
      <c r="E257" s="99" t="s">
        <v>1341</v>
      </c>
      <c r="F257" s="37">
        <f t="shared" si="9"/>
        <v>44.4</v>
      </c>
      <c r="G257" s="578"/>
      <c r="H257" s="627"/>
    </row>
    <row r="258" spans="1:8" ht="16.5">
      <c r="A258" s="37">
        <v>1</v>
      </c>
      <c r="B258" s="73" t="s">
        <v>1807</v>
      </c>
      <c r="C258" s="37" t="s">
        <v>4010</v>
      </c>
      <c r="D258" s="37">
        <v>867.3</v>
      </c>
      <c r="E258" s="99" t="s">
        <v>1341</v>
      </c>
      <c r="F258" s="37">
        <f t="shared" si="9"/>
        <v>867.3</v>
      </c>
      <c r="G258" s="578"/>
      <c r="H258" s="627"/>
    </row>
    <row r="259" spans="1:8" ht="18">
      <c r="A259" s="631">
        <v>45</v>
      </c>
      <c r="B259" s="632" t="s">
        <v>1807</v>
      </c>
      <c r="C259" s="631" t="s">
        <v>4011</v>
      </c>
      <c r="D259" s="633">
        <v>1.65</v>
      </c>
      <c r="E259" s="634" t="s">
        <v>1337</v>
      </c>
      <c r="F259" s="580">
        <f t="shared" si="9"/>
        <v>74.25</v>
      </c>
      <c r="G259" s="578"/>
      <c r="H259" s="627"/>
    </row>
    <row r="260" spans="1:8" ht="18">
      <c r="A260" s="631">
        <v>2</v>
      </c>
      <c r="B260" s="632" t="s">
        <v>1807</v>
      </c>
      <c r="C260" s="631" t="s">
        <v>4012</v>
      </c>
      <c r="D260" s="633">
        <v>76.2</v>
      </c>
      <c r="E260" s="99" t="s">
        <v>1341</v>
      </c>
      <c r="F260" s="580">
        <f t="shared" si="9"/>
        <v>152.4</v>
      </c>
      <c r="G260" s="578"/>
      <c r="H260" s="627"/>
    </row>
    <row r="261" spans="1:8" ht="18">
      <c r="A261" s="631">
        <v>2</v>
      </c>
      <c r="B261" s="632" t="s">
        <v>1807</v>
      </c>
      <c r="C261" s="631" t="s">
        <v>4013</v>
      </c>
      <c r="D261" s="633">
        <v>50.6</v>
      </c>
      <c r="E261" s="99" t="s">
        <v>1341</v>
      </c>
      <c r="F261" s="580">
        <f t="shared" si="9"/>
        <v>101.2</v>
      </c>
      <c r="G261" s="578"/>
      <c r="H261" s="627"/>
    </row>
    <row r="262" spans="1:8" ht="16.5">
      <c r="F262" s="51"/>
      <c r="G262" s="578"/>
      <c r="H262" s="627"/>
    </row>
    <row r="263" spans="1:8" ht="16.5">
      <c r="A263" s="582"/>
      <c r="B263" s="583"/>
      <c r="C263" s="584"/>
      <c r="D263" s="578"/>
      <c r="E263" s="579"/>
      <c r="F263" s="580"/>
      <c r="G263" s="578"/>
      <c r="H263" s="627"/>
    </row>
    <row r="264" spans="1:8" ht="16.5">
      <c r="A264" s="582"/>
      <c r="B264" s="583"/>
      <c r="C264" s="1" t="s">
        <v>4014</v>
      </c>
      <c r="E264" s="583"/>
      <c r="F264" s="580">
        <f>SUM(F250:F263)</f>
        <v>11767.72</v>
      </c>
      <c r="G264" s="578"/>
      <c r="H264" s="627"/>
    </row>
    <row r="265" spans="1:8" ht="16.5">
      <c r="A265" s="582"/>
      <c r="B265" s="583"/>
      <c r="C265" s="1" t="s">
        <v>521</v>
      </c>
      <c r="E265" s="577"/>
      <c r="F265" s="587">
        <f>F264/3.15</f>
        <v>3735.78</v>
      </c>
      <c r="G265" s="588" t="s">
        <v>1341</v>
      </c>
      <c r="H265" s="627"/>
    </row>
    <row r="266" spans="1:8" ht="16.5">
      <c r="A266" s="578"/>
      <c r="B266" s="578"/>
      <c r="C266" s="591"/>
      <c r="D266" s="578"/>
      <c r="E266" s="578"/>
      <c r="F266" s="578"/>
      <c r="G266" s="578"/>
      <c r="H266" s="627"/>
    </row>
    <row r="267" spans="1:8" ht="16.5">
      <c r="A267" s="580">
        <v>1</v>
      </c>
      <c r="B267" s="583" t="s">
        <v>835</v>
      </c>
      <c r="C267" s="584" t="s">
        <v>3824</v>
      </c>
      <c r="D267" s="580">
        <f>E218</f>
        <v>0</v>
      </c>
      <c r="E267" s="584" t="s">
        <v>835</v>
      </c>
      <c r="F267" s="580">
        <f>D267*A267</f>
        <v>0</v>
      </c>
      <c r="G267" s="578"/>
      <c r="H267" s="627"/>
    </row>
    <row r="268" spans="1:8" ht="16.5">
      <c r="A268" s="580">
        <v>1</v>
      </c>
      <c r="B268" s="583" t="s">
        <v>835</v>
      </c>
      <c r="C268" s="584" t="s">
        <v>3825</v>
      </c>
      <c r="D268" s="580">
        <f>E219</f>
        <v>0</v>
      </c>
      <c r="E268" s="584" t="s">
        <v>835</v>
      </c>
      <c r="F268" s="580">
        <f>D268*A268</f>
        <v>0</v>
      </c>
      <c r="G268" s="578"/>
      <c r="H268" s="627"/>
    </row>
    <row r="269" spans="1:8" ht="16.5">
      <c r="A269" s="580">
        <v>0.5</v>
      </c>
      <c r="B269" s="583" t="s">
        <v>835</v>
      </c>
      <c r="C269" s="584" t="s">
        <v>3826</v>
      </c>
      <c r="D269" s="580">
        <f>D220</f>
        <v>0</v>
      </c>
      <c r="E269" s="584" t="s">
        <v>835</v>
      </c>
      <c r="F269" s="580">
        <f>D269*A269</f>
        <v>0</v>
      </c>
      <c r="G269" s="578"/>
      <c r="H269" s="627"/>
    </row>
    <row r="270" spans="1:8" ht="16.5">
      <c r="A270" s="578"/>
      <c r="B270" s="583" t="s">
        <v>419</v>
      </c>
      <c r="C270" s="584"/>
      <c r="D270" s="580"/>
      <c r="E270" s="584" t="s">
        <v>419</v>
      </c>
      <c r="F270" s="580"/>
      <c r="G270" s="578"/>
      <c r="H270" s="627"/>
    </row>
    <row r="271" spans="1:8" ht="16.5">
      <c r="A271" s="578"/>
      <c r="B271" s="585"/>
      <c r="C271" s="578"/>
      <c r="D271" s="578"/>
      <c r="E271" s="592"/>
      <c r="F271" s="593" t="s">
        <v>1530</v>
      </c>
      <c r="G271" s="578"/>
      <c r="H271" s="627"/>
    </row>
    <row r="272" spans="1:8" ht="16.5">
      <c r="A272" s="578"/>
      <c r="B272" s="585"/>
      <c r="C272" s="584" t="s">
        <v>3827</v>
      </c>
      <c r="D272" s="578"/>
      <c r="E272" s="592"/>
      <c r="F272" s="587">
        <f>SUM(F267:F271)</f>
        <v>0</v>
      </c>
      <c r="G272" s="578"/>
      <c r="H272" s="627"/>
    </row>
    <row r="273" spans="1:8" ht="16.5">
      <c r="A273" s="578"/>
      <c r="B273" s="585"/>
      <c r="C273" s="578"/>
      <c r="D273" s="578"/>
      <c r="E273" s="592"/>
      <c r="F273" s="593" t="s">
        <v>1530</v>
      </c>
      <c r="G273" s="578"/>
      <c r="H273" s="627"/>
    </row>
    <row r="274" spans="1:8">
      <c r="H274" s="627"/>
    </row>
    <row r="275" spans="1:8">
      <c r="H275" s="627"/>
    </row>
    <row r="276" spans="1:8">
      <c r="A276" s="627"/>
      <c r="B276" s="627"/>
      <c r="C276" s="627" t="s">
        <v>4015</v>
      </c>
      <c r="D276" s="627"/>
      <c r="E276" s="627"/>
      <c r="F276" s="627"/>
      <c r="H276" s="627"/>
    </row>
    <row r="277" spans="1:8" ht="16.5">
      <c r="A277" s="1495" t="s">
        <v>4018</v>
      </c>
      <c r="B277" s="1495"/>
      <c r="C277" s="1495"/>
      <c r="D277" s="1495"/>
      <c r="E277" s="577"/>
      <c r="F277" s="577"/>
      <c r="H277" s="627"/>
    </row>
    <row r="278" spans="1:8" ht="16.5">
      <c r="A278" s="582"/>
      <c r="B278" s="583"/>
      <c r="C278" s="590"/>
      <c r="D278" s="580"/>
      <c r="E278" s="583"/>
      <c r="F278" s="580"/>
      <c r="H278" s="627"/>
    </row>
    <row r="279" spans="1:8" ht="16.5">
      <c r="A279" s="582"/>
      <c r="B279" s="583"/>
      <c r="C279" s="584"/>
      <c r="D279" s="580"/>
      <c r="E279" s="583"/>
      <c r="F279" s="580"/>
    </row>
    <row r="280" spans="1:8" ht="16.5">
      <c r="A280" s="582">
        <v>29.06</v>
      </c>
      <c r="B280" s="583" t="s">
        <v>876</v>
      </c>
      <c r="C280" s="665" t="s">
        <v>4016</v>
      </c>
      <c r="D280" s="580">
        <v>321</v>
      </c>
      <c r="E280" s="583" t="s">
        <v>876</v>
      </c>
      <c r="F280" s="580">
        <f>D280*A280</f>
        <v>9328.26</v>
      </c>
    </row>
    <row r="281" spans="1:8" ht="16.5">
      <c r="A281" s="630">
        <v>9.24</v>
      </c>
      <c r="B281" s="583" t="s">
        <v>794</v>
      </c>
      <c r="C281" s="584" t="s">
        <v>3941</v>
      </c>
      <c r="D281" s="580">
        <v>38.799999999999997</v>
      </c>
      <c r="E281" s="583" t="s">
        <v>794</v>
      </c>
      <c r="F281" s="580">
        <f t="shared" ref="F281:F291" si="10">D281*A281</f>
        <v>358.51</v>
      </c>
    </row>
    <row r="282" spans="1:8" ht="16.5">
      <c r="A282" s="582">
        <v>1.49</v>
      </c>
      <c r="B282" s="583" t="s">
        <v>222</v>
      </c>
      <c r="C282" s="584" t="s">
        <v>3939</v>
      </c>
      <c r="D282" s="580">
        <v>394</v>
      </c>
      <c r="E282" s="583" t="s">
        <v>222</v>
      </c>
      <c r="F282" s="580">
        <f t="shared" si="10"/>
        <v>587.05999999999995</v>
      </c>
    </row>
    <row r="283" spans="1:8" ht="16.5">
      <c r="A283" s="582">
        <v>0.75</v>
      </c>
      <c r="B283" s="583" t="s">
        <v>222</v>
      </c>
      <c r="C283" s="584" t="s">
        <v>3940</v>
      </c>
      <c r="D283" s="580">
        <v>695</v>
      </c>
      <c r="E283" s="583" t="s">
        <v>739</v>
      </c>
      <c r="F283" s="580">
        <f t="shared" si="10"/>
        <v>521.25</v>
      </c>
    </row>
    <row r="284" spans="1:8" ht="16.5">
      <c r="A284" s="582">
        <v>2</v>
      </c>
      <c r="B284" s="583" t="s">
        <v>216</v>
      </c>
      <c r="C284" s="584" t="s">
        <v>3943</v>
      </c>
      <c r="D284" s="580">
        <v>9</v>
      </c>
      <c r="E284" s="583" t="s">
        <v>216</v>
      </c>
      <c r="F284" s="580">
        <f t="shared" si="10"/>
        <v>18</v>
      </c>
    </row>
    <row r="285" spans="1:8" ht="16.5">
      <c r="A285" s="582">
        <v>7.08</v>
      </c>
      <c r="B285" s="583" t="s">
        <v>1341</v>
      </c>
      <c r="C285" s="584" t="s">
        <v>4008</v>
      </c>
      <c r="D285" s="580">
        <v>8.6</v>
      </c>
      <c r="E285" s="583" t="s">
        <v>739</v>
      </c>
      <c r="F285" s="580">
        <f t="shared" si="10"/>
        <v>60.89</v>
      </c>
    </row>
    <row r="286" spans="1:8" ht="16.5">
      <c r="A286" s="582">
        <v>2.1</v>
      </c>
      <c r="B286" s="583" t="s">
        <v>2199</v>
      </c>
      <c r="C286" s="584" t="s">
        <v>3818</v>
      </c>
      <c r="D286" s="578">
        <f>D263</f>
        <v>0</v>
      </c>
      <c r="E286" s="583" t="s">
        <v>2199</v>
      </c>
      <c r="F286" s="580">
        <f t="shared" si="10"/>
        <v>0</v>
      </c>
    </row>
    <row r="287" spans="1:8" ht="16.5">
      <c r="A287" s="662">
        <v>1</v>
      </c>
      <c r="B287" s="666" t="s">
        <v>1807</v>
      </c>
      <c r="C287" s="662" t="s">
        <v>4009</v>
      </c>
      <c r="D287" s="662">
        <v>48.9</v>
      </c>
      <c r="E287" s="667" t="s">
        <v>1341</v>
      </c>
      <c r="F287" s="580">
        <f t="shared" si="10"/>
        <v>48.9</v>
      </c>
    </row>
    <row r="288" spans="1:8" ht="16.5">
      <c r="A288" s="662">
        <v>1</v>
      </c>
      <c r="B288" s="666" t="s">
        <v>1807</v>
      </c>
      <c r="C288" s="662" t="s">
        <v>4010</v>
      </c>
      <c r="D288" s="662">
        <v>884</v>
      </c>
      <c r="E288" s="667" t="s">
        <v>1341</v>
      </c>
      <c r="F288" s="580">
        <f t="shared" si="10"/>
        <v>884</v>
      </c>
    </row>
    <row r="289" spans="1:7" ht="18">
      <c r="A289" s="631">
        <v>6</v>
      </c>
      <c r="B289" s="632" t="s">
        <v>1807</v>
      </c>
      <c r="C289" s="631" t="s">
        <v>4017</v>
      </c>
      <c r="D289" s="633">
        <f>D260</f>
        <v>76.2</v>
      </c>
      <c r="E289" s="634" t="s">
        <v>1337</v>
      </c>
      <c r="F289" s="580">
        <f t="shared" si="10"/>
        <v>457.2</v>
      </c>
    </row>
    <row r="290" spans="1:7" ht="18">
      <c r="A290" s="631">
        <v>2</v>
      </c>
      <c r="B290" s="632" t="s">
        <v>1807</v>
      </c>
      <c r="C290" s="631" t="s">
        <v>4012</v>
      </c>
      <c r="D290" s="633">
        <v>108.7</v>
      </c>
      <c r="E290" s="667" t="s">
        <v>1341</v>
      </c>
      <c r="F290" s="580">
        <f t="shared" si="10"/>
        <v>217.4</v>
      </c>
    </row>
    <row r="291" spans="1:7" ht="18">
      <c r="A291" s="631">
        <v>2</v>
      </c>
      <c r="B291" s="632" t="s">
        <v>1807</v>
      </c>
      <c r="C291" s="631" t="s">
        <v>4013</v>
      </c>
      <c r="D291" s="633">
        <v>54.1</v>
      </c>
      <c r="E291" s="667" t="s">
        <v>1341</v>
      </c>
      <c r="F291" s="580">
        <f t="shared" si="10"/>
        <v>108.2</v>
      </c>
    </row>
    <row r="292" spans="1:7">
      <c r="A292" s="595"/>
      <c r="B292" s="595"/>
      <c r="C292" s="595"/>
      <c r="D292" s="595"/>
      <c r="E292" s="595"/>
      <c r="F292" s="51">
        <f>SUM(F280:F291)</f>
        <v>12589.67</v>
      </c>
    </row>
    <row r="293" spans="1:7" ht="16.5">
      <c r="A293" s="627"/>
      <c r="B293" s="627"/>
      <c r="C293" s="627"/>
      <c r="D293" s="627"/>
      <c r="E293" s="627"/>
      <c r="F293" s="580">
        <f>F292/A286</f>
        <v>5995.08</v>
      </c>
    </row>
    <row r="294" spans="1:7">
      <c r="A294" s="627"/>
      <c r="B294" s="627"/>
      <c r="C294" s="627"/>
      <c r="D294" s="627"/>
      <c r="E294" s="627"/>
      <c r="F294" s="627"/>
    </row>
    <row r="297" spans="1:7" ht="19.5">
      <c r="A297" s="692"/>
      <c r="B297" s="693"/>
      <c r="C297" s="694" t="s">
        <v>4104</v>
      </c>
      <c r="D297" s="695"/>
      <c r="E297" s="696"/>
      <c r="F297" s="695"/>
      <c r="G297" s="697"/>
    </row>
    <row r="298" spans="1:7" ht="18.75">
      <c r="A298" s="698">
        <v>3.488</v>
      </c>
      <c r="B298" s="699" t="s">
        <v>876</v>
      </c>
      <c r="C298" s="700" t="s">
        <v>4105</v>
      </c>
      <c r="D298" s="701">
        <f>D132</f>
        <v>301</v>
      </c>
      <c r="E298" s="699" t="s">
        <v>876</v>
      </c>
      <c r="F298" s="701">
        <f t="shared" ref="F298:F307" si="11">D298*A298</f>
        <v>1049.8900000000001</v>
      </c>
      <c r="G298" s="697"/>
    </row>
    <row r="299" spans="1:7" ht="18.75">
      <c r="A299" s="698">
        <v>4.38</v>
      </c>
      <c r="B299" s="699" t="s">
        <v>876</v>
      </c>
      <c r="C299" s="700" t="s">
        <v>4106</v>
      </c>
      <c r="D299" s="701">
        <f>D133</f>
        <v>301</v>
      </c>
      <c r="E299" s="699" t="s">
        <v>876</v>
      </c>
      <c r="F299" s="701">
        <f t="shared" si="11"/>
        <v>1318.38</v>
      </c>
      <c r="G299" s="697"/>
    </row>
    <row r="300" spans="1:7" ht="18.75">
      <c r="A300" s="698">
        <v>1.18</v>
      </c>
      <c r="B300" s="699" t="s">
        <v>876</v>
      </c>
      <c r="C300" s="700" t="s">
        <v>4107</v>
      </c>
      <c r="D300" s="701">
        <f>D134</f>
        <v>301</v>
      </c>
      <c r="E300" s="699" t="s">
        <v>876</v>
      </c>
      <c r="F300" s="701">
        <f t="shared" si="11"/>
        <v>355.18</v>
      </c>
      <c r="G300" s="697"/>
    </row>
    <row r="301" spans="1:7" ht="18.75">
      <c r="A301" s="698">
        <v>0.82</v>
      </c>
      <c r="B301" s="699" t="s">
        <v>876</v>
      </c>
      <c r="C301" s="700" t="s">
        <v>4108</v>
      </c>
      <c r="D301" s="701">
        <f>D135</f>
        <v>301</v>
      </c>
      <c r="E301" s="699" t="s">
        <v>876</v>
      </c>
      <c r="F301" s="701">
        <f t="shared" si="11"/>
        <v>246.82</v>
      </c>
      <c r="G301" s="697"/>
    </row>
    <row r="302" spans="1:7" ht="18.75">
      <c r="A302" s="698">
        <v>1.26</v>
      </c>
      <c r="B302" s="699" t="s">
        <v>222</v>
      </c>
      <c r="C302" s="700" t="s">
        <v>1789</v>
      </c>
      <c r="D302" s="701">
        <f t="shared" ref="D302:D307" si="12">D136</f>
        <v>208.8</v>
      </c>
      <c r="E302" s="699" t="s">
        <v>222</v>
      </c>
      <c r="F302" s="701">
        <f t="shared" si="11"/>
        <v>263.08999999999997</v>
      </c>
      <c r="G302" s="697"/>
    </row>
    <row r="303" spans="1:7" ht="18.75">
      <c r="A303" s="698">
        <v>6.6</v>
      </c>
      <c r="B303" s="699" t="s">
        <v>794</v>
      </c>
      <c r="C303" s="700" t="s">
        <v>3813</v>
      </c>
      <c r="D303" s="701">
        <f t="shared" si="12"/>
        <v>27.1</v>
      </c>
      <c r="E303" s="699" t="s">
        <v>794</v>
      </c>
      <c r="F303" s="701">
        <f t="shared" si="11"/>
        <v>178.86</v>
      </c>
      <c r="G303" s="697"/>
    </row>
    <row r="304" spans="1:7" ht="18.75">
      <c r="A304" s="698">
        <v>2</v>
      </c>
      <c r="B304" s="699" t="s">
        <v>739</v>
      </c>
      <c r="C304" s="700" t="s">
        <v>4109</v>
      </c>
      <c r="D304" s="701">
        <f t="shared" si="12"/>
        <v>350</v>
      </c>
      <c r="E304" s="699" t="s">
        <v>4110</v>
      </c>
      <c r="F304" s="701">
        <f t="shared" si="11"/>
        <v>700</v>
      </c>
      <c r="G304" s="697"/>
    </row>
    <row r="305" spans="1:8" ht="18.75">
      <c r="A305" s="698">
        <v>2</v>
      </c>
      <c r="B305" s="699" t="s">
        <v>739</v>
      </c>
      <c r="C305" s="700" t="s">
        <v>3839</v>
      </c>
      <c r="D305" s="701">
        <f t="shared" si="12"/>
        <v>48</v>
      </c>
      <c r="E305" s="699" t="s">
        <v>739</v>
      </c>
      <c r="F305" s="701">
        <f t="shared" si="11"/>
        <v>96</v>
      </c>
      <c r="G305" s="697"/>
    </row>
    <row r="306" spans="1:8" ht="18.75">
      <c r="A306" s="698">
        <v>4</v>
      </c>
      <c r="B306" s="699" t="s">
        <v>739</v>
      </c>
      <c r="C306" s="700" t="s">
        <v>1795</v>
      </c>
      <c r="D306" s="701">
        <f t="shared" si="12"/>
        <v>15</v>
      </c>
      <c r="E306" s="699" t="s">
        <v>739</v>
      </c>
      <c r="F306" s="701">
        <f t="shared" si="11"/>
        <v>60</v>
      </c>
      <c r="G306" s="697"/>
    </row>
    <row r="307" spans="1:8" ht="18.75">
      <c r="A307" s="698">
        <v>1.26</v>
      </c>
      <c r="B307" s="699" t="s">
        <v>2199</v>
      </c>
      <c r="C307" s="700" t="s">
        <v>1796</v>
      </c>
      <c r="D307" s="701">
        <f t="shared" si="12"/>
        <v>1724</v>
      </c>
      <c r="E307" s="699" t="s">
        <v>2199</v>
      </c>
      <c r="F307" s="701">
        <f t="shared" si="11"/>
        <v>2172.2399999999998</v>
      </c>
      <c r="G307" s="697"/>
    </row>
    <row r="308" spans="1:8" ht="18.75">
      <c r="A308" s="692"/>
      <c r="B308" s="693"/>
      <c r="C308" s="700" t="s">
        <v>1797</v>
      </c>
      <c r="D308" s="695"/>
      <c r="E308" s="702"/>
      <c r="F308" s="701">
        <v>9.4</v>
      </c>
      <c r="G308" s="697"/>
    </row>
    <row r="309" spans="1:8" ht="19.5">
      <c r="A309" s="692"/>
      <c r="B309" s="695"/>
      <c r="C309" s="703" t="s">
        <v>3490</v>
      </c>
      <c r="D309" s="695"/>
      <c r="E309" s="695"/>
      <c r="F309" s="704">
        <f>SUM(F298:F308)</f>
        <v>6449.86</v>
      </c>
      <c r="G309" s="697" t="s">
        <v>1341</v>
      </c>
    </row>
    <row r="310" spans="1:8">
      <c r="F310" s="37">
        <f>F309/1.26</f>
        <v>5118.9399999999996</v>
      </c>
      <c r="G310" t="s">
        <v>2199</v>
      </c>
    </row>
    <row r="315" spans="1:8">
      <c r="A315" s="1498" t="s">
        <v>4302</v>
      </c>
      <c r="B315" s="1498"/>
      <c r="C315" s="1498"/>
      <c r="D315" s="1498"/>
      <c r="E315" s="1498"/>
      <c r="F315" s="1498"/>
      <c r="G315" s="1498"/>
      <c r="H315" s="1498"/>
    </row>
    <row r="316" spans="1:8">
      <c r="A316" s="1498" t="s">
        <v>4303</v>
      </c>
      <c r="B316" s="1498"/>
      <c r="C316" s="1498"/>
      <c r="D316" s="1498"/>
      <c r="E316" s="1498"/>
      <c r="F316" s="1498"/>
      <c r="G316" s="1498"/>
      <c r="H316" s="1498"/>
    </row>
    <row r="317" spans="1:8">
      <c r="A317" s="627"/>
      <c r="B317" s="627" t="s">
        <v>4304</v>
      </c>
      <c r="C317" s="627" t="s">
        <v>4305</v>
      </c>
      <c r="D317" s="627"/>
      <c r="E317" s="627"/>
      <c r="F317" s="627"/>
      <c r="G317" s="627"/>
      <c r="H317" s="627"/>
    </row>
    <row r="318" spans="1:8">
      <c r="A318" s="627"/>
      <c r="B318" s="627"/>
      <c r="C318" s="627" t="s">
        <v>4306</v>
      </c>
      <c r="D318" s="627" t="s">
        <v>1980</v>
      </c>
      <c r="E318" s="627" t="s">
        <v>4307</v>
      </c>
      <c r="F318" s="627" t="s">
        <v>1980</v>
      </c>
      <c r="G318" s="95">
        <f>1*1.2*1.558</f>
        <v>1.87</v>
      </c>
      <c r="H318" s="627" t="s">
        <v>1591</v>
      </c>
    </row>
    <row r="319" spans="1:8">
      <c r="A319" s="627"/>
      <c r="B319" s="627" t="s">
        <v>4308</v>
      </c>
      <c r="C319" s="627" t="s">
        <v>4309</v>
      </c>
      <c r="D319" s="627"/>
      <c r="E319" s="627"/>
      <c r="F319" s="627"/>
      <c r="G319" s="627"/>
      <c r="H319" s="627"/>
    </row>
    <row r="320" spans="1:8">
      <c r="A320" s="627"/>
      <c r="B320" s="627"/>
      <c r="C320" s="627" t="s">
        <v>4310</v>
      </c>
      <c r="D320" s="627" t="s">
        <v>1980</v>
      </c>
      <c r="E320" s="627" t="s">
        <v>4311</v>
      </c>
      <c r="F320" s="627" t="s">
        <v>1980</v>
      </c>
      <c r="G320" s="95">
        <f>1*2*1.35*0.695</f>
        <v>1.88</v>
      </c>
      <c r="H320" s="627" t="s">
        <v>1591</v>
      </c>
    </row>
    <row r="321" spans="1:8">
      <c r="A321" s="627"/>
      <c r="B321" s="627" t="s">
        <v>4312</v>
      </c>
      <c r="C321" s="627" t="s">
        <v>4313</v>
      </c>
      <c r="D321" s="627"/>
      <c r="E321" s="627"/>
      <c r="F321" s="627"/>
      <c r="G321" s="95"/>
      <c r="H321" s="627"/>
    </row>
    <row r="322" spans="1:8">
      <c r="A322" s="627"/>
      <c r="B322" s="627"/>
      <c r="C322" s="627" t="s">
        <v>4314</v>
      </c>
      <c r="D322" s="627" t="s">
        <v>1980</v>
      </c>
      <c r="E322" s="627" t="s">
        <v>4315</v>
      </c>
      <c r="F322" s="627" t="s">
        <v>1980</v>
      </c>
      <c r="G322" s="95">
        <f>1*1*1.2*1.088</f>
        <v>1.31</v>
      </c>
      <c r="H322" s="627" t="s">
        <v>1591</v>
      </c>
    </row>
    <row r="323" spans="1:8">
      <c r="A323" s="627"/>
      <c r="B323" s="627" t="s">
        <v>4316</v>
      </c>
      <c r="C323" s="627" t="s">
        <v>4317</v>
      </c>
      <c r="D323" s="627"/>
      <c r="E323" s="627"/>
      <c r="F323" s="627"/>
      <c r="G323" s="95"/>
      <c r="H323" s="627"/>
    </row>
    <row r="324" spans="1:8">
      <c r="A324" s="627"/>
      <c r="B324" s="627"/>
      <c r="C324" s="627" t="s">
        <v>4318</v>
      </c>
      <c r="D324" s="627" t="s">
        <v>1980</v>
      </c>
      <c r="E324" s="627" t="s">
        <v>4319</v>
      </c>
      <c r="F324" s="627" t="s">
        <v>1980</v>
      </c>
      <c r="G324" s="95">
        <f>1*2*1.25*0.605</f>
        <v>1.51</v>
      </c>
      <c r="H324" s="627" t="s">
        <v>1591</v>
      </c>
    </row>
    <row r="325" spans="1:8">
      <c r="A325" s="627"/>
      <c r="B325" s="627" t="s">
        <v>4320</v>
      </c>
      <c r="C325" s="627" t="s">
        <v>4321</v>
      </c>
      <c r="D325" s="627"/>
      <c r="E325" s="627"/>
      <c r="F325" s="627"/>
      <c r="G325" s="95"/>
      <c r="H325" s="627"/>
    </row>
    <row r="326" spans="1:8">
      <c r="A326" s="627"/>
      <c r="B326" s="627"/>
      <c r="C326" s="627" t="s">
        <v>4322</v>
      </c>
      <c r="D326" s="627" t="s">
        <v>1980</v>
      </c>
      <c r="E326" s="627" t="s">
        <v>4323</v>
      </c>
      <c r="F326" s="627" t="s">
        <v>1980</v>
      </c>
      <c r="G326" s="95">
        <f>1*2*1.25*0.488</f>
        <v>1.22</v>
      </c>
      <c r="H326" s="627" t="s">
        <v>1591</v>
      </c>
    </row>
    <row r="327" spans="1:8">
      <c r="A327" s="627"/>
      <c r="B327" s="627" t="s">
        <v>4320</v>
      </c>
      <c r="C327" s="627" t="s">
        <v>4324</v>
      </c>
      <c r="D327" s="627"/>
      <c r="E327" s="627"/>
      <c r="F327" s="627"/>
      <c r="G327" s="95"/>
      <c r="H327" s="627"/>
    </row>
    <row r="328" spans="1:8">
      <c r="A328" s="627"/>
      <c r="B328" s="627"/>
      <c r="C328" s="627" t="s">
        <v>4325</v>
      </c>
      <c r="D328" s="627" t="s">
        <v>1980</v>
      </c>
      <c r="E328" s="627" t="s">
        <v>4326</v>
      </c>
      <c r="F328" s="627" t="s">
        <v>1980</v>
      </c>
      <c r="G328" s="95">
        <f>2*2*0.55*0.355</f>
        <v>0.78</v>
      </c>
      <c r="H328" s="627" t="s">
        <v>1591</v>
      </c>
    </row>
    <row r="329" spans="1:8">
      <c r="A329" s="627"/>
      <c r="B329" s="627"/>
      <c r="C329" s="627"/>
      <c r="D329" s="627"/>
      <c r="E329" s="627"/>
      <c r="F329" s="627"/>
      <c r="G329" s="95">
        <f>SUM(G318:G328)</f>
        <v>8.57</v>
      </c>
      <c r="H329" s="627" t="s">
        <v>1591</v>
      </c>
    </row>
    <row r="330" spans="1:8">
      <c r="A330" s="627"/>
      <c r="B330" s="627"/>
      <c r="C330" s="627"/>
      <c r="D330" s="627"/>
      <c r="E330" s="627" t="s">
        <v>4327</v>
      </c>
      <c r="F330" s="627" t="s">
        <v>1980</v>
      </c>
      <c r="G330" s="95">
        <f>G329*10%</f>
        <v>0.86</v>
      </c>
      <c r="H330" s="627" t="s">
        <v>1591</v>
      </c>
    </row>
    <row r="331" spans="1:8">
      <c r="A331" s="627"/>
      <c r="B331" s="627"/>
      <c r="C331" s="627"/>
      <c r="D331" s="627"/>
      <c r="E331" s="627"/>
      <c r="F331" s="627"/>
      <c r="G331" s="639">
        <f>SUM(G329:G330)</f>
        <v>9.43</v>
      </c>
      <c r="H331" s="627" t="s">
        <v>1591</v>
      </c>
    </row>
    <row r="332" spans="1:8">
      <c r="A332" s="627"/>
      <c r="B332" s="627"/>
      <c r="C332" s="627"/>
      <c r="D332" s="627"/>
      <c r="E332" s="627"/>
      <c r="F332" s="627"/>
      <c r="G332" s="627"/>
      <c r="H332" s="627"/>
    </row>
    <row r="333" spans="1:8">
      <c r="A333" s="627"/>
      <c r="B333" s="800" t="s">
        <v>4328</v>
      </c>
      <c r="C333" s="627" t="s">
        <v>4329</v>
      </c>
      <c r="D333" s="627"/>
      <c r="E333" s="627"/>
      <c r="F333" s="627"/>
      <c r="G333" s="627"/>
      <c r="H333" s="627"/>
    </row>
    <row r="334" spans="1:8" ht="17.25">
      <c r="A334" s="627"/>
      <c r="B334" s="627"/>
      <c r="C334" s="627" t="s">
        <v>4330</v>
      </c>
      <c r="D334" s="627" t="s">
        <v>1980</v>
      </c>
      <c r="E334" s="627" t="s">
        <v>4331</v>
      </c>
      <c r="F334" s="627" t="s">
        <v>1980</v>
      </c>
      <c r="G334" s="627">
        <f>1*2*0.55*1.25</f>
        <v>1.375</v>
      </c>
      <c r="H334" s="627" t="s">
        <v>4332</v>
      </c>
    </row>
    <row r="335" spans="1:8">
      <c r="A335" s="627"/>
      <c r="B335" s="627"/>
      <c r="C335" s="627"/>
      <c r="D335" s="627"/>
      <c r="E335" s="627"/>
      <c r="F335" s="627"/>
      <c r="G335" s="627"/>
      <c r="H335" s="627"/>
    </row>
    <row r="336" spans="1:8">
      <c r="A336" s="627"/>
      <c r="B336" s="800" t="s">
        <v>4333</v>
      </c>
      <c r="C336" s="627" t="s">
        <v>3813</v>
      </c>
      <c r="D336" s="627" t="s">
        <v>1980</v>
      </c>
      <c r="E336" s="627" t="s">
        <v>4334</v>
      </c>
      <c r="F336" s="627" t="s">
        <v>1980</v>
      </c>
      <c r="G336" s="627">
        <f>1*2*2*3.6</f>
        <v>14.4</v>
      </c>
      <c r="H336" s="627" t="s">
        <v>794</v>
      </c>
    </row>
    <row r="337" spans="1:8">
      <c r="A337" s="627"/>
      <c r="B337" s="627"/>
      <c r="C337" s="627"/>
      <c r="D337" s="627"/>
      <c r="E337" s="627"/>
      <c r="F337" s="627"/>
      <c r="G337" s="627"/>
      <c r="H337" s="627"/>
    </row>
    <row r="338" spans="1:8" ht="17.25">
      <c r="A338" s="627"/>
      <c r="B338" s="800" t="s">
        <v>4335</v>
      </c>
      <c r="C338" s="627" t="s">
        <v>4336</v>
      </c>
      <c r="D338" s="627" t="s">
        <v>1980</v>
      </c>
      <c r="E338" s="627" t="s">
        <v>4337</v>
      </c>
      <c r="F338" s="627" t="s">
        <v>1980</v>
      </c>
      <c r="G338" s="627">
        <f>1.2*1.35</f>
        <v>1.62</v>
      </c>
      <c r="H338" s="627" t="s">
        <v>4332</v>
      </c>
    </row>
    <row r="339" spans="1:8">
      <c r="A339" s="627"/>
      <c r="B339" s="627"/>
      <c r="C339" s="627"/>
      <c r="D339" s="627"/>
      <c r="E339" s="627"/>
      <c r="F339" s="627"/>
      <c r="G339" s="627"/>
      <c r="H339" s="627"/>
    </row>
    <row r="340" spans="1:8">
      <c r="A340" s="627"/>
      <c r="B340" s="627"/>
      <c r="C340" s="627"/>
      <c r="D340" s="627"/>
      <c r="E340" s="627"/>
      <c r="F340" s="627"/>
      <c r="G340" s="627"/>
      <c r="H340" s="627"/>
    </row>
    <row r="341" spans="1:8">
      <c r="A341" s="627"/>
      <c r="B341" s="627"/>
      <c r="C341" s="627"/>
      <c r="D341" s="627"/>
      <c r="E341" s="627"/>
      <c r="F341" s="627"/>
      <c r="G341" s="627"/>
      <c r="H341" s="627"/>
    </row>
    <row r="342" spans="1:8">
      <c r="A342" s="16">
        <v>9.43</v>
      </c>
      <c r="B342" s="7" t="s">
        <v>876</v>
      </c>
      <c r="C342" s="1" t="s">
        <v>4338</v>
      </c>
      <c r="D342" s="8"/>
      <c r="E342" s="8">
        <v>287</v>
      </c>
      <c r="F342" s="7" t="s">
        <v>876</v>
      </c>
      <c r="G342" s="8">
        <f t="shared" ref="G342:G347" si="13">E342*A342</f>
        <v>2706.41</v>
      </c>
      <c r="H342" s="627"/>
    </row>
    <row r="343" spans="1:8">
      <c r="A343" s="16">
        <f>G334</f>
        <v>1.375</v>
      </c>
      <c r="B343" s="7" t="s">
        <v>222</v>
      </c>
      <c r="C343" s="1" t="s">
        <v>4339</v>
      </c>
      <c r="D343" s="8"/>
      <c r="E343" s="8">
        <v>336</v>
      </c>
      <c r="F343" s="7" t="s">
        <v>222</v>
      </c>
      <c r="G343" s="8">
        <f t="shared" si="13"/>
        <v>462</v>
      </c>
      <c r="H343" s="627"/>
    </row>
    <row r="344" spans="1:8">
      <c r="A344" s="16">
        <v>14.4</v>
      </c>
      <c r="B344" s="7" t="s">
        <v>794</v>
      </c>
      <c r="C344" s="1" t="s">
        <v>1790</v>
      </c>
      <c r="D344" s="8"/>
      <c r="E344" s="8">
        <v>27.1</v>
      </c>
      <c r="F344" s="7" t="s">
        <v>794</v>
      </c>
      <c r="G344" s="8">
        <f t="shared" si="13"/>
        <v>390.24</v>
      </c>
      <c r="H344" s="627"/>
    </row>
    <row r="345" spans="1:8">
      <c r="A345" s="16">
        <v>1</v>
      </c>
      <c r="B345" s="7" t="s">
        <v>739</v>
      </c>
      <c r="C345" s="1" t="s">
        <v>4340</v>
      </c>
      <c r="D345" s="8"/>
      <c r="E345" s="8">
        <v>59.4</v>
      </c>
      <c r="F345" s="7" t="s">
        <v>739</v>
      </c>
      <c r="G345" s="8">
        <f t="shared" si="13"/>
        <v>59.4</v>
      </c>
      <c r="H345" s="627"/>
    </row>
    <row r="346" spans="1:8">
      <c r="A346" s="16">
        <v>1</v>
      </c>
      <c r="B346" s="7" t="s">
        <v>739</v>
      </c>
      <c r="C346" s="1" t="s">
        <v>4341</v>
      </c>
      <c r="D346" s="8"/>
      <c r="E346" s="8">
        <v>13.1</v>
      </c>
      <c r="F346" s="7" t="s">
        <v>739</v>
      </c>
      <c r="G346" s="8">
        <f t="shared" si="13"/>
        <v>13.1</v>
      </c>
      <c r="H346" s="627"/>
    </row>
    <row r="347" spans="1:8">
      <c r="A347" s="16">
        <v>1.62</v>
      </c>
      <c r="B347" s="7" t="s">
        <v>2199</v>
      </c>
      <c r="C347" s="1" t="s">
        <v>1796</v>
      </c>
      <c r="D347" s="595"/>
      <c r="E347" s="595">
        <f>G357</f>
        <v>1110</v>
      </c>
      <c r="F347" s="7" t="s">
        <v>2199</v>
      </c>
      <c r="G347" s="8">
        <f t="shared" si="13"/>
        <v>1798.2</v>
      </c>
      <c r="H347" s="627"/>
    </row>
    <row r="348" spans="1:8">
      <c r="A348" s="595"/>
      <c r="B348" s="659"/>
      <c r="C348" s="1" t="s">
        <v>2187</v>
      </c>
      <c r="D348" s="595"/>
      <c r="E348" s="596"/>
      <c r="F348" s="8" t="s">
        <v>625</v>
      </c>
      <c r="G348" s="627">
        <v>2.56</v>
      </c>
      <c r="H348" s="627"/>
    </row>
    <row r="349" spans="1:8">
      <c r="A349" s="595"/>
      <c r="B349" s="595"/>
      <c r="C349" s="6" t="s">
        <v>4342</v>
      </c>
      <c r="D349" s="595"/>
      <c r="E349" s="595"/>
      <c r="F349" s="443"/>
      <c r="G349" s="595">
        <f>SUM(G342:G348)</f>
        <v>5431.91</v>
      </c>
      <c r="H349" s="627"/>
    </row>
    <row r="350" spans="1:8">
      <c r="A350" s="595"/>
      <c r="B350" s="595"/>
      <c r="C350" s="801" t="s">
        <v>4343</v>
      </c>
      <c r="D350" s="657" t="s">
        <v>1980</v>
      </c>
      <c r="E350" s="657"/>
      <c r="F350" s="662"/>
      <c r="G350" s="639">
        <f>G349/A347</f>
        <v>3353.03</v>
      </c>
      <c r="H350" s="627"/>
    </row>
    <row r="351" spans="1:8">
      <c r="A351" s="627"/>
      <c r="B351" s="627"/>
      <c r="C351" s="627"/>
      <c r="D351" s="627"/>
      <c r="E351" s="627"/>
      <c r="F351" s="627"/>
      <c r="G351" s="627"/>
      <c r="H351" s="627"/>
    </row>
    <row r="352" spans="1:8">
      <c r="A352" s="627"/>
      <c r="B352" s="627"/>
      <c r="C352" s="635" t="s">
        <v>4344</v>
      </c>
      <c r="D352" s="627"/>
      <c r="E352" s="627"/>
      <c r="F352" s="627"/>
      <c r="G352" s="627"/>
      <c r="H352" s="627"/>
    </row>
    <row r="353" spans="1:8">
      <c r="A353" s="8">
        <v>1</v>
      </c>
      <c r="B353" s="7" t="s">
        <v>835</v>
      </c>
      <c r="C353" s="1" t="s">
        <v>4345</v>
      </c>
      <c r="D353" s="8"/>
      <c r="E353" s="8">
        <v>501</v>
      </c>
      <c r="F353" s="1" t="s">
        <v>835</v>
      </c>
      <c r="G353" s="627">
        <f>E353*A353</f>
        <v>501</v>
      </c>
      <c r="H353" s="627"/>
    </row>
    <row r="354" spans="1:8">
      <c r="A354" s="8">
        <v>1</v>
      </c>
      <c r="B354" s="7" t="s">
        <v>835</v>
      </c>
      <c r="C354" s="1" t="s">
        <v>4346</v>
      </c>
      <c r="D354" s="8"/>
      <c r="E354" s="8">
        <v>355</v>
      </c>
      <c r="F354" s="1" t="s">
        <v>835</v>
      </c>
      <c r="G354" s="627">
        <f>E354*A354</f>
        <v>355</v>
      </c>
      <c r="H354" s="627"/>
    </row>
    <row r="355" spans="1:8">
      <c r="A355" s="8">
        <v>0.5</v>
      </c>
      <c r="B355" s="7" t="s">
        <v>835</v>
      </c>
      <c r="C355" s="1" t="s">
        <v>4347</v>
      </c>
      <c r="D355" s="8"/>
      <c r="E355" s="8">
        <v>508</v>
      </c>
      <c r="F355" s="1" t="s">
        <v>835</v>
      </c>
      <c r="G355" s="627">
        <f>E355*A355</f>
        <v>254</v>
      </c>
      <c r="H355" s="627"/>
    </row>
    <row r="356" spans="1:8">
      <c r="A356" s="595"/>
      <c r="B356" s="659"/>
      <c r="C356" s="1"/>
      <c r="D356" s="595"/>
      <c r="E356" s="660"/>
      <c r="F356" s="5"/>
      <c r="G356" s="627"/>
      <c r="H356" s="627"/>
    </row>
    <row r="357" spans="1:8">
      <c r="A357" s="595"/>
      <c r="B357" s="659"/>
      <c r="C357" s="1" t="s">
        <v>3827</v>
      </c>
      <c r="D357" s="595"/>
      <c r="E357" s="660"/>
      <c r="F357" s="39"/>
      <c r="G357" s="657">
        <f>SUM(G353:G356)</f>
        <v>1110</v>
      </c>
      <c r="H357" s="627"/>
    </row>
    <row r="358" spans="1:8">
      <c r="A358" s="595"/>
      <c r="B358" s="659"/>
      <c r="C358" s="595"/>
      <c r="D358" s="595"/>
      <c r="E358" s="660"/>
      <c r="F358" s="5"/>
      <c r="G358" s="627"/>
      <c r="H358" s="627"/>
    </row>
    <row r="359" spans="1:8">
      <c r="A359" s="802"/>
      <c r="B359" s="803"/>
      <c r="C359" s="732"/>
      <c r="D359" s="802"/>
      <c r="E359" s="804"/>
      <c r="F359" s="805"/>
      <c r="G359" s="806"/>
      <c r="H359" s="806"/>
    </row>
    <row r="360" spans="1:8">
      <c r="A360" s="627"/>
      <c r="B360" s="627"/>
      <c r="C360" s="627"/>
      <c r="D360" s="627"/>
      <c r="E360" s="627"/>
      <c r="F360" s="627"/>
      <c r="G360" s="627"/>
      <c r="H360" s="627"/>
    </row>
    <row r="361" spans="1:8">
      <c r="A361" s="1498" t="s">
        <v>4348</v>
      </c>
      <c r="B361" s="1498"/>
      <c r="C361" s="1498"/>
      <c r="D361" s="1498"/>
      <c r="E361" s="1498"/>
      <c r="F361" s="1498"/>
      <c r="G361" s="1498"/>
      <c r="H361" s="1498"/>
    </row>
    <row r="362" spans="1:8">
      <c r="A362" s="627"/>
      <c r="B362" s="627" t="s">
        <v>4304</v>
      </c>
      <c r="C362" s="627" t="s">
        <v>4305</v>
      </c>
      <c r="D362" s="627"/>
      <c r="E362" s="627"/>
      <c r="F362" s="627"/>
      <c r="G362" s="627"/>
      <c r="H362" s="627"/>
    </row>
    <row r="363" spans="1:8">
      <c r="A363" s="627"/>
      <c r="B363" s="627"/>
      <c r="C363" s="627" t="s">
        <v>4306</v>
      </c>
      <c r="D363" s="627" t="s">
        <v>1980</v>
      </c>
      <c r="E363" s="627" t="s">
        <v>4349</v>
      </c>
      <c r="F363" s="627" t="s">
        <v>1980</v>
      </c>
      <c r="G363" s="95">
        <f>1*2*2.4*1.558</f>
        <v>7.48</v>
      </c>
      <c r="H363" s="627" t="s">
        <v>1591</v>
      </c>
    </row>
    <row r="364" spans="1:8">
      <c r="A364" s="627"/>
      <c r="B364" s="627" t="s">
        <v>4308</v>
      </c>
      <c r="C364" s="627" t="s">
        <v>4309</v>
      </c>
      <c r="D364" s="627"/>
      <c r="E364" s="627"/>
      <c r="F364" s="627"/>
      <c r="G364" s="95"/>
      <c r="H364" s="627"/>
    </row>
    <row r="365" spans="1:8">
      <c r="A365" s="627"/>
      <c r="B365" s="627"/>
      <c r="C365" s="627" t="s">
        <v>4310</v>
      </c>
      <c r="D365" s="627" t="s">
        <v>1980</v>
      </c>
      <c r="E365" s="627" t="s">
        <v>4350</v>
      </c>
      <c r="F365" s="627" t="s">
        <v>1980</v>
      </c>
      <c r="G365" s="95">
        <f>1*4*1.05*0.695</f>
        <v>2.92</v>
      </c>
      <c r="H365" s="627" t="s">
        <v>1591</v>
      </c>
    </row>
    <row r="366" spans="1:8">
      <c r="A366" s="627"/>
      <c r="B366" s="627" t="s">
        <v>4312</v>
      </c>
      <c r="C366" s="627" t="s">
        <v>4313</v>
      </c>
      <c r="D366" s="627"/>
      <c r="E366" s="627"/>
      <c r="F366" s="627"/>
      <c r="G366" s="95"/>
      <c r="H366" s="627"/>
    </row>
    <row r="367" spans="1:8">
      <c r="A367" s="627"/>
      <c r="B367" s="627"/>
      <c r="C367" s="627" t="s">
        <v>4314</v>
      </c>
      <c r="D367" s="627" t="s">
        <v>1980</v>
      </c>
      <c r="E367" s="627" t="s">
        <v>4351</v>
      </c>
      <c r="F367" s="627" t="s">
        <v>1980</v>
      </c>
      <c r="G367" s="95">
        <f>1*1*2.4*1.088</f>
        <v>2.61</v>
      </c>
      <c r="H367" s="627" t="s">
        <v>1591</v>
      </c>
    </row>
    <row r="368" spans="1:8">
      <c r="A368" s="627"/>
      <c r="B368" s="627" t="s">
        <v>4316</v>
      </c>
      <c r="C368" s="627" t="s">
        <v>4317</v>
      </c>
      <c r="D368" s="627"/>
      <c r="E368" s="627"/>
      <c r="F368" s="627"/>
      <c r="G368" s="95"/>
      <c r="H368" s="627"/>
    </row>
    <row r="369" spans="1:8">
      <c r="A369" s="627"/>
      <c r="B369" s="627"/>
      <c r="C369" s="627" t="s">
        <v>4318</v>
      </c>
      <c r="D369" s="627" t="s">
        <v>1980</v>
      </c>
      <c r="E369" s="627" t="s">
        <v>4352</v>
      </c>
      <c r="F369" s="627" t="s">
        <v>1980</v>
      </c>
      <c r="G369" s="95">
        <f>1*4*0.95*0.605</f>
        <v>2.2999999999999998</v>
      </c>
      <c r="H369" s="627" t="s">
        <v>1591</v>
      </c>
    </row>
    <row r="370" spans="1:8">
      <c r="A370" s="627"/>
      <c r="B370" s="627" t="s">
        <v>4320</v>
      </c>
      <c r="C370" s="627" t="s">
        <v>4321</v>
      </c>
      <c r="D370" s="627"/>
      <c r="E370" s="627"/>
      <c r="F370" s="627"/>
      <c r="G370" s="95"/>
      <c r="H370" s="627"/>
    </row>
    <row r="371" spans="1:8">
      <c r="A371" s="627"/>
      <c r="B371" s="627"/>
      <c r="C371" s="627" t="s">
        <v>4322</v>
      </c>
      <c r="D371" s="627" t="s">
        <v>1980</v>
      </c>
      <c r="E371" s="627" t="s">
        <v>4353</v>
      </c>
      <c r="F371" s="627" t="s">
        <v>1980</v>
      </c>
      <c r="G371" s="95">
        <f>1*4*0.95*0.488</f>
        <v>1.85</v>
      </c>
      <c r="H371" s="627" t="s">
        <v>1591</v>
      </c>
    </row>
    <row r="372" spans="1:8">
      <c r="A372" s="627"/>
      <c r="B372" s="627" t="s">
        <v>4320</v>
      </c>
      <c r="C372" s="627" t="s">
        <v>4324</v>
      </c>
      <c r="D372" s="627"/>
      <c r="E372" s="627"/>
      <c r="F372" s="627"/>
      <c r="G372" s="95"/>
      <c r="H372" s="627"/>
    </row>
    <row r="373" spans="1:8">
      <c r="A373" s="627"/>
      <c r="B373" s="627"/>
      <c r="C373" s="627" t="s">
        <v>4325</v>
      </c>
      <c r="D373" s="627" t="s">
        <v>1980</v>
      </c>
      <c r="E373" s="627" t="s">
        <v>4354</v>
      </c>
      <c r="F373" s="627" t="s">
        <v>1980</v>
      </c>
      <c r="G373" s="95">
        <f>2*4*0.55*0.355</f>
        <v>1.56</v>
      </c>
      <c r="H373" s="627" t="s">
        <v>1591</v>
      </c>
    </row>
    <row r="374" spans="1:8">
      <c r="A374" s="627"/>
      <c r="B374" s="627"/>
      <c r="C374" s="627"/>
      <c r="D374" s="627"/>
      <c r="E374" s="627"/>
      <c r="F374" s="627"/>
      <c r="G374" s="95">
        <f>SUM(G363:G373)</f>
        <v>18.72</v>
      </c>
      <c r="H374" s="627" t="s">
        <v>1591</v>
      </c>
    </row>
    <row r="375" spans="1:8">
      <c r="A375" s="627"/>
      <c r="B375" s="627"/>
      <c r="C375" s="627"/>
      <c r="D375" s="627"/>
      <c r="E375" s="627" t="s">
        <v>4327</v>
      </c>
      <c r="F375" s="627" t="s">
        <v>1980</v>
      </c>
      <c r="G375" s="95">
        <f>G374*10%</f>
        <v>1.87</v>
      </c>
      <c r="H375" s="627" t="s">
        <v>1591</v>
      </c>
    </row>
    <row r="376" spans="1:8">
      <c r="A376" s="627"/>
      <c r="B376" s="627"/>
      <c r="C376" s="627"/>
      <c r="D376" s="627"/>
      <c r="E376" s="627"/>
      <c r="F376" s="627"/>
      <c r="G376" s="639">
        <f>SUM(G374:G375)</f>
        <v>20.59</v>
      </c>
      <c r="H376" s="627" t="s">
        <v>1591</v>
      </c>
    </row>
    <row r="377" spans="1:8">
      <c r="A377" s="627"/>
      <c r="B377" s="627"/>
      <c r="C377" s="627"/>
      <c r="D377" s="627"/>
      <c r="E377" s="627"/>
      <c r="F377" s="627"/>
      <c r="G377" s="627"/>
      <c r="H377" s="627"/>
    </row>
    <row r="378" spans="1:8">
      <c r="A378" s="627"/>
      <c r="B378" s="800" t="s">
        <v>4328</v>
      </c>
      <c r="C378" s="627" t="s">
        <v>4329</v>
      </c>
      <c r="D378" s="627"/>
      <c r="E378" s="627"/>
      <c r="F378" s="627"/>
      <c r="G378" s="95"/>
      <c r="H378" s="627"/>
    </row>
    <row r="379" spans="1:8" ht="17.25">
      <c r="A379" s="627"/>
      <c r="B379" s="627"/>
      <c r="C379" s="627" t="s">
        <v>4330</v>
      </c>
      <c r="D379" s="627" t="s">
        <v>1980</v>
      </c>
      <c r="E379" s="627" t="s">
        <v>4355</v>
      </c>
      <c r="F379" s="627" t="s">
        <v>1980</v>
      </c>
      <c r="G379" s="807">
        <f>1*4*0.55*0.95</f>
        <v>2.09</v>
      </c>
      <c r="H379" s="627" t="s">
        <v>4332</v>
      </c>
    </row>
    <row r="380" spans="1:8">
      <c r="A380" s="627"/>
      <c r="B380" s="627"/>
      <c r="C380" s="627"/>
      <c r="D380" s="627"/>
      <c r="E380" s="627"/>
      <c r="F380" s="627"/>
      <c r="G380" s="95"/>
      <c r="H380" s="627"/>
    </row>
    <row r="381" spans="1:8">
      <c r="A381" s="627"/>
      <c r="B381" s="800" t="s">
        <v>4333</v>
      </c>
      <c r="C381" s="627" t="s">
        <v>3813</v>
      </c>
      <c r="D381" s="627" t="s">
        <v>1980</v>
      </c>
      <c r="E381" s="627" t="s">
        <v>4356</v>
      </c>
      <c r="F381" s="627" t="s">
        <v>1980</v>
      </c>
      <c r="G381" s="95">
        <f>1*2*4*3.3</f>
        <v>26.4</v>
      </c>
      <c r="H381" s="627" t="s">
        <v>794</v>
      </c>
    </row>
    <row r="382" spans="1:8">
      <c r="A382" s="627"/>
      <c r="B382" s="627"/>
      <c r="C382" s="627"/>
      <c r="D382" s="627"/>
      <c r="E382" s="627"/>
      <c r="F382" s="627"/>
      <c r="G382" s="95"/>
      <c r="H382" s="627"/>
    </row>
    <row r="383" spans="1:8" ht="17.25">
      <c r="A383" s="627"/>
      <c r="B383" s="800" t="s">
        <v>4335</v>
      </c>
      <c r="C383" s="627" t="s">
        <v>4336</v>
      </c>
      <c r="D383" s="627" t="s">
        <v>1980</v>
      </c>
      <c r="E383" s="627" t="s">
        <v>4357</v>
      </c>
      <c r="F383" s="627" t="s">
        <v>1980</v>
      </c>
      <c r="G383" s="95">
        <f>2.4*1.05</f>
        <v>2.52</v>
      </c>
      <c r="H383" s="627" t="s">
        <v>4332</v>
      </c>
    </row>
    <row r="384" spans="1:8">
      <c r="A384" s="627"/>
      <c r="B384" s="627"/>
      <c r="C384" s="627"/>
      <c r="D384" s="627"/>
      <c r="E384" s="627"/>
      <c r="F384" s="627"/>
      <c r="G384" s="627"/>
      <c r="H384" s="627"/>
    </row>
    <row r="385" spans="1:8">
      <c r="A385" s="627"/>
      <c r="B385" s="627"/>
      <c r="C385" s="627"/>
      <c r="D385" s="627"/>
      <c r="E385" s="627"/>
      <c r="F385" s="627"/>
      <c r="G385" s="627"/>
      <c r="H385" s="627"/>
    </row>
    <row r="386" spans="1:8">
      <c r="A386" s="627"/>
      <c r="B386" s="627"/>
      <c r="C386" s="627"/>
      <c r="D386" s="627"/>
      <c r="E386" s="627"/>
      <c r="F386" s="627"/>
      <c r="G386" s="627"/>
      <c r="H386" s="627"/>
    </row>
    <row r="387" spans="1:8">
      <c r="A387" s="16">
        <v>20.59</v>
      </c>
      <c r="B387" s="7" t="s">
        <v>876</v>
      </c>
      <c r="C387" s="1" t="s">
        <v>4338</v>
      </c>
      <c r="D387" s="8"/>
      <c r="E387" s="8">
        <v>287</v>
      </c>
      <c r="F387" s="7" t="s">
        <v>876</v>
      </c>
      <c r="G387" s="8">
        <f t="shared" ref="G387:G392" si="14">E387*A387</f>
        <v>5909.33</v>
      </c>
      <c r="H387" s="627"/>
    </row>
    <row r="388" spans="1:8">
      <c r="A388" s="16">
        <v>2.09</v>
      </c>
      <c r="B388" s="7" t="s">
        <v>222</v>
      </c>
      <c r="C388" s="1" t="s">
        <v>4339</v>
      </c>
      <c r="D388" s="8"/>
      <c r="E388" s="8">
        <v>336</v>
      </c>
      <c r="F388" s="7" t="s">
        <v>222</v>
      </c>
      <c r="G388" s="8">
        <f t="shared" si="14"/>
        <v>702.24</v>
      </c>
      <c r="H388" s="627"/>
    </row>
    <row r="389" spans="1:8">
      <c r="A389" s="16">
        <v>26.4</v>
      </c>
      <c r="B389" s="7" t="s">
        <v>794</v>
      </c>
      <c r="C389" s="1" t="s">
        <v>1790</v>
      </c>
      <c r="D389" s="8"/>
      <c r="E389" s="8">
        <v>27.1</v>
      </c>
      <c r="F389" s="7" t="s">
        <v>794</v>
      </c>
      <c r="G389" s="8">
        <f t="shared" si="14"/>
        <v>715.44</v>
      </c>
      <c r="H389" s="627"/>
    </row>
    <row r="390" spans="1:8">
      <c r="A390" s="16">
        <v>1</v>
      </c>
      <c r="B390" s="7" t="s">
        <v>739</v>
      </c>
      <c r="C390" s="1" t="s">
        <v>4340</v>
      </c>
      <c r="D390" s="8"/>
      <c r="E390" s="8">
        <v>59.4</v>
      </c>
      <c r="F390" s="7" t="s">
        <v>739</v>
      </c>
      <c r="G390" s="8">
        <f t="shared" si="14"/>
        <v>59.4</v>
      </c>
      <c r="H390" s="627"/>
    </row>
    <row r="391" spans="1:8">
      <c r="A391" s="16">
        <v>1</v>
      </c>
      <c r="B391" s="7" t="s">
        <v>739</v>
      </c>
      <c r="C391" s="1" t="s">
        <v>4341</v>
      </c>
      <c r="D391" s="8"/>
      <c r="E391" s="8">
        <v>13.1</v>
      </c>
      <c r="F391" s="7" t="s">
        <v>739</v>
      </c>
      <c r="G391" s="8">
        <f t="shared" si="14"/>
        <v>13.1</v>
      </c>
      <c r="H391" s="627"/>
    </row>
    <row r="392" spans="1:8">
      <c r="A392" s="16">
        <v>2.52</v>
      </c>
      <c r="B392" s="7" t="s">
        <v>2199</v>
      </c>
      <c r="C392" s="1" t="s">
        <v>1796</v>
      </c>
      <c r="D392" s="595"/>
      <c r="E392" s="595">
        <f>G402</f>
        <v>1110</v>
      </c>
      <c r="F392" s="7" t="s">
        <v>2199</v>
      </c>
      <c r="G392" s="8">
        <f t="shared" si="14"/>
        <v>2797.2</v>
      </c>
      <c r="H392" s="627"/>
    </row>
    <row r="393" spans="1:8">
      <c r="A393" s="595"/>
      <c r="B393" s="659"/>
      <c r="C393" s="1" t="s">
        <v>2187</v>
      </c>
      <c r="D393" s="595"/>
      <c r="E393" s="596"/>
      <c r="F393" s="8" t="s">
        <v>625</v>
      </c>
      <c r="G393" s="595">
        <v>4.26</v>
      </c>
      <c r="H393" s="627"/>
    </row>
    <row r="394" spans="1:8">
      <c r="A394" s="595"/>
      <c r="B394" s="595"/>
      <c r="C394" s="6" t="s">
        <v>1358</v>
      </c>
      <c r="D394" s="595"/>
      <c r="E394" s="595"/>
      <c r="F394" s="443"/>
      <c r="G394" s="659">
        <f>SUM(G387:G393)</f>
        <v>10200.969999999999</v>
      </c>
      <c r="H394" s="627"/>
    </row>
    <row r="395" spans="1:8">
      <c r="A395" s="595"/>
      <c r="B395" s="595"/>
      <c r="C395" s="801" t="s">
        <v>4343</v>
      </c>
      <c r="D395" s="657" t="s">
        <v>1980</v>
      </c>
      <c r="E395" s="657"/>
      <c r="F395" s="662"/>
      <c r="G395" s="639">
        <f>G394/A392</f>
        <v>4048</v>
      </c>
      <c r="H395" s="627"/>
    </row>
    <row r="396" spans="1:8">
      <c r="A396" s="627"/>
      <c r="B396" s="627"/>
      <c r="C396" s="627"/>
      <c r="D396" s="627"/>
      <c r="E396" s="627"/>
      <c r="F396" s="627"/>
      <c r="G396" s="627"/>
      <c r="H396" s="627"/>
    </row>
    <row r="397" spans="1:8">
      <c r="A397" s="627"/>
      <c r="B397" s="627"/>
      <c r="C397" s="635" t="s">
        <v>4344</v>
      </c>
      <c r="D397" s="627"/>
      <c r="E397" s="627"/>
      <c r="F397" s="627"/>
      <c r="G397" s="627"/>
      <c r="H397" s="627"/>
    </row>
    <row r="398" spans="1:8">
      <c r="A398" s="8">
        <v>1</v>
      </c>
      <c r="B398" s="7" t="s">
        <v>835</v>
      </c>
      <c r="C398" s="1" t="s">
        <v>4345</v>
      </c>
      <c r="D398" s="8"/>
      <c r="E398" s="8">
        <v>501</v>
      </c>
      <c r="F398" s="1" t="s">
        <v>835</v>
      </c>
      <c r="G398" s="95">
        <f>E398*A398</f>
        <v>501</v>
      </c>
      <c r="H398" s="627"/>
    </row>
    <row r="399" spans="1:8">
      <c r="A399" s="8">
        <v>1</v>
      </c>
      <c r="B399" s="7" t="s">
        <v>835</v>
      </c>
      <c r="C399" s="1" t="s">
        <v>4346</v>
      </c>
      <c r="D399" s="8"/>
      <c r="E399" s="8">
        <v>355</v>
      </c>
      <c r="F399" s="1" t="s">
        <v>835</v>
      </c>
      <c r="G399" s="95">
        <f>E399*A399</f>
        <v>355</v>
      </c>
      <c r="H399" s="627"/>
    </row>
    <row r="400" spans="1:8">
      <c r="A400" s="8">
        <v>0.5</v>
      </c>
      <c r="B400" s="7" t="s">
        <v>835</v>
      </c>
      <c r="C400" s="1" t="s">
        <v>4347</v>
      </c>
      <c r="D400" s="8"/>
      <c r="E400" s="8">
        <v>508</v>
      </c>
      <c r="F400" s="1" t="s">
        <v>835</v>
      </c>
      <c r="G400" s="95">
        <f>E400*A400</f>
        <v>254</v>
      </c>
      <c r="H400" s="627"/>
    </row>
    <row r="401" spans="1:8">
      <c r="A401" s="595"/>
      <c r="B401" s="659"/>
      <c r="C401" s="1"/>
      <c r="D401" s="595"/>
      <c r="E401" s="660"/>
      <c r="F401" s="5"/>
      <c r="G401" s="627"/>
      <c r="H401" s="627"/>
    </row>
    <row r="402" spans="1:8">
      <c r="A402" s="595"/>
      <c r="B402" s="659"/>
      <c r="C402" s="1" t="s">
        <v>3827</v>
      </c>
      <c r="D402" s="595"/>
      <c r="E402" s="660"/>
      <c r="F402" s="39"/>
      <c r="G402" s="657">
        <f>SUM(G398:G401)</f>
        <v>1110</v>
      </c>
      <c r="H402" s="627"/>
    </row>
    <row r="403" spans="1:8">
      <c r="A403" s="595"/>
      <c r="B403" s="659"/>
      <c r="C403" s="595"/>
      <c r="D403" s="595"/>
      <c r="E403" s="660"/>
      <c r="F403" s="5"/>
      <c r="G403" s="627"/>
      <c r="H403" s="627"/>
    </row>
    <row r="404" spans="1:8">
      <c r="A404" s="806"/>
      <c r="B404" s="806"/>
      <c r="C404" s="806"/>
      <c r="D404" s="806"/>
      <c r="E404" s="806"/>
      <c r="F404" s="806"/>
      <c r="G404" s="806"/>
      <c r="H404" s="806"/>
    </row>
    <row r="405" spans="1:8">
      <c r="A405" s="627"/>
      <c r="B405" s="627"/>
      <c r="C405" s="627"/>
      <c r="D405" s="627"/>
      <c r="E405" s="627"/>
      <c r="F405" s="627"/>
      <c r="G405" s="627"/>
      <c r="H405" s="627"/>
    </row>
    <row r="406" spans="1:8">
      <c r="A406" s="1498" t="s">
        <v>4358</v>
      </c>
      <c r="B406" s="1498"/>
      <c r="C406" s="1498"/>
      <c r="D406" s="1498"/>
      <c r="E406" s="1498"/>
      <c r="F406" s="1498"/>
      <c r="G406" s="1498"/>
      <c r="H406" s="1498"/>
    </row>
    <row r="407" spans="1:8">
      <c r="A407" s="627"/>
      <c r="B407" s="627" t="s">
        <v>4304</v>
      </c>
      <c r="C407" s="627" t="s">
        <v>4305</v>
      </c>
      <c r="D407" s="627"/>
      <c r="E407" s="627"/>
      <c r="F407" s="627"/>
      <c r="G407" s="627"/>
      <c r="H407" s="627"/>
    </row>
    <row r="408" spans="1:8">
      <c r="A408" s="627"/>
      <c r="B408" s="627"/>
      <c r="C408" s="627" t="s">
        <v>4306</v>
      </c>
      <c r="D408" s="627" t="s">
        <v>1980</v>
      </c>
      <c r="E408" s="627" t="s">
        <v>4359</v>
      </c>
      <c r="F408" s="627" t="s">
        <v>1980</v>
      </c>
      <c r="G408" s="95">
        <f>1*1*0.9*1.558</f>
        <v>1.4</v>
      </c>
      <c r="H408" s="627" t="s">
        <v>1591</v>
      </c>
    </row>
    <row r="409" spans="1:8">
      <c r="A409" s="627"/>
      <c r="B409" s="627" t="s">
        <v>4308</v>
      </c>
      <c r="C409" s="627" t="s">
        <v>4309</v>
      </c>
      <c r="D409" s="627"/>
      <c r="E409" s="627"/>
      <c r="F409" s="627"/>
      <c r="G409" s="627"/>
      <c r="H409" s="627"/>
    </row>
    <row r="410" spans="1:8">
      <c r="A410" s="627"/>
      <c r="B410" s="627"/>
      <c r="C410" s="627" t="s">
        <v>4310</v>
      </c>
      <c r="D410" s="627" t="s">
        <v>1980</v>
      </c>
      <c r="E410" s="627" t="s">
        <v>4311</v>
      </c>
      <c r="F410" s="627" t="s">
        <v>1980</v>
      </c>
      <c r="G410" s="95">
        <f>1*2*1.35*0.695</f>
        <v>1.88</v>
      </c>
      <c r="H410" s="627" t="s">
        <v>1591</v>
      </c>
    </row>
    <row r="411" spans="1:8">
      <c r="A411" s="627"/>
      <c r="B411" s="627" t="s">
        <v>4312</v>
      </c>
      <c r="C411" s="627" t="s">
        <v>4313</v>
      </c>
      <c r="D411" s="627"/>
      <c r="E411" s="627"/>
      <c r="F411" s="627"/>
      <c r="G411" s="95"/>
      <c r="H411" s="627"/>
    </row>
    <row r="412" spans="1:8">
      <c r="A412" s="627"/>
      <c r="B412" s="627"/>
      <c r="C412" s="627" t="s">
        <v>4314</v>
      </c>
      <c r="D412" s="627" t="s">
        <v>1980</v>
      </c>
      <c r="E412" s="627" t="s">
        <v>4360</v>
      </c>
      <c r="F412" s="627" t="s">
        <v>1980</v>
      </c>
      <c r="G412" s="95">
        <f>1*1*0.9*1.088</f>
        <v>0.98</v>
      </c>
      <c r="H412" s="627" t="s">
        <v>1591</v>
      </c>
    </row>
    <row r="413" spans="1:8">
      <c r="A413" s="627"/>
      <c r="B413" s="627" t="s">
        <v>4316</v>
      </c>
      <c r="C413" s="627" t="s">
        <v>4317</v>
      </c>
      <c r="D413" s="627"/>
      <c r="E413" s="627"/>
      <c r="F413" s="627"/>
      <c r="G413" s="95"/>
      <c r="H413" s="627"/>
    </row>
    <row r="414" spans="1:8">
      <c r="A414" s="627"/>
      <c r="B414" s="627"/>
      <c r="C414" s="627" t="s">
        <v>4318</v>
      </c>
      <c r="D414" s="627" t="s">
        <v>1980</v>
      </c>
      <c r="E414" s="627" t="s">
        <v>4319</v>
      </c>
      <c r="F414" s="627" t="s">
        <v>1980</v>
      </c>
      <c r="G414" s="95">
        <f>1*2*1.25*0.605</f>
        <v>1.51</v>
      </c>
      <c r="H414" s="627" t="s">
        <v>1591</v>
      </c>
    </row>
    <row r="415" spans="1:8">
      <c r="A415" s="627"/>
      <c r="B415" s="627" t="s">
        <v>4320</v>
      </c>
      <c r="C415" s="627" t="s">
        <v>4321</v>
      </c>
      <c r="D415" s="627"/>
      <c r="E415" s="627"/>
      <c r="F415" s="627"/>
      <c r="G415" s="95"/>
      <c r="H415" s="627"/>
    </row>
    <row r="416" spans="1:8">
      <c r="A416" s="627"/>
      <c r="B416" s="627"/>
      <c r="C416" s="627" t="s">
        <v>4322</v>
      </c>
      <c r="D416" s="627" t="s">
        <v>1980</v>
      </c>
      <c r="E416" s="627" t="s">
        <v>4323</v>
      </c>
      <c r="F416" s="627" t="s">
        <v>1980</v>
      </c>
      <c r="G416" s="95">
        <f>1*2*1.25*0.488</f>
        <v>1.22</v>
      </c>
      <c r="H416" s="627" t="s">
        <v>1591</v>
      </c>
    </row>
    <row r="417" spans="1:8">
      <c r="A417" s="627"/>
      <c r="B417" s="627" t="s">
        <v>4320</v>
      </c>
      <c r="C417" s="627" t="s">
        <v>4324</v>
      </c>
      <c r="D417" s="627"/>
      <c r="E417" s="627"/>
      <c r="F417" s="627"/>
      <c r="G417" s="95"/>
      <c r="H417" s="627"/>
    </row>
    <row r="418" spans="1:8">
      <c r="A418" s="627"/>
      <c r="B418" s="627"/>
      <c r="C418" s="627" t="s">
        <v>4325</v>
      </c>
      <c r="D418" s="627" t="s">
        <v>1980</v>
      </c>
      <c r="E418" s="627" t="s">
        <v>4361</v>
      </c>
      <c r="F418" s="627" t="s">
        <v>1980</v>
      </c>
      <c r="G418" s="95">
        <f>2*2*0.45*0.355</f>
        <v>0.64</v>
      </c>
      <c r="H418" s="627" t="s">
        <v>1591</v>
      </c>
    </row>
    <row r="419" spans="1:8">
      <c r="A419" s="627"/>
      <c r="B419" s="627"/>
      <c r="C419" s="627"/>
      <c r="D419" s="627"/>
      <c r="E419" s="627"/>
      <c r="F419" s="627"/>
      <c r="G419" s="95">
        <f>SUM(G408:G418)</f>
        <v>7.63</v>
      </c>
      <c r="H419" s="627" t="s">
        <v>1591</v>
      </c>
    </row>
    <row r="420" spans="1:8">
      <c r="A420" s="627"/>
      <c r="B420" s="627"/>
      <c r="C420" s="627"/>
      <c r="D420" s="627"/>
      <c r="E420" s="627" t="s">
        <v>4327</v>
      </c>
      <c r="F420" s="627" t="s">
        <v>1980</v>
      </c>
      <c r="G420" s="95">
        <f>G419*10%</f>
        <v>0.76</v>
      </c>
      <c r="H420" s="627" t="s">
        <v>1591</v>
      </c>
    </row>
    <row r="421" spans="1:8">
      <c r="A421" s="627"/>
      <c r="B421" s="627"/>
      <c r="C421" s="627"/>
      <c r="D421" s="627"/>
      <c r="E421" s="627"/>
      <c r="F421" s="627"/>
      <c r="G421" s="808">
        <f>SUM(G419:G420)</f>
        <v>8.39</v>
      </c>
      <c r="H421" s="627" t="s">
        <v>1591</v>
      </c>
    </row>
    <row r="422" spans="1:8">
      <c r="A422" s="627"/>
      <c r="B422" s="627"/>
      <c r="C422" s="627"/>
      <c r="D422" s="627"/>
      <c r="E422" s="627"/>
      <c r="F422" s="627"/>
      <c r="G422" s="627"/>
      <c r="H422" s="627"/>
    </row>
    <row r="423" spans="1:8">
      <c r="A423" s="627"/>
      <c r="B423" s="800" t="s">
        <v>4328</v>
      </c>
      <c r="C423" s="627" t="s">
        <v>4329</v>
      </c>
      <c r="D423" s="627"/>
      <c r="E423" s="627"/>
      <c r="F423" s="627"/>
      <c r="G423" s="627"/>
      <c r="H423" s="627"/>
    </row>
    <row r="424" spans="1:8" ht="17.25">
      <c r="A424" s="627"/>
      <c r="B424" s="627"/>
      <c r="C424" s="627" t="s">
        <v>4330</v>
      </c>
      <c r="D424" s="627" t="s">
        <v>1980</v>
      </c>
      <c r="E424" s="627" t="s">
        <v>4362</v>
      </c>
      <c r="F424" s="627" t="s">
        <v>1980</v>
      </c>
      <c r="G424" s="807">
        <f>1*2*0.45*1.25</f>
        <v>1.125</v>
      </c>
      <c r="H424" s="627" t="s">
        <v>4332</v>
      </c>
    </row>
    <row r="425" spans="1:8">
      <c r="A425" s="627"/>
      <c r="B425" s="627"/>
      <c r="C425" s="627"/>
      <c r="D425" s="627"/>
      <c r="E425" s="627"/>
      <c r="F425" s="627"/>
      <c r="G425" s="95"/>
      <c r="H425" s="627"/>
    </row>
    <row r="426" spans="1:8">
      <c r="A426" s="627"/>
      <c r="B426" s="800" t="s">
        <v>4333</v>
      </c>
      <c r="C426" s="627" t="s">
        <v>3813</v>
      </c>
      <c r="D426" s="627" t="s">
        <v>1980</v>
      </c>
      <c r="E426" s="627" t="s">
        <v>4363</v>
      </c>
      <c r="F426" s="627" t="s">
        <v>1980</v>
      </c>
      <c r="G426" s="95">
        <f>1*2*2*3.4</f>
        <v>13.6</v>
      </c>
      <c r="H426" s="627" t="s">
        <v>794</v>
      </c>
    </row>
    <row r="427" spans="1:8">
      <c r="A427" s="627"/>
      <c r="B427" s="627"/>
      <c r="C427" s="627"/>
      <c r="D427" s="627"/>
      <c r="E427" s="627"/>
      <c r="F427" s="627"/>
      <c r="G427" s="95"/>
      <c r="H427" s="627"/>
    </row>
    <row r="428" spans="1:8" ht="17.25">
      <c r="A428" s="627"/>
      <c r="B428" s="800" t="s">
        <v>4335</v>
      </c>
      <c r="C428" s="627" t="s">
        <v>4336</v>
      </c>
      <c r="D428" s="627" t="s">
        <v>1980</v>
      </c>
      <c r="E428" s="627" t="s">
        <v>4364</v>
      </c>
      <c r="F428" s="627" t="s">
        <v>1980</v>
      </c>
      <c r="G428" s="95">
        <f>0.9*1.35</f>
        <v>1.22</v>
      </c>
      <c r="H428" s="627" t="s">
        <v>4332</v>
      </c>
    </row>
    <row r="429" spans="1:8">
      <c r="A429" s="627"/>
      <c r="B429" s="627"/>
      <c r="C429" s="627"/>
      <c r="D429" s="627"/>
      <c r="E429" s="627"/>
      <c r="F429" s="627"/>
      <c r="G429" s="627"/>
      <c r="H429" s="627"/>
    </row>
    <row r="430" spans="1:8">
      <c r="A430" s="627"/>
      <c r="B430" s="627"/>
      <c r="C430" s="627"/>
      <c r="D430" s="627"/>
      <c r="E430" s="627"/>
      <c r="F430" s="627"/>
      <c r="G430" s="627"/>
      <c r="H430" s="627"/>
    </row>
    <row r="431" spans="1:8">
      <c r="A431" s="627"/>
      <c r="B431" s="627"/>
      <c r="C431" s="627"/>
      <c r="D431" s="627"/>
      <c r="E431" s="627"/>
      <c r="F431" s="627"/>
      <c r="G431" s="627"/>
      <c r="H431" s="627"/>
    </row>
    <row r="432" spans="1:8">
      <c r="A432" s="16">
        <f>G421</f>
        <v>8.39</v>
      </c>
      <c r="B432" s="7" t="s">
        <v>876</v>
      </c>
      <c r="C432" s="1" t="s">
        <v>4338</v>
      </c>
      <c r="D432" s="8"/>
      <c r="E432" s="8">
        <v>287</v>
      </c>
      <c r="F432" s="7" t="s">
        <v>876</v>
      </c>
      <c r="G432" s="8">
        <f t="shared" ref="G432:G437" si="15">E432*A432</f>
        <v>2407.9299999999998</v>
      </c>
      <c r="H432" s="627"/>
    </row>
    <row r="433" spans="1:8">
      <c r="A433" s="16">
        <f>G424</f>
        <v>1.125</v>
      </c>
      <c r="B433" s="7" t="s">
        <v>222</v>
      </c>
      <c r="C433" s="1" t="s">
        <v>4339</v>
      </c>
      <c r="D433" s="8"/>
      <c r="E433" s="8">
        <v>336</v>
      </c>
      <c r="F433" s="7" t="s">
        <v>222</v>
      </c>
      <c r="G433" s="8">
        <f t="shared" si="15"/>
        <v>378</v>
      </c>
      <c r="H433" s="627"/>
    </row>
    <row r="434" spans="1:8">
      <c r="A434" s="16">
        <v>13.6</v>
      </c>
      <c r="B434" s="7" t="s">
        <v>794</v>
      </c>
      <c r="C434" s="1" t="s">
        <v>1790</v>
      </c>
      <c r="D434" s="8"/>
      <c r="E434" s="8">
        <v>27.1</v>
      </c>
      <c r="F434" s="7" t="s">
        <v>794</v>
      </c>
      <c r="G434" s="8">
        <f t="shared" si="15"/>
        <v>368.56</v>
      </c>
      <c r="H434" s="627"/>
    </row>
    <row r="435" spans="1:8">
      <c r="A435" s="16">
        <v>1</v>
      </c>
      <c r="B435" s="7" t="s">
        <v>739</v>
      </c>
      <c r="C435" s="1" t="s">
        <v>4340</v>
      </c>
      <c r="D435" s="8"/>
      <c r="E435" s="8">
        <v>59.4</v>
      </c>
      <c r="F435" s="7" t="s">
        <v>739</v>
      </c>
      <c r="G435" s="8">
        <f t="shared" si="15"/>
        <v>59.4</v>
      </c>
      <c r="H435" s="627"/>
    </row>
    <row r="436" spans="1:8">
      <c r="A436" s="16">
        <v>1</v>
      </c>
      <c r="B436" s="7" t="s">
        <v>739</v>
      </c>
      <c r="C436" s="1" t="s">
        <v>4341</v>
      </c>
      <c r="D436" s="8"/>
      <c r="E436" s="8">
        <v>13.1</v>
      </c>
      <c r="F436" s="7" t="s">
        <v>739</v>
      </c>
      <c r="G436" s="8">
        <f t="shared" si="15"/>
        <v>13.1</v>
      </c>
      <c r="H436" s="627"/>
    </row>
    <row r="437" spans="1:8">
      <c r="A437" s="16">
        <v>1.22</v>
      </c>
      <c r="B437" s="7" t="s">
        <v>2199</v>
      </c>
      <c r="C437" s="1" t="s">
        <v>1796</v>
      </c>
      <c r="D437" s="595"/>
      <c r="E437" s="595">
        <f>G447</f>
        <v>1110</v>
      </c>
      <c r="F437" s="7" t="s">
        <v>2199</v>
      </c>
      <c r="G437" s="8">
        <f t="shared" si="15"/>
        <v>1354.2</v>
      </c>
      <c r="H437" s="627"/>
    </row>
    <row r="438" spans="1:8">
      <c r="A438" s="595"/>
      <c r="B438" s="659"/>
      <c r="C438" s="1" t="s">
        <v>2187</v>
      </c>
      <c r="D438" s="595"/>
      <c r="E438" s="596"/>
      <c r="F438" s="8" t="s">
        <v>625</v>
      </c>
      <c r="G438" s="627">
        <v>4.7</v>
      </c>
      <c r="H438" s="627"/>
    </row>
    <row r="439" spans="1:8">
      <c r="A439" s="595"/>
      <c r="B439" s="595"/>
      <c r="C439" s="6" t="s">
        <v>4365</v>
      </c>
      <c r="D439" s="595"/>
      <c r="E439" s="595"/>
      <c r="F439" s="443"/>
      <c r="G439" s="595">
        <f>SUM(G432:G438)</f>
        <v>4585.8900000000003</v>
      </c>
      <c r="H439" s="627"/>
    </row>
    <row r="440" spans="1:8">
      <c r="A440" s="595"/>
      <c r="B440" s="595"/>
      <c r="C440" s="801" t="s">
        <v>4343</v>
      </c>
      <c r="D440" s="657" t="s">
        <v>1980</v>
      </c>
      <c r="E440" s="657"/>
      <c r="F440" s="662"/>
      <c r="G440" s="639">
        <f>G439/A437</f>
        <v>3758.93</v>
      </c>
      <c r="H440" s="627"/>
    </row>
    <row r="441" spans="1:8">
      <c r="A441" s="627"/>
      <c r="B441" s="627"/>
      <c r="C441" s="627"/>
      <c r="D441" s="627"/>
      <c r="E441" s="627"/>
      <c r="F441" s="627"/>
      <c r="G441" s="627"/>
      <c r="H441" s="627"/>
    </row>
    <row r="442" spans="1:8">
      <c r="A442" s="627"/>
      <c r="B442" s="627"/>
      <c r="C442" s="635" t="s">
        <v>4344</v>
      </c>
      <c r="D442" s="627"/>
      <c r="E442" s="627"/>
      <c r="F442" s="627"/>
      <c r="G442" s="627"/>
      <c r="H442" s="627"/>
    </row>
    <row r="443" spans="1:8">
      <c r="A443" s="8">
        <v>1</v>
      </c>
      <c r="B443" s="7" t="s">
        <v>835</v>
      </c>
      <c r="C443" s="1" t="s">
        <v>4345</v>
      </c>
      <c r="D443" s="8"/>
      <c r="E443" s="8">
        <v>501</v>
      </c>
      <c r="F443" s="1" t="s">
        <v>835</v>
      </c>
      <c r="G443" s="627">
        <f>E443*A443</f>
        <v>501</v>
      </c>
      <c r="H443" s="627"/>
    </row>
    <row r="444" spans="1:8">
      <c r="A444" s="8">
        <v>1</v>
      </c>
      <c r="B444" s="7" t="s">
        <v>835</v>
      </c>
      <c r="C444" s="1" t="s">
        <v>4346</v>
      </c>
      <c r="D444" s="8"/>
      <c r="E444" s="8">
        <v>355</v>
      </c>
      <c r="F444" s="1" t="s">
        <v>835</v>
      </c>
      <c r="G444" s="627">
        <f>E444*A444</f>
        <v>355</v>
      </c>
      <c r="H444" s="627"/>
    </row>
    <row r="445" spans="1:8">
      <c r="A445" s="8">
        <v>0.5</v>
      </c>
      <c r="B445" s="7" t="s">
        <v>835</v>
      </c>
      <c r="C445" s="1" t="s">
        <v>4347</v>
      </c>
      <c r="D445" s="8"/>
      <c r="E445" s="8">
        <v>508</v>
      </c>
      <c r="F445" s="1" t="s">
        <v>835</v>
      </c>
      <c r="G445" s="627">
        <f>E445*A445</f>
        <v>254</v>
      </c>
      <c r="H445" s="627"/>
    </row>
    <row r="446" spans="1:8">
      <c r="A446" s="595"/>
      <c r="B446" s="659"/>
      <c r="C446" s="1"/>
      <c r="D446" s="595"/>
      <c r="E446" s="660"/>
      <c r="F446" s="5"/>
      <c r="G446" s="627"/>
      <c r="H446" s="627"/>
    </row>
    <row r="447" spans="1:8">
      <c r="A447" s="595"/>
      <c r="B447" s="659"/>
      <c r="C447" s="1" t="s">
        <v>3827</v>
      </c>
      <c r="D447" s="595"/>
      <c r="E447" s="660"/>
      <c r="F447" s="39"/>
      <c r="G447" s="657">
        <f>SUM(G443:G446)</f>
        <v>1110</v>
      </c>
      <c r="H447" s="627"/>
    </row>
    <row r="448" spans="1:8">
      <c r="A448" s="595"/>
      <c r="B448" s="659"/>
      <c r="C448" s="595"/>
      <c r="D448" s="595"/>
      <c r="E448" s="660"/>
      <c r="F448" s="5"/>
      <c r="G448" s="627"/>
      <c r="H448" s="627"/>
    </row>
    <row r="449" spans="1:8">
      <c r="A449" s="806"/>
      <c r="B449" s="806"/>
      <c r="C449" s="806"/>
      <c r="D449" s="806"/>
      <c r="E449" s="806"/>
      <c r="F449" s="806"/>
      <c r="G449" s="806"/>
      <c r="H449" s="806"/>
    </row>
    <row r="450" spans="1:8">
      <c r="A450" s="627"/>
      <c r="B450" s="627"/>
      <c r="C450" s="627"/>
      <c r="D450" s="627"/>
      <c r="E450" s="627"/>
      <c r="F450" s="627"/>
      <c r="G450" s="627"/>
      <c r="H450" s="627"/>
    </row>
    <row r="451" spans="1:8">
      <c r="A451" s="1498" t="s">
        <v>4366</v>
      </c>
      <c r="B451" s="1498"/>
      <c r="C451" s="1498"/>
      <c r="D451" s="1498"/>
      <c r="E451" s="1498"/>
      <c r="F451" s="1498"/>
      <c r="G451" s="1498"/>
      <c r="H451" s="1498"/>
    </row>
    <row r="452" spans="1:8">
      <c r="A452" s="627"/>
      <c r="B452" s="627" t="s">
        <v>4304</v>
      </c>
      <c r="C452" s="627" t="s">
        <v>4305</v>
      </c>
      <c r="D452" s="627"/>
      <c r="E452" s="627"/>
      <c r="F452" s="627"/>
      <c r="G452" s="627"/>
      <c r="H452" s="627"/>
    </row>
    <row r="453" spans="1:8">
      <c r="A453" s="627"/>
      <c r="B453" s="627"/>
      <c r="C453" s="627" t="s">
        <v>4306</v>
      </c>
      <c r="D453" s="627" t="s">
        <v>1980</v>
      </c>
      <c r="E453" s="627" t="s">
        <v>4349</v>
      </c>
      <c r="F453" s="627" t="s">
        <v>1980</v>
      </c>
      <c r="G453" s="95">
        <f>1*2*2.4*1.558</f>
        <v>7.48</v>
      </c>
      <c r="H453" s="627" t="s">
        <v>1591</v>
      </c>
    </row>
    <row r="454" spans="1:8">
      <c r="A454" s="627"/>
      <c r="B454" s="627" t="s">
        <v>4308</v>
      </c>
      <c r="C454" s="627" t="s">
        <v>4309</v>
      </c>
      <c r="D454" s="627"/>
      <c r="E454" s="627"/>
      <c r="F454" s="627"/>
      <c r="G454" s="627"/>
      <c r="H454" s="627"/>
    </row>
    <row r="455" spans="1:8">
      <c r="A455" s="627"/>
      <c r="B455" s="627"/>
      <c r="C455" s="627" t="s">
        <v>4310</v>
      </c>
      <c r="D455" s="627" t="s">
        <v>1980</v>
      </c>
      <c r="E455" s="627" t="s">
        <v>4367</v>
      </c>
      <c r="F455" s="627" t="s">
        <v>1980</v>
      </c>
      <c r="G455" s="95">
        <f>1*2*1.8*0.695</f>
        <v>2.5</v>
      </c>
      <c r="H455" s="627" t="s">
        <v>1591</v>
      </c>
    </row>
    <row r="456" spans="1:8">
      <c r="A456" s="627"/>
      <c r="B456" s="627" t="s">
        <v>4312</v>
      </c>
      <c r="C456" s="627" t="s">
        <v>4313</v>
      </c>
      <c r="D456" s="627"/>
      <c r="E456" s="627"/>
      <c r="F456" s="627"/>
      <c r="G456" s="95"/>
      <c r="H456" s="627"/>
    </row>
    <row r="457" spans="1:8">
      <c r="A457" s="627"/>
      <c r="B457" s="627"/>
      <c r="C457" s="627" t="s">
        <v>4314</v>
      </c>
      <c r="D457" s="627" t="s">
        <v>1980</v>
      </c>
      <c r="E457" s="627" t="s">
        <v>4351</v>
      </c>
      <c r="F457" s="627" t="s">
        <v>1980</v>
      </c>
      <c r="G457" s="95">
        <f>1*1*2.4*1.088</f>
        <v>2.61</v>
      </c>
      <c r="H457" s="627" t="s">
        <v>1591</v>
      </c>
    </row>
    <row r="458" spans="1:8">
      <c r="A458" s="627"/>
      <c r="B458" s="627" t="s">
        <v>4308</v>
      </c>
      <c r="C458" s="627" t="s">
        <v>4309</v>
      </c>
      <c r="D458" s="627"/>
      <c r="E458" s="627"/>
      <c r="F458" s="627"/>
      <c r="G458" s="627"/>
      <c r="H458" s="627"/>
    </row>
    <row r="459" spans="1:8">
      <c r="A459" s="627"/>
      <c r="B459" s="627"/>
      <c r="C459" s="627" t="s">
        <v>4368</v>
      </c>
      <c r="D459" s="627" t="s">
        <v>1980</v>
      </c>
      <c r="E459" s="627" t="s">
        <v>4369</v>
      </c>
      <c r="F459" s="627" t="s">
        <v>1980</v>
      </c>
      <c r="G459" s="95">
        <f>1*2*1.2*0.695</f>
        <v>1.67</v>
      </c>
      <c r="H459" s="627" t="s">
        <v>1591</v>
      </c>
    </row>
    <row r="460" spans="1:8">
      <c r="A460" s="627"/>
      <c r="B460" s="627" t="s">
        <v>4316</v>
      </c>
      <c r="C460" s="627" t="s">
        <v>4317</v>
      </c>
      <c r="D460" s="627"/>
      <c r="E460" s="627"/>
      <c r="F460" s="627"/>
      <c r="G460" s="95"/>
      <c r="H460" s="627"/>
    </row>
    <row r="461" spans="1:8">
      <c r="A461" s="627"/>
      <c r="B461" s="627"/>
      <c r="C461" s="627" t="s">
        <v>4318</v>
      </c>
      <c r="D461" s="627" t="s">
        <v>1980</v>
      </c>
      <c r="E461" s="627" t="s">
        <v>4370</v>
      </c>
      <c r="F461" s="627" t="s">
        <v>1980</v>
      </c>
      <c r="G461" s="95">
        <f>1*4*1.1*0.605</f>
        <v>2.66</v>
      </c>
      <c r="H461" s="627" t="s">
        <v>1591</v>
      </c>
    </row>
    <row r="462" spans="1:8">
      <c r="A462" s="627"/>
      <c r="B462" s="627" t="s">
        <v>4320</v>
      </c>
      <c r="C462" s="627" t="s">
        <v>4321</v>
      </c>
      <c r="D462" s="627"/>
      <c r="E462" s="627"/>
      <c r="F462" s="627"/>
      <c r="G462" s="95"/>
      <c r="H462" s="627"/>
    </row>
    <row r="463" spans="1:8">
      <c r="A463" s="627"/>
      <c r="B463" s="627"/>
      <c r="C463" s="627" t="s">
        <v>4322</v>
      </c>
      <c r="D463" s="627" t="s">
        <v>1980</v>
      </c>
      <c r="E463" s="627" t="s">
        <v>4371</v>
      </c>
      <c r="F463" s="627" t="s">
        <v>1980</v>
      </c>
      <c r="G463" s="95">
        <f>1*4*1.1*0.488</f>
        <v>2.15</v>
      </c>
      <c r="H463" s="627" t="s">
        <v>1591</v>
      </c>
    </row>
    <row r="464" spans="1:8">
      <c r="A464" s="627"/>
      <c r="B464" s="627" t="s">
        <v>4372</v>
      </c>
      <c r="C464" s="627" t="s">
        <v>4324</v>
      </c>
      <c r="D464" s="627"/>
      <c r="E464" s="627"/>
      <c r="F464" s="627"/>
      <c r="G464" s="95"/>
      <c r="H464" s="627"/>
    </row>
    <row r="465" spans="1:8">
      <c r="A465" s="627"/>
      <c r="B465" s="627"/>
      <c r="C465" s="627" t="s">
        <v>4325</v>
      </c>
      <c r="D465" s="627" t="s">
        <v>1980</v>
      </c>
      <c r="E465" s="627" t="s">
        <v>4354</v>
      </c>
      <c r="F465" s="627" t="s">
        <v>1980</v>
      </c>
      <c r="G465" s="95">
        <f>2*4*0.55*0.355</f>
        <v>1.56</v>
      </c>
      <c r="H465" s="627" t="s">
        <v>1591</v>
      </c>
    </row>
    <row r="466" spans="1:8">
      <c r="A466" s="627"/>
      <c r="B466" s="627"/>
      <c r="C466" s="627"/>
      <c r="D466" s="627"/>
      <c r="E466" s="627"/>
      <c r="F466" s="627"/>
      <c r="G466" s="95">
        <f>SUM(G453:G465)</f>
        <v>20.63</v>
      </c>
      <c r="H466" s="627" t="s">
        <v>1591</v>
      </c>
    </row>
    <row r="467" spans="1:8">
      <c r="A467" s="627"/>
      <c r="B467" s="627"/>
      <c r="C467" s="627"/>
      <c r="D467" s="627"/>
      <c r="E467" s="627" t="s">
        <v>4327</v>
      </c>
      <c r="F467" s="627" t="s">
        <v>1980</v>
      </c>
      <c r="G467" s="95">
        <f>G466*10%</f>
        <v>2.06</v>
      </c>
      <c r="H467" s="627" t="s">
        <v>1591</v>
      </c>
    </row>
    <row r="468" spans="1:8">
      <c r="A468" s="627"/>
      <c r="B468" s="627"/>
      <c r="C468" s="627"/>
      <c r="D468" s="627"/>
      <c r="E468" s="627"/>
      <c r="F468" s="627"/>
      <c r="G468" s="639">
        <f>SUM(G466:G467)</f>
        <v>22.69</v>
      </c>
      <c r="H468" s="627" t="s">
        <v>1591</v>
      </c>
    </row>
    <row r="469" spans="1:8">
      <c r="A469" s="627"/>
      <c r="B469" s="627"/>
      <c r="C469" s="627"/>
      <c r="D469" s="627"/>
      <c r="E469" s="627"/>
      <c r="F469" s="627"/>
      <c r="G469" s="627"/>
      <c r="H469" s="627"/>
    </row>
    <row r="470" spans="1:8">
      <c r="A470" s="627"/>
      <c r="B470" s="800" t="s">
        <v>4328</v>
      </c>
      <c r="C470" s="627" t="s">
        <v>4329</v>
      </c>
      <c r="D470" s="627"/>
      <c r="E470" s="627"/>
      <c r="F470" s="627"/>
      <c r="G470" s="627"/>
      <c r="H470" s="627"/>
    </row>
    <row r="471" spans="1:8" ht="17.25">
      <c r="A471" s="627"/>
      <c r="B471" s="627"/>
      <c r="C471" s="627" t="s">
        <v>4330</v>
      </c>
      <c r="D471" s="627" t="s">
        <v>1980</v>
      </c>
      <c r="E471" s="627" t="s">
        <v>4373</v>
      </c>
      <c r="F471" s="627" t="s">
        <v>1980</v>
      </c>
      <c r="G471" s="95">
        <f>1*4*0.55*1.1</f>
        <v>2.42</v>
      </c>
      <c r="H471" s="627" t="s">
        <v>4332</v>
      </c>
    </row>
    <row r="472" spans="1:8" ht="17.25">
      <c r="A472" s="627"/>
      <c r="B472" s="627"/>
      <c r="C472" s="627" t="s">
        <v>4374</v>
      </c>
      <c r="D472" s="627" t="s">
        <v>1980</v>
      </c>
      <c r="E472" s="627" t="s">
        <v>4375</v>
      </c>
      <c r="F472" s="627" t="s">
        <v>1980</v>
      </c>
      <c r="G472" s="95">
        <f>1*1*2.3*0.6</f>
        <v>1.38</v>
      </c>
      <c r="H472" s="627" t="s">
        <v>4332</v>
      </c>
    </row>
    <row r="473" spans="1:8" ht="17.25">
      <c r="A473" s="627"/>
      <c r="B473" s="627"/>
      <c r="C473" s="627"/>
      <c r="D473" s="627"/>
      <c r="E473" s="627"/>
      <c r="F473" s="627"/>
      <c r="G473" s="639">
        <f>SUM(G471:G472)</f>
        <v>3.8</v>
      </c>
      <c r="H473" s="635" t="s">
        <v>4376</v>
      </c>
    </row>
    <row r="474" spans="1:8">
      <c r="A474" s="627"/>
      <c r="B474" s="627"/>
      <c r="C474" s="627"/>
      <c r="D474" s="627"/>
      <c r="E474" s="627"/>
      <c r="F474" s="627"/>
      <c r="G474" s="639"/>
      <c r="H474" s="635"/>
    </row>
    <row r="475" spans="1:8">
      <c r="A475" s="627"/>
      <c r="B475" s="800" t="s">
        <v>4333</v>
      </c>
      <c r="C475" s="627" t="s">
        <v>3813</v>
      </c>
      <c r="D475" s="627" t="s">
        <v>1980</v>
      </c>
      <c r="E475" s="627" t="s">
        <v>4377</v>
      </c>
      <c r="F475" s="627" t="s">
        <v>1980</v>
      </c>
      <c r="G475" s="95">
        <f>1*2*4*3.3</f>
        <v>26.4</v>
      </c>
      <c r="H475" s="627" t="s">
        <v>794</v>
      </c>
    </row>
    <row r="476" spans="1:8">
      <c r="A476" s="627"/>
      <c r="B476" s="800"/>
      <c r="C476" s="627"/>
      <c r="D476" s="627" t="s">
        <v>1980</v>
      </c>
      <c r="E476" s="627" t="s">
        <v>4378</v>
      </c>
      <c r="F476" s="627" t="s">
        <v>1980</v>
      </c>
      <c r="G476" s="95">
        <f>1*2*1*5.8</f>
        <v>11.6</v>
      </c>
      <c r="H476" s="627" t="s">
        <v>794</v>
      </c>
    </row>
    <row r="477" spans="1:8">
      <c r="A477" s="627"/>
      <c r="B477" s="800"/>
      <c r="C477" s="627"/>
      <c r="D477" s="627"/>
      <c r="E477" s="627"/>
      <c r="F477" s="627"/>
      <c r="G477" s="639">
        <f>SUM(G475:G476)</f>
        <v>38</v>
      </c>
      <c r="H477" s="635" t="s">
        <v>794</v>
      </c>
    </row>
    <row r="478" spans="1:8">
      <c r="A478" s="627"/>
      <c r="B478" s="627"/>
      <c r="C478" s="627"/>
      <c r="D478" s="627"/>
      <c r="E478" s="627"/>
      <c r="F478" s="627"/>
      <c r="G478" s="95"/>
      <c r="H478" s="627"/>
    </row>
    <row r="479" spans="1:8" ht="17.25">
      <c r="A479" s="627"/>
      <c r="B479" s="800" t="s">
        <v>4335</v>
      </c>
      <c r="C479" s="627" t="s">
        <v>4336</v>
      </c>
      <c r="D479" s="627" t="s">
        <v>1980</v>
      </c>
      <c r="E479" s="627" t="s">
        <v>4379</v>
      </c>
      <c r="F479" s="627" t="s">
        <v>1980</v>
      </c>
      <c r="G479" s="95">
        <f>2.4*1.8</f>
        <v>4.32</v>
      </c>
      <c r="H479" s="627" t="s">
        <v>4332</v>
      </c>
    </row>
    <row r="480" spans="1:8">
      <c r="A480" s="627"/>
      <c r="B480" s="627"/>
      <c r="C480" s="627"/>
      <c r="D480" s="627"/>
      <c r="E480" s="627"/>
      <c r="F480" s="627"/>
      <c r="G480" s="627"/>
      <c r="H480" s="627"/>
    </row>
    <row r="481" spans="1:8">
      <c r="A481" s="627"/>
      <c r="B481" s="627"/>
      <c r="C481" s="627"/>
      <c r="D481" s="627"/>
      <c r="E481" s="627"/>
      <c r="F481" s="627"/>
      <c r="G481" s="627"/>
      <c r="H481" s="627"/>
    </row>
    <row r="482" spans="1:8">
      <c r="A482" s="627"/>
      <c r="B482" s="627"/>
      <c r="C482" s="627"/>
      <c r="D482" s="627"/>
      <c r="E482" s="627"/>
      <c r="F482" s="627"/>
      <c r="G482" s="627"/>
      <c r="H482" s="627"/>
    </row>
    <row r="483" spans="1:8">
      <c r="A483" s="16">
        <f>G468</f>
        <v>22.69</v>
      </c>
      <c r="B483" s="7" t="s">
        <v>876</v>
      </c>
      <c r="C483" s="1" t="s">
        <v>4338</v>
      </c>
      <c r="D483" s="8"/>
      <c r="E483" s="8">
        <v>287</v>
      </c>
      <c r="F483" s="7" t="s">
        <v>876</v>
      </c>
      <c r="G483" s="8">
        <f t="shared" ref="G483:G488" si="16">E483*A483</f>
        <v>6512.03</v>
      </c>
      <c r="H483" s="627"/>
    </row>
    <row r="484" spans="1:8">
      <c r="A484" s="16">
        <f>G473</f>
        <v>3.8</v>
      </c>
      <c r="B484" s="7" t="s">
        <v>222</v>
      </c>
      <c r="C484" s="1" t="s">
        <v>4339</v>
      </c>
      <c r="D484" s="8"/>
      <c r="E484" s="8">
        <v>336</v>
      </c>
      <c r="F484" s="7" t="s">
        <v>222</v>
      </c>
      <c r="G484" s="8">
        <f t="shared" si="16"/>
        <v>1276.8</v>
      </c>
      <c r="H484" s="627"/>
    </row>
    <row r="485" spans="1:8">
      <c r="A485" s="16">
        <v>38</v>
      </c>
      <c r="B485" s="7" t="s">
        <v>794</v>
      </c>
      <c r="C485" s="1" t="s">
        <v>1790</v>
      </c>
      <c r="D485" s="8"/>
      <c r="E485" s="8">
        <v>27.1</v>
      </c>
      <c r="F485" s="7" t="s">
        <v>794</v>
      </c>
      <c r="G485" s="8">
        <f t="shared" si="16"/>
        <v>1029.8</v>
      </c>
      <c r="H485" s="627"/>
    </row>
    <row r="486" spans="1:8">
      <c r="A486" s="16">
        <v>1</v>
      </c>
      <c r="B486" s="7" t="s">
        <v>739</v>
      </c>
      <c r="C486" s="1" t="s">
        <v>4340</v>
      </c>
      <c r="D486" s="8"/>
      <c r="E486" s="8">
        <v>59.4</v>
      </c>
      <c r="F486" s="7" t="s">
        <v>739</v>
      </c>
      <c r="G486" s="8">
        <f t="shared" si="16"/>
        <v>59.4</v>
      </c>
      <c r="H486" s="627"/>
    </row>
    <row r="487" spans="1:8">
      <c r="A487" s="16">
        <v>1</v>
      </c>
      <c r="B487" s="7" t="s">
        <v>739</v>
      </c>
      <c r="C487" s="1" t="s">
        <v>4341</v>
      </c>
      <c r="D487" s="8"/>
      <c r="E487" s="8">
        <v>13.1</v>
      </c>
      <c r="F487" s="7" t="s">
        <v>739</v>
      </c>
      <c r="G487" s="8">
        <f t="shared" si="16"/>
        <v>13.1</v>
      </c>
      <c r="H487" s="627"/>
    </row>
    <row r="488" spans="1:8">
      <c r="A488" s="16">
        <v>4.32</v>
      </c>
      <c r="B488" s="7" t="s">
        <v>2199</v>
      </c>
      <c r="C488" s="1" t="s">
        <v>1796</v>
      </c>
      <c r="D488" s="595"/>
      <c r="E488" s="595">
        <f>G498</f>
        <v>1110</v>
      </c>
      <c r="F488" s="7" t="s">
        <v>2199</v>
      </c>
      <c r="G488" s="8">
        <f t="shared" si="16"/>
        <v>4795.2</v>
      </c>
      <c r="H488" s="627"/>
    </row>
    <row r="489" spans="1:8">
      <c r="A489" s="595"/>
      <c r="B489" s="659"/>
      <c r="C489" s="1" t="s">
        <v>2187</v>
      </c>
      <c r="D489" s="595"/>
      <c r="E489" s="596"/>
      <c r="F489" s="8" t="s">
        <v>625</v>
      </c>
      <c r="G489" s="627">
        <v>4.7</v>
      </c>
      <c r="H489" s="627"/>
    </row>
    <row r="490" spans="1:8">
      <c r="A490" s="595"/>
      <c r="B490" s="595"/>
      <c r="C490" s="6" t="s">
        <v>4380</v>
      </c>
      <c r="D490" s="595"/>
      <c r="E490" s="595"/>
      <c r="F490" s="443"/>
      <c r="G490" s="595">
        <f>SUM(G483:G489)</f>
        <v>13691.03</v>
      </c>
      <c r="H490" s="627"/>
    </row>
    <row r="491" spans="1:8">
      <c r="A491" s="595"/>
      <c r="B491" s="595"/>
      <c r="C491" s="801" t="s">
        <v>4343</v>
      </c>
      <c r="D491" s="657" t="s">
        <v>1980</v>
      </c>
      <c r="E491" s="657"/>
      <c r="F491" s="662"/>
      <c r="G491" s="639">
        <f>G490/A488</f>
        <v>3169.22</v>
      </c>
      <c r="H491" s="627"/>
    </row>
    <row r="492" spans="1:8">
      <c r="A492" s="627"/>
      <c r="B492" s="627"/>
      <c r="C492" s="627"/>
      <c r="D492" s="627"/>
      <c r="E492" s="627"/>
      <c r="F492" s="627"/>
      <c r="G492" s="627"/>
      <c r="H492" s="627"/>
    </row>
    <row r="493" spans="1:8">
      <c r="A493" s="627"/>
      <c r="B493" s="627"/>
      <c r="C493" s="635" t="s">
        <v>4344</v>
      </c>
      <c r="D493" s="627"/>
      <c r="E493" s="627"/>
      <c r="F493" s="627"/>
      <c r="G493" s="627"/>
      <c r="H493" s="627"/>
    </row>
    <row r="494" spans="1:8">
      <c r="A494" s="8">
        <v>1</v>
      </c>
      <c r="B494" s="7" t="s">
        <v>835</v>
      </c>
      <c r="C494" s="1" t="s">
        <v>4345</v>
      </c>
      <c r="D494" s="8"/>
      <c r="E494" s="8">
        <v>501</v>
      </c>
      <c r="F494" s="1" t="s">
        <v>835</v>
      </c>
      <c r="G494" s="627">
        <f>E494*A494</f>
        <v>501</v>
      </c>
      <c r="H494" s="627"/>
    </row>
    <row r="495" spans="1:8">
      <c r="A495" s="8">
        <v>1</v>
      </c>
      <c r="B495" s="7" t="s">
        <v>835</v>
      </c>
      <c r="C495" s="1" t="s">
        <v>4346</v>
      </c>
      <c r="D495" s="8"/>
      <c r="E495" s="8">
        <v>355</v>
      </c>
      <c r="F495" s="1" t="s">
        <v>835</v>
      </c>
      <c r="G495" s="627">
        <f>E495*A495</f>
        <v>355</v>
      </c>
      <c r="H495" s="627"/>
    </row>
    <row r="496" spans="1:8">
      <c r="A496" s="8">
        <v>0.5</v>
      </c>
      <c r="B496" s="7" t="s">
        <v>835</v>
      </c>
      <c r="C496" s="1" t="s">
        <v>4347</v>
      </c>
      <c r="D496" s="8"/>
      <c r="E496" s="8">
        <v>508</v>
      </c>
      <c r="F496" s="1" t="s">
        <v>835</v>
      </c>
      <c r="G496" s="627">
        <f>E496*A496</f>
        <v>254</v>
      </c>
      <c r="H496" s="627"/>
    </row>
    <row r="497" spans="1:8">
      <c r="A497" s="595"/>
      <c r="B497" s="659"/>
      <c r="C497" s="1"/>
      <c r="D497" s="595"/>
      <c r="E497" s="660"/>
      <c r="F497" s="5"/>
      <c r="G497" s="627"/>
      <c r="H497" s="627"/>
    </row>
    <row r="498" spans="1:8">
      <c r="A498" s="595"/>
      <c r="B498" s="659"/>
      <c r="C498" s="1" t="s">
        <v>3827</v>
      </c>
      <c r="D498" s="595"/>
      <c r="E498" s="660"/>
      <c r="F498" s="39"/>
      <c r="G498" s="657">
        <f>SUM(G494:G497)</f>
        <v>1110</v>
      </c>
      <c r="H498" s="627"/>
    </row>
    <row r="499" spans="1:8">
      <c r="A499" s="595"/>
      <c r="B499" s="659"/>
      <c r="C499" s="595"/>
      <c r="D499" s="595"/>
      <c r="E499" s="660"/>
      <c r="F499" s="5"/>
      <c r="G499" s="627"/>
      <c r="H499" s="627"/>
    </row>
    <row r="500" spans="1:8">
      <c r="A500" s="806"/>
      <c r="B500" s="806"/>
      <c r="C500" s="806"/>
      <c r="D500" s="806"/>
      <c r="E500" s="806"/>
      <c r="F500" s="806"/>
      <c r="G500" s="806"/>
      <c r="H500" s="806"/>
    </row>
    <row r="501" spans="1:8" ht="30" customHeight="1">
      <c r="A501" s="627"/>
      <c r="B501" s="627"/>
      <c r="C501" s="594" t="s">
        <v>4390</v>
      </c>
      <c r="D501" s="627"/>
      <c r="E501" s="627"/>
      <c r="F501" s="627"/>
      <c r="G501" s="627"/>
      <c r="H501" s="627"/>
    </row>
    <row r="502" spans="1:8">
      <c r="A502" s="627"/>
      <c r="B502" s="627" t="s">
        <v>4304</v>
      </c>
      <c r="C502" s="627" t="s">
        <v>4305</v>
      </c>
      <c r="D502" s="627"/>
      <c r="E502" s="627"/>
      <c r="F502" s="627"/>
      <c r="G502" s="627"/>
      <c r="H502" s="627"/>
    </row>
    <row r="503" spans="1:8">
      <c r="A503" s="627"/>
      <c r="B503" s="627"/>
      <c r="C503" s="627" t="s">
        <v>4381</v>
      </c>
      <c r="D503" s="627" t="s">
        <v>1980</v>
      </c>
      <c r="E503" s="627" t="s">
        <v>4382</v>
      </c>
      <c r="F503" s="627" t="s">
        <v>1980</v>
      </c>
      <c r="G503" s="95">
        <f>1*2*0.6</f>
        <v>1.2</v>
      </c>
      <c r="H503" s="627" t="s">
        <v>1591</v>
      </c>
    </row>
    <row r="504" spans="1:8">
      <c r="A504" s="627"/>
      <c r="B504" s="627"/>
      <c r="C504" s="627" t="s">
        <v>4383</v>
      </c>
      <c r="D504" s="627" t="s">
        <v>1980</v>
      </c>
      <c r="E504" s="627" t="s">
        <v>4384</v>
      </c>
      <c r="F504" s="627" t="s">
        <v>1980</v>
      </c>
      <c r="G504" s="95">
        <f>1*2*0.9</f>
        <v>1.8</v>
      </c>
      <c r="H504" s="627" t="s">
        <v>1591</v>
      </c>
    </row>
    <row r="505" spans="1:8">
      <c r="A505" s="627"/>
      <c r="B505" s="627"/>
      <c r="C505" s="627"/>
      <c r="D505" s="627"/>
      <c r="E505" s="627"/>
      <c r="F505" s="627"/>
      <c r="G505" s="95">
        <f>SUM(G503:G504)</f>
        <v>3</v>
      </c>
      <c r="H505" s="627" t="s">
        <v>1591</v>
      </c>
    </row>
    <row r="506" spans="1:8">
      <c r="A506" s="627"/>
      <c r="B506" s="627"/>
      <c r="C506" s="627"/>
      <c r="D506" s="627" t="s">
        <v>1980</v>
      </c>
      <c r="E506" s="627" t="s">
        <v>4385</v>
      </c>
      <c r="F506" s="627" t="s">
        <v>1980</v>
      </c>
      <c r="G506" s="97">
        <f>3*1.558</f>
        <v>4.67</v>
      </c>
      <c r="H506" s="627" t="s">
        <v>1591</v>
      </c>
    </row>
    <row r="507" spans="1:8">
      <c r="A507" s="627"/>
      <c r="B507" s="627"/>
      <c r="C507" s="627"/>
      <c r="D507" s="627"/>
      <c r="E507" s="627"/>
      <c r="F507" s="627"/>
      <c r="G507" s="95"/>
      <c r="H507" s="627"/>
    </row>
    <row r="508" spans="1:8">
      <c r="A508" s="627"/>
      <c r="B508" s="627"/>
      <c r="C508" s="627" t="s">
        <v>4386</v>
      </c>
      <c r="D508" s="627" t="s">
        <v>1980</v>
      </c>
      <c r="E508" s="627" t="s">
        <v>4387</v>
      </c>
      <c r="F508" s="627" t="s">
        <v>1980</v>
      </c>
      <c r="G508" s="97">
        <f>0.9*0.6</f>
        <v>0.54</v>
      </c>
      <c r="H508" s="627" t="s">
        <v>4388</v>
      </c>
    </row>
    <row r="509" spans="1:8">
      <c r="A509" s="627"/>
      <c r="B509" s="627"/>
      <c r="C509" s="627"/>
      <c r="D509" s="627"/>
      <c r="E509" s="627"/>
      <c r="F509" s="627"/>
      <c r="G509" s="97"/>
      <c r="H509" s="627"/>
    </row>
    <row r="510" spans="1:8">
      <c r="A510" s="627"/>
      <c r="B510" s="627"/>
      <c r="C510" s="627" t="s">
        <v>878</v>
      </c>
      <c r="D510" s="627" t="s">
        <v>1980</v>
      </c>
      <c r="E510" s="627" t="s">
        <v>4389</v>
      </c>
      <c r="F510" s="627" t="s">
        <v>1980</v>
      </c>
      <c r="G510" s="97">
        <f>0.9*0.6</f>
        <v>0.54</v>
      </c>
      <c r="H510" s="627" t="s">
        <v>4388</v>
      </c>
    </row>
    <row r="511" spans="1:8">
      <c r="A511" s="627"/>
      <c r="B511" s="627"/>
      <c r="C511" s="627"/>
      <c r="D511" s="627"/>
      <c r="E511" s="627"/>
      <c r="F511" s="627"/>
      <c r="G511" s="627"/>
      <c r="H511" s="627"/>
    </row>
    <row r="512" spans="1:8">
      <c r="A512" s="627"/>
      <c r="B512" s="627"/>
      <c r="C512" s="627"/>
      <c r="D512" s="627"/>
      <c r="E512" s="627"/>
      <c r="F512" s="627"/>
      <c r="G512" s="627"/>
      <c r="H512" s="627"/>
    </row>
    <row r="513" spans="1:8">
      <c r="A513" s="627"/>
      <c r="B513" s="627"/>
      <c r="C513" s="627"/>
      <c r="D513" s="627"/>
      <c r="E513" s="627"/>
      <c r="F513" s="627"/>
      <c r="G513" s="627"/>
      <c r="H513" s="627"/>
    </row>
    <row r="514" spans="1:8" ht="19.5">
      <c r="A514" s="595"/>
      <c r="B514" s="659"/>
      <c r="D514" s="594"/>
      <c r="E514" s="594"/>
      <c r="F514" s="594"/>
      <c r="G514" s="627"/>
      <c r="H514" s="627"/>
    </row>
    <row r="515" spans="1:8">
      <c r="A515" s="16">
        <f>G506</f>
        <v>4.67</v>
      </c>
      <c r="B515" s="7" t="s">
        <v>876</v>
      </c>
      <c r="C515" s="1" t="s">
        <v>1788</v>
      </c>
      <c r="D515" s="8"/>
      <c r="E515" s="8">
        <v>287</v>
      </c>
      <c r="F515" s="7" t="s">
        <v>876</v>
      </c>
      <c r="G515" s="8">
        <f>E515*A515</f>
        <v>1340.29</v>
      </c>
      <c r="H515" s="627"/>
    </row>
    <row r="516" spans="1:8">
      <c r="A516" s="16">
        <f>G508</f>
        <v>0.54</v>
      </c>
      <c r="B516" s="7" t="s">
        <v>222</v>
      </c>
      <c r="C516" s="1" t="s">
        <v>1789</v>
      </c>
      <c r="D516" s="8"/>
      <c r="E516" s="8">
        <v>208.8</v>
      </c>
      <c r="F516" s="7" t="s">
        <v>222</v>
      </c>
      <c r="G516" s="8">
        <f>E516*A516</f>
        <v>112.75</v>
      </c>
      <c r="H516" s="627"/>
    </row>
    <row r="517" spans="1:8">
      <c r="A517" s="16">
        <f>G510</f>
        <v>0.54</v>
      </c>
      <c r="B517" s="7" t="s">
        <v>222</v>
      </c>
      <c r="C517" s="1" t="s">
        <v>1796</v>
      </c>
      <c r="D517" s="8"/>
      <c r="E517" s="8">
        <f>E488</f>
        <v>1110</v>
      </c>
      <c r="F517" s="7" t="s">
        <v>876</v>
      </c>
      <c r="G517" s="8">
        <f>E517*A517</f>
        <v>599.4</v>
      </c>
      <c r="H517" s="627"/>
    </row>
    <row r="518" spans="1:8">
      <c r="A518" s="16"/>
      <c r="B518" s="7"/>
      <c r="C518" s="1" t="s">
        <v>1797</v>
      </c>
      <c r="D518" s="595"/>
      <c r="E518" s="596"/>
      <c r="F518" s="8"/>
      <c r="G518" s="627"/>
      <c r="H518" s="627"/>
    </row>
    <row r="519" spans="1:8">
      <c r="A519" s="16"/>
      <c r="B519" s="7"/>
      <c r="C519" s="6" t="s">
        <v>4391</v>
      </c>
      <c r="D519" s="8"/>
      <c r="E519" s="7"/>
      <c r="F519" s="8"/>
      <c r="G519" s="657">
        <f>SUM(G515:G518)</f>
        <v>2052.44</v>
      </c>
      <c r="H519" s="627"/>
    </row>
    <row r="520" spans="1:8">
      <c r="A520" s="16"/>
      <c r="B520" s="7"/>
      <c r="C520" s="801" t="s">
        <v>4343</v>
      </c>
      <c r="D520" s="8"/>
      <c r="E520" s="7"/>
      <c r="F520" s="39"/>
      <c r="G520" s="639">
        <f>G519/A517</f>
        <v>3800.81</v>
      </c>
      <c r="H520" s="627"/>
    </row>
    <row r="521" spans="1:8">
      <c r="A521" s="627"/>
      <c r="B521" s="627"/>
      <c r="C521" s="627"/>
      <c r="D521" s="627"/>
      <c r="E521" s="627"/>
      <c r="F521" s="627"/>
      <c r="G521" s="627"/>
      <c r="H521" s="627"/>
    </row>
    <row r="522" spans="1:8">
      <c r="A522" s="627"/>
      <c r="B522" s="627"/>
      <c r="C522" s="627"/>
      <c r="D522" s="627"/>
      <c r="E522" s="627"/>
      <c r="F522" s="627"/>
      <c r="G522" s="627"/>
      <c r="H522" s="627"/>
    </row>
    <row r="523" spans="1:8">
      <c r="A523" s="627"/>
      <c r="B523" s="627"/>
      <c r="C523" s="627"/>
      <c r="D523" s="627"/>
      <c r="E523" s="627"/>
      <c r="F523" s="627"/>
      <c r="G523" s="627"/>
      <c r="H523" s="627"/>
    </row>
    <row r="524" spans="1:8">
      <c r="A524" s="627"/>
      <c r="B524" s="627"/>
      <c r="C524" s="627"/>
      <c r="D524" s="627"/>
      <c r="E524" s="627"/>
      <c r="F524" s="627"/>
      <c r="G524" s="627"/>
      <c r="H524" s="627"/>
    </row>
    <row r="525" spans="1:8">
      <c r="A525" s="627"/>
      <c r="B525" s="627"/>
      <c r="C525" s="627"/>
      <c r="D525" s="627"/>
      <c r="E525" s="627"/>
      <c r="F525" s="627"/>
      <c r="G525" s="627"/>
      <c r="H525" s="627"/>
    </row>
    <row r="526" spans="1:8">
      <c r="A526" s="813">
        <v>2</v>
      </c>
      <c r="B526" s="119" t="s">
        <v>2167</v>
      </c>
      <c r="C526" s="109" t="s">
        <v>4393</v>
      </c>
      <c r="D526" s="792"/>
      <c r="E526" s="794"/>
      <c r="F526" s="792"/>
      <c r="G526" s="51"/>
      <c r="H526" s="51"/>
    </row>
    <row r="527" spans="1:8">
      <c r="A527" s="792"/>
      <c r="B527" s="793"/>
      <c r="C527" s="120" t="s">
        <v>4276</v>
      </c>
      <c r="D527" s="792"/>
      <c r="E527" s="794"/>
      <c r="F527" s="792"/>
      <c r="G527" s="51"/>
      <c r="H527" s="51"/>
    </row>
    <row r="528" spans="1:8" ht="18">
      <c r="A528" s="792"/>
      <c r="B528" s="793"/>
      <c r="C528" s="385" t="s">
        <v>4277</v>
      </c>
      <c r="D528" s="792"/>
      <c r="E528" s="794"/>
      <c r="F528" s="792"/>
      <c r="G528" s="51"/>
      <c r="H528" s="51"/>
    </row>
    <row r="529" spans="1:8">
      <c r="A529" s="792"/>
      <c r="B529" s="793"/>
      <c r="C529" s="121" t="s">
        <v>1530</v>
      </c>
      <c r="D529" s="792"/>
      <c r="E529" s="794"/>
      <c r="F529" s="792"/>
      <c r="G529" s="51"/>
      <c r="H529" s="51"/>
    </row>
    <row r="530" spans="1:8">
      <c r="A530" s="792"/>
      <c r="B530" s="793"/>
      <c r="C530" s="109" t="s">
        <v>4278</v>
      </c>
      <c r="D530" s="595"/>
      <c r="E530" s="595"/>
      <c r="F530" s="595"/>
      <c r="G530" s="51"/>
      <c r="H530" s="51"/>
    </row>
    <row r="531" spans="1:8">
      <c r="A531" s="792"/>
      <c r="B531" s="793"/>
      <c r="C531" s="136" t="s">
        <v>4279</v>
      </c>
      <c r="D531" s="627"/>
      <c r="E531" s="387">
        <f>3*2*1.9*0.075*0.0375</f>
        <v>3.2099999999999997E-2</v>
      </c>
      <c r="F531" s="792" t="s">
        <v>2070</v>
      </c>
      <c r="G531" s="51"/>
      <c r="H531" s="51"/>
    </row>
    <row r="532" spans="1:8">
      <c r="A532" s="792"/>
      <c r="B532" s="793"/>
      <c r="C532" s="120" t="s">
        <v>4280</v>
      </c>
      <c r="D532" s="627"/>
      <c r="E532" s="387">
        <f>3*2*0.5*0.075*0.0375</f>
        <v>8.3999999999999995E-3</v>
      </c>
      <c r="F532" s="792" t="s">
        <v>2070</v>
      </c>
      <c r="G532" s="51"/>
      <c r="H532" s="51"/>
    </row>
    <row r="533" spans="1:8">
      <c r="A533" s="792"/>
      <c r="B533" s="793"/>
      <c r="C533" s="120"/>
      <c r="D533" s="795"/>
      <c r="E533" s="121" t="s">
        <v>1530</v>
      </c>
      <c r="F533" s="131"/>
      <c r="G533" s="51"/>
      <c r="H533" s="51"/>
    </row>
    <row r="534" spans="1:8">
      <c r="A534" s="792"/>
      <c r="B534" s="793"/>
      <c r="C534" s="792"/>
      <c r="D534" s="792"/>
      <c r="E534" s="796">
        <f>SUM(E531:E533)</f>
        <v>4.0500000000000001E-2</v>
      </c>
      <c r="F534" s="595" t="s">
        <v>2070</v>
      </c>
      <c r="G534" s="51"/>
      <c r="H534" s="51"/>
    </row>
    <row r="535" spans="1:8">
      <c r="A535" s="792"/>
      <c r="B535" s="793"/>
      <c r="C535" s="792"/>
      <c r="D535" s="792"/>
      <c r="E535" s="121" t="s">
        <v>1530</v>
      </c>
      <c r="F535" s="595"/>
      <c r="G535" s="51"/>
      <c r="H535" s="51"/>
    </row>
    <row r="536" spans="1:8">
      <c r="A536" s="792"/>
      <c r="B536" s="793"/>
      <c r="C536" s="120" t="s">
        <v>417</v>
      </c>
      <c r="D536" s="627"/>
      <c r="E536" s="627"/>
      <c r="F536" s="627"/>
      <c r="G536" s="51"/>
      <c r="H536" s="51"/>
    </row>
    <row r="537" spans="1:8">
      <c r="A537" s="792"/>
      <c r="B537" s="793"/>
      <c r="C537" s="120" t="s">
        <v>4281</v>
      </c>
      <c r="D537" s="389"/>
      <c r="E537" s="386">
        <f>3*1.9*0.5</f>
        <v>2.85</v>
      </c>
      <c r="F537" s="7" t="s">
        <v>578</v>
      </c>
      <c r="G537" s="51"/>
      <c r="H537" s="51"/>
    </row>
    <row r="538" spans="1:8">
      <c r="A538" s="792"/>
      <c r="B538" s="793"/>
      <c r="C538" s="120"/>
      <c r="D538" s="389"/>
      <c r="E538" s="386"/>
      <c r="F538" s="131"/>
      <c r="G538" s="51"/>
      <c r="H538" s="51"/>
    </row>
    <row r="539" spans="1:8">
      <c r="A539" s="792"/>
      <c r="B539" s="793"/>
      <c r="C539" s="120" t="s">
        <v>4282</v>
      </c>
      <c r="D539" s="389"/>
      <c r="E539" s="386"/>
      <c r="F539" s="131"/>
      <c r="G539" s="51"/>
      <c r="H539" s="51"/>
    </row>
    <row r="540" spans="1:8">
      <c r="A540" s="792"/>
      <c r="B540" s="793"/>
      <c r="C540" s="120" t="s">
        <v>4283</v>
      </c>
      <c r="D540" s="389"/>
      <c r="E540" s="387">
        <f>3*1.775*0.375</f>
        <v>1.9968999999999999</v>
      </c>
      <c r="F540" s="131" t="str">
        <f>F537</f>
        <v>SQM</v>
      </c>
      <c r="G540" s="51"/>
      <c r="H540" s="51"/>
    </row>
    <row r="541" spans="1:8">
      <c r="A541" s="792"/>
      <c r="B541" s="793"/>
      <c r="C541" s="120" t="s">
        <v>4284</v>
      </c>
      <c r="D541" s="792"/>
      <c r="E541" s="394"/>
      <c r="F541" s="136"/>
      <c r="G541" s="51"/>
      <c r="H541" s="51"/>
    </row>
    <row r="542" spans="1:8">
      <c r="A542" s="137"/>
      <c r="B542" s="793"/>
      <c r="C542" s="120" t="s">
        <v>4285</v>
      </c>
      <c r="D542" s="389"/>
      <c r="E542" s="797">
        <f>1.775+0.375</f>
        <v>2.15</v>
      </c>
      <c r="F542" s="131"/>
      <c r="G542" s="122"/>
      <c r="H542" s="51"/>
    </row>
    <row r="543" spans="1:8">
      <c r="A543" s="137"/>
      <c r="B543" s="793"/>
      <c r="C543" s="792"/>
      <c r="D543" s="798"/>
      <c r="E543" s="141">
        <f>E542*6</f>
        <v>12.9</v>
      </c>
      <c r="F543" s="122" t="s">
        <v>794</v>
      </c>
      <c r="G543" s="122"/>
      <c r="H543" s="51"/>
    </row>
    <row r="544" spans="1:8">
      <c r="A544" s="137"/>
      <c r="B544" s="793"/>
      <c r="C544" s="799" t="s">
        <v>4286</v>
      </c>
      <c r="D544" s="798"/>
      <c r="E544" s="118"/>
      <c r="F544" s="122"/>
      <c r="G544" s="122"/>
      <c r="H544" s="51"/>
    </row>
    <row r="545" spans="1:8">
      <c r="A545" s="133"/>
      <c r="B545" s="793"/>
      <c r="C545" s="109" t="s">
        <v>4287</v>
      </c>
      <c r="D545" s="627"/>
      <c r="E545" s="122"/>
      <c r="F545" s="794"/>
      <c r="G545" s="122"/>
      <c r="H545" s="51"/>
    </row>
    <row r="546" spans="1:8">
      <c r="A546" s="131">
        <f>E534</f>
        <v>4.0500000000000001E-2</v>
      </c>
      <c r="B546" s="118" t="s">
        <v>836</v>
      </c>
      <c r="C546" s="120" t="s">
        <v>4422</v>
      </c>
      <c r="D546" s="122">
        <f>Data!I954</f>
        <v>99400</v>
      </c>
      <c r="E546" s="120" t="s">
        <v>836</v>
      </c>
      <c r="F546" s="122">
        <f>(A546*D546)</f>
        <v>4025.7</v>
      </c>
      <c r="G546" s="122"/>
      <c r="H546" s="51"/>
    </row>
    <row r="547" spans="1:8">
      <c r="A547" s="131">
        <f>E537</f>
        <v>2.85</v>
      </c>
      <c r="B547" s="7" t="s">
        <v>578</v>
      </c>
      <c r="C547" s="120" t="s">
        <v>4423</v>
      </c>
      <c r="D547" s="122">
        <f>Data!P3230</f>
        <v>1239</v>
      </c>
      <c r="E547" s="7" t="s">
        <v>578</v>
      </c>
      <c r="F547" s="122">
        <f>(A547*D547)</f>
        <v>3531.15</v>
      </c>
      <c r="G547" s="122"/>
      <c r="H547" s="51"/>
    </row>
    <row r="548" spans="1:8">
      <c r="A548" s="131">
        <f>E540</f>
        <v>1.9968999999999999</v>
      </c>
      <c r="B548" s="7" t="s">
        <v>578</v>
      </c>
      <c r="C548" s="120" t="s">
        <v>4282</v>
      </c>
      <c r="D548" s="122">
        <f>Data!I1075</f>
        <v>208.8</v>
      </c>
      <c r="E548" s="7" t="s">
        <v>578</v>
      </c>
      <c r="F548" s="122">
        <f t="shared" ref="F548:F554" si="17">(A548*D548)</f>
        <v>416.95</v>
      </c>
      <c r="G548" s="122"/>
      <c r="H548" s="51"/>
    </row>
    <row r="549" spans="1:8">
      <c r="A549" s="122">
        <f>E543</f>
        <v>12.9</v>
      </c>
      <c r="B549" s="122" t="s">
        <v>794</v>
      </c>
      <c r="C549" s="109" t="s">
        <v>4289</v>
      </c>
      <c r="D549" s="122">
        <f>Data!V3162</f>
        <v>48.7</v>
      </c>
      <c r="E549" s="122" t="s">
        <v>794</v>
      </c>
      <c r="F549" s="122">
        <f t="shared" si="17"/>
        <v>628.23</v>
      </c>
      <c r="G549" s="122"/>
      <c r="H549" s="51"/>
    </row>
    <row r="550" spans="1:8">
      <c r="A550" s="122">
        <v>9</v>
      </c>
      <c r="B550" s="7" t="s">
        <v>835</v>
      </c>
      <c r="C550" s="1" t="s">
        <v>1460</v>
      </c>
      <c r="D550" s="122">
        <f>Data!V3163</f>
        <v>83</v>
      </c>
      <c r="E550" s="1" t="s">
        <v>835</v>
      </c>
      <c r="F550" s="122">
        <f t="shared" si="17"/>
        <v>747</v>
      </c>
      <c r="G550" s="122"/>
      <c r="H550" s="51"/>
    </row>
    <row r="551" spans="1:8">
      <c r="A551" s="122">
        <v>6</v>
      </c>
      <c r="B551" s="7" t="s">
        <v>835</v>
      </c>
      <c r="C551" s="1" t="s">
        <v>3501</v>
      </c>
      <c r="D551" s="122">
        <f>Data!V3164</f>
        <v>68.5</v>
      </c>
      <c r="E551" s="1" t="s">
        <v>835</v>
      </c>
      <c r="F551" s="122">
        <f t="shared" si="17"/>
        <v>411</v>
      </c>
      <c r="G551" s="122"/>
      <c r="H551" s="51"/>
    </row>
    <row r="552" spans="1:8">
      <c r="A552" s="122">
        <v>3</v>
      </c>
      <c r="B552" s="7" t="s">
        <v>835</v>
      </c>
      <c r="C552" s="1" t="s">
        <v>3502</v>
      </c>
      <c r="D552" s="122">
        <f>Data!V3165</f>
        <v>53.4</v>
      </c>
      <c r="E552" s="1" t="s">
        <v>835</v>
      </c>
      <c r="F552" s="122">
        <f t="shared" si="17"/>
        <v>160.19999999999999</v>
      </c>
      <c r="G552" s="122"/>
      <c r="H552" s="51"/>
    </row>
    <row r="553" spans="1:8">
      <c r="A553" s="122">
        <v>3</v>
      </c>
      <c r="B553" s="7" t="s">
        <v>835</v>
      </c>
      <c r="C553" s="1" t="s">
        <v>1911</v>
      </c>
      <c r="D553" s="122">
        <f>Data!V3166</f>
        <v>7.3</v>
      </c>
      <c r="E553" s="1" t="s">
        <v>835</v>
      </c>
      <c r="F553" s="122">
        <f t="shared" si="17"/>
        <v>21.9</v>
      </c>
      <c r="G553" s="122"/>
      <c r="H553" s="51"/>
    </row>
    <row r="554" spans="1:8">
      <c r="A554" s="122">
        <v>120</v>
      </c>
      <c r="B554" s="7" t="s">
        <v>835</v>
      </c>
      <c r="C554" s="1" t="s">
        <v>4290</v>
      </c>
      <c r="D554" s="122">
        <f>Data!V3167</f>
        <v>2.39</v>
      </c>
      <c r="E554" s="1" t="s">
        <v>835</v>
      </c>
      <c r="F554" s="122">
        <f t="shared" si="17"/>
        <v>286.8</v>
      </c>
      <c r="G554" s="122"/>
      <c r="H554" s="51"/>
    </row>
    <row r="555" spans="1:8">
      <c r="A555" s="122"/>
      <c r="B555" s="119"/>
      <c r="C555" s="120"/>
      <c r="D555" s="627"/>
      <c r="E555" s="122"/>
      <c r="F555" s="121" t="s">
        <v>1530</v>
      </c>
      <c r="G555" s="122"/>
      <c r="H555" s="51"/>
    </row>
    <row r="556" spans="1:8">
      <c r="A556" s="792"/>
      <c r="B556" s="793"/>
      <c r="C556" s="120" t="s">
        <v>4291</v>
      </c>
      <c r="D556" s="627"/>
      <c r="E556" s="118"/>
      <c r="F556" s="795">
        <f>SUM(F546:F555)</f>
        <v>10228.93</v>
      </c>
      <c r="G556" s="395"/>
      <c r="H556" s="51"/>
    </row>
    <row r="557" spans="1:8">
      <c r="A557" s="792"/>
      <c r="B557" s="793"/>
      <c r="C557" s="627"/>
      <c r="D557" s="122"/>
      <c r="E557" s="794"/>
      <c r="F557" s="121" t="s">
        <v>1530</v>
      </c>
      <c r="G557" s="627"/>
      <c r="H557" s="51"/>
    </row>
    <row r="558" spans="1:8">
      <c r="A558" s="792"/>
      <c r="B558" s="793"/>
      <c r="C558" s="795" t="s">
        <v>3952</v>
      </c>
      <c r="D558" s="122"/>
      <c r="E558" s="794"/>
      <c r="F558" s="639">
        <f>F556/A547</f>
        <v>3589.1</v>
      </c>
      <c r="G558" s="122">
        <f>SUM(G542:G557)</f>
        <v>0</v>
      </c>
      <c r="H558" s="51"/>
    </row>
    <row r="559" spans="1:8">
      <c r="A559" s="792"/>
      <c r="B559" s="793"/>
      <c r="C559" s="792"/>
      <c r="D559" s="122"/>
      <c r="E559" s="794"/>
      <c r="F559" s="627"/>
      <c r="G559" s="627"/>
      <c r="H559" s="51"/>
    </row>
    <row r="560" spans="1:8">
      <c r="A560" s="792"/>
      <c r="B560" s="793"/>
      <c r="C560" s="109"/>
      <c r="D560" s="792"/>
      <c r="E560" s="1494"/>
      <c r="F560" s="1494"/>
      <c r="G560" s="1494"/>
      <c r="H560" s="1494"/>
    </row>
    <row r="561" spans="1:8">
      <c r="A561" s="595"/>
      <c r="B561" s="595"/>
      <c r="C561" s="595"/>
      <c r="D561" s="595"/>
      <c r="E561" s="595"/>
      <c r="F561" s="595"/>
      <c r="G561" s="51"/>
      <c r="H561" s="51"/>
    </row>
    <row r="562" spans="1:8">
      <c r="A562" s="627"/>
      <c r="B562" s="627"/>
      <c r="C562" s="627"/>
      <c r="D562" s="627"/>
      <c r="E562" s="627"/>
      <c r="F562" s="627"/>
      <c r="G562" s="627"/>
      <c r="H562" s="627"/>
    </row>
    <row r="563" spans="1:8">
      <c r="A563" s="812">
        <v>1</v>
      </c>
      <c r="B563" s="793"/>
      <c r="C563" s="120" t="s">
        <v>4276</v>
      </c>
      <c r="D563" s="792"/>
      <c r="E563" s="794"/>
      <c r="F563" s="792"/>
      <c r="G563" s="627"/>
      <c r="H563" s="627"/>
    </row>
    <row r="564" spans="1:8" ht="18">
      <c r="A564" s="792"/>
      <c r="B564" s="793"/>
      <c r="C564" s="385" t="s">
        <v>4394</v>
      </c>
      <c r="D564" s="792"/>
      <c r="E564" s="794"/>
      <c r="F564" s="792"/>
      <c r="G564" s="627"/>
      <c r="H564" s="627"/>
    </row>
    <row r="565" spans="1:8">
      <c r="A565" s="792"/>
      <c r="B565" s="793"/>
      <c r="C565" s="121" t="s">
        <v>1530</v>
      </c>
      <c r="D565" s="792"/>
      <c r="E565" s="794"/>
      <c r="F565" s="792"/>
      <c r="G565" s="627"/>
      <c r="H565" s="627"/>
    </row>
    <row r="566" spans="1:8">
      <c r="A566" s="792"/>
      <c r="B566" s="793"/>
      <c r="C566" s="109" t="s">
        <v>4278</v>
      </c>
      <c r="D566" s="595"/>
      <c r="E566" s="595"/>
      <c r="F566" s="595" t="s">
        <v>2070</v>
      </c>
      <c r="G566" s="627"/>
      <c r="H566" s="627"/>
    </row>
    <row r="567" spans="1:8">
      <c r="A567" s="792"/>
      <c r="B567" s="793"/>
      <c r="C567" s="136" t="s">
        <v>4395</v>
      </c>
      <c r="D567" s="627"/>
      <c r="E567" s="387">
        <f>3*2*1.9*0.075*0.0375</f>
        <v>3.2099999999999997E-2</v>
      </c>
      <c r="F567" s="792" t="s">
        <v>2070</v>
      </c>
      <c r="G567" s="627"/>
      <c r="H567" s="627"/>
    </row>
    <row r="568" spans="1:8">
      <c r="A568" s="792"/>
      <c r="B568" s="793"/>
      <c r="C568" s="120" t="s">
        <v>4396</v>
      </c>
      <c r="D568" s="627"/>
      <c r="E568" s="387">
        <f>3*2*0.6*0.075*0.0375</f>
        <v>1.01E-2</v>
      </c>
      <c r="F568" s="792" t="s">
        <v>2070</v>
      </c>
      <c r="G568" s="627"/>
      <c r="H568" s="627"/>
    </row>
    <row r="569" spans="1:8">
      <c r="A569" s="792"/>
      <c r="B569" s="793"/>
      <c r="C569" s="120"/>
      <c r="D569" s="795"/>
      <c r="E569" s="121" t="s">
        <v>1530</v>
      </c>
      <c r="F569" s="131"/>
      <c r="G569" s="627"/>
      <c r="H569" s="627"/>
    </row>
    <row r="570" spans="1:8">
      <c r="A570" s="792"/>
      <c r="B570" s="793"/>
      <c r="C570" s="792"/>
      <c r="D570" s="792"/>
      <c r="E570" s="796">
        <f>SUM(E567:E569)</f>
        <v>4.2200000000000001E-2</v>
      </c>
      <c r="F570" s="595" t="s">
        <v>2070</v>
      </c>
      <c r="G570" s="627"/>
      <c r="H570" s="627"/>
    </row>
    <row r="571" spans="1:8">
      <c r="A571" s="792"/>
      <c r="B571" s="793"/>
      <c r="C571" s="792"/>
      <c r="D571" s="792"/>
      <c r="E571" s="121" t="s">
        <v>1530</v>
      </c>
      <c r="F571" s="595"/>
      <c r="G571" s="627"/>
      <c r="H571" s="627"/>
    </row>
    <row r="572" spans="1:8">
      <c r="A572" s="792"/>
      <c r="B572" s="793"/>
      <c r="C572" s="120" t="s">
        <v>417</v>
      </c>
      <c r="D572" s="627"/>
      <c r="E572" s="627"/>
      <c r="F572" s="627"/>
      <c r="G572" s="627"/>
      <c r="H572" s="627"/>
    </row>
    <row r="573" spans="1:8">
      <c r="A573" s="792"/>
      <c r="B573" s="793"/>
      <c r="C573" s="120" t="s">
        <v>4397</v>
      </c>
      <c r="D573" s="389"/>
      <c r="E573" s="386">
        <f>3*1.9*0.6</f>
        <v>3.42</v>
      </c>
      <c r="F573" s="7" t="s">
        <v>578</v>
      </c>
      <c r="G573" s="627"/>
      <c r="H573" s="627"/>
    </row>
    <row r="574" spans="1:8">
      <c r="A574" s="792"/>
      <c r="B574" s="793"/>
      <c r="C574" s="120"/>
      <c r="D574" s="389"/>
      <c r="E574" s="386"/>
      <c r="F574" s="131"/>
      <c r="G574" s="627"/>
      <c r="H574" s="627"/>
    </row>
    <row r="575" spans="1:8">
      <c r="A575" s="792"/>
      <c r="B575" s="793"/>
      <c r="C575" s="120" t="s">
        <v>4282</v>
      </c>
      <c r="D575" s="389"/>
      <c r="E575" s="386"/>
      <c r="F575" s="131"/>
      <c r="G575" s="627"/>
      <c r="H575" s="627"/>
    </row>
    <row r="576" spans="1:8">
      <c r="A576" s="792"/>
      <c r="B576" s="793"/>
      <c r="C576" s="120" t="s">
        <v>4398</v>
      </c>
      <c r="D576" s="389"/>
      <c r="E576" s="387">
        <f>3*1.775*0.475</f>
        <v>2.5293999999999999</v>
      </c>
      <c r="F576" s="131" t="str">
        <f>F573</f>
        <v>SQM</v>
      </c>
      <c r="G576" s="627"/>
      <c r="H576" s="627"/>
    </row>
    <row r="577" spans="1:8">
      <c r="A577" s="792"/>
      <c r="B577" s="793"/>
      <c r="C577" s="120" t="s">
        <v>4284</v>
      </c>
      <c r="D577" s="792"/>
      <c r="E577" s="394"/>
      <c r="F577" s="136"/>
      <c r="G577" s="627"/>
      <c r="H577" s="627"/>
    </row>
    <row r="578" spans="1:8">
      <c r="A578" s="137"/>
      <c r="B578" s="793"/>
      <c r="C578" s="120" t="s">
        <v>4399</v>
      </c>
      <c r="D578" s="389"/>
      <c r="E578" s="797">
        <f>1.775+0.475</f>
        <v>2.25</v>
      </c>
      <c r="F578" s="131"/>
      <c r="G578" s="627"/>
      <c r="H578" s="627"/>
    </row>
    <row r="579" spans="1:8">
      <c r="A579" s="137"/>
      <c r="B579" s="793"/>
      <c r="C579" s="792"/>
      <c r="D579" s="798"/>
      <c r="E579" s="141">
        <f>E578*6</f>
        <v>13.5</v>
      </c>
      <c r="F579" s="122" t="s">
        <v>794</v>
      </c>
      <c r="G579" s="627"/>
      <c r="H579" s="627"/>
    </row>
    <row r="580" spans="1:8">
      <c r="A580" s="137"/>
      <c r="B580" s="793"/>
      <c r="C580" s="811" t="s">
        <v>4286</v>
      </c>
      <c r="D580" s="798"/>
      <c r="E580" s="118"/>
      <c r="F580" s="122"/>
      <c r="G580" s="627"/>
      <c r="H580" s="627"/>
    </row>
    <row r="581" spans="1:8">
      <c r="A581" s="131"/>
      <c r="B581" s="119"/>
      <c r="C581" s="127"/>
      <c r="D581" s="627"/>
      <c r="E581" s="122"/>
      <c r="F581" s="118"/>
      <c r="G581" s="627"/>
      <c r="H581" s="627"/>
    </row>
    <row r="582" spans="1:8">
      <c r="A582" s="133"/>
      <c r="B582" s="793"/>
      <c r="C582" s="109" t="s">
        <v>4287</v>
      </c>
      <c r="D582" s="627"/>
      <c r="E582" s="122"/>
      <c r="F582" s="794"/>
      <c r="G582" s="627"/>
      <c r="H582" s="627"/>
    </row>
    <row r="583" spans="1:8">
      <c r="A583" s="131">
        <f>E570</f>
        <v>4.2200000000000001E-2</v>
      </c>
      <c r="B583" s="118" t="s">
        <v>836</v>
      </c>
      <c r="C583" s="120" t="s">
        <v>4288</v>
      </c>
      <c r="D583" s="122">
        <f>D546</f>
        <v>99400</v>
      </c>
      <c r="E583" s="118" t="s">
        <v>836</v>
      </c>
      <c r="F583" s="122">
        <f>(A583*D583)</f>
        <v>4194.68</v>
      </c>
      <c r="G583" s="627"/>
      <c r="H583" s="627"/>
    </row>
    <row r="584" spans="1:8">
      <c r="A584" s="131">
        <f>E573</f>
        <v>3.42</v>
      </c>
      <c r="B584" s="7" t="s">
        <v>578</v>
      </c>
      <c r="C584" s="120" t="s">
        <v>417</v>
      </c>
      <c r="D584" s="122">
        <f t="shared" ref="D584:D591" si="18">D547</f>
        <v>1239</v>
      </c>
      <c r="E584" s="7" t="s">
        <v>578</v>
      </c>
      <c r="F584" s="122">
        <f t="shared" ref="F584:F591" si="19">(A584*D584)</f>
        <v>4237.38</v>
      </c>
      <c r="G584" s="627"/>
      <c r="H584" s="627"/>
    </row>
    <row r="585" spans="1:8">
      <c r="A585" s="133">
        <f>E576</f>
        <v>2.5293999999999999</v>
      </c>
      <c r="B585" s="7" t="s">
        <v>578</v>
      </c>
      <c r="C585" s="120" t="s">
        <v>4282</v>
      </c>
      <c r="D585" s="122">
        <f t="shared" si="18"/>
        <v>208.8</v>
      </c>
      <c r="E585" s="7" t="s">
        <v>578</v>
      </c>
      <c r="F585" s="122">
        <f t="shared" si="19"/>
        <v>528.14</v>
      </c>
      <c r="G585" s="627"/>
      <c r="H585" s="627"/>
    </row>
    <row r="586" spans="1:8">
      <c r="A586" s="122">
        <f>E579</f>
        <v>13.5</v>
      </c>
      <c r="B586" s="122" t="s">
        <v>794</v>
      </c>
      <c r="C586" s="109" t="s">
        <v>4289</v>
      </c>
      <c r="D586" s="122">
        <f t="shared" si="18"/>
        <v>48.7</v>
      </c>
      <c r="E586" s="122" t="s">
        <v>794</v>
      </c>
      <c r="F586" s="122">
        <f t="shared" si="19"/>
        <v>657.45</v>
      </c>
      <c r="G586" s="627"/>
      <c r="H586" s="627"/>
    </row>
    <row r="587" spans="1:8">
      <c r="A587" s="122">
        <v>9</v>
      </c>
      <c r="B587" s="7" t="s">
        <v>835</v>
      </c>
      <c r="C587" s="1" t="s">
        <v>1460</v>
      </c>
      <c r="D587" s="122">
        <f t="shared" si="18"/>
        <v>83</v>
      </c>
      <c r="E587" s="1" t="s">
        <v>835</v>
      </c>
      <c r="F587" s="122">
        <f t="shared" si="19"/>
        <v>747</v>
      </c>
      <c r="G587" s="627"/>
      <c r="H587" s="627"/>
    </row>
    <row r="588" spans="1:8">
      <c r="A588" s="122">
        <v>6</v>
      </c>
      <c r="B588" s="7" t="s">
        <v>835</v>
      </c>
      <c r="C588" s="1" t="s">
        <v>3501</v>
      </c>
      <c r="D588" s="122">
        <f t="shared" si="18"/>
        <v>68.5</v>
      </c>
      <c r="E588" s="1" t="s">
        <v>835</v>
      </c>
      <c r="F588" s="122">
        <f t="shared" si="19"/>
        <v>411</v>
      </c>
      <c r="G588" s="627"/>
      <c r="H588" s="627"/>
    </row>
    <row r="589" spans="1:8">
      <c r="A589" s="122">
        <v>3</v>
      </c>
      <c r="B589" s="7" t="s">
        <v>835</v>
      </c>
      <c r="C589" s="1" t="s">
        <v>3502</v>
      </c>
      <c r="D589" s="122">
        <f t="shared" si="18"/>
        <v>53.4</v>
      </c>
      <c r="E589" s="1" t="s">
        <v>835</v>
      </c>
      <c r="F589" s="122">
        <f t="shared" si="19"/>
        <v>160.19999999999999</v>
      </c>
      <c r="G589" s="627"/>
      <c r="H589" s="627"/>
    </row>
    <row r="590" spans="1:8">
      <c r="A590" s="122">
        <v>3</v>
      </c>
      <c r="B590" s="7" t="s">
        <v>835</v>
      </c>
      <c r="C590" s="1" t="s">
        <v>1911</v>
      </c>
      <c r="D590" s="122">
        <f t="shared" si="18"/>
        <v>7.3</v>
      </c>
      <c r="E590" s="1" t="s">
        <v>835</v>
      </c>
      <c r="F590" s="122">
        <f t="shared" si="19"/>
        <v>21.9</v>
      </c>
      <c r="G590" s="627"/>
      <c r="H590" s="627"/>
    </row>
    <row r="591" spans="1:8">
      <c r="A591" s="122">
        <v>120</v>
      </c>
      <c r="B591" s="7" t="s">
        <v>835</v>
      </c>
      <c r="C591" s="1" t="s">
        <v>4290</v>
      </c>
      <c r="D591" s="122">
        <f t="shared" si="18"/>
        <v>2.39</v>
      </c>
      <c r="E591" s="1" t="s">
        <v>835</v>
      </c>
      <c r="F591" s="122">
        <f t="shared" si="19"/>
        <v>286.8</v>
      </c>
      <c r="G591" s="627"/>
      <c r="H591" s="627"/>
    </row>
    <row r="592" spans="1:8">
      <c r="A592" s="122"/>
      <c r="B592" s="119"/>
      <c r="C592" s="120"/>
      <c r="D592" s="627"/>
      <c r="E592" s="122"/>
      <c r="F592" s="121" t="s">
        <v>1530</v>
      </c>
      <c r="G592" s="627"/>
      <c r="H592" s="627"/>
    </row>
    <row r="593" spans="1:8">
      <c r="A593" s="792"/>
      <c r="B593" s="793"/>
      <c r="C593" s="120" t="s">
        <v>4400</v>
      </c>
      <c r="D593" s="627"/>
      <c r="E593" s="118"/>
      <c r="F593" s="795">
        <f>SUM(F583:F592)</f>
        <v>11244.55</v>
      </c>
      <c r="G593" s="627"/>
      <c r="H593" s="627"/>
    </row>
    <row r="594" spans="1:8">
      <c r="A594" s="792"/>
      <c r="B594" s="793"/>
      <c r="C594" s="627"/>
      <c r="D594" s="122"/>
      <c r="E594" s="794"/>
      <c r="F594" s="121" t="s">
        <v>1530</v>
      </c>
      <c r="G594" s="627"/>
      <c r="H594" s="627"/>
    </row>
    <row r="595" spans="1:8">
      <c r="A595" s="792"/>
      <c r="B595" s="793"/>
      <c r="C595" s="795" t="s">
        <v>3952</v>
      </c>
      <c r="D595" s="122"/>
      <c r="E595" s="794"/>
      <c r="F595" s="639">
        <f>F593/A584</f>
        <v>3287.88</v>
      </c>
      <c r="G595" s="627"/>
      <c r="H595" s="627"/>
    </row>
    <row r="596" spans="1:8">
      <c r="A596" s="792"/>
      <c r="B596" s="793"/>
      <c r="C596" s="792"/>
      <c r="D596" s="122"/>
      <c r="E596" s="794"/>
      <c r="F596" s="627"/>
      <c r="G596" s="627"/>
      <c r="H596" s="627"/>
    </row>
    <row r="597" spans="1:8">
      <c r="A597" s="627"/>
      <c r="B597" s="627"/>
      <c r="C597" s="627"/>
      <c r="D597" s="627"/>
      <c r="E597" s="627"/>
      <c r="F597" s="627"/>
      <c r="G597" s="627"/>
      <c r="H597" s="627"/>
    </row>
    <row r="598" spans="1:8">
      <c r="A598" s="792">
        <v>3</v>
      </c>
      <c r="B598" s="793"/>
      <c r="C598" s="120" t="s">
        <v>4276</v>
      </c>
      <c r="D598" s="792"/>
      <c r="E598" s="794"/>
      <c r="F598" s="792"/>
      <c r="G598" s="627"/>
      <c r="H598" s="627"/>
    </row>
    <row r="599" spans="1:8" ht="18">
      <c r="A599" s="792"/>
      <c r="B599" s="793"/>
      <c r="C599" s="385" t="s">
        <v>4401</v>
      </c>
      <c r="D599" s="792"/>
      <c r="E599" s="794"/>
      <c r="F599" s="792"/>
      <c r="G599" s="627"/>
      <c r="H599" s="627"/>
    </row>
    <row r="600" spans="1:8">
      <c r="A600" s="792"/>
      <c r="B600" s="793"/>
      <c r="C600" s="121" t="s">
        <v>1530</v>
      </c>
      <c r="D600" s="792"/>
      <c r="E600" s="794"/>
      <c r="F600" s="792"/>
      <c r="G600" s="627"/>
      <c r="H600" s="627"/>
    </row>
    <row r="601" spans="1:8">
      <c r="A601" s="792"/>
      <c r="B601" s="793"/>
      <c r="C601" s="109" t="s">
        <v>4278</v>
      </c>
      <c r="D601" s="595"/>
      <c r="E601" s="595"/>
      <c r="F601" s="595" t="s">
        <v>2070</v>
      </c>
      <c r="G601" s="627"/>
      <c r="H601" s="627"/>
    </row>
    <row r="602" spans="1:8">
      <c r="A602" s="792"/>
      <c r="B602" s="793"/>
      <c r="C602" s="136" t="s">
        <v>4402</v>
      </c>
      <c r="D602" s="627"/>
      <c r="E602" s="387">
        <f>2*2*1.9*0.075*0.0375</f>
        <v>2.1399999999999999E-2</v>
      </c>
      <c r="F602" s="792" t="s">
        <v>2070</v>
      </c>
      <c r="G602" s="627"/>
      <c r="H602" s="627"/>
    </row>
    <row r="603" spans="1:8">
      <c r="A603" s="792"/>
      <c r="B603" s="793"/>
      <c r="C603" s="120" t="s">
        <v>4403</v>
      </c>
      <c r="D603" s="627"/>
      <c r="E603" s="387">
        <f>2*2*0.5*0.075*0.0375</f>
        <v>5.5999999999999999E-3</v>
      </c>
      <c r="F603" s="792" t="s">
        <v>2070</v>
      </c>
      <c r="G603" s="627"/>
      <c r="H603" s="627"/>
    </row>
    <row r="604" spans="1:8">
      <c r="A604" s="792"/>
      <c r="B604" s="793"/>
      <c r="C604" s="120"/>
      <c r="D604" s="795"/>
      <c r="E604" s="121" t="s">
        <v>1530</v>
      </c>
      <c r="F604" s="131"/>
      <c r="G604" s="627"/>
      <c r="H604" s="627"/>
    </row>
    <row r="605" spans="1:8">
      <c r="A605" s="792"/>
      <c r="B605" s="793"/>
      <c r="C605" s="792"/>
      <c r="D605" s="792"/>
      <c r="E605" s="796">
        <f>SUM(E602:E604)</f>
        <v>2.7E-2</v>
      </c>
      <c r="F605" s="595" t="s">
        <v>2070</v>
      </c>
      <c r="G605" s="627"/>
      <c r="H605" s="627"/>
    </row>
    <row r="606" spans="1:8">
      <c r="A606" s="792"/>
      <c r="B606" s="793"/>
      <c r="C606" s="792"/>
      <c r="D606" s="792"/>
      <c r="E606" s="121" t="s">
        <v>1530</v>
      </c>
      <c r="F606" s="595"/>
      <c r="G606" s="627"/>
      <c r="H606" s="627"/>
    </row>
    <row r="607" spans="1:8">
      <c r="A607" s="792"/>
      <c r="B607" s="793"/>
      <c r="C607" s="120" t="s">
        <v>417</v>
      </c>
      <c r="D607" s="627"/>
      <c r="E607" s="627"/>
      <c r="F607" s="627"/>
      <c r="G607" s="627"/>
      <c r="H607" s="627"/>
    </row>
    <row r="608" spans="1:8">
      <c r="A608" s="792"/>
      <c r="B608" s="793"/>
      <c r="C608" s="120" t="s">
        <v>4404</v>
      </c>
      <c r="D608" s="389"/>
      <c r="E608" s="386">
        <f>2*1.9*0.5</f>
        <v>1.9</v>
      </c>
      <c r="F608" s="7" t="s">
        <v>578</v>
      </c>
      <c r="G608" s="627"/>
      <c r="H608" s="627"/>
    </row>
    <row r="609" spans="1:8">
      <c r="A609" s="792"/>
      <c r="B609" s="793"/>
      <c r="C609" s="120"/>
      <c r="D609" s="389"/>
      <c r="E609" s="386"/>
      <c r="F609" s="131"/>
      <c r="G609" s="627"/>
      <c r="H609" s="627"/>
    </row>
    <row r="610" spans="1:8">
      <c r="A610" s="792"/>
      <c r="B610" s="793"/>
      <c r="C610" s="120" t="s">
        <v>4282</v>
      </c>
      <c r="D610" s="389"/>
      <c r="E610" s="386"/>
      <c r="F610" s="131"/>
      <c r="G610" s="627"/>
      <c r="H610" s="627"/>
    </row>
    <row r="611" spans="1:8">
      <c r="A611" s="792"/>
      <c r="B611" s="793"/>
      <c r="C611" s="120" t="s">
        <v>4405</v>
      </c>
      <c r="D611" s="389"/>
      <c r="E611" s="387">
        <f>2*1.775*0.375</f>
        <v>1.3312999999999999</v>
      </c>
      <c r="F611" s="131" t="str">
        <f>F608</f>
        <v>SQM</v>
      </c>
      <c r="G611" s="627"/>
      <c r="H611" s="627"/>
    </row>
    <row r="612" spans="1:8">
      <c r="A612" s="792"/>
      <c r="B612" s="793"/>
      <c r="C612" s="120" t="s">
        <v>4406</v>
      </c>
      <c r="D612" s="792"/>
      <c r="E612" s="394"/>
      <c r="F612" s="136"/>
      <c r="G612" s="627"/>
      <c r="H612" s="627"/>
    </row>
    <row r="613" spans="1:8">
      <c r="A613" s="137"/>
      <c r="B613" s="793"/>
      <c r="C613" s="120" t="s">
        <v>4407</v>
      </c>
      <c r="D613" s="389"/>
      <c r="E613" s="797">
        <f>1.775+0.375</f>
        <v>2.15</v>
      </c>
      <c r="F613" s="131"/>
      <c r="G613" s="627"/>
      <c r="H613" s="627"/>
    </row>
    <row r="614" spans="1:8">
      <c r="A614" s="137"/>
      <c r="B614" s="793"/>
      <c r="C614" s="792"/>
      <c r="D614" s="798"/>
      <c r="E614" s="141">
        <f>E613*4</f>
        <v>8.6</v>
      </c>
      <c r="F614" s="122" t="s">
        <v>794</v>
      </c>
      <c r="G614" s="627"/>
      <c r="H614" s="627"/>
    </row>
    <row r="615" spans="1:8">
      <c r="A615" s="137"/>
      <c r="B615" s="793"/>
      <c r="C615" s="811" t="s">
        <v>4286</v>
      </c>
      <c r="D615" s="798"/>
      <c r="E615" s="118"/>
      <c r="F615" s="122"/>
      <c r="G615" s="627"/>
      <c r="H615" s="627"/>
    </row>
    <row r="616" spans="1:8">
      <c r="A616" s="131"/>
      <c r="B616" s="119"/>
      <c r="C616" s="127"/>
      <c r="D616" s="627"/>
      <c r="E616" s="122"/>
      <c r="F616" s="118"/>
      <c r="G616" s="627"/>
      <c r="H616" s="627"/>
    </row>
    <row r="617" spans="1:8">
      <c r="A617" s="133"/>
      <c r="B617" s="793"/>
      <c r="C617" s="109" t="s">
        <v>4287</v>
      </c>
      <c r="D617" s="627"/>
      <c r="E617" s="122"/>
      <c r="F617" s="794"/>
      <c r="G617" s="627"/>
      <c r="H617" s="627"/>
    </row>
    <row r="618" spans="1:8">
      <c r="A618" s="131">
        <f>E605</f>
        <v>2.7E-2</v>
      </c>
      <c r="B618" s="118" t="s">
        <v>836</v>
      </c>
      <c r="C618" s="120" t="s">
        <v>4288</v>
      </c>
      <c r="D618" s="122">
        <f>D583</f>
        <v>99400</v>
      </c>
      <c r="E618" s="118" t="s">
        <v>836</v>
      </c>
      <c r="F618" s="122">
        <f>(A618*D618)</f>
        <v>2683.8</v>
      </c>
      <c r="G618" s="627"/>
      <c r="H618" s="627"/>
    </row>
    <row r="619" spans="1:8">
      <c r="A619" s="131">
        <f>E608</f>
        <v>1.9</v>
      </c>
      <c r="B619" s="7" t="s">
        <v>578</v>
      </c>
      <c r="C619" s="120" t="s">
        <v>417</v>
      </c>
      <c r="D619" s="122">
        <f t="shared" ref="D619:D626" si="20">D584</f>
        <v>1239</v>
      </c>
      <c r="E619" s="7" t="s">
        <v>578</v>
      </c>
      <c r="F619" s="122">
        <f t="shared" ref="F619:F626" si="21">(A619*D619)</f>
        <v>2354.1</v>
      </c>
      <c r="G619" s="627"/>
      <c r="H619" s="627"/>
    </row>
    <row r="620" spans="1:8">
      <c r="A620" s="133">
        <f>E611</f>
        <v>1.3312999999999999</v>
      </c>
      <c r="B620" s="7" t="s">
        <v>578</v>
      </c>
      <c r="C620" s="120" t="s">
        <v>4282</v>
      </c>
      <c r="D620" s="122">
        <f t="shared" si="20"/>
        <v>208.8</v>
      </c>
      <c r="E620" s="7" t="s">
        <v>578</v>
      </c>
      <c r="F620" s="122">
        <f t="shared" si="21"/>
        <v>277.98</v>
      </c>
      <c r="G620" s="627"/>
      <c r="H620" s="627"/>
    </row>
    <row r="621" spans="1:8">
      <c r="A621" s="122">
        <f>E614</f>
        <v>8.6</v>
      </c>
      <c r="B621" s="122" t="s">
        <v>794</v>
      </c>
      <c r="C621" s="109" t="s">
        <v>4289</v>
      </c>
      <c r="D621" s="122">
        <f t="shared" si="20"/>
        <v>48.7</v>
      </c>
      <c r="E621" s="122" t="s">
        <v>794</v>
      </c>
      <c r="F621" s="122">
        <f t="shared" si="21"/>
        <v>418.82</v>
      </c>
      <c r="G621" s="627"/>
      <c r="H621" s="627"/>
    </row>
    <row r="622" spans="1:8">
      <c r="A622" s="122">
        <v>6</v>
      </c>
      <c r="B622" s="7" t="s">
        <v>835</v>
      </c>
      <c r="C622" s="1" t="s">
        <v>1460</v>
      </c>
      <c r="D622" s="122">
        <f t="shared" si="20"/>
        <v>83</v>
      </c>
      <c r="E622" s="1" t="s">
        <v>835</v>
      </c>
      <c r="F622" s="122">
        <f t="shared" si="21"/>
        <v>498</v>
      </c>
      <c r="G622" s="627"/>
      <c r="H622" s="627"/>
    </row>
    <row r="623" spans="1:8">
      <c r="A623" s="122">
        <v>4</v>
      </c>
      <c r="B623" s="7" t="s">
        <v>835</v>
      </c>
      <c r="C623" s="1" t="s">
        <v>3501</v>
      </c>
      <c r="D623" s="122">
        <f t="shared" si="20"/>
        <v>68.5</v>
      </c>
      <c r="E623" s="1" t="s">
        <v>835</v>
      </c>
      <c r="F623" s="122">
        <f t="shared" si="21"/>
        <v>274</v>
      </c>
      <c r="G623" s="627"/>
      <c r="H623" s="627"/>
    </row>
    <row r="624" spans="1:8">
      <c r="A624" s="122">
        <v>2</v>
      </c>
      <c r="B624" s="7" t="s">
        <v>835</v>
      </c>
      <c r="C624" s="1" t="s">
        <v>3502</v>
      </c>
      <c r="D624" s="122">
        <f t="shared" si="20"/>
        <v>53.4</v>
      </c>
      <c r="E624" s="1" t="s">
        <v>835</v>
      </c>
      <c r="F624" s="122">
        <f t="shared" si="21"/>
        <v>106.8</v>
      </c>
      <c r="G624" s="627"/>
      <c r="H624" s="627"/>
    </row>
    <row r="625" spans="1:8">
      <c r="A625" s="122">
        <v>2</v>
      </c>
      <c r="B625" s="7" t="s">
        <v>835</v>
      </c>
      <c r="C625" s="1" t="s">
        <v>1911</v>
      </c>
      <c r="D625" s="122">
        <f t="shared" si="20"/>
        <v>7.3</v>
      </c>
      <c r="E625" s="1" t="s">
        <v>835</v>
      </c>
      <c r="F625" s="122">
        <f t="shared" si="21"/>
        <v>14.6</v>
      </c>
      <c r="G625" s="627"/>
      <c r="H625" s="627"/>
    </row>
    <row r="626" spans="1:8">
      <c r="A626" s="122">
        <v>80</v>
      </c>
      <c r="B626" s="7" t="s">
        <v>835</v>
      </c>
      <c r="C626" s="1" t="s">
        <v>4290</v>
      </c>
      <c r="D626" s="122">
        <f t="shared" si="20"/>
        <v>2.39</v>
      </c>
      <c r="E626" s="1" t="s">
        <v>835</v>
      </c>
      <c r="F626" s="122">
        <f t="shared" si="21"/>
        <v>191.2</v>
      </c>
      <c r="G626" s="627"/>
      <c r="H626" s="627"/>
    </row>
    <row r="627" spans="1:8">
      <c r="A627" s="122"/>
      <c r="B627" s="119"/>
      <c r="C627" s="120"/>
      <c r="D627" s="627"/>
      <c r="E627" s="122"/>
      <c r="F627" s="121" t="s">
        <v>1530</v>
      </c>
      <c r="G627" s="627"/>
      <c r="H627" s="627"/>
    </row>
    <row r="628" spans="1:8">
      <c r="A628" s="792"/>
      <c r="B628" s="793"/>
      <c r="C628" s="120" t="s">
        <v>4408</v>
      </c>
      <c r="D628" s="627"/>
      <c r="E628" s="118"/>
      <c r="F628" s="795">
        <f>SUM(F618:F627)</f>
        <v>6819.3</v>
      </c>
      <c r="G628" s="627"/>
      <c r="H628" s="627"/>
    </row>
    <row r="629" spans="1:8">
      <c r="A629" s="792"/>
      <c r="B629" s="793"/>
      <c r="C629" s="627"/>
      <c r="D629" s="122"/>
      <c r="E629" s="794"/>
      <c r="F629" s="121" t="s">
        <v>1530</v>
      </c>
      <c r="G629" s="627"/>
      <c r="H629" s="627"/>
    </row>
    <row r="630" spans="1:8">
      <c r="A630" s="792"/>
      <c r="B630" s="793"/>
      <c r="C630" s="795" t="s">
        <v>3952</v>
      </c>
      <c r="D630" s="122"/>
      <c r="E630" s="794"/>
      <c r="F630" s="639">
        <f>F628/A619</f>
        <v>3589.11</v>
      </c>
      <c r="G630" s="627"/>
      <c r="H630" s="627"/>
    </row>
    <row r="631" spans="1:8">
      <c r="A631" s="792"/>
      <c r="B631" s="793"/>
      <c r="C631" s="792"/>
      <c r="D631" s="122"/>
      <c r="E631" s="794"/>
      <c r="F631" s="627"/>
      <c r="G631" s="627"/>
      <c r="H631" s="627"/>
    </row>
    <row r="632" spans="1:8">
      <c r="A632" s="627"/>
      <c r="B632" s="627"/>
      <c r="C632" s="627"/>
      <c r="D632" s="627"/>
      <c r="E632" s="627"/>
      <c r="F632" s="627"/>
      <c r="G632" s="627"/>
      <c r="H632" s="627"/>
    </row>
    <row r="633" spans="1:8">
      <c r="A633" s="627"/>
      <c r="B633" s="627"/>
      <c r="C633" s="627"/>
      <c r="D633" s="627"/>
      <c r="E633" s="627"/>
      <c r="F633" s="627"/>
      <c r="G633" s="627"/>
      <c r="H633" s="627"/>
    </row>
    <row r="634" spans="1:8">
      <c r="A634" s="812">
        <v>4</v>
      </c>
      <c r="B634" s="793"/>
      <c r="C634" s="120" t="s">
        <v>4276</v>
      </c>
      <c r="D634" s="792"/>
      <c r="E634" s="794"/>
      <c r="F634" s="792"/>
      <c r="G634" s="627"/>
      <c r="H634" s="627"/>
    </row>
    <row r="635" spans="1:8" ht="18">
      <c r="A635" s="792"/>
      <c r="B635" s="793"/>
      <c r="C635" s="385" t="s">
        <v>4409</v>
      </c>
      <c r="D635" s="792"/>
      <c r="E635" s="794"/>
      <c r="F635" s="792"/>
      <c r="G635" s="627"/>
      <c r="H635" s="627"/>
    </row>
    <row r="636" spans="1:8">
      <c r="A636" s="792"/>
      <c r="B636" s="793"/>
      <c r="C636" s="121" t="s">
        <v>1530</v>
      </c>
      <c r="D636" s="792"/>
      <c r="E636" s="794"/>
      <c r="F636" s="792"/>
      <c r="G636" s="627"/>
      <c r="H636" s="627"/>
    </row>
    <row r="637" spans="1:8">
      <c r="A637" s="792"/>
      <c r="B637" s="793"/>
      <c r="C637" s="109" t="s">
        <v>4278</v>
      </c>
      <c r="D637" s="595"/>
      <c r="E637" s="595"/>
      <c r="F637" s="595" t="s">
        <v>2070</v>
      </c>
      <c r="G637" s="627"/>
      <c r="H637" s="627"/>
    </row>
    <row r="638" spans="1:8">
      <c r="A638" s="792"/>
      <c r="B638" s="793"/>
      <c r="C638" s="136" t="s">
        <v>4410</v>
      </c>
      <c r="D638" s="627"/>
      <c r="E638" s="387">
        <f>2*2*1.9*0.075*0.0375</f>
        <v>2.1399999999999999E-2</v>
      </c>
      <c r="F638" s="792" t="s">
        <v>2070</v>
      </c>
      <c r="G638" s="627"/>
      <c r="H638" s="627"/>
    </row>
    <row r="639" spans="1:8">
      <c r="A639" s="792"/>
      <c r="B639" s="793"/>
      <c r="C639" s="120" t="s">
        <v>4411</v>
      </c>
      <c r="D639" s="627"/>
      <c r="E639" s="387">
        <f>2*0.65*0.075*0.0375</f>
        <v>3.7000000000000002E-3</v>
      </c>
      <c r="F639" s="792" t="s">
        <v>2070</v>
      </c>
      <c r="G639" s="627"/>
      <c r="H639" s="627"/>
    </row>
    <row r="640" spans="1:8">
      <c r="A640" s="792"/>
      <c r="B640" s="793"/>
      <c r="C640" s="120"/>
      <c r="D640" s="795"/>
      <c r="E640" s="121" t="s">
        <v>1530</v>
      </c>
      <c r="F640" s="131"/>
      <c r="G640" s="627"/>
      <c r="H640" s="627"/>
    </row>
    <row r="641" spans="1:8">
      <c r="A641" s="792"/>
      <c r="B641" s="793"/>
      <c r="C641" s="792"/>
      <c r="D641" s="792"/>
      <c r="E641" s="796">
        <f>SUM(E638:E640)</f>
        <v>2.5100000000000001E-2</v>
      </c>
      <c r="F641" s="595" t="s">
        <v>2070</v>
      </c>
      <c r="G641" s="627"/>
      <c r="H641" s="627"/>
    </row>
    <row r="642" spans="1:8">
      <c r="A642" s="792"/>
      <c r="B642" s="793"/>
      <c r="C642" s="792"/>
      <c r="D642" s="792"/>
      <c r="E642" s="121" t="s">
        <v>1530</v>
      </c>
      <c r="F642" s="595"/>
      <c r="G642" s="627"/>
      <c r="H642" s="627"/>
    </row>
    <row r="643" spans="1:8">
      <c r="A643" s="792"/>
      <c r="B643" s="793"/>
      <c r="C643" s="120" t="s">
        <v>417</v>
      </c>
      <c r="D643" s="627"/>
      <c r="E643" s="627"/>
      <c r="F643" s="627"/>
      <c r="G643" s="627"/>
      <c r="H643" s="627"/>
    </row>
    <row r="644" spans="1:8">
      <c r="A644" s="792"/>
      <c r="B644" s="793"/>
      <c r="C644" s="120" t="s">
        <v>4412</v>
      </c>
      <c r="D644" s="389"/>
      <c r="E644" s="386">
        <f>1*1.9*0.65</f>
        <v>1.2350000000000001</v>
      </c>
      <c r="F644" s="7" t="s">
        <v>578</v>
      </c>
      <c r="G644" s="627"/>
      <c r="H644" s="627"/>
    </row>
    <row r="645" spans="1:8">
      <c r="A645" s="792"/>
      <c r="B645" s="793"/>
      <c r="C645" s="120"/>
      <c r="D645" s="389"/>
      <c r="E645" s="386"/>
      <c r="F645" s="131"/>
      <c r="G645" s="627"/>
      <c r="H645" s="627"/>
    </row>
    <row r="646" spans="1:8">
      <c r="A646" s="792"/>
      <c r="B646" s="793"/>
      <c r="C646" s="120" t="s">
        <v>4282</v>
      </c>
      <c r="D646" s="389"/>
      <c r="E646" s="386"/>
      <c r="F646" s="131"/>
      <c r="G646" s="627"/>
      <c r="H646" s="627"/>
    </row>
    <row r="647" spans="1:8">
      <c r="A647" s="792"/>
      <c r="B647" s="793"/>
      <c r="C647" s="120" t="s">
        <v>4413</v>
      </c>
      <c r="D647" s="389"/>
      <c r="E647" s="387">
        <f>1*1.775*0.525</f>
        <v>0.93189999999999995</v>
      </c>
      <c r="F647" s="131" t="str">
        <f>F644</f>
        <v>SQM</v>
      </c>
      <c r="G647" s="627"/>
      <c r="H647" s="627"/>
    </row>
    <row r="648" spans="1:8">
      <c r="A648" s="792"/>
      <c r="B648" s="793"/>
      <c r="C648" s="120" t="s">
        <v>4284</v>
      </c>
      <c r="D648" s="792"/>
      <c r="E648" s="394"/>
      <c r="F648" s="136"/>
      <c r="G648" s="627"/>
      <c r="H648" s="627"/>
    </row>
    <row r="649" spans="1:8">
      <c r="A649" s="137"/>
      <c r="B649" s="793"/>
      <c r="C649" s="120" t="s">
        <v>4414</v>
      </c>
      <c r="D649" s="389"/>
      <c r="E649" s="797">
        <f>1.775+0.525</f>
        <v>2.2999999999999998</v>
      </c>
      <c r="F649" s="131"/>
      <c r="G649" s="627"/>
      <c r="H649" s="627"/>
    </row>
    <row r="650" spans="1:8">
      <c r="A650" s="137"/>
      <c r="B650" s="793"/>
      <c r="C650" s="792"/>
      <c r="D650" s="798"/>
      <c r="E650" s="141">
        <f>E649*2</f>
        <v>4.5999999999999996</v>
      </c>
      <c r="F650" s="122" t="s">
        <v>794</v>
      </c>
      <c r="G650" s="627"/>
      <c r="H650" s="627"/>
    </row>
    <row r="651" spans="1:8">
      <c r="A651" s="137"/>
      <c r="B651" s="793"/>
      <c r="C651" s="811" t="s">
        <v>4286</v>
      </c>
      <c r="D651" s="798"/>
      <c r="E651" s="118"/>
      <c r="F651" s="122"/>
      <c r="G651" s="627"/>
      <c r="H651" s="627"/>
    </row>
    <row r="652" spans="1:8">
      <c r="A652" s="131"/>
      <c r="B652" s="119"/>
      <c r="C652" s="127"/>
      <c r="D652" s="627"/>
      <c r="E652" s="122"/>
      <c r="F652" s="118"/>
      <c r="G652" s="627"/>
      <c r="H652" s="627"/>
    </row>
    <row r="653" spans="1:8">
      <c r="A653" s="133"/>
      <c r="B653" s="793"/>
      <c r="C653" s="109" t="s">
        <v>4287</v>
      </c>
      <c r="D653" s="627"/>
      <c r="E653" s="122"/>
      <c r="F653" s="794"/>
      <c r="G653" s="627"/>
      <c r="H653" s="627"/>
    </row>
    <row r="654" spans="1:8">
      <c r="A654" s="131">
        <f>E641</f>
        <v>2.5100000000000001E-2</v>
      </c>
      <c r="B654" s="118" t="s">
        <v>836</v>
      </c>
      <c r="C654" s="120" t="s">
        <v>4288</v>
      </c>
      <c r="D654" s="122">
        <f>D618</f>
        <v>99400</v>
      </c>
      <c r="E654" s="118" t="s">
        <v>836</v>
      </c>
      <c r="F654" s="122">
        <f>(A654*D654)</f>
        <v>2494.94</v>
      </c>
      <c r="G654" s="627"/>
      <c r="H654" s="627"/>
    </row>
    <row r="655" spans="1:8">
      <c r="A655" s="131">
        <f>E644</f>
        <v>1.2350000000000001</v>
      </c>
      <c r="B655" s="7" t="s">
        <v>578</v>
      </c>
      <c r="C655" s="120" t="s">
        <v>417</v>
      </c>
      <c r="D655" s="122">
        <f t="shared" ref="D655:D662" si="22">D619</f>
        <v>1239</v>
      </c>
      <c r="E655" s="7" t="s">
        <v>578</v>
      </c>
      <c r="F655" s="122">
        <f t="shared" ref="F655:F662" si="23">(A655*D655)</f>
        <v>1530.17</v>
      </c>
      <c r="G655" s="627"/>
      <c r="H655" s="627"/>
    </row>
    <row r="656" spans="1:8">
      <c r="A656" s="133">
        <f>E647</f>
        <v>0.93189999999999995</v>
      </c>
      <c r="B656" s="7" t="s">
        <v>578</v>
      </c>
      <c r="C656" s="120" t="s">
        <v>4282</v>
      </c>
      <c r="D656" s="122">
        <f t="shared" si="22"/>
        <v>208.8</v>
      </c>
      <c r="E656" s="7" t="s">
        <v>578</v>
      </c>
      <c r="F656" s="122">
        <f t="shared" si="23"/>
        <v>194.58</v>
      </c>
      <c r="G656" s="627"/>
      <c r="H656" s="627"/>
    </row>
    <row r="657" spans="1:8">
      <c r="A657" s="122">
        <f>E650</f>
        <v>4.5999999999999996</v>
      </c>
      <c r="B657" s="122" t="s">
        <v>794</v>
      </c>
      <c r="C657" s="109" t="s">
        <v>4289</v>
      </c>
      <c r="D657" s="122">
        <f t="shared" si="22"/>
        <v>48.7</v>
      </c>
      <c r="E657" s="122" t="s">
        <v>794</v>
      </c>
      <c r="F657" s="122">
        <f t="shared" si="23"/>
        <v>224.02</v>
      </c>
      <c r="G657" s="627"/>
      <c r="H657" s="627"/>
    </row>
    <row r="658" spans="1:8">
      <c r="A658" s="122">
        <v>3</v>
      </c>
      <c r="B658" s="7" t="s">
        <v>835</v>
      </c>
      <c r="C658" s="1" t="s">
        <v>1460</v>
      </c>
      <c r="D658" s="122">
        <f t="shared" si="22"/>
        <v>83</v>
      </c>
      <c r="E658" s="1" t="s">
        <v>835</v>
      </c>
      <c r="F658" s="122">
        <f t="shared" si="23"/>
        <v>249</v>
      </c>
      <c r="G658" s="627"/>
      <c r="H658" s="627"/>
    </row>
    <row r="659" spans="1:8">
      <c r="A659" s="122">
        <v>2</v>
      </c>
      <c r="B659" s="7" t="s">
        <v>835</v>
      </c>
      <c r="C659" s="1" t="s">
        <v>3501</v>
      </c>
      <c r="D659" s="122">
        <f t="shared" si="22"/>
        <v>68.5</v>
      </c>
      <c r="E659" s="1" t="s">
        <v>835</v>
      </c>
      <c r="F659" s="122">
        <f t="shared" si="23"/>
        <v>137</v>
      </c>
      <c r="G659" s="627"/>
      <c r="H659" s="627"/>
    </row>
    <row r="660" spans="1:8">
      <c r="A660" s="122">
        <v>1</v>
      </c>
      <c r="B660" s="7" t="s">
        <v>835</v>
      </c>
      <c r="C660" s="1" t="s">
        <v>3502</v>
      </c>
      <c r="D660" s="122">
        <f t="shared" si="22"/>
        <v>53.4</v>
      </c>
      <c r="E660" s="1" t="s">
        <v>835</v>
      </c>
      <c r="F660" s="122">
        <f t="shared" si="23"/>
        <v>53.4</v>
      </c>
      <c r="G660" s="627"/>
      <c r="H660" s="627"/>
    </row>
    <row r="661" spans="1:8">
      <c r="A661" s="122">
        <v>1</v>
      </c>
      <c r="B661" s="7" t="s">
        <v>835</v>
      </c>
      <c r="C661" s="1" t="s">
        <v>1911</v>
      </c>
      <c r="D661" s="122">
        <f t="shared" si="22"/>
        <v>7.3</v>
      </c>
      <c r="E661" s="1" t="s">
        <v>835</v>
      </c>
      <c r="F661" s="122">
        <f t="shared" si="23"/>
        <v>7.3</v>
      </c>
      <c r="G661" s="627"/>
      <c r="H661" s="627"/>
    </row>
    <row r="662" spans="1:8">
      <c r="A662" s="122">
        <v>40</v>
      </c>
      <c r="B662" s="7" t="s">
        <v>835</v>
      </c>
      <c r="C662" s="1" t="s">
        <v>4290</v>
      </c>
      <c r="D662" s="122">
        <f t="shared" si="22"/>
        <v>2.39</v>
      </c>
      <c r="E662" s="1" t="s">
        <v>835</v>
      </c>
      <c r="F662" s="122">
        <f t="shared" si="23"/>
        <v>95.6</v>
      </c>
      <c r="G662" s="627"/>
      <c r="H662" s="627"/>
    </row>
    <row r="663" spans="1:8">
      <c r="A663" s="122"/>
      <c r="B663" s="119"/>
      <c r="C663" s="120"/>
      <c r="D663" s="627"/>
      <c r="E663" s="122"/>
      <c r="F663" s="121" t="s">
        <v>1530</v>
      </c>
      <c r="G663" s="627"/>
      <c r="H663" s="627"/>
    </row>
    <row r="664" spans="1:8">
      <c r="A664" s="792"/>
      <c r="B664" s="793"/>
      <c r="C664" s="120" t="s">
        <v>4415</v>
      </c>
      <c r="D664" s="627"/>
      <c r="E664" s="118"/>
      <c r="F664" s="795">
        <f>SUM(F654:F663)</f>
        <v>4986.01</v>
      </c>
      <c r="G664" s="627"/>
      <c r="H664" s="627"/>
    </row>
    <row r="665" spans="1:8">
      <c r="A665" s="792"/>
      <c r="B665" s="793"/>
      <c r="C665" s="627"/>
      <c r="D665" s="122"/>
      <c r="E665" s="794"/>
      <c r="F665" s="121" t="s">
        <v>1530</v>
      </c>
      <c r="G665" s="627"/>
      <c r="H665" s="627"/>
    </row>
    <row r="666" spans="1:8">
      <c r="A666" s="792"/>
      <c r="B666" s="793"/>
      <c r="C666" s="795" t="s">
        <v>3952</v>
      </c>
      <c r="D666" s="122"/>
      <c r="E666" s="794"/>
      <c r="F666" s="639">
        <f>F664/A655</f>
        <v>4037.26</v>
      </c>
      <c r="G666" s="627"/>
      <c r="H666" s="627"/>
    </row>
    <row r="667" spans="1:8">
      <c r="A667" s="792"/>
      <c r="B667" s="793"/>
      <c r="C667" s="792"/>
      <c r="D667" s="122"/>
      <c r="E667" s="794"/>
      <c r="F667" s="627"/>
      <c r="G667" s="627"/>
      <c r="H667" s="627"/>
    </row>
    <row r="668" spans="1:8">
      <c r="A668" s="627"/>
      <c r="B668" s="627"/>
      <c r="C668" s="627"/>
      <c r="D668" s="627"/>
      <c r="E668" s="627"/>
      <c r="F668" s="627"/>
      <c r="G668" s="627"/>
      <c r="H668" s="627"/>
    </row>
    <row r="669" spans="1:8">
      <c r="A669" s="627"/>
      <c r="B669" s="627"/>
      <c r="C669" s="627"/>
      <c r="D669" s="627"/>
      <c r="E669" s="627"/>
      <c r="F669" s="627"/>
      <c r="G669" s="627"/>
      <c r="H669" s="627"/>
    </row>
    <row r="670" spans="1:8">
      <c r="A670" s="792"/>
      <c r="B670" s="793"/>
      <c r="C670" s="120" t="s">
        <v>4276</v>
      </c>
      <c r="D670" s="792"/>
      <c r="E670" s="794"/>
      <c r="F670" s="792"/>
      <c r="G670" s="627"/>
      <c r="H670" s="627"/>
    </row>
    <row r="671" spans="1:8" ht="18">
      <c r="A671" s="792"/>
      <c r="B671" s="793"/>
      <c r="C671" s="385" t="s">
        <v>4416</v>
      </c>
      <c r="D671" s="792"/>
      <c r="E671" s="794"/>
      <c r="F671" s="792"/>
      <c r="G671" s="627"/>
      <c r="H671" s="627"/>
    </row>
    <row r="672" spans="1:8">
      <c r="A672" s="792"/>
      <c r="B672" s="793"/>
      <c r="C672" s="121" t="s">
        <v>1530</v>
      </c>
      <c r="D672" s="792"/>
      <c r="E672" s="794"/>
      <c r="F672" s="792"/>
      <c r="G672" s="627"/>
      <c r="H672" s="627"/>
    </row>
    <row r="673" spans="1:8">
      <c r="A673" s="792"/>
      <c r="B673" s="793"/>
      <c r="C673" s="109" t="s">
        <v>4278</v>
      </c>
      <c r="D673" s="595"/>
      <c r="E673" s="595"/>
      <c r="F673" s="595" t="s">
        <v>2070</v>
      </c>
      <c r="G673" s="627"/>
      <c r="H673" s="627"/>
    </row>
    <row r="674" spans="1:8">
      <c r="A674" s="792"/>
      <c r="B674" s="793"/>
      <c r="C674" s="136" t="s">
        <v>4410</v>
      </c>
      <c r="D674" s="627"/>
      <c r="E674" s="387">
        <f>2*2*1.9*0.075*0.0375</f>
        <v>2.1399999999999999E-2</v>
      </c>
      <c r="F674" s="792" t="s">
        <v>2070</v>
      </c>
      <c r="G674" s="627"/>
      <c r="H674" s="627"/>
    </row>
    <row r="675" spans="1:8">
      <c r="A675" s="792"/>
      <c r="B675" s="793"/>
      <c r="C675" s="120" t="s">
        <v>4417</v>
      </c>
      <c r="D675" s="627"/>
      <c r="E675" s="387">
        <f>1*2*0.47*0.075*0.0375</f>
        <v>2.5999999999999999E-3</v>
      </c>
      <c r="F675" s="792" t="s">
        <v>2070</v>
      </c>
      <c r="G675" s="627"/>
      <c r="H675" s="627"/>
    </row>
    <row r="676" spans="1:8">
      <c r="A676" s="792"/>
      <c r="B676" s="793"/>
      <c r="C676" s="120"/>
      <c r="D676" s="795"/>
      <c r="E676" s="121" t="s">
        <v>1530</v>
      </c>
      <c r="F676" s="131"/>
      <c r="G676" s="627"/>
      <c r="H676" s="627"/>
    </row>
    <row r="677" spans="1:8">
      <c r="A677" s="792"/>
      <c r="B677" s="793"/>
      <c r="C677" s="792"/>
      <c r="D677" s="792"/>
      <c r="E677" s="796">
        <f>SUM(E674:E676)</f>
        <v>2.4E-2</v>
      </c>
      <c r="F677" s="595" t="s">
        <v>2070</v>
      </c>
      <c r="G677" s="627"/>
      <c r="H677" s="627"/>
    </row>
    <row r="678" spans="1:8">
      <c r="A678" s="792"/>
      <c r="B678" s="793"/>
      <c r="C678" s="792"/>
      <c r="D678" s="792"/>
      <c r="E678" s="121" t="s">
        <v>1530</v>
      </c>
      <c r="F678" s="595"/>
      <c r="G678" s="627"/>
      <c r="H678" s="627"/>
    </row>
    <row r="679" spans="1:8">
      <c r="A679" s="792"/>
      <c r="B679" s="793"/>
      <c r="C679" s="120" t="s">
        <v>417</v>
      </c>
      <c r="D679" s="627"/>
      <c r="E679" s="627"/>
      <c r="F679" s="627"/>
      <c r="G679" s="627"/>
      <c r="H679" s="627"/>
    </row>
    <row r="680" spans="1:8">
      <c r="A680" s="792"/>
      <c r="B680" s="793"/>
      <c r="C680" s="120" t="s">
        <v>4418</v>
      </c>
      <c r="D680" s="389"/>
      <c r="E680" s="386">
        <f>1*1.9*0.47</f>
        <v>0.89300000000000002</v>
      </c>
      <c r="F680" s="7" t="s">
        <v>578</v>
      </c>
      <c r="G680" s="627"/>
      <c r="H680" s="627"/>
    </row>
    <row r="681" spans="1:8">
      <c r="A681" s="792"/>
      <c r="B681" s="793"/>
      <c r="C681" s="120"/>
      <c r="D681" s="389"/>
      <c r="E681" s="386"/>
      <c r="F681" s="131"/>
      <c r="G681" s="627"/>
      <c r="H681" s="627"/>
    </row>
    <row r="682" spans="1:8">
      <c r="A682" s="792"/>
      <c r="B682" s="793"/>
      <c r="C682" s="120" t="s">
        <v>4282</v>
      </c>
      <c r="D682" s="389"/>
      <c r="E682" s="386"/>
      <c r="F682" s="131"/>
      <c r="G682" s="627"/>
      <c r="H682" s="627"/>
    </row>
    <row r="683" spans="1:8">
      <c r="A683" s="792"/>
      <c r="B683" s="793"/>
      <c r="C683" s="120" t="s">
        <v>4419</v>
      </c>
      <c r="D683" s="389"/>
      <c r="E683" s="387">
        <f>1*1.775*0.345</f>
        <v>0.61240000000000006</v>
      </c>
      <c r="F683" s="131" t="str">
        <f>F680</f>
        <v>SQM</v>
      </c>
      <c r="G683" s="595"/>
      <c r="H683" s="627"/>
    </row>
    <row r="684" spans="1:8">
      <c r="A684" s="792"/>
      <c r="B684" s="793"/>
      <c r="C684" s="120" t="s">
        <v>4284</v>
      </c>
      <c r="D684" s="792"/>
      <c r="E684" s="394"/>
      <c r="F684" s="136"/>
      <c r="G684" s="595"/>
      <c r="H684" s="627"/>
    </row>
    <row r="685" spans="1:8">
      <c r="A685" s="137"/>
      <c r="B685" s="793"/>
      <c r="C685" s="120" t="s">
        <v>4420</v>
      </c>
      <c r="D685" s="389"/>
      <c r="E685" s="797">
        <f>1.775+0.345</f>
        <v>2.12</v>
      </c>
      <c r="F685" s="131"/>
      <c r="G685" s="595"/>
      <c r="H685" s="627"/>
    </row>
    <row r="686" spans="1:8">
      <c r="A686" s="137"/>
      <c r="B686" s="793"/>
      <c r="C686" s="792"/>
      <c r="D686" s="798"/>
      <c r="E686" s="141">
        <f>E685*2</f>
        <v>4.24</v>
      </c>
      <c r="F686" s="122" t="s">
        <v>794</v>
      </c>
      <c r="G686" s="595"/>
      <c r="H686" s="627"/>
    </row>
    <row r="687" spans="1:8">
      <c r="A687" s="137"/>
      <c r="B687" s="793"/>
      <c r="C687" s="811" t="s">
        <v>4286</v>
      </c>
      <c r="D687" s="798"/>
      <c r="E687" s="118"/>
      <c r="F687" s="122"/>
      <c r="G687" s="595"/>
      <c r="H687" s="627"/>
    </row>
    <row r="688" spans="1:8">
      <c r="A688" s="131"/>
      <c r="B688" s="119"/>
      <c r="C688" s="127"/>
      <c r="D688" s="627"/>
      <c r="E688" s="122"/>
      <c r="F688" s="118"/>
      <c r="G688" s="595"/>
      <c r="H688" s="627"/>
    </row>
    <row r="689" spans="1:8">
      <c r="A689" s="133"/>
      <c r="B689" s="793"/>
      <c r="C689" s="109" t="s">
        <v>4287</v>
      </c>
      <c r="D689" s="627"/>
      <c r="E689" s="122"/>
      <c r="F689" s="794"/>
      <c r="G689" s="595"/>
      <c r="H689" s="627"/>
    </row>
    <row r="690" spans="1:8">
      <c r="A690" s="131">
        <f>E677</f>
        <v>2.4E-2</v>
      </c>
      <c r="B690" s="118" t="s">
        <v>836</v>
      </c>
      <c r="C690" s="120" t="s">
        <v>4288</v>
      </c>
      <c r="D690" s="122">
        <f>D654</f>
        <v>99400</v>
      </c>
      <c r="E690" s="118" t="s">
        <v>836</v>
      </c>
      <c r="F690" s="122">
        <f>(A690*D690)</f>
        <v>2385.6</v>
      </c>
      <c r="G690" s="595"/>
      <c r="H690" s="627"/>
    </row>
    <row r="691" spans="1:8">
      <c r="A691" s="131">
        <f>E680</f>
        <v>0.89300000000000002</v>
      </c>
      <c r="B691" s="7" t="s">
        <v>578</v>
      </c>
      <c r="C691" s="120" t="s">
        <v>417</v>
      </c>
      <c r="D691" s="122">
        <f t="shared" ref="D691:D698" si="24">D655</f>
        <v>1239</v>
      </c>
      <c r="E691" s="7" t="s">
        <v>578</v>
      </c>
      <c r="F691" s="122">
        <f t="shared" ref="F691:F698" si="25">(A691*D691)</f>
        <v>1106.43</v>
      </c>
      <c r="G691" s="595"/>
      <c r="H691" s="627"/>
    </row>
    <row r="692" spans="1:8">
      <c r="A692" s="133">
        <f>E683</f>
        <v>0.61240000000000006</v>
      </c>
      <c r="B692" s="7" t="s">
        <v>578</v>
      </c>
      <c r="C692" s="120" t="s">
        <v>4282</v>
      </c>
      <c r="D692" s="122">
        <f t="shared" si="24"/>
        <v>208.8</v>
      </c>
      <c r="E692" s="7" t="s">
        <v>578</v>
      </c>
      <c r="F692" s="122">
        <f t="shared" si="25"/>
        <v>127.87</v>
      </c>
      <c r="G692" s="595"/>
      <c r="H692" s="627"/>
    </row>
    <row r="693" spans="1:8">
      <c r="A693" s="122">
        <f>E686</f>
        <v>4.24</v>
      </c>
      <c r="B693" s="122" t="s">
        <v>794</v>
      </c>
      <c r="C693" s="109" t="s">
        <v>4289</v>
      </c>
      <c r="D693" s="122">
        <f t="shared" si="24"/>
        <v>48.7</v>
      </c>
      <c r="E693" s="122" t="s">
        <v>794</v>
      </c>
      <c r="F693" s="122">
        <f t="shared" si="25"/>
        <v>206.49</v>
      </c>
      <c r="G693" s="595"/>
      <c r="H693" s="627"/>
    </row>
    <row r="694" spans="1:8">
      <c r="A694" s="122">
        <v>3</v>
      </c>
      <c r="B694" s="7" t="s">
        <v>835</v>
      </c>
      <c r="C694" s="1" t="s">
        <v>1460</v>
      </c>
      <c r="D694" s="122">
        <f t="shared" si="24"/>
        <v>83</v>
      </c>
      <c r="E694" s="1" t="s">
        <v>835</v>
      </c>
      <c r="F694" s="122">
        <f t="shared" si="25"/>
        <v>249</v>
      </c>
      <c r="G694" s="595"/>
      <c r="H694" s="627"/>
    </row>
    <row r="695" spans="1:8">
      <c r="A695" s="122">
        <v>2</v>
      </c>
      <c r="B695" s="7" t="s">
        <v>835</v>
      </c>
      <c r="C695" s="1" t="s">
        <v>3501</v>
      </c>
      <c r="D695" s="122">
        <f t="shared" si="24"/>
        <v>68.5</v>
      </c>
      <c r="E695" s="1" t="s">
        <v>835</v>
      </c>
      <c r="F695" s="122">
        <f t="shared" si="25"/>
        <v>137</v>
      </c>
      <c r="G695" s="595"/>
      <c r="H695" s="627"/>
    </row>
    <row r="696" spans="1:8">
      <c r="A696" s="122">
        <v>1</v>
      </c>
      <c r="B696" s="7" t="s">
        <v>835</v>
      </c>
      <c r="C696" s="1" t="s">
        <v>3502</v>
      </c>
      <c r="D696" s="122">
        <f t="shared" si="24"/>
        <v>53.4</v>
      </c>
      <c r="E696" s="1" t="s">
        <v>835</v>
      </c>
      <c r="F696" s="122">
        <f t="shared" si="25"/>
        <v>53.4</v>
      </c>
      <c r="G696" s="595"/>
      <c r="H696" s="627"/>
    </row>
    <row r="697" spans="1:8">
      <c r="A697" s="122">
        <v>1</v>
      </c>
      <c r="B697" s="7" t="s">
        <v>835</v>
      </c>
      <c r="C697" s="1" t="s">
        <v>1911</v>
      </c>
      <c r="D697" s="122">
        <f t="shared" si="24"/>
        <v>7.3</v>
      </c>
      <c r="E697" s="1" t="s">
        <v>835</v>
      </c>
      <c r="F697" s="122">
        <f t="shared" si="25"/>
        <v>7.3</v>
      </c>
      <c r="G697" s="595"/>
      <c r="H697" s="627"/>
    </row>
    <row r="698" spans="1:8">
      <c r="A698" s="122">
        <v>40</v>
      </c>
      <c r="B698" s="7" t="s">
        <v>835</v>
      </c>
      <c r="C698" s="1" t="s">
        <v>4290</v>
      </c>
      <c r="D698" s="122">
        <f t="shared" si="24"/>
        <v>2.39</v>
      </c>
      <c r="E698" s="1" t="s">
        <v>835</v>
      </c>
      <c r="F698" s="122">
        <f t="shared" si="25"/>
        <v>95.6</v>
      </c>
      <c r="G698" s="595"/>
      <c r="H698" s="627"/>
    </row>
    <row r="699" spans="1:8">
      <c r="A699" s="122"/>
      <c r="B699" s="119"/>
      <c r="C699" s="120"/>
      <c r="D699" s="627"/>
      <c r="E699" s="122"/>
      <c r="F699" s="121" t="s">
        <v>1530</v>
      </c>
      <c r="G699" s="595"/>
      <c r="H699" s="627"/>
    </row>
    <row r="700" spans="1:8">
      <c r="A700" s="792"/>
      <c r="B700" s="793"/>
      <c r="C700" s="120" t="s">
        <v>4421</v>
      </c>
      <c r="D700" s="627"/>
      <c r="E700" s="118"/>
      <c r="F700" s="795">
        <f>SUM(F690:F699)</f>
        <v>4368.6899999999996</v>
      </c>
      <c r="G700" s="595"/>
      <c r="H700" s="627"/>
    </row>
    <row r="701" spans="1:8">
      <c r="A701" s="792"/>
      <c r="B701" s="793"/>
      <c r="C701" s="627"/>
      <c r="D701" s="122"/>
      <c r="E701" s="794"/>
      <c r="F701" s="121" t="s">
        <v>1530</v>
      </c>
      <c r="G701" s="595"/>
      <c r="H701" s="627"/>
    </row>
    <row r="702" spans="1:8">
      <c r="A702" s="792"/>
      <c r="B702" s="793"/>
      <c r="C702" s="795" t="s">
        <v>3952</v>
      </c>
      <c r="D702" s="122"/>
      <c r="E702" s="794"/>
      <c r="F702" s="639">
        <f>F700/A691</f>
        <v>4892.1499999999996</v>
      </c>
      <c r="G702" s="595"/>
      <c r="H702" s="627"/>
    </row>
    <row r="703" spans="1:8">
      <c r="A703" s="792"/>
      <c r="B703" s="793"/>
      <c r="C703" s="792"/>
      <c r="D703" s="122"/>
      <c r="E703" s="794"/>
      <c r="F703" s="627"/>
      <c r="G703" s="595"/>
      <c r="H703" s="627"/>
    </row>
    <row r="704" spans="1:8">
      <c r="A704" s="627"/>
      <c r="B704" s="627"/>
      <c r="C704" s="627"/>
      <c r="D704" s="627"/>
      <c r="E704" s="627"/>
      <c r="F704" s="627"/>
      <c r="G704" s="595"/>
      <c r="H704" s="627"/>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ageMargins left="1.56" right="0.7" top="0.75" bottom="0.59" header="0.3" footer="0.3"/>
  <pageSetup paperSize="9" scale="85" orientation="portrait" r:id="rId1"/>
  <headerFooter>
    <oddHeader>&amp;C&amp;P</oddHeader>
  </headerFooter>
</worksheet>
</file>

<file path=xl/worksheets/sheet9.xml><?xml version="1.0" encoding="utf-8"?>
<worksheet xmlns="http://schemas.openxmlformats.org/spreadsheetml/2006/main" xmlns:r="http://schemas.openxmlformats.org/officeDocument/2006/relationships">
  <sheetPr filterMode="1">
    <tabColor rgb="FFFFFF00"/>
  </sheetPr>
  <dimension ref="A1:AJ502"/>
  <sheetViews>
    <sheetView showZeros="0" view="pageBreakPreview" zoomScale="55" zoomScaleNormal="40" zoomScaleSheetLayoutView="55" workbookViewId="0">
      <pane xSplit="4" ySplit="5" topLeftCell="I6" activePane="bottomRight" state="frozen"/>
      <selection pane="topRight" activeCell="E1" sqref="E1"/>
      <selection pane="bottomLeft" activeCell="A5" sqref="A5"/>
      <selection pane="bottomRight" activeCell="O15" sqref="O15"/>
    </sheetView>
  </sheetViews>
  <sheetFormatPr defaultRowHeight="25.5"/>
  <cols>
    <col min="1" max="1" width="10" style="1280" customWidth="1"/>
    <col min="2" max="2" width="64.44140625" style="1280" customWidth="1"/>
    <col min="3" max="3" width="16.5546875" style="1281" customWidth="1"/>
    <col min="4" max="4" width="19.88671875" style="1282" bestFit="1" customWidth="1"/>
    <col min="5" max="5" width="14.5546875" style="1283" customWidth="1"/>
    <col min="6" max="6" width="19.109375" style="1282" customWidth="1"/>
    <col min="7" max="7" width="12" style="1282" customWidth="1"/>
    <col min="8" max="8" width="15.6640625" style="1282" customWidth="1"/>
    <col min="9" max="9" width="10.6640625" style="1282" customWidth="1"/>
    <col min="10" max="10" width="15.6640625" style="1282" customWidth="1"/>
    <col min="11" max="11" width="11.77734375" style="1282" customWidth="1"/>
    <col min="12" max="12" width="15.6640625" style="1282" customWidth="1"/>
    <col min="13" max="13" width="12.109375" style="1282" customWidth="1"/>
    <col min="14" max="14" width="17.44140625" style="1282" customWidth="1"/>
    <col min="15" max="15" width="10.33203125" style="1282" customWidth="1"/>
    <col min="16" max="16" width="15.6640625" style="1282" customWidth="1"/>
    <col min="17" max="17" width="11.109375" style="1282" customWidth="1"/>
    <col min="18" max="18" width="15.6640625" style="1282" customWidth="1"/>
    <col min="19" max="19" width="10.6640625" style="1282" customWidth="1"/>
    <col min="20" max="20" width="15.109375" style="1282" customWidth="1"/>
    <col min="21" max="21" width="11.88671875" style="1281" customWidth="1"/>
    <col min="22" max="22" width="16.6640625" style="1281" customWidth="1"/>
    <col min="23" max="23" width="12.77734375" style="1290" customWidth="1"/>
    <col min="24" max="24" width="16.6640625" style="1281" customWidth="1"/>
    <col min="25" max="25" width="12.77734375" style="1038" bestFit="1" customWidth="1"/>
    <col min="26" max="26" width="19.33203125" style="1038" customWidth="1"/>
    <col min="27" max="27" width="22.21875" style="551" bestFit="1" customWidth="1"/>
    <col min="28" max="28" width="21.109375" style="551" bestFit="1" customWidth="1"/>
    <col min="29" max="29" width="15.88671875" style="552" bestFit="1" customWidth="1"/>
    <col min="30" max="30" width="8.88671875" style="552"/>
    <col min="31" max="31" width="13.44140625" style="552" bestFit="1" customWidth="1"/>
    <col min="32" max="32" width="8.88671875" style="552"/>
    <col min="33" max="33" width="11.77734375" style="552" bestFit="1" customWidth="1"/>
    <col min="34" max="35" width="8.88671875" style="552"/>
    <col min="36" max="36" width="11.6640625" style="552" bestFit="1" customWidth="1"/>
    <col min="37" max="16384" width="8.88671875" style="552"/>
  </cols>
  <sheetData>
    <row r="1" spans="1:29" ht="72.75" customHeight="1">
      <c r="A1" s="1499" t="str">
        <f>'G. Abstract'!A3:F3</f>
        <v>N/W : Construction of District office building for Tamilnadu Pollution Control Board at Theni in Theni district.</v>
      </c>
      <c r="B1" s="1500"/>
      <c r="C1" s="1500"/>
      <c r="D1" s="1500"/>
      <c r="E1" s="1501"/>
      <c r="F1" s="1500"/>
      <c r="G1" s="1500"/>
      <c r="H1" s="1500"/>
      <c r="I1" s="1500"/>
      <c r="J1" s="1500"/>
      <c r="K1" s="1500"/>
      <c r="L1" s="1500"/>
      <c r="M1" s="1500"/>
      <c r="N1" s="1500"/>
      <c r="O1" s="1500"/>
      <c r="P1" s="1500"/>
      <c r="Q1" s="1500"/>
      <c r="R1" s="1500"/>
      <c r="S1" s="1500"/>
      <c r="T1" s="1500"/>
      <c r="U1" s="1500"/>
      <c r="V1" s="1500"/>
      <c r="W1" s="1500"/>
      <c r="X1" s="1500"/>
      <c r="Y1" s="1500"/>
      <c r="Z1" s="1502"/>
    </row>
    <row r="2" spans="1:29" ht="72.75" customHeight="1">
      <c r="A2" s="1499" t="s">
        <v>6074</v>
      </c>
      <c r="B2" s="1500"/>
      <c r="C2" s="1500"/>
      <c r="D2" s="1500"/>
      <c r="E2" s="1500"/>
      <c r="F2" s="1500"/>
      <c r="G2" s="1500"/>
      <c r="H2" s="1500"/>
      <c r="I2" s="1500"/>
      <c r="J2" s="1500"/>
      <c r="K2" s="1500"/>
      <c r="L2" s="1500"/>
      <c r="M2" s="1500"/>
      <c r="N2" s="1500"/>
      <c r="O2" s="1500"/>
      <c r="P2" s="1500"/>
      <c r="Q2" s="1500"/>
      <c r="R2" s="1500"/>
      <c r="S2" s="1500"/>
      <c r="T2" s="1500"/>
      <c r="U2" s="1500"/>
      <c r="V2" s="1500"/>
      <c r="W2" s="1500"/>
      <c r="X2" s="1500"/>
      <c r="Y2" s="1500"/>
      <c r="Z2" s="1502"/>
    </row>
    <row r="3" spans="1:29" s="887" customFormat="1" ht="55.9" customHeight="1">
      <c r="A3" s="1503" t="s">
        <v>218</v>
      </c>
      <c r="B3" s="1503" t="s">
        <v>1720</v>
      </c>
      <c r="C3" s="1503" t="s">
        <v>95</v>
      </c>
      <c r="D3" s="1503" t="s">
        <v>216</v>
      </c>
      <c r="E3" s="1504" t="s">
        <v>5058</v>
      </c>
      <c r="F3" s="1505"/>
      <c r="G3" s="1506" t="s">
        <v>5057</v>
      </c>
      <c r="H3" s="1507"/>
      <c r="I3" s="1505" t="s">
        <v>5056</v>
      </c>
      <c r="J3" s="1505"/>
      <c r="K3" s="1506" t="s">
        <v>5055</v>
      </c>
      <c r="L3" s="1507"/>
      <c r="M3" s="1505" t="s">
        <v>5054</v>
      </c>
      <c r="N3" s="1505"/>
      <c r="O3" s="1505" t="s">
        <v>5053</v>
      </c>
      <c r="P3" s="1505"/>
      <c r="Q3" s="1505" t="s">
        <v>5052</v>
      </c>
      <c r="R3" s="1505"/>
      <c r="S3" s="1505" t="s">
        <v>5051</v>
      </c>
      <c r="T3" s="1505"/>
      <c r="U3" s="1503" t="s">
        <v>4950</v>
      </c>
      <c r="V3" s="1503"/>
      <c r="W3" s="1503" t="s">
        <v>4603</v>
      </c>
      <c r="X3" s="1503"/>
      <c r="Y3" s="1503" t="s">
        <v>4604</v>
      </c>
      <c r="Z3" s="1503"/>
      <c r="AB3" s="888"/>
    </row>
    <row r="4" spans="1:29" s="887" customFormat="1" ht="31.9" customHeight="1">
      <c r="A4" s="1503"/>
      <c r="B4" s="1503"/>
      <c r="C4" s="1503"/>
      <c r="D4" s="1503"/>
      <c r="E4" s="1395" t="s">
        <v>2033</v>
      </c>
      <c r="F4" s="1393" t="s">
        <v>939</v>
      </c>
      <c r="G4" s="1395" t="s">
        <v>2033</v>
      </c>
      <c r="H4" s="1393" t="s">
        <v>939</v>
      </c>
      <c r="I4" s="1053" t="s">
        <v>2033</v>
      </c>
      <c r="J4" s="1393" t="s">
        <v>939</v>
      </c>
      <c r="K4" s="1053" t="s">
        <v>2033</v>
      </c>
      <c r="L4" s="1393" t="s">
        <v>939</v>
      </c>
      <c r="M4" s="1053" t="s">
        <v>2033</v>
      </c>
      <c r="N4" s="1393" t="s">
        <v>939</v>
      </c>
      <c r="O4" s="1395" t="s">
        <v>1007</v>
      </c>
      <c r="P4" s="1393" t="s">
        <v>939</v>
      </c>
      <c r="Q4" s="1395" t="s">
        <v>1007</v>
      </c>
      <c r="R4" s="1393" t="s">
        <v>939</v>
      </c>
      <c r="S4" s="1395" t="s">
        <v>1007</v>
      </c>
      <c r="T4" s="1393" t="s">
        <v>939</v>
      </c>
      <c r="U4" s="1122" t="s">
        <v>1007</v>
      </c>
      <c r="V4" s="1396" t="s">
        <v>939</v>
      </c>
      <c r="W4" s="1122" t="s">
        <v>1007</v>
      </c>
      <c r="X4" s="1396" t="s">
        <v>939</v>
      </c>
      <c r="Y4" s="1396" t="s">
        <v>1007</v>
      </c>
      <c r="Z4" s="1396" t="s">
        <v>939</v>
      </c>
      <c r="AA4" s="888"/>
      <c r="AB4" s="888"/>
    </row>
    <row r="5" spans="1:29" s="887" customFormat="1" ht="39.75" customHeight="1">
      <c r="A5" s="1396"/>
      <c r="B5" s="1396"/>
      <c r="C5" s="1396"/>
      <c r="D5" s="1396"/>
      <c r="E5" s="1122"/>
      <c r="F5" s="1396"/>
      <c r="G5" s="1396"/>
      <c r="H5" s="1396"/>
      <c r="I5" s="1396"/>
      <c r="J5" s="1396"/>
      <c r="K5" s="1396"/>
      <c r="L5" s="1396"/>
      <c r="M5" s="1396"/>
      <c r="N5" s="1396"/>
      <c r="O5" s="1396"/>
      <c r="P5" s="1396"/>
      <c r="Q5" s="1396"/>
      <c r="R5" s="1396"/>
      <c r="S5" s="1396"/>
      <c r="T5" s="1396"/>
      <c r="U5" s="1396"/>
      <c r="V5" s="1396"/>
      <c r="W5" s="1122"/>
      <c r="X5" s="1396"/>
      <c r="Y5" s="1396"/>
      <c r="Z5" s="1396"/>
      <c r="AA5" s="888"/>
      <c r="AB5" s="888"/>
    </row>
    <row r="6" spans="1:29" ht="50.25" customHeight="1">
      <c r="A6" s="1124">
        <v>1.1000000000000001</v>
      </c>
      <c r="B6" s="1125" t="s">
        <v>5641</v>
      </c>
      <c r="C6" s="1126"/>
      <c r="D6" s="1127" t="s">
        <v>940</v>
      </c>
      <c r="E6" s="1128"/>
      <c r="F6" s="1127"/>
      <c r="G6" s="1127"/>
      <c r="H6" s="1127"/>
      <c r="I6" s="1127"/>
      <c r="J6" s="1127"/>
      <c r="K6" s="1127"/>
      <c r="L6" s="1127"/>
      <c r="M6" s="1127"/>
      <c r="N6" s="1127"/>
      <c r="O6" s="1127"/>
      <c r="P6" s="1127"/>
      <c r="Q6" s="1127"/>
      <c r="R6" s="1127"/>
      <c r="S6" s="1127"/>
      <c r="T6" s="1127"/>
      <c r="U6" s="1052"/>
      <c r="V6" s="1052"/>
      <c r="W6" s="1129"/>
      <c r="X6" s="1052"/>
      <c r="Y6" s="1130" t="s">
        <v>2167</v>
      </c>
      <c r="Z6" s="1130"/>
    </row>
    <row r="7" spans="1:29" ht="36" customHeight="1">
      <c r="A7" s="1124"/>
      <c r="B7" s="1125" t="s">
        <v>1909</v>
      </c>
      <c r="C7" s="1052">
        <f>ROUND(Data!K91,2)</f>
        <v>204.4</v>
      </c>
      <c r="D7" s="1127" t="s">
        <v>1153</v>
      </c>
      <c r="E7" s="1128">
        <f>detailed!G51</f>
        <v>462.1</v>
      </c>
      <c r="F7" s="1127">
        <f>E7*C7</f>
        <v>94453.24</v>
      </c>
      <c r="G7" s="1127"/>
      <c r="H7" s="1127">
        <f>G7*C7</f>
        <v>0</v>
      </c>
      <c r="I7" s="1127"/>
      <c r="J7" s="1127">
        <f>I7*C7</f>
        <v>0</v>
      </c>
      <c r="K7" s="1127">
        <f>'Plinth P'!G10</f>
        <v>13.6</v>
      </c>
      <c r="L7" s="1127">
        <f>K7*C7</f>
        <v>2779.84</v>
      </c>
      <c r="M7" s="1127"/>
      <c r="N7" s="1127">
        <f>M7*C7</f>
        <v>0</v>
      </c>
      <c r="O7" s="1127"/>
      <c r="P7" s="1127">
        <f>O7*C7</f>
        <v>0</v>
      </c>
      <c r="Q7" s="1127"/>
      <c r="R7" s="1127">
        <f>Q7*C7</f>
        <v>0</v>
      </c>
      <c r="S7" s="1045"/>
      <c r="T7" s="1131">
        <f>S7*C7</f>
        <v>0</v>
      </c>
      <c r="U7" s="1045">
        <f>Com.wall!H10</f>
        <v>62.4</v>
      </c>
      <c r="V7" s="1045">
        <f t="shared" ref="V7:V70" si="0">U7*C7</f>
        <v>12754.56</v>
      </c>
      <c r="W7" s="1132">
        <f>U7+S7+Q7+O7+M7+K7+I7+G7</f>
        <v>76</v>
      </c>
      <c r="X7" s="1045">
        <f>W7*C7</f>
        <v>15534.4</v>
      </c>
      <c r="Y7" s="1132">
        <f>building!Y6</f>
        <v>538.1</v>
      </c>
      <c r="Z7" s="1045">
        <f>Y7*C7</f>
        <v>109987.64</v>
      </c>
      <c r="AA7" s="890"/>
      <c r="AB7" s="890"/>
    </row>
    <row r="8" spans="1:29" s="718" customFormat="1">
      <c r="A8" s="1133"/>
      <c r="B8" s="1134" t="s">
        <v>691</v>
      </c>
      <c r="C8" s="1135">
        <f>ROUND(Data!K92,2)</f>
        <v>213.7</v>
      </c>
      <c r="D8" s="1136" t="s">
        <v>1153</v>
      </c>
      <c r="E8" s="1137"/>
      <c r="F8" s="1127">
        <f t="shared" ref="F8:F71" si="1">E8*C8</f>
        <v>0</v>
      </c>
      <c r="G8" s="1136"/>
      <c r="H8" s="1127">
        <f t="shared" ref="H8:H71" si="2">G8*C8</f>
        <v>0</v>
      </c>
      <c r="I8" s="1136"/>
      <c r="J8" s="1127">
        <f t="shared" ref="J8:J71" si="3">I8*C8</f>
        <v>0</v>
      </c>
      <c r="K8" s="1136"/>
      <c r="L8" s="1127">
        <f t="shared" ref="L8:L71" si="4">K8*C8</f>
        <v>0</v>
      </c>
      <c r="M8" s="1136"/>
      <c r="N8" s="1127">
        <f t="shared" ref="N8:N71" si="5">M8*C8</f>
        <v>0</v>
      </c>
      <c r="O8" s="1136"/>
      <c r="P8" s="1127">
        <f t="shared" ref="P8:P71" si="6">O8*C8</f>
        <v>0</v>
      </c>
      <c r="Q8" s="1136"/>
      <c r="R8" s="1127">
        <f t="shared" ref="R8:R71" si="7">Q8*C8</f>
        <v>0</v>
      </c>
      <c r="S8" s="1028"/>
      <c r="T8" s="1131">
        <f t="shared" ref="T8:T71" si="8">S8*C8</f>
        <v>0</v>
      </c>
      <c r="U8" s="1045"/>
      <c r="V8" s="1045">
        <f t="shared" si="0"/>
        <v>0</v>
      </c>
      <c r="W8" s="1132">
        <f t="shared" ref="W8:W71" si="9">U8+S8+Q8+O8+M8+K8+I8+G8</f>
        <v>0</v>
      </c>
      <c r="X8" s="1045">
        <f t="shared" ref="X8:X71" si="10">W8*C8</f>
        <v>0</v>
      </c>
      <c r="Y8" s="1132">
        <f>building!Y7</f>
        <v>0</v>
      </c>
      <c r="Z8" s="1045">
        <f t="shared" ref="Z8:Z71" si="11">Y8*C8</f>
        <v>0</v>
      </c>
      <c r="AA8" s="891"/>
      <c r="AB8" s="891"/>
    </row>
    <row r="9" spans="1:29" ht="45">
      <c r="A9" s="1124">
        <v>1.5</v>
      </c>
      <c r="B9" s="1125" t="s">
        <v>5642</v>
      </c>
      <c r="C9" s="1052"/>
      <c r="D9" s="1127" t="s">
        <v>940</v>
      </c>
      <c r="E9" s="1128"/>
      <c r="F9" s="1127">
        <f t="shared" si="1"/>
        <v>0</v>
      </c>
      <c r="G9" s="1127"/>
      <c r="H9" s="1127">
        <f t="shared" si="2"/>
        <v>0</v>
      </c>
      <c r="I9" s="1127"/>
      <c r="J9" s="1127">
        <f t="shared" si="3"/>
        <v>0</v>
      </c>
      <c r="K9" s="1127"/>
      <c r="L9" s="1127">
        <f t="shared" si="4"/>
        <v>0</v>
      </c>
      <c r="M9" s="1127"/>
      <c r="N9" s="1127">
        <f t="shared" si="5"/>
        <v>0</v>
      </c>
      <c r="O9" s="1127"/>
      <c r="P9" s="1127">
        <f t="shared" si="6"/>
        <v>0</v>
      </c>
      <c r="Q9" s="1127"/>
      <c r="R9" s="1127">
        <f t="shared" si="7"/>
        <v>0</v>
      </c>
      <c r="S9" s="1049"/>
      <c r="T9" s="1131">
        <f t="shared" si="8"/>
        <v>0</v>
      </c>
      <c r="U9" s="1045"/>
      <c r="V9" s="1045">
        <f t="shared" si="0"/>
        <v>0</v>
      </c>
      <c r="W9" s="1132">
        <f t="shared" si="9"/>
        <v>0</v>
      </c>
      <c r="X9" s="1045">
        <f t="shared" si="10"/>
        <v>0</v>
      </c>
      <c r="Y9" s="1132">
        <f>building!Y8</f>
        <v>0</v>
      </c>
      <c r="Z9" s="1045">
        <f t="shared" si="11"/>
        <v>0</v>
      </c>
      <c r="AA9" s="785"/>
      <c r="AB9" s="890"/>
      <c r="AC9" s="862"/>
    </row>
    <row r="10" spans="1:29" ht="49.5" customHeight="1">
      <c r="A10" s="1124"/>
      <c r="B10" s="1125" t="s">
        <v>1909</v>
      </c>
      <c r="C10" s="1052">
        <f>ROUND(Data!K121,2)</f>
        <v>96.6</v>
      </c>
      <c r="D10" s="1127" t="s">
        <v>1153</v>
      </c>
      <c r="E10" s="1128"/>
      <c r="F10" s="1127">
        <f t="shared" si="1"/>
        <v>0</v>
      </c>
      <c r="G10" s="1127">
        <f>ST!G10</f>
        <v>66.3</v>
      </c>
      <c r="H10" s="1127">
        <f t="shared" si="2"/>
        <v>6404.58</v>
      </c>
      <c r="I10" s="1127">
        <f>Sump!G7</f>
        <v>69.099999999999994</v>
      </c>
      <c r="J10" s="1127">
        <f t="shared" si="3"/>
        <v>6675.06</v>
      </c>
      <c r="K10" s="1127"/>
      <c r="L10" s="1127">
        <f t="shared" si="4"/>
        <v>0</v>
      </c>
      <c r="M10" s="1127"/>
      <c r="N10" s="1127">
        <f t="shared" si="5"/>
        <v>0</v>
      </c>
      <c r="O10" s="1127"/>
      <c r="P10" s="1127">
        <f t="shared" si="6"/>
        <v>0</v>
      </c>
      <c r="Q10" s="1127"/>
      <c r="R10" s="1127">
        <f t="shared" si="7"/>
        <v>0</v>
      </c>
      <c r="S10" s="1045"/>
      <c r="T10" s="1131">
        <f t="shared" si="8"/>
        <v>0</v>
      </c>
      <c r="U10" s="1045"/>
      <c r="V10" s="1045">
        <f t="shared" si="0"/>
        <v>0</v>
      </c>
      <c r="W10" s="1132">
        <f t="shared" si="9"/>
        <v>135.4</v>
      </c>
      <c r="X10" s="1045">
        <f t="shared" si="10"/>
        <v>13079.64</v>
      </c>
      <c r="Y10" s="1132">
        <f>building!Y9</f>
        <v>135.4</v>
      </c>
      <c r="Z10" s="1045">
        <f t="shared" si="11"/>
        <v>13079.64</v>
      </c>
      <c r="AA10" s="890"/>
      <c r="AB10" s="890"/>
    </row>
    <row r="11" spans="1:29">
      <c r="A11" s="1154"/>
      <c r="B11" s="1155" t="s">
        <v>691</v>
      </c>
      <c r="C11" s="1040">
        <f>ROUND(Data!K122,2)</f>
        <v>105.9</v>
      </c>
      <c r="D11" s="1127" t="s">
        <v>1153</v>
      </c>
      <c r="E11" s="1128"/>
      <c r="F11" s="1127">
        <f t="shared" si="1"/>
        <v>0</v>
      </c>
      <c r="G11" s="1127"/>
      <c r="H11" s="1127">
        <f t="shared" si="2"/>
        <v>0</v>
      </c>
      <c r="I11" s="1127"/>
      <c r="J11" s="1127">
        <f t="shared" si="3"/>
        <v>0</v>
      </c>
      <c r="K11" s="1127"/>
      <c r="L11" s="1127">
        <f t="shared" si="4"/>
        <v>0</v>
      </c>
      <c r="M11" s="1127"/>
      <c r="N11" s="1127">
        <f t="shared" si="5"/>
        <v>0</v>
      </c>
      <c r="O11" s="1127"/>
      <c r="P11" s="1127">
        <f t="shared" si="6"/>
        <v>0</v>
      </c>
      <c r="Q11" s="1127"/>
      <c r="R11" s="1127">
        <f t="shared" si="7"/>
        <v>0</v>
      </c>
      <c r="S11" s="1045"/>
      <c r="T11" s="1131">
        <f t="shared" si="8"/>
        <v>0</v>
      </c>
      <c r="U11" s="1045"/>
      <c r="V11" s="1045">
        <f t="shared" si="0"/>
        <v>0</v>
      </c>
      <c r="W11" s="1132">
        <f t="shared" si="9"/>
        <v>0</v>
      </c>
      <c r="X11" s="1045">
        <f t="shared" si="10"/>
        <v>0</v>
      </c>
      <c r="Y11" s="1132">
        <f>building!Y10</f>
        <v>0</v>
      </c>
      <c r="Z11" s="1045">
        <f t="shared" si="11"/>
        <v>0</v>
      </c>
      <c r="AA11" s="890"/>
      <c r="AB11" s="890"/>
    </row>
    <row r="12" spans="1:29" s="486" customFormat="1" ht="45">
      <c r="A12" s="1124">
        <v>1.6</v>
      </c>
      <c r="B12" s="1125" t="s">
        <v>5643</v>
      </c>
      <c r="C12" s="1052"/>
      <c r="D12" s="1127"/>
      <c r="E12" s="1128"/>
      <c r="F12" s="1127">
        <f t="shared" si="1"/>
        <v>0</v>
      </c>
      <c r="G12" s="1127"/>
      <c r="H12" s="1127">
        <f t="shared" si="2"/>
        <v>0</v>
      </c>
      <c r="I12" s="1127"/>
      <c r="J12" s="1127">
        <f t="shared" si="3"/>
        <v>0</v>
      </c>
      <c r="K12" s="1127"/>
      <c r="L12" s="1127">
        <f t="shared" si="4"/>
        <v>0</v>
      </c>
      <c r="M12" s="1127"/>
      <c r="N12" s="1127">
        <f t="shared" si="5"/>
        <v>0</v>
      </c>
      <c r="O12" s="1127"/>
      <c r="P12" s="1127">
        <f t="shared" si="6"/>
        <v>0</v>
      </c>
      <c r="Q12" s="1127"/>
      <c r="R12" s="1127">
        <f t="shared" si="7"/>
        <v>0</v>
      </c>
      <c r="S12" s="1028"/>
      <c r="T12" s="1131">
        <f t="shared" si="8"/>
        <v>0</v>
      </c>
      <c r="U12" s="1045"/>
      <c r="V12" s="1045">
        <f t="shared" si="0"/>
        <v>0</v>
      </c>
      <c r="W12" s="1132">
        <f t="shared" si="9"/>
        <v>0</v>
      </c>
      <c r="X12" s="1045">
        <f t="shared" si="10"/>
        <v>0</v>
      </c>
      <c r="Y12" s="1132">
        <f>building!Y11</f>
        <v>0</v>
      </c>
      <c r="Z12" s="1045">
        <f t="shared" si="11"/>
        <v>0</v>
      </c>
      <c r="AA12" s="892"/>
      <c r="AB12" s="891"/>
    </row>
    <row r="13" spans="1:29" s="486" customFormat="1">
      <c r="A13" s="1124"/>
      <c r="B13" s="1125" t="s">
        <v>1909</v>
      </c>
      <c r="C13" s="1052">
        <f>ROUND(Data!K136,2)</f>
        <v>144.9</v>
      </c>
      <c r="D13" s="1127" t="s">
        <v>1153</v>
      </c>
      <c r="E13" s="1128"/>
      <c r="F13" s="1127">
        <f t="shared" si="1"/>
        <v>0</v>
      </c>
      <c r="G13" s="1127"/>
      <c r="H13" s="1127">
        <f t="shared" si="2"/>
        <v>0</v>
      </c>
      <c r="I13" s="1127"/>
      <c r="J13" s="1127">
        <f t="shared" si="3"/>
        <v>0</v>
      </c>
      <c r="K13" s="1127"/>
      <c r="L13" s="1127">
        <f t="shared" si="4"/>
        <v>0</v>
      </c>
      <c r="M13" s="1127"/>
      <c r="N13" s="1127">
        <f t="shared" si="5"/>
        <v>0</v>
      </c>
      <c r="O13" s="1127">
        <f>'Sullage drain'!G10</f>
        <v>22.5</v>
      </c>
      <c r="P13" s="1127">
        <f t="shared" si="6"/>
        <v>3260.25</v>
      </c>
      <c r="Q13" s="1127"/>
      <c r="R13" s="1127">
        <f t="shared" si="7"/>
        <v>0</v>
      </c>
      <c r="S13" s="1028"/>
      <c r="T13" s="1131">
        <f t="shared" si="8"/>
        <v>0</v>
      </c>
      <c r="U13" s="1045"/>
      <c r="V13" s="1045">
        <f t="shared" si="0"/>
        <v>0</v>
      </c>
      <c r="W13" s="1132">
        <f t="shared" si="9"/>
        <v>22.5</v>
      </c>
      <c r="X13" s="1045">
        <f t="shared" si="10"/>
        <v>3260.25</v>
      </c>
      <c r="Y13" s="1132">
        <f>building!Y12</f>
        <v>22.5</v>
      </c>
      <c r="Z13" s="1045">
        <f t="shared" si="11"/>
        <v>3260.25</v>
      </c>
      <c r="AA13" s="892"/>
      <c r="AB13" s="891"/>
    </row>
    <row r="14" spans="1:29" s="486" customFormat="1">
      <c r="A14" s="1149"/>
      <c r="B14" s="1150" t="s">
        <v>691</v>
      </c>
      <c r="C14" s="1156">
        <f>ROUND(Data!K137,2)</f>
        <v>154.19999999999999</v>
      </c>
      <c r="D14" s="1152" t="s">
        <v>1153</v>
      </c>
      <c r="E14" s="1153"/>
      <c r="F14" s="1127">
        <f t="shared" si="1"/>
        <v>0</v>
      </c>
      <c r="G14" s="1152"/>
      <c r="H14" s="1127">
        <f t="shared" si="2"/>
        <v>0</v>
      </c>
      <c r="I14" s="1152"/>
      <c r="J14" s="1127">
        <f t="shared" si="3"/>
        <v>0</v>
      </c>
      <c r="K14" s="1152"/>
      <c r="L14" s="1127">
        <f t="shared" si="4"/>
        <v>0</v>
      </c>
      <c r="M14" s="1152"/>
      <c r="N14" s="1127">
        <f t="shared" si="5"/>
        <v>0</v>
      </c>
      <c r="O14" s="1152"/>
      <c r="P14" s="1127">
        <f t="shared" si="6"/>
        <v>0</v>
      </c>
      <c r="Q14" s="1152"/>
      <c r="R14" s="1127">
        <f t="shared" si="7"/>
        <v>0</v>
      </c>
      <c r="S14" s="1028"/>
      <c r="T14" s="1131">
        <f t="shared" si="8"/>
        <v>0</v>
      </c>
      <c r="U14" s="1045"/>
      <c r="V14" s="1045">
        <f t="shared" si="0"/>
        <v>0</v>
      </c>
      <c r="W14" s="1132">
        <f t="shared" si="9"/>
        <v>0</v>
      </c>
      <c r="X14" s="1045">
        <f t="shared" si="10"/>
        <v>0</v>
      </c>
      <c r="Y14" s="1132">
        <f>building!Y13</f>
        <v>0</v>
      </c>
      <c r="Z14" s="1045">
        <f t="shared" si="11"/>
        <v>0</v>
      </c>
      <c r="AA14" s="892"/>
      <c r="AB14" s="891"/>
    </row>
    <row r="15" spans="1:29" s="549" customFormat="1">
      <c r="A15" s="1124">
        <v>2.1</v>
      </c>
      <c r="B15" s="1125" t="s">
        <v>875</v>
      </c>
      <c r="C15" s="1052">
        <f>ROUND(Data!K147,2)</f>
        <v>1430.32</v>
      </c>
      <c r="D15" s="1127" t="s">
        <v>1153</v>
      </c>
      <c r="E15" s="1128">
        <f>detailed!G62</f>
        <v>65.099999999999994</v>
      </c>
      <c r="F15" s="1127">
        <f t="shared" si="1"/>
        <v>93113.83</v>
      </c>
      <c r="G15" s="1127">
        <f>ST!H79</f>
        <v>2.4</v>
      </c>
      <c r="H15" s="1127">
        <f t="shared" si="2"/>
        <v>3432.77</v>
      </c>
      <c r="I15" s="1127"/>
      <c r="J15" s="1127">
        <f t="shared" si="3"/>
        <v>0</v>
      </c>
      <c r="K15" s="1127">
        <f>'Plinth P'!G14</f>
        <v>2.2999999999999998</v>
      </c>
      <c r="L15" s="1127">
        <f t="shared" si="4"/>
        <v>3289.74</v>
      </c>
      <c r="M15" s="1127">
        <f>'Paver '!G16</f>
        <v>158.30000000000001</v>
      </c>
      <c r="N15" s="1127">
        <f t="shared" si="5"/>
        <v>226419.66</v>
      </c>
      <c r="O15" s="1127"/>
      <c r="P15" s="1127">
        <f t="shared" si="6"/>
        <v>0</v>
      </c>
      <c r="Q15" s="1127"/>
      <c r="R15" s="1127">
        <f t="shared" si="7"/>
        <v>0</v>
      </c>
      <c r="S15" s="1045"/>
      <c r="T15" s="1131">
        <f t="shared" si="8"/>
        <v>0</v>
      </c>
      <c r="U15" s="1045"/>
      <c r="V15" s="1045">
        <f t="shared" si="0"/>
        <v>0</v>
      </c>
      <c r="W15" s="1132">
        <f t="shared" si="9"/>
        <v>163</v>
      </c>
      <c r="X15" s="1045">
        <f t="shared" si="10"/>
        <v>233142.16</v>
      </c>
      <c r="Y15" s="1132">
        <f>building!Y14</f>
        <v>228.1</v>
      </c>
      <c r="Z15" s="1045">
        <f t="shared" si="11"/>
        <v>326255.99</v>
      </c>
      <c r="AA15" s="890"/>
      <c r="AB15" s="890"/>
    </row>
    <row r="16" spans="1:29" s="486" customFormat="1">
      <c r="A16" s="1149">
        <v>2.2000000000000002</v>
      </c>
      <c r="B16" s="1150" t="s">
        <v>221</v>
      </c>
      <c r="C16" s="1156">
        <f>ROUND(Data!K164,2)</f>
        <v>1350.13</v>
      </c>
      <c r="D16" s="1152" t="s">
        <v>1153</v>
      </c>
      <c r="E16" s="1153"/>
      <c r="F16" s="1127">
        <f t="shared" si="1"/>
        <v>0</v>
      </c>
      <c r="G16" s="1152"/>
      <c r="H16" s="1127">
        <f t="shared" si="2"/>
        <v>0</v>
      </c>
      <c r="I16" s="1152"/>
      <c r="J16" s="1127">
        <f t="shared" si="3"/>
        <v>0</v>
      </c>
      <c r="K16" s="1152"/>
      <c r="L16" s="1127">
        <f t="shared" si="4"/>
        <v>0</v>
      </c>
      <c r="M16" s="1152"/>
      <c r="N16" s="1127">
        <f t="shared" si="5"/>
        <v>0</v>
      </c>
      <c r="O16" s="1152"/>
      <c r="P16" s="1127">
        <f t="shared" si="6"/>
        <v>0</v>
      </c>
      <c r="Q16" s="1152"/>
      <c r="R16" s="1127">
        <f t="shared" si="7"/>
        <v>0</v>
      </c>
      <c r="S16" s="1028"/>
      <c r="T16" s="1131">
        <f t="shared" si="8"/>
        <v>0</v>
      </c>
      <c r="U16" s="1045"/>
      <c r="V16" s="1045">
        <f t="shared" si="0"/>
        <v>0</v>
      </c>
      <c r="W16" s="1132">
        <f t="shared" si="9"/>
        <v>0</v>
      </c>
      <c r="X16" s="1045">
        <f t="shared" si="10"/>
        <v>0</v>
      </c>
      <c r="Y16" s="1132">
        <f>building!Y15</f>
        <v>0</v>
      </c>
      <c r="Z16" s="1045">
        <f t="shared" si="11"/>
        <v>0</v>
      </c>
      <c r="AA16" s="892"/>
      <c r="AB16" s="891"/>
    </row>
    <row r="17" spans="1:29" s="718" customFormat="1">
      <c r="A17" s="1145">
        <v>2.2999999999999998</v>
      </c>
      <c r="B17" s="1146" t="s">
        <v>1921</v>
      </c>
      <c r="C17" s="1012">
        <f>ROUND(Data!C168,2)</f>
        <v>744.52</v>
      </c>
      <c r="D17" s="1157" t="s">
        <v>1153</v>
      </c>
      <c r="E17" s="1158"/>
      <c r="F17" s="1127">
        <f t="shared" si="1"/>
        <v>0</v>
      </c>
      <c r="G17" s="1157"/>
      <c r="H17" s="1127">
        <f t="shared" si="2"/>
        <v>0</v>
      </c>
      <c r="I17" s="1157"/>
      <c r="J17" s="1127">
        <f t="shared" si="3"/>
        <v>0</v>
      </c>
      <c r="K17" s="1157"/>
      <c r="L17" s="1127">
        <f t="shared" si="4"/>
        <v>0</v>
      </c>
      <c r="M17" s="1157"/>
      <c r="N17" s="1127">
        <f t="shared" si="5"/>
        <v>0</v>
      </c>
      <c r="O17" s="1157"/>
      <c r="P17" s="1127">
        <f t="shared" si="6"/>
        <v>0</v>
      </c>
      <c r="Q17" s="1157"/>
      <c r="R17" s="1127">
        <f t="shared" si="7"/>
        <v>0</v>
      </c>
      <c r="S17" s="1028"/>
      <c r="T17" s="1131">
        <f t="shared" si="8"/>
        <v>0</v>
      </c>
      <c r="U17" s="1045"/>
      <c r="V17" s="1045">
        <f t="shared" si="0"/>
        <v>0</v>
      </c>
      <c r="W17" s="1132">
        <f t="shared" si="9"/>
        <v>0</v>
      </c>
      <c r="X17" s="1045">
        <f t="shared" si="10"/>
        <v>0</v>
      </c>
      <c r="Y17" s="1132">
        <f>building!Y16</f>
        <v>0</v>
      </c>
      <c r="Z17" s="1045">
        <f t="shared" si="11"/>
        <v>0</v>
      </c>
      <c r="AA17" s="891"/>
      <c r="AB17" s="891"/>
    </row>
    <row r="18" spans="1:29" s="718" customFormat="1" ht="102">
      <c r="A18" s="1145">
        <v>2.4</v>
      </c>
      <c r="B18" s="1146" t="s">
        <v>6055</v>
      </c>
      <c r="C18" s="1012">
        <f>'Sub Data'!F20</f>
        <v>1159.55</v>
      </c>
      <c r="D18" s="1157" t="s">
        <v>1776</v>
      </c>
      <c r="E18" s="1158"/>
      <c r="F18" s="1127">
        <f t="shared" si="1"/>
        <v>0</v>
      </c>
      <c r="G18" s="1157"/>
      <c r="H18" s="1127">
        <f t="shared" si="2"/>
        <v>0</v>
      </c>
      <c r="I18" s="1157"/>
      <c r="J18" s="1127">
        <f t="shared" si="3"/>
        <v>0</v>
      </c>
      <c r="K18" s="1157"/>
      <c r="L18" s="1127">
        <f t="shared" si="4"/>
        <v>0</v>
      </c>
      <c r="M18" s="1157">
        <f>'Paver '!G22</f>
        <v>1055.2</v>
      </c>
      <c r="N18" s="1127">
        <f t="shared" si="5"/>
        <v>1223557.1599999999</v>
      </c>
      <c r="O18" s="1157"/>
      <c r="P18" s="1127">
        <f t="shared" si="6"/>
        <v>0</v>
      </c>
      <c r="Q18" s="1157"/>
      <c r="R18" s="1127">
        <f t="shared" si="7"/>
        <v>0</v>
      </c>
      <c r="S18" s="1028"/>
      <c r="T18" s="1131">
        <f t="shared" si="8"/>
        <v>0</v>
      </c>
      <c r="U18" s="1045"/>
      <c r="V18" s="1045">
        <f t="shared" si="0"/>
        <v>0</v>
      </c>
      <c r="W18" s="1132">
        <f t="shared" si="9"/>
        <v>1055.2</v>
      </c>
      <c r="X18" s="1045">
        <f t="shared" si="10"/>
        <v>1223557.1599999999</v>
      </c>
      <c r="Y18" s="1132">
        <f>building!Y17</f>
        <v>1055.2</v>
      </c>
      <c r="Z18" s="1045">
        <f t="shared" si="11"/>
        <v>1223557.1599999999</v>
      </c>
      <c r="AA18" s="891"/>
      <c r="AB18" s="891"/>
    </row>
    <row r="19" spans="1:29" s="486" customFormat="1">
      <c r="A19" s="1124">
        <v>2.5</v>
      </c>
      <c r="B19" s="1125" t="s">
        <v>4951</v>
      </c>
      <c r="C19" s="1024">
        <f>'Sub Data'!F8</f>
        <v>927.31</v>
      </c>
      <c r="D19" s="1138" t="s">
        <v>1153</v>
      </c>
      <c r="E19" s="1139"/>
      <c r="F19" s="1127">
        <f t="shared" si="1"/>
        <v>0</v>
      </c>
      <c r="G19" s="1138"/>
      <c r="H19" s="1127">
        <f t="shared" si="2"/>
        <v>0</v>
      </c>
      <c r="I19" s="1138"/>
      <c r="J19" s="1127">
        <f t="shared" si="3"/>
        <v>0</v>
      </c>
      <c r="K19" s="1138"/>
      <c r="L19" s="1127">
        <f t="shared" si="4"/>
        <v>0</v>
      </c>
      <c r="M19" s="1138">
        <f>'Paver '!G11</f>
        <v>158.30000000000001</v>
      </c>
      <c r="N19" s="1127">
        <f t="shared" si="5"/>
        <v>146793.17000000001</v>
      </c>
      <c r="O19" s="1138"/>
      <c r="P19" s="1127">
        <f t="shared" si="6"/>
        <v>0</v>
      </c>
      <c r="Q19" s="1138"/>
      <c r="R19" s="1127">
        <f t="shared" si="7"/>
        <v>0</v>
      </c>
      <c r="S19" s="1028"/>
      <c r="T19" s="1131">
        <f t="shared" si="8"/>
        <v>0</v>
      </c>
      <c r="U19" s="1045"/>
      <c r="V19" s="1045">
        <f t="shared" si="0"/>
        <v>0</v>
      </c>
      <c r="W19" s="1132">
        <f t="shared" si="9"/>
        <v>158.30000000000001</v>
      </c>
      <c r="X19" s="1045">
        <f t="shared" si="10"/>
        <v>146793.17000000001</v>
      </c>
      <c r="Y19" s="1132">
        <f>building!Y18</f>
        <v>158.30000000000001</v>
      </c>
      <c r="Z19" s="1045">
        <f t="shared" si="11"/>
        <v>146793.17000000001</v>
      </c>
      <c r="AA19" s="892"/>
      <c r="AB19" s="891"/>
    </row>
    <row r="20" spans="1:29" s="486" customFormat="1">
      <c r="A20" s="1124">
        <v>2.6</v>
      </c>
      <c r="B20" s="1125" t="s">
        <v>445</v>
      </c>
      <c r="C20" s="1052">
        <f>ROUND(Data!K174,2)</f>
        <v>1211.98</v>
      </c>
      <c r="D20" s="1127" t="s">
        <v>1153</v>
      </c>
      <c r="E20" s="1128"/>
      <c r="F20" s="1127">
        <f t="shared" si="1"/>
        <v>0</v>
      </c>
      <c r="G20" s="1127">
        <f>ST!H75</f>
        <v>7.2</v>
      </c>
      <c r="H20" s="1127">
        <f t="shared" si="2"/>
        <v>8726.26</v>
      </c>
      <c r="I20" s="1127"/>
      <c r="J20" s="1127">
        <f t="shared" si="3"/>
        <v>0</v>
      </c>
      <c r="K20" s="1127"/>
      <c r="L20" s="1127">
        <f t="shared" si="4"/>
        <v>0</v>
      </c>
      <c r="M20" s="1127"/>
      <c r="N20" s="1127">
        <f t="shared" si="5"/>
        <v>0</v>
      </c>
      <c r="O20" s="1127"/>
      <c r="P20" s="1127">
        <f t="shared" si="6"/>
        <v>0</v>
      </c>
      <c r="Q20" s="1127"/>
      <c r="R20" s="1127">
        <f t="shared" si="7"/>
        <v>0</v>
      </c>
      <c r="S20" s="1028"/>
      <c r="T20" s="1131">
        <f t="shared" si="8"/>
        <v>0</v>
      </c>
      <c r="U20" s="1045"/>
      <c r="V20" s="1045">
        <f t="shared" si="0"/>
        <v>0</v>
      </c>
      <c r="W20" s="1132">
        <f t="shared" si="9"/>
        <v>7.2</v>
      </c>
      <c r="X20" s="1045">
        <f t="shared" si="10"/>
        <v>8726.26</v>
      </c>
      <c r="Y20" s="1132">
        <f>building!Y19</f>
        <v>7.2</v>
      </c>
      <c r="Z20" s="1045">
        <f t="shared" si="11"/>
        <v>8726.26</v>
      </c>
      <c r="AA20" s="892"/>
      <c r="AB20" s="891"/>
    </row>
    <row r="21" spans="1:29" s="486" customFormat="1">
      <c r="A21" s="1124">
        <v>2.7</v>
      </c>
      <c r="B21" s="1125" t="s">
        <v>282</v>
      </c>
      <c r="C21" s="1052">
        <f>ROUND(Data!K182,2)</f>
        <v>1614.98</v>
      </c>
      <c r="D21" s="1127" t="s">
        <v>1153</v>
      </c>
      <c r="E21" s="1128"/>
      <c r="F21" s="1127">
        <f t="shared" si="1"/>
        <v>0</v>
      </c>
      <c r="G21" s="1127">
        <f>ST!H77</f>
        <v>2.4</v>
      </c>
      <c r="H21" s="1127">
        <f t="shared" si="2"/>
        <v>3875.95</v>
      </c>
      <c r="I21" s="1127"/>
      <c r="J21" s="1127">
        <f t="shared" si="3"/>
        <v>0</v>
      </c>
      <c r="K21" s="1127"/>
      <c r="L21" s="1127">
        <f t="shared" si="4"/>
        <v>0</v>
      </c>
      <c r="M21" s="1127"/>
      <c r="N21" s="1127">
        <f t="shared" si="5"/>
        <v>0</v>
      </c>
      <c r="O21" s="1127"/>
      <c r="P21" s="1127">
        <f t="shared" si="6"/>
        <v>0</v>
      </c>
      <c r="Q21" s="1127"/>
      <c r="R21" s="1127">
        <f t="shared" si="7"/>
        <v>0</v>
      </c>
      <c r="S21" s="1028"/>
      <c r="T21" s="1131">
        <f t="shared" si="8"/>
        <v>0</v>
      </c>
      <c r="U21" s="1045"/>
      <c r="V21" s="1045">
        <f t="shared" si="0"/>
        <v>0</v>
      </c>
      <c r="W21" s="1132">
        <f t="shared" si="9"/>
        <v>2.4</v>
      </c>
      <c r="X21" s="1045">
        <f t="shared" si="10"/>
        <v>3875.95</v>
      </c>
      <c r="Y21" s="1132">
        <f>building!Y20</f>
        <v>2.4</v>
      </c>
      <c r="Z21" s="1045">
        <f t="shared" si="11"/>
        <v>3875.95</v>
      </c>
      <c r="AA21" s="892"/>
      <c r="AB21" s="891"/>
    </row>
    <row r="22" spans="1:29" s="549" customFormat="1">
      <c r="A22" s="1124">
        <v>3.1</v>
      </c>
      <c r="B22" s="1125" t="s">
        <v>1819</v>
      </c>
      <c r="C22" s="1052">
        <f>ROUND(Data!K207,2)</f>
        <v>4297.8</v>
      </c>
      <c r="D22" s="1127" t="s">
        <v>1153</v>
      </c>
      <c r="E22" s="1128">
        <f>detailed!G118</f>
        <v>30.4</v>
      </c>
      <c r="F22" s="1127">
        <f t="shared" si="1"/>
        <v>130653.12</v>
      </c>
      <c r="G22" s="1127">
        <f>ST!G16</f>
        <v>0.4</v>
      </c>
      <c r="H22" s="1127">
        <f t="shared" si="2"/>
        <v>1719.12</v>
      </c>
      <c r="I22" s="1127">
        <f>Sump!G10</f>
        <v>3.5</v>
      </c>
      <c r="J22" s="1127">
        <f t="shared" si="3"/>
        <v>15042.3</v>
      </c>
      <c r="K22" s="1127">
        <f>'Plinth P'!G18</f>
        <v>3.1</v>
      </c>
      <c r="L22" s="1127">
        <f t="shared" si="4"/>
        <v>13323.18</v>
      </c>
      <c r="M22" s="1127"/>
      <c r="N22" s="1127">
        <f t="shared" si="5"/>
        <v>0</v>
      </c>
      <c r="O22" s="1127">
        <f>'Sullage drain'!G14</f>
        <v>5.7</v>
      </c>
      <c r="P22" s="1127">
        <f t="shared" si="6"/>
        <v>24497.46</v>
      </c>
      <c r="Q22" s="1127"/>
      <c r="R22" s="1127">
        <f t="shared" si="7"/>
        <v>0</v>
      </c>
      <c r="S22" s="1045"/>
      <c r="T22" s="1131">
        <f t="shared" si="8"/>
        <v>0</v>
      </c>
      <c r="U22" s="1045">
        <f>Com.wall!H14</f>
        <v>5.0999999999999996</v>
      </c>
      <c r="V22" s="1045">
        <f t="shared" si="0"/>
        <v>21918.78</v>
      </c>
      <c r="W22" s="1132">
        <f t="shared" si="9"/>
        <v>17.8</v>
      </c>
      <c r="X22" s="1045">
        <f t="shared" si="10"/>
        <v>76500.84</v>
      </c>
      <c r="Y22" s="1132">
        <f>building!Y21</f>
        <v>48.2</v>
      </c>
      <c r="Z22" s="1045">
        <f t="shared" si="11"/>
        <v>207153.96</v>
      </c>
      <c r="AA22" s="890"/>
      <c r="AB22" s="890"/>
    </row>
    <row r="23" spans="1:29" ht="45">
      <c r="A23" s="1124">
        <v>3.2</v>
      </c>
      <c r="B23" s="1125" t="s">
        <v>1867</v>
      </c>
      <c r="C23" s="1052">
        <f>ROUND(Data!K222,2)</f>
        <v>5819.12</v>
      </c>
      <c r="D23" s="1127" t="s">
        <v>1153</v>
      </c>
      <c r="E23" s="1128"/>
      <c r="F23" s="1127">
        <f t="shared" si="1"/>
        <v>0</v>
      </c>
      <c r="G23" s="1127">
        <f>ST!G19</f>
        <v>4.2</v>
      </c>
      <c r="H23" s="1127">
        <f t="shared" si="2"/>
        <v>24440.3</v>
      </c>
      <c r="I23" s="1127"/>
      <c r="J23" s="1127">
        <f t="shared" si="3"/>
        <v>0</v>
      </c>
      <c r="K23" s="1127"/>
      <c r="L23" s="1127">
        <f t="shared" si="4"/>
        <v>0</v>
      </c>
      <c r="M23" s="1127"/>
      <c r="N23" s="1127">
        <f t="shared" si="5"/>
        <v>0</v>
      </c>
      <c r="O23" s="1127"/>
      <c r="P23" s="1127">
        <f t="shared" si="6"/>
        <v>0</v>
      </c>
      <c r="Q23" s="1127"/>
      <c r="R23" s="1127">
        <f t="shared" si="7"/>
        <v>0</v>
      </c>
      <c r="S23" s="1045"/>
      <c r="T23" s="1131">
        <f t="shared" si="8"/>
        <v>0</v>
      </c>
      <c r="U23" s="1045"/>
      <c r="V23" s="1045">
        <f t="shared" si="0"/>
        <v>0</v>
      </c>
      <c r="W23" s="1132">
        <f t="shared" si="9"/>
        <v>4.2</v>
      </c>
      <c r="X23" s="1045">
        <f t="shared" si="10"/>
        <v>24440.3</v>
      </c>
      <c r="Y23" s="1132">
        <f>building!Y22</f>
        <v>4.2</v>
      </c>
      <c r="Z23" s="1045">
        <f t="shared" si="11"/>
        <v>24440.3</v>
      </c>
      <c r="AA23" s="890"/>
      <c r="AB23" s="890"/>
    </row>
    <row r="24" spans="1:29" s="486" customFormat="1">
      <c r="A24" s="1124">
        <v>3.3</v>
      </c>
      <c r="B24" s="1125" t="s">
        <v>1868</v>
      </c>
      <c r="C24" s="1052">
        <f>ROUND(Data!K237,2)</f>
        <v>3658.53</v>
      </c>
      <c r="D24" s="1127" t="s">
        <v>1153</v>
      </c>
      <c r="E24" s="1128"/>
      <c r="F24" s="1127">
        <f t="shared" si="1"/>
        <v>0</v>
      </c>
      <c r="G24" s="1127">
        <f>ST!G13</f>
        <v>0.1</v>
      </c>
      <c r="H24" s="1127">
        <f t="shared" si="2"/>
        <v>365.85</v>
      </c>
      <c r="I24" s="1127"/>
      <c r="J24" s="1127">
        <f t="shared" si="3"/>
        <v>0</v>
      </c>
      <c r="K24" s="1127"/>
      <c r="L24" s="1127">
        <f t="shared" si="4"/>
        <v>0</v>
      </c>
      <c r="M24" s="1127"/>
      <c r="N24" s="1127">
        <f t="shared" si="5"/>
        <v>0</v>
      </c>
      <c r="O24" s="1127"/>
      <c r="P24" s="1127">
        <f t="shared" si="6"/>
        <v>0</v>
      </c>
      <c r="Q24" s="1127"/>
      <c r="R24" s="1127">
        <f t="shared" si="7"/>
        <v>0</v>
      </c>
      <c r="S24" s="1028"/>
      <c r="T24" s="1131">
        <f t="shared" si="8"/>
        <v>0</v>
      </c>
      <c r="U24" s="1045"/>
      <c r="V24" s="1045">
        <f t="shared" si="0"/>
        <v>0</v>
      </c>
      <c r="W24" s="1132">
        <f t="shared" si="9"/>
        <v>0.1</v>
      </c>
      <c r="X24" s="1045">
        <f t="shared" si="10"/>
        <v>365.85</v>
      </c>
      <c r="Y24" s="1132">
        <f>building!Y23</f>
        <v>0.1</v>
      </c>
      <c r="Z24" s="1045">
        <f t="shared" si="11"/>
        <v>365.85</v>
      </c>
      <c r="AA24" s="892"/>
      <c r="AB24" s="891"/>
    </row>
    <row r="25" spans="1:29" s="486" customFormat="1" ht="45">
      <c r="A25" s="1124">
        <v>3.4</v>
      </c>
      <c r="B25" s="1125" t="s">
        <v>564</v>
      </c>
      <c r="C25" s="1024"/>
      <c r="D25" s="1138" t="s">
        <v>1776</v>
      </c>
      <c r="E25" s="1139"/>
      <c r="F25" s="1127">
        <f t="shared" si="1"/>
        <v>0</v>
      </c>
      <c r="G25" s="1138"/>
      <c r="H25" s="1127">
        <f t="shared" si="2"/>
        <v>0</v>
      </c>
      <c r="I25" s="1138"/>
      <c r="J25" s="1127">
        <f t="shared" si="3"/>
        <v>0</v>
      </c>
      <c r="K25" s="1138"/>
      <c r="L25" s="1127">
        <f t="shared" si="4"/>
        <v>0</v>
      </c>
      <c r="M25" s="1138"/>
      <c r="N25" s="1127">
        <f t="shared" si="5"/>
        <v>0</v>
      </c>
      <c r="O25" s="1138"/>
      <c r="P25" s="1127">
        <f t="shared" si="6"/>
        <v>0</v>
      </c>
      <c r="Q25" s="1138"/>
      <c r="R25" s="1127">
        <f t="shared" si="7"/>
        <v>0</v>
      </c>
      <c r="S25" s="1028"/>
      <c r="T25" s="1131">
        <f t="shared" si="8"/>
        <v>0</v>
      </c>
      <c r="U25" s="1045"/>
      <c r="V25" s="1045">
        <f t="shared" si="0"/>
        <v>0</v>
      </c>
      <c r="W25" s="1132">
        <f t="shared" si="9"/>
        <v>0</v>
      </c>
      <c r="X25" s="1045">
        <f t="shared" si="10"/>
        <v>0</v>
      </c>
      <c r="Y25" s="1132">
        <f>building!Y24</f>
        <v>0</v>
      </c>
      <c r="Z25" s="1045">
        <f t="shared" si="11"/>
        <v>0</v>
      </c>
      <c r="AA25" s="892"/>
      <c r="AB25" s="891"/>
    </row>
    <row r="26" spans="1:29" s="486" customFormat="1">
      <c r="A26" s="1124">
        <v>4.0999999999999996</v>
      </c>
      <c r="B26" s="1159" t="s">
        <v>5644</v>
      </c>
      <c r="C26" s="1025">
        <f>ROUND(Data!K288,2)</f>
        <v>7160.76</v>
      </c>
      <c r="D26" s="1138" t="s">
        <v>1153</v>
      </c>
      <c r="E26" s="1139"/>
      <c r="F26" s="1127">
        <f t="shared" si="1"/>
        <v>0</v>
      </c>
      <c r="G26" s="1138"/>
      <c r="H26" s="1127">
        <f t="shared" si="2"/>
        <v>0</v>
      </c>
      <c r="I26" s="1138"/>
      <c r="J26" s="1127">
        <f t="shared" si="3"/>
        <v>0</v>
      </c>
      <c r="K26" s="1138"/>
      <c r="L26" s="1127">
        <f t="shared" si="4"/>
        <v>0</v>
      </c>
      <c r="M26" s="1138"/>
      <c r="N26" s="1127">
        <f t="shared" si="5"/>
        <v>0</v>
      </c>
      <c r="O26" s="1138"/>
      <c r="P26" s="1127">
        <f t="shared" si="6"/>
        <v>0</v>
      </c>
      <c r="Q26" s="1138"/>
      <c r="R26" s="1127">
        <f t="shared" si="7"/>
        <v>0</v>
      </c>
      <c r="S26" s="1028"/>
      <c r="T26" s="1131">
        <f t="shared" si="8"/>
        <v>0</v>
      </c>
      <c r="U26" s="1045"/>
      <c r="V26" s="1045">
        <f t="shared" si="0"/>
        <v>0</v>
      </c>
      <c r="W26" s="1132">
        <f t="shared" si="9"/>
        <v>0</v>
      </c>
      <c r="X26" s="1045">
        <f t="shared" si="10"/>
        <v>0</v>
      </c>
      <c r="Y26" s="1132">
        <f>building!Y25</f>
        <v>0</v>
      </c>
      <c r="Z26" s="1045">
        <f t="shared" si="11"/>
        <v>0</v>
      </c>
      <c r="AA26" s="892"/>
      <c r="AB26" s="891"/>
    </row>
    <row r="27" spans="1:29" s="486" customFormat="1">
      <c r="A27" s="1124">
        <v>4.2</v>
      </c>
      <c r="B27" s="1159" t="s">
        <v>5645</v>
      </c>
      <c r="C27" s="1025">
        <f>Data!K824</f>
        <v>7802.65</v>
      </c>
      <c r="D27" s="1138" t="s">
        <v>1153</v>
      </c>
      <c r="E27" s="1139"/>
      <c r="F27" s="1127">
        <f t="shared" si="1"/>
        <v>0</v>
      </c>
      <c r="G27" s="1138"/>
      <c r="H27" s="1127">
        <f t="shared" si="2"/>
        <v>0</v>
      </c>
      <c r="I27" s="1138"/>
      <c r="J27" s="1127">
        <f t="shared" si="3"/>
        <v>0</v>
      </c>
      <c r="K27" s="1138"/>
      <c r="L27" s="1127">
        <f t="shared" si="4"/>
        <v>0</v>
      </c>
      <c r="M27" s="1138"/>
      <c r="N27" s="1127">
        <f t="shared" si="5"/>
        <v>0</v>
      </c>
      <c r="O27" s="1138"/>
      <c r="P27" s="1127">
        <f t="shared" si="6"/>
        <v>0</v>
      </c>
      <c r="Q27" s="1138"/>
      <c r="R27" s="1127">
        <f t="shared" si="7"/>
        <v>0</v>
      </c>
      <c r="S27" s="1028"/>
      <c r="T27" s="1131">
        <f t="shared" si="8"/>
        <v>0</v>
      </c>
      <c r="U27" s="1045"/>
      <c r="V27" s="1045">
        <f t="shared" si="0"/>
        <v>0</v>
      </c>
      <c r="W27" s="1132">
        <f t="shared" si="9"/>
        <v>0</v>
      </c>
      <c r="X27" s="1045">
        <f t="shared" si="10"/>
        <v>0</v>
      </c>
      <c r="Y27" s="1132">
        <f>building!Y26</f>
        <v>0</v>
      </c>
      <c r="Z27" s="1045">
        <f t="shared" si="11"/>
        <v>0</v>
      </c>
      <c r="AA27" s="892"/>
      <c r="AB27" s="891"/>
    </row>
    <row r="28" spans="1:29" s="718" customFormat="1" ht="51">
      <c r="A28" s="1145">
        <v>5</v>
      </c>
      <c r="B28" s="1146" t="s">
        <v>855</v>
      </c>
      <c r="C28" s="1026">
        <f>ROUND(Data!K309,2)</f>
        <v>4673.38</v>
      </c>
      <c r="D28" s="1157" t="s">
        <v>1153</v>
      </c>
      <c r="E28" s="1158"/>
      <c r="F28" s="1127">
        <f t="shared" si="1"/>
        <v>0</v>
      </c>
      <c r="G28" s="1157"/>
      <c r="H28" s="1127">
        <f t="shared" si="2"/>
        <v>0</v>
      </c>
      <c r="I28" s="1157"/>
      <c r="J28" s="1127">
        <f t="shared" si="3"/>
        <v>0</v>
      </c>
      <c r="K28" s="1157"/>
      <c r="L28" s="1127">
        <f t="shared" si="4"/>
        <v>0</v>
      </c>
      <c r="M28" s="1157"/>
      <c r="N28" s="1127">
        <f t="shared" si="5"/>
        <v>0</v>
      </c>
      <c r="O28" s="1157"/>
      <c r="P28" s="1127">
        <f t="shared" si="6"/>
        <v>0</v>
      </c>
      <c r="Q28" s="1157"/>
      <c r="R28" s="1127">
        <f t="shared" si="7"/>
        <v>0</v>
      </c>
      <c r="S28" s="1028"/>
      <c r="T28" s="1131">
        <f t="shared" si="8"/>
        <v>0</v>
      </c>
      <c r="U28" s="1045"/>
      <c r="V28" s="1045">
        <f t="shared" si="0"/>
        <v>0</v>
      </c>
      <c r="W28" s="1132">
        <f t="shared" si="9"/>
        <v>0</v>
      </c>
      <c r="X28" s="1045">
        <f t="shared" si="10"/>
        <v>0</v>
      </c>
      <c r="Y28" s="1132">
        <f>building!Y27</f>
        <v>0</v>
      </c>
      <c r="Z28" s="1045">
        <f t="shared" si="11"/>
        <v>0</v>
      </c>
      <c r="AA28" s="891"/>
      <c r="AB28" s="891"/>
    </row>
    <row r="29" spans="1:29" s="718" customFormat="1" ht="67.5">
      <c r="A29" s="1160">
        <v>6.5</v>
      </c>
      <c r="B29" s="1161" t="s">
        <v>5646</v>
      </c>
      <c r="C29" s="995">
        <f>Data!K324</f>
        <v>6021.38</v>
      </c>
      <c r="D29" s="1147" t="s">
        <v>1153</v>
      </c>
      <c r="E29" s="1148"/>
      <c r="F29" s="1127">
        <f t="shared" si="1"/>
        <v>0</v>
      </c>
      <c r="G29" s="1147">
        <f>ST!G28</f>
        <v>11.3</v>
      </c>
      <c r="H29" s="1127">
        <f t="shared" si="2"/>
        <v>68041.59</v>
      </c>
      <c r="I29" s="1147"/>
      <c r="J29" s="1127">
        <f t="shared" si="3"/>
        <v>0</v>
      </c>
      <c r="K29" s="1147">
        <f>'Plinth P'!G23</f>
        <v>13.9</v>
      </c>
      <c r="L29" s="1127">
        <f t="shared" si="4"/>
        <v>83697.179999999993</v>
      </c>
      <c r="M29" s="1147"/>
      <c r="N29" s="1127">
        <f t="shared" si="5"/>
        <v>0</v>
      </c>
      <c r="O29" s="1147">
        <f>'Sullage drain'!G19</f>
        <v>11.2</v>
      </c>
      <c r="P29" s="1127">
        <f t="shared" si="6"/>
        <v>67439.460000000006</v>
      </c>
      <c r="Q29" s="1147"/>
      <c r="R29" s="1127">
        <f t="shared" si="7"/>
        <v>0</v>
      </c>
      <c r="S29" s="1028"/>
      <c r="T29" s="1131">
        <f t="shared" si="8"/>
        <v>0</v>
      </c>
      <c r="U29" s="1045">
        <f>Com.wall!H24</f>
        <v>21.5</v>
      </c>
      <c r="V29" s="1045">
        <f t="shared" si="0"/>
        <v>129459.67</v>
      </c>
      <c r="W29" s="1132">
        <f t="shared" si="9"/>
        <v>57.9</v>
      </c>
      <c r="X29" s="1045">
        <f t="shared" si="10"/>
        <v>348637.9</v>
      </c>
      <c r="Y29" s="1132">
        <f>building!Y28</f>
        <v>57.9</v>
      </c>
      <c r="Z29" s="1045">
        <f t="shared" si="11"/>
        <v>348637.9</v>
      </c>
      <c r="AA29" s="891"/>
      <c r="AB29" s="891"/>
    </row>
    <row r="30" spans="1:29" s="486" customFormat="1" ht="45">
      <c r="A30" s="1124">
        <v>7.2</v>
      </c>
      <c r="B30" s="1125" t="s">
        <v>5647</v>
      </c>
      <c r="C30" s="1025">
        <f>ROUND(Data!K332,2)</f>
        <v>712</v>
      </c>
      <c r="D30" s="1138" t="s">
        <v>1776</v>
      </c>
      <c r="E30" s="1139"/>
      <c r="F30" s="1127">
        <f t="shared" si="1"/>
        <v>0</v>
      </c>
      <c r="G30" s="1138"/>
      <c r="H30" s="1127">
        <f t="shared" si="2"/>
        <v>0</v>
      </c>
      <c r="I30" s="1138"/>
      <c r="J30" s="1127">
        <f t="shared" si="3"/>
        <v>0</v>
      </c>
      <c r="K30" s="1138"/>
      <c r="L30" s="1127">
        <f t="shared" si="4"/>
        <v>0</v>
      </c>
      <c r="M30" s="1138"/>
      <c r="N30" s="1127">
        <f t="shared" si="5"/>
        <v>0</v>
      </c>
      <c r="O30" s="1138"/>
      <c r="P30" s="1127">
        <f t="shared" si="6"/>
        <v>0</v>
      </c>
      <c r="Q30" s="1138"/>
      <c r="R30" s="1127">
        <f t="shared" si="7"/>
        <v>0</v>
      </c>
      <c r="S30" s="1045"/>
      <c r="T30" s="1131">
        <f t="shared" si="8"/>
        <v>0</v>
      </c>
      <c r="U30" s="1045"/>
      <c r="V30" s="1045">
        <f t="shared" si="0"/>
        <v>0</v>
      </c>
      <c r="W30" s="1132">
        <f t="shared" si="9"/>
        <v>0</v>
      </c>
      <c r="X30" s="1045">
        <f t="shared" si="10"/>
        <v>0</v>
      </c>
      <c r="Y30" s="1132">
        <f>building!Y29</f>
        <v>0</v>
      </c>
      <c r="Z30" s="1045">
        <f t="shared" si="11"/>
        <v>0</v>
      </c>
      <c r="AA30" s="892"/>
      <c r="AB30" s="890"/>
    </row>
    <row r="31" spans="1:29" s="718" customFormat="1" ht="67.5">
      <c r="A31" s="1160">
        <v>9.5</v>
      </c>
      <c r="B31" s="1161" t="s">
        <v>53</v>
      </c>
      <c r="C31" s="995"/>
      <c r="D31" s="1147"/>
      <c r="E31" s="1148"/>
      <c r="F31" s="1127">
        <f t="shared" si="1"/>
        <v>0</v>
      </c>
      <c r="G31" s="1147"/>
      <c r="H31" s="1127">
        <f t="shared" si="2"/>
        <v>0</v>
      </c>
      <c r="I31" s="1147"/>
      <c r="J31" s="1127">
        <f t="shared" si="3"/>
        <v>0</v>
      </c>
      <c r="K31" s="1147"/>
      <c r="L31" s="1127">
        <f t="shared" si="4"/>
        <v>0</v>
      </c>
      <c r="M31" s="1147"/>
      <c r="N31" s="1127">
        <f t="shared" si="5"/>
        <v>0</v>
      </c>
      <c r="O31" s="1147"/>
      <c r="P31" s="1127">
        <f t="shared" si="6"/>
        <v>0</v>
      </c>
      <c r="Q31" s="1147"/>
      <c r="R31" s="1127">
        <f t="shared" si="7"/>
        <v>0</v>
      </c>
      <c r="S31" s="1028"/>
      <c r="T31" s="1131">
        <f t="shared" si="8"/>
        <v>0</v>
      </c>
      <c r="U31" s="1045"/>
      <c r="V31" s="1045">
        <f t="shared" si="0"/>
        <v>0</v>
      </c>
      <c r="W31" s="1132">
        <f t="shared" si="9"/>
        <v>0</v>
      </c>
      <c r="X31" s="1045">
        <f t="shared" si="10"/>
        <v>0</v>
      </c>
      <c r="Y31" s="1132">
        <f>building!Y30</f>
        <v>0</v>
      </c>
      <c r="Z31" s="1045">
        <f t="shared" si="11"/>
        <v>0</v>
      </c>
      <c r="AA31" s="786"/>
      <c r="AB31" s="891"/>
      <c r="AC31" s="717"/>
    </row>
    <row r="32" spans="1:29" s="718" customFormat="1">
      <c r="A32" s="1160"/>
      <c r="B32" s="1162" t="s">
        <v>195</v>
      </c>
      <c r="C32" s="995">
        <f>ROUND(Data!K350,2)</f>
        <v>6017.86</v>
      </c>
      <c r="D32" s="1147" t="s">
        <v>1153</v>
      </c>
      <c r="E32" s="1148">
        <f>detailed!G436</f>
        <v>94.3</v>
      </c>
      <c r="F32" s="1127">
        <f t="shared" si="1"/>
        <v>567484.19999999995</v>
      </c>
      <c r="G32" s="1147"/>
      <c r="H32" s="1127">
        <f t="shared" si="2"/>
        <v>0</v>
      </c>
      <c r="I32" s="1147"/>
      <c r="J32" s="1127">
        <f t="shared" si="3"/>
        <v>0</v>
      </c>
      <c r="K32" s="1147"/>
      <c r="L32" s="1127">
        <f t="shared" si="4"/>
        <v>0</v>
      </c>
      <c r="M32" s="1147"/>
      <c r="N32" s="1127">
        <f t="shared" si="5"/>
        <v>0</v>
      </c>
      <c r="O32" s="1147"/>
      <c r="P32" s="1127">
        <f t="shared" si="6"/>
        <v>0</v>
      </c>
      <c r="Q32" s="1147"/>
      <c r="R32" s="1127">
        <f t="shared" si="7"/>
        <v>0</v>
      </c>
      <c r="S32" s="1028"/>
      <c r="T32" s="1131">
        <f t="shared" si="8"/>
        <v>0</v>
      </c>
      <c r="U32" s="1045">
        <f>Com.wall!H40</f>
        <v>6.6</v>
      </c>
      <c r="V32" s="1045">
        <f t="shared" si="0"/>
        <v>39717.879999999997</v>
      </c>
      <c r="W32" s="1132">
        <f t="shared" si="9"/>
        <v>6.6</v>
      </c>
      <c r="X32" s="1045">
        <f t="shared" si="10"/>
        <v>39717.879999999997</v>
      </c>
      <c r="Y32" s="1132">
        <f>building!Y31</f>
        <v>100.9</v>
      </c>
      <c r="Z32" s="1045">
        <f t="shared" si="11"/>
        <v>607202.06999999995</v>
      </c>
      <c r="AA32" s="891"/>
      <c r="AB32" s="891"/>
    </row>
    <row r="33" spans="1:29" s="718" customFormat="1">
      <c r="A33" s="1160"/>
      <c r="B33" s="1162" t="s">
        <v>196</v>
      </c>
      <c r="C33" s="995">
        <f>ROUND(Data!K351,2)</f>
        <v>6155.06</v>
      </c>
      <c r="D33" s="1147" t="s">
        <v>1153</v>
      </c>
      <c r="E33" s="1148">
        <f>detailed!G463</f>
        <v>97.3</v>
      </c>
      <c r="F33" s="1127">
        <f t="shared" si="1"/>
        <v>598887.34</v>
      </c>
      <c r="G33" s="1147"/>
      <c r="H33" s="1127">
        <f t="shared" si="2"/>
        <v>0</v>
      </c>
      <c r="I33" s="1147"/>
      <c r="J33" s="1127">
        <f t="shared" si="3"/>
        <v>0</v>
      </c>
      <c r="K33" s="1147"/>
      <c r="L33" s="1127">
        <f t="shared" si="4"/>
        <v>0</v>
      </c>
      <c r="M33" s="1147"/>
      <c r="N33" s="1127">
        <f t="shared" si="5"/>
        <v>0</v>
      </c>
      <c r="O33" s="1147"/>
      <c r="P33" s="1127">
        <f t="shared" si="6"/>
        <v>0</v>
      </c>
      <c r="Q33" s="1147"/>
      <c r="R33" s="1127">
        <f t="shared" si="7"/>
        <v>0</v>
      </c>
      <c r="S33" s="1028"/>
      <c r="T33" s="1131">
        <f t="shared" si="8"/>
        <v>0</v>
      </c>
      <c r="U33" s="1045"/>
      <c r="V33" s="1045">
        <f t="shared" si="0"/>
        <v>0</v>
      </c>
      <c r="W33" s="1132">
        <f t="shared" si="9"/>
        <v>0</v>
      </c>
      <c r="X33" s="1045">
        <f t="shared" si="10"/>
        <v>0</v>
      </c>
      <c r="Y33" s="1132">
        <f>building!Y32</f>
        <v>97.3</v>
      </c>
      <c r="Z33" s="1045">
        <f t="shared" si="11"/>
        <v>598887.34</v>
      </c>
      <c r="AA33" s="891"/>
      <c r="AB33" s="891"/>
    </row>
    <row r="34" spans="1:29" s="718" customFormat="1">
      <c r="A34" s="1163"/>
      <c r="B34" s="1164" t="s">
        <v>197</v>
      </c>
      <c r="C34" s="1043">
        <f>ROUND(Data!K352,2)</f>
        <v>6292.26</v>
      </c>
      <c r="D34" s="1165" t="s">
        <v>1153</v>
      </c>
      <c r="E34" s="1166">
        <f>detailed!G488</f>
        <v>83.7</v>
      </c>
      <c r="F34" s="1127">
        <f t="shared" si="1"/>
        <v>526662.16</v>
      </c>
      <c r="G34" s="1165"/>
      <c r="H34" s="1127">
        <f t="shared" si="2"/>
        <v>0</v>
      </c>
      <c r="I34" s="1165"/>
      <c r="J34" s="1127">
        <f t="shared" si="3"/>
        <v>0</v>
      </c>
      <c r="K34" s="1165"/>
      <c r="L34" s="1127">
        <f t="shared" si="4"/>
        <v>0</v>
      </c>
      <c r="M34" s="1165"/>
      <c r="N34" s="1127">
        <f t="shared" si="5"/>
        <v>0</v>
      </c>
      <c r="O34" s="1165"/>
      <c r="P34" s="1127">
        <f t="shared" si="6"/>
        <v>0</v>
      </c>
      <c r="Q34" s="1165"/>
      <c r="R34" s="1127">
        <f t="shared" si="7"/>
        <v>0</v>
      </c>
      <c r="S34" s="1028"/>
      <c r="T34" s="1131">
        <f t="shared" si="8"/>
        <v>0</v>
      </c>
      <c r="U34" s="1045"/>
      <c r="V34" s="1045">
        <f t="shared" si="0"/>
        <v>0</v>
      </c>
      <c r="W34" s="1132">
        <f t="shared" si="9"/>
        <v>0</v>
      </c>
      <c r="X34" s="1045">
        <f t="shared" si="10"/>
        <v>0</v>
      </c>
      <c r="Y34" s="1132">
        <f>building!Y33</f>
        <v>83.7</v>
      </c>
      <c r="Z34" s="1045">
        <f t="shared" si="11"/>
        <v>526662.16</v>
      </c>
      <c r="AA34" s="891"/>
      <c r="AB34" s="891"/>
    </row>
    <row r="35" spans="1:29" s="718" customFormat="1">
      <c r="A35" s="1160"/>
      <c r="B35" s="1162" t="s">
        <v>198</v>
      </c>
      <c r="C35" s="995">
        <f>ROUND(Data!K353,2)</f>
        <v>6429.46</v>
      </c>
      <c r="D35" s="1147" t="s">
        <v>1153</v>
      </c>
      <c r="E35" s="1148">
        <f>detailed!G498</f>
        <v>17.7</v>
      </c>
      <c r="F35" s="1127">
        <f t="shared" si="1"/>
        <v>113801.44</v>
      </c>
      <c r="G35" s="1147"/>
      <c r="H35" s="1127">
        <f t="shared" si="2"/>
        <v>0</v>
      </c>
      <c r="I35" s="1147"/>
      <c r="J35" s="1127">
        <f t="shared" si="3"/>
        <v>0</v>
      </c>
      <c r="K35" s="1147"/>
      <c r="L35" s="1127">
        <f t="shared" si="4"/>
        <v>0</v>
      </c>
      <c r="M35" s="1147"/>
      <c r="N35" s="1127">
        <f t="shared" si="5"/>
        <v>0</v>
      </c>
      <c r="O35" s="1147"/>
      <c r="P35" s="1127">
        <f t="shared" si="6"/>
        <v>0</v>
      </c>
      <c r="Q35" s="1147"/>
      <c r="R35" s="1127">
        <f t="shared" si="7"/>
        <v>0</v>
      </c>
      <c r="S35" s="1028"/>
      <c r="T35" s="1131">
        <f t="shared" si="8"/>
        <v>0</v>
      </c>
      <c r="U35" s="1045"/>
      <c r="V35" s="1045">
        <f t="shared" si="0"/>
        <v>0</v>
      </c>
      <c r="W35" s="1132">
        <f t="shared" si="9"/>
        <v>0</v>
      </c>
      <c r="X35" s="1045">
        <f t="shared" si="10"/>
        <v>0</v>
      </c>
      <c r="Y35" s="1132">
        <f>building!Y34</f>
        <v>17.7</v>
      </c>
      <c r="Z35" s="1045">
        <f t="shared" si="11"/>
        <v>113801.44</v>
      </c>
      <c r="AA35" s="891"/>
      <c r="AB35" s="891"/>
    </row>
    <row r="36" spans="1:29" s="718" customFormat="1">
      <c r="A36" s="1047"/>
      <c r="B36" s="1162" t="s">
        <v>575</v>
      </c>
      <c r="C36" s="995">
        <f>ROUND(Data!K354,2)</f>
        <v>6566.66</v>
      </c>
      <c r="D36" s="1147" t="s">
        <v>1153</v>
      </c>
      <c r="E36" s="1148"/>
      <c r="F36" s="1127">
        <f t="shared" si="1"/>
        <v>0</v>
      </c>
      <c r="G36" s="1147"/>
      <c r="H36" s="1127">
        <f t="shared" si="2"/>
        <v>0</v>
      </c>
      <c r="I36" s="1147"/>
      <c r="J36" s="1127">
        <f t="shared" si="3"/>
        <v>0</v>
      </c>
      <c r="K36" s="1147"/>
      <c r="L36" s="1127">
        <f t="shared" si="4"/>
        <v>0</v>
      </c>
      <c r="M36" s="1147"/>
      <c r="N36" s="1127">
        <f t="shared" si="5"/>
        <v>0</v>
      </c>
      <c r="O36" s="1147"/>
      <c r="P36" s="1127">
        <f t="shared" si="6"/>
        <v>0</v>
      </c>
      <c r="Q36" s="1147"/>
      <c r="R36" s="1127">
        <f t="shared" si="7"/>
        <v>0</v>
      </c>
      <c r="S36" s="1028"/>
      <c r="T36" s="1131">
        <f t="shared" si="8"/>
        <v>0</v>
      </c>
      <c r="U36" s="1045"/>
      <c r="V36" s="1045">
        <f t="shared" si="0"/>
        <v>0</v>
      </c>
      <c r="W36" s="1132">
        <f t="shared" si="9"/>
        <v>0</v>
      </c>
      <c r="X36" s="1045">
        <f t="shared" si="10"/>
        <v>0</v>
      </c>
      <c r="Y36" s="1132">
        <f>building!Y35</f>
        <v>0</v>
      </c>
      <c r="Z36" s="1045">
        <f t="shared" si="11"/>
        <v>0</v>
      </c>
      <c r="AA36" s="891"/>
      <c r="AB36" s="891"/>
    </row>
    <row r="37" spans="1:29" s="718" customFormat="1" ht="67.5">
      <c r="A37" s="1160">
        <v>10.5</v>
      </c>
      <c r="B37" s="1161" t="s">
        <v>5648</v>
      </c>
      <c r="C37" s="995"/>
      <c r="D37" s="1147"/>
      <c r="E37" s="1148"/>
      <c r="F37" s="1127">
        <f t="shared" si="1"/>
        <v>0</v>
      </c>
      <c r="G37" s="1147"/>
      <c r="H37" s="1127">
        <f t="shared" si="2"/>
        <v>0</v>
      </c>
      <c r="I37" s="1147"/>
      <c r="J37" s="1127">
        <f t="shared" si="3"/>
        <v>0</v>
      </c>
      <c r="K37" s="1147"/>
      <c r="L37" s="1127">
        <f t="shared" si="4"/>
        <v>0</v>
      </c>
      <c r="M37" s="1147"/>
      <c r="N37" s="1127">
        <f t="shared" si="5"/>
        <v>0</v>
      </c>
      <c r="O37" s="1147"/>
      <c r="P37" s="1127">
        <f t="shared" si="6"/>
        <v>0</v>
      </c>
      <c r="Q37" s="1147"/>
      <c r="R37" s="1127">
        <f t="shared" si="7"/>
        <v>0</v>
      </c>
      <c r="S37" s="1028"/>
      <c r="T37" s="1131">
        <f t="shared" si="8"/>
        <v>0</v>
      </c>
      <c r="U37" s="1045"/>
      <c r="V37" s="1045">
        <f t="shared" si="0"/>
        <v>0</v>
      </c>
      <c r="W37" s="1132">
        <f t="shared" si="9"/>
        <v>0</v>
      </c>
      <c r="X37" s="1045">
        <f t="shared" si="10"/>
        <v>0</v>
      </c>
      <c r="Y37" s="1132">
        <f>building!Y36</f>
        <v>0</v>
      </c>
      <c r="Z37" s="1045">
        <f t="shared" si="11"/>
        <v>0</v>
      </c>
      <c r="AA37" s="786"/>
      <c r="AB37" s="891"/>
      <c r="AC37" s="717"/>
    </row>
    <row r="38" spans="1:29" s="718" customFormat="1">
      <c r="A38" s="1160"/>
      <c r="B38" s="1162" t="s">
        <v>513</v>
      </c>
      <c r="C38" s="995">
        <f>ROUND(Data!K403,2)</f>
        <v>725.95</v>
      </c>
      <c r="D38" s="1147" t="s">
        <v>1776</v>
      </c>
      <c r="E38" s="1148"/>
      <c r="F38" s="1127">
        <f t="shared" si="1"/>
        <v>0</v>
      </c>
      <c r="G38" s="1147"/>
      <c r="H38" s="1127">
        <f t="shared" si="2"/>
        <v>0</v>
      </c>
      <c r="I38" s="1147">
        <f>Sump!G27</f>
        <v>51.6</v>
      </c>
      <c r="J38" s="1127">
        <f t="shared" si="3"/>
        <v>37459.019999999997</v>
      </c>
      <c r="K38" s="1147">
        <f>'Plinth P'!G29</f>
        <v>60.2</v>
      </c>
      <c r="L38" s="1127">
        <f t="shared" si="4"/>
        <v>43702.19</v>
      </c>
      <c r="M38" s="1147"/>
      <c r="N38" s="1127">
        <f t="shared" si="5"/>
        <v>0</v>
      </c>
      <c r="O38" s="1147">
        <f>'Sullage drain'!G24</f>
        <v>41.6</v>
      </c>
      <c r="P38" s="1127">
        <f t="shared" si="6"/>
        <v>30199.52</v>
      </c>
      <c r="Q38" s="1147"/>
      <c r="R38" s="1127">
        <f t="shared" si="7"/>
        <v>0</v>
      </c>
      <c r="S38" s="1028"/>
      <c r="T38" s="1131">
        <f t="shared" si="8"/>
        <v>0</v>
      </c>
      <c r="U38" s="1045"/>
      <c r="V38" s="1045">
        <f t="shared" si="0"/>
        <v>0</v>
      </c>
      <c r="W38" s="1132">
        <f t="shared" si="9"/>
        <v>153.4</v>
      </c>
      <c r="X38" s="1045">
        <f t="shared" si="10"/>
        <v>111360.73</v>
      </c>
      <c r="Y38" s="1132">
        <f>building!Y37</f>
        <v>153.4</v>
      </c>
      <c r="Z38" s="1045">
        <f t="shared" si="11"/>
        <v>111360.73</v>
      </c>
      <c r="AA38" s="891"/>
      <c r="AB38" s="891"/>
    </row>
    <row r="39" spans="1:29" s="718" customFormat="1">
      <c r="A39" s="1160"/>
      <c r="B39" s="1162" t="s">
        <v>514</v>
      </c>
      <c r="C39" s="995">
        <f>ROUND(Data!K405,2)</f>
        <v>733.43</v>
      </c>
      <c r="D39" s="1147" t="s">
        <v>1776</v>
      </c>
      <c r="E39" s="1148">
        <f>detailed!G505</f>
        <v>20.2</v>
      </c>
      <c r="F39" s="1127">
        <f t="shared" si="1"/>
        <v>14815.29</v>
      </c>
      <c r="G39" s="1147"/>
      <c r="H39" s="1127">
        <f t="shared" si="2"/>
        <v>0</v>
      </c>
      <c r="I39" s="1147"/>
      <c r="J39" s="1127">
        <f t="shared" si="3"/>
        <v>0</v>
      </c>
      <c r="K39" s="1147"/>
      <c r="L39" s="1127">
        <f t="shared" si="4"/>
        <v>0</v>
      </c>
      <c r="M39" s="1147"/>
      <c r="N39" s="1127">
        <f t="shared" si="5"/>
        <v>0</v>
      </c>
      <c r="O39" s="1147"/>
      <c r="P39" s="1127">
        <f t="shared" si="6"/>
        <v>0</v>
      </c>
      <c r="Q39" s="1147"/>
      <c r="R39" s="1127">
        <f t="shared" si="7"/>
        <v>0</v>
      </c>
      <c r="S39" s="1028"/>
      <c r="T39" s="1131">
        <f t="shared" si="8"/>
        <v>0</v>
      </c>
      <c r="U39" s="1045">
        <f>Com.wall!H47</f>
        <v>144.19999999999999</v>
      </c>
      <c r="V39" s="1045">
        <f t="shared" si="0"/>
        <v>105760.61</v>
      </c>
      <c r="W39" s="1132">
        <f t="shared" si="9"/>
        <v>144.19999999999999</v>
      </c>
      <c r="X39" s="1045">
        <f t="shared" si="10"/>
        <v>105760.61</v>
      </c>
      <c r="Y39" s="1132">
        <f>building!Y38</f>
        <v>164.4</v>
      </c>
      <c r="Z39" s="1045">
        <f t="shared" si="11"/>
        <v>120575.89</v>
      </c>
      <c r="AA39" s="891"/>
      <c r="AB39" s="891"/>
    </row>
    <row r="40" spans="1:29" s="718" customFormat="1">
      <c r="A40" s="1160"/>
      <c r="B40" s="1162" t="s">
        <v>516</v>
      </c>
      <c r="C40" s="995">
        <f>ROUND(Data!K406,2)</f>
        <v>748.52</v>
      </c>
      <c r="D40" s="1147" t="s">
        <v>1776</v>
      </c>
      <c r="E40" s="1148">
        <f>detailed!G525</f>
        <v>193.2</v>
      </c>
      <c r="F40" s="1127">
        <f t="shared" si="1"/>
        <v>144614.06</v>
      </c>
      <c r="G40" s="1147"/>
      <c r="H40" s="1127">
        <f t="shared" si="2"/>
        <v>0</v>
      </c>
      <c r="I40" s="1147"/>
      <c r="J40" s="1127">
        <f t="shared" si="3"/>
        <v>0</v>
      </c>
      <c r="K40" s="1147"/>
      <c r="L40" s="1127">
        <f t="shared" si="4"/>
        <v>0</v>
      </c>
      <c r="M40" s="1147"/>
      <c r="N40" s="1127">
        <f t="shared" si="5"/>
        <v>0</v>
      </c>
      <c r="O40" s="1147"/>
      <c r="P40" s="1127">
        <f t="shared" si="6"/>
        <v>0</v>
      </c>
      <c r="Q40" s="1147"/>
      <c r="R40" s="1127">
        <f t="shared" si="7"/>
        <v>0</v>
      </c>
      <c r="S40" s="1028"/>
      <c r="T40" s="1131">
        <f t="shared" si="8"/>
        <v>0</v>
      </c>
      <c r="U40" s="1045"/>
      <c r="V40" s="1045">
        <f t="shared" si="0"/>
        <v>0</v>
      </c>
      <c r="W40" s="1132">
        <f t="shared" si="9"/>
        <v>0</v>
      </c>
      <c r="X40" s="1045">
        <f t="shared" si="10"/>
        <v>0</v>
      </c>
      <c r="Y40" s="1132">
        <f>building!Y39</f>
        <v>193.2</v>
      </c>
      <c r="Z40" s="1045">
        <f t="shared" si="11"/>
        <v>144614.06</v>
      </c>
      <c r="AA40" s="891"/>
      <c r="AB40" s="891"/>
    </row>
    <row r="41" spans="1:29" s="718" customFormat="1">
      <c r="A41" s="1163"/>
      <c r="B41" s="1164" t="s">
        <v>1743</v>
      </c>
      <c r="C41" s="1043">
        <f>ROUND(Data!K407,2)</f>
        <v>763.61</v>
      </c>
      <c r="D41" s="1165" t="s">
        <v>1776</v>
      </c>
      <c r="E41" s="1166">
        <f>detailed!G538</f>
        <v>100.2</v>
      </c>
      <c r="F41" s="1127">
        <f t="shared" si="1"/>
        <v>76513.72</v>
      </c>
      <c r="G41" s="1165"/>
      <c r="H41" s="1127">
        <f t="shared" si="2"/>
        <v>0</v>
      </c>
      <c r="I41" s="1165"/>
      <c r="J41" s="1127">
        <f t="shared" si="3"/>
        <v>0</v>
      </c>
      <c r="K41" s="1165"/>
      <c r="L41" s="1127">
        <f t="shared" si="4"/>
        <v>0</v>
      </c>
      <c r="M41" s="1165"/>
      <c r="N41" s="1127">
        <f t="shared" si="5"/>
        <v>0</v>
      </c>
      <c r="O41" s="1165"/>
      <c r="P41" s="1127">
        <f t="shared" si="6"/>
        <v>0</v>
      </c>
      <c r="Q41" s="1165"/>
      <c r="R41" s="1127">
        <f t="shared" si="7"/>
        <v>0</v>
      </c>
      <c r="S41" s="1028"/>
      <c r="T41" s="1131">
        <f t="shared" si="8"/>
        <v>0</v>
      </c>
      <c r="U41" s="1045"/>
      <c r="V41" s="1045">
        <f t="shared" si="0"/>
        <v>0</v>
      </c>
      <c r="W41" s="1132">
        <f t="shared" si="9"/>
        <v>0</v>
      </c>
      <c r="X41" s="1045">
        <f t="shared" si="10"/>
        <v>0</v>
      </c>
      <c r="Y41" s="1132">
        <f>building!Y40</f>
        <v>100.2</v>
      </c>
      <c r="Z41" s="1045">
        <f t="shared" si="11"/>
        <v>76513.72</v>
      </c>
      <c r="AA41" s="891"/>
      <c r="AB41" s="891"/>
    </row>
    <row r="42" spans="1:29" s="718" customFormat="1">
      <c r="A42" s="1160"/>
      <c r="B42" s="1162" t="s">
        <v>2133</v>
      </c>
      <c r="C42" s="995">
        <f>ROUND(Data!K408,2)</f>
        <v>778.7</v>
      </c>
      <c r="D42" s="1147" t="s">
        <v>1776</v>
      </c>
      <c r="E42" s="1148">
        <f>detailed!G544</f>
        <v>123.8</v>
      </c>
      <c r="F42" s="1127">
        <f t="shared" si="1"/>
        <v>96403.06</v>
      </c>
      <c r="G42" s="1147"/>
      <c r="H42" s="1127">
        <f t="shared" si="2"/>
        <v>0</v>
      </c>
      <c r="I42" s="1147"/>
      <c r="J42" s="1127">
        <f t="shared" si="3"/>
        <v>0</v>
      </c>
      <c r="K42" s="1147"/>
      <c r="L42" s="1127">
        <f t="shared" si="4"/>
        <v>0</v>
      </c>
      <c r="M42" s="1147"/>
      <c r="N42" s="1127">
        <f t="shared" si="5"/>
        <v>0</v>
      </c>
      <c r="O42" s="1147"/>
      <c r="P42" s="1127">
        <f t="shared" si="6"/>
        <v>0</v>
      </c>
      <c r="Q42" s="1147"/>
      <c r="R42" s="1127">
        <f t="shared" si="7"/>
        <v>0</v>
      </c>
      <c r="S42" s="1028"/>
      <c r="T42" s="1131">
        <f t="shared" si="8"/>
        <v>0</v>
      </c>
      <c r="U42" s="1045"/>
      <c r="V42" s="1045">
        <f t="shared" si="0"/>
        <v>0</v>
      </c>
      <c r="W42" s="1132">
        <f t="shared" si="9"/>
        <v>0</v>
      </c>
      <c r="X42" s="1045">
        <f t="shared" si="10"/>
        <v>0</v>
      </c>
      <c r="Y42" s="1132">
        <f>building!Y41</f>
        <v>123.8</v>
      </c>
      <c r="Z42" s="1045">
        <f t="shared" si="11"/>
        <v>96403.06</v>
      </c>
      <c r="AA42" s="891"/>
      <c r="AB42" s="891"/>
    </row>
    <row r="43" spans="1:29" s="486" customFormat="1">
      <c r="A43" s="1050"/>
      <c r="B43" s="1125" t="s">
        <v>1026</v>
      </c>
      <c r="C43" s="1025">
        <f>ROUND(Data!K409,2)</f>
        <v>793.79</v>
      </c>
      <c r="D43" s="1138" t="s">
        <v>1776</v>
      </c>
      <c r="E43" s="1139"/>
      <c r="F43" s="1127">
        <f t="shared" si="1"/>
        <v>0</v>
      </c>
      <c r="G43" s="1138"/>
      <c r="H43" s="1127">
        <f t="shared" si="2"/>
        <v>0</v>
      </c>
      <c r="I43" s="1138"/>
      <c r="J43" s="1127">
        <f t="shared" si="3"/>
        <v>0</v>
      </c>
      <c r="K43" s="1138"/>
      <c r="L43" s="1127">
        <f t="shared" si="4"/>
        <v>0</v>
      </c>
      <c r="M43" s="1138"/>
      <c r="N43" s="1127">
        <f t="shared" si="5"/>
        <v>0</v>
      </c>
      <c r="O43" s="1138"/>
      <c r="P43" s="1127">
        <f t="shared" si="6"/>
        <v>0</v>
      </c>
      <c r="Q43" s="1138"/>
      <c r="R43" s="1127">
        <f t="shared" si="7"/>
        <v>0</v>
      </c>
      <c r="S43" s="1028"/>
      <c r="T43" s="1131">
        <f t="shared" si="8"/>
        <v>0</v>
      </c>
      <c r="U43" s="1045"/>
      <c r="V43" s="1045">
        <f t="shared" si="0"/>
        <v>0</v>
      </c>
      <c r="W43" s="1132">
        <f t="shared" si="9"/>
        <v>0</v>
      </c>
      <c r="X43" s="1045">
        <f t="shared" si="10"/>
        <v>0</v>
      </c>
      <c r="Y43" s="1132">
        <f>building!Y42</f>
        <v>0</v>
      </c>
      <c r="Z43" s="1045">
        <f t="shared" si="11"/>
        <v>0</v>
      </c>
      <c r="AA43" s="892"/>
      <c r="AB43" s="891"/>
    </row>
    <row r="44" spans="1:29" s="718" customFormat="1" ht="67.5">
      <c r="A44" s="1167">
        <v>11.5</v>
      </c>
      <c r="B44" s="1161" t="s">
        <v>5649</v>
      </c>
      <c r="C44" s="995"/>
      <c r="D44" s="1147"/>
      <c r="E44" s="1148"/>
      <c r="F44" s="1127">
        <f t="shared" si="1"/>
        <v>0</v>
      </c>
      <c r="G44" s="1147"/>
      <c r="H44" s="1127">
        <f t="shared" si="2"/>
        <v>0</v>
      </c>
      <c r="I44" s="1147"/>
      <c r="J44" s="1127">
        <f t="shared" si="3"/>
        <v>0</v>
      </c>
      <c r="K44" s="1147"/>
      <c r="L44" s="1127">
        <f t="shared" si="4"/>
        <v>0</v>
      </c>
      <c r="M44" s="1147"/>
      <c r="N44" s="1127">
        <f t="shared" si="5"/>
        <v>0</v>
      </c>
      <c r="O44" s="1147"/>
      <c r="P44" s="1127">
        <f t="shared" si="6"/>
        <v>0</v>
      </c>
      <c r="Q44" s="1147"/>
      <c r="R44" s="1127">
        <f t="shared" si="7"/>
        <v>0</v>
      </c>
      <c r="S44" s="1028"/>
      <c r="T44" s="1131">
        <f t="shared" si="8"/>
        <v>0</v>
      </c>
      <c r="U44" s="1045"/>
      <c r="V44" s="1045">
        <f t="shared" si="0"/>
        <v>0</v>
      </c>
      <c r="W44" s="1132">
        <f t="shared" si="9"/>
        <v>0</v>
      </c>
      <c r="X44" s="1045">
        <f t="shared" si="10"/>
        <v>0</v>
      </c>
      <c r="Y44" s="1132">
        <f>building!Y43</f>
        <v>0</v>
      </c>
      <c r="Z44" s="1045">
        <f t="shared" si="11"/>
        <v>0</v>
      </c>
      <c r="AA44" s="786"/>
      <c r="AB44" s="891"/>
      <c r="AC44" s="717"/>
    </row>
    <row r="45" spans="1:29" s="718" customFormat="1">
      <c r="A45" s="1168"/>
      <c r="B45" s="1164" t="s">
        <v>195</v>
      </c>
      <c r="C45" s="1043">
        <f>ROUND(Data!K437,2)</f>
        <v>498.04</v>
      </c>
      <c r="D45" s="1165" t="s">
        <v>1776</v>
      </c>
      <c r="E45" s="1166">
        <f>detailed!G550</f>
        <v>7.6</v>
      </c>
      <c r="F45" s="1127">
        <f t="shared" si="1"/>
        <v>3785.1</v>
      </c>
      <c r="G45" s="1165"/>
      <c r="H45" s="1127">
        <f t="shared" si="2"/>
        <v>0</v>
      </c>
      <c r="I45" s="1165"/>
      <c r="J45" s="1127">
        <f t="shared" si="3"/>
        <v>0</v>
      </c>
      <c r="K45" s="1165"/>
      <c r="L45" s="1127">
        <f t="shared" si="4"/>
        <v>0</v>
      </c>
      <c r="M45" s="1165"/>
      <c r="N45" s="1127">
        <f t="shared" si="5"/>
        <v>0</v>
      </c>
      <c r="O45" s="1165"/>
      <c r="P45" s="1127">
        <f t="shared" si="6"/>
        <v>0</v>
      </c>
      <c r="Q45" s="1165"/>
      <c r="R45" s="1127">
        <f t="shared" si="7"/>
        <v>0</v>
      </c>
      <c r="S45" s="1028"/>
      <c r="T45" s="1131">
        <f t="shared" si="8"/>
        <v>0</v>
      </c>
      <c r="U45" s="1045"/>
      <c r="V45" s="1045">
        <f t="shared" si="0"/>
        <v>0</v>
      </c>
      <c r="W45" s="1132">
        <f t="shared" si="9"/>
        <v>0</v>
      </c>
      <c r="X45" s="1045">
        <f t="shared" si="10"/>
        <v>0</v>
      </c>
      <c r="Y45" s="1132">
        <f>building!Y44</f>
        <v>7.6</v>
      </c>
      <c r="Z45" s="1045">
        <f t="shared" si="11"/>
        <v>3785.1</v>
      </c>
      <c r="AA45" s="891"/>
      <c r="AB45" s="891"/>
    </row>
    <row r="46" spans="1:29" s="718" customFormat="1">
      <c r="A46" s="1167"/>
      <c r="B46" s="1162" t="s">
        <v>196</v>
      </c>
      <c r="C46" s="995">
        <f>ROUND(Data!K438,2)</f>
        <v>507.64</v>
      </c>
      <c r="D46" s="1147" t="s">
        <v>1776</v>
      </c>
      <c r="E46" s="1148">
        <f>detailed!G557</f>
        <v>22.3</v>
      </c>
      <c r="F46" s="1127">
        <f t="shared" si="1"/>
        <v>11320.37</v>
      </c>
      <c r="G46" s="1147"/>
      <c r="H46" s="1127">
        <f t="shared" si="2"/>
        <v>0</v>
      </c>
      <c r="I46" s="1147"/>
      <c r="J46" s="1127">
        <f t="shared" si="3"/>
        <v>0</v>
      </c>
      <c r="K46" s="1147"/>
      <c r="L46" s="1127">
        <f t="shared" si="4"/>
        <v>0</v>
      </c>
      <c r="M46" s="1147"/>
      <c r="N46" s="1127">
        <f t="shared" si="5"/>
        <v>0</v>
      </c>
      <c r="O46" s="1147"/>
      <c r="P46" s="1127">
        <f t="shared" si="6"/>
        <v>0</v>
      </c>
      <c r="Q46" s="1147"/>
      <c r="R46" s="1127">
        <f t="shared" si="7"/>
        <v>0</v>
      </c>
      <c r="S46" s="1028"/>
      <c r="T46" s="1131">
        <f t="shared" si="8"/>
        <v>0</v>
      </c>
      <c r="U46" s="1045"/>
      <c r="V46" s="1045">
        <f t="shared" si="0"/>
        <v>0</v>
      </c>
      <c r="W46" s="1132">
        <f t="shared" si="9"/>
        <v>0</v>
      </c>
      <c r="X46" s="1045">
        <f t="shared" si="10"/>
        <v>0</v>
      </c>
      <c r="Y46" s="1132">
        <f>building!Y45</f>
        <v>22.3</v>
      </c>
      <c r="Z46" s="1045">
        <f t="shared" si="11"/>
        <v>11320.37</v>
      </c>
      <c r="AA46" s="891"/>
      <c r="AB46" s="891"/>
    </row>
    <row r="47" spans="1:29" s="718" customFormat="1">
      <c r="A47" s="1168"/>
      <c r="B47" s="1164" t="s">
        <v>197</v>
      </c>
      <c r="C47" s="1043">
        <f>ROUND(Data!K439,2)</f>
        <v>517.24</v>
      </c>
      <c r="D47" s="1165" t="s">
        <v>1776</v>
      </c>
      <c r="E47" s="1166">
        <f>detailed!G563</f>
        <v>25.2</v>
      </c>
      <c r="F47" s="1127">
        <f t="shared" si="1"/>
        <v>13034.45</v>
      </c>
      <c r="G47" s="1165"/>
      <c r="H47" s="1127">
        <f t="shared" si="2"/>
        <v>0</v>
      </c>
      <c r="I47" s="1165"/>
      <c r="J47" s="1127">
        <f t="shared" si="3"/>
        <v>0</v>
      </c>
      <c r="K47" s="1165"/>
      <c r="L47" s="1127">
        <f t="shared" si="4"/>
        <v>0</v>
      </c>
      <c r="M47" s="1165"/>
      <c r="N47" s="1127">
        <f t="shared" si="5"/>
        <v>0</v>
      </c>
      <c r="O47" s="1165"/>
      <c r="P47" s="1127">
        <f t="shared" si="6"/>
        <v>0</v>
      </c>
      <c r="Q47" s="1165"/>
      <c r="R47" s="1127">
        <f t="shared" si="7"/>
        <v>0</v>
      </c>
      <c r="S47" s="1028"/>
      <c r="T47" s="1131">
        <f t="shared" si="8"/>
        <v>0</v>
      </c>
      <c r="U47" s="1045"/>
      <c r="V47" s="1045">
        <f t="shared" si="0"/>
        <v>0</v>
      </c>
      <c r="W47" s="1132">
        <f t="shared" si="9"/>
        <v>0</v>
      </c>
      <c r="X47" s="1045">
        <f t="shared" si="10"/>
        <v>0</v>
      </c>
      <c r="Y47" s="1132">
        <f>building!Y46</f>
        <v>25.2</v>
      </c>
      <c r="Z47" s="1045">
        <f t="shared" si="11"/>
        <v>13034.45</v>
      </c>
      <c r="AA47" s="891"/>
      <c r="AB47" s="891"/>
    </row>
    <row r="48" spans="1:29" s="718" customFormat="1">
      <c r="A48" s="1167"/>
      <c r="B48" s="1162" t="s">
        <v>198</v>
      </c>
      <c r="C48" s="995">
        <f>ROUND(Data!K440,2)</f>
        <v>526.84</v>
      </c>
      <c r="D48" s="1147" t="s">
        <v>1776</v>
      </c>
      <c r="E48" s="1148"/>
      <c r="F48" s="1127">
        <f t="shared" si="1"/>
        <v>0</v>
      </c>
      <c r="G48" s="1147"/>
      <c r="H48" s="1127">
        <f t="shared" si="2"/>
        <v>0</v>
      </c>
      <c r="I48" s="1147"/>
      <c r="J48" s="1127">
        <f t="shared" si="3"/>
        <v>0</v>
      </c>
      <c r="K48" s="1147"/>
      <c r="L48" s="1127">
        <f t="shared" si="4"/>
        <v>0</v>
      </c>
      <c r="M48" s="1147"/>
      <c r="N48" s="1127">
        <f t="shared" si="5"/>
        <v>0</v>
      </c>
      <c r="O48" s="1147"/>
      <c r="P48" s="1127">
        <f t="shared" si="6"/>
        <v>0</v>
      </c>
      <c r="Q48" s="1147"/>
      <c r="R48" s="1127">
        <f t="shared" si="7"/>
        <v>0</v>
      </c>
      <c r="S48" s="1028"/>
      <c r="T48" s="1131">
        <f t="shared" si="8"/>
        <v>0</v>
      </c>
      <c r="U48" s="1045"/>
      <c r="V48" s="1045">
        <f t="shared" si="0"/>
        <v>0</v>
      </c>
      <c r="W48" s="1132">
        <f t="shared" si="9"/>
        <v>0</v>
      </c>
      <c r="X48" s="1045">
        <f t="shared" si="10"/>
        <v>0</v>
      </c>
      <c r="Y48" s="1132">
        <f>building!Y47</f>
        <v>0</v>
      </c>
      <c r="Z48" s="1045">
        <f t="shared" si="11"/>
        <v>0</v>
      </c>
      <c r="AA48" s="891"/>
      <c r="AB48" s="891"/>
    </row>
    <row r="49" spans="1:29" s="486" customFormat="1">
      <c r="A49" s="1048"/>
      <c r="B49" s="1125" t="s">
        <v>575</v>
      </c>
      <c r="C49" s="1024">
        <f>ROUND(Data!K441,2)</f>
        <v>536.44000000000005</v>
      </c>
      <c r="D49" s="1138" t="s">
        <v>1776</v>
      </c>
      <c r="E49" s="1139"/>
      <c r="F49" s="1127">
        <f t="shared" si="1"/>
        <v>0</v>
      </c>
      <c r="G49" s="1138"/>
      <c r="H49" s="1127">
        <f t="shared" si="2"/>
        <v>0</v>
      </c>
      <c r="I49" s="1138"/>
      <c r="J49" s="1127">
        <f t="shared" si="3"/>
        <v>0</v>
      </c>
      <c r="K49" s="1138"/>
      <c r="L49" s="1127">
        <f t="shared" si="4"/>
        <v>0</v>
      </c>
      <c r="M49" s="1138"/>
      <c r="N49" s="1127">
        <f t="shared" si="5"/>
        <v>0</v>
      </c>
      <c r="O49" s="1138"/>
      <c r="P49" s="1127">
        <f t="shared" si="6"/>
        <v>0</v>
      </c>
      <c r="Q49" s="1138"/>
      <c r="R49" s="1127">
        <f t="shared" si="7"/>
        <v>0</v>
      </c>
      <c r="S49" s="1028"/>
      <c r="T49" s="1131">
        <f t="shared" si="8"/>
        <v>0</v>
      </c>
      <c r="U49" s="1045"/>
      <c r="V49" s="1045">
        <f t="shared" si="0"/>
        <v>0</v>
      </c>
      <c r="W49" s="1132">
        <f t="shared" si="9"/>
        <v>0</v>
      </c>
      <c r="X49" s="1045">
        <f t="shared" si="10"/>
        <v>0</v>
      </c>
      <c r="Y49" s="1132">
        <f>building!Y48</f>
        <v>0</v>
      </c>
      <c r="Z49" s="1045">
        <f t="shared" si="11"/>
        <v>0</v>
      </c>
      <c r="AA49" s="892"/>
      <c r="AB49" s="891"/>
    </row>
    <row r="50" spans="1:29" ht="45">
      <c r="A50" s="1124">
        <v>12.1</v>
      </c>
      <c r="B50" s="1159" t="s">
        <v>4264</v>
      </c>
      <c r="C50" s="1052"/>
      <c r="D50" s="1169"/>
      <c r="E50" s="1170"/>
      <c r="F50" s="1127">
        <f t="shared" si="1"/>
        <v>0</v>
      </c>
      <c r="G50" s="1169"/>
      <c r="H50" s="1127">
        <f t="shared" si="2"/>
        <v>0</v>
      </c>
      <c r="I50" s="1169"/>
      <c r="J50" s="1127">
        <f t="shared" si="3"/>
        <v>0</v>
      </c>
      <c r="K50" s="1169"/>
      <c r="L50" s="1127">
        <f t="shared" si="4"/>
        <v>0</v>
      </c>
      <c r="M50" s="1169"/>
      <c r="N50" s="1127">
        <f t="shared" si="5"/>
        <v>0</v>
      </c>
      <c r="O50" s="1169"/>
      <c r="P50" s="1127">
        <f t="shared" si="6"/>
        <v>0</v>
      </c>
      <c r="Q50" s="1169"/>
      <c r="R50" s="1127">
        <f t="shared" si="7"/>
        <v>0</v>
      </c>
      <c r="S50" s="1049"/>
      <c r="T50" s="1131">
        <f t="shared" si="8"/>
        <v>0</v>
      </c>
      <c r="U50" s="1045"/>
      <c r="V50" s="1045">
        <f t="shared" si="0"/>
        <v>0</v>
      </c>
      <c r="W50" s="1132">
        <f t="shared" si="9"/>
        <v>0</v>
      </c>
      <c r="X50" s="1045">
        <f t="shared" si="10"/>
        <v>0</v>
      </c>
      <c r="Y50" s="1132">
        <f>building!Y49</f>
        <v>0</v>
      </c>
      <c r="Z50" s="1045">
        <f t="shared" si="11"/>
        <v>0</v>
      </c>
      <c r="AA50" s="785"/>
      <c r="AB50" s="890"/>
      <c r="AC50" s="547"/>
    </row>
    <row r="51" spans="1:29" s="549" customFormat="1" ht="34.5" customHeight="1">
      <c r="A51" s="1125"/>
      <c r="B51" s="1125" t="s">
        <v>195</v>
      </c>
      <c r="C51" s="1052">
        <f>ROUND(Data!K470,2)</f>
        <v>360.11</v>
      </c>
      <c r="D51" s="1127" t="s">
        <v>1776</v>
      </c>
      <c r="E51" s="1128"/>
      <c r="F51" s="1127">
        <f t="shared" si="1"/>
        <v>0</v>
      </c>
      <c r="G51" s="1127"/>
      <c r="H51" s="1127">
        <f t="shared" si="2"/>
        <v>0</v>
      </c>
      <c r="I51" s="1127"/>
      <c r="J51" s="1127">
        <f t="shared" si="3"/>
        <v>0</v>
      </c>
      <c r="K51" s="1127"/>
      <c r="L51" s="1127">
        <f t="shared" si="4"/>
        <v>0</v>
      </c>
      <c r="M51" s="1127"/>
      <c r="N51" s="1127">
        <f t="shared" si="5"/>
        <v>0</v>
      </c>
      <c r="O51" s="1127"/>
      <c r="P51" s="1127">
        <f t="shared" si="6"/>
        <v>0</v>
      </c>
      <c r="Q51" s="1127"/>
      <c r="R51" s="1127">
        <f t="shared" si="7"/>
        <v>0</v>
      </c>
      <c r="S51" s="1045"/>
      <c r="T51" s="1131">
        <f t="shared" si="8"/>
        <v>0</v>
      </c>
      <c r="U51" s="1045"/>
      <c r="V51" s="1045">
        <f t="shared" si="0"/>
        <v>0</v>
      </c>
      <c r="W51" s="1132">
        <f t="shared" si="9"/>
        <v>0</v>
      </c>
      <c r="X51" s="1045">
        <f t="shared" si="10"/>
        <v>0</v>
      </c>
      <c r="Y51" s="1132">
        <f>building!Y50</f>
        <v>0</v>
      </c>
      <c r="Z51" s="1045">
        <f t="shared" si="11"/>
        <v>0</v>
      </c>
      <c r="AA51" s="890"/>
      <c r="AB51" s="890"/>
    </row>
    <row r="52" spans="1:29" s="549" customFormat="1" ht="43.5" customHeight="1">
      <c r="A52" s="1125"/>
      <c r="B52" s="1125" t="s">
        <v>196</v>
      </c>
      <c r="C52" s="1052">
        <f>ROUND(Data!K471,2)</f>
        <v>366.97</v>
      </c>
      <c r="D52" s="1127" t="s">
        <v>1776</v>
      </c>
      <c r="E52" s="1128"/>
      <c r="F52" s="1127">
        <f t="shared" si="1"/>
        <v>0</v>
      </c>
      <c r="G52" s="1127"/>
      <c r="H52" s="1127">
        <f t="shared" si="2"/>
        <v>0</v>
      </c>
      <c r="I52" s="1127"/>
      <c r="J52" s="1127">
        <f t="shared" si="3"/>
        <v>0</v>
      </c>
      <c r="K52" s="1127"/>
      <c r="L52" s="1127">
        <f t="shared" si="4"/>
        <v>0</v>
      </c>
      <c r="M52" s="1127"/>
      <c r="N52" s="1127">
        <f t="shared" si="5"/>
        <v>0</v>
      </c>
      <c r="O52" s="1127"/>
      <c r="P52" s="1127">
        <f t="shared" si="6"/>
        <v>0</v>
      </c>
      <c r="Q52" s="1127"/>
      <c r="R52" s="1127">
        <f t="shared" si="7"/>
        <v>0</v>
      </c>
      <c r="S52" s="1045"/>
      <c r="T52" s="1131">
        <f t="shared" si="8"/>
        <v>0</v>
      </c>
      <c r="U52" s="1045"/>
      <c r="V52" s="1045">
        <f t="shared" si="0"/>
        <v>0</v>
      </c>
      <c r="W52" s="1132">
        <f t="shared" si="9"/>
        <v>0</v>
      </c>
      <c r="X52" s="1045">
        <f t="shared" si="10"/>
        <v>0</v>
      </c>
      <c r="Y52" s="1132">
        <f>building!Y51</f>
        <v>0</v>
      </c>
      <c r="Z52" s="1045">
        <f t="shared" si="11"/>
        <v>0</v>
      </c>
      <c r="AA52" s="890"/>
      <c r="AB52" s="890"/>
    </row>
    <row r="53" spans="1:29" s="719" customFormat="1">
      <c r="A53" s="1162"/>
      <c r="B53" s="1162" t="s">
        <v>197</v>
      </c>
      <c r="C53" s="995">
        <f>ROUND(Data!K472,2)</f>
        <v>373.83</v>
      </c>
      <c r="D53" s="1147" t="s">
        <v>1776</v>
      </c>
      <c r="E53" s="1148"/>
      <c r="F53" s="1127">
        <f t="shared" si="1"/>
        <v>0</v>
      </c>
      <c r="G53" s="1147"/>
      <c r="H53" s="1127">
        <f t="shared" si="2"/>
        <v>0</v>
      </c>
      <c r="I53" s="1147"/>
      <c r="J53" s="1127">
        <f t="shared" si="3"/>
        <v>0</v>
      </c>
      <c r="K53" s="1147"/>
      <c r="L53" s="1127">
        <f t="shared" si="4"/>
        <v>0</v>
      </c>
      <c r="M53" s="1147"/>
      <c r="N53" s="1127">
        <f t="shared" si="5"/>
        <v>0</v>
      </c>
      <c r="O53" s="1147"/>
      <c r="P53" s="1127">
        <f t="shared" si="6"/>
        <v>0</v>
      </c>
      <c r="Q53" s="1147"/>
      <c r="R53" s="1127">
        <f t="shared" si="7"/>
        <v>0</v>
      </c>
      <c r="S53" s="1028"/>
      <c r="T53" s="1131">
        <f t="shared" si="8"/>
        <v>0</v>
      </c>
      <c r="U53" s="1045"/>
      <c r="V53" s="1045">
        <f t="shared" si="0"/>
        <v>0</v>
      </c>
      <c r="W53" s="1132">
        <f t="shared" si="9"/>
        <v>0</v>
      </c>
      <c r="X53" s="1045">
        <f t="shared" si="10"/>
        <v>0</v>
      </c>
      <c r="Y53" s="1132">
        <f>building!Y52</f>
        <v>0</v>
      </c>
      <c r="Z53" s="1045">
        <f t="shared" si="11"/>
        <v>0</v>
      </c>
      <c r="AA53" s="891"/>
      <c r="AB53" s="891"/>
    </row>
    <row r="54" spans="1:29" s="719" customFormat="1">
      <c r="A54" s="1162"/>
      <c r="B54" s="1162" t="s">
        <v>198</v>
      </c>
      <c r="C54" s="995">
        <f>ROUND(Data!K473,2)</f>
        <v>380.69</v>
      </c>
      <c r="D54" s="1147" t="s">
        <v>1776</v>
      </c>
      <c r="E54" s="1148"/>
      <c r="F54" s="1127">
        <f t="shared" si="1"/>
        <v>0</v>
      </c>
      <c r="G54" s="1147"/>
      <c r="H54" s="1127">
        <f t="shared" si="2"/>
        <v>0</v>
      </c>
      <c r="I54" s="1147"/>
      <c r="J54" s="1127">
        <f t="shared" si="3"/>
        <v>0</v>
      </c>
      <c r="K54" s="1147"/>
      <c r="L54" s="1127">
        <f t="shared" si="4"/>
        <v>0</v>
      </c>
      <c r="M54" s="1147"/>
      <c r="N54" s="1127">
        <f t="shared" si="5"/>
        <v>0</v>
      </c>
      <c r="O54" s="1147"/>
      <c r="P54" s="1127">
        <f t="shared" si="6"/>
        <v>0</v>
      </c>
      <c r="Q54" s="1147"/>
      <c r="R54" s="1127">
        <f t="shared" si="7"/>
        <v>0</v>
      </c>
      <c r="S54" s="1028"/>
      <c r="T54" s="1131">
        <f t="shared" si="8"/>
        <v>0</v>
      </c>
      <c r="U54" s="1045"/>
      <c r="V54" s="1045">
        <f t="shared" si="0"/>
        <v>0</v>
      </c>
      <c r="W54" s="1132">
        <f t="shared" si="9"/>
        <v>0</v>
      </c>
      <c r="X54" s="1045">
        <f t="shared" si="10"/>
        <v>0</v>
      </c>
      <c r="Y54" s="1132">
        <f>building!Y53</f>
        <v>0</v>
      </c>
      <c r="Z54" s="1045">
        <f t="shared" si="11"/>
        <v>0</v>
      </c>
      <c r="AA54" s="891"/>
      <c r="AB54" s="891"/>
    </row>
    <row r="55" spans="1:29" s="486" customFormat="1">
      <c r="A55" s="1010"/>
      <c r="B55" s="1125" t="s">
        <v>575</v>
      </c>
      <c r="C55" s="1040">
        <f>ROUND(Data!K474,2)</f>
        <v>387.55</v>
      </c>
      <c r="D55" s="1127" t="s">
        <v>1776</v>
      </c>
      <c r="E55" s="1128"/>
      <c r="F55" s="1127">
        <f t="shared" si="1"/>
        <v>0</v>
      </c>
      <c r="G55" s="1127"/>
      <c r="H55" s="1127">
        <f t="shared" si="2"/>
        <v>0</v>
      </c>
      <c r="I55" s="1127"/>
      <c r="J55" s="1127">
        <f t="shared" si="3"/>
        <v>0</v>
      </c>
      <c r="K55" s="1127"/>
      <c r="L55" s="1127">
        <f t="shared" si="4"/>
        <v>0</v>
      </c>
      <c r="M55" s="1127"/>
      <c r="N55" s="1127">
        <f t="shared" si="5"/>
        <v>0</v>
      </c>
      <c r="O55" s="1127"/>
      <c r="P55" s="1127">
        <f t="shared" si="6"/>
        <v>0</v>
      </c>
      <c r="Q55" s="1127"/>
      <c r="R55" s="1127">
        <f t="shared" si="7"/>
        <v>0</v>
      </c>
      <c r="S55" s="1028"/>
      <c r="T55" s="1131">
        <f t="shared" si="8"/>
        <v>0</v>
      </c>
      <c r="U55" s="1045"/>
      <c r="V55" s="1045">
        <f t="shared" si="0"/>
        <v>0</v>
      </c>
      <c r="W55" s="1132">
        <f t="shared" si="9"/>
        <v>0</v>
      </c>
      <c r="X55" s="1045">
        <f t="shared" si="10"/>
        <v>0</v>
      </c>
      <c r="Y55" s="1132">
        <f>building!Y54</f>
        <v>0</v>
      </c>
      <c r="Z55" s="1045">
        <f t="shared" si="11"/>
        <v>0</v>
      </c>
      <c r="AA55" s="892"/>
      <c r="AB55" s="891"/>
    </row>
    <row r="56" spans="1:29" s="486" customFormat="1">
      <c r="A56" s="1010"/>
      <c r="B56" s="1125"/>
      <c r="C56" s="1024"/>
      <c r="D56" s="1138"/>
      <c r="E56" s="1139"/>
      <c r="F56" s="1127">
        <f t="shared" si="1"/>
        <v>0</v>
      </c>
      <c r="G56" s="1138"/>
      <c r="H56" s="1127">
        <f t="shared" si="2"/>
        <v>0</v>
      </c>
      <c r="I56" s="1138"/>
      <c r="J56" s="1127">
        <f t="shared" si="3"/>
        <v>0</v>
      </c>
      <c r="K56" s="1138"/>
      <c r="L56" s="1127">
        <f t="shared" si="4"/>
        <v>0</v>
      </c>
      <c r="M56" s="1138"/>
      <c r="N56" s="1127">
        <f t="shared" si="5"/>
        <v>0</v>
      </c>
      <c r="O56" s="1138"/>
      <c r="P56" s="1127">
        <f t="shared" si="6"/>
        <v>0</v>
      </c>
      <c r="Q56" s="1138"/>
      <c r="R56" s="1127">
        <f t="shared" si="7"/>
        <v>0</v>
      </c>
      <c r="S56" s="1028"/>
      <c r="T56" s="1131">
        <f t="shared" si="8"/>
        <v>0</v>
      </c>
      <c r="U56" s="1045"/>
      <c r="V56" s="1045">
        <f t="shared" si="0"/>
        <v>0</v>
      </c>
      <c r="W56" s="1132">
        <f t="shared" si="9"/>
        <v>0</v>
      </c>
      <c r="X56" s="1045">
        <f t="shared" si="10"/>
        <v>0</v>
      </c>
      <c r="Y56" s="1132">
        <f>building!Y55</f>
        <v>0</v>
      </c>
      <c r="Z56" s="1045">
        <f t="shared" si="11"/>
        <v>0</v>
      </c>
      <c r="AA56" s="892"/>
      <c r="AB56" s="891"/>
    </row>
    <row r="57" spans="1:29" s="866" customFormat="1">
      <c r="A57" s="1171">
        <v>13.1</v>
      </c>
      <c r="B57" s="1172" t="s">
        <v>1025</v>
      </c>
      <c r="C57" s="1049">
        <f>ROUND(Data!K485,2)</f>
        <v>33.6</v>
      </c>
      <c r="D57" s="1131" t="s">
        <v>1153</v>
      </c>
      <c r="E57" s="1173">
        <f>detailed!G613</f>
        <v>109.2</v>
      </c>
      <c r="F57" s="1127">
        <f t="shared" si="1"/>
        <v>3669.12</v>
      </c>
      <c r="G57" s="1131"/>
      <c r="H57" s="1127">
        <f t="shared" si="2"/>
        <v>0</v>
      </c>
      <c r="I57" s="1131"/>
      <c r="J57" s="1127">
        <f t="shared" si="3"/>
        <v>0</v>
      </c>
      <c r="K57" s="1131"/>
      <c r="L57" s="1127">
        <f t="shared" si="4"/>
        <v>0</v>
      </c>
      <c r="M57" s="1131"/>
      <c r="N57" s="1127">
        <f t="shared" si="5"/>
        <v>0</v>
      </c>
      <c r="O57" s="1131"/>
      <c r="P57" s="1127">
        <f t="shared" si="6"/>
        <v>0</v>
      </c>
      <c r="Q57" s="1131"/>
      <c r="R57" s="1127">
        <f t="shared" si="7"/>
        <v>0</v>
      </c>
      <c r="S57" s="1045"/>
      <c r="T57" s="1131">
        <f t="shared" si="8"/>
        <v>0</v>
      </c>
      <c r="U57" s="1045"/>
      <c r="V57" s="1045">
        <f t="shared" si="0"/>
        <v>0</v>
      </c>
      <c r="W57" s="1132">
        <f t="shared" si="9"/>
        <v>0</v>
      </c>
      <c r="X57" s="1045">
        <f t="shared" si="10"/>
        <v>0</v>
      </c>
      <c r="Y57" s="1132">
        <f>building!Y56</f>
        <v>109.2</v>
      </c>
      <c r="Z57" s="1045">
        <f t="shared" si="11"/>
        <v>3669.12</v>
      </c>
      <c r="AA57" s="890"/>
      <c r="AB57" s="890"/>
    </row>
    <row r="58" spans="1:29">
      <c r="A58" s="1124">
        <v>21.2</v>
      </c>
      <c r="B58" s="1159" t="s">
        <v>1981</v>
      </c>
      <c r="C58" s="1052"/>
      <c r="D58" s="1127"/>
      <c r="E58" s="1128"/>
      <c r="F58" s="1127">
        <f t="shared" si="1"/>
        <v>0</v>
      </c>
      <c r="G58" s="1127"/>
      <c r="H58" s="1127">
        <f t="shared" si="2"/>
        <v>0</v>
      </c>
      <c r="I58" s="1127"/>
      <c r="J58" s="1127">
        <f t="shared" si="3"/>
        <v>0</v>
      </c>
      <c r="K58" s="1127"/>
      <c r="L58" s="1127">
        <f t="shared" si="4"/>
        <v>0</v>
      </c>
      <c r="M58" s="1127"/>
      <c r="N58" s="1127">
        <f t="shared" si="5"/>
        <v>0</v>
      </c>
      <c r="O58" s="1127"/>
      <c r="P58" s="1127">
        <f t="shared" si="6"/>
        <v>0</v>
      </c>
      <c r="Q58" s="1127"/>
      <c r="R58" s="1127">
        <f t="shared" si="7"/>
        <v>0</v>
      </c>
      <c r="S58" s="1049"/>
      <c r="T58" s="1131">
        <f t="shared" si="8"/>
        <v>0</v>
      </c>
      <c r="U58" s="1045"/>
      <c r="V58" s="1045">
        <f t="shared" si="0"/>
        <v>0</v>
      </c>
      <c r="W58" s="1132">
        <f t="shared" si="9"/>
        <v>0</v>
      </c>
      <c r="X58" s="1045">
        <f t="shared" si="10"/>
        <v>0</v>
      </c>
      <c r="Y58" s="1132">
        <f>building!Y57</f>
        <v>0</v>
      </c>
      <c r="Z58" s="1045">
        <f t="shared" si="11"/>
        <v>0</v>
      </c>
      <c r="AA58" s="785"/>
      <c r="AB58" s="890"/>
      <c r="AC58" s="862"/>
    </row>
    <row r="59" spans="1:29" ht="46.5" customHeight="1">
      <c r="A59" s="1124"/>
      <c r="B59" s="1125" t="s">
        <v>1726</v>
      </c>
      <c r="C59" s="1052">
        <f>ROUND(Data!K926,2)</f>
        <v>123400</v>
      </c>
      <c r="D59" s="1127" t="s">
        <v>1153</v>
      </c>
      <c r="E59" s="1128">
        <f>detailed!G905</f>
        <v>0.8</v>
      </c>
      <c r="F59" s="1127">
        <f t="shared" si="1"/>
        <v>98720</v>
      </c>
      <c r="G59" s="1127"/>
      <c r="H59" s="1127">
        <f t="shared" si="2"/>
        <v>0</v>
      </c>
      <c r="I59" s="1127"/>
      <c r="J59" s="1127">
        <f t="shared" si="3"/>
        <v>0</v>
      </c>
      <c r="K59" s="1127"/>
      <c r="L59" s="1127">
        <f t="shared" si="4"/>
        <v>0</v>
      </c>
      <c r="M59" s="1127"/>
      <c r="N59" s="1127">
        <f t="shared" si="5"/>
        <v>0</v>
      </c>
      <c r="O59" s="1127"/>
      <c r="P59" s="1127">
        <f t="shared" si="6"/>
        <v>0</v>
      </c>
      <c r="Q59" s="1127"/>
      <c r="R59" s="1127">
        <f t="shared" si="7"/>
        <v>0</v>
      </c>
      <c r="S59" s="1132"/>
      <c r="T59" s="1131">
        <f t="shared" si="8"/>
        <v>0</v>
      </c>
      <c r="U59" s="1045"/>
      <c r="V59" s="1045">
        <f t="shared" si="0"/>
        <v>0</v>
      </c>
      <c r="W59" s="1132">
        <f t="shared" si="9"/>
        <v>0</v>
      </c>
      <c r="X59" s="1045">
        <f t="shared" si="10"/>
        <v>0</v>
      </c>
      <c r="Y59" s="1132">
        <f>building!Y58</f>
        <v>0.8</v>
      </c>
      <c r="Z59" s="1045">
        <f t="shared" si="11"/>
        <v>98720</v>
      </c>
      <c r="AA59" s="890"/>
      <c r="AB59" s="890"/>
    </row>
    <row r="60" spans="1:29">
      <c r="A60" s="1050"/>
      <c r="B60" s="1125" t="s">
        <v>1727</v>
      </c>
      <c r="C60" s="1052">
        <f>ROUND(Data!K933,2)</f>
        <v>111200</v>
      </c>
      <c r="D60" s="1127" t="s">
        <v>1153</v>
      </c>
      <c r="E60" s="1128">
        <f>detailed!G916</f>
        <v>0.4</v>
      </c>
      <c r="F60" s="1127">
        <f t="shared" si="1"/>
        <v>44480</v>
      </c>
      <c r="G60" s="1127"/>
      <c r="H60" s="1127">
        <f t="shared" si="2"/>
        <v>0</v>
      </c>
      <c r="I60" s="1127"/>
      <c r="J60" s="1127">
        <f t="shared" si="3"/>
        <v>0</v>
      </c>
      <c r="K60" s="1127"/>
      <c r="L60" s="1127">
        <f t="shared" si="4"/>
        <v>0</v>
      </c>
      <c r="M60" s="1127"/>
      <c r="N60" s="1127">
        <f t="shared" si="5"/>
        <v>0</v>
      </c>
      <c r="O60" s="1127"/>
      <c r="P60" s="1127">
        <f t="shared" si="6"/>
        <v>0</v>
      </c>
      <c r="Q60" s="1127"/>
      <c r="R60" s="1127">
        <f t="shared" si="7"/>
        <v>0</v>
      </c>
      <c r="S60" s="1132"/>
      <c r="T60" s="1131">
        <f t="shared" si="8"/>
        <v>0</v>
      </c>
      <c r="U60" s="1045"/>
      <c r="V60" s="1045">
        <f t="shared" si="0"/>
        <v>0</v>
      </c>
      <c r="W60" s="1132">
        <f t="shared" si="9"/>
        <v>0</v>
      </c>
      <c r="X60" s="1045">
        <f t="shared" si="10"/>
        <v>0</v>
      </c>
      <c r="Y60" s="1132">
        <f>building!Y59</f>
        <v>0.4</v>
      </c>
      <c r="Z60" s="1045">
        <f t="shared" si="11"/>
        <v>44480</v>
      </c>
      <c r="AA60" s="890"/>
      <c r="AB60" s="890"/>
    </row>
    <row r="61" spans="1:29" s="486" customFormat="1" ht="45">
      <c r="A61" s="1149">
        <v>21.3</v>
      </c>
      <c r="B61" s="1150" t="s">
        <v>1728</v>
      </c>
      <c r="C61" s="1156">
        <f>ROUND(Data!K915,2)</f>
        <v>2034</v>
      </c>
      <c r="D61" s="1152" t="s">
        <v>1776</v>
      </c>
      <c r="E61" s="1153"/>
      <c r="F61" s="1127">
        <f t="shared" si="1"/>
        <v>0</v>
      </c>
      <c r="G61" s="1152"/>
      <c r="H61" s="1127">
        <f t="shared" si="2"/>
        <v>0</v>
      </c>
      <c r="I61" s="1152"/>
      <c r="J61" s="1127">
        <f t="shared" si="3"/>
        <v>0</v>
      </c>
      <c r="K61" s="1152"/>
      <c r="L61" s="1127">
        <f t="shared" si="4"/>
        <v>0</v>
      </c>
      <c r="M61" s="1152"/>
      <c r="N61" s="1127">
        <f t="shared" si="5"/>
        <v>0</v>
      </c>
      <c r="O61" s="1152"/>
      <c r="P61" s="1127">
        <f t="shared" si="6"/>
        <v>0</v>
      </c>
      <c r="Q61" s="1152"/>
      <c r="R61" s="1127">
        <f t="shared" si="7"/>
        <v>0</v>
      </c>
      <c r="S61" s="1028"/>
      <c r="T61" s="1131">
        <f t="shared" si="8"/>
        <v>0</v>
      </c>
      <c r="U61" s="1045"/>
      <c r="V61" s="1045">
        <f t="shared" si="0"/>
        <v>0</v>
      </c>
      <c r="W61" s="1132">
        <f t="shared" si="9"/>
        <v>0</v>
      </c>
      <c r="X61" s="1045">
        <f t="shared" si="10"/>
        <v>0</v>
      </c>
      <c r="Y61" s="1132">
        <f>building!Y60</f>
        <v>0</v>
      </c>
      <c r="Z61" s="1045">
        <f t="shared" si="11"/>
        <v>0</v>
      </c>
      <c r="AA61" s="892"/>
      <c r="AB61" s="891"/>
    </row>
    <row r="62" spans="1:29" s="486" customFormat="1">
      <c r="A62" s="1124">
        <v>23.2</v>
      </c>
      <c r="B62" s="1125" t="s">
        <v>1652</v>
      </c>
      <c r="C62" s="1024">
        <f>ROUND(Data!K1188,2)</f>
        <v>708.1</v>
      </c>
      <c r="D62" s="1138" t="s">
        <v>1776</v>
      </c>
      <c r="E62" s="1139"/>
      <c r="F62" s="1127">
        <f t="shared" si="1"/>
        <v>0</v>
      </c>
      <c r="G62" s="1138"/>
      <c r="H62" s="1127">
        <f t="shared" si="2"/>
        <v>0</v>
      </c>
      <c r="I62" s="1138"/>
      <c r="J62" s="1127">
        <f t="shared" si="3"/>
        <v>0</v>
      </c>
      <c r="K62" s="1138"/>
      <c r="L62" s="1127">
        <f t="shared" si="4"/>
        <v>0</v>
      </c>
      <c r="M62" s="1138"/>
      <c r="N62" s="1127">
        <f t="shared" si="5"/>
        <v>0</v>
      </c>
      <c r="O62" s="1138"/>
      <c r="P62" s="1127">
        <f t="shared" si="6"/>
        <v>0</v>
      </c>
      <c r="Q62" s="1138"/>
      <c r="R62" s="1127">
        <f t="shared" si="7"/>
        <v>0</v>
      </c>
      <c r="S62" s="1028"/>
      <c r="T62" s="1131">
        <f t="shared" si="8"/>
        <v>0</v>
      </c>
      <c r="U62" s="1045"/>
      <c r="V62" s="1045">
        <f t="shared" si="0"/>
        <v>0</v>
      </c>
      <c r="W62" s="1132">
        <f t="shared" si="9"/>
        <v>0</v>
      </c>
      <c r="X62" s="1045">
        <f t="shared" si="10"/>
        <v>0</v>
      </c>
      <c r="Y62" s="1132">
        <f>building!Y61</f>
        <v>0</v>
      </c>
      <c r="Z62" s="1045">
        <f t="shared" si="11"/>
        <v>0</v>
      </c>
      <c r="AA62" s="892"/>
      <c r="AB62" s="891"/>
    </row>
    <row r="63" spans="1:29" s="549" customFormat="1">
      <c r="A63" s="1124">
        <v>23.3</v>
      </c>
      <c r="B63" s="1125" t="s">
        <v>541</v>
      </c>
      <c r="C63" s="1052">
        <f>Data!K1173</f>
        <v>52</v>
      </c>
      <c r="D63" s="1127" t="s">
        <v>1341</v>
      </c>
      <c r="E63" s="1128">
        <f>detailed!H946</f>
        <v>26</v>
      </c>
      <c r="F63" s="1127">
        <f t="shared" si="1"/>
        <v>1352</v>
      </c>
      <c r="G63" s="1127"/>
      <c r="H63" s="1127">
        <f t="shared" si="2"/>
        <v>0</v>
      </c>
      <c r="I63" s="1127"/>
      <c r="J63" s="1127">
        <f t="shared" si="3"/>
        <v>0</v>
      </c>
      <c r="K63" s="1127"/>
      <c r="L63" s="1127">
        <f t="shared" si="4"/>
        <v>0</v>
      </c>
      <c r="M63" s="1127"/>
      <c r="N63" s="1127">
        <f t="shared" si="5"/>
        <v>0</v>
      </c>
      <c r="O63" s="1127"/>
      <c r="P63" s="1127">
        <f t="shared" si="6"/>
        <v>0</v>
      </c>
      <c r="Q63" s="1127"/>
      <c r="R63" s="1127">
        <f t="shared" si="7"/>
        <v>0</v>
      </c>
      <c r="S63" s="1045"/>
      <c r="T63" s="1131">
        <f t="shared" si="8"/>
        <v>0</v>
      </c>
      <c r="U63" s="1045"/>
      <c r="V63" s="1045">
        <f t="shared" si="0"/>
        <v>0</v>
      </c>
      <c r="W63" s="1132">
        <f t="shared" si="9"/>
        <v>0</v>
      </c>
      <c r="X63" s="1045">
        <f t="shared" si="10"/>
        <v>0</v>
      </c>
      <c r="Y63" s="1132">
        <f>building!Y62</f>
        <v>26</v>
      </c>
      <c r="Z63" s="1045">
        <f t="shared" si="11"/>
        <v>1352</v>
      </c>
      <c r="AA63" s="890"/>
      <c r="AB63" s="890"/>
    </row>
    <row r="64" spans="1:29" s="486" customFormat="1">
      <c r="A64" s="1149">
        <v>23.4</v>
      </c>
      <c r="B64" s="1150" t="s">
        <v>6037</v>
      </c>
      <c r="C64" s="1024">
        <v>7126</v>
      </c>
      <c r="D64" s="1138" t="s">
        <v>1776</v>
      </c>
      <c r="E64" s="1153">
        <f>detailed!G960</f>
        <v>97.7</v>
      </c>
      <c r="F64" s="1127">
        <f t="shared" si="1"/>
        <v>696210.2</v>
      </c>
      <c r="G64" s="1152"/>
      <c r="H64" s="1127">
        <f t="shared" si="2"/>
        <v>0</v>
      </c>
      <c r="I64" s="1152"/>
      <c r="J64" s="1127">
        <f t="shared" si="3"/>
        <v>0</v>
      </c>
      <c r="K64" s="1152"/>
      <c r="L64" s="1127">
        <f t="shared" si="4"/>
        <v>0</v>
      </c>
      <c r="M64" s="1152"/>
      <c r="N64" s="1127">
        <f t="shared" si="5"/>
        <v>0</v>
      </c>
      <c r="O64" s="1152"/>
      <c r="P64" s="1127">
        <f t="shared" si="6"/>
        <v>0</v>
      </c>
      <c r="Q64" s="1152"/>
      <c r="R64" s="1127">
        <f t="shared" si="7"/>
        <v>0</v>
      </c>
      <c r="S64" s="1028"/>
      <c r="T64" s="1131">
        <f t="shared" si="8"/>
        <v>0</v>
      </c>
      <c r="U64" s="1045"/>
      <c r="V64" s="1045">
        <f t="shared" si="0"/>
        <v>0</v>
      </c>
      <c r="W64" s="1132">
        <f t="shared" si="9"/>
        <v>0</v>
      </c>
      <c r="X64" s="1045">
        <f t="shared" si="10"/>
        <v>0</v>
      </c>
      <c r="Y64" s="1132">
        <f>building!Y63</f>
        <v>97.7</v>
      </c>
      <c r="Z64" s="1045">
        <f t="shared" si="11"/>
        <v>696210.2</v>
      </c>
      <c r="AA64" s="892"/>
      <c r="AB64" s="891"/>
    </row>
    <row r="65" spans="1:36" s="486" customFormat="1">
      <c r="A65" s="1125"/>
      <c r="B65" s="1150" t="s">
        <v>6038</v>
      </c>
      <c r="C65" s="1024">
        <v>7720</v>
      </c>
      <c r="D65" s="1138" t="s">
        <v>1776</v>
      </c>
      <c r="E65" s="1139"/>
      <c r="F65" s="1127">
        <f t="shared" si="1"/>
        <v>0</v>
      </c>
      <c r="G65" s="1138"/>
      <c r="H65" s="1127">
        <f t="shared" si="2"/>
        <v>0</v>
      </c>
      <c r="I65" s="1138"/>
      <c r="J65" s="1127">
        <f t="shared" si="3"/>
        <v>0</v>
      </c>
      <c r="K65" s="1138"/>
      <c r="L65" s="1127">
        <f t="shared" si="4"/>
        <v>0</v>
      </c>
      <c r="M65" s="1138"/>
      <c r="N65" s="1127">
        <f t="shared" si="5"/>
        <v>0</v>
      </c>
      <c r="O65" s="1138"/>
      <c r="P65" s="1127">
        <f t="shared" si="6"/>
        <v>0</v>
      </c>
      <c r="Q65" s="1138"/>
      <c r="R65" s="1127">
        <f t="shared" si="7"/>
        <v>0</v>
      </c>
      <c r="S65" s="1028"/>
      <c r="T65" s="1131">
        <f t="shared" si="8"/>
        <v>0</v>
      </c>
      <c r="U65" s="1045"/>
      <c r="V65" s="1045">
        <f t="shared" si="0"/>
        <v>0</v>
      </c>
      <c r="W65" s="1132">
        <f t="shared" si="9"/>
        <v>0</v>
      </c>
      <c r="X65" s="1045">
        <f t="shared" si="10"/>
        <v>0</v>
      </c>
      <c r="Y65" s="1132">
        <f>building!Y64</f>
        <v>0</v>
      </c>
      <c r="Z65" s="1045">
        <f t="shared" si="11"/>
        <v>0</v>
      </c>
      <c r="AA65" s="892"/>
      <c r="AB65" s="891"/>
    </row>
    <row r="66" spans="1:36" s="718" customFormat="1" ht="45">
      <c r="A66" s="1160">
        <v>24</v>
      </c>
      <c r="B66" s="1162" t="s">
        <v>173</v>
      </c>
      <c r="C66" s="995">
        <f>Data!K1194</f>
        <v>62.1</v>
      </c>
      <c r="D66" s="1147" t="s">
        <v>254</v>
      </c>
      <c r="E66" s="1148">
        <f>detailed!G978</f>
        <v>2060.4</v>
      </c>
      <c r="F66" s="1127">
        <f t="shared" si="1"/>
        <v>127950.84</v>
      </c>
      <c r="G66" s="1147"/>
      <c r="H66" s="1127">
        <f t="shared" si="2"/>
        <v>0</v>
      </c>
      <c r="I66" s="1147"/>
      <c r="J66" s="1127">
        <f t="shared" si="3"/>
        <v>0</v>
      </c>
      <c r="K66" s="1147"/>
      <c r="L66" s="1127">
        <f t="shared" si="4"/>
        <v>0</v>
      </c>
      <c r="M66" s="1147"/>
      <c r="N66" s="1127">
        <f t="shared" si="5"/>
        <v>0</v>
      </c>
      <c r="O66" s="1147"/>
      <c r="P66" s="1127">
        <f t="shared" si="6"/>
        <v>0</v>
      </c>
      <c r="Q66" s="1147"/>
      <c r="R66" s="1127">
        <f t="shared" si="7"/>
        <v>0</v>
      </c>
      <c r="S66" s="1028"/>
      <c r="T66" s="1131">
        <f t="shared" si="8"/>
        <v>0</v>
      </c>
      <c r="U66" s="1045"/>
      <c r="V66" s="1045">
        <f t="shared" si="0"/>
        <v>0</v>
      </c>
      <c r="W66" s="1132">
        <f t="shared" si="9"/>
        <v>0</v>
      </c>
      <c r="X66" s="1045">
        <f t="shared" si="10"/>
        <v>0</v>
      </c>
      <c r="Y66" s="1132">
        <f>building!Y65</f>
        <v>2060.4</v>
      </c>
      <c r="Z66" s="1045">
        <f t="shared" si="11"/>
        <v>127950.84</v>
      </c>
      <c r="AA66" s="891"/>
      <c r="AB66" s="891"/>
    </row>
    <row r="67" spans="1:36">
      <c r="A67" s="1124">
        <v>25</v>
      </c>
      <c r="B67" s="1125" t="s">
        <v>174</v>
      </c>
      <c r="C67" s="1052">
        <f>ROUND(Data!K1197,2)</f>
        <v>9.6</v>
      </c>
      <c r="D67" s="1127" t="s">
        <v>1341</v>
      </c>
      <c r="E67" s="1128">
        <f>detailed!H959</f>
        <v>97.62</v>
      </c>
      <c r="F67" s="1127">
        <f t="shared" si="1"/>
        <v>937.15</v>
      </c>
      <c r="G67" s="1127"/>
      <c r="H67" s="1127">
        <f t="shared" si="2"/>
        <v>0</v>
      </c>
      <c r="I67" s="1127"/>
      <c r="J67" s="1127">
        <f t="shared" si="3"/>
        <v>0</v>
      </c>
      <c r="K67" s="1127"/>
      <c r="L67" s="1127">
        <f t="shared" si="4"/>
        <v>0</v>
      </c>
      <c r="M67" s="1127"/>
      <c r="N67" s="1127">
        <f t="shared" si="5"/>
        <v>0</v>
      </c>
      <c r="O67" s="1127"/>
      <c r="P67" s="1127">
        <f t="shared" si="6"/>
        <v>0</v>
      </c>
      <c r="Q67" s="1127"/>
      <c r="R67" s="1127">
        <f t="shared" si="7"/>
        <v>0</v>
      </c>
      <c r="S67" s="1045"/>
      <c r="T67" s="1131">
        <f t="shared" si="8"/>
        <v>0</v>
      </c>
      <c r="U67" s="1045"/>
      <c r="V67" s="1045">
        <f t="shared" si="0"/>
        <v>0</v>
      </c>
      <c r="W67" s="1132">
        <f t="shared" si="9"/>
        <v>0</v>
      </c>
      <c r="X67" s="1045">
        <f t="shared" si="10"/>
        <v>0</v>
      </c>
      <c r="Y67" s="1132">
        <f>building!Y66</f>
        <v>97.62</v>
      </c>
      <c r="Z67" s="1045">
        <f t="shared" si="11"/>
        <v>937.15</v>
      </c>
      <c r="AA67" s="890"/>
      <c r="AB67" s="890"/>
    </row>
    <row r="68" spans="1:36">
      <c r="A68" s="1124">
        <v>26</v>
      </c>
      <c r="B68" s="1125" t="s">
        <v>175</v>
      </c>
      <c r="C68" s="1052">
        <f>ROUND(Data!K207,2)</f>
        <v>4297.8</v>
      </c>
      <c r="D68" s="1127" t="s">
        <v>1153</v>
      </c>
      <c r="E68" s="1128">
        <f>detailed!G988</f>
        <v>32.6</v>
      </c>
      <c r="F68" s="1127">
        <f t="shared" si="1"/>
        <v>140108.28</v>
      </c>
      <c r="G68" s="1127"/>
      <c r="H68" s="1127">
        <f t="shared" si="2"/>
        <v>0</v>
      </c>
      <c r="I68" s="1127"/>
      <c r="J68" s="1127">
        <f t="shared" si="3"/>
        <v>0</v>
      </c>
      <c r="K68" s="1127"/>
      <c r="L68" s="1127">
        <f t="shared" si="4"/>
        <v>0</v>
      </c>
      <c r="M68" s="1127"/>
      <c r="N68" s="1127">
        <f t="shared" si="5"/>
        <v>0</v>
      </c>
      <c r="O68" s="1127"/>
      <c r="P68" s="1127">
        <f t="shared" si="6"/>
        <v>0</v>
      </c>
      <c r="Q68" s="1127"/>
      <c r="R68" s="1127">
        <f t="shared" si="7"/>
        <v>0</v>
      </c>
      <c r="S68" s="1045"/>
      <c r="T68" s="1131">
        <f t="shared" si="8"/>
        <v>0</v>
      </c>
      <c r="U68" s="1045"/>
      <c r="V68" s="1045">
        <f t="shared" si="0"/>
        <v>0</v>
      </c>
      <c r="W68" s="1132">
        <f t="shared" si="9"/>
        <v>0</v>
      </c>
      <c r="X68" s="1045">
        <f t="shared" si="10"/>
        <v>0</v>
      </c>
      <c r="Y68" s="1132">
        <f>building!Y67</f>
        <v>32.6</v>
      </c>
      <c r="Z68" s="1045">
        <f t="shared" si="11"/>
        <v>140108.28</v>
      </c>
      <c r="AA68" s="890"/>
      <c r="AB68" s="890"/>
    </row>
    <row r="69" spans="1:36" s="486" customFormat="1" ht="45">
      <c r="A69" s="1124">
        <v>27.5</v>
      </c>
      <c r="B69" s="1125" t="s">
        <v>1448</v>
      </c>
      <c r="C69" s="1024">
        <f>ROUND(Data!K375,2)</f>
        <v>6402.46</v>
      </c>
      <c r="D69" s="1138" t="s">
        <v>1153</v>
      </c>
      <c r="E69" s="1139"/>
      <c r="F69" s="1127">
        <f t="shared" si="1"/>
        <v>0</v>
      </c>
      <c r="G69" s="1138"/>
      <c r="H69" s="1127">
        <f t="shared" si="2"/>
        <v>0</v>
      </c>
      <c r="I69" s="1138"/>
      <c r="J69" s="1127">
        <f t="shared" si="3"/>
        <v>0</v>
      </c>
      <c r="K69" s="1138"/>
      <c r="L69" s="1127">
        <f t="shared" si="4"/>
        <v>0</v>
      </c>
      <c r="M69" s="1138"/>
      <c r="N69" s="1127">
        <f t="shared" si="5"/>
        <v>0</v>
      </c>
      <c r="O69" s="1138"/>
      <c r="P69" s="1127">
        <f t="shared" si="6"/>
        <v>0</v>
      </c>
      <c r="Q69" s="1138"/>
      <c r="R69" s="1127">
        <f t="shared" si="7"/>
        <v>0</v>
      </c>
      <c r="S69" s="1028"/>
      <c r="T69" s="1131">
        <f t="shared" si="8"/>
        <v>0</v>
      </c>
      <c r="U69" s="1045"/>
      <c r="V69" s="1045">
        <f t="shared" si="0"/>
        <v>0</v>
      </c>
      <c r="W69" s="1132">
        <f t="shared" si="9"/>
        <v>0</v>
      </c>
      <c r="X69" s="1045">
        <f t="shared" si="10"/>
        <v>0</v>
      </c>
      <c r="Y69" s="1132">
        <f>building!Y68</f>
        <v>0</v>
      </c>
      <c r="Z69" s="1045">
        <f t="shared" si="11"/>
        <v>0</v>
      </c>
      <c r="AA69" s="892"/>
      <c r="AB69" s="891"/>
    </row>
    <row r="70" spans="1:36">
      <c r="A70" s="1124">
        <v>28</v>
      </c>
      <c r="B70" s="1159" t="s">
        <v>5650</v>
      </c>
      <c r="C70" s="1052">
        <f>ROUND(Data!K1216,2)</f>
        <v>445.26</v>
      </c>
      <c r="D70" s="1127" t="s">
        <v>1776</v>
      </c>
      <c r="E70" s="1128">
        <f>detailed!G992</f>
        <v>7.6</v>
      </c>
      <c r="F70" s="1127">
        <f t="shared" si="1"/>
        <v>3383.98</v>
      </c>
      <c r="G70" s="1127">
        <f>ST!G87</f>
        <v>0.8</v>
      </c>
      <c r="H70" s="1127">
        <f t="shared" si="2"/>
        <v>356.21</v>
      </c>
      <c r="I70" s="1127"/>
      <c r="J70" s="1127">
        <f t="shared" si="3"/>
        <v>0</v>
      </c>
      <c r="K70" s="1127"/>
      <c r="L70" s="1127">
        <f t="shared" si="4"/>
        <v>0</v>
      </c>
      <c r="M70" s="1127"/>
      <c r="N70" s="1127">
        <f t="shared" si="5"/>
        <v>0</v>
      </c>
      <c r="O70" s="1127">
        <f>'Sullage drain'!G28</f>
        <v>22.5</v>
      </c>
      <c r="P70" s="1127">
        <f t="shared" si="6"/>
        <v>10018.35</v>
      </c>
      <c r="Q70" s="1127"/>
      <c r="R70" s="1127">
        <f t="shared" si="7"/>
        <v>0</v>
      </c>
      <c r="S70" s="1045"/>
      <c r="T70" s="1131">
        <f t="shared" si="8"/>
        <v>0</v>
      </c>
      <c r="U70" s="1045"/>
      <c r="V70" s="1045">
        <f t="shared" si="0"/>
        <v>0</v>
      </c>
      <c r="W70" s="1132">
        <f t="shared" si="9"/>
        <v>23.3</v>
      </c>
      <c r="X70" s="1045">
        <f t="shared" si="10"/>
        <v>10374.56</v>
      </c>
      <c r="Y70" s="1132">
        <f>building!Y69</f>
        <v>30.9</v>
      </c>
      <c r="Z70" s="1045">
        <f t="shared" si="11"/>
        <v>13758.53</v>
      </c>
      <c r="AA70" s="890"/>
      <c r="AB70" s="890"/>
    </row>
    <row r="71" spans="1:36">
      <c r="A71" s="1124">
        <v>30</v>
      </c>
      <c r="B71" s="1125" t="s">
        <v>1646</v>
      </c>
      <c r="C71" s="1052">
        <f>ROUND(Data!K1315,2)</f>
        <v>394.28</v>
      </c>
      <c r="D71" s="1127" t="s">
        <v>1776</v>
      </c>
      <c r="E71" s="1128">
        <f>detailed!G1139</f>
        <v>13.6</v>
      </c>
      <c r="F71" s="1127">
        <f t="shared" si="1"/>
        <v>5362.21</v>
      </c>
      <c r="G71" s="1127"/>
      <c r="H71" s="1127">
        <f t="shared" si="2"/>
        <v>0</v>
      </c>
      <c r="I71" s="1127"/>
      <c r="J71" s="1127">
        <f t="shared" si="3"/>
        <v>0</v>
      </c>
      <c r="K71" s="1127"/>
      <c r="L71" s="1127">
        <f t="shared" si="4"/>
        <v>0</v>
      </c>
      <c r="M71" s="1127"/>
      <c r="N71" s="1127">
        <f t="shared" si="5"/>
        <v>0</v>
      </c>
      <c r="O71" s="1127"/>
      <c r="P71" s="1127">
        <f t="shared" si="6"/>
        <v>0</v>
      </c>
      <c r="Q71" s="1127"/>
      <c r="R71" s="1127">
        <f t="shared" si="7"/>
        <v>0</v>
      </c>
      <c r="S71" s="1045"/>
      <c r="T71" s="1131">
        <f t="shared" si="8"/>
        <v>0</v>
      </c>
      <c r="U71" s="1045"/>
      <c r="V71" s="1045">
        <f t="shared" ref="V71:V134" si="12">U71*C71</f>
        <v>0</v>
      </c>
      <c r="W71" s="1132">
        <f t="shared" si="9"/>
        <v>0</v>
      </c>
      <c r="X71" s="1045">
        <f t="shared" si="10"/>
        <v>0</v>
      </c>
      <c r="Y71" s="1132">
        <f>building!Y70</f>
        <v>13.6</v>
      </c>
      <c r="Z71" s="1045">
        <f t="shared" si="11"/>
        <v>5362.21</v>
      </c>
      <c r="AA71" s="890"/>
      <c r="AB71" s="890"/>
      <c r="AJ71" s="552">
        <f>146-34.2</f>
        <v>111.8</v>
      </c>
    </row>
    <row r="72" spans="1:36">
      <c r="A72" s="1124">
        <v>31</v>
      </c>
      <c r="B72" s="1125" t="s">
        <v>1647</v>
      </c>
      <c r="C72" s="1052">
        <f>ROUND(Data!K1333,2)</f>
        <v>3297.83</v>
      </c>
      <c r="D72" s="1127" t="s">
        <v>1153</v>
      </c>
      <c r="E72" s="1128">
        <f>detailed!G1124</f>
        <v>35.4</v>
      </c>
      <c r="F72" s="1127">
        <f t="shared" ref="F72:F135" si="13">E72*C72</f>
        <v>116743.18</v>
      </c>
      <c r="G72" s="1127"/>
      <c r="H72" s="1127">
        <f t="shared" ref="H72:H103" si="14">G72*C72</f>
        <v>0</v>
      </c>
      <c r="I72" s="1127"/>
      <c r="J72" s="1127">
        <f t="shared" ref="J72:J103" si="15">I72*C72</f>
        <v>0</v>
      </c>
      <c r="K72" s="1127"/>
      <c r="L72" s="1127">
        <f t="shared" ref="L72:L103" si="16">K72*C72</f>
        <v>0</v>
      </c>
      <c r="M72" s="1127"/>
      <c r="N72" s="1127">
        <f t="shared" ref="N72:N103" si="17">M72*C72</f>
        <v>0</v>
      </c>
      <c r="O72" s="1127"/>
      <c r="P72" s="1127">
        <f t="shared" ref="P72:P103" si="18">O72*C72</f>
        <v>0</v>
      </c>
      <c r="Q72" s="1127"/>
      <c r="R72" s="1127">
        <f t="shared" ref="R72:R103" si="19">Q72*C72</f>
        <v>0</v>
      </c>
      <c r="S72" s="1045"/>
      <c r="T72" s="1131">
        <f t="shared" ref="T72:T103" si="20">S72*C72</f>
        <v>0</v>
      </c>
      <c r="U72" s="1045"/>
      <c r="V72" s="1045">
        <f t="shared" si="12"/>
        <v>0</v>
      </c>
      <c r="W72" s="1132">
        <f t="shared" ref="W72:W135" si="21">U72+S72+Q72+O72+M72+K72+I72+G72</f>
        <v>0</v>
      </c>
      <c r="X72" s="1045">
        <f t="shared" ref="X72:X103" si="22">W72*C72</f>
        <v>0</v>
      </c>
      <c r="Y72" s="1132">
        <f>building!Y71</f>
        <v>35.4</v>
      </c>
      <c r="Z72" s="1045">
        <f t="shared" ref="Z72:Z103" si="23">Y72*C72</f>
        <v>116743.18</v>
      </c>
      <c r="AA72" s="890"/>
      <c r="AB72" s="890"/>
    </row>
    <row r="73" spans="1:36" s="486" customFormat="1" ht="45">
      <c r="A73" s="1149">
        <v>32</v>
      </c>
      <c r="B73" s="1150" t="s">
        <v>531</v>
      </c>
      <c r="C73" s="1156"/>
      <c r="D73" s="1152" t="s">
        <v>1776</v>
      </c>
      <c r="E73" s="1153"/>
      <c r="F73" s="1127">
        <f t="shared" si="13"/>
        <v>0</v>
      </c>
      <c r="G73" s="1152"/>
      <c r="H73" s="1127">
        <f t="shared" si="14"/>
        <v>0</v>
      </c>
      <c r="I73" s="1152"/>
      <c r="J73" s="1127">
        <f t="shared" si="15"/>
        <v>0</v>
      </c>
      <c r="K73" s="1152"/>
      <c r="L73" s="1127">
        <f t="shared" si="16"/>
        <v>0</v>
      </c>
      <c r="M73" s="1152"/>
      <c r="N73" s="1127">
        <f t="shared" si="17"/>
        <v>0</v>
      </c>
      <c r="O73" s="1152"/>
      <c r="P73" s="1127">
        <f t="shared" si="18"/>
        <v>0</v>
      </c>
      <c r="Q73" s="1152"/>
      <c r="R73" s="1127">
        <f t="shared" si="19"/>
        <v>0</v>
      </c>
      <c r="S73" s="1028"/>
      <c r="T73" s="1131">
        <f t="shared" si="20"/>
        <v>0</v>
      </c>
      <c r="U73" s="1045"/>
      <c r="V73" s="1045">
        <f t="shared" si="12"/>
        <v>0</v>
      </c>
      <c r="W73" s="1132">
        <f t="shared" si="21"/>
        <v>0</v>
      </c>
      <c r="X73" s="1045">
        <f t="shared" si="22"/>
        <v>0</v>
      </c>
      <c r="Y73" s="1132">
        <f>building!Y72</f>
        <v>0</v>
      </c>
      <c r="Z73" s="1045">
        <f t="shared" si="23"/>
        <v>0</v>
      </c>
      <c r="AA73" s="892"/>
      <c r="AB73" s="891"/>
    </row>
    <row r="74" spans="1:36" s="486" customFormat="1" ht="45">
      <c r="A74" s="1124">
        <v>32.1</v>
      </c>
      <c r="B74" s="1125" t="s">
        <v>821</v>
      </c>
      <c r="C74" s="1024">
        <f>ROUND(Data!K1368,2)</f>
        <v>1075.9100000000001</v>
      </c>
      <c r="D74" s="1138" t="s">
        <v>1776</v>
      </c>
      <c r="E74" s="1139">
        <f>detailed!G1135</f>
        <v>490.4</v>
      </c>
      <c r="F74" s="1127">
        <f t="shared" si="13"/>
        <v>527626.26</v>
      </c>
      <c r="G74" s="1138"/>
      <c r="H74" s="1127">
        <f t="shared" si="14"/>
        <v>0</v>
      </c>
      <c r="I74" s="1138"/>
      <c r="J74" s="1127">
        <f t="shared" si="15"/>
        <v>0</v>
      </c>
      <c r="K74" s="1138"/>
      <c r="L74" s="1127">
        <f t="shared" si="16"/>
        <v>0</v>
      </c>
      <c r="M74" s="1138"/>
      <c r="N74" s="1127">
        <f t="shared" si="17"/>
        <v>0</v>
      </c>
      <c r="O74" s="1138"/>
      <c r="P74" s="1127">
        <f t="shared" si="18"/>
        <v>0</v>
      </c>
      <c r="Q74" s="1138"/>
      <c r="R74" s="1127">
        <f t="shared" si="19"/>
        <v>0</v>
      </c>
      <c r="S74" s="1028"/>
      <c r="T74" s="1131">
        <f t="shared" si="20"/>
        <v>0</v>
      </c>
      <c r="U74" s="1045"/>
      <c r="V74" s="1045">
        <f t="shared" si="12"/>
        <v>0</v>
      </c>
      <c r="W74" s="1132">
        <f t="shared" si="21"/>
        <v>0</v>
      </c>
      <c r="X74" s="1045">
        <f t="shared" si="22"/>
        <v>0</v>
      </c>
      <c r="Y74" s="1132">
        <f>building!Y73</f>
        <v>490.4</v>
      </c>
      <c r="Z74" s="1045">
        <f t="shared" si="23"/>
        <v>527626.26</v>
      </c>
      <c r="AA74" s="892"/>
      <c r="AB74" s="891"/>
    </row>
    <row r="75" spans="1:36" s="486" customFormat="1" ht="45">
      <c r="A75" s="1124">
        <v>32.200000000000003</v>
      </c>
      <c r="B75" s="1125" t="s">
        <v>820</v>
      </c>
      <c r="C75" s="1024"/>
      <c r="D75" s="1138" t="s">
        <v>1776</v>
      </c>
      <c r="E75" s="1139"/>
      <c r="F75" s="1127">
        <f t="shared" si="13"/>
        <v>0</v>
      </c>
      <c r="G75" s="1138"/>
      <c r="H75" s="1127">
        <f t="shared" si="14"/>
        <v>0</v>
      </c>
      <c r="I75" s="1138"/>
      <c r="J75" s="1127">
        <f t="shared" si="15"/>
        <v>0</v>
      </c>
      <c r="K75" s="1138"/>
      <c r="L75" s="1127">
        <f t="shared" si="16"/>
        <v>0</v>
      </c>
      <c r="M75" s="1138"/>
      <c r="N75" s="1127">
        <f t="shared" si="17"/>
        <v>0</v>
      </c>
      <c r="O75" s="1138"/>
      <c r="P75" s="1127">
        <f t="shared" si="18"/>
        <v>0</v>
      </c>
      <c r="Q75" s="1138"/>
      <c r="R75" s="1127">
        <f t="shared" si="19"/>
        <v>0</v>
      </c>
      <c r="S75" s="1028"/>
      <c r="T75" s="1131">
        <f t="shared" si="20"/>
        <v>0</v>
      </c>
      <c r="U75" s="1045"/>
      <c r="V75" s="1045">
        <f t="shared" si="12"/>
        <v>0</v>
      </c>
      <c r="W75" s="1132">
        <f t="shared" si="21"/>
        <v>0</v>
      </c>
      <c r="X75" s="1045">
        <f t="shared" si="22"/>
        <v>0</v>
      </c>
      <c r="Y75" s="1132">
        <f>building!Y74</f>
        <v>0</v>
      </c>
      <c r="Z75" s="1045">
        <f t="shared" si="23"/>
        <v>0</v>
      </c>
      <c r="AA75" s="892"/>
      <c r="AB75" s="891"/>
    </row>
    <row r="76" spans="1:36">
      <c r="A76" s="1124">
        <v>33</v>
      </c>
      <c r="B76" s="1125" t="s">
        <v>972</v>
      </c>
      <c r="C76" s="1052">
        <f>ROUND(Data!K1403,2)</f>
        <v>218.56</v>
      </c>
      <c r="D76" s="1127" t="s">
        <v>1776</v>
      </c>
      <c r="E76" s="1128">
        <f>detailed!G1277</f>
        <v>4584.8</v>
      </c>
      <c r="F76" s="1127">
        <f t="shared" si="13"/>
        <v>1002053.89</v>
      </c>
      <c r="G76" s="1127">
        <f>ST!G64</f>
        <v>42</v>
      </c>
      <c r="H76" s="1127">
        <f t="shared" si="14"/>
        <v>9179.52</v>
      </c>
      <c r="I76" s="1127">
        <f>Sump!G35</f>
        <v>26.6</v>
      </c>
      <c r="J76" s="1127">
        <f t="shared" si="15"/>
        <v>5813.7</v>
      </c>
      <c r="K76" s="1127">
        <f>'Plinth P'!G33</f>
        <v>120.4</v>
      </c>
      <c r="L76" s="1127">
        <f t="shared" si="16"/>
        <v>26314.62</v>
      </c>
      <c r="M76" s="1127"/>
      <c r="N76" s="1127">
        <f t="shared" si="17"/>
        <v>0</v>
      </c>
      <c r="O76" s="1127">
        <f>'Sullage drain'!G32</f>
        <v>98.7</v>
      </c>
      <c r="P76" s="1127">
        <f t="shared" si="18"/>
        <v>21571.87</v>
      </c>
      <c r="Q76" s="1127"/>
      <c r="R76" s="1127">
        <f t="shared" si="19"/>
        <v>0</v>
      </c>
      <c r="S76" s="1045"/>
      <c r="T76" s="1131">
        <f t="shared" si="20"/>
        <v>0</v>
      </c>
      <c r="U76" s="1045">
        <f>Com.wall!H59</f>
        <v>636.9</v>
      </c>
      <c r="V76" s="1045">
        <f t="shared" si="12"/>
        <v>139200.85999999999</v>
      </c>
      <c r="W76" s="1132">
        <f t="shared" si="21"/>
        <v>924.6</v>
      </c>
      <c r="X76" s="1045">
        <f t="shared" si="22"/>
        <v>202080.58</v>
      </c>
      <c r="Y76" s="1132">
        <f>building!Y75</f>
        <v>5509.4</v>
      </c>
      <c r="Z76" s="1045">
        <f t="shared" si="23"/>
        <v>1204134.46</v>
      </c>
      <c r="AA76" s="890"/>
      <c r="AB76" s="890"/>
    </row>
    <row r="77" spans="1:36" ht="47.25" customHeight="1">
      <c r="A77" s="1124">
        <v>34</v>
      </c>
      <c r="B77" s="1125" t="s">
        <v>973</v>
      </c>
      <c r="C77" s="1052">
        <f>ROUND(Data!K1417,2)</f>
        <v>224.57</v>
      </c>
      <c r="D77" s="1127" t="s">
        <v>1776</v>
      </c>
      <c r="E77" s="1128">
        <f>detailed!G1283</f>
        <v>35.299999999999997</v>
      </c>
      <c r="F77" s="1127">
        <f t="shared" si="13"/>
        <v>7927.32</v>
      </c>
      <c r="G77" s="1127">
        <f>ST!G56</f>
        <v>40.5</v>
      </c>
      <c r="H77" s="1127">
        <f t="shared" si="14"/>
        <v>9095.09</v>
      </c>
      <c r="I77" s="1127"/>
      <c r="J77" s="1127">
        <f t="shared" si="15"/>
        <v>0</v>
      </c>
      <c r="K77" s="1127"/>
      <c r="L77" s="1127">
        <f t="shared" si="16"/>
        <v>0</v>
      </c>
      <c r="M77" s="1127"/>
      <c r="N77" s="1127">
        <f t="shared" si="17"/>
        <v>0</v>
      </c>
      <c r="O77" s="1127">
        <f>'Sullage drain'!G36</f>
        <v>90</v>
      </c>
      <c r="P77" s="1127">
        <f t="shared" si="18"/>
        <v>20211.3</v>
      </c>
      <c r="Q77" s="1127"/>
      <c r="R77" s="1127">
        <f t="shared" si="19"/>
        <v>0</v>
      </c>
      <c r="S77" s="1045"/>
      <c r="T77" s="1131">
        <f t="shared" si="20"/>
        <v>0</v>
      </c>
      <c r="U77" s="1045"/>
      <c r="V77" s="1045">
        <f t="shared" si="12"/>
        <v>0</v>
      </c>
      <c r="W77" s="1132">
        <f t="shared" si="21"/>
        <v>130.5</v>
      </c>
      <c r="X77" s="1045">
        <f t="shared" si="22"/>
        <v>29306.39</v>
      </c>
      <c r="Y77" s="1132">
        <f>building!Y76</f>
        <v>165.8</v>
      </c>
      <c r="Z77" s="1045">
        <f t="shared" si="23"/>
        <v>37233.71</v>
      </c>
      <c r="AA77" s="890"/>
      <c r="AB77" s="890"/>
    </row>
    <row r="78" spans="1:36" ht="57.75" customHeight="1">
      <c r="A78" s="1124">
        <v>35</v>
      </c>
      <c r="B78" s="1125" t="s">
        <v>899</v>
      </c>
      <c r="C78" s="1052">
        <f>ROUND(Data!K1429,2)</f>
        <v>250.86</v>
      </c>
      <c r="D78" s="1127" t="s">
        <v>1776</v>
      </c>
      <c r="E78" s="1128">
        <f>detailed!G1369</f>
        <v>1466.3</v>
      </c>
      <c r="F78" s="1127">
        <f t="shared" si="13"/>
        <v>367836.02</v>
      </c>
      <c r="G78" s="1127"/>
      <c r="H78" s="1127">
        <f t="shared" si="14"/>
        <v>0</v>
      </c>
      <c r="I78" s="1127"/>
      <c r="J78" s="1127">
        <f t="shared" si="15"/>
        <v>0</v>
      </c>
      <c r="K78" s="1127"/>
      <c r="L78" s="1127">
        <f t="shared" si="16"/>
        <v>0</v>
      </c>
      <c r="M78" s="1127"/>
      <c r="N78" s="1127">
        <f t="shared" si="17"/>
        <v>0</v>
      </c>
      <c r="O78" s="1127"/>
      <c r="P78" s="1127">
        <f t="shared" si="18"/>
        <v>0</v>
      </c>
      <c r="Q78" s="1127"/>
      <c r="R78" s="1127">
        <f t="shared" si="19"/>
        <v>0</v>
      </c>
      <c r="S78" s="1045"/>
      <c r="T78" s="1131">
        <f t="shared" si="20"/>
        <v>0</v>
      </c>
      <c r="U78" s="1045"/>
      <c r="V78" s="1045">
        <f t="shared" si="12"/>
        <v>0</v>
      </c>
      <c r="W78" s="1132">
        <f t="shared" si="21"/>
        <v>0</v>
      </c>
      <c r="X78" s="1045">
        <f t="shared" si="22"/>
        <v>0</v>
      </c>
      <c r="Y78" s="1132">
        <f>building!Y77</f>
        <v>1466.3</v>
      </c>
      <c r="Z78" s="1045">
        <f t="shared" si="23"/>
        <v>367836.02</v>
      </c>
      <c r="AA78" s="890"/>
      <c r="AB78" s="890"/>
    </row>
    <row r="79" spans="1:36" ht="57.75" customHeight="1">
      <c r="A79" s="1124">
        <v>36</v>
      </c>
      <c r="B79" s="1159" t="s">
        <v>1666</v>
      </c>
      <c r="C79" s="1052"/>
      <c r="D79" s="1127"/>
      <c r="E79" s="1128"/>
      <c r="F79" s="1127">
        <f t="shared" si="13"/>
        <v>0</v>
      </c>
      <c r="G79" s="1127"/>
      <c r="H79" s="1127">
        <f t="shared" si="14"/>
        <v>0</v>
      </c>
      <c r="I79" s="1127"/>
      <c r="J79" s="1127">
        <f t="shared" si="15"/>
        <v>0</v>
      </c>
      <c r="K79" s="1127"/>
      <c r="L79" s="1127">
        <f t="shared" si="16"/>
        <v>0</v>
      </c>
      <c r="M79" s="1127"/>
      <c r="N79" s="1127">
        <f t="shared" si="17"/>
        <v>0</v>
      </c>
      <c r="O79" s="1127"/>
      <c r="P79" s="1127">
        <f t="shared" si="18"/>
        <v>0</v>
      </c>
      <c r="Q79" s="1127"/>
      <c r="R79" s="1127">
        <f t="shared" si="19"/>
        <v>0</v>
      </c>
      <c r="S79" s="1049"/>
      <c r="T79" s="1131">
        <f t="shared" si="20"/>
        <v>0</v>
      </c>
      <c r="U79" s="1045"/>
      <c r="V79" s="1045">
        <f t="shared" si="12"/>
        <v>0</v>
      </c>
      <c r="W79" s="1132">
        <f t="shared" si="21"/>
        <v>0</v>
      </c>
      <c r="X79" s="1045">
        <f t="shared" si="22"/>
        <v>0</v>
      </c>
      <c r="Y79" s="1132">
        <f>building!Y78</f>
        <v>0</v>
      </c>
      <c r="Z79" s="1045">
        <f t="shared" si="23"/>
        <v>0</v>
      </c>
      <c r="AA79" s="785"/>
      <c r="AB79" s="890"/>
      <c r="AC79" s="862"/>
    </row>
    <row r="80" spans="1:36" ht="43.5" customHeight="1">
      <c r="A80" s="1125" t="s">
        <v>940</v>
      </c>
      <c r="B80" s="1125" t="s">
        <v>1405</v>
      </c>
      <c r="C80" s="1052">
        <f>ROUND(Data!K1463,2)</f>
        <v>69.709999999999994</v>
      </c>
      <c r="D80" s="1127" t="s">
        <v>794</v>
      </c>
      <c r="E80" s="1128">
        <f>detailed!G1376</f>
        <v>137.6</v>
      </c>
      <c r="F80" s="1127">
        <f t="shared" si="13"/>
        <v>9592.1</v>
      </c>
      <c r="G80" s="1127"/>
      <c r="H80" s="1127">
        <f t="shared" si="14"/>
        <v>0</v>
      </c>
      <c r="I80" s="1127"/>
      <c r="J80" s="1127">
        <f t="shared" si="15"/>
        <v>0</v>
      </c>
      <c r="K80" s="1127"/>
      <c r="L80" s="1127">
        <f t="shared" si="16"/>
        <v>0</v>
      </c>
      <c r="M80" s="1127"/>
      <c r="N80" s="1127">
        <f t="shared" si="17"/>
        <v>0</v>
      </c>
      <c r="O80" s="1127"/>
      <c r="P80" s="1127">
        <f t="shared" si="18"/>
        <v>0</v>
      </c>
      <c r="Q80" s="1127"/>
      <c r="R80" s="1127">
        <f t="shared" si="19"/>
        <v>0</v>
      </c>
      <c r="S80" s="1045"/>
      <c r="T80" s="1131">
        <f t="shared" si="20"/>
        <v>0</v>
      </c>
      <c r="U80" s="1045">
        <f>Com.wall!H66</f>
        <v>150.6</v>
      </c>
      <c r="V80" s="1045">
        <f t="shared" si="12"/>
        <v>10498.33</v>
      </c>
      <c r="W80" s="1132">
        <f t="shared" si="21"/>
        <v>150.6</v>
      </c>
      <c r="X80" s="1045">
        <f t="shared" si="22"/>
        <v>10498.33</v>
      </c>
      <c r="Y80" s="1132">
        <f>building!Y79</f>
        <v>288.2</v>
      </c>
      <c r="Z80" s="1045">
        <f t="shared" si="23"/>
        <v>20090.419999999998</v>
      </c>
      <c r="AA80" s="890"/>
      <c r="AB80" s="890"/>
    </row>
    <row r="81" spans="1:29" ht="43.5" customHeight="1">
      <c r="A81" s="1125"/>
      <c r="B81" s="1125" t="s">
        <v>1877</v>
      </c>
      <c r="C81" s="1052">
        <f>ROUND(Data!K1475,2)</f>
        <v>45.36</v>
      </c>
      <c r="D81" s="1127" t="s">
        <v>794</v>
      </c>
      <c r="E81" s="1128">
        <f>detailed!G1381</f>
        <v>137.6</v>
      </c>
      <c r="F81" s="1127">
        <f t="shared" si="13"/>
        <v>6241.54</v>
      </c>
      <c r="G81" s="1127"/>
      <c r="H81" s="1127">
        <f t="shared" si="14"/>
        <v>0</v>
      </c>
      <c r="I81" s="1127"/>
      <c r="J81" s="1127">
        <f t="shared" si="15"/>
        <v>0</v>
      </c>
      <c r="K81" s="1127"/>
      <c r="L81" s="1127">
        <f t="shared" si="16"/>
        <v>0</v>
      </c>
      <c r="M81" s="1127"/>
      <c r="N81" s="1127">
        <f t="shared" si="17"/>
        <v>0</v>
      </c>
      <c r="O81" s="1127"/>
      <c r="P81" s="1127">
        <f t="shared" si="18"/>
        <v>0</v>
      </c>
      <c r="Q81" s="1127"/>
      <c r="R81" s="1127">
        <f t="shared" si="19"/>
        <v>0</v>
      </c>
      <c r="S81" s="1045"/>
      <c r="T81" s="1131">
        <f t="shared" si="20"/>
        <v>0</v>
      </c>
      <c r="U81" s="1045">
        <f>Com.wall!H70</f>
        <v>150.6</v>
      </c>
      <c r="V81" s="1045">
        <f t="shared" si="12"/>
        <v>6831.22</v>
      </c>
      <c r="W81" s="1132">
        <f t="shared" si="21"/>
        <v>150.6</v>
      </c>
      <c r="X81" s="1045">
        <f t="shared" si="22"/>
        <v>6831.22</v>
      </c>
      <c r="Y81" s="1132">
        <f>building!Y80</f>
        <v>288.2</v>
      </c>
      <c r="Z81" s="1045">
        <f t="shared" si="23"/>
        <v>13072.75</v>
      </c>
      <c r="AA81" s="890"/>
      <c r="AB81" s="890"/>
    </row>
    <row r="82" spans="1:29" ht="43.5" customHeight="1">
      <c r="A82" s="1040"/>
      <c r="B82" s="1125" t="s">
        <v>1878</v>
      </c>
      <c r="C82" s="1052">
        <f>ROUND(Data!K1488,2)</f>
        <v>33.76</v>
      </c>
      <c r="D82" s="1127" t="s">
        <v>794</v>
      </c>
      <c r="E82" s="1128">
        <f>detailed!H1385</f>
        <v>137.56</v>
      </c>
      <c r="F82" s="1127">
        <f t="shared" si="13"/>
        <v>4644.03</v>
      </c>
      <c r="G82" s="1127"/>
      <c r="H82" s="1127">
        <f t="shared" si="14"/>
        <v>0</v>
      </c>
      <c r="I82" s="1127"/>
      <c r="J82" s="1127">
        <f t="shared" si="15"/>
        <v>0</v>
      </c>
      <c r="K82" s="1127"/>
      <c r="L82" s="1127">
        <f t="shared" si="16"/>
        <v>0</v>
      </c>
      <c r="M82" s="1127"/>
      <c r="N82" s="1127">
        <f t="shared" si="17"/>
        <v>0</v>
      </c>
      <c r="O82" s="1127"/>
      <c r="P82" s="1127">
        <f t="shared" si="18"/>
        <v>0</v>
      </c>
      <c r="Q82" s="1127"/>
      <c r="R82" s="1127">
        <f t="shared" si="19"/>
        <v>0</v>
      </c>
      <c r="S82" s="1045"/>
      <c r="T82" s="1131">
        <f t="shared" si="20"/>
        <v>0</v>
      </c>
      <c r="U82" s="1045"/>
      <c r="V82" s="1045">
        <f t="shared" si="12"/>
        <v>0</v>
      </c>
      <c r="W82" s="1132">
        <f t="shared" si="21"/>
        <v>0</v>
      </c>
      <c r="X82" s="1045">
        <f t="shared" si="22"/>
        <v>0</v>
      </c>
      <c r="Y82" s="1132">
        <f>building!Y81</f>
        <v>137.56</v>
      </c>
      <c r="Z82" s="1045">
        <f t="shared" si="23"/>
        <v>4644.03</v>
      </c>
      <c r="AA82" s="890"/>
      <c r="AB82" s="890"/>
    </row>
    <row r="83" spans="1:29">
      <c r="A83" s="1124">
        <v>37.1</v>
      </c>
      <c r="B83" s="1125" t="s">
        <v>5651</v>
      </c>
      <c r="C83" s="1052">
        <f>ROUND(Data!K1501,2)</f>
        <v>39.22</v>
      </c>
      <c r="D83" s="1127" t="s">
        <v>1776</v>
      </c>
      <c r="E83" s="1128">
        <f>detailed!G1387</f>
        <v>1466.3</v>
      </c>
      <c r="F83" s="1127">
        <f t="shared" si="13"/>
        <v>57508.29</v>
      </c>
      <c r="G83" s="1127"/>
      <c r="H83" s="1127">
        <f t="shared" si="14"/>
        <v>0</v>
      </c>
      <c r="I83" s="1127"/>
      <c r="J83" s="1127">
        <f t="shared" si="15"/>
        <v>0</v>
      </c>
      <c r="K83" s="1127"/>
      <c r="L83" s="1127">
        <f t="shared" si="16"/>
        <v>0</v>
      </c>
      <c r="M83" s="1127"/>
      <c r="N83" s="1127">
        <f t="shared" si="17"/>
        <v>0</v>
      </c>
      <c r="O83" s="1127"/>
      <c r="P83" s="1127">
        <f t="shared" si="18"/>
        <v>0</v>
      </c>
      <c r="Q83" s="1127"/>
      <c r="R83" s="1127">
        <f t="shared" si="19"/>
        <v>0</v>
      </c>
      <c r="S83" s="1045"/>
      <c r="T83" s="1131">
        <f t="shared" si="20"/>
        <v>0</v>
      </c>
      <c r="U83" s="1045"/>
      <c r="V83" s="1045">
        <f t="shared" si="12"/>
        <v>0</v>
      </c>
      <c r="W83" s="1132">
        <f t="shared" si="21"/>
        <v>0</v>
      </c>
      <c r="X83" s="1045">
        <f t="shared" si="22"/>
        <v>0</v>
      </c>
      <c r="Y83" s="1132">
        <f>building!Y82</f>
        <v>1466.3</v>
      </c>
      <c r="Z83" s="1045">
        <f t="shared" si="23"/>
        <v>57508.29</v>
      </c>
      <c r="AA83" s="890"/>
      <c r="AB83" s="890"/>
    </row>
    <row r="84" spans="1:29">
      <c r="A84" s="1124">
        <v>39</v>
      </c>
      <c r="B84" s="1125" t="s">
        <v>1879</v>
      </c>
      <c r="C84" s="1052">
        <f>Data!K1196</f>
        <v>62.6</v>
      </c>
      <c r="D84" s="1127" t="s">
        <v>254</v>
      </c>
      <c r="E84" s="1128">
        <f>detailed!H1536</f>
        <v>177</v>
      </c>
      <c r="F84" s="1127">
        <f t="shared" si="13"/>
        <v>11080.2</v>
      </c>
      <c r="G84" s="1127"/>
      <c r="H84" s="1127">
        <f t="shared" si="14"/>
        <v>0</v>
      </c>
      <c r="I84" s="1127"/>
      <c r="J84" s="1127">
        <f t="shared" si="15"/>
        <v>0</v>
      </c>
      <c r="K84" s="1127"/>
      <c r="L84" s="1127">
        <f t="shared" si="16"/>
        <v>0</v>
      </c>
      <c r="M84" s="1127"/>
      <c r="N84" s="1127">
        <f t="shared" si="17"/>
        <v>0</v>
      </c>
      <c r="O84" s="1127"/>
      <c r="P84" s="1127">
        <f t="shared" si="18"/>
        <v>0</v>
      </c>
      <c r="Q84" s="1127"/>
      <c r="R84" s="1127">
        <f t="shared" si="19"/>
        <v>0</v>
      </c>
      <c r="S84" s="1045"/>
      <c r="T84" s="1131">
        <f t="shared" si="20"/>
        <v>0</v>
      </c>
      <c r="U84" s="1045">
        <f>Com.wall!H76</f>
        <v>630</v>
      </c>
      <c r="V84" s="1045">
        <f t="shared" si="12"/>
        <v>39438</v>
      </c>
      <c r="W84" s="1132">
        <f t="shared" si="21"/>
        <v>630</v>
      </c>
      <c r="X84" s="1045">
        <f t="shared" si="22"/>
        <v>39438</v>
      </c>
      <c r="Y84" s="1132">
        <f>building!Y83</f>
        <v>807</v>
      </c>
      <c r="Z84" s="1045">
        <f t="shared" si="23"/>
        <v>50518.2</v>
      </c>
      <c r="AA84" s="890"/>
      <c r="AB84" s="890"/>
    </row>
    <row r="85" spans="1:29" ht="43.5" customHeight="1">
      <c r="A85" s="1124">
        <v>40</v>
      </c>
      <c r="B85" s="1125" t="s">
        <v>1967</v>
      </c>
      <c r="C85" s="1052">
        <f>ROUND(Data!K1543,2)</f>
        <v>212.24</v>
      </c>
      <c r="D85" s="1127" t="s">
        <v>1776</v>
      </c>
      <c r="E85" s="1128">
        <f>detailed!G1545</f>
        <v>134.69999999999999</v>
      </c>
      <c r="F85" s="1127">
        <f t="shared" si="13"/>
        <v>28588.73</v>
      </c>
      <c r="G85" s="1127"/>
      <c r="H85" s="1127">
        <f t="shared" si="14"/>
        <v>0</v>
      </c>
      <c r="I85" s="1127"/>
      <c r="J85" s="1127">
        <f t="shared" si="15"/>
        <v>0</v>
      </c>
      <c r="K85" s="1127"/>
      <c r="L85" s="1127">
        <f t="shared" si="16"/>
        <v>0</v>
      </c>
      <c r="M85" s="1127"/>
      <c r="N85" s="1127">
        <f t="shared" si="17"/>
        <v>0</v>
      </c>
      <c r="O85" s="1127"/>
      <c r="P85" s="1127">
        <f t="shared" si="18"/>
        <v>0</v>
      </c>
      <c r="Q85" s="1127"/>
      <c r="R85" s="1127">
        <f t="shared" si="19"/>
        <v>0</v>
      </c>
      <c r="S85" s="1045"/>
      <c r="T85" s="1131">
        <f t="shared" si="20"/>
        <v>0</v>
      </c>
      <c r="U85" s="1045"/>
      <c r="V85" s="1045">
        <f t="shared" si="12"/>
        <v>0</v>
      </c>
      <c r="W85" s="1132">
        <f t="shared" si="21"/>
        <v>0</v>
      </c>
      <c r="X85" s="1045">
        <f t="shared" si="22"/>
        <v>0</v>
      </c>
      <c r="Y85" s="1132">
        <f>building!Y84</f>
        <v>134.69999999999999</v>
      </c>
      <c r="Z85" s="1045">
        <f t="shared" si="23"/>
        <v>28588.73</v>
      </c>
      <c r="AA85" s="890"/>
      <c r="AB85" s="890"/>
    </row>
    <row r="86" spans="1:29">
      <c r="A86" s="1124">
        <v>41</v>
      </c>
      <c r="B86" s="1125" t="s">
        <v>1880</v>
      </c>
      <c r="C86" s="1052">
        <f>ROUND(Data!K1556,2)</f>
        <v>125.87</v>
      </c>
      <c r="D86" s="1127" t="s">
        <v>1776</v>
      </c>
      <c r="E86" s="1128">
        <f>detailed!G1561</f>
        <v>190</v>
      </c>
      <c r="F86" s="1127">
        <f t="shared" si="13"/>
        <v>23915.3</v>
      </c>
      <c r="G86" s="1127"/>
      <c r="H86" s="1127">
        <f t="shared" si="14"/>
        <v>0</v>
      </c>
      <c r="I86" s="1127"/>
      <c r="J86" s="1127">
        <f t="shared" si="15"/>
        <v>0</v>
      </c>
      <c r="K86" s="1127"/>
      <c r="L86" s="1127">
        <f t="shared" si="16"/>
        <v>0</v>
      </c>
      <c r="M86" s="1127">
        <f>'Paver '!G33</f>
        <v>125.1</v>
      </c>
      <c r="N86" s="1127">
        <f t="shared" si="17"/>
        <v>15746.34</v>
      </c>
      <c r="O86" s="1127"/>
      <c r="P86" s="1127">
        <f t="shared" si="18"/>
        <v>0</v>
      </c>
      <c r="Q86" s="1127"/>
      <c r="R86" s="1127">
        <f t="shared" si="19"/>
        <v>0</v>
      </c>
      <c r="S86" s="1045"/>
      <c r="T86" s="1131">
        <f t="shared" si="20"/>
        <v>0</v>
      </c>
      <c r="U86" s="1045">
        <f>Com.wall!H79</f>
        <v>18</v>
      </c>
      <c r="V86" s="1045">
        <f t="shared" si="12"/>
        <v>2265.66</v>
      </c>
      <c r="W86" s="1132">
        <f t="shared" si="21"/>
        <v>143.1</v>
      </c>
      <c r="X86" s="1045">
        <f t="shared" si="22"/>
        <v>18012</v>
      </c>
      <c r="Y86" s="1132">
        <f>building!Y85</f>
        <v>333.1</v>
      </c>
      <c r="Z86" s="1045">
        <f t="shared" si="23"/>
        <v>41927.300000000003</v>
      </c>
      <c r="AA86" s="890"/>
      <c r="AB86" s="890"/>
    </row>
    <row r="87" spans="1:29">
      <c r="A87" s="1124">
        <v>46</v>
      </c>
      <c r="B87" s="1125" t="s">
        <v>733</v>
      </c>
      <c r="C87" s="1052">
        <f>ROUND(Data!K1673,2)</f>
        <v>58</v>
      </c>
      <c r="D87" s="1127" t="s">
        <v>794</v>
      </c>
      <c r="E87" s="1128">
        <f>detailed!H1583</f>
        <v>16</v>
      </c>
      <c r="F87" s="1127">
        <f t="shared" si="13"/>
        <v>928</v>
      </c>
      <c r="G87" s="1127"/>
      <c r="H87" s="1127">
        <f t="shared" si="14"/>
        <v>0</v>
      </c>
      <c r="I87" s="1127"/>
      <c r="J87" s="1127">
        <f t="shared" si="15"/>
        <v>0</v>
      </c>
      <c r="K87" s="1127"/>
      <c r="L87" s="1127">
        <f t="shared" si="16"/>
        <v>0</v>
      </c>
      <c r="M87" s="1127"/>
      <c r="N87" s="1127">
        <f t="shared" si="17"/>
        <v>0</v>
      </c>
      <c r="O87" s="1127"/>
      <c r="P87" s="1127">
        <f t="shared" si="18"/>
        <v>0</v>
      </c>
      <c r="Q87" s="1127"/>
      <c r="R87" s="1127">
        <f t="shared" si="19"/>
        <v>0</v>
      </c>
      <c r="S87" s="1045"/>
      <c r="T87" s="1131">
        <f t="shared" si="20"/>
        <v>0</v>
      </c>
      <c r="U87" s="1045"/>
      <c r="V87" s="1045">
        <f t="shared" si="12"/>
        <v>0</v>
      </c>
      <c r="W87" s="1132">
        <f t="shared" si="21"/>
        <v>0</v>
      </c>
      <c r="X87" s="1045">
        <f t="shared" si="22"/>
        <v>0</v>
      </c>
      <c r="Y87" s="1132">
        <f>building!Y86</f>
        <v>16</v>
      </c>
      <c r="Z87" s="1045">
        <f t="shared" si="23"/>
        <v>928</v>
      </c>
      <c r="AA87" s="890"/>
      <c r="AB87" s="890"/>
    </row>
    <row r="88" spans="1:29" ht="45.75" customHeight="1">
      <c r="A88" s="1124">
        <v>47</v>
      </c>
      <c r="B88" s="1125" t="s">
        <v>882</v>
      </c>
      <c r="C88" s="1052">
        <f>ROUND(Data!K1685,2)</f>
        <v>95</v>
      </c>
      <c r="D88" s="1127" t="s">
        <v>1341</v>
      </c>
      <c r="E88" s="1128">
        <f>detailed!H1585</f>
        <v>8</v>
      </c>
      <c r="F88" s="1127">
        <f t="shared" si="13"/>
        <v>760</v>
      </c>
      <c r="G88" s="1127"/>
      <c r="H88" s="1127">
        <f t="shared" si="14"/>
        <v>0</v>
      </c>
      <c r="I88" s="1127"/>
      <c r="J88" s="1127">
        <f t="shared" si="15"/>
        <v>0</v>
      </c>
      <c r="K88" s="1127"/>
      <c r="L88" s="1127">
        <f t="shared" si="16"/>
        <v>0</v>
      </c>
      <c r="M88" s="1127"/>
      <c r="N88" s="1127">
        <f t="shared" si="17"/>
        <v>0</v>
      </c>
      <c r="O88" s="1127"/>
      <c r="P88" s="1127">
        <f t="shared" si="18"/>
        <v>0</v>
      </c>
      <c r="Q88" s="1127"/>
      <c r="R88" s="1127">
        <f t="shared" si="19"/>
        <v>0</v>
      </c>
      <c r="S88" s="1045"/>
      <c r="T88" s="1131">
        <f t="shared" si="20"/>
        <v>0</v>
      </c>
      <c r="U88" s="1045"/>
      <c r="V88" s="1045">
        <f t="shared" si="12"/>
        <v>0</v>
      </c>
      <c r="W88" s="1132">
        <f t="shared" si="21"/>
        <v>0</v>
      </c>
      <c r="X88" s="1045">
        <f t="shared" si="22"/>
        <v>0</v>
      </c>
      <c r="Y88" s="1132">
        <f>building!Y87</f>
        <v>8</v>
      </c>
      <c r="Z88" s="1045">
        <f t="shared" si="23"/>
        <v>760</v>
      </c>
      <c r="AA88" s="890"/>
      <c r="AB88" s="890"/>
    </row>
    <row r="89" spans="1:29" ht="45.75" customHeight="1">
      <c r="A89" s="1124">
        <v>48</v>
      </c>
      <c r="B89" s="1125" t="s">
        <v>1774</v>
      </c>
      <c r="C89" s="1052">
        <f>ROUND(Data!K1693,2)</f>
        <v>55</v>
      </c>
      <c r="D89" s="1127" t="s">
        <v>1341</v>
      </c>
      <c r="E89" s="1128">
        <f>detailed!H1588</f>
        <v>16</v>
      </c>
      <c r="F89" s="1127">
        <f t="shared" si="13"/>
        <v>880</v>
      </c>
      <c r="G89" s="1127"/>
      <c r="H89" s="1127">
        <f t="shared" si="14"/>
        <v>0</v>
      </c>
      <c r="I89" s="1127"/>
      <c r="J89" s="1127">
        <f t="shared" si="15"/>
        <v>0</v>
      </c>
      <c r="K89" s="1127"/>
      <c r="L89" s="1127">
        <f t="shared" si="16"/>
        <v>0</v>
      </c>
      <c r="M89" s="1127"/>
      <c r="N89" s="1127">
        <f t="shared" si="17"/>
        <v>0</v>
      </c>
      <c r="O89" s="1127"/>
      <c r="P89" s="1127">
        <f t="shared" si="18"/>
        <v>0</v>
      </c>
      <c r="Q89" s="1127"/>
      <c r="R89" s="1127">
        <f t="shared" si="19"/>
        <v>0</v>
      </c>
      <c r="S89" s="1045"/>
      <c r="T89" s="1131">
        <f t="shared" si="20"/>
        <v>0</v>
      </c>
      <c r="U89" s="1045"/>
      <c r="V89" s="1045">
        <f t="shared" si="12"/>
        <v>0</v>
      </c>
      <c r="W89" s="1132">
        <f t="shared" si="21"/>
        <v>0</v>
      </c>
      <c r="X89" s="1045">
        <f t="shared" si="22"/>
        <v>0</v>
      </c>
      <c r="Y89" s="1132">
        <f>building!Y88</f>
        <v>16</v>
      </c>
      <c r="Z89" s="1045">
        <f t="shared" si="23"/>
        <v>880</v>
      </c>
      <c r="AA89" s="890"/>
      <c r="AB89" s="890"/>
    </row>
    <row r="90" spans="1:29">
      <c r="A90" s="1124">
        <v>49</v>
      </c>
      <c r="B90" s="1125" t="s">
        <v>1775</v>
      </c>
      <c r="C90" s="1052">
        <f>ROUND(Data!K1700,2)</f>
        <v>1.5</v>
      </c>
      <c r="D90" s="1127" t="s">
        <v>1341</v>
      </c>
      <c r="E90" s="1128">
        <f>detailed!G1594</f>
        <v>96</v>
      </c>
      <c r="F90" s="1127">
        <f t="shared" si="13"/>
        <v>144</v>
      </c>
      <c r="G90" s="1127"/>
      <c r="H90" s="1127">
        <f t="shared" si="14"/>
        <v>0</v>
      </c>
      <c r="I90" s="1127"/>
      <c r="J90" s="1127">
        <f t="shared" si="15"/>
        <v>0</v>
      </c>
      <c r="K90" s="1127"/>
      <c r="L90" s="1127">
        <f t="shared" si="16"/>
        <v>0</v>
      </c>
      <c r="M90" s="1127"/>
      <c r="N90" s="1127">
        <f t="shared" si="17"/>
        <v>0</v>
      </c>
      <c r="O90" s="1127"/>
      <c r="P90" s="1127">
        <f t="shared" si="18"/>
        <v>0</v>
      </c>
      <c r="Q90" s="1127"/>
      <c r="R90" s="1127">
        <f t="shared" si="19"/>
        <v>0</v>
      </c>
      <c r="S90" s="1045"/>
      <c r="T90" s="1131">
        <f t="shared" si="20"/>
        <v>0</v>
      </c>
      <c r="U90" s="1045"/>
      <c r="V90" s="1045">
        <f t="shared" si="12"/>
        <v>0</v>
      </c>
      <c r="W90" s="1132">
        <f t="shared" si="21"/>
        <v>0</v>
      </c>
      <c r="X90" s="1045">
        <f t="shared" si="22"/>
        <v>0</v>
      </c>
      <c r="Y90" s="1132">
        <f>building!Y89</f>
        <v>96</v>
      </c>
      <c r="Z90" s="1045">
        <f t="shared" si="23"/>
        <v>144</v>
      </c>
      <c r="AA90" s="890"/>
      <c r="AB90" s="890"/>
    </row>
    <row r="91" spans="1:29" ht="45">
      <c r="A91" s="1154">
        <v>50.2</v>
      </c>
      <c r="B91" s="1125" t="s">
        <v>272</v>
      </c>
      <c r="C91" s="1025">
        <f>ROUND(Data!K1749,2)</f>
        <v>238.28</v>
      </c>
      <c r="D91" s="1138" t="s">
        <v>794</v>
      </c>
      <c r="E91" s="1139"/>
      <c r="F91" s="1127">
        <f t="shared" si="13"/>
        <v>0</v>
      </c>
      <c r="G91" s="1138"/>
      <c r="H91" s="1127">
        <f t="shared" si="14"/>
        <v>0</v>
      </c>
      <c r="I91" s="1138"/>
      <c r="J91" s="1127">
        <f t="shared" si="15"/>
        <v>0</v>
      </c>
      <c r="K91" s="1138"/>
      <c r="L91" s="1127">
        <f t="shared" si="16"/>
        <v>0</v>
      </c>
      <c r="M91" s="1138">
        <f>'Paver '!G28</f>
        <v>278</v>
      </c>
      <c r="N91" s="1127">
        <f t="shared" si="17"/>
        <v>66241.84</v>
      </c>
      <c r="O91" s="1138"/>
      <c r="P91" s="1127">
        <f t="shared" si="18"/>
        <v>0</v>
      </c>
      <c r="Q91" s="1138"/>
      <c r="R91" s="1127">
        <f t="shared" si="19"/>
        <v>0</v>
      </c>
      <c r="S91" s="1045"/>
      <c r="T91" s="1131">
        <f t="shared" si="20"/>
        <v>0</v>
      </c>
      <c r="U91" s="1045"/>
      <c r="V91" s="1045">
        <f t="shared" si="12"/>
        <v>0</v>
      </c>
      <c r="W91" s="1132">
        <f t="shared" si="21"/>
        <v>278</v>
      </c>
      <c r="X91" s="1045">
        <f t="shared" si="22"/>
        <v>66241.84</v>
      </c>
      <c r="Y91" s="1132">
        <f>building!Y90</f>
        <v>278</v>
      </c>
      <c r="Z91" s="1045">
        <f t="shared" si="23"/>
        <v>66241.84</v>
      </c>
      <c r="AA91" s="890"/>
      <c r="AB91" s="890"/>
    </row>
    <row r="92" spans="1:29" ht="49.5" customHeight="1">
      <c r="A92" s="1124">
        <v>50.3</v>
      </c>
      <c r="B92" s="1125" t="s">
        <v>2111</v>
      </c>
      <c r="C92" s="1052">
        <f>ROUND(Data!K1765,2)</f>
        <v>343.21</v>
      </c>
      <c r="D92" s="1127" t="s">
        <v>1341</v>
      </c>
      <c r="E92" s="1128"/>
      <c r="F92" s="1127">
        <f t="shared" si="13"/>
        <v>0</v>
      </c>
      <c r="G92" s="1127"/>
      <c r="H92" s="1127">
        <f t="shared" si="14"/>
        <v>0</v>
      </c>
      <c r="I92" s="1127"/>
      <c r="J92" s="1127">
        <f t="shared" si="15"/>
        <v>0</v>
      </c>
      <c r="K92" s="1127"/>
      <c r="L92" s="1127">
        <f t="shared" si="16"/>
        <v>0</v>
      </c>
      <c r="M92" s="1127"/>
      <c r="N92" s="1127">
        <f t="shared" si="17"/>
        <v>0</v>
      </c>
      <c r="O92" s="1127"/>
      <c r="P92" s="1127">
        <f t="shared" si="18"/>
        <v>0</v>
      </c>
      <c r="Q92" s="1127"/>
      <c r="R92" s="1127">
        <f t="shared" si="19"/>
        <v>0</v>
      </c>
      <c r="S92" s="1045"/>
      <c r="T92" s="1131">
        <f t="shared" si="20"/>
        <v>0</v>
      </c>
      <c r="U92" s="1045"/>
      <c r="V92" s="1045">
        <f t="shared" si="12"/>
        <v>0</v>
      </c>
      <c r="W92" s="1132">
        <f t="shared" si="21"/>
        <v>0</v>
      </c>
      <c r="X92" s="1045">
        <f t="shared" si="22"/>
        <v>0</v>
      </c>
      <c r="Y92" s="1132">
        <f>building!Y91</f>
        <v>0</v>
      </c>
      <c r="Z92" s="1045">
        <f t="shared" si="23"/>
        <v>0</v>
      </c>
      <c r="AA92" s="890"/>
      <c r="AB92" s="890"/>
    </row>
    <row r="93" spans="1:29" ht="43.5" customHeight="1">
      <c r="A93" s="1124">
        <v>50.4</v>
      </c>
      <c r="B93" s="1125" t="s">
        <v>2112</v>
      </c>
      <c r="C93" s="1052">
        <f>ROUND(Data!K1778,2)</f>
        <v>807.7</v>
      </c>
      <c r="D93" s="1127" t="s">
        <v>1341</v>
      </c>
      <c r="E93" s="1128"/>
      <c r="F93" s="1127">
        <f t="shared" si="13"/>
        <v>0</v>
      </c>
      <c r="G93" s="1127"/>
      <c r="H93" s="1127">
        <f t="shared" si="14"/>
        <v>0</v>
      </c>
      <c r="I93" s="1127"/>
      <c r="J93" s="1127">
        <f t="shared" si="15"/>
        <v>0</v>
      </c>
      <c r="K93" s="1127"/>
      <c r="L93" s="1127">
        <f t="shared" si="16"/>
        <v>0</v>
      </c>
      <c r="M93" s="1127"/>
      <c r="N93" s="1127">
        <f t="shared" si="17"/>
        <v>0</v>
      </c>
      <c r="O93" s="1127"/>
      <c r="P93" s="1127">
        <f t="shared" si="18"/>
        <v>0</v>
      </c>
      <c r="Q93" s="1127"/>
      <c r="R93" s="1127">
        <f t="shared" si="19"/>
        <v>0</v>
      </c>
      <c r="S93" s="1045"/>
      <c r="T93" s="1131">
        <f t="shared" si="20"/>
        <v>0</v>
      </c>
      <c r="U93" s="1045"/>
      <c r="V93" s="1045">
        <f t="shared" si="12"/>
        <v>0</v>
      </c>
      <c r="W93" s="1132">
        <f t="shared" si="21"/>
        <v>0</v>
      </c>
      <c r="X93" s="1045">
        <f t="shared" si="22"/>
        <v>0</v>
      </c>
      <c r="Y93" s="1132">
        <f>building!Y92</f>
        <v>0</v>
      </c>
      <c r="Z93" s="1045">
        <f t="shared" si="23"/>
        <v>0</v>
      </c>
      <c r="AA93" s="890"/>
      <c r="AB93" s="890"/>
    </row>
    <row r="94" spans="1:29" ht="45">
      <c r="A94" s="1124">
        <v>50.5</v>
      </c>
      <c r="B94" s="1125" t="s">
        <v>365</v>
      </c>
      <c r="C94" s="1052">
        <f>ROUND(Data!K1793,2)</f>
        <v>17153.259999999998</v>
      </c>
      <c r="D94" s="1127" t="s">
        <v>1341</v>
      </c>
      <c r="E94" s="1128">
        <v>1</v>
      </c>
      <c r="F94" s="1127">
        <f t="shared" si="13"/>
        <v>17153.259999999998</v>
      </c>
      <c r="G94" s="1127"/>
      <c r="H94" s="1127">
        <f t="shared" si="14"/>
        <v>0</v>
      </c>
      <c r="I94" s="1127"/>
      <c r="J94" s="1127">
        <f t="shared" si="15"/>
        <v>0</v>
      </c>
      <c r="K94" s="1127"/>
      <c r="L94" s="1127">
        <f t="shared" si="16"/>
        <v>0</v>
      </c>
      <c r="M94" s="1127"/>
      <c r="N94" s="1127">
        <f t="shared" si="17"/>
        <v>0</v>
      </c>
      <c r="O94" s="1127"/>
      <c r="P94" s="1127">
        <f t="shared" si="18"/>
        <v>0</v>
      </c>
      <c r="Q94" s="1127"/>
      <c r="R94" s="1127">
        <f t="shared" si="19"/>
        <v>0</v>
      </c>
      <c r="S94" s="1045"/>
      <c r="T94" s="1131">
        <f t="shared" si="20"/>
        <v>0</v>
      </c>
      <c r="U94" s="1045"/>
      <c r="V94" s="1045">
        <f t="shared" si="12"/>
        <v>0</v>
      </c>
      <c r="W94" s="1132">
        <f t="shared" si="21"/>
        <v>0</v>
      </c>
      <c r="X94" s="1045">
        <f t="shared" si="22"/>
        <v>0</v>
      </c>
      <c r="Y94" s="1132">
        <f>building!Y93</f>
        <v>1</v>
      </c>
      <c r="Z94" s="1045">
        <f t="shared" si="23"/>
        <v>17153.259999999998</v>
      </c>
      <c r="AA94" s="890"/>
      <c r="AB94" s="890"/>
    </row>
    <row r="95" spans="1:29" s="486" customFormat="1">
      <c r="A95" s="1174">
        <v>51</v>
      </c>
      <c r="B95" s="1175" t="s">
        <v>229</v>
      </c>
      <c r="C95" s="1176">
        <f>ROUND(Data!K1799,2)</f>
        <v>6720</v>
      </c>
      <c r="D95" s="1177" t="s">
        <v>1341</v>
      </c>
      <c r="E95" s="1178">
        <f>detailed!H1602</f>
        <v>4</v>
      </c>
      <c r="F95" s="1127">
        <f t="shared" si="13"/>
        <v>26880</v>
      </c>
      <c r="G95" s="1177"/>
      <c r="H95" s="1127">
        <f t="shared" si="14"/>
        <v>0</v>
      </c>
      <c r="I95" s="1177"/>
      <c r="J95" s="1127">
        <f t="shared" si="15"/>
        <v>0</v>
      </c>
      <c r="K95" s="1177"/>
      <c r="L95" s="1127">
        <f t="shared" si="16"/>
        <v>0</v>
      </c>
      <c r="M95" s="1177"/>
      <c r="N95" s="1127">
        <f t="shared" si="17"/>
        <v>0</v>
      </c>
      <c r="O95" s="1177"/>
      <c r="P95" s="1127">
        <f t="shared" si="18"/>
        <v>0</v>
      </c>
      <c r="Q95" s="1177"/>
      <c r="R95" s="1127">
        <f t="shared" si="19"/>
        <v>0</v>
      </c>
      <c r="S95" s="1143"/>
      <c r="T95" s="1131">
        <f t="shared" si="20"/>
        <v>0</v>
      </c>
      <c r="U95" s="1144"/>
      <c r="V95" s="1045">
        <f t="shared" si="12"/>
        <v>0</v>
      </c>
      <c r="W95" s="1132">
        <f t="shared" si="21"/>
        <v>0</v>
      </c>
      <c r="X95" s="1045">
        <f t="shared" si="22"/>
        <v>0</v>
      </c>
      <c r="Y95" s="1132">
        <f>building!Y94</f>
        <v>4</v>
      </c>
      <c r="Z95" s="1045">
        <f t="shared" si="23"/>
        <v>26880</v>
      </c>
      <c r="AA95" s="892"/>
      <c r="AB95" s="891"/>
    </row>
    <row r="96" spans="1:29" s="719" customFormat="1">
      <c r="A96" s="1160">
        <v>52</v>
      </c>
      <c r="B96" s="1161" t="s">
        <v>230</v>
      </c>
      <c r="C96" s="995"/>
      <c r="D96" s="1147"/>
      <c r="E96" s="1148"/>
      <c r="F96" s="1127">
        <f t="shared" si="13"/>
        <v>0</v>
      </c>
      <c r="G96" s="1147"/>
      <c r="H96" s="1127">
        <f t="shared" si="14"/>
        <v>0</v>
      </c>
      <c r="I96" s="1147"/>
      <c r="J96" s="1127">
        <f t="shared" si="15"/>
        <v>0</v>
      </c>
      <c r="K96" s="1147"/>
      <c r="L96" s="1127">
        <f t="shared" si="16"/>
        <v>0</v>
      </c>
      <c r="M96" s="1147"/>
      <c r="N96" s="1127">
        <f t="shared" si="17"/>
        <v>0</v>
      </c>
      <c r="O96" s="1147"/>
      <c r="P96" s="1127">
        <f t="shared" si="18"/>
        <v>0</v>
      </c>
      <c r="Q96" s="1147"/>
      <c r="R96" s="1127">
        <f t="shared" si="19"/>
        <v>0</v>
      </c>
      <c r="S96" s="1028"/>
      <c r="T96" s="1131">
        <f t="shared" si="20"/>
        <v>0</v>
      </c>
      <c r="U96" s="1045"/>
      <c r="V96" s="1045">
        <f t="shared" si="12"/>
        <v>0</v>
      </c>
      <c r="W96" s="1132">
        <f t="shared" si="21"/>
        <v>0</v>
      </c>
      <c r="X96" s="1045">
        <f t="shared" si="22"/>
        <v>0</v>
      </c>
      <c r="Y96" s="1132">
        <f>building!Y95</f>
        <v>0</v>
      </c>
      <c r="Z96" s="1045">
        <f t="shared" si="23"/>
        <v>0</v>
      </c>
      <c r="AA96" s="786"/>
      <c r="AB96" s="891"/>
      <c r="AC96" s="717"/>
    </row>
    <row r="97" spans="1:29" s="719" customFormat="1">
      <c r="A97" s="1162"/>
      <c r="B97" s="1162" t="s">
        <v>45</v>
      </c>
      <c r="C97" s="995">
        <f>ROUND(Data!K1893,2)</f>
        <v>227.81</v>
      </c>
      <c r="D97" s="1147" t="s">
        <v>794</v>
      </c>
      <c r="E97" s="1148">
        <f>detailed!H1607</f>
        <v>60</v>
      </c>
      <c r="F97" s="1127">
        <f t="shared" si="13"/>
        <v>13668.6</v>
      </c>
      <c r="G97" s="1147"/>
      <c r="H97" s="1127">
        <f t="shared" si="14"/>
        <v>0</v>
      </c>
      <c r="I97" s="1147"/>
      <c r="J97" s="1127">
        <f t="shared" si="15"/>
        <v>0</v>
      </c>
      <c r="K97" s="1147"/>
      <c r="L97" s="1127">
        <f t="shared" si="16"/>
        <v>0</v>
      </c>
      <c r="M97" s="1147"/>
      <c r="N97" s="1127">
        <f t="shared" si="17"/>
        <v>0</v>
      </c>
      <c r="O97" s="1147"/>
      <c r="P97" s="1127">
        <f t="shared" si="18"/>
        <v>0</v>
      </c>
      <c r="Q97" s="1147"/>
      <c r="R97" s="1127">
        <f t="shared" si="19"/>
        <v>0</v>
      </c>
      <c r="S97" s="1028"/>
      <c r="T97" s="1131">
        <f t="shared" si="20"/>
        <v>0</v>
      </c>
      <c r="U97" s="1045"/>
      <c r="V97" s="1045">
        <f t="shared" si="12"/>
        <v>0</v>
      </c>
      <c r="W97" s="1132">
        <f t="shared" si="21"/>
        <v>0</v>
      </c>
      <c r="X97" s="1045">
        <f t="shared" si="22"/>
        <v>0</v>
      </c>
      <c r="Y97" s="1132">
        <f>building!Y96</f>
        <v>60</v>
      </c>
      <c r="Z97" s="1045">
        <f t="shared" si="23"/>
        <v>13668.6</v>
      </c>
      <c r="AA97" s="891"/>
      <c r="AB97" s="891"/>
    </row>
    <row r="98" spans="1:29" s="719" customFormat="1">
      <c r="A98" s="1162"/>
      <c r="B98" s="1162" t="s">
        <v>46</v>
      </c>
      <c r="C98" s="995">
        <f>ROUND(Data!K1885,2)</f>
        <v>208.73</v>
      </c>
      <c r="D98" s="1147" t="s">
        <v>794</v>
      </c>
      <c r="E98" s="1148">
        <f>detailed!G1620</f>
        <v>537</v>
      </c>
      <c r="F98" s="1127">
        <f t="shared" si="13"/>
        <v>112088.01</v>
      </c>
      <c r="G98" s="1147"/>
      <c r="H98" s="1127">
        <f t="shared" si="14"/>
        <v>0</v>
      </c>
      <c r="I98" s="1147"/>
      <c r="J98" s="1127">
        <f t="shared" si="15"/>
        <v>0</v>
      </c>
      <c r="K98" s="1147"/>
      <c r="L98" s="1127">
        <f t="shared" si="16"/>
        <v>0</v>
      </c>
      <c r="M98" s="1147"/>
      <c r="N98" s="1127">
        <f t="shared" si="17"/>
        <v>0</v>
      </c>
      <c r="O98" s="1147"/>
      <c r="P98" s="1127">
        <f t="shared" si="18"/>
        <v>0</v>
      </c>
      <c r="Q98" s="1147"/>
      <c r="R98" s="1127">
        <f t="shared" si="19"/>
        <v>0</v>
      </c>
      <c r="S98" s="1028"/>
      <c r="T98" s="1131">
        <f t="shared" si="20"/>
        <v>0</v>
      </c>
      <c r="U98" s="1045"/>
      <c r="V98" s="1045">
        <f t="shared" si="12"/>
        <v>0</v>
      </c>
      <c r="W98" s="1132">
        <f t="shared" si="21"/>
        <v>0</v>
      </c>
      <c r="X98" s="1045">
        <f t="shared" si="22"/>
        <v>0</v>
      </c>
      <c r="Y98" s="1132">
        <f>building!Y97</f>
        <v>537</v>
      </c>
      <c r="Z98" s="1045">
        <f t="shared" si="23"/>
        <v>112088.01</v>
      </c>
      <c r="AA98" s="891"/>
      <c r="AB98" s="891"/>
    </row>
    <row r="99" spans="1:29" s="486" customFormat="1">
      <c r="A99" s="1010"/>
      <c r="B99" s="1125" t="s">
        <v>47</v>
      </c>
      <c r="C99" s="1040">
        <f>ROUND(Data!K1877,2)</f>
        <v>203.95</v>
      </c>
      <c r="D99" s="1127" t="s">
        <v>794</v>
      </c>
      <c r="E99" s="1128"/>
      <c r="F99" s="1127">
        <f t="shared" si="13"/>
        <v>0</v>
      </c>
      <c r="G99" s="1127"/>
      <c r="H99" s="1127">
        <f t="shared" si="14"/>
        <v>0</v>
      </c>
      <c r="I99" s="1127"/>
      <c r="J99" s="1127">
        <f t="shared" si="15"/>
        <v>0</v>
      </c>
      <c r="K99" s="1127"/>
      <c r="L99" s="1127">
        <f t="shared" si="16"/>
        <v>0</v>
      </c>
      <c r="M99" s="1127"/>
      <c r="N99" s="1127">
        <f t="shared" si="17"/>
        <v>0</v>
      </c>
      <c r="O99" s="1127"/>
      <c r="P99" s="1127">
        <f t="shared" si="18"/>
        <v>0</v>
      </c>
      <c r="Q99" s="1127"/>
      <c r="R99" s="1127">
        <f t="shared" si="19"/>
        <v>0</v>
      </c>
      <c r="S99" s="1028"/>
      <c r="T99" s="1131">
        <f t="shared" si="20"/>
        <v>0</v>
      </c>
      <c r="U99" s="1045"/>
      <c r="V99" s="1045">
        <f t="shared" si="12"/>
        <v>0</v>
      </c>
      <c r="W99" s="1132">
        <f t="shared" si="21"/>
        <v>0</v>
      </c>
      <c r="X99" s="1045">
        <f t="shared" si="22"/>
        <v>0</v>
      </c>
      <c r="Y99" s="1132">
        <f>building!Y98</f>
        <v>0</v>
      </c>
      <c r="Z99" s="1045">
        <f t="shared" si="23"/>
        <v>0</v>
      </c>
      <c r="AA99" s="892"/>
      <c r="AB99" s="891"/>
    </row>
    <row r="100" spans="1:29" ht="45">
      <c r="A100" s="1124">
        <v>52.1</v>
      </c>
      <c r="B100" s="1125" t="s">
        <v>1464</v>
      </c>
      <c r="C100" s="1052">
        <f>ROUND(Data!K1930,2)</f>
        <v>286.08</v>
      </c>
      <c r="D100" s="1127" t="s">
        <v>794</v>
      </c>
      <c r="E100" s="1128"/>
      <c r="F100" s="1127">
        <f t="shared" si="13"/>
        <v>0</v>
      </c>
      <c r="G100" s="1127"/>
      <c r="H100" s="1127">
        <f t="shared" si="14"/>
        <v>0</v>
      </c>
      <c r="I100" s="1127"/>
      <c r="J100" s="1127">
        <f t="shared" si="15"/>
        <v>0</v>
      </c>
      <c r="K100" s="1127"/>
      <c r="L100" s="1127">
        <f t="shared" si="16"/>
        <v>0</v>
      </c>
      <c r="M100" s="1127"/>
      <c r="N100" s="1127">
        <f t="shared" si="17"/>
        <v>0</v>
      </c>
      <c r="O100" s="1127"/>
      <c r="P100" s="1127">
        <f t="shared" si="18"/>
        <v>0</v>
      </c>
      <c r="Q100" s="1127"/>
      <c r="R100" s="1127">
        <f t="shared" si="19"/>
        <v>0</v>
      </c>
      <c r="S100" s="1045"/>
      <c r="T100" s="1131">
        <f t="shared" si="20"/>
        <v>0</v>
      </c>
      <c r="U100" s="1045"/>
      <c r="V100" s="1045">
        <f t="shared" si="12"/>
        <v>0</v>
      </c>
      <c r="W100" s="1132">
        <f t="shared" si="21"/>
        <v>0</v>
      </c>
      <c r="X100" s="1045">
        <f t="shared" si="22"/>
        <v>0</v>
      </c>
      <c r="Y100" s="1132">
        <f>building!Y99</f>
        <v>0</v>
      </c>
      <c r="Z100" s="1045">
        <f t="shared" si="23"/>
        <v>0</v>
      </c>
      <c r="AA100" s="890"/>
      <c r="AB100" s="890"/>
    </row>
    <row r="101" spans="1:29" s="486" customFormat="1">
      <c r="A101" s="1149">
        <v>53.1</v>
      </c>
      <c r="B101" s="1150" t="s">
        <v>48</v>
      </c>
      <c r="C101" s="1156">
        <f>ROUND(Data!K1951,2)</f>
        <v>3074.82</v>
      </c>
      <c r="D101" s="1152" t="s">
        <v>1341</v>
      </c>
      <c r="E101" s="1153"/>
      <c r="F101" s="1127">
        <f t="shared" si="13"/>
        <v>0</v>
      </c>
      <c r="G101" s="1152"/>
      <c r="H101" s="1127">
        <f t="shared" si="14"/>
        <v>0</v>
      </c>
      <c r="I101" s="1152"/>
      <c r="J101" s="1127">
        <f t="shared" si="15"/>
        <v>0</v>
      </c>
      <c r="K101" s="1152"/>
      <c r="L101" s="1127">
        <f t="shared" si="16"/>
        <v>0</v>
      </c>
      <c r="M101" s="1152"/>
      <c r="N101" s="1127">
        <f t="shared" si="17"/>
        <v>0</v>
      </c>
      <c r="O101" s="1152"/>
      <c r="P101" s="1127">
        <f t="shared" si="18"/>
        <v>0</v>
      </c>
      <c r="Q101" s="1152"/>
      <c r="R101" s="1127">
        <f t="shared" si="19"/>
        <v>0</v>
      </c>
      <c r="S101" s="1028"/>
      <c r="T101" s="1131">
        <f t="shared" si="20"/>
        <v>0</v>
      </c>
      <c r="U101" s="1045"/>
      <c r="V101" s="1045">
        <f t="shared" si="12"/>
        <v>0</v>
      </c>
      <c r="W101" s="1132">
        <f t="shared" si="21"/>
        <v>0</v>
      </c>
      <c r="X101" s="1045">
        <f t="shared" si="22"/>
        <v>0</v>
      </c>
      <c r="Y101" s="1132">
        <f>building!Y100</f>
        <v>0</v>
      </c>
      <c r="Z101" s="1045">
        <f t="shared" si="23"/>
        <v>0</v>
      </c>
      <c r="AA101" s="892"/>
      <c r="AB101" s="891"/>
    </row>
    <row r="102" spans="1:29" s="486" customFormat="1" ht="53.25" customHeight="1">
      <c r="A102" s="1124">
        <v>53.2</v>
      </c>
      <c r="B102" s="1125" t="s">
        <v>1144</v>
      </c>
      <c r="C102" s="1024"/>
      <c r="D102" s="1138" t="s">
        <v>1341</v>
      </c>
      <c r="E102" s="1139"/>
      <c r="F102" s="1127">
        <f t="shared" si="13"/>
        <v>0</v>
      </c>
      <c r="G102" s="1138"/>
      <c r="H102" s="1127">
        <f t="shared" si="14"/>
        <v>0</v>
      </c>
      <c r="I102" s="1138"/>
      <c r="J102" s="1127">
        <f t="shared" si="15"/>
        <v>0</v>
      </c>
      <c r="K102" s="1138"/>
      <c r="L102" s="1127">
        <f t="shared" si="16"/>
        <v>0</v>
      </c>
      <c r="M102" s="1138"/>
      <c r="N102" s="1127">
        <f t="shared" si="17"/>
        <v>0</v>
      </c>
      <c r="O102" s="1138"/>
      <c r="P102" s="1127">
        <f t="shared" si="18"/>
        <v>0</v>
      </c>
      <c r="Q102" s="1138"/>
      <c r="R102" s="1127">
        <f t="shared" si="19"/>
        <v>0</v>
      </c>
      <c r="S102" s="1028"/>
      <c r="T102" s="1131">
        <f t="shared" si="20"/>
        <v>0</v>
      </c>
      <c r="U102" s="1045"/>
      <c r="V102" s="1045">
        <f t="shared" si="12"/>
        <v>0</v>
      </c>
      <c r="W102" s="1132">
        <f t="shared" si="21"/>
        <v>0</v>
      </c>
      <c r="X102" s="1045">
        <f t="shared" si="22"/>
        <v>0</v>
      </c>
      <c r="Y102" s="1132">
        <f>building!Y101</f>
        <v>0</v>
      </c>
      <c r="Z102" s="1045">
        <f t="shared" si="23"/>
        <v>0</v>
      </c>
      <c r="AA102" s="892"/>
      <c r="AB102" s="891"/>
    </row>
    <row r="103" spans="1:29">
      <c r="A103" s="1124">
        <v>53.3</v>
      </c>
      <c r="B103" s="1125" t="s">
        <v>49</v>
      </c>
      <c r="C103" s="1052">
        <f>ROUND(Data!K1955,2)</f>
        <v>30</v>
      </c>
      <c r="D103" s="1127" t="s">
        <v>1341</v>
      </c>
      <c r="E103" s="1128"/>
      <c r="F103" s="1127">
        <f t="shared" si="13"/>
        <v>0</v>
      </c>
      <c r="G103" s="1127"/>
      <c r="H103" s="1127">
        <f t="shared" si="14"/>
        <v>0</v>
      </c>
      <c r="I103" s="1127">
        <f>Sump!H46</f>
        <v>5</v>
      </c>
      <c r="J103" s="1127">
        <f t="shared" si="15"/>
        <v>150</v>
      </c>
      <c r="K103" s="1127"/>
      <c r="L103" s="1127">
        <f t="shared" si="16"/>
        <v>0</v>
      </c>
      <c r="M103" s="1127"/>
      <c r="N103" s="1127">
        <f t="shared" si="17"/>
        <v>0</v>
      </c>
      <c r="O103" s="1127"/>
      <c r="P103" s="1127">
        <f t="shared" si="18"/>
        <v>0</v>
      </c>
      <c r="Q103" s="1127"/>
      <c r="R103" s="1127">
        <f t="shared" si="19"/>
        <v>0</v>
      </c>
      <c r="S103" s="1045"/>
      <c r="T103" s="1131">
        <f t="shared" si="20"/>
        <v>0</v>
      </c>
      <c r="U103" s="1045"/>
      <c r="V103" s="1045">
        <f t="shared" si="12"/>
        <v>0</v>
      </c>
      <c r="W103" s="1132">
        <f t="shared" si="21"/>
        <v>5</v>
      </c>
      <c r="X103" s="1045">
        <f t="shared" si="22"/>
        <v>150</v>
      </c>
      <c r="Y103" s="1132">
        <f>building!Y102</f>
        <v>5</v>
      </c>
      <c r="Z103" s="1045">
        <f t="shared" si="23"/>
        <v>150</v>
      </c>
      <c r="AA103" s="890"/>
      <c r="AB103" s="890"/>
    </row>
    <row r="104" spans="1:29" s="1032" customFormat="1" ht="45">
      <c r="A104" s="1440">
        <v>59.5</v>
      </c>
      <c r="B104" s="1180" t="s">
        <v>1257</v>
      </c>
      <c r="C104" s="1033">
        <f>Data!K2114</f>
        <v>1745.11</v>
      </c>
      <c r="D104" s="1181" t="s">
        <v>1341</v>
      </c>
      <c r="E104" s="1182">
        <f>detailed!H1656</f>
        <v>8</v>
      </c>
      <c r="F104" s="1181">
        <f t="shared" si="13"/>
        <v>13960.88</v>
      </c>
      <c r="G104" s="1181"/>
      <c r="H104" s="1181">
        <f>G104*C104</f>
        <v>0</v>
      </c>
      <c r="I104" s="1181"/>
      <c r="J104" s="1181">
        <f>I104*C104</f>
        <v>0</v>
      </c>
      <c r="K104" s="1181"/>
      <c r="L104" s="1181">
        <f>K104*C104</f>
        <v>0</v>
      </c>
      <c r="M104" s="1181"/>
      <c r="N104" s="1181">
        <f>M104*C104</f>
        <v>0</v>
      </c>
      <c r="O104" s="1181"/>
      <c r="P104" s="1181">
        <f>O104*C104</f>
        <v>0</v>
      </c>
      <c r="Q104" s="1181"/>
      <c r="R104" s="1181">
        <f>Q104*C104</f>
        <v>0</v>
      </c>
      <c r="S104" s="1046"/>
      <c r="T104" s="1183">
        <f>S104*C104</f>
        <v>0</v>
      </c>
      <c r="U104" s="1046"/>
      <c r="V104" s="1046">
        <f t="shared" si="12"/>
        <v>0</v>
      </c>
      <c r="W104" s="1035">
        <f t="shared" si="21"/>
        <v>0</v>
      </c>
      <c r="X104" s="1046">
        <f>W104*C104</f>
        <v>0</v>
      </c>
      <c r="Y104" s="1132">
        <f>building!Y103</f>
        <v>8</v>
      </c>
      <c r="Z104" s="1046">
        <f>Y104*C104</f>
        <v>13960.88</v>
      </c>
      <c r="AA104" s="1120"/>
      <c r="AB104" s="1120"/>
    </row>
    <row r="105" spans="1:29">
      <c r="A105" s="1124">
        <v>60</v>
      </c>
      <c r="B105" s="1125" t="s">
        <v>1470</v>
      </c>
      <c r="C105" s="1052">
        <f>ROUND(Data!K2122,2)</f>
        <v>152.6</v>
      </c>
      <c r="D105" s="1127" t="s">
        <v>1341</v>
      </c>
      <c r="E105" s="1128">
        <f>detailed!H1661</f>
        <v>8</v>
      </c>
      <c r="F105" s="1127">
        <f t="shared" si="13"/>
        <v>1220.8</v>
      </c>
      <c r="G105" s="1127"/>
      <c r="H105" s="1127">
        <f>G105*C105</f>
        <v>0</v>
      </c>
      <c r="I105" s="1127"/>
      <c r="J105" s="1127">
        <f>I105*C105</f>
        <v>0</v>
      </c>
      <c r="K105" s="1127"/>
      <c r="L105" s="1127">
        <f>K105*C105</f>
        <v>0</v>
      </c>
      <c r="M105" s="1127"/>
      <c r="N105" s="1127">
        <f>M105*C105</f>
        <v>0</v>
      </c>
      <c r="O105" s="1127"/>
      <c r="P105" s="1127">
        <f>O105*C105</f>
        <v>0</v>
      </c>
      <c r="Q105" s="1127"/>
      <c r="R105" s="1127">
        <f>Q105*C105</f>
        <v>0</v>
      </c>
      <c r="S105" s="1045"/>
      <c r="T105" s="1131">
        <f>S105*C105</f>
        <v>0</v>
      </c>
      <c r="U105" s="1045"/>
      <c r="V105" s="1045">
        <f t="shared" si="12"/>
        <v>0</v>
      </c>
      <c r="W105" s="1132">
        <f t="shared" si="21"/>
        <v>0</v>
      </c>
      <c r="X105" s="1045">
        <f>W105*C105</f>
        <v>0</v>
      </c>
      <c r="Y105" s="1132">
        <f>building!Y104</f>
        <v>8</v>
      </c>
      <c r="Z105" s="1045">
        <f>Y105*C105</f>
        <v>1220.8</v>
      </c>
      <c r="AA105" s="890"/>
      <c r="AB105" s="890"/>
    </row>
    <row r="106" spans="1:29">
      <c r="A106" s="1124"/>
      <c r="B106" s="1159" t="s">
        <v>2059</v>
      </c>
      <c r="C106" s="1052"/>
      <c r="D106" s="1127"/>
      <c r="E106" s="1128"/>
      <c r="F106" s="1127">
        <f t="shared" si="13"/>
        <v>0</v>
      </c>
      <c r="G106" s="1127"/>
      <c r="H106" s="1127">
        <f t="shared" ref="H106:H108" si="24">G106*C106</f>
        <v>0</v>
      </c>
      <c r="I106" s="1127"/>
      <c r="J106" s="1127">
        <f t="shared" ref="J106:J108" si="25">I106*C106</f>
        <v>0</v>
      </c>
      <c r="K106" s="1127"/>
      <c r="L106" s="1127">
        <f t="shared" ref="L106:L108" si="26">K106*C106</f>
        <v>0</v>
      </c>
      <c r="M106" s="1127"/>
      <c r="N106" s="1127">
        <f t="shared" ref="N106:N108" si="27">M106*C106</f>
        <v>0</v>
      </c>
      <c r="O106" s="1127"/>
      <c r="P106" s="1127">
        <f t="shared" ref="P106:P108" si="28">O106*C106</f>
        <v>0</v>
      </c>
      <c r="Q106" s="1127"/>
      <c r="R106" s="1127">
        <f t="shared" ref="R106:R108" si="29">Q106*C106</f>
        <v>0</v>
      </c>
      <c r="S106" s="1045"/>
      <c r="T106" s="1131">
        <f t="shared" ref="T106:T169" si="30">S106*C106</f>
        <v>0</v>
      </c>
      <c r="U106" s="1045"/>
      <c r="V106" s="1045">
        <f t="shared" si="12"/>
        <v>0</v>
      </c>
      <c r="W106" s="1132">
        <f t="shared" si="21"/>
        <v>0</v>
      </c>
      <c r="X106" s="1045">
        <f t="shared" ref="X106:X108" si="31">W106*C106</f>
        <v>0</v>
      </c>
      <c r="Y106" s="1132">
        <f>building!Y105</f>
        <v>0</v>
      </c>
      <c r="Z106" s="1045">
        <f t="shared" ref="Z106:Z108" si="32">Y106*C106</f>
        <v>0</v>
      </c>
      <c r="AA106" s="785"/>
      <c r="AB106" s="890"/>
      <c r="AC106" s="862"/>
    </row>
    <row r="107" spans="1:29" s="718" customFormat="1">
      <c r="A107" s="1160">
        <v>69</v>
      </c>
      <c r="B107" s="1162" t="s">
        <v>1729</v>
      </c>
      <c r="C107" s="995">
        <f>Data!K2271</f>
        <v>138.69999999999999</v>
      </c>
      <c r="D107" s="1147" t="s">
        <v>1341</v>
      </c>
      <c r="E107" s="1148">
        <f>detailed!H1849</f>
        <v>44</v>
      </c>
      <c r="F107" s="1127">
        <f t="shared" si="13"/>
        <v>6102.8</v>
      </c>
      <c r="G107" s="1147"/>
      <c r="H107" s="1127">
        <f t="shared" si="24"/>
        <v>0</v>
      </c>
      <c r="I107" s="1147"/>
      <c r="J107" s="1127">
        <f t="shared" si="25"/>
        <v>0</v>
      </c>
      <c r="K107" s="1147"/>
      <c r="L107" s="1127">
        <f t="shared" si="26"/>
        <v>0</v>
      </c>
      <c r="M107" s="1147"/>
      <c r="N107" s="1127">
        <f t="shared" si="27"/>
        <v>0</v>
      </c>
      <c r="O107" s="1147"/>
      <c r="P107" s="1127">
        <f t="shared" si="28"/>
        <v>0</v>
      </c>
      <c r="Q107" s="1147"/>
      <c r="R107" s="1127">
        <f t="shared" si="29"/>
        <v>0</v>
      </c>
      <c r="S107" s="1028"/>
      <c r="T107" s="1131">
        <f t="shared" si="30"/>
        <v>0</v>
      </c>
      <c r="U107" s="1045"/>
      <c r="V107" s="1045">
        <f t="shared" si="12"/>
        <v>0</v>
      </c>
      <c r="W107" s="1132">
        <f t="shared" si="21"/>
        <v>0</v>
      </c>
      <c r="X107" s="1045">
        <f t="shared" si="31"/>
        <v>0</v>
      </c>
      <c r="Y107" s="1132">
        <f>building!Y106</f>
        <v>44</v>
      </c>
      <c r="Z107" s="1045">
        <f t="shared" si="32"/>
        <v>6102.8</v>
      </c>
      <c r="AA107" s="891"/>
      <c r="AB107" s="891"/>
    </row>
    <row r="108" spans="1:29">
      <c r="A108" s="1124">
        <v>72</v>
      </c>
      <c r="B108" s="1125" t="s">
        <v>869</v>
      </c>
      <c r="C108" s="1052">
        <f>Data!K2277</f>
        <v>33.9</v>
      </c>
      <c r="D108" s="1127" t="s">
        <v>1341</v>
      </c>
      <c r="E108" s="1128">
        <f>detailed!H1957</f>
        <v>88</v>
      </c>
      <c r="F108" s="1127">
        <f t="shared" si="13"/>
        <v>2983.2</v>
      </c>
      <c r="G108" s="1127"/>
      <c r="H108" s="1127">
        <f t="shared" si="24"/>
        <v>0</v>
      </c>
      <c r="I108" s="1127"/>
      <c r="J108" s="1127">
        <f t="shared" si="25"/>
        <v>0</v>
      </c>
      <c r="K108" s="1127"/>
      <c r="L108" s="1127">
        <f t="shared" si="26"/>
        <v>0</v>
      </c>
      <c r="M108" s="1127"/>
      <c r="N108" s="1127">
        <f t="shared" si="27"/>
        <v>0</v>
      </c>
      <c r="O108" s="1127"/>
      <c r="P108" s="1127">
        <f t="shared" si="28"/>
        <v>0</v>
      </c>
      <c r="Q108" s="1127"/>
      <c r="R108" s="1127">
        <f t="shared" si="29"/>
        <v>0</v>
      </c>
      <c r="S108" s="1045"/>
      <c r="T108" s="1131">
        <f t="shared" si="30"/>
        <v>0</v>
      </c>
      <c r="U108" s="1045"/>
      <c r="V108" s="1045">
        <f t="shared" si="12"/>
        <v>0</v>
      </c>
      <c r="W108" s="1132">
        <f t="shared" si="21"/>
        <v>0</v>
      </c>
      <c r="X108" s="1045">
        <f t="shared" si="31"/>
        <v>0</v>
      </c>
      <c r="Y108" s="1132">
        <f>building!Y107</f>
        <v>88</v>
      </c>
      <c r="Z108" s="1045">
        <f t="shared" si="32"/>
        <v>2983.2</v>
      </c>
      <c r="AA108" s="890"/>
      <c r="AB108" s="890"/>
    </row>
    <row r="109" spans="1:29">
      <c r="A109" s="788">
        <v>73.099999999999994</v>
      </c>
      <c r="B109" s="788" t="s">
        <v>870</v>
      </c>
      <c r="C109" s="863">
        <f>Data!K2278</f>
        <v>4116.8500000000004</v>
      </c>
      <c r="D109" s="864" t="s">
        <v>1341</v>
      </c>
      <c r="E109" s="864"/>
      <c r="F109" s="1127">
        <f t="shared" si="13"/>
        <v>0</v>
      </c>
      <c r="G109" s="864"/>
      <c r="H109" s="864"/>
      <c r="I109" s="864"/>
      <c r="J109" s="864"/>
      <c r="K109" s="864"/>
      <c r="L109" s="864"/>
      <c r="M109" s="864"/>
      <c r="N109" s="864"/>
      <c r="O109" s="864"/>
      <c r="P109" s="864"/>
      <c r="Q109" s="864"/>
      <c r="R109" s="864"/>
      <c r="S109" s="783"/>
      <c r="T109" s="865">
        <f t="shared" si="30"/>
        <v>0</v>
      </c>
      <c r="U109" s="783"/>
      <c r="V109" s="783">
        <f t="shared" si="12"/>
        <v>0</v>
      </c>
      <c r="W109" s="1132">
        <f t="shared" si="21"/>
        <v>0</v>
      </c>
      <c r="X109" s="783">
        <f>W109*C109</f>
        <v>0</v>
      </c>
      <c r="Y109" s="1132">
        <f>building!Y108</f>
        <v>0</v>
      </c>
      <c r="Z109" s="783">
        <f>Y109*C109</f>
        <v>0</v>
      </c>
      <c r="AA109" s="890"/>
      <c r="AB109" s="890"/>
    </row>
    <row r="110" spans="1:29" s="486" customFormat="1">
      <c r="A110" s="1124">
        <v>73.2</v>
      </c>
      <c r="B110" s="1125" t="s">
        <v>871</v>
      </c>
      <c r="C110" s="1040">
        <f>Data!K2279</f>
        <v>3342.85</v>
      </c>
      <c r="D110" s="1127" t="s">
        <v>1341</v>
      </c>
      <c r="E110" s="1128"/>
      <c r="F110" s="1127">
        <f t="shared" si="13"/>
        <v>0</v>
      </c>
      <c r="G110" s="1127"/>
      <c r="H110" s="1127">
        <f t="shared" ref="H110:H153" si="33">G110*C110</f>
        <v>0</v>
      </c>
      <c r="I110" s="1127"/>
      <c r="J110" s="1127">
        <f t="shared" ref="J110:J153" si="34">I110*C110</f>
        <v>0</v>
      </c>
      <c r="K110" s="1127"/>
      <c r="L110" s="1127">
        <f t="shared" ref="L110:L153" si="35">K110*C110</f>
        <v>0</v>
      </c>
      <c r="M110" s="1127"/>
      <c r="N110" s="1127">
        <f t="shared" ref="N110:N153" si="36">M110*C110</f>
        <v>0</v>
      </c>
      <c r="O110" s="1127"/>
      <c r="P110" s="1127">
        <f t="shared" ref="P110:P153" si="37">O110*C110</f>
        <v>0</v>
      </c>
      <c r="Q110" s="1127"/>
      <c r="R110" s="1127">
        <f t="shared" ref="R110:R153" si="38">Q110*C110</f>
        <v>0</v>
      </c>
      <c r="S110" s="1045"/>
      <c r="T110" s="1131">
        <f t="shared" si="30"/>
        <v>0</v>
      </c>
      <c r="U110" s="1045"/>
      <c r="V110" s="1045">
        <f t="shared" si="12"/>
        <v>0</v>
      </c>
      <c r="W110" s="1132">
        <f t="shared" si="21"/>
        <v>0</v>
      </c>
      <c r="X110" s="1045">
        <f t="shared" ref="X110:X153" si="39">W110*C110</f>
        <v>0</v>
      </c>
      <c r="Y110" s="1132">
        <f>building!Y109</f>
        <v>0</v>
      </c>
      <c r="Z110" s="1045">
        <f t="shared" ref="Z110:Z173" si="40">Y110*C110</f>
        <v>0</v>
      </c>
      <c r="AA110" s="892"/>
      <c r="AB110" s="890"/>
    </row>
    <row r="111" spans="1:29">
      <c r="A111" s="1124">
        <v>74</v>
      </c>
      <c r="B111" s="1125" t="s">
        <v>872</v>
      </c>
      <c r="C111" s="1052">
        <f>Data!K2280</f>
        <v>521.46</v>
      </c>
      <c r="D111" s="1127" t="s">
        <v>1341</v>
      </c>
      <c r="E111" s="1128">
        <f>detailed!H1960</f>
        <v>88</v>
      </c>
      <c r="F111" s="1127">
        <f t="shared" si="13"/>
        <v>45888.480000000003</v>
      </c>
      <c r="G111" s="1127"/>
      <c r="H111" s="1127">
        <f t="shared" si="33"/>
        <v>0</v>
      </c>
      <c r="I111" s="1127"/>
      <c r="J111" s="1127">
        <f t="shared" si="34"/>
        <v>0</v>
      </c>
      <c r="K111" s="1127"/>
      <c r="L111" s="1127">
        <f t="shared" si="35"/>
        <v>0</v>
      </c>
      <c r="M111" s="1127"/>
      <c r="N111" s="1127">
        <f t="shared" si="36"/>
        <v>0</v>
      </c>
      <c r="O111" s="1127"/>
      <c r="P111" s="1127">
        <f t="shared" si="37"/>
        <v>0</v>
      </c>
      <c r="Q111" s="1127"/>
      <c r="R111" s="1127">
        <f t="shared" si="38"/>
        <v>0</v>
      </c>
      <c r="S111" s="1045"/>
      <c r="T111" s="1131">
        <f t="shared" si="30"/>
        <v>0</v>
      </c>
      <c r="U111" s="1045"/>
      <c r="V111" s="1045">
        <f t="shared" si="12"/>
        <v>0</v>
      </c>
      <c r="W111" s="1132">
        <f t="shared" si="21"/>
        <v>0</v>
      </c>
      <c r="X111" s="1045">
        <f t="shared" si="39"/>
        <v>0</v>
      </c>
      <c r="Y111" s="1132">
        <f>building!Y110</f>
        <v>88</v>
      </c>
      <c r="Z111" s="1045">
        <f t="shared" si="40"/>
        <v>45888.480000000003</v>
      </c>
      <c r="AA111" s="890"/>
      <c r="AB111" s="890"/>
    </row>
    <row r="112" spans="1:29">
      <c r="A112" s="1124">
        <v>76</v>
      </c>
      <c r="B112" s="1125" t="s">
        <v>873</v>
      </c>
      <c r="C112" s="1052">
        <f>Elec.Data!K3294</f>
        <v>23.79</v>
      </c>
      <c r="D112" s="1127" t="s">
        <v>794</v>
      </c>
      <c r="E112" s="1128">
        <f>detailed!H1667</f>
        <v>10</v>
      </c>
      <c r="F112" s="1127">
        <f t="shared" si="13"/>
        <v>237.9</v>
      </c>
      <c r="G112" s="1127"/>
      <c r="H112" s="1127">
        <f t="shared" si="33"/>
        <v>0</v>
      </c>
      <c r="I112" s="1127"/>
      <c r="J112" s="1127">
        <f t="shared" si="34"/>
        <v>0</v>
      </c>
      <c r="K112" s="1127"/>
      <c r="L112" s="1127">
        <f t="shared" si="35"/>
        <v>0</v>
      </c>
      <c r="M112" s="1127"/>
      <c r="N112" s="1127">
        <f t="shared" si="36"/>
        <v>0</v>
      </c>
      <c r="O112" s="1127"/>
      <c r="P112" s="1127">
        <f t="shared" si="37"/>
        <v>0</v>
      </c>
      <c r="Q112" s="1127"/>
      <c r="R112" s="1127">
        <f t="shared" si="38"/>
        <v>0</v>
      </c>
      <c r="S112" s="1045"/>
      <c r="T112" s="1131">
        <f t="shared" si="30"/>
        <v>0</v>
      </c>
      <c r="U112" s="1045"/>
      <c r="V112" s="1045">
        <f t="shared" si="12"/>
        <v>0</v>
      </c>
      <c r="W112" s="1132">
        <f t="shared" si="21"/>
        <v>0</v>
      </c>
      <c r="X112" s="1045">
        <f t="shared" si="39"/>
        <v>0</v>
      </c>
      <c r="Y112" s="1132">
        <f>building!Y111</f>
        <v>10</v>
      </c>
      <c r="Z112" s="1045">
        <f t="shared" si="40"/>
        <v>237.9</v>
      </c>
      <c r="AA112" s="890"/>
      <c r="AB112" s="890"/>
    </row>
    <row r="113" spans="1:32">
      <c r="A113" s="1124">
        <v>77.3</v>
      </c>
      <c r="B113" s="1125" t="s">
        <v>1292</v>
      </c>
      <c r="C113" s="1052">
        <f>Data!K2288</f>
        <v>76.67</v>
      </c>
      <c r="D113" s="1127" t="s">
        <v>1341</v>
      </c>
      <c r="E113" s="1128">
        <f>detailed!H1963</f>
        <v>8</v>
      </c>
      <c r="F113" s="1127">
        <f t="shared" si="13"/>
        <v>613.36</v>
      </c>
      <c r="G113" s="1127"/>
      <c r="H113" s="1127">
        <f t="shared" si="33"/>
        <v>0</v>
      </c>
      <c r="I113" s="1127"/>
      <c r="J113" s="1127">
        <f t="shared" si="34"/>
        <v>0</v>
      </c>
      <c r="K113" s="1127"/>
      <c r="L113" s="1127">
        <f t="shared" si="35"/>
        <v>0</v>
      </c>
      <c r="M113" s="1127"/>
      <c r="N113" s="1127">
        <f t="shared" si="36"/>
        <v>0</v>
      </c>
      <c r="O113" s="1127"/>
      <c r="P113" s="1127">
        <f t="shared" si="37"/>
        <v>0</v>
      </c>
      <c r="Q113" s="1127"/>
      <c r="R113" s="1127">
        <f t="shared" si="38"/>
        <v>0</v>
      </c>
      <c r="S113" s="1045"/>
      <c r="T113" s="1131">
        <f t="shared" si="30"/>
        <v>0</v>
      </c>
      <c r="U113" s="1045"/>
      <c r="V113" s="1045">
        <f t="shared" si="12"/>
        <v>0</v>
      </c>
      <c r="W113" s="1132">
        <f t="shared" si="21"/>
        <v>0</v>
      </c>
      <c r="X113" s="1045">
        <f t="shared" si="39"/>
        <v>0</v>
      </c>
      <c r="Y113" s="1132">
        <f>building!Y112</f>
        <v>8</v>
      </c>
      <c r="Z113" s="1045">
        <f t="shared" si="40"/>
        <v>613.36</v>
      </c>
      <c r="AA113" s="890"/>
      <c r="AB113" s="890"/>
    </row>
    <row r="114" spans="1:32" ht="49.9" customHeight="1">
      <c r="A114" s="1124">
        <v>77.400000000000006</v>
      </c>
      <c r="B114" s="1125" t="s">
        <v>1019</v>
      </c>
      <c r="C114" s="1052">
        <f>Data!K2307</f>
        <v>76.180000000000007</v>
      </c>
      <c r="D114" s="1127" t="s">
        <v>794</v>
      </c>
      <c r="E114" s="1128">
        <f>detailed!H1965</f>
        <v>100</v>
      </c>
      <c r="F114" s="1127">
        <f t="shared" si="13"/>
        <v>7618</v>
      </c>
      <c r="G114" s="1127"/>
      <c r="H114" s="1127">
        <f t="shared" si="33"/>
        <v>0</v>
      </c>
      <c r="I114" s="1127"/>
      <c r="J114" s="1127">
        <f t="shared" si="34"/>
        <v>0</v>
      </c>
      <c r="K114" s="1127"/>
      <c r="L114" s="1127">
        <f t="shared" si="35"/>
        <v>0</v>
      </c>
      <c r="M114" s="1127"/>
      <c r="N114" s="1127">
        <f t="shared" si="36"/>
        <v>0</v>
      </c>
      <c r="O114" s="1127"/>
      <c r="P114" s="1127">
        <f t="shared" si="37"/>
        <v>0</v>
      </c>
      <c r="Q114" s="1127"/>
      <c r="R114" s="1127">
        <f t="shared" si="38"/>
        <v>0</v>
      </c>
      <c r="S114" s="1045"/>
      <c r="T114" s="1131">
        <f t="shared" si="30"/>
        <v>0</v>
      </c>
      <c r="U114" s="1045"/>
      <c r="V114" s="1045">
        <f t="shared" si="12"/>
        <v>0</v>
      </c>
      <c r="W114" s="1132">
        <f t="shared" si="21"/>
        <v>0</v>
      </c>
      <c r="X114" s="1045">
        <f t="shared" si="39"/>
        <v>0</v>
      </c>
      <c r="Y114" s="1132">
        <f>building!Y113</f>
        <v>100</v>
      </c>
      <c r="Z114" s="1045">
        <f t="shared" si="40"/>
        <v>7618</v>
      </c>
      <c r="AA114" s="890"/>
      <c r="AB114" s="890"/>
    </row>
    <row r="115" spans="1:32">
      <c r="A115" s="1124">
        <v>78</v>
      </c>
      <c r="B115" s="1125" t="s">
        <v>2085</v>
      </c>
      <c r="C115" s="1052">
        <f>Data!K2289</f>
        <v>2723</v>
      </c>
      <c r="D115" s="1127" t="s">
        <v>1341</v>
      </c>
      <c r="E115" s="1128">
        <f>detailed!H1967</f>
        <v>1</v>
      </c>
      <c r="F115" s="1127">
        <f t="shared" si="13"/>
        <v>2723</v>
      </c>
      <c r="G115" s="1127"/>
      <c r="H115" s="1127">
        <f t="shared" si="33"/>
        <v>0</v>
      </c>
      <c r="I115" s="1127"/>
      <c r="J115" s="1127">
        <f t="shared" si="34"/>
        <v>0</v>
      </c>
      <c r="K115" s="1127"/>
      <c r="L115" s="1127">
        <f t="shared" si="35"/>
        <v>0</v>
      </c>
      <c r="M115" s="1127"/>
      <c r="N115" s="1127">
        <f t="shared" si="36"/>
        <v>0</v>
      </c>
      <c r="O115" s="1127"/>
      <c r="P115" s="1127">
        <f t="shared" si="37"/>
        <v>0</v>
      </c>
      <c r="Q115" s="1127"/>
      <c r="R115" s="1127">
        <f t="shared" si="38"/>
        <v>0</v>
      </c>
      <c r="S115" s="1045"/>
      <c r="T115" s="1131">
        <f t="shared" si="30"/>
        <v>0</v>
      </c>
      <c r="U115" s="1045"/>
      <c r="V115" s="1045">
        <f t="shared" si="12"/>
        <v>0</v>
      </c>
      <c r="W115" s="1132">
        <f t="shared" si="21"/>
        <v>0</v>
      </c>
      <c r="X115" s="1045">
        <f t="shared" si="39"/>
        <v>0</v>
      </c>
      <c r="Y115" s="1132">
        <f>building!Y114</f>
        <v>1</v>
      </c>
      <c r="Z115" s="1045">
        <f t="shared" si="40"/>
        <v>2723</v>
      </c>
      <c r="AA115" s="890"/>
      <c r="AB115" s="890"/>
    </row>
    <row r="116" spans="1:32" s="718" customFormat="1">
      <c r="A116" s="1160">
        <v>81</v>
      </c>
      <c r="B116" s="1162" t="s">
        <v>273</v>
      </c>
      <c r="C116" s="995">
        <f>ROUND(Data!K2291,2)</f>
        <v>2363.98</v>
      </c>
      <c r="D116" s="1147" t="s">
        <v>2199</v>
      </c>
      <c r="E116" s="1148"/>
      <c r="F116" s="1127">
        <f t="shared" si="13"/>
        <v>0</v>
      </c>
      <c r="G116" s="1147"/>
      <c r="H116" s="1127">
        <f t="shared" si="33"/>
        <v>0</v>
      </c>
      <c r="I116" s="1147"/>
      <c r="J116" s="1127">
        <f t="shared" si="34"/>
        <v>0</v>
      </c>
      <c r="K116" s="1147"/>
      <c r="L116" s="1127">
        <f t="shared" si="35"/>
        <v>0</v>
      </c>
      <c r="M116" s="1147"/>
      <c r="N116" s="1127">
        <f t="shared" si="36"/>
        <v>0</v>
      </c>
      <c r="O116" s="1147"/>
      <c r="P116" s="1127">
        <f t="shared" si="37"/>
        <v>0</v>
      </c>
      <c r="Q116" s="1147"/>
      <c r="R116" s="1127">
        <f t="shared" si="38"/>
        <v>0</v>
      </c>
      <c r="S116" s="1028"/>
      <c r="T116" s="1131">
        <f t="shared" si="30"/>
        <v>0</v>
      </c>
      <c r="U116" s="1045"/>
      <c r="V116" s="1045">
        <f t="shared" si="12"/>
        <v>0</v>
      </c>
      <c r="W116" s="1132">
        <f t="shared" si="21"/>
        <v>0</v>
      </c>
      <c r="X116" s="1045">
        <f t="shared" si="39"/>
        <v>0</v>
      </c>
      <c r="Y116" s="1132">
        <f>building!Y115</f>
        <v>0</v>
      </c>
      <c r="Z116" s="1045">
        <f t="shared" si="40"/>
        <v>0</v>
      </c>
      <c r="AA116" s="891"/>
      <c r="AB116" s="891"/>
    </row>
    <row r="117" spans="1:32" s="1032" customFormat="1">
      <c r="A117" s="1179">
        <v>86</v>
      </c>
      <c r="B117" s="1180" t="s">
        <v>228</v>
      </c>
      <c r="C117" s="1033">
        <v>34</v>
      </c>
      <c r="D117" s="1181" t="s">
        <v>1776</v>
      </c>
      <c r="E117" s="1182">
        <f>detailed!G1983</f>
        <v>433.9</v>
      </c>
      <c r="F117" s="1127">
        <f t="shared" si="13"/>
        <v>14752.6</v>
      </c>
      <c r="G117" s="1181"/>
      <c r="H117" s="1127">
        <f t="shared" si="33"/>
        <v>0</v>
      </c>
      <c r="I117" s="1181"/>
      <c r="J117" s="1127">
        <f t="shared" si="34"/>
        <v>0</v>
      </c>
      <c r="K117" s="1181"/>
      <c r="L117" s="1127">
        <f t="shared" si="35"/>
        <v>0</v>
      </c>
      <c r="M117" s="1181"/>
      <c r="N117" s="1127">
        <f t="shared" si="36"/>
        <v>0</v>
      </c>
      <c r="O117" s="1181"/>
      <c r="P117" s="1127">
        <f t="shared" si="37"/>
        <v>0</v>
      </c>
      <c r="Q117" s="1181"/>
      <c r="R117" s="1127">
        <f t="shared" si="38"/>
        <v>0</v>
      </c>
      <c r="S117" s="1046"/>
      <c r="T117" s="1131">
        <f t="shared" si="30"/>
        <v>0</v>
      </c>
      <c r="U117" s="1046"/>
      <c r="V117" s="1046">
        <f t="shared" si="12"/>
        <v>0</v>
      </c>
      <c r="W117" s="1132">
        <f t="shared" si="21"/>
        <v>0</v>
      </c>
      <c r="X117" s="1045">
        <f t="shared" si="39"/>
        <v>0</v>
      </c>
      <c r="Y117" s="1132">
        <f>building!Y116</f>
        <v>433.9</v>
      </c>
      <c r="Z117" s="1045">
        <f t="shared" si="40"/>
        <v>14752.6</v>
      </c>
      <c r="AA117" s="1120"/>
      <c r="AB117" s="1120"/>
    </row>
    <row r="118" spans="1:32" s="486" customFormat="1">
      <c r="A118" s="791">
        <v>87</v>
      </c>
      <c r="B118" s="788" t="s">
        <v>1818</v>
      </c>
      <c r="C118" s="715">
        <f>ROUND(Data!K2293,2)</f>
        <v>2850.6</v>
      </c>
      <c r="D118" s="714" t="s">
        <v>1341</v>
      </c>
      <c r="E118" s="714"/>
      <c r="F118" s="1127">
        <f t="shared" si="13"/>
        <v>0</v>
      </c>
      <c r="G118" s="714"/>
      <c r="H118" s="1127">
        <f t="shared" si="33"/>
        <v>0</v>
      </c>
      <c r="I118" s="714"/>
      <c r="J118" s="1127">
        <f t="shared" si="34"/>
        <v>0</v>
      </c>
      <c r="K118" s="714"/>
      <c r="L118" s="1127">
        <f t="shared" si="35"/>
        <v>0</v>
      </c>
      <c r="M118" s="714"/>
      <c r="N118" s="1127">
        <f t="shared" si="36"/>
        <v>0</v>
      </c>
      <c r="O118" s="714"/>
      <c r="P118" s="1127">
        <f t="shared" si="37"/>
        <v>0</v>
      </c>
      <c r="Q118" s="714"/>
      <c r="R118" s="1127">
        <f t="shared" si="38"/>
        <v>0</v>
      </c>
      <c r="S118" s="784"/>
      <c r="T118" s="1131">
        <f t="shared" si="30"/>
        <v>0</v>
      </c>
      <c r="U118" s="783"/>
      <c r="V118" s="783">
        <f t="shared" si="12"/>
        <v>0</v>
      </c>
      <c r="W118" s="1132">
        <f t="shared" si="21"/>
        <v>0</v>
      </c>
      <c r="X118" s="1045">
        <f t="shared" si="39"/>
        <v>0</v>
      </c>
      <c r="Y118" s="1132">
        <f>building!Y117</f>
        <v>0</v>
      </c>
      <c r="Z118" s="1045">
        <f t="shared" si="40"/>
        <v>0</v>
      </c>
      <c r="AA118" s="892"/>
      <c r="AB118" s="891"/>
    </row>
    <row r="119" spans="1:32" s="486" customFormat="1">
      <c r="A119" s="1124">
        <v>112</v>
      </c>
      <c r="B119" s="1125" t="s">
        <v>3704</v>
      </c>
      <c r="C119" s="1024">
        <f>ROUND(Data!K2283,2)</f>
        <v>2110.5</v>
      </c>
      <c r="D119" s="1138" t="s">
        <v>1341</v>
      </c>
      <c r="E119" s="1139"/>
      <c r="F119" s="1127">
        <f t="shared" si="13"/>
        <v>0</v>
      </c>
      <c r="G119" s="1138"/>
      <c r="H119" s="1127">
        <f t="shared" si="33"/>
        <v>0</v>
      </c>
      <c r="I119" s="1138"/>
      <c r="J119" s="1127">
        <f t="shared" si="34"/>
        <v>0</v>
      </c>
      <c r="K119" s="1138"/>
      <c r="L119" s="1127">
        <f t="shared" si="35"/>
        <v>0</v>
      </c>
      <c r="M119" s="1138"/>
      <c r="N119" s="1127">
        <f t="shared" si="36"/>
        <v>0</v>
      </c>
      <c r="O119" s="1138"/>
      <c r="P119" s="1127">
        <f t="shared" si="37"/>
        <v>0</v>
      </c>
      <c r="Q119" s="1138"/>
      <c r="R119" s="1127">
        <f t="shared" si="38"/>
        <v>0</v>
      </c>
      <c r="S119" s="1045"/>
      <c r="T119" s="1131">
        <f t="shared" si="30"/>
        <v>0</v>
      </c>
      <c r="U119" s="1045"/>
      <c r="V119" s="1045">
        <f t="shared" si="12"/>
        <v>0</v>
      </c>
      <c r="W119" s="1132">
        <f t="shared" si="21"/>
        <v>0</v>
      </c>
      <c r="X119" s="1045">
        <f t="shared" si="39"/>
        <v>0</v>
      </c>
      <c r="Y119" s="1132">
        <f>building!Y118</f>
        <v>0</v>
      </c>
      <c r="Z119" s="1045">
        <f t="shared" si="40"/>
        <v>0</v>
      </c>
      <c r="AA119" s="892"/>
      <c r="AB119" s="890"/>
    </row>
    <row r="120" spans="1:32">
      <c r="A120" s="1184"/>
      <c r="B120" s="1185" t="s">
        <v>2837</v>
      </c>
      <c r="C120" s="1052"/>
      <c r="D120" s="1127"/>
      <c r="E120" s="1128"/>
      <c r="F120" s="1127">
        <f t="shared" si="13"/>
        <v>0</v>
      </c>
      <c r="G120" s="1127"/>
      <c r="H120" s="1127">
        <f t="shared" si="33"/>
        <v>0</v>
      </c>
      <c r="I120" s="1127"/>
      <c r="J120" s="1127">
        <f t="shared" si="34"/>
        <v>0</v>
      </c>
      <c r="K120" s="1127"/>
      <c r="L120" s="1127">
        <f t="shared" si="35"/>
        <v>0</v>
      </c>
      <c r="M120" s="1127"/>
      <c r="N120" s="1127">
        <f t="shared" si="36"/>
        <v>0</v>
      </c>
      <c r="O120" s="1127"/>
      <c r="P120" s="1127">
        <f t="shared" si="37"/>
        <v>0</v>
      </c>
      <c r="Q120" s="1127"/>
      <c r="R120" s="1127">
        <f t="shared" si="38"/>
        <v>0</v>
      </c>
      <c r="S120" s="1049"/>
      <c r="T120" s="1131">
        <f t="shared" si="30"/>
        <v>0</v>
      </c>
      <c r="U120" s="1045"/>
      <c r="V120" s="1045">
        <f t="shared" si="12"/>
        <v>0</v>
      </c>
      <c r="W120" s="1132">
        <f t="shared" si="21"/>
        <v>0</v>
      </c>
      <c r="X120" s="1045">
        <f t="shared" si="39"/>
        <v>0</v>
      </c>
      <c r="Y120" s="1132">
        <f>building!Y119</f>
        <v>0</v>
      </c>
      <c r="Z120" s="1045">
        <f t="shared" si="40"/>
        <v>0</v>
      </c>
      <c r="AA120" s="785"/>
      <c r="AB120" s="890"/>
      <c r="AC120" s="862"/>
    </row>
    <row r="121" spans="1:32" s="719" customFormat="1" ht="45">
      <c r="A121" s="1186" t="s">
        <v>961</v>
      </c>
      <c r="B121" s="1161" t="s">
        <v>3884</v>
      </c>
      <c r="C121" s="995"/>
      <c r="D121" s="1147"/>
      <c r="E121" s="1148"/>
      <c r="F121" s="1127">
        <f t="shared" si="13"/>
        <v>0</v>
      </c>
      <c r="G121" s="1147"/>
      <c r="H121" s="1127">
        <f t="shared" si="33"/>
        <v>0</v>
      </c>
      <c r="I121" s="1147"/>
      <c r="J121" s="1127">
        <f t="shared" si="34"/>
        <v>0</v>
      </c>
      <c r="K121" s="1147"/>
      <c r="L121" s="1127">
        <f t="shared" si="35"/>
        <v>0</v>
      </c>
      <c r="M121" s="1147"/>
      <c r="N121" s="1127">
        <f t="shared" si="36"/>
        <v>0</v>
      </c>
      <c r="O121" s="1147"/>
      <c r="P121" s="1127">
        <f t="shared" si="37"/>
        <v>0</v>
      </c>
      <c r="Q121" s="1147"/>
      <c r="R121" s="1127">
        <f t="shared" si="38"/>
        <v>0</v>
      </c>
      <c r="S121" s="1028"/>
      <c r="T121" s="1131">
        <f t="shared" si="30"/>
        <v>0</v>
      </c>
      <c r="U121" s="1045"/>
      <c r="V121" s="1045">
        <f t="shared" si="12"/>
        <v>0</v>
      </c>
      <c r="W121" s="1132">
        <f t="shared" si="21"/>
        <v>0</v>
      </c>
      <c r="X121" s="1045">
        <f t="shared" si="39"/>
        <v>0</v>
      </c>
      <c r="Y121" s="1132">
        <f>building!Y120</f>
        <v>0</v>
      </c>
      <c r="Z121" s="1045">
        <f t="shared" si="40"/>
        <v>0</v>
      </c>
      <c r="AA121" s="786"/>
      <c r="AB121" s="891"/>
      <c r="AC121" s="717"/>
      <c r="AD121" s="720"/>
      <c r="AE121" s="720"/>
      <c r="AF121" s="720"/>
    </row>
    <row r="122" spans="1:32" s="719" customFormat="1">
      <c r="A122" s="1162"/>
      <c r="B122" s="1162" t="s">
        <v>1205</v>
      </c>
      <c r="C122" s="995">
        <f>Data!X540</f>
        <v>1281.3499999999999</v>
      </c>
      <c r="D122" s="1147" t="s">
        <v>1776</v>
      </c>
      <c r="E122" s="1148">
        <f>detailed!G619</f>
        <v>2.8</v>
      </c>
      <c r="F122" s="1127">
        <f t="shared" si="13"/>
        <v>3587.78</v>
      </c>
      <c r="G122" s="1147"/>
      <c r="H122" s="1127">
        <f t="shared" si="33"/>
        <v>0</v>
      </c>
      <c r="I122" s="1147"/>
      <c r="J122" s="1127">
        <f t="shared" si="34"/>
        <v>0</v>
      </c>
      <c r="K122" s="1147"/>
      <c r="L122" s="1127">
        <f t="shared" si="35"/>
        <v>0</v>
      </c>
      <c r="M122" s="1147"/>
      <c r="N122" s="1127">
        <f t="shared" si="36"/>
        <v>0</v>
      </c>
      <c r="O122" s="1147"/>
      <c r="P122" s="1127">
        <f t="shared" si="37"/>
        <v>0</v>
      </c>
      <c r="Q122" s="1147"/>
      <c r="R122" s="1127">
        <f t="shared" si="38"/>
        <v>0</v>
      </c>
      <c r="S122" s="1028"/>
      <c r="T122" s="1131">
        <f t="shared" si="30"/>
        <v>0</v>
      </c>
      <c r="U122" s="1045"/>
      <c r="V122" s="1045">
        <f t="shared" si="12"/>
        <v>0</v>
      </c>
      <c r="W122" s="1132">
        <f t="shared" si="21"/>
        <v>0</v>
      </c>
      <c r="X122" s="1045">
        <f t="shared" si="39"/>
        <v>0</v>
      </c>
      <c r="Y122" s="1132">
        <f>building!Y121</f>
        <v>2.8</v>
      </c>
      <c r="Z122" s="1045">
        <f t="shared" si="40"/>
        <v>3587.78</v>
      </c>
      <c r="AA122" s="891"/>
      <c r="AB122" s="891"/>
      <c r="AC122" s="720"/>
      <c r="AD122" s="720"/>
      <c r="AE122" s="720"/>
      <c r="AF122" s="720"/>
    </row>
    <row r="123" spans="1:32" s="719" customFormat="1">
      <c r="A123" s="1162"/>
      <c r="B123" s="1162" t="s">
        <v>1331</v>
      </c>
      <c r="C123" s="995">
        <f>Data!X541</f>
        <v>1285.46</v>
      </c>
      <c r="D123" s="1147" t="s">
        <v>1776</v>
      </c>
      <c r="E123" s="1148">
        <f>detailed!G626</f>
        <v>38.700000000000003</v>
      </c>
      <c r="F123" s="1127">
        <f t="shared" si="13"/>
        <v>49747.3</v>
      </c>
      <c r="G123" s="1147"/>
      <c r="H123" s="1127">
        <f t="shared" si="33"/>
        <v>0</v>
      </c>
      <c r="I123" s="1147"/>
      <c r="J123" s="1127">
        <f t="shared" si="34"/>
        <v>0</v>
      </c>
      <c r="K123" s="1147"/>
      <c r="L123" s="1127">
        <f t="shared" si="35"/>
        <v>0</v>
      </c>
      <c r="M123" s="1147"/>
      <c r="N123" s="1127">
        <f t="shared" si="36"/>
        <v>0</v>
      </c>
      <c r="O123" s="1147"/>
      <c r="P123" s="1127">
        <f t="shared" si="37"/>
        <v>0</v>
      </c>
      <c r="Q123" s="1147"/>
      <c r="R123" s="1127">
        <f t="shared" si="38"/>
        <v>0</v>
      </c>
      <c r="S123" s="1028"/>
      <c r="T123" s="1131">
        <f t="shared" si="30"/>
        <v>0</v>
      </c>
      <c r="U123" s="1045"/>
      <c r="V123" s="1045">
        <f t="shared" si="12"/>
        <v>0</v>
      </c>
      <c r="W123" s="1132">
        <f t="shared" si="21"/>
        <v>0</v>
      </c>
      <c r="X123" s="1045">
        <f t="shared" si="39"/>
        <v>0</v>
      </c>
      <c r="Y123" s="1132">
        <f>building!Y122</f>
        <v>38.700000000000003</v>
      </c>
      <c r="Z123" s="1045">
        <f t="shared" si="40"/>
        <v>49747.3</v>
      </c>
      <c r="AA123" s="891"/>
      <c r="AB123" s="891"/>
      <c r="AC123" s="720"/>
      <c r="AD123" s="720"/>
      <c r="AE123" s="720"/>
      <c r="AF123" s="720"/>
    </row>
    <row r="124" spans="1:32" s="719" customFormat="1">
      <c r="A124" s="1164"/>
      <c r="B124" s="1164" t="s">
        <v>1378</v>
      </c>
      <c r="C124" s="1043">
        <f>Data!X542</f>
        <v>1289.57</v>
      </c>
      <c r="D124" s="1165" t="s">
        <v>1776</v>
      </c>
      <c r="E124" s="1166">
        <f>detailed!G632</f>
        <v>47</v>
      </c>
      <c r="F124" s="1127">
        <f t="shared" si="13"/>
        <v>60609.79</v>
      </c>
      <c r="G124" s="1165"/>
      <c r="H124" s="1127">
        <f t="shared" si="33"/>
        <v>0</v>
      </c>
      <c r="I124" s="1165"/>
      <c r="J124" s="1127">
        <f t="shared" si="34"/>
        <v>0</v>
      </c>
      <c r="K124" s="1165"/>
      <c r="L124" s="1127">
        <f t="shared" si="35"/>
        <v>0</v>
      </c>
      <c r="M124" s="1165"/>
      <c r="N124" s="1127">
        <f t="shared" si="36"/>
        <v>0</v>
      </c>
      <c r="O124" s="1165"/>
      <c r="P124" s="1127">
        <f t="shared" si="37"/>
        <v>0</v>
      </c>
      <c r="Q124" s="1165"/>
      <c r="R124" s="1127">
        <f t="shared" si="38"/>
        <v>0</v>
      </c>
      <c r="S124" s="1028"/>
      <c r="T124" s="1131">
        <f t="shared" si="30"/>
        <v>0</v>
      </c>
      <c r="U124" s="1045"/>
      <c r="V124" s="1045">
        <f t="shared" si="12"/>
        <v>0</v>
      </c>
      <c r="W124" s="1132">
        <f t="shared" si="21"/>
        <v>0</v>
      </c>
      <c r="X124" s="1045">
        <f t="shared" si="39"/>
        <v>0</v>
      </c>
      <c r="Y124" s="1132">
        <f>building!Y123</f>
        <v>47</v>
      </c>
      <c r="Z124" s="1045">
        <f t="shared" si="40"/>
        <v>60609.79</v>
      </c>
      <c r="AA124" s="891"/>
      <c r="AB124" s="891"/>
      <c r="AC124" s="720"/>
      <c r="AD124" s="720"/>
      <c r="AE124" s="720"/>
      <c r="AF124" s="720"/>
    </row>
    <row r="125" spans="1:32" s="719" customFormat="1">
      <c r="A125" s="1164"/>
      <c r="B125" s="1164" t="s">
        <v>1274</v>
      </c>
      <c r="C125" s="995">
        <f>Data!X543</f>
        <v>1293.68</v>
      </c>
      <c r="D125" s="1165" t="s">
        <v>1776</v>
      </c>
      <c r="E125" s="1166"/>
      <c r="F125" s="1127">
        <f t="shared" si="13"/>
        <v>0</v>
      </c>
      <c r="G125" s="1165"/>
      <c r="H125" s="1127">
        <f t="shared" si="33"/>
        <v>0</v>
      </c>
      <c r="I125" s="1165"/>
      <c r="J125" s="1127">
        <f t="shared" si="34"/>
        <v>0</v>
      </c>
      <c r="K125" s="1165"/>
      <c r="L125" s="1127">
        <f t="shared" si="35"/>
        <v>0</v>
      </c>
      <c r="M125" s="1165"/>
      <c r="N125" s="1127">
        <f t="shared" si="36"/>
        <v>0</v>
      </c>
      <c r="O125" s="1165"/>
      <c r="P125" s="1127">
        <f t="shared" si="37"/>
        <v>0</v>
      </c>
      <c r="Q125" s="1165"/>
      <c r="R125" s="1127">
        <f t="shared" si="38"/>
        <v>0</v>
      </c>
      <c r="S125" s="1028"/>
      <c r="T125" s="1131">
        <f t="shared" si="30"/>
        <v>0</v>
      </c>
      <c r="U125" s="1045"/>
      <c r="V125" s="1045">
        <f t="shared" si="12"/>
        <v>0</v>
      </c>
      <c r="W125" s="1132">
        <f t="shared" si="21"/>
        <v>0</v>
      </c>
      <c r="X125" s="1045">
        <f t="shared" si="39"/>
        <v>0</v>
      </c>
      <c r="Y125" s="1132">
        <f>building!Y124</f>
        <v>0</v>
      </c>
      <c r="Z125" s="1045">
        <f t="shared" si="40"/>
        <v>0</v>
      </c>
      <c r="AA125" s="891"/>
      <c r="AB125" s="891"/>
      <c r="AC125" s="720"/>
      <c r="AD125" s="720"/>
      <c r="AE125" s="720"/>
      <c r="AF125" s="720"/>
    </row>
    <row r="126" spans="1:32" s="486" customFormat="1">
      <c r="A126" s="1187"/>
      <c r="B126" s="1140" t="s">
        <v>1040</v>
      </c>
      <c r="C126" s="1052">
        <f>Data!X544</f>
        <v>1297.79</v>
      </c>
      <c r="D126" s="1188" t="s">
        <v>1776</v>
      </c>
      <c r="E126" s="1189"/>
      <c r="F126" s="1127">
        <f t="shared" si="13"/>
        <v>0</v>
      </c>
      <c r="G126" s="1188"/>
      <c r="H126" s="1127">
        <f t="shared" si="33"/>
        <v>0</v>
      </c>
      <c r="I126" s="1188"/>
      <c r="J126" s="1127">
        <f t="shared" si="34"/>
        <v>0</v>
      </c>
      <c r="K126" s="1188"/>
      <c r="L126" s="1127">
        <f t="shared" si="35"/>
        <v>0</v>
      </c>
      <c r="M126" s="1188"/>
      <c r="N126" s="1127">
        <f t="shared" si="36"/>
        <v>0</v>
      </c>
      <c r="O126" s="1188"/>
      <c r="P126" s="1127">
        <f t="shared" si="37"/>
        <v>0</v>
      </c>
      <c r="Q126" s="1188"/>
      <c r="R126" s="1127">
        <f t="shared" si="38"/>
        <v>0</v>
      </c>
      <c r="S126" s="1028"/>
      <c r="T126" s="1131">
        <f t="shared" si="30"/>
        <v>0</v>
      </c>
      <c r="U126" s="1045"/>
      <c r="V126" s="1045">
        <f t="shared" si="12"/>
        <v>0</v>
      </c>
      <c r="W126" s="1132">
        <f t="shared" si="21"/>
        <v>0</v>
      </c>
      <c r="X126" s="1045">
        <f t="shared" si="39"/>
        <v>0</v>
      </c>
      <c r="Y126" s="1132">
        <f>building!Y125</f>
        <v>0</v>
      </c>
      <c r="Z126" s="1045">
        <f t="shared" si="40"/>
        <v>0</v>
      </c>
      <c r="AA126" s="892"/>
      <c r="AB126" s="891"/>
      <c r="AC126" s="485"/>
      <c r="AD126" s="485"/>
      <c r="AE126" s="485"/>
      <c r="AF126" s="485"/>
    </row>
    <row r="127" spans="1:32" s="719" customFormat="1" ht="48">
      <c r="A127" s="1186" t="s">
        <v>1088</v>
      </c>
      <c r="B127" s="1190" t="s">
        <v>3885</v>
      </c>
      <c r="C127" s="995"/>
      <c r="D127" s="1147"/>
      <c r="E127" s="1148"/>
      <c r="F127" s="1127">
        <f t="shared" si="13"/>
        <v>0</v>
      </c>
      <c r="G127" s="1147"/>
      <c r="H127" s="1127">
        <f t="shared" si="33"/>
        <v>0</v>
      </c>
      <c r="I127" s="1147"/>
      <c r="J127" s="1127">
        <f t="shared" si="34"/>
        <v>0</v>
      </c>
      <c r="K127" s="1147"/>
      <c r="L127" s="1127">
        <f t="shared" si="35"/>
        <v>0</v>
      </c>
      <c r="M127" s="1147"/>
      <c r="N127" s="1127">
        <f t="shared" si="36"/>
        <v>0</v>
      </c>
      <c r="O127" s="1147"/>
      <c r="P127" s="1127">
        <f t="shared" si="37"/>
        <v>0</v>
      </c>
      <c r="Q127" s="1147"/>
      <c r="R127" s="1127">
        <f t="shared" si="38"/>
        <v>0</v>
      </c>
      <c r="S127" s="1028"/>
      <c r="T127" s="1131">
        <f t="shared" si="30"/>
        <v>0</v>
      </c>
      <c r="U127" s="1045"/>
      <c r="V127" s="1045">
        <f t="shared" si="12"/>
        <v>0</v>
      </c>
      <c r="W127" s="1132">
        <f t="shared" si="21"/>
        <v>0</v>
      </c>
      <c r="X127" s="1045">
        <f t="shared" si="39"/>
        <v>0</v>
      </c>
      <c r="Y127" s="1132">
        <f>building!Y126</f>
        <v>0</v>
      </c>
      <c r="Z127" s="1045">
        <f t="shared" si="40"/>
        <v>0</v>
      </c>
      <c r="AA127" s="891"/>
      <c r="AB127" s="891"/>
      <c r="AC127" s="720"/>
      <c r="AD127" s="720"/>
      <c r="AE127" s="720"/>
      <c r="AF127" s="720"/>
    </row>
    <row r="128" spans="1:32" s="719" customFormat="1">
      <c r="A128" s="1162"/>
      <c r="B128" s="1162" t="s">
        <v>588</v>
      </c>
      <c r="C128" s="995">
        <f>Data!X562</f>
        <v>1411.82</v>
      </c>
      <c r="D128" s="1147" t="s">
        <v>1776</v>
      </c>
      <c r="E128" s="1148">
        <f>detailed!G637</f>
        <v>15.8</v>
      </c>
      <c r="F128" s="1127">
        <f t="shared" si="13"/>
        <v>22306.76</v>
      </c>
      <c r="G128" s="1147">
        <f>ST!G33</f>
        <v>2.2999999999999998</v>
      </c>
      <c r="H128" s="1127">
        <f t="shared" si="33"/>
        <v>3247.19</v>
      </c>
      <c r="I128" s="1147"/>
      <c r="J128" s="1127">
        <f t="shared" si="34"/>
        <v>0</v>
      </c>
      <c r="K128" s="1147"/>
      <c r="L128" s="1127">
        <f t="shared" si="35"/>
        <v>0</v>
      </c>
      <c r="M128" s="1147"/>
      <c r="N128" s="1127">
        <f t="shared" si="36"/>
        <v>0</v>
      </c>
      <c r="O128" s="1147"/>
      <c r="P128" s="1127">
        <f t="shared" si="37"/>
        <v>0</v>
      </c>
      <c r="Q128" s="1147"/>
      <c r="R128" s="1127">
        <f t="shared" si="38"/>
        <v>0</v>
      </c>
      <c r="S128" s="1028"/>
      <c r="T128" s="1131">
        <f t="shared" si="30"/>
        <v>0</v>
      </c>
      <c r="U128" s="1045"/>
      <c r="V128" s="1045">
        <f t="shared" si="12"/>
        <v>0</v>
      </c>
      <c r="W128" s="1132">
        <f t="shared" si="21"/>
        <v>2.2999999999999998</v>
      </c>
      <c r="X128" s="1045">
        <f t="shared" si="39"/>
        <v>3247.19</v>
      </c>
      <c r="Y128" s="1132">
        <f>building!Y127</f>
        <v>18.100000000000001</v>
      </c>
      <c r="Z128" s="1045">
        <f t="shared" si="40"/>
        <v>25553.94</v>
      </c>
      <c r="AA128" s="891"/>
      <c r="AB128" s="891"/>
      <c r="AC128" s="720"/>
      <c r="AD128" s="720"/>
      <c r="AE128" s="720"/>
      <c r="AF128" s="720"/>
    </row>
    <row r="129" spans="1:32" s="719" customFormat="1">
      <c r="A129" s="1162"/>
      <c r="B129" s="1162" t="s">
        <v>589</v>
      </c>
      <c r="C129" s="995">
        <f>Data!X564</f>
        <v>1415.99</v>
      </c>
      <c r="D129" s="1147" t="s">
        <v>1776</v>
      </c>
      <c r="E129" s="1148">
        <f>detailed!G640</f>
        <v>0.7</v>
      </c>
      <c r="F129" s="1127">
        <f t="shared" si="13"/>
        <v>991.19</v>
      </c>
      <c r="G129" s="1147"/>
      <c r="H129" s="1127">
        <f t="shared" si="33"/>
        <v>0</v>
      </c>
      <c r="I129" s="1147"/>
      <c r="J129" s="1127">
        <f t="shared" si="34"/>
        <v>0</v>
      </c>
      <c r="K129" s="1147"/>
      <c r="L129" s="1127">
        <f t="shared" si="35"/>
        <v>0</v>
      </c>
      <c r="M129" s="1147"/>
      <c r="N129" s="1127">
        <f t="shared" si="36"/>
        <v>0</v>
      </c>
      <c r="O129" s="1147"/>
      <c r="P129" s="1127">
        <f t="shared" si="37"/>
        <v>0</v>
      </c>
      <c r="Q129" s="1147"/>
      <c r="R129" s="1127">
        <f t="shared" si="38"/>
        <v>0</v>
      </c>
      <c r="S129" s="1028"/>
      <c r="T129" s="1131">
        <f t="shared" si="30"/>
        <v>0</v>
      </c>
      <c r="U129" s="1045"/>
      <c r="V129" s="1045">
        <f t="shared" si="12"/>
        <v>0</v>
      </c>
      <c r="W129" s="1132">
        <f t="shared" si="21"/>
        <v>0</v>
      </c>
      <c r="X129" s="1045">
        <f t="shared" si="39"/>
        <v>0</v>
      </c>
      <c r="Y129" s="1132">
        <f>building!Y128</f>
        <v>0.7</v>
      </c>
      <c r="Z129" s="1045">
        <f t="shared" si="40"/>
        <v>991.19</v>
      </c>
      <c r="AA129" s="891"/>
      <c r="AB129" s="891"/>
      <c r="AC129" s="720"/>
      <c r="AD129" s="720"/>
      <c r="AE129" s="720"/>
      <c r="AF129" s="720"/>
    </row>
    <row r="130" spans="1:32" s="719" customFormat="1">
      <c r="A130" s="1162"/>
      <c r="B130" s="1162" t="s">
        <v>1200</v>
      </c>
      <c r="C130" s="995">
        <f>Data!X565</f>
        <v>1424.21</v>
      </c>
      <c r="D130" s="1147" t="s">
        <v>1776</v>
      </c>
      <c r="E130" s="1148">
        <f>detailed!G647</f>
        <v>15.9</v>
      </c>
      <c r="F130" s="1127">
        <f t="shared" si="13"/>
        <v>22644.94</v>
      </c>
      <c r="G130" s="1147"/>
      <c r="H130" s="1127">
        <f t="shared" si="33"/>
        <v>0</v>
      </c>
      <c r="I130" s="1147"/>
      <c r="J130" s="1127">
        <f t="shared" si="34"/>
        <v>0</v>
      </c>
      <c r="K130" s="1147"/>
      <c r="L130" s="1127">
        <f t="shared" si="35"/>
        <v>0</v>
      </c>
      <c r="M130" s="1147"/>
      <c r="N130" s="1127">
        <f t="shared" si="36"/>
        <v>0</v>
      </c>
      <c r="O130" s="1147"/>
      <c r="P130" s="1127">
        <f t="shared" si="37"/>
        <v>0</v>
      </c>
      <c r="Q130" s="1147"/>
      <c r="R130" s="1127">
        <f t="shared" si="38"/>
        <v>0</v>
      </c>
      <c r="S130" s="1028"/>
      <c r="T130" s="1131">
        <f t="shared" si="30"/>
        <v>0</v>
      </c>
      <c r="U130" s="1045"/>
      <c r="V130" s="1045">
        <f t="shared" si="12"/>
        <v>0</v>
      </c>
      <c r="W130" s="1132">
        <f t="shared" si="21"/>
        <v>0</v>
      </c>
      <c r="X130" s="1045">
        <f t="shared" si="39"/>
        <v>0</v>
      </c>
      <c r="Y130" s="1132">
        <f>building!Y129</f>
        <v>15.9</v>
      </c>
      <c r="Z130" s="1045">
        <f t="shared" si="40"/>
        <v>22644.94</v>
      </c>
      <c r="AA130" s="891"/>
      <c r="AB130" s="891"/>
      <c r="AC130" s="720"/>
      <c r="AD130" s="720"/>
      <c r="AE130" s="720"/>
      <c r="AF130" s="720"/>
    </row>
    <row r="131" spans="1:32" s="719" customFormat="1">
      <c r="A131" s="1162"/>
      <c r="B131" s="1162" t="s">
        <v>648</v>
      </c>
      <c r="C131" s="995">
        <f>Data!X566</f>
        <v>1432.43</v>
      </c>
      <c r="D131" s="1147" t="s">
        <v>1776</v>
      </c>
      <c r="E131" s="1148"/>
      <c r="F131" s="1127">
        <f t="shared" si="13"/>
        <v>0</v>
      </c>
      <c r="G131" s="1147"/>
      <c r="H131" s="1127">
        <f t="shared" si="33"/>
        <v>0</v>
      </c>
      <c r="I131" s="1147"/>
      <c r="J131" s="1127">
        <f t="shared" si="34"/>
        <v>0</v>
      </c>
      <c r="K131" s="1147"/>
      <c r="L131" s="1127">
        <f t="shared" si="35"/>
        <v>0</v>
      </c>
      <c r="M131" s="1147"/>
      <c r="N131" s="1127">
        <f t="shared" si="36"/>
        <v>0</v>
      </c>
      <c r="O131" s="1147"/>
      <c r="P131" s="1127">
        <f t="shared" si="37"/>
        <v>0</v>
      </c>
      <c r="Q131" s="1147"/>
      <c r="R131" s="1127">
        <f t="shared" si="38"/>
        <v>0</v>
      </c>
      <c r="S131" s="1028"/>
      <c r="T131" s="1131">
        <f t="shared" si="30"/>
        <v>0</v>
      </c>
      <c r="U131" s="1045"/>
      <c r="V131" s="1045">
        <f t="shared" si="12"/>
        <v>0</v>
      </c>
      <c r="W131" s="1132">
        <f t="shared" si="21"/>
        <v>0</v>
      </c>
      <c r="X131" s="1045">
        <f t="shared" si="39"/>
        <v>0</v>
      </c>
      <c r="Y131" s="1132">
        <f>building!Y130</f>
        <v>0</v>
      </c>
      <c r="Z131" s="1045">
        <f t="shared" si="40"/>
        <v>0</v>
      </c>
      <c r="AA131" s="891"/>
      <c r="AB131" s="891"/>
      <c r="AC131" s="720"/>
      <c r="AD131" s="720"/>
      <c r="AE131" s="720"/>
      <c r="AF131" s="720"/>
    </row>
    <row r="132" spans="1:32" s="719" customFormat="1">
      <c r="A132" s="1162"/>
      <c r="B132" s="1162" t="s">
        <v>649</v>
      </c>
      <c r="C132" s="995">
        <f>Data!X567</f>
        <v>1440.65</v>
      </c>
      <c r="D132" s="1147" t="s">
        <v>1776</v>
      </c>
      <c r="E132" s="1148"/>
      <c r="F132" s="1127">
        <f t="shared" si="13"/>
        <v>0</v>
      </c>
      <c r="G132" s="1147"/>
      <c r="H132" s="1127">
        <f t="shared" si="33"/>
        <v>0</v>
      </c>
      <c r="I132" s="1147"/>
      <c r="J132" s="1127">
        <f t="shared" si="34"/>
        <v>0</v>
      </c>
      <c r="K132" s="1147"/>
      <c r="L132" s="1127">
        <f t="shared" si="35"/>
        <v>0</v>
      </c>
      <c r="M132" s="1147"/>
      <c r="N132" s="1127">
        <f t="shared" si="36"/>
        <v>0</v>
      </c>
      <c r="O132" s="1147"/>
      <c r="P132" s="1127">
        <f t="shared" si="37"/>
        <v>0</v>
      </c>
      <c r="Q132" s="1147"/>
      <c r="R132" s="1127">
        <f t="shared" si="38"/>
        <v>0</v>
      </c>
      <c r="S132" s="1028"/>
      <c r="T132" s="1131">
        <f t="shared" si="30"/>
        <v>0</v>
      </c>
      <c r="U132" s="1045"/>
      <c r="V132" s="1045">
        <f t="shared" si="12"/>
        <v>0</v>
      </c>
      <c r="W132" s="1132">
        <f t="shared" si="21"/>
        <v>0</v>
      </c>
      <c r="X132" s="1045">
        <f t="shared" si="39"/>
        <v>0</v>
      </c>
      <c r="Y132" s="1132">
        <f>building!Y131</f>
        <v>0</v>
      </c>
      <c r="Z132" s="1045">
        <f t="shared" si="40"/>
        <v>0</v>
      </c>
      <c r="AA132" s="891"/>
      <c r="AB132" s="891"/>
      <c r="AC132" s="720"/>
      <c r="AD132" s="720"/>
      <c r="AE132" s="720"/>
      <c r="AF132" s="720"/>
    </row>
    <row r="133" spans="1:32" s="486" customFormat="1">
      <c r="A133" s="1029"/>
      <c r="B133" s="1191" t="s">
        <v>1226</v>
      </c>
      <c r="C133" s="1025">
        <f>Data!X568</f>
        <v>1448.87</v>
      </c>
      <c r="D133" s="1138" t="s">
        <v>1776</v>
      </c>
      <c r="E133" s="1139"/>
      <c r="F133" s="1127">
        <f t="shared" si="13"/>
        <v>0</v>
      </c>
      <c r="G133" s="1138"/>
      <c r="H133" s="1127">
        <f t="shared" si="33"/>
        <v>0</v>
      </c>
      <c r="I133" s="1138"/>
      <c r="J133" s="1127">
        <f t="shared" si="34"/>
        <v>0</v>
      </c>
      <c r="K133" s="1138"/>
      <c r="L133" s="1127">
        <f t="shared" si="35"/>
        <v>0</v>
      </c>
      <c r="M133" s="1138"/>
      <c r="N133" s="1127">
        <f t="shared" si="36"/>
        <v>0</v>
      </c>
      <c r="O133" s="1138"/>
      <c r="P133" s="1127">
        <f t="shared" si="37"/>
        <v>0</v>
      </c>
      <c r="Q133" s="1138"/>
      <c r="R133" s="1127">
        <f t="shared" si="38"/>
        <v>0</v>
      </c>
      <c r="S133" s="1028"/>
      <c r="T133" s="1131">
        <f t="shared" si="30"/>
        <v>0</v>
      </c>
      <c r="U133" s="1045"/>
      <c r="V133" s="1045">
        <f t="shared" si="12"/>
        <v>0</v>
      </c>
      <c r="W133" s="1132">
        <f t="shared" si="21"/>
        <v>0</v>
      </c>
      <c r="X133" s="1045">
        <f t="shared" si="39"/>
        <v>0</v>
      </c>
      <c r="Y133" s="1132">
        <f>building!Y132</f>
        <v>0</v>
      </c>
      <c r="Z133" s="1045">
        <f t="shared" si="40"/>
        <v>0</v>
      </c>
      <c r="AA133" s="892"/>
      <c r="AB133" s="891"/>
      <c r="AC133" s="485"/>
      <c r="AD133" s="485"/>
      <c r="AE133" s="485"/>
      <c r="AF133" s="485"/>
    </row>
    <row r="134" spans="1:32" s="718" customFormat="1">
      <c r="A134" s="1193">
        <v>4.0999999999999996</v>
      </c>
      <c r="B134" s="1190" t="s">
        <v>3887</v>
      </c>
      <c r="C134" s="995"/>
      <c r="D134" s="1147"/>
      <c r="E134" s="1148"/>
      <c r="F134" s="1127">
        <f t="shared" si="13"/>
        <v>0</v>
      </c>
      <c r="G134" s="1147"/>
      <c r="H134" s="1127">
        <f t="shared" si="33"/>
        <v>0</v>
      </c>
      <c r="I134" s="1147"/>
      <c r="J134" s="1127">
        <f t="shared" si="34"/>
        <v>0</v>
      </c>
      <c r="K134" s="1147"/>
      <c r="L134" s="1127">
        <f t="shared" si="35"/>
        <v>0</v>
      </c>
      <c r="M134" s="1147"/>
      <c r="N134" s="1127">
        <f t="shared" si="36"/>
        <v>0</v>
      </c>
      <c r="O134" s="1147"/>
      <c r="P134" s="1127">
        <f t="shared" si="37"/>
        <v>0</v>
      </c>
      <c r="Q134" s="1147"/>
      <c r="R134" s="1127">
        <f t="shared" si="38"/>
        <v>0</v>
      </c>
      <c r="S134" s="1028"/>
      <c r="T134" s="1131">
        <f t="shared" si="30"/>
        <v>0</v>
      </c>
      <c r="U134" s="1045"/>
      <c r="V134" s="1045">
        <f t="shared" si="12"/>
        <v>0</v>
      </c>
      <c r="W134" s="1132">
        <f t="shared" si="21"/>
        <v>0</v>
      </c>
      <c r="X134" s="1045">
        <f t="shared" si="39"/>
        <v>0</v>
      </c>
      <c r="Y134" s="1132">
        <f>building!Y133</f>
        <v>0</v>
      </c>
      <c r="Z134" s="1045">
        <f t="shared" si="40"/>
        <v>0</v>
      </c>
      <c r="AA134" s="786"/>
      <c r="AB134" s="891"/>
      <c r="AC134" s="717"/>
    </row>
    <row r="135" spans="1:32" s="718" customFormat="1">
      <c r="A135" s="1193"/>
      <c r="B135" s="1162" t="s">
        <v>513</v>
      </c>
      <c r="C135" s="995">
        <f>Data!X721</f>
        <v>7128.87</v>
      </c>
      <c r="D135" s="1147" t="s">
        <v>2070</v>
      </c>
      <c r="E135" s="1148">
        <f>detailed!G203</f>
        <v>129.19999999999999</v>
      </c>
      <c r="F135" s="1127">
        <f t="shared" si="13"/>
        <v>921050</v>
      </c>
      <c r="G135" s="1147">
        <f>ST!G39</f>
        <v>1.9</v>
      </c>
      <c r="H135" s="1127">
        <f t="shared" si="33"/>
        <v>13544.85</v>
      </c>
      <c r="I135" s="1147">
        <f>Sump!G20</f>
        <v>20.5</v>
      </c>
      <c r="J135" s="1127">
        <f t="shared" si="34"/>
        <v>146141.84</v>
      </c>
      <c r="K135" s="1147"/>
      <c r="L135" s="1127">
        <f t="shared" si="35"/>
        <v>0</v>
      </c>
      <c r="M135" s="1147"/>
      <c r="N135" s="1127">
        <f t="shared" si="36"/>
        <v>0</v>
      </c>
      <c r="O135" s="1147"/>
      <c r="P135" s="1127">
        <f t="shared" si="37"/>
        <v>0</v>
      </c>
      <c r="Q135" s="1147"/>
      <c r="R135" s="1127">
        <f t="shared" si="38"/>
        <v>0</v>
      </c>
      <c r="S135" s="1028"/>
      <c r="T135" s="1131">
        <f t="shared" si="30"/>
        <v>0</v>
      </c>
      <c r="U135" s="1045">
        <f>Com.wall!H21</f>
        <v>18.7</v>
      </c>
      <c r="V135" s="1045">
        <f t="shared" ref="V135:V198" si="41">U135*C135</f>
        <v>133309.87</v>
      </c>
      <c r="W135" s="1132">
        <f t="shared" si="21"/>
        <v>41.1</v>
      </c>
      <c r="X135" s="1045">
        <f t="shared" si="39"/>
        <v>292996.56</v>
      </c>
      <c r="Y135" s="1132">
        <f>building!Y134</f>
        <v>170.3</v>
      </c>
      <c r="Z135" s="1045">
        <f t="shared" si="40"/>
        <v>1214046.56</v>
      </c>
      <c r="AA135" s="891"/>
      <c r="AB135" s="891"/>
    </row>
    <row r="136" spans="1:32" s="718" customFormat="1">
      <c r="A136" s="1193">
        <v>8.1</v>
      </c>
      <c r="B136" s="1162" t="s">
        <v>2050</v>
      </c>
      <c r="C136" s="995">
        <f>Data!X723</f>
        <v>7232.17</v>
      </c>
      <c r="D136" s="1147" t="s">
        <v>2070</v>
      </c>
      <c r="E136" s="1148">
        <f>detailed!G329</f>
        <v>91.6</v>
      </c>
      <c r="F136" s="1127">
        <f t="shared" ref="F136:F199" si="42">E136*C136</f>
        <v>662466.77</v>
      </c>
      <c r="G136" s="1147"/>
      <c r="H136" s="1127">
        <f t="shared" si="33"/>
        <v>0</v>
      </c>
      <c r="I136" s="1147"/>
      <c r="J136" s="1127">
        <f t="shared" si="34"/>
        <v>0</v>
      </c>
      <c r="K136" s="1147"/>
      <c r="L136" s="1127">
        <f t="shared" si="35"/>
        <v>0</v>
      </c>
      <c r="M136" s="1147"/>
      <c r="N136" s="1127">
        <f t="shared" si="36"/>
        <v>0</v>
      </c>
      <c r="O136" s="1147"/>
      <c r="P136" s="1127">
        <f t="shared" si="37"/>
        <v>0</v>
      </c>
      <c r="Q136" s="1147"/>
      <c r="R136" s="1127">
        <f t="shared" si="38"/>
        <v>0</v>
      </c>
      <c r="S136" s="1028"/>
      <c r="T136" s="1131">
        <f t="shared" si="30"/>
        <v>0</v>
      </c>
      <c r="U136" s="1045">
        <f>Com.wall!H31</f>
        <v>2.5</v>
      </c>
      <c r="V136" s="1045">
        <f t="shared" si="41"/>
        <v>18080.43</v>
      </c>
      <c r="W136" s="1132">
        <f t="shared" ref="W136:W199" si="43">U136+S136+Q136+O136+M136+K136+I136+G136</f>
        <v>2.5</v>
      </c>
      <c r="X136" s="1045">
        <f t="shared" si="39"/>
        <v>18080.43</v>
      </c>
      <c r="Y136" s="1132">
        <f>building!Y135</f>
        <v>94.1</v>
      </c>
      <c r="Z136" s="1045">
        <f t="shared" si="40"/>
        <v>680547.2</v>
      </c>
      <c r="AA136" s="891"/>
      <c r="AB136" s="891"/>
    </row>
    <row r="137" spans="1:32" s="718" customFormat="1">
      <c r="A137" s="1193"/>
      <c r="B137" s="1162" t="s">
        <v>516</v>
      </c>
      <c r="C137" s="995">
        <f>Data!X724</f>
        <v>7435.67</v>
      </c>
      <c r="D137" s="1147" t="s">
        <v>2070</v>
      </c>
      <c r="E137" s="1148">
        <f>detailed!G387</f>
        <v>109.4</v>
      </c>
      <c r="F137" s="1127">
        <f t="shared" si="42"/>
        <v>813462.3</v>
      </c>
      <c r="G137" s="1147"/>
      <c r="H137" s="1127">
        <f t="shared" si="33"/>
        <v>0</v>
      </c>
      <c r="I137" s="1147"/>
      <c r="J137" s="1127">
        <f t="shared" si="34"/>
        <v>0</v>
      </c>
      <c r="K137" s="1147"/>
      <c r="L137" s="1127">
        <f t="shared" si="35"/>
        <v>0</v>
      </c>
      <c r="M137" s="1147"/>
      <c r="N137" s="1127">
        <f t="shared" si="36"/>
        <v>0</v>
      </c>
      <c r="O137" s="1147"/>
      <c r="P137" s="1127">
        <f t="shared" si="37"/>
        <v>0</v>
      </c>
      <c r="Q137" s="1147"/>
      <c r="R137" s="1127">
        <f t="shared" si="38"/>
        <v>0</v>
      </c>
      <c r="S137" s="1028"/>
      <c r="T137" s="1131">
        <f t="shared" si="30"/>
        <v>0</v>
      </c>
      <c r="U137" s="1045"/>
      <c r="V137" s="1045">
        <f t="shared" si="41"/>
        <v>0</v>
      </c>
      <c r="W137" s="1132">
        <f t="shared" si="43"/>
        <v>0</v>
      </c>
      <c r="X137" s="1045">
        <f t="shared" si="39"/>
        <v>0</v>
      </c>
      <c r="Y137" s="1132">
        <f>building!Y136</f>
        <v>109.4</v>
      </c>
      <c r="Z137" s="1045">
        <f t="shared" si="40"/>
        <v>813462.3</v>
      </c>
      <c r="AA137" s="891"/>
      <c r="AB137" s="891"/>
    </row>
    <row r="138" spans="1:32" s="718" customFormat="1">
      <c r="A138" s="1193"/>
      <c r="B138" s="1162" t="s">
        <v>1743</v>
      </c>
      <c r="C138" s="995">
        <f>Data!X725</f>
        <v>7639.17</v>
      </c>
      <c r="D138" s="1147" t="s">
        <v>2070</v>
      </c>
      <c r="E138" s="1148">
        <f>detailed!G389</f>
        <v>109.4</v>
      </c>
      <c r="F138" s="1127">
        <f t="shared" si="42"/>
        <v>835725.2</v>
      </c>
      <c r="G138" s="1147"/>
      <c r="H138" s="1127">
        <f t="shared" si="33"/>
        <v>0</v>
      </c>
      <c r="I138" s="1147"/>
      <c r="J138" s="1127">
        <f t="shared" si="34"/>
        <v>0</v>
      </c>
      <c r="K138" s="1147"/>
      <c r="L138" s="1127">
        <f t="shared" si="35"/>
        <v>0</v>
      </c>
      <c r="M138" s="1147"/>
      <c r="N138" s="1127">
        <f t="shared" si="36"/>
        <v>0</v>
      </c>
      <c r="O138" s="1147"/>
      <c r="P138" s="1127">
        <f t="shared" si="37"/>
        <v>0</v>
      </c>
      <c r="Q138" s="1147"/>
      <c r="R138" s="1127">
        <f t="shared" si="38"/>
        <v>0</v>
      </c>
      <c r="S138" s="1028"/>
      <c r="T138" s="1131">
        <f t="shared" si="30"/>
        <v>0</v>
      </c>
      <c r="U138" s="1045"/>
      <c r="V138" s="1045">
        <f t="shared" si="41"/>
        <v>0</v>
      </c>
      <c r="W138" s="1132">
        <f t="shared" si="43"/>
        <v>0</v>
      </c>
      <c r="X138" s="1045">
        <f t="shared" si="39"/>
        <v>0</v>
      </c>
      <c r="Y138" s="1132">
        <f>building!Y137</f>
        <v>109.4</v>
      </c>
      <c r="Z138" s="1045">
        <f t="shared" si="40"/>
        <v>835725.2</v>
      </c>
      <c r="AA138" s="891"/>
      <c r="AB138" s="891"/>
    </row>
    <row r="139" spans="1:32" s="718" customFormat="1">
      <c r="A139" s="1193"/>
      <c r="B139" s="1162" t="s">
        <v>649</v>
      </c>
      <c r="C139" s="995">
        <f>Data!X726</f>
        <v>7842.67</v>
      </c>
      <c r="D139" s="1147" t="s">
        <v>2070</v>
      </c>
      <c r="E139" s="1148">
        <f>detailed!G401</f>
        <v>12.2</v>
      </c>
      <c r="F139" s="1127">
        <f t="shared" si="42"/>
        <v>95680.57</v>
      </c>
      <c r="G139" s="1147"/>
      <c r="H139" s="1127">
        <f t="shared" si="33"/>
        <v>0</v>
      </c>
      <c r="I139" s="1147"/>
      <c r="J139" s="1127">
        <f t="shared" si="34"/>
        <v>0</v>
      </c>
      <c r="K139" s="1147"/>
      <c r="L139" s="1127">
        <f t="shared" si="35"/>
        <v>0</v>
      </c>
      <c r="M139" s="1147"/>
      <c r="N139" s="1127">
        <f t="shared" si="36"/>
        <v>0</v>
      </c>
      <c r="O139" s="1147"/>
      <c r="P139" s="1127">
        <f t="shared" si="37"/>
        <v>0</v>
      </c>
      <c r="Q139" s="1147"/>
      <c r="R139" s="1127">
        <f t="shared" si="38"/>
        <v>0</v>
      </c>
      <c r="S139" s="1028"/>
      <c r="T139" s="1131">
        <f t="shared" si="30"/>
        <v>0</v>
      </c>
      <c r="U139" s="1045"/>
      <c r="V139" s="1045">
        <f t="shared" si="41"/>
        <v>0</v>
      </c>
      <c r="W139" s="1132">
        <f t="shared" si="43"/>
        <v>0</v>
      </c>
      <c r="X139" s="1045">
        <f t="shared" si="39"/>
        <v>0</v>
      </c>
      <c r="Y139" s="1132">
        <f>building!Y138</f>
        <v>12.2</v>
      </c>
      <c r="Z139" s="1045">
        <f t="shared" si="40"/>
        <v>95680.57</v>
      </c>
      <c r="AA139" s="891"/>
      <c r="AB139" s="891"/>
    </row>
    <row r="140" spans="1:32" s="718" customFormat="1">
      <c r="A140" s="1194"/>
      <c r="B140" s="1164" t="s">
        <v>3905</v>
      </c>
      <c r="C140" s="1043">
        <f>Data!X727</f>
        <v>8046.17</v>
      </c>
      <c r="D140" s="1147" t="s">
        <v>2070</v>
      </c>
      <c r="E140" s="1148"/>
      <c r="F140" s="1127">
        <f t="shared" si="42"/>
        <v>0</v>
      </c>
      <c r="G140" s="1147"/>
      <c r="H140" s="1127">
        <f t="shared" si="33"/>
        <v>0</v>
      </c>
      <c r="I140" s="1147"/>
      <c r="J140" s="1127">
        <f t="shared" si="34"/>
        <v>0</v>
      </c>
      <c r="K140" s="1147"/>
      <c r="L140" s="1127">
        <f t="shared" si="35"/>
        <v>0</v>
      </c>
      <c r="M140" s="1147"/>
      <c r="N140" s="1127">
        <f t="shared" si="36"/>
        <v>0</v>
      </c>
      <c r="O140" s="1147"/>
      <c r="P140" s="1127">
        <f t="shared" si="37"/>
        <v>0</v>
      </c>
      <c r="Q140" s="1147"/>
      <c r="R140" s="1127">
        <f t="shared" si="38"/>
        <v>0</v>
      </c>
      <c r="S140" s="1028"/>
      <c r="T140" s="1131">
        <f t="shared" si="30"/>
        <v>0</v>
      </c>
      <c r="U140" s="1045"/>
      <c r="V140" s="1045">
        <f t="shared" si="41"/>
        <v>0</v>
      </c>
      <c r="W140" s="1132">
        <f t="shared" si="43"/>
        <v>0</v>
      </c>
      <c r="X140" s="1045">
        <f t="shared" si="39"/>
        <v>0</v>
      </c>
      <c r="Y140" s="1132">
        <f>building!Y139</f>
        <v>0</v>
      </c>
      <c r="Z140" s="1045">
        <f t="shared" si="40"/>
        <v>0</v>
      </c>
      <c r="AA140" s="891"/>
      <c r="AB140" s="891"/>
    </row>
    <row r="141" spans="1:32" s="486" customFormat="1">
      <c r="A141" s="1184"/>
      <c r="B141" s="1125" t="s">
        <v>3703</v>
      </c>
      <c r="C141" s="1024">
        <f>Data!K3518</f>
        <v>3082.74</v>
      </c>
      <c r="D141" s="1138" t="s">
        <v>2070</v>
      </c>
      <c r="E141" s="1139"/>
      <c r="F141" s="1127">
        <f t="shared" si="42"/>
        <v>0</v>
      </c>
      <c r="G141" s="1138"/>
      <c r="H141" s="1127">
        <f t="shared" si="33"/>
        <v>0</v>
      </c>
      <c r="I141" s="1138"/>
      <c r="J141" s="1127">
        <f t="shared" si="34"/>
        <v>0</v>
      </c>
      <c r="K141" s="1138"/>
      <c r="L141" s="1127">
        <f t="shared" si="35"/>
        <v>0</v>
      </c>
      <c r="M141" s="1138"/>
      <c r="N141" s="1127">
        <f t="shared" si="36"/>
        <v>0</v>
      </c>
      <c r="O141" s="1138"/>
      <c r="P141" s="1127">
        <f t="shared" si="37"/>
        <v>0</v>
      </c>
      <c r="Q141" s="1138"/>
      <c r="R141" s="1127">
        <f t="shared" si="38"/>
        <v>0</v>
      </c>
      <c r="S141" s="1028"/>
      <c r="T141" s="1131">
        <f t="shared" si="30"/>
        <v>0</v>
      </c>
      <c r="U141" s="1045"/>
      <c r="V141" s="1045">
        <f t="shared" si="41"/>
        <v>0</v>
      </c>
      <c r="W141" s="1132">
        <f t="shared" si="43"/>
        <v>0</v>
      </c>
      <c r="X141" s="1045">
        <f t="shared" si="39"/>
        <v>0</v>
      </c>
      <c r="Y141" s="1132">
        <f>building!Y140</f>
        <v>0</v>
      </c>
      <c r="Z141" s="1045">
        <f t="shared" si="40"/>
        <v>0</v>
      </c>
      <c r="AA141" s="892"/>
      <c r="AB141" s="891"/>
    </row>
    <row r="142" spans="1:32" s="486" customFormat="1" ht="51.75" customHeight="1">
      <c r="A142" s="1184"/>
      <c r="B142" s="1044" t="s">
        <v>4299</v>
      </c>
      <c r="C142" s="1024">
        <f>Data!R157</f>
        <v>156.1</v>
      </c>
      <c r="D142" s="1138" t="s">
        <v>1153</v>
      </c>
      <c r="E142" s="1139"/>
      <c r="F142" s="1127">
        <f t="shared" si="42"/>
        <v>0</v>
      </c>
      <c r="G142" s="1138"/>
      <c r="H142" s="1127">
        <f t="shared" si="33"/>
        <v>0</v>
      </c>
      <c r="I142" s="1138"/>
      <c r="J142" s="1127">
        <f t="shared" si="34"/>
        <v>0</v>
      </c>
      <c r="K142" s="1138"/>
      <c r="L142" s="1127">
        <f t="shared" si="35"/>
        <v>0</v>
      </c>
      <c r="M142" s="1138"/>
      <c r="N142" s="1127">
        <f t="shared" si="36"/>
        <v>0</v>
      </c>
      <c r="O142" s="1138"/>
      <c r="P142" s="1127">
        <f t="shared" si="37"/>
        <v>0</v>
      </c>
      <c r="Q142" s="1138"/>
      <c r="R142" s="1127">
        <f t="shared" si="38"/>
        <v>0</v>
      </c>
      <c r="S142" s="1045"/>
      <c r="T142" s="1131">
        <f t="shared" si="30"/>
        <v>0</v>
      </c>
      <c r="U142" s="1045"/>
      <c r="V142" s="1045">
        <f t="shared" si="41"/>
        <v>0</v>
      </c>
      <c r="W142" s="1132">
        <f t="shared" si="43"/>
        <v>0</v>
      </c>
      <c r="X142" s="1045">
        <f t="shared" si="39"/>
        <v>0</v>
      </c>
      <c r="Y142" s="1132">
        <f>building!Y141</f>
        <v>0</v>
      </c>
      <c r="Z142" s="1045">
        <f t="shared" si="40"/>
        <v>0</v>
      </c>
      <c r="AA142" s="892"/>
      <c r="AB142" s="890"/>
    </row>
    <row r="143" spans="1:32">
      <c r="A143" s="1040"/>
      <c r="B143" s="1125" t="s">
        <v>3612</v>
      </c>
      <c r="C143" s="1052">
        <f>Data!K1445</f>
        <v>243.04</v>
      </c>
      <c r="D143" s="1127" t="s">
        <v>2199</v>
      </c>
      <c r="E143" s="1128"/>
      <c r="F143" s="1127">
        <f t="shared" si="42"/>
        <v>0</v>
      </c>
      <c r="G143" s="1127"/>
      <c r="H143" s="1127">
        <f t="shared" si="33"/>
        <v>0</v>
      </c>
      <c r="I143" s="1127">
        <f>Sump!G32</f>
        <v>20.5</v>
      </c>
      <c r="J143" s="1127">
        <f t="shared" si="34"/>
        <v>4982.32</v>
      </c>
      <c r="K143" s="1127"/>
      <c r="L143" s="1127">
        <f t="shared" si="35"/>
        <v>0</v>
      </c>
      <c r="M143" s="1127"/>
      <c r="N143" s="1127">
        <f t="shared" si="36"/>
        <v>0</v>
      </c>
      <c r="O143" s="1127"/>
      <c r="P143" s="1127">
        <f t="shared" si="37"/>
        <v>0</v>
      </c>
      <c r="Q143" s="1127"/>
      <c r="R143" s="1127">
        <f t="shared" si="38"/>
        <v>0</v>
      </c>
      <c r="S143" s="1045"/>
      <c r="T143" s="1131">
        <f t="shared" si="30"/>
        <v>0</v>
      </c>
      <c r="U143" s="1045"/>
      <c r="V143" s="1045">
        <f t="shared" si="41"/>
        <v>0</v>
      </c>
      <c r="W143" s="1132">
        <f t="shared" si="43"/>
        <v>20.5</v>
      </c>
      <c r="X143" s="1045">
        <f t="shared" si="39"/>
        <v>4982.32</v>
      </c>
      <c r="Y143" s="1132">
        <f>building!Y142</f>
        <v>20.5</v>
      </c>
      <c r="Z143" s="1045">
        <f t="shared" si="40"/>
        <v>4982.32</v>
      </c>
      <c r="AA143" s="890"/>
      <c r="AB143" s="890"/>
    </row>
    <row r="144" spans="1:32" s="867" customFormat="1">
      <c r="A144" s="1123"/>
      <c r="B144" s="1125" t="s">
        <v>3610</v>
      </c>
      <c r="C144" s="1125">
        <f>Data!R147</f>
        <v>380.24</v>
      </c>
      <c r="D144" s="1125" t="s">
        <v>2070</v>
      </c>
      <c r="E144" s="1195">
        <f>detailed!G73</f>
        <v>292.2</v>
      </c>
      <c r="F144" s="1127">
        <f t="shared" si="42"/>
        <v>111106.13</v>
      </c>
      <c r="G144" s="1125"/>
      <c r="H144" s="1127">
        <f t="shared" si="33"/>
        <v>0</v>
      </c>
      <c r="I144" s="1125"/>
      <c r="J144" s="1127">
        <f t="shared" si="34"/>
        <v>0</v>
      </c>
      <c r="K144" s="1125">
        <f>'Plinth P'!G41</f>
        <v>52.9</v>
      </c>
      <c r="L144" s="1127">
        <f t="shared" si="35"/>
        <v>20114.7</v>
      </c>
      <c r="M144" s="1125"/>
      <c r="N144" s="1127">
        <f t="shared" si="36"/>
        <v>0</v>
      </c>
      <c r="O144" s="1125"/>
      <c r="P144" s="1127">
        <f t="shared" si="37"/>
        <v>0</v>
      </c>
      <c r="Q144" s="1125"/>
      <c r="R144" s="1127">
        <f t="shared" si="38"/>
        <v>0</v>
      </c>
      <c r="S144" s="1045"/>
      <c r="T144" s="1131">
        <f t="shared" si="30"/>
        <v>0</v>
      </c>
      <c r="U144" s="1045"/>
      <c r="V144" s="1045">
        <f t="shared" si="41"/>
        <v>0</v>
      </c>
      <c r="W144" s="1132">
        <f t="shared" si="43"/>
        <v>52.9</v>
      </c>
      <c r="X144" s="1045">
        <f t="shared" si="39"/>
        <v>20114.7</v>
      </c>
      <c r="Y144" s="1132">
        <f>building!Y143</f>
        <v>345.1</v>
      </c>
      <c r="Z144" s="1045">
        <f t="shared" si="40"/>
        <v>131220.82</v>
      </c>
      <c r="AA144" s="890"/>
      <c r="AB144" s="890"/>
    </row>
    <row r="145" spans="1:29" s="486" customFormat="1">
      <c r="A145" s="1124"/>
      <c r="B145" s="1196" t="s">
        <v>3691</v>
      </c>
      <c r="C145" s="1197">
        <f>Data!K2451</f>
        <v>680.91</v>
      </c>
      <c r="D145" s="1199" t="s">
        <v>2199</v>
      </c>
      <c r="E145" s="1200"/>
      <c r="F145" s="1127">
        <f t="shared" si="42"/>
        <v>0</v>
      </c>
      <c r="G145" s="1199"/>
      <c r="H145" s="1127">
        <f t="shared" si="33"/>
        <v>0</v>
      </c>
      <c r="I145" s="1199"/>
      <c r="J145" s="1127">
        <f t="shared" si="34"/>
        <v>0</v>
      </c>
      <c r="K145" s="1199"/>
      <c r="L145" s="1127">
        <f t="shared" si="35"/>
        <v>0</v>
      </c>
      <c r="M145" s="1199"/>
      <c r="N145" s="1127">
        <f t="shared" si="36"/>
        <v>0</v>
      </c>
      <c r="O145" s="1199"/>
      <c r="P145" s="1127">
        <f t="shared" si="37"/>
        <v>0</v>
      </c>
      <c r="Q145" s="1199"/>
      <c r="R145" s="1127">
        <f t="shared" si="38"/>
        <v>0</v>
      </c>
      <c r="S145" s="1028"/>
      <c r="T145" s="1131">
        <f t="shared" si="30"/>
        <v>0</v>
      </c>
      <c r="U145" s="1045"/>
      <c r="V145" s="1045">
        <f t="shared" si="41"/>
        <v>0</v>
      </c>
      <c r="W145" s="1132">
        <f t="shared" si="43"/>
        <v>0</v>
      </c>
      <c r="X145" s="1045">
        <f t="shared" si="39"/>
        <v>0</v>
      </c>
      <c r="Y145" s="1132">
        <f>building!Y144</f>
        <v>0</v>
      </c>
      <c r="Z145" s="1045">
        <f t="shared" si="40"/>
        <v>0</v>
      </c>
      <c r="AA145" s="892"/>
      <c r="AB145" s="891"/>
    </row>
    <row r="146" spans="1:29" s="486" customFormat="1" ht="45">
      <c r="A146" s="1201">
        <v>3.8</v>
      </c>
      <c r="B146" s="1202" t="s">
        <v>4300</v>
      </c>
      <c r="C146" s="1202">
        <f>Data!R207</f>
        <v>5175.4399999999996</v>
      </c>
      <c r="D146" s="1203" t="s">
        <v>2070</v>
      </c>
      <c r="E146" s="1204"/>
      <c r="F146" s="1127">
        <f t="shared" si="42"/>
        <v>0</v>
      </c>
      <c r="G146" s="1203"/>
      <c r="H146" s="1127">
        <f t="shared" si="33"/>
        <v>0</v>
      </c>
      <c r="I146" s="1203"/>
      <c r="J146" s="1127">
        <f t="shared" si="34"/>
        <v>0</v>
      </c>
      <c r="K146" s="1203"/>
      <c r="L146" s="1127">
        <f t="shared" si="35"/>
        <v>0</v>
      </c>
      <c r="M146" s="1203"/>
      <c r="N146" s="1127">
        <f t="shared" si="36"/>
        <v>0</v>
      </c>
      <c r="O146" s="1203"/>
      <c r="P146" s="1127">
        <f t="shared" si="37"/>
        <v>0</v>
      </c>
      <c r="Q146" s="1203"/>
      <c r="R146" s="1127">
        <f t="shared" si="38"/>
        <v>0</v>
      </c>
      <c r="S146" s="1028"/>
      <c r="T146" s="1131">
        <f t="shared" si="30"/>
        <v>0</v>
      </c>
      <c r="U146" s="1045"/>
      <c r="V146" s="1045">
        <f t="shared" si="41"/>
        <v>0</v>
      </c>
      <c r="W146" s="1132">
        <f t="shared" si="43"/>
        <v>0</v>
      </c>
      <c r="X146" s="1045">
        <f t="shared" si="39"/>
        <v>0</v>
      </c>
      <c r="Y146" s="1132">
        <f>building!Y145</f>
        <v>0</v>
      </c>
      <c r="Z146" s="1045">
        <f t="shared" si="40"/>
        <v>0</v>
      </c>
      <c r="AA146" s="892"/>
      <c r="AB146" s="891"/>
    </row>
    <row r="147" spans="1:29" s="486" customFormat="1">
      <c r="A147" s="1205">
        <v>3.3</v>
      </c>
      <c r="B147" s="1202" t="s">
        <v>4637</v>
      </c>
      <c r="C147" s="1202">
        <f>Data!R243</f>
        <v>4490.8999999999996</v>
      </c>
      <c r="D147" s="1206" t="s">
        <v>2070</v>
      </c>
      <c r="E147" s="1207"/>
      <c r="F147" s="1127">
        <f t="shared" si="42"/>
        <v>0</v>
      </c>
      <c r="G147" s="1206"/>
      <c r="H147" s="1127">
        <f t="shared" si="33"/>
        <v>0</v>
      </c>
      <c r="I147" s="1206"/>
      <c r="J147" s="1127">
        <f t="shared" si="34"/>
        <v>0</v>
      </c>
      <c r="K147" s="1206"/>
      <c r="L147" s="1127">
        <f t="shared" si="35"/>
        <v>0</v>
      </c>
      <c r="M147" s="1206"/>
      <c r="N147" s="1127">
        <f t="shared" si="36"/>
        <v>0</v>
      </c>
      <c r="O147" s="1206"/>
      <c r="P147" s="1127">
        <f t="shared" si="37"/>
        <v>0</v>
      </c>
      <c r="Q147" s="1206"/>
      <c r="R147" s="1127">
        <f t="shared" si="38"/>
        <v>0</v>
      </c>
      <c r="S147" s="1028"/>
      <c r="T147" s="1131">
        <f t="shared" si="30"/>
        <v>0</v>
      </c>
      <c r="U147" s="1045"/>
      <c r="V147" s="1045">
        <f t="shared" si="41"/>
        <v>0</v>
      </c>
      <c r="W147" s="1132">
        <f t="shared" si="43"/>
        <v>0</v>
      </c>
      <c r="X147" s="1045">
        <f t="shared" si="39"/>
        <v>0</v>
      </c>
      <c r="Y147" s="1132">
        <f>building!Y146</f>
        <v>0</v>
      </c>
      <c r="Z147" s="1045">
        <f t="shared" si="40"/>
        <v>0</v>
      </c>
      <c r="AA147" s="892"/>
      <c r="AB147" s="891"/>
    </row>
    <row r="148" spans="1:29" s="486" customFormat="1" ht="43.5">
      <c r="A148" s="883"/>
      <c r="B148" s="884" t="s">
        <v>3469</v>
      </c>
      <c r="C148" s="885">
        <f>Data!X207</f>
        <v>4812.74</v>
      </c>
      <c r="D148" s="886" t="s">
        <v>2070</v>
      </c>
      <c r="E148" s="886"/>
      <c r="F148" s="1127">
        <f t="shared" si="42"/>
        <v>0</v>
      </c>
      <c r="G148" s="886"/>
      <c r="H148" s="1127">
        <f t="shared" si="33"/>
        <v>0</v>
      </c>
      <c r="I148" s="886"/>
      <c r="J148" s="1127">
        <f t="shared" si="34"/>
        <v>0</v>
      </c>
      <c r="K148" s="886"/>
      <c r="L148" s="1127">
        <f t="shared" si="35"/>
        <v>0</v>
      </c>
      <c r="M148" s="886"/>
      <c r="N148" s="1127">
        <f t="shared" si="36"/>
        <v>0</v>
      </c>
      <c r="O148" s="886"/>
      <c r="P148" s="1127">
        <f t="shared" si="37"/>
        <v>0</v>
      </c>
      <c r="Q148" s="886"/>
      <c r="R148" s="1127">
        <f t="shared" si="38"/>
        <v>0</v>
      </c>
      <c r="S148" s="881"/>
      <c r="T148" s="1131">
        <f t="shared" si="30"/>
        <v>0</v>
      </c>
      <c r="U148" s="882"/>
      <c r="V148" s="783">
        <f t="shared" si="41"/>
        <v>0</v>
      </c>
      <c r="W148" s="1132">
        <f t="shared" si="43"/>
        <v>0</v>
      </c>
      <c r="X148" s="1045">
        <f t="shared" si="39"/>
        <v>0</v>
      </c>
      <c r="Y148" s="1132">
        <f>building!Y147</f>
        <v>0</v>
      </c>
      <c r="Z148" s="1045">
        <f t="shared" si="40"/>
        <v>0</v>
      </c>
      <c r="AA148" s="892"/>
      <c r="AB148" s="891"/>
    </row>
    <row r="149" spans="1:29">
      <c r="A149" s="1124">
        <v>18.100000000000001</v>
      </c>
      <c r="B149" s="1159" t="s">
        <v>190</v>
      </c>
      <c r="C149" s="1052"/>
      <c r="D149" s="1127"/>
      <c r="E149" s="1128"/>
      <c r="F149" s="1127">
        <f t="shared" si="42"/>
        <v>0</v>
      </c>
      <c r="G149" s="1127"/>
      <c r="H149" s="1127">
        <f t="shared" si="33"/>
        <v>0</v>
      </c>
      <c r="I149" s="1127"/>
      <c r="J149" s="1127">
        <f t="shared" si="34"/>
        <v>0</v>
      </c>
      <c r="K149" s="1127"/>
      <c r="L149" s="1127">
        <f t="shared" si="35"/>
        <v>0</v>
      </c>
      <c r="M149" s="1127"/>
      <c r="N149" s="1127">
        <f t="shared" si="36"/>
        <v>0</v>
      </c>
      <c r="O149" s="1127"/>
      <c r="P149" s="1127">
        <f t="shared" si="37"/>
        <v>0</v>
      </c>
      <c r="Q149" s="1127"/>
      <c r="R149" s="1127">
        <f t="shared" si="38"/>
        <v>0</v>
      </c>
      <c r="S149" s="1049"/>
      <c r="T149" s="1131">
        <f t="shared" si="30"/>
        <v>0</v>
      </c>
      <c r="U149" s="1045"/>
      <c r="V149" s="1045">
        <f t="shared" si="41"/>
        <v>0</v>
      </c>
      <c r="W149" s="1132">
        <f t="shared" si="43"/>
        <v>0</v>
      </c>
      <c r="X149" s="1045">
        <f t="shared" si="39"/>
        <v>0</v>
      </c>
      <c r="Y149" s="1132">
        <f>building!Y148</f>
        <v>0</v>
      </c>
      <c r="Z149" s="1045">
        <f t="shared" si="40"/>
        <v>0</v>
      </c>
      <c r="AA149" s="785"/>
      <c r="AB149" s="890"/>
      <c r="AC149" s="862"/>
    </row>
    <row r="150" spans="1:29" ht="63" customHeight="1">
      <c r="A150" s="1124"/>
      <c r="B150" s="1125" t="s">
        <v>1762</v>
      </c>
      <c r="C150" s="1052">
        <f>ROUND(Data!I2357,2)</f>
        <v>739.38</v>
      </c>
      <c r="D150" s="1127" t="s">
        <v>2199</v>
      </c>
      <c r="E150" s="1128">
        <f>detailed!G737</f>
        <v>566.6</v>
      </c>
      <c r="F150" s="1127">
        <f t="shared" si="42"/>
        <v>418932.71</v>
      </c>
      <c r="G150" s="1127">
        <f>ST!G46</f>
        <v>5</v>
      </c>
      <c r="H150" s="1127">
        <f t="shared" si="33"/>
        <v>3696.9</v>
      </c>
      <c r="I150" s="1127"/>
      <c r="J150" s="1127">
        <f t="shared" si="34"/>
        <v>0</v>
      </c>
      <c r="K150" s="1127"/>
      <c r="L150" s="1127">
        <f t="shared" si="35"/>
        <v>0</v>
      </c>
      <c r="M150" s="1127"/>
      <c r="N150" s="1127">
        <f t="shared" si="36"/>
        <v>0</v>
      </c>
      <c r="O150" s="1127"/>
      <c r="P150" s="1127">
        <f t="shared" si="37"/>
        <v>0</v>
      </c>
      <c r="Q150" s="1127"/>
      <c r="R150" s="1127">
        <f t="shared" si="38"/>
        <v>0</v>
      </c>
      <c r="S150" s="1045"/>
      <c r="T150" s="1131">
        <f t="shared" si="30"/>
        <v>0</v>
      </c>
      <c r="U150" s="1045">
        <f>Com.wall!H85</f>
        <v>121.3</v>
      </c>
      <c r="V150" s="1045">
        <f t="shared" si="41"/>
        <v>89686.79</v>
      </c>
      <c r="W150" s="1132">
        <f t="shared" si="43"/>
        <v>126.3</v>
      </c>
      <c r="X150" s="1045">
        <f t="shared" si="39"/>
        <v>93383.69</v>
      </c>
      <c r="Y150" s="1132">
        <f>building!Y149</f>
        <v>692.9</v>
      </c>
      <c r="Z150" s="1045">
        <f t="shared" si="40"/>
        <v>512316.4</v>
      </c>
      <c r="AA150" s="890"/>
      <c r="AB150" s="890"/>
    </row>
    <row r="151" spans="1:29" ht="93.75" customHeight="1">
      <c r="A151" s="1124"/>
      <c r="B151" s="1125" t="s">
        <v>1037</v>
      </c>
      <c r="C151" s="1052">
        <f>ROUND(Data!I2359,2)</f>
        <v>831.23</v>
      </c>
      <c r="D151" s="1127" t="s">
        <v>2199</v>
      </c>
      <c r="E151" s="1128">
        <f>detailed!G844</f>
        <v>2291.6999999999998</v>
      </c>
      <c r="F151" s="1127">
        <f t="shared" si="42"/>
        <v>1904929.79</v>
      </c>
      <c r="G151" s="1127">
        <f>ST!G50</f>
        <v>8.3000000000000007</v>
      </c>
      <c r="H151" s="1127">
        <f t="shared" si="33"/>
        <v>6899.21</v>
      </c>
      <c r="I151" s="1127"/>
      <c r="J151" s="1127">
        <f t="shared" si="34"/>
        <v>0</v>
      </c>
      <c r="K151" s="1127"/>
      <c r="L151" s="1127">
        <f t="shared" si="35"/>
        <v>0</v>
      </c>
      <c r="M151" s="1127"/>
      <c r="N151" s="1127">
        <f t="shared" si="36"/>
        <v>0</v>
      </c>
      <c r="O151" s="1127"/>
      <c r="P151" s="1127">
        <f t="shared" si="37"/>
        <v>0</v>
      </c>
      <c r="Q151" s="1127"/>
      <c r="R151" s="1127">
        <f t="shared" si="38"/>
        <v>0</v>
      </c>
      <c r="S151" s="1045"/>
      <c r="T151" s="1131">
        <f t="shared" si="30"/>
        <v>0</v>
      </c>
      <c r="U151" s="1045"/>
      <c r="V151" s="1045">
        <f t="shared" si="41"/>
        <v>0</v>
      </c>
      <c r="W151" s="1132">
        <f t="shared" si="43"/>
        <v>8.3000000000000007</v>
      </c>
      <c r="X151" s="1045">
        <f t="shared" si="39"/>
        <v>6899.21</v>
      </c>
      <c r="Y151" s="1132">
        <f>building!Y150</f>
        <v>2300</v>
      </c>
      <c r="Z151" s="1045">
        <f t="shared" si="40"/>
        <v>1911829</v>
      </c>
      <c r="AA151" s="890"/>
      <c r="AB151" s="890"/>
    </row>
    <row r="152" spans="1:29" ht="63" customHeight="1">
      <c r="A152" s="1125"/>
      <c r="B152" s="1125" t="s">
        <v>1601</v>
      </c>
      <c r="C152" s="1052">
        <f>ROUND(Data!I2361,2)</f>
        <v>997.48</v>
      </c>
      <c r="D152" s="1127" t="s">
        <v>2199</v>
      </c>
      <c r="E152" s="1128">
        <f>detailed!G895</f>
        <v>824.7</v>
      </c>
      <c r="F152" s="1127">
        <f t="shared" si="42"/>
        <v>822621.76</v>
      </c>
      <c r="G152" s="1127"/>
      <c r="H152" s="1127">
        <f t="shared" si="33"/>
        <v>0</v>
      </c>
      <c r="I152" s="1127"/>
      <c r="J152" s="1127">
        <f t="shared" si="34"/>
        <v>0</v>
      </c>
      <c r="K152" s="1127"/>
      <c r="L152" s="1127">
        <f t="shared" si="35"/>
        <v>0</v>
      </c>
      <c r="M152" s="1127"/>
      <c r="N152" s="1127">
        <f t="shared" si="36"/>
        <v>0</v>
      </c>
      <c r="O152" s="1127"/>
      <c r="P152" s="1127">
        <f t="shared" si="37"/>
        <v>0</v>
      </c>
      <c r="Q152" s="1127"/>
      <c r="R152" s="1127">
        <f t="shared" si="38"/>
        <v>0</v>
      </c>
      <c r="S152" s="1045"/>
      <c r="T152" s="1131">
        <f t="shared" si="30"/>
        <v>0</v>
      </c>
      <c r="U152" s="1045">
        <f>Com.wall!H93</f>
        <v>80.8</v>
      </c>
      <c r="V152" s="1045">
        <f t="shared" si="41"/>
        <v>80596.38</v>
      </c>
      <c r="W152" s="1132">
        <f t="shared" si="43"/>
        <v>80.8</v>
      </c>
      <c r="X152" s="1045">
        <f t="shared" si="39"/>
        <v>80596.38</v>
      </c>
      <c r="Y152" s="1132">
        <f>building!Y151</f>
        <v>905.5</v>
      </c>
      <c r="Z152" s="1045">
        <f t="shared" si="40"/>
        <v>903218.14</v>
      </c>
      <c r="AA152" s="890"/>
      <c r="AB152" s="890"/>
    </row>
    <row r="153" spans="1:29">
      <c r="A153" s="1040"/>
      <c r="B153" s="1125" t="s">
        <v>3882</v>
      </c>
      <c r="C153" s="1040">
        <f>Data!I2363</f>
        <v>914.35</v>
      </c>
      <c r="D153" s="1127" t="s">
        <v>2199</v>
      </c>
      <c r="E153" s="1128"/>
      <c r="F153" s="1127">
        <f t="shared" si="42"/>
        <v>0</v>
      </c>
      <c r="G153" s="1127"/>
      <c r="H153" s="1127">
        <f t="shared" si="33"/>
        <v>0</v>
      </c>
      <c r="I153" s="1127"/>
      <c r="J153" s="1127">
        <f t="shared" si="34"/>
        <v>0</v>
      </c>
      <c r="K153" s="1127"/>
      <c r="L153" s="1127">
        <f t="shared" si="35"/>
        <v>0</v>
      </c>
      <c r="M153" s="1127"/>
      <c r="N153" s="1127">
        <f t="shared" si="36"/>
        <v>0</v>
      </c>
      <c r="O153" s="1127"/>
      <c r="P153" s="1127">
        <f t="shared" si="37"/>
        <v>0</v>
      </c>
      <c r="Q153" s="1127"/>
      <c r="R153" s="1127">
        <f t="shared" si="38"/>
        <v>0</v>
      </c>
      <c r="S153" s="1045"/>
      <c r="T153" s="1131">
        <f t="shared" si="30"/>
        <v>0</v>
      </c>
      <c r="U153" s="1045"/>
      <c r="V153" s="1045">
        <f t="shared" si="41"/>
        <v>0</v>
      </c>
      <c r="W153" s="1132">
        <f t="shared" si="43"/>
        <v>0</v>
      </c>
      <c r="X153" s="1045">
        <f t="shared" si="39"/>
        <v>0</v>
      </c>
      <c r="Y153" s="1132">
        <f>building!Y152</f>
        <v>0</v>
      </c>
      <c r="Z153" s="1045">
        <f t="shared" si="40"/>
        <v>0</v>
      </c>
      <c r="AA153" s="890"/>
      <c r="AB153" s="890"/>
    </row>
    <row r="154" spans="1:29" s="486" customFormat="1">
      <c r="A154" s="790"/>
      <c r="B154" s="788" t="s">
        <v>3705</v>
      </c>
      <c r="C154" s="715">
        <f>C152*2</f>
        <v>1994.96</v>
      </c>
      <c r="D154" s="714" t="s">
        <v>2199</v>
      </c>
      <c r="E154" s="714"/>
      <c r="F154" s="1127">
        <f t="shared" si="42"/>
        <v>0</v>
      </c>
      <c r="G154" s="714"/>
      <c r="H154" s="714"/>
      <c r="I154" s="714"/>
      <c r="J154" s="714"/>
      <c r="K154" s="714"/>
      <c r="L154" s="714"/>
      <c r="M154" s="714"/>
      <c r="N154" s="714"/>
      <c r="O154" s="714"/>
      <c r="P154" s="714"/>
      <c r="Q154" s="714"/>
      <c r="R154" s="714"/>
      <c r="S154" s="784"/>
      <c r="T154" s="865">
        <f t="shared" si="30"/>
        <v>0</v>
      </c>
      <c r="U154" s="783"/>
      <c r="V154" s="783">
        <f t="shared" si="41"/>
        <v>0</v>
      </c>
      <c r="W154" s="1132">
        <f t="shared" si="43"/>
        <v>0</v>
      </c>
      <c r="X154" s="783">
        <f>W154*C154</f>
        <v>0</v>
      </c>
      <c r="Y154" s="1132">
        <f>building!Y153</f>
        <v>0</v>
      </c>
      <c r="Z154" s="1045">
        <f t="shared" si="40"/>
        <v>0</v>
      </c>
      <c r="AA154" s="892"/>
      <c r="AB154" s="891"/>
    </row>
    <row r="155" spans="1:29">
      <c r="A155" s="1010"/>
      <c r="B155" s="1125" t="s">
        <v>3708</v>
      </c>
      <c r="C155" s="1052">
        <f>C151*1.5</f>
        <v>1246.8499999999999</v>
      </c>
      <c r="D155" s="1127" t="s">
        <v>2199</v>
      </c>
      <c r="E155" s="1128"/>
      <c r="F155" s="1127">
        <f t="shared" si="42"/>
        <v>0</v>
      </c>
      <c r="G155" s="1127"/>
      <c r="H155" s="1127">
        <f t="shared" ref="H155:H202" si="44">G155*C155</f>
        <v>0</v>
      </c>
      <c r="I155" s="1127">
        <f>Sump!G55</f>
        <v>19.899999999999999</v>
      </c>
      <c r="J155" s="1127">
        <f t="shared" ref="J155:J202" si="45">I155*C155</f>
        <v>24812.32</v>
      </c>
      <c r="K155" s="1127"/>
      <c r="L155" s="1127">
        <f t="shared" ref="L155:L202" si="46">K155*C155</f>
        <v>0</v>
      </c>
      <c r="M155" s="1127"/>
      <c r="N155" s="1127">
        <f t="shared" ref="N155:N202" si="47">M155*C155</f>
        <v>0</v>
      </c>
      <c r="O155" s="1127"/>
      <c r="P155" s="1127">
        <f t="shared" ref="P155:P202" si="48">O155*C155</f>
        <v>0</v>
      </c>
      <c r="Q155" s="1127"/>
      <c r="R155" s="1127">
        <f t="shared" ref="R155:R202" si="49">Q155*C155</f>
        <v>0</v>
      </c>
      <c r="S155" s="1045"/>
      <c r="T155" s="1131">
        <f t="shared" si="30"/>
        <v>0</v>
      </c>
      <c r="U155" s="1045"/>
      <c r="V155" s="1045">
        <f t="shared" si="41"/>
        <v>0</v>
      </c>
      <c r="W155" s="1132">
        <f t="shared" si="43"/>
        <v>19.899999999999999</v>
      </c>
      <c r="X155" s="1045">
        <f t="shared" ref="X155:X202" si="50">W155*C155</f>
        <v>24812.32</v>
      </c>
      <c r="Y155" s="1132">
        <f>building!Y154</f>
        <v>19.899999999999999</v>
      </c>
      <c r="Z155" s="1045">
        <f t="shared" si="40"/>
        <v>24812.32</v>
      </c>
      <c r="AA155" s="890"/>
      <c r="AB155" s="890"/>
    </row>
    <row r="156" spans="1:29" s="486" customFormat="1" ht="57" customHeight="1">
      <c r="A156" s="1208"/>
      <c r="B156" s="1175" t="s">
        <v>3529</v>
      </c>
      <c r="C156" s="1176">
        <f>C151*2</f>
        <v>1662.46</v>
      </c>
      <c r="D156" s="1177" t="s">
        <v>2199</v>
      </c>
      <c r="E156" s="1178"/>
      <c r="F156" s="1127">
        <f t="shared" si="42"/>
        <v>0</v>
      </c>
      <c r="G156" s="1177"/>
      <c r="H156" s="1127">
        <f t="shared" si="44"/>
        <v>0</v>
      </c>
      <c r="I156" s="1177"/>
      <c r="J156" s="1127">
        <f t="shared" si="45"/>
        <v>0</v>
      </c>
      <c r="K156" s="1177"/>
      <c r="L156" s="1127">
        <f t="shared" si="46"/>
        <v>0</v>
      </c>
      <c r="M156" s="1177"/>
      <c r="N156" s="1127">
        <f t="shared" si="47"/>
        <v>0</v>
      </c>
      <c r="O156" s="1177"/>
      <c r="P156" s="1127">
        <f t="shared" si="48"/>
        <v>0</v>
      </c>
      <c r="Q156" s="1177"/>
      <c r="R156" s="1127">
        <f t="shared" si="49"/>
        <v>0</v>
      </c>
      <c r="S156" s="1143"/>
      <c r="T156" s="1131">
        <f t="shared" si="30"/>
        <v>0</v>
      </c>
      <c r="U156" s="1144"/>
      <c r="V156" s="1045">
        <f t="shared" si="41"/>
        <v>0</v>
      </c>
      <c r="W156" s="1132">
        <f t="shared" si="43"/>
        <v>0</v>
      </c>
      <c r="X156" s="1045">
        <f t="shared" si="50"/>
        <v>0</v>
      </c>
      <c r="Y156" s="1132">
        <f>building!Y155</f>
        <v>0</v>
      </c>
      <c r="Z156" s="1045">
        <f t="shared" si="40"/>
        <v>0</v>
      </c>
      <c r="AA156" s="892"/>
      <c r="AB156" s="891"/>
    </row>
    <row r="157" spans="1:29" ht="82.5" customHeight="1">
      <c r="A157" s="1124">
        <v>21.6</v>
      </c>
      <c r="B157" s="1192" t="s">
        <v>4157</v>
      </c>
      <c r="C157" s="1052"/>
      <c r="D157" s="1127"/>
      <c r="E157" s="1128"/>
      <c r="F157" s="1127">
        <f t="shared" si="42"/>
        <v>0</v>
      </c>
      <c r="G157" s="1127"/>
      <c r="H157" s="1127">
        <f t="shared" si="44"/>
        <v>0</v>
      </c>
      <c r="I157" s="1127"/>
      <c r="J157" s="1127">
        <f t="shared" si="45"/>
        <v>0</v>
      </c>
      <c r="K157" s="1127"/>
      <c r="L157" s="1127">
        <f t="shared" si="46"/>
        <v>0</v>
      </c>
      <c r="M157" s="1127"/>
      <c r="N157" s="1127">
        <f t="shared" si="47"/>
        <v>0</v>
      </c>
      <c r="O157" s="1127"/>
      <c r="P157" s="1127">
        <f t="shared" si="48"/>
        <v>0</v>
      </c>
      <c r="Q157" s="1127"/>
      <c r="R157" s="1127">
        <f t="shared" si="49"/>
        <v>0</v>
      </c>
      <c r="S157" s="1049"/>
      <c r="T157" s="1131">
        <f t="shared" si="30"/>
        <v>0</v>
      </c>
      <c r="U157" s="1045"/>
      <c r="V157" s="1045">
        <f t="shared" si="41"/>
        <v>0</v>
      </c>
      <c r="W157" s="1132">
        <f t="shared" si="43"/>
        <v>0</v>
      </c>
      <c r="X157" s="1045">
        <f t="shared" si="50"/>
        <v>0</v>
      </c>
      <c r="Y157" s="1132">
        <f>building!Y156</f>
        <v>0</v>
      </c>
      <c r="Z157" s="1045">
        <f t="shared" si="40"/>
        <v>0</v>
      </c>
      <c r="AA157" s="785"/>
      <c r="AB157" s="890"/>
      <c r="AC157" s="862"/>
    </row>
    <row r="158" spans="1:29">
      <c r="A158" s="1209"/>
      <c r="B158" s="1125" t="s">
        <v>542</v>
      </c>
      <c r="C158" s="1052">
        <f>ROUND(Data!K892,2)</f>
        <v>2442.37</v>
      </c>
      <c r="D158" s="1052" t="s">
        <v>1341</v>
      </c>
      <c r="E158" s="1129"/>
      <c r="F158" s="1127">
        <f t="shared" si="42"/>
        <v>0</v>
      </c>
      <c r="G158" s="1052"/>
      <c r="H158" s="1127">
        <f t="shared" si="44"/>
        <v>0</v>
      </c>
      <c r="I158" s="1052"/>
      <c r="J158" s="1127">
        <f t="shared" si="45"/>
        <v>0</v>
      </c>
      <c r="K158" s="1052"/>
      <c r="L158" s="1127">
        <f t="shared" si="46"/>
        <v>0</v>
      </c>
      <c r="M158" s="1052"/>
      <c r="N158" s="1127">
        <f t="shared" si="47"/>
        <v>0</v>
      </c>
      <c r="O158" s="1052"/>
      <c r="P158" s="1127">
        <f t="shared" si="48"/>
        <v>0</v>
      </c>
      <c r="Q158" s="1052"/>
      <c r="R158" s="1127">
        <f t="shared" si="49"/>
        <v>0</v>
      </c>
      <c r="S158" s="1045"/>
      <c r="T158" s="1131">
        <f t="shared" si="30"/>
        <v>0</v>
      </c>
      <c r="U158" s="1045"/>
      <c r="V158" s="1045">
        <f t="shared" si="41"/>
        <v>0</v>
      </c>
      <c r="W158" s="1132">
        <f t="shared" si="43"/>
        <v>0</v>
      </c>
      <c r="X158" s="1045">
        <f t="shared" si="50"/>
        <v>0</v>
      </c>
      <c r="Y158" s="1132">
        <f>building!Y157</f>
        <v>0</v>
      </c>
      <c r="Z158" s="1045">
        <f t="shared" si="40"/>
        <v>0</v>
      </c>
      <c r="AA158" s="890"/>
      <c r="AB158" s="890"/>
    </row>
    <row r="159" spans="1:29" s="486" customFormat="1">
      <c r="A159" s="1209"/>
      <c r="B159" s="1125" t="s">
        <v>1837</v>
      </c>
      <c r="C159" s="1052">
        <f>ROUND(Data!K874,2)</f>
        <v>2462.2399999999998</v>
      </c>
      <c r="D159" s="1052" t="s">
        <v>1341</v>
      </c>
      <c r="E159" s="1129"/>
      <c r="F159" s="1127">
        <f t="shared" si="42"/>
        <v>0</v>
      </c>
      <c r="G159" s="1052"/>
      <c r="H159" s="1127">
        <f t="shared" si="44"/>
        <v>0</v>
      </c>
      <c r="I159" s="1052"/>
      <c r="J159" s="1127">
        <f t="shared" si="45"/>
        <v>0</v>
      </c>
      <c r="K159" s="1052"/>
      <c r="L159" s="1127">
        <f t="shared" si="46"/>
        <v>0</v>
      </c>
      <c r="M159" s="1052"/>
      <c r="N159" s="1127">
        <f t="shared" si="47"/>
        <v>0</v>
      </c>
      <c r="O159" s="1052"/>
      <c r="P159" s="1127">
        <f t="shared" si="48"/>
        <v>0</v>
      </c>
      <c r="Q159" s="1052"/>
      <c r="R159" s="1127">
        <f t="shared" si="49"/>
        <v>0</v>
      </c>
      <c r="S159" s="1028"/>
      <c r="T159" s="1131">
        <f t="shared" si="30"/>
        <v>0</v>
      </c>
      <c r="U159" s="1045"/>
      <c r="V159" s="1045">
        <f t="shared" si="41"/>
        <v>0</v>
      </c>
      <c r="W159" s="1132">
        <f t="shared" si="43"/>
        <v>0</v>
      </c>
      <c r="X159" s="1045">
        <f t="shared" si="50"/>
        <v>0</v>
      </c>
      <c r="Y159" s="1132">
        <f>building!Y158</f>
        <v>0</v>
      </c>
      <c r="Z159" s="1045">
        <f t="shared" si="40"/>
        <v>0</v>
      </c>
      <c r="AA159" s="892"/>
      <c r="AB159" s="891"/>
    </row>
    <row r="160" spans="1:29" s="486" customFormat="1">
      <c r="A160" s="616"/>
      <c r="B160" s="550" t="s">
        <v>3613</v>
      </c>
      <c r="C160" s="548">
        <f>Data!K908</f>
        <v>2408.6799999999998</v>
      </c>
      <c r="D160" s="548" t="s">
        <v>1341</v>
      </c>
      <c r="E160" s="548"/>
      <c r="F160" s="1127">
        <f t="shared" si="42"/>
        <v>0</v>
      </c>
      <c r="G160" s="548"/>
      <c r="H160" s="1127">
        <f t="shared" si="44"/>
        <v>0</v>
      </c>
      <c r="I160" s="548"/>
      <c r="J160" s="1127">
        <f t="shared" si="45"/>
        <v>0</v>
      </c>
      <c r="K160" s="548"/>
      <c r="L160" s="1127">
        <f t="shared" si="46"/>
        <v>0</v>
      </c>
      <c r="M160" s="548"/>
      <c r="N160" s="1127">
        <f t="shared" si="47"/>
        <v>0</v>
      </c>
      <c r="O160" s="548"/>
      <c r="P160" s="1127">
        <f t="shared" si="48"/>
        <v>0</v>
      </c>
      <c r="Q160" s="548"/>
      <c r="R160" s="1127">
        <f t="shared" si="49"/>
        <v>0</v>
      </c>
      <c r="S160" s="784"/>
      <c r="T160" s="1131">
        <f t="shared" si="30"/>
        <v>0</v>
      </c>
      <c r="U160" s="783"/>
      <c r="V160" s="783">
        <f t="shared" si="41"/>
        <v>0</v>
      </c>
      <c r="W160" s="1132">
        <f t="shared" si="43"/>
        <v>0</v>
      </c>
      <c r="X160" s="1045">
        <f t="shared" si="50"/>
        <v>0</v>
      </c>
      <c r="Y160" s="1132">
        <f>building!Y159</f>
        <v>0</v>
      </c>
      <c r="Z160" s="1045">
        <f t="shared" si="40"/>
        <v>0</v>
      </c>
      <c r="AA160" s="892"/>
      <c r="AB160" s="891"/>
    </row>
    <row r="161" spans="1:28" s="486" customFormat="1" ht="265.5" customHeight="1">
      <c r="A161" s="617" t="s">
        <v>1638</v>
      </c>
      <c r="B161" s="550" t="s">
        <v>6044</v>
      </c>
      <c r="C161" s="1400">
        <v>4998</v>
      </c>
      <c r="D161" s="1257" t="s">
        <v>6041</v>
      </c>
      <c r="E161" s="1402">
        <f>detailed!G944</f>
        <v>37.799999999999997</v>
      </c>
      <c r="F161" s="1127">
        <f t="shared" si="42"/>
        <v>188924.4</v>
      </c>
      <c r="G161" s="722"/>
      <c r="H161" s="1127">
        <f t="shared" si="44"/>
        <v>0</v>
      </c>
      <c r="I161" s="722"/>
      <c r="J161" s="1127">
        <f t="shared" si="45"/>
        <v>0</v>
      </c>
      <c r="K161" s="722"/>
      <c r="L161" s="1127">
        <f t="shared" si="46"/>
        <v>0</v>
      </c>
      <c r="M161" s="722"/>
      <c r="N161" s="1127">
        <f t="shared" si="47"/>
        <v>0</v>
      </c>
      <c r="O161" s="722"/>
      <c r="P161" s="1127">
        <f t="shared" si="48"/>
        <v>0</v>
      </c>
      <c r="Q161" s="722"/>
      <c r="R161" s="1127">
        <f t="shared" si="49"/>
        <v>0</v>
      </c>
      <c r="S161" s="784"/>
      <c r="T161" s="1131">
        <f t="shared" si="30"/>
        <v>0</v>
      </c>
      <c r="U161" s="783"/>
      <c r="V161" s="783">
        <f t="shared" si="41"/>
        <v>0</v>
      </c>
      <c r="W161" s="1132">
        <f t="shared" si="43"/>
        <v>0</v>
      </c>
      <c r="X161" s="1045">
        <f t="shared" si="50"/>
        <v>0</v>
      </c>
      <c r="Y161" s="1132">
        <f>building!Y160</f>
        <v>37.799999999999997</v>
      </c>
      <c r="Z161" s="1045">
        <f t="shared" si="40"/>
        <v>188924.4</v>
      </c>
      <c r="AA161" s="892"/>
      <c r="AB161" s="891"/>
    </row>
    <row r="162" spans="1:28" s="486" customFormat="1" ht="405">
      <c r="A162" s="1184"/>
      <c r="B162" s="1125" t="s">
        <v>6040</v>
      </c>
      <c r="C162" s="1400">
        <v>5888</v>
      </c>
      <c r="D162" s="1257" t="s">
        <v>6041</v>
      </c>
      <c r="E162" s="1258">
        <f>detailed!G951</f>
        <v>9.5</v>
      </c>
      <c r="F162" s="1127">
        <f t="shared" si="42"/>
        <v>55936</v>
      </c>
      <c r="G162" s="1138"/>
      <c r="H162" s="1127">
        <f t="shared" si="44"/>
        <v>0</v>
      </c>
      <c r="I162" s="1138"/>
      <c r="J162" s="1127">
        <f t="shared" si="45"/>
        <v>0</v>
      </c>
      <c r="K162" s="1138"/>
      <c r="L162" s="1127">
        <f t="shared" si="46"/>
        <v>0</v>
      </c>
      <c r="M162" s="1138"/>
      <c r="N162" s="1127">
        <f t="shared" si="47"/>
        <v>0</v>
      </c>
      <c r="O162" s="1138"/>
      <c r="P162" s="1127">
        <f t="shared" si="48"/>
        <v>0</v>
      </c>
      <c r="Q162" s="1138"/>
      <c r="R162" s="1127">
        <f t="shared" si="49"/>
        <v>0</v>
      </c>
      <c r="S162" s="1028"/>
      <c r="T162" s="1131">
        <f t="shared" si="30"/>
        <v>0</v>
      </c>
      <c r="U162" s="1045"/>
      <c r="V162" s="1045">
        <f t="shared" si="41"/>
        <v>0</v>
      </c>
      <c r="W162" s="1132">
        <f t="shared" si="43"/>
        <v>0</v>
      </c>
      <c r="X162" s="1045">
        <f t="shared" si="50"/>
        <v>0</v>
      </c>
      <c r="Y162" s="1132">
        <f>building!Y161</f>
        <v>9.5</v>
      </c>
      <c r="Z162" s="1045">
        <f t="shared" si="40"/>
        <v>55936</v>
      </c>
      <c r="AA162" s="892"/>
      <c r="AB162" s="891"/>
    </row>
    <row r="163" spans="1:28" ht="102">
      <c r="A163" s="1210"/>
      <c r="B163" s="1155" t="s">
        <v>1463</v>
      </c>
      <c r="C163" s="1052">
        <f>ROUND(Data!K3117,2)</f>
        <v>4024.1</v>
      </c>
      <c r="D163" s="1127" t="s">
        <v>2199</v>
      </c>
      <c r="E163" s="1128"/>
      <c r="F163" s="1127">
        <f t="shared" si="42"/>
        <v>0</v>
      </c>
      <c r="G163" s="1127"/>
      <c r="H163" s="1127">
        <f t="shared" si="44"/>
        <v>0</v>
      </c>
      <c r="I163" s="1127"/>
      <c r="J163" s="1127">
        <f t="shared" si="45"/>
        <v>0</v>
      </c>
      <c r="K163" s="1127"/>
      <c r="L163" s="1127">
        <f t="shared" si="46"/>
        <v>0</v>
      </c>
      <c r="M163" s="1127"/>
      <c r="N163" s="1127">
        <f t="shared" si="47"/>
        <v>0</v>
      </c>
      <c r="O163" s="1127"/>
      <c r="P163" s="1127">
        <f t="shared" si="48"/>
        <v>0</v>
      </c>
      <c r="Q163" s="1127"/>
      <c r="R163" s="1127">
        <f t="shared" si="49"/>
        <v>0</v>
      </c>
      <c r="S163" s="1045"/>
      <c r="T163" s="1131">
        <f t="shared" si="30"/>
        <v>0</v>
      </c>
      <c r="U163" s="1045"/>
      <c r="V163" s="1045">
        <f t="shared" si="41"/>
        <v>0</v>
      </c>
      <c r="W163" s="1132">
        <f t="shared" si="43"/>
        <v>0</v>
      </c>
      <c r="X163" s="1045">
        <f t="shared" si="50"/>
        <v>0</v>
      </c>
      <c r="Y163" s="1132">
        <f>building!Y162</f>
        <v>0</v>
      </c>
      <c r="Z163" s="1045">
        <f t="shared" si="40"/>
        <v>0</v>
      </c>
      <c r="AA163" s="890"/>
      <c r="AB163" s="890"/>
    </row>
    <row r="164" spans="1:28" ht="45">
      <c r="A164" s="1040"/>
      <c r="B164" s="1159" t="s">
        <v>4638</v>
      </c>
      <c r="C164" s="1052"/>
      <c r="D164" s="1127"/>
      <c r="E164" s="1128"/>
      <c r="F164" s="1127">
        <f t="shared" si="42"/>
        <v>0</v>
      </c>
      <c r="G164" s="1127"/>
      <c r="H164" s="1127">
        <f t="shared" si="44"/>
        <v>0</v>
      </c>
      <c r="I164" s="1127"/>
      <c r="J164" s="1127">
        <f t="shared" si="45"/>
        <v>0</v>
      </c>
      <c r="K164" s="1127"/>
      <c r="L164" s="1127">
        <f t="shared" si="46"/>
        <v>0</v>
      </c>
      <c r="M164" s="1127"/>
      <c r="N164" s="1127">
        <f t="shared" si="47"/>
        <v>0</v>
      </c>
      <c r="O164" s="1127"/>
      <c r="P164" s="1127">
        <f t="shared" si="48"/>
        <v>0</v>
      </c>
      <c r="Q164" s="1127"/>
      <c r="R164" s="1127">
        <f t="shared" si="49"/>
        <v>0</v>
      </c>
      <c r="S164" s="1049"/>
      <c r="T164" s="1131">
        <f t="shared" si="30"/>
        <v>0</v>
      </c>
      <c r="U164" s="1045"/>
      <c r="V164" s="1045">
        <f t="shared" si="41"/>
        <v>0</v>
      </c>
      <c r="W164" s="1132">
        <f t="shared" si="43"/>
        <v>0</v>
      </c>
      <c r="X164" s="1045">
        <f t="shared" si="50"/>
        <v>0</v>
      </c>
      <c r="Y164" s="1132">
        <f>building!Y163</f>
        <v>0</v>
      </c>
      <c r="Z164" s="1045">
        <f t="shared" si="40"/>
        <v>0</v>
      </c>
      <c r="AA164" s="890"/>
      <c r="AB164" s="890"/>
    </row>
    <row r="165" spans="1:28" s="718" customFormat="1">
      <c r="A165" s="994"/>
      <c r="B165" s="1162" t="s">
        <v>4295</v>
      </c>
      <c r="C165" s="1034">
        <f>ROUND(Data!K2830,2)</f>
        <v>6399.66</v>
      </c>
      <c r="D165" s="1147" t="s">
        <v>2199</v>
      </c>
      <c r="E165" s="1148">
        <f>detailed!G935</f>
        <v>44.1</v>
      </c>
      <c r="F165" s="1127">
        <f t="shared" si="42"/>
        <v>282225.01</v>
      </c>
      <c r="G165" s="1147"/>
      <c r="H165" s="1127">
        <f t="shared" si="44"/>
        <v>0</v>
      </c>
      <c r="I165" s="1147"/>
      <c r="J165" s="1127">
        <f t="shared" si="45"/>
        <v>0</v>
      </c>
      <c r="K165" s="1147"/>
      <c r="L165" s="1127">
        <f t="shared" si="46"/>
        <v>0</v>
      </c>
      <c r="M165" s="1147"/>
      <c r="N165" s="1127">
        <f t="shared" si="47"/>
        <v>0</v>
      </c>
      <c r="O165" s="1147"/>
      <c r="P165" s="1127">
        <f t="shared" si="48"/>
        <v>0</v>
      </c>
      <c r="Q165" s="1147"/>
      <c r="R165" s="1127">
        <f t="shared" si="49"/>
        <v>0</v>
      </c>
      <c r="S165" s="1028"/>
      <c r="T165" s="1131">
        <f t="shared" si="30"/>
        <v>0</v>
      </c>
      <c r="U165" s="1045"/>
      <c r="V165" s="1045">
        <f t="shared" si="41"/>
        <v>0</v>
      </c>
      <c r="W165" s="1132">
        <f t="shared" si="43"/>
        <v>0</v>
      </c>
      <c r="X165" s="1045">
        <f t="shared" si="50"/>
        <v>0</v>
      </c>
      <c r="Y165" s="1132">
        <f>building!Y164</f>
        <v>44.1</v>
      </c>
      <c r="Z165" s="1045">
        <f t="shared" si="40"/>
        <v>282225.01</v>
      </c>
      <c r="AA165" s="891"/>
      <c r="AB165" s="891"/>
    </row>
    <row r="166" spans="1:28" s="486" customFormat="1">
      <c r="A166" s="1211"/>
      <c r="B166" s="1150" t="s">
        <v>3532</v>
      </c>
      <c r="C166" s="1156"/>
      <c r="D166" s="1152"/>
      <c r="E166" s="1153"/>
      <c r="F166" s="1127">
        <f t="shared" si="42"/>
        <v>0</v>
      </c>
      <c r="G166" s="1152"/>
      <c r="H166" s="1127">
        <f t="shared" si="44"/>
        <v>0</v>
      </c>
      <c r="I166" s="1152"/>
      <c r="J166" s="1127">
        <f t="shared" si="45"/>
        <v>0</v>
      </c>
      <c r="K166" s="1152"/>
      <c r="L166" s="1127">
        <f t="shared" si="46"/>
        <v>0</v>
      </c>
      <c r="M166" s="1152"/>
      <c r="N166" s="1127">
        <f t="shared" si="47"/>
        <v>0</v>
      </c>
      <c r="O166" s="1152"/>
      <c r="P166" s="1127">
        <f t="shared" si="48"/>
        <v>0</v>
      </c>
      <c r="Q166" s="1152"/>
      <c r="R166" s="1127">
        <f t="shared" si="49"/>
        <v>0</v>
      </c>
      <c r="S166" s="1028"/>
      <c r="T166" s="1131">
        <f t="shared" si="30"/>
        <v>0</v>
      </c>
      <c r="U166" s="1045"/>
      <c r="V166" s="1045">
        <f t="shared" si="41"/>
        <v>0</v>
      </c>
      <c r="W166" s="1132">
        <f t="shared" si="43"/>
        <v>0</v>
      </c>
      <c r="X166" s="1045">
        <f t="shared" si="50"/>
        <v>0</v>
      </c>
      <c r="Y166" s="1132">
        <f>building!Y165</f>
        <v>0</v>
      </c>
      <c r="Z166" s="1045">
        <f t="shared" si="40"/>
        <v>0</v>
      </c>
      <c r="AA166" s="892"/>
      <c r="AB166" s="891"/>
    </row>
    <row r="167" spans="1:28" s="486" customFormat="1">
      <c r="A167" s="1010"/>
      <c r="B167" s="1159" t="s">
        <v>4296</v>
      </c>
      <c r="C167" s="1024"/>
      <c r="D167" s="1138"/>
      <c r="E167" s="1139"/>
      <c r="F167" s="1127">
        <f t="shared" si="42"/>
        <v>0</v>
      </c>
      <c r="G167" s="1138"/>
      <c r="H167" s="1127">
        <f t="shared" si="44"/>
        <v>0</v>
      </c>
      <c r="I167" s="1138"/>
      <c r="J167" s="1127">
        <f t="shared" si="45"/>
        <v>0</v>
      </c>
      <c r="K167" s="1138"/>
      <c r="L167" s="1127">
        <f t="shared" si="46"/>
        <v>0</v>
      </c>
      <c r="M167" s="1138"/>
      <c r="N167" s="1127">
        <f t="shared" si="47"/>
        <v>0</v>
      </c>
      <c r="O167" s="1138"/>
      <c r="P167" s="1127">
        <f t="shared" si="48"/>
        <v>0</v>
      </c>
      <c r="Q167" s="1138"/>
      <c r="R167" s="1127">
        <f t="shared" si="49"/>
        <v>0</v>
      </c>
      <c r="S167" s="1045"/>
      <c r="T167" s="1131">
        <f t="shared" si="30"/>
        <v>0</v>
      </c>
      <c r="U167" s="1045"/>
      <c r="V167" s="1045">
        <f t="shared" si="41"/>
        <v>0</v>
      </c>
      <c r="W167" s="1132">
        <f t="shared" si="43"/>
        <v>0</v>
      </c>
      <c r="X167" s="1045">
        <f t="shared" si="50"/>
        <v>0</v>
      </c>
      <c r="Y167" s="1132">
        <f>building!Y166</f>
        <v>0</v>
      </c>
      <c r="Z167" s="1045">
        <f t="shared" si="40"/>
        <v>0</v>
      </c>
      <c r="AA167" s="892"/>
      <c r="AB167" s="890"/>
    </row>
    <row r="168" spans="1:28" s="486" customFormat="1">
      <c r="A168" s="1010"/>
      <c r="B168" s="1125" t="s">
        <v>5652</v>
      </c>
      <c r="C168" s="1024">
        <f>Data!K2650</f>
        <v>5846.33</v>
      </c>
      <c r="D168" s="1138" t="s">
        <v>2199</v>
      </c>
      <c r="E168" s="1139">
        <f>detailed!G928</f>
        <v>15.8</v>
      </c>
      <c r="F168" s="1127">
        <f t="shared" si="42"/>
        <v>92372.01</v>
      </c>
      <c r="G168" s="1138"/>
      <c r="H168" s="1127">
        <f t="shared" si="44"/>
        <v>0</v>
      </c>
      <c r="I168" s="1138"/>
      <c r="J168" s="1127">
        <f t="shared" si="45"/>
        <v>0</v>
      </c>
      <c r="K168" s="1138"/>
      <c r="L168" s="1127">
        <f t="shared" si="46"/>
        <v>0</v>
      </c>
      <c r="M168" s="1138"/>
      <c r="N168" s="1127">
        <f t="shared" si="47"/>
        <v>0</v>
      </c>
      <c r="O168" s="1138"/>
      <c r="P168" s="1127">
        <f t="shared" si="48"/>
        <v>0</v>
      </c>
      <c r="Q168" s="1138"/>
      <c r="R168" s="1127">
        <f t="shared" si="49"/>
        <v>0</v>
      </c>
      <c r="S168" s="1045"/>
      <c r="T168" s="1131">
        <f t="shared" si="30"/>
        <v>0</v>
      </c>
      <c r="U168" s="1045"/>
      <c r="V168" s="1045">
        <f t="shared" si="41"/>
        <v>0</v>
      </c>
      <c r="W168" s="1132">
        <f t="shared" si="43"/>
        <v>0</v>
      </c>
      <c r="X168" s="1045">
        <f t="shared" si="50"/>
        <v>0</v>
      </c>
      <c r="Y168" s="1132">
        <f>building!Y167</f>
        <v>15.8</v>
      </c>
      <c r="Z168" s="1045">
        <f t="shared" si="40"/>
        <v>92372.01</v>
      </c>
      <c r="AA168" s="892"/>
      <c r="AB168" s="890"/>
    </row>
    <row r="169" spans="1:28">
      <c r="A169" s="1184" t="s">
        <v>3473</v>
      </c>
      <c r="B169" s="1125" t="s">
        <v>4266</v>
      </c>
      <c r="C169" s="1052">
        <f>Data!C707</f>
        <v>3167</v>
      </c>
      <c r="D169" s="1127" t="s">
        <v>2199</v>
      </c>
      <c r="E169" s="1128">
        <f>detailed!G922</f>
        <v>17.399999999999999</v>
      </c>
      <c r="F169" s="1127">
        <f t="shared" si="42"/>
        <v>55105.8</v>
      </c>
      <c r="G169" s="1127"/>
      <c r="H169" s="1127">
        <f t="shared" si="44"/>
        <v>0</v>
      </c>
      <c r="I169" s="1127"/>
      <c r="J169" s="1127">
        <f t="shared" si="45"/>
        <v>0</v>
      </c>
      <c r="K169" s="1127"/>
      <c r="L169" s="1127">
        <f t="shared" si="46"/>
        <v>0</v>
      </c>
      <c r="M169" s="1127"/>
      <c r="N169" s="1127">
        <f t="shared" si="47"/>
        <v>0</v>
      </c>
      <c r="O169" s="1127"/>
      <c r="P169" s="1127">
        <f t="shared" si="48"/>
        <v>0</v>
      </c>
      <c r="Q169" s="1127"/>
      <c r="R169" s="1127">
        <f t="shared" si="49"/>
        <v>0</v>
      </c>
      <c r="S169" s="1045"/>
      <c r="T169" s="1131">
        <f t="shared" si="30"/>
        <v>0</v>
      </c>
      <c r="U169" s="1045"/>
      <c r="V169" s="1045">
        <f t="shared" si="41"/>
        <v>0</v>
      </c>
      <c r="W169" s="1132">
        <f t="shared" si="43"/>
        <v>0</v>
      </c>
      <c r="X169" s="1045">
        <f t="shared" si="50"/>
        <v>0</v>
      </c>
      <c r="Y169" s="1132">
        <f>building!Y168</f>
        <v>17.399999999999999</v>
      </c>
      <c r="Z169" s="1045">
        <f t="shared" si="40"/>
        <v>55105.8</v>
      </c>
      <c r="AA169" s="890"/>
      <c r="AB169" s="890"/>
    </row>
    <row r="170" spans="1:28" s="718" customFormat="1" ht="45">
      <c r="A170" s="1212" t="s">
        <v>664</v>
      </c>
      <c r="B170" s="1162" t="s">
        <v>1639</v>
      </c>
      <c r="C170" s="995">
        <f>ROUND(Data!K1188,2)</f>
        <v>708.1</v>
      </c>
      <c r="D170" s="1147" t="s">
        <v>2199</v>
      </c>
      <c r="E170" s="1148"/>
      <c r="F170" s="1127">
        <f t="shared" si="42"/>
        <v>0</v>
      </c>
      <c r="G170" s="1147"/>
      <c r="H170" s="1127">
        <f t="shared" si="44"/>
        <v>0</v>
      </c>
      <c r="I170" s="1147"/>
      <c r="J170" s="1127">
        <f t="shared" si="45"/>
        <v>0</v>
      </c>
      <c r="K170" s="1147"/>
      <c r="L170" s="1127">
        <f t="shared" si="46"/>
        <v>0</v>
      </c>
      <c r="M170" s="1147"/>
      <c r="N170" s="1127">
        <f t="shared" si="47"/>
        <v>0</v>
      </c>
      <c r="O170" s="1147"/>
      <c r="P170" s="1127">
        <f t="shared" si="48"/>
        <v>0</v>
      </c>
      <c r="Q170" s="1147"/>
      <c r="R170" s="1127">
        <f t="shared" si="49"/>
        <v>0</v>
      </c>
      <c r="S170" s="1028"/>
      <c r="T170" s="1131">
        <f t="shared" ref="T170:T233" si="51">S170*C170</f>
        <v>0</v>
      </c>
      <c r="U170" s="1045"/>
      <c r="V170" s="1045">
        <f t="shared" si="41"/>
        <v>0</v>
      </c>
      <c r="W170" s="1132">
        <f t="shared" si="43"/>
        <v>0</v>
      </c>
      <c r="X170" s="1045">
        <f t="shared" si="50"/>
        <v>0</v>
      </c>
      <c r="Y170" s="1132">
        <f>building!Y169</f>
        <v>0</v>
      </c>
      <c r="Z170" s="1045">
        <f t="shared" si="40"/>
        <v>0</v>
      </c>
      <c r="AA170" s="891"/>
      <c r="AB170" s="891"/>
    </row>
    <row r="171" spans="1:28">
      <c r="A171" s="1124">
        <v>29.8</v>
      </c>
      <c r="B171" s="1125" t="s">
        <v>1233</v>
      </c>
      <c r="C171" s="1052">
        <f>ROUND(Data!K1281,2)</f>
        <v>1235.0999999999999</v>
      </c>
      <c r="D171" s="1127" t="s">
        <v>2199</v>
      </c>
      <c r="E171" s="1128">
        <f>detailed!G1114</f>
        <v>146.4</v>
      </c>
      <c r="F171" s="1127">
        <f t="shared" si="42"/>
        <v>180818.64</v>
      </c>
      <c r="G171" s="1127"/>
      <c r="H171" s="1127">
        <f t="shared" si="44"/>
        <v>0</v>
      </c>
      <c r="I171" s="1127"/>
      <c r="J171" s="1127">
        <f t="shared" si="45"/>
        <v>0</v>
      </c>
      <c r="K171" s="1127"/>
      <c r="L171" s="1127">
        <f t="shared" si="46"/>
        <v>0</v>
      </c>
      <c r="M171" s="1127"/>
      <c r="N171" s="1127">
        <f t="shared" si="47"/>
        <v>0</v>
      </c>
      <c r="O171" s="1127"/>
      <c r="P171" s="1127">
        <f t="shared" si="48"/>
        <v>0</v>
      </c>
      <c r="Q171" s="1127"/>
      <c r="R171" s="1127">
        <f t="shared" si="49"/>
        <v>0</v>
      </c>
      <c r="S171" s="1045"/>
      <c r="T171" s="1131">
        <f t="shared" si="51"/>
        <v>0</v>
      </c>
      <c r="U171" s="1045"/>
      <c r="V171" s="1045">
        <f t="shared" si="41"/>
        <v>0</v>
      </c>
      <c r="W171" s="1132">
        <f t="shared" si="43"/>
        <v>0</v>
      </c>
      <c r="X171" s="1045">
        <f t="shared" si="50"/>
        <v>0</v>
      </c>
      <c r="Y171" s="1132">
        <f>building!Y170</f>
        <v>146.4</v>
      </c>
      <c r="Z171" s="1045">
        <f t="shared" si="40"/>
        <v>180818.64</v>
      </c>
      <c r="AA171" s="890"/>
      <c r="AB171" s="890"/>
    </row>
    <row r="172" spans="1:28" s="486" customFormat="1">
      <c r="A172" s="787"/>
      <c r="B172" s="788" t="s">
        <v>2092</v>
      </c>
      <c r="C172" s="789">
        <f>ROUND(Data!K1267,2)</f>
        <v>1089.73</v>
      </c>
      <c r="D172" s="714" t="s">
        <v>2199</v>
      </c>
      <c r="E172" s="714"/>
      <c r="F172" s="1127">
        <f t="shared" si="42"/>
        <v>0</v>
      </c>
      <c r="G172" s="714"/>
      <c r="H172" s="1127">
        <f t="shared" si="44"/>
        <v>0</v>
      </c>
      <c r="I172" s="714"/>
      <c r="J172" s="1127">
        <f t="shared" si="45"/>
        <v>0</v>
      </c>
      <c r="K172" s="714"/>
      <c r="L172" s="1127">
        <f t="shared" si="46"/>
        <v>0</v>
      </c>
      <c r="M172" s="714"/>
      <c r="N172" s="1127">
        <f t="shared" si="47"/>
        <v>0</v>
      </c>
      <c r="O172" s="714"/>
      <c r="P172" s="1127">
        <f t="shared" si="48"/>
        <v>0</v>
      </c>
      <c r="Q172" s="714"/>
      <c r="R172" s="1127">
        <f t="shared" si="49"/>
        <v>0</v>
      </c>
      <c r="S172" s="784"/>
      <c r="T172" s="1131">
        <f t="shared" si="51"/>
        <v>0</v>
      </c>
      <c r="U172" s="783"/>
      <c r="V172" s="783">
        <f t="shared" si="41"/>
        <v>0</v>
      </c>
      <c r="W172" s="1132">
        <f t="shared" si="43"/>
        <v>0</v>
      </c>
      <c r="X172" s="1045">
        <f t="shared" si="50"/>
        <v>0</v>
      </c>
      <c r="Y172" s="1132">
        <f>building!Y171</f>
        <v>0</v>
      </c>
      <c r="Z172" s="1045">
        <f t="shared" si="40"/>
        <v>0</v>
      </c>
      <c r="AA172" s="892"/>
      <c r="AB172" s="891"/>
    </row>
    <row r="173" spans="1:28" ht="45">
      <c r="A173" s="1124">
        <v>29.9</v>
      </c>
      <c r="B173" s="1125" t="s">
        <v>1643</v>
      </c>
      <c r="C173" s="1052">
        <f>ROUND(Data!K1267,2)</f>
        <v>1089.73</v>
      </c>
      <c r="D173" s="1127" t="s">
        <v>2199</v>
      </c>
      <c r="E173" s="1128">
        <f>detailed!G1083</f>
        <v>178.6</v>
      </c>
      <c r="F173" s="1127">
        <f t="shared" si="42"/>
        <v>194625.78</v>
      </c>
      <c r="G173" s="1127"/>
      <c r="H173" s="1127">
        <f t="shared" si="44"/>
        <v>0</v>
      </c>
      <c r="I173" s="1127"/>
      <c r="J173" s="1127">
        <f t="shared" si="45"/>
        <v>0</v>
      </c>
      <c r="K173" s="1127"/>
      <c r="L173" s="1127">
        <f t="shared" si="46"/>
        <v>0</v>
      </c>
      <c r="M173" s="1127"/>
      <c r="N173" s="1127">
        <f t="shared" si="47"/>
        <v>0</v>
      </c>
      <c r="O173" s="1127"/>
      <c r="P173" s="1127">
        <f t="shared" si="48"/>
        <v>0</v>
      </c>
      <c r="Q173" s="1127"/>
      <c r="R173" s="1127">
        <f t="shared" si="49"/>
        <v>0</v>
      </c>
      <c r="S173" s="1045"/>
      <c r="T173" s="1131">
        <f t="shared" si="51"/>
        <v>0</v>
      </c>
      <c r="U173" s="1045"/>
      <c r="V173" s="1045">
        <f t="shared" si="41"/>
        <v>0</v>
      </c>
      <c r="W173" s="1132">
        <f t="shared" si="43"/>
        <v>0</v>
      </c>
      <c r="X173" s="1045">
        <f t="shared" si="50"/>
        <v>0</v>
      </c>
      <c r="Y173" s="1132">
        <f>building!Y172</f>
        <v>178.6</v>
      </c>
      <c r="Z173" s="1045">
        <f t="shared" si="40"/>
        <v>194625.78</v>
      </c>
      <c r="AA173" s="890"/>
      <c r="AB173" s="890"/>
    </row>
    <row r="174" spans="1:28" s="718" customFormat="1">
      <c r="A174" s="1133">
        <v>38.4</v>
      </c>
      <c r="B174" s="1162" t="s">
        <v>1644</v>
      </c>
      <c r="C174" s="1135">
        <f>Data!K2728</f>
        <v>114.39</v>
      </c>
      <c r="D174" s="1136" t="s">
        <v>2199</v>
      </c>
      <c r="E174" s="1137"/>
      <c r="F174" s="1127">
        <f t="shared" si="42"/>
        <v>0</v>
      </c>
      <c r="G174" s="1136"/>
      <c r="H174" s="1127">
        <f t="shared" si="44"/>
        <v>0</v>
      </c>
      <c r="I174" s="1136"/>
      <c r="J174" s="1127">
        <f t="shared" si="45"/>
        <v>0</v>
      </c>
      <c r="K174" s="1136"/>
      <c r="L174" s="1127">
        <f t="shared" si="46"/>
        <v>0</v>
      </c>
      <c r="M174" s="1136"/>
      <c r="N174" s="1127">
        <f t="shared" si="47"/>
        <v>0</v>
      </c>
      <c r="O174" s="1136"/>
      <c r="P174" s="1127">
        <f t="shared" si="48"/>
        <v>0</v>
      </c>
      <c r="Q174" s="1136"/>
      <c r="R174" s="1127">
        <f t="shared" si="49"/>
        <v>0</v>
      </c>
      <c r="S174" s="1028"/>
      <c r="T174" s="1131">
        <f t="shared" si="51"/>
        <v>0</v>
      </c>
      <c r="U174" s="1045"/>
      <c r="V174" s="1045">
        <f t="shared" si="41"/>
        <v>0</v>
      </c>
      <c r="W174" s="1132">
        <f t="shared" si="43"/>
        <v>0</v>
      </c>
      <c r="X174" s="1045">
        <f t="shared" si="50"/>
        <v>0</v>
      </c>
      <c r="Y174" s="1132">
        <f>building!Y173</f>
        <v>0</v>
      </c>
      <c r="Z174" s="1045">
        <f t="shared" ref="Z174:Z202" si="52">Y174*C174</f>
        <v>0</v>
      </c>
      <c r="AA174" s="891"/>
      <c r="AB174" s="891"/>
    </row>
    <row r="175" spans="1:28" ht="45">
      <c r="A175" s="1124">
        <v>38.6</v>
      </c>
      <c r="B175" s="1125" t="s">
        <v>1645</v>
      </c>
      <c r="C175" s="1052">
        <f>ROUND(Data!K2719,2)</f>
        <v>53.72</v>
      </c>
      <c r="D175" s="1127" t="s">
        <v>2199</v>
      </c>
      <c r="E175" s="1128"/>
      <c r="F175" s="1127">
        <f t="shared" si="42"/>
        <v>0</v>
      </c>
      <c r="G175" s="1127"/>
      <c r="H175" s="1127">
        <f t="shared" si="44"/>
        <v>0</v>
      </c>
      <c r="I175" s="1127"/>
      <c r="J175" s="1127">
        <f t="shared" si="45"/>
        <v>0</v>
      </c>
      <c r="K175" s="1127"/>
      <c r="L175" s="1127">
        <f t="shared" si="46"/>
        <v>0</v>
      </c>
      <c r="M175" s="1127"/>
      <c r="N175" s="1127">
        <f t="shared" si="47"/>
        <v>0</v>
      </c>
      <c r="O175" s="1127"/>
      <c r="P175" s="1127">
        <f t="shared" si="48"/>
        <v>0</v>
      </c>
      <c r="Q175" s="1127"/>
      <c r="R175" s="1127">
        <f t="shared" si="49"/>
        <v>0</v>
      </c>
      <c r="S175" s="1045"/>
      <c r="T175" s="1131">
        <f t="shared" si="51"/>
        <v>0</v>
      </c>
      <c r="U175" s="1045"/>
      <c r="V175" s="1045">
        <f t="shared" si="41"/>
        <v>0</v>
      </c>
      <c r="W175" s="1132">
        <f t="shared" si="43"/>
        <v>0</v>
      </c>
      <c r="X175" s="1045">
        <f t="shared" si="50"/>
        <v>0</v>
      </c>
      <c r="Y175" s="1132">
        <f>building!Y174</f>
        <v>0</v>
      </c>
      <c r="Z175" s="1045">
        <f t="shared" si="52"/>
        <v>0</v>
      </c>
      <c r="AA175" s="890"/>
      <c r="AB175" s="890"/>
    </row>
    <row r="176" spans="1:28" s="486" customFormat="1" ht="45">
      <c r="A176" s="1149">
        <v>42</v>
      </c>
      <c r="B176" s="1150" t="s">
        <v>5653</v>
      </c>
      <c r="C176" s="1151">
        <f>ROUND(Data!K1585,2)</f>
        <v>79335.5</v>
      </c>
      <c r="D176" s="1152" t="s">
        <v>494</v>
      </c>
      <c r="E176" s="1153"/>
      <c r="F176" s="1127">
        <f t="shared" si="42"/>
        <v>0</v>
      </c>
      <c r="G176" s="1152"/>
      <c r="H176" s="1127">
        <f t="shared" si="44"/>
        <v>0</v>
      </c>
      <c r="I176" s="1152"/>
      <c r="J176" s="1127">
        <f t="shared" si="45"/>
        <v>0</v>
      </c>
      <c r="K176" s="1152"/>
      <c r="L176" s="1127">
        <f t="shared" si="46"/>
        <v>0</v>
      </c>
      <c r="M176" s="1152"/>
      <c r="N176" s="1127">
        <f t="shared" si="47"/>
        <v>0</v>
      </c>
      <c r="O176" s="1152"/>
      <c r="P176" s="1127">
        <f t="shared" si="48"/>
        <v>0</v>
      </c>
      <c r="Q176" s="1152"/>
      <c r="R176" s="1127">
        <f t="shared" si="49"/>
        <v>0</v>
      </c>
      <c r="S176" s="1028"/>
      <c r="T176" s="1131">
        <f t="shared" si="51"/>
        <v>0</v>
      </c>
      <c r="U176" s="1045"/>
      <c r="V176" s="1045">
        <f t="shared" si="41"/>
        <v>0</v>
      </c>
      <c r="W176" s="1132">
        <f t="shared" si="43"/>
        <v>0</v>
      </c>
      <c r="X176" s="1045">
        <f t="shared" si="50"/>
        <v>0</v>
      </c>
      <c r="Y176" s="1132">
        <f>building!Y175</f>
        <v>0</v>
      </c>
      <c r="Z176" s="1045">
        <f t="shared" si="52"/>
        <v>0</v>
      </c>
      <c r="AA176" s="892"/>
      <c r="AB176" s="891"/>
    </row>
    <row r="177" spans="1:29" s="718" customFormat="1" ht="67.5">
      <c r="A177" s="1160">
        <v>43</v>
      </c>
      <c r="B177" s="1162" t="s">
        <v>5654</v>
      </c>
      <c r="C177" s="994">
        <f>ROUND(Data!K1611,2)</f>
        <v>77593</v>
      </c>
      <c r="D177" s="1147" t="s">
        <v>494</v>
      </c>
      <c r="E177" s="1148">
        <f>detailed!G1571</f>
        <v>62.73</v>
      </c>
      <c r="F177" s="1127">
        <f t="shared" si="42"/>
        <v>4867408.8899999997</v>
      </c>
      <c r="G177" s="1405">
        <f>ST!G69</f>
        <v>0.19900000000000001</v>
      </c>
      <c r="H177" s="1127">
        <f t="shared" si="44"/>
        <v>15441.01</v>
      </c>
      <c r="I177" s="1147">
        <f>Sump!G41</f>
        <v>2.0499999999999998</v>
      </c>
      <c r="J177" s="1127">
        <f t="shared" si="45"/>
        <v>159065.65</v>
      </c>
      <c r="K177" s="1147"/>
      <c r="L177" s="1127">
        <f t="shared" si="46"/>
        <v>0</v>
      </c>
      <c r="M177" s="1147"/>
      <c r="N177" s="1127">
        <f t="shared" si="47"/>
        <v>0</v>
      </c>
      <c r="O177" s="1147"/>
      <c r="P177" s="1127">
        <f t="shared" si="48"/>
        <v>0</v>
      </c>
      <c r="Q177" s="1147"/>
      <c r="R177" s="1127">
        <f t="shared" si="49"/>
        <v>0</v>
      </c>
      <c r="S177" s="1027"/>
      <c r="T177" s="1131">
        <f t="shared" si="51"/>
        <v>0</v>
      </c>
      <c r="U177" s="1045">
        <f>Com.wall!I115</f>
        <v>2.8</v>
      </c>
      <c r="V177" s="1045">
        <f t="shared" si="41"/>
        <v>217260.4</v>
      </c>
      <c r="W177" s="1132">
        <f t="shared" si="43"/>
        <v>5.0490000000000004</v>
      </c>
      <c r="X177" s="1045">
        <f t="shared" si="50"/>
        <v>391767.06</v>
      </c>
      <c r="Y177" s="1132">
        <f>building!Y176</f>
        <v>67.778999999999996</v>
      </c>
      <c r="Z177" s="1045">
        <f t="shared" si="52"/>
        <v>5259175.95</v>
      </c>
      <c r="AA177" s="891"/>
      <c r="AB177" s="891"/>
    </row>
    <row r="178" spans="1:29" s="718" customFormat="1" ht="45">
      <c r="A178" s="1160">
        <v>44.6</v>
      </c>
      <c r="B178" s="1162" t="s">
        <v>5655</v>
      </c>
      <c r="C178" s="995">
        <f>ROUND(Data!K1641,2)</f>
        <v>321.74</v>
      </c>
      <c r="D178" s="1147" t="s">
        <v>794</v>
      </c>
      <c r="E178" s="1148">
        <f>detailed!H1576</f>
        <v>85.7</v>
      </c>
      <c r="F178" s="1127">
        <f t="shared" si="42"/>
        <v>27573.119999999999</v>
      </c>
      <c r="G178" s="1147"/>
      <c r="H178" s="1127">
        <f t="shared" si="44"/>
        <v>0</v>
      </c>
      <c r="I178" s="1147"/>
      <c r="J178" s="1127">
        <f t="shared" si="45"/>
        <v>0</v>
      </c>
      <c r="K178" s="1147"/>
      <c r="L178" s="1127">
        <f t="shared" si="46"/>
        <v>0</v>
      </c>
      <c r="M178" s="1147"/>
      <c r="N178" s="1127">
        <f t="shared" si="47"/>
        <v>0</v>
      </c>
      <c r="O178" s="1147"/>
      <c r="P178" s="1127">
        <f t="shared" si="48"/>
        <v>0</v>
      </c>
      <c r="Q178" s="1147"/>
      <c r="R178" s="1127">
        <f t="shared" si="49"/>
        <v>0</v>
      </c>
      <c r="S178" s="1028"/>
      <c r="T178" s="1131">
        <f t="shared" si="51"/>
        <v>0</v>
      </c>
      <c r="U178" s="1045"/>
      <c r="V178" s="1045">
        <f t="shared" si="41"/>
        <v>0</v>
      </c>
      <c r="W178" s="1132">
        <f t="shared" si="43"/>
        <v>0</v>
      </c>
      <c r="X178" s="1045">
        <f t="shared" si="50"/>
        <v>0</v>
      </c>
      <c r="Y178" s="1132">
        <f>building!Y177</f>
        <v>85.7</v>
      </c>
      <c r="Z178" s="1045">
        <f t="shared" si="52"/>
        <v>27573.119999999999</v>
      </c>
      <c r="AA178" s="891"/>
      <c r="AB178" s="891"/>
    </row>
    <row r="179" spans="1:29" s="718" customFormat="1">
      <c r="A179" s="1160">
        <v>50.6</v>
      </c>
      <c r="B179" s="1162" t="s">
        <v>1039</v>
      </c>
      <c r="C179" s="995">
        <f>ROUND(Data!K2395,2)</f>
        <v>366.52</v>
      </c>
      <c r="D179" s="1147" t="s">
        <v>2199</v>
      </c>
      <c r="E179" s="1148"/>
      <c r="F179" s="1127">
        <f t="shared" si="42"/>
        <v>0</v>
      </c>
      <c r="G179" s="1147"/>
      <c r="H179" s="1127">
        <f t="shared" si="44"/>
        <v>0</v>
      </c>
      <c r="I179" s="1147"/>
      <c r="J179" s="1127">
        <f t="shared" si="45"/>
        <v>0</v>
      </c>
      <c r="K179" s="1147">
        <f>'Plinth P'!G37</f>
        <v>60.2</v>
      </c>
      <c r="L179" s="1127">
        <f t="shared" si="46"/>
        <v>22064.5</v>
      </c>
      <c r="M179" s="1147"/>
      <c r="N179" s="1127">
        <f t="shared" si="47"/>
        <v>0</v>
      </c>
      <c r="O179" s="1147"/>
      <c r="P179" s="1127">
        <f t="shared" si="48"/>
        <v>0</v>
      </c>
      <c r="Q179" s="1147"/>
      <c r="R179" s="1127">
        <f t="shared" si="49"/>
        <v>0</v>
      </c>
      <c r="S179" s="1028"/>
      <c r="T179" s="1131">
        <f t="shared" si="51"/>
        <v>0</v>
      </c>
      <c r="U179" s="1045"/>
      <c r="V179" s="1045">
        <f t="shared" si="41"/>
        <v>0</v>
      </c>
      <c r="W179" s="1132">
        <f t="shared" si="43"/>
        <v>60.2</v>
      </c>
      <c r="X179" s="1045">
        <f t="shared" si="50"/>
        <v>22064.5</v>
      </c>
      <c r="Y179" s="1132">
        <f>building!Y178</f>
        <v>60.2</v>
      </c>
      <c r="Z179" s="1045">
        <f t="shared" si="52"/>
        <v>22064.5</v>
      </c>
      <c r="AA179" s="891"/>
      <c r="AB179" s="891"/>
    </row>
    <row r="180" spans="1:29" s="718" customFormat="1" ht="45">
      <c r="A180" s="1160">
        <v>52.4</v>
      </c>
      <c r="B180" s="1162" t="s">
        <v>2145</v>
      </c>
      <c r="C180" s="995">
        <f>ROUND(Data!K2770,2)</f>
        <v>205.94</v>
      </c>
      <c r="D180" s="1147" t="s">
        <v>794</v>
      </c>
      <c r="E180" s="1148">
        <f>detailed!H1626</f>
        <v>68</v>
      </c>
      <c r="F180" s="1127">
        <f t="shared" si="42"/>
        <v>14003.92</v>
      </c>
      <c r="G180" s="1147"/>
      <c r="H180" s="1127">
        <f t="shared" si="44"/>
        <v>0</v>
      </c>
      <c r="I180" s="1147"/>
      <c r="J180" s="1127">
        <f t="shared" si="45"/>
        <v>0</v>
      </c>
      <c r="K180" s="1147"/>
      <c r="L180" s="1127">
        <f t="shared" si="46"/>
        <v>0</v>
      </c>
      <c r="M180" s="1147"/>
      <c r="N180" s="1127">
        <f t="shared" si="47"/>
        <v>0</v>
      </c>
      <c r="O180" s="1147"/>
      <c r="P180" s="1127">
        <f t="shared" si="48"/>
        <v>0</v>
      </c>
      <c r="Q180" s="1147"/>
      <c r="R180" s="1127">
        <f t="shared" si="49"/>
        <v>0</v>
      </c>
      <c r="S180" s="1028"/>
      <c r="T180" s="1131">
        <f t="shared" si="51"/>
        <v>0</v>
      </c>
      <c r="U180" s="1045"/>
      <c r="V180" s="1045">
        <f t="shared" si="41"/>
        <v>0</v>
      </c>
      <c r="W180" s="1132">
        <f t="shared" si="43"/>
        <v>0</v>
      </c>
      <c r="X180" s="1045">
        <f t="shared" si="50"/>
        <v>0</v>
      </c>
      <c r="Y180" s="1132">
        <f>building!Y179</f>
        <v>68</v>
      </c>
      <c r="Z180" s="1045">
        <f t="shared" si="52"/>
        <v>14003.92</v>
      </c>
      <c r="AA180" s="891"/>
      <c r="AB180" s="891"/>
    </row>
    <row r="181" spans="1:29">
      <c r="A181" s="1124">
        <v>53.4</v>
      </c>
      <c r="B181" s="1125" t="s">
        <v>68</v>
      </c>
      <c r="C181" s="1052">
        <f>Data!K1954</f>
        <v>1846</v>
      </c>
      <c r="D181" s="1127" t="s">
        <v>1341</v>
      </c>
      <c r="E181" s="1128"/>
      <c r="F181" s="1127">
        <f t="shared" si="42"/>
        <v>0</v>
      </c>
      <c r="G181" s="1127"/>
      <c r="H181" s="1127">
        <f t="shared" si="44"/>
        <v>0</v>
      </c>
      <c r="I181" s="1127">
        <f>Sump!H44</f>
        <v>2</v>
      </c>
      <c r="J181" s="1127">
        <f t="shared" si="45"/>
        <v>3692</v>
      </c>
      <c r="K181" s="1127"/>
      <c r="L181" s="1127">
        <f t="shared" si="46"/>
        <v>0</v>
      </c>
      <c r="M181" s="1127"/>
      <c r="N181" s="1127">
        <f t="shared" si="47"/>
        <v>0</v>
      </c>
      <c r="O181" s="1127"/>
      <c r="P181" s="1127">
        <f t="shared" si="48"/>
        <v>0</v>
      </c>
      <c r="Q181" s="1127"/>
      <c r="R181" s="1127">
        <f t="shared" si="49"/>
        <v>0</v>
      </c>
      <c r="S181" s="1045"/>
      <c r="T181" s="1131">
        <f t="shared" si="51"/>
        <v>0</v>
      </c>
      <c r="U181" s="1045"/>
      <c r="V181" s="1045">
        <f t="shared" si="41"/>
        <v>0</v>
      </c>
      <c r="W181" s="1132">
        <f t="shared" si="43"/>
        <v>2</v>
      </c>
      <c r="X181" s="1045">
        <f t="shared" si="50"/>
        <v>3692</v>
      </c>
      <c r="Y181" s="1132">
        <f>building!Y180</f>
        <v>2</v>
      </c>
      <c r="Z181" s="1045">
        <f t="shared" si="52"/>
        <v>3692</v>
      </c>
      <c r="AA181" s="890"/>
      <c r="AB181" s="890"/>
    </row>
    <row r="182" spans="1:29" ht="45">
      <c r="A182" s="1124"/>
      <c r="B182" s="1125" t="s">
        <v>4605</v>
      </c>
      <c r="C182" s="1052">
        <f>Data!K3572</f>
        <v>3105.82</v>
      </c>
      <c r="D182" s="1127" t="s">
        <v>1341</v>
      </c>
      <c r="E182" s="1128">
        <f>detailed!H1629</f>
        <v>8</v>
      </c>
      <c r="F182" s="1127">
        <f t="shared" si="42"/>
        <v>24846.560000000001</v>
      </c>
      <c r="G182" s="1127"/>
      <c r="H182" s="1127">
        <f t="shared" si="44"/>
        <v>0</v>
      </c>
      <c r="I182" s="1127"/>
      <c r="J182" s="1127">
        <f t="shared" si="45"/>
        <v>0</v>
      </c>
      <c r="K182" s="1127"/>
      <c r="L182" s="1127">
        <f t="shared" si="46"/>
        <v>0</v>
      </c>
      <c r="M182" s="1127"/>
      <c r="N182" s="1127">
        <f t="shared" si="47"/>
        <v>0</v>
      </c>
      <c r="O182" s="1127"/>
      <c r="P182" s="1127">
        <f t="shared" si="48"/>
        <v>0</v>
      </c>
      <c r="Q182" s="1127"/>
      <c r="R182" s="1127">
        <f t="shared" si="49"/>
        <v>0</v>
      </c>
      <c r="S182" s="1045"/>
      <c r="T182" s="1131">
        <f t="shared" si="51"/>
        <v>0</v>
      </c>
      <c r="U182" s="1045"/>
      <c r="V182" s="1045">
        <f t="shared" si="41"/>
        <v>0</v>
      </c>
      <c r="W182" s="1132">
        <f t="shared" si="43"/>
        <v>0</v>
      </c>
      <c r="X182" s="1045">
        <f t="shared" si="50"/>
        <v>0</v>
      </c>
      <c r="Y182" s="1132">
        <f>building!Y181</f>
        <v>8</v>
      </c>
      <c r="Z182" s="1045">
        <f t="shared" si="52"/>
        <v>24846.560000000001</v>
      </c>
      <c r="AA182" s="890"/>
      <c r="AB182" s="890"/>
    </row>
    <row r="183" spans="1:29">
      <c r="A183" s="1124">
        <v>58.3</v>
      </c>
      <c r="B183" s="1159" t="s">
        <v>1234</v>
      </c>
      <c r="C183" s="1052"/>
      <c r="D183" s="1213"/>
      <c r="E183" s="1214"/>
      <c r="F183" s="1127">
        <f t="shared" si="42"/>
        <v>0</v>
      </c>
      <c r="G183" s="1213"/>
      <c r="H183" s="1127">
        <f t="shared" si="44"/>
        <v>0</v>
      </c>
      <c r="I183" s="1213"/>
      <c r="J183" s="1127">
        <f t="shared" si="45"/>
        <v>0</v>
      </c>
      <c r="K183" s="1213"/>
      <c r="L183" s="1127">
        <f t="shared" si="46"/>
        <v>0</v>
      </c>
      <c r="M183" s="1213"/>
      <c r="N183" s="1127">
        <f t="shared" si="47"/>
        <v>0</v>
      </c>
      <c r="O183" s="1213"/>
      <c r="P183" s="1127">
        <f t="shared" si="48"/>
        <v>0</v>
      </c>
      <c r="Q183" s="1213"/>
      <c r="R183" s="1127">
        <f t="shared" si="49"/>
        <v>0</v>
      </c>
      <c r="S183" s="1049"/>
      <c r="T183" s="1131">
        <f t="shared" si="51"/>
        <v>0</v>
      </c>
      <c r="U183" s="1045"/>
      <c r="V183" s="1045">
        <f t="shared" si="41"/>
        <v>0</v>
      </c>
      <c r="W183" s="1132">
        <f t="shared" si="43"/>
        <v>0</v>
      </c>
      <c r="X183" s="1045">
        <f t="shared" si="50"/>
        <v>0</v>
      </c>
      <c r="Y183" s="1132">
        <f>building!Y182</f>
        <v>0</v>
      </c>
      <c r="Z183" s="1045">
        <f t="shared" si="52"/>
        <v>0</v>
      </c>
      <c r="AA183" s="785"/>
      <c r="AB183" s="890"/>
      <c r="AC183" s="862"/>
    </row>
    <row r="184" spans="1:29" ht="48" customHeight="1">
      <c r="A184" s="1124"/>
      <c r="B184" s="1125" t="s">
        <v>35</v>
      </c>
      <c r="C184" s="1052">
        <f>ROUND(Data!K2066,2)</f>
        <v>657.29</v>
      </c>
      <c r="D184" s="1127" t="s">
        <v>794</v>
      </c>
      <c r="E184" s="1128">
        <f>detailed!H1646</f>
        <v>69</v>
      </c>
      <c r="F184" s="1127">
        <f t="shared" si="42"/>
        <v>45353.01</v>
      </c>
      <c r="G184" s="1127"/>
      <c r="H184" s="1127">
        <f t="shared" si="44"/>
        <v>0</v>
      </c>
      <c r="I184" s="1127"/>
      <c r="J184" s="1127">
        <f t="shared" si="45"/>
        <v>0</v>
      </c>
      <c r="K184" s="1127"/>
      <c r="L184" s="1127">
        <f t="shared" si="46"/>
        <v>0</v>
      </c>
      <c r="M184" s="1127"/>
      <c r="N184" s="1127">
        <f t="shared" si="47"/>
        <v>0</v>
      </c>
      <c r="O184" s="1127"/>
      <c r="P184" s="1127">
        <f t="shared" si="48"/>
        <v>0</v>
      </c>
      <c r="Q184" s="1127"/>
      <c r="R184" s="1127">
        <f t="shared" si="49"/>
        <v>0</v>
      </c>
      <c r="S184" s="1045"/>
      <c r="T184" s="1131">
        <f t="shared" si="51"/>
        <v>0</v>
      </c>
      <c r="U184" s="1045"/>
      <c r="V184" s="1045">
        <f t="shared" si="41"/>
        <v>0</v>
      </c>
      <c r="W184" s="1132">
        <f t="shared" si="43"/>
        <v>0</v>
      </c>
      <c r="X184" s="1045">
        <f t="shared" si="50"/>
        <v>0</v>
      </c>
      <c r="Y184" s="1132">
        <f>building!Y183</f>
        <v>69</v>
      </c>
      <c r="Z184" s="1045">
        <f t="shared" si="52"/>
        <v>45353.01</v>
      </c>
      <c r="AA184" s="890"/>
      <c r="AB184" s="890"/>
    </row>
    <row r="185" spans="1:29" ht="48" customHeight="1">
      <c r="A185" s="1040"/>
      <c r="B185" s="1125" t="s">
        <v>36</v>
      </c>
      <c r="C185" s="1052">
        <f>ROUND(Data!K2090,2)</f>
        <v>541.41999999999996</v>
      </c>
      <c r="D185" s="1127" t="s">
        <v>794</v>
      </c>
      <c r="E185" s="1128">
        <f>detailed!G1653</f>
        <v>97.8</v>
      </c>
      <c r="F185" s="1127">
        <f t="shared" si="42"/>
        <v>52950.879999999997</v>
      </c>
      <c r="G185" s="1127"/>
      <c r="H185" s="1127">
        <f t="shared" si="44"/>
        <v>0</v>
      </c>
      <c r="I185" s="1127"/>
      <c r="J185" s="1127">
        <f t="shared" si="45"/>
        <v>0</v>
      </c>
      <c r="K185" s="1127"/>
      <c r="L185" s="1127">
        <f t="shared" si="46"/>
        <v>0</v>
      </c>
      <c r="M185" s="1127"/>
      <c r="N185" s="1127">
        <f t="shared" si="47"/>
        <v>0</v>
      </c>
      <c r="O185" s="1127"/>
      <c r="P185" s="1127">
        <f t="shared" si="48"/>
        <v>0</v>
      </c>
      <c r="Q185" s="1127"/>
      <c r="R185" s="1127">
        <f t="shared" si="49"/>
        <v>0</v>
      </c>
      <c r="S185" s="1045"/>
      <c r="T185" s="1131">
        <f t="shared" si="51"/>
        <v>0</v>
      </c>
      <c r="U185" s="1045"/>
      <c r="V185" s="1045">
        <f t="shared" si="41"/>
        <v>0</v>
      </c>
      <c r="W185" s="1132">
        <f t="shared" si="43"/>
        <v>0</v>
      </c>
      <c r="X185" s="1045">
        <f t="shared" si="50"/>
        <v>0</v>
      </c>
      <c r="Y185" s="1132">
        <f>building!Y184</f>
        <v>97.8</v>
      </c>
      <c r="Z185" s="1045">
        <f t="shared" si="52"/>
        <v>52950.879999999997</v>
      </c>
      <c r="AA185" s="890"/>
      <c r="AB185" s="890"/>
    </row>
    <row r="186" spans="1:29" ht="67.5">
      <c r="A186" s="1124">
        <v>58.4</v>
      </c>
      <c r="B186" s="1125" t="s">
        <v>816</v>
      </c>
      <c r="C186" s="1052">
        <f>ROUND(Data!K2891,2)</f>
        <v>114.45</v>
      </c>
      <c r="D186" s="1213" t="s">
        <v>794</v>
      </c>
      <c r="E186" s="1214">
        <f>detailed!H1654</f>
        <v>32</v>
      </c>
      <c r="F186" s="1127">
        <f t="shared" si="42"/>
        <v>3662.4</v>
      </c>
      <c r="G186" s="1213"/>
      <c r="H186" s="1127">
        <f t="shared" si="44"/>
        <v>0</v>
      </c>
      <c r="I186" s="1213"/>
      <c r="J186" s="1127">
        <f t="shared" si="45"/>
        <v>0</v>
      </c>
      <c r="K186" s="1213"/>
      <c r="L186" s="1127">
        <f t="shared" si="46"/>
        <v>0</v>
      </c>
      <c r="M186" s="1213"/>
      <c r="N186" s="1127">
        <f t="shared" si="47"/>
        <v>0</v>
      </c>
      <c r="O186" s="1213"/>
      <c r="P186" s="1127">
        <f t="shared" si="48"/>
        <v>0</v>
      </c>
      <c r="Q186" s="1213"/>
      <c r="R186" s="1127">
        <f t="shared" si="49"/>
        <v>0</v>
      </c>
      <c r="S186" s="1045"/>
      <c r="T186" s="1131">
        <f t="shared" si="51"/>
        <v>0</v>
      </c>
      <c r="U186" s="1045"/>
      <c r="V186" s="1045">
        <f t="shared" si="41"/>
        <v>0</v>
      </c>
      <c r="W186" s="1132">
        <f t="shared" si="43"/>
        <v>0</v>
      </c>
      <c r="X186" s="1045">
        <f t="shared" si="50"/>
        <v>0</v>
      </c>
      <c r="Y186" s="1132">
        <f>building!Y185</f>
        <v>32</v>
      </c>
      <c r="Z186" s="1045">
        <f t="shared" si="52"/>
        <v>3662.4</v>
      </c>
      <c r="AA186" s="890"/>
      <c r="AB186" s="890"/>
    </row>
    <row r="187" spans="1:29" s="718" customFormat="1" ht="45">
      <c r="A187" s="1160">
        <v>58.5</v>
      </c>
      <c r="B187" s="1162" t="s">
        <v>817</v>
      </c>
      <c r="C187" s="995">
        <f>ROUND(Data!K2101,2)</f>
        <v>450.1</v>
      </c>
      <c r="D187" s="1036" t="s">
        <v>1341</v>
      </c>
      <c r="E187" s="1215"/>
      <c r="F187" s="1127">
        <f t="shared" si="42"/>
        <v>0</v>
      </c>
      <c r="G187" s="1036"/>
      <c r="H187" s="1127">
        <f t="shared" si="44"/>
        <v>0</v>
      </c>
      <c r="I187" s="1036"/>
      <c r="J187" s="1127">
        <f t="shared" si="45"/>
        <v>0</v>
      </c>
      <c r="K187" s="1036"/>
      <c r="L187" s="1127">
        <f t="shared" si="46"/>
        <v>0</v>
      </c>
      <c r="M187" s="1036"/>
      <c r="N187" s="1127">
        <f t="shared" si="47"/>
        <v>0</v>
      </c>
      <c r="O187" s="1036"/>
      <c r="P187" s="1127">
        <f t="shared" si="48"/>
        <v>0</v>
      </c>
      <c r="Q187" s="1036"/>
      <c r="R187" s="1127">
        <f t="shared" si="49"/>
        <v>0</v>
      </c>
      <c r="S187" s="1028"/>
      <c r="T187" s="1131">
        <f t="shared" si="51"/>
        <v>0</v>
      </c>
      <c r="U187" s="1045"/>
      <c r="V187" s="1045">
        <f t="shared" si="41"/>
        <v>0</v>
      </c>
      <c r="W187" s="1132">
        <f t="shared" si="43"/>
        <v>0</v>
      </c>
      <c r="X187" s="1045">
        <f t="shared" si="50"/>
        <v>0</v>
      </c>
      <c r="Y187" s="1132">
        <f>building!Y186</f>
        <v>0</v>
      </c>
      <c r="Z187" s="1045">
        <f t="shared" si="52"/>
        <v>0</v>
      </c>
      <c r="AA187" s="891"/>
      <c r="AB187" s="891"/>
    </row>
    <row r="188" spans="1:29" s="718" customFormat="1" ht="67.5">
      <c r="A188" s="1160"/>
      <c r="B188" s="1161" t="s">
        <v>3879</v>
      </c>
      <c r="C188" s="995"/>
      <c r="D188" s="1036"/>
      <c r="E188" s="1215"/>
      <c r="F188" s="1127">
        <f t="shared" si="42"/>
        <v>0</v>
      </c>
      <c r="G188" s="1036"/>
      <c r="H188" s="1127">
        <f t="shared" si="44"/>
        <v>0</v>
      </c>
      <c r="I188" s="1036"/>
      <c r="J188" s="1127">
        <f t="shared" si="45"/>
        <v>0</v>
      </c>
      <c r="K188" s="1036"/>
      <c r="L188" s="1127">
        <f t="shared" si="46"/>
        <v>0</v>
      </c>
      <c r="M188" s="1036"/>
      <c r="N188" s="1127">
        <f t="shared" si="47"/>
        <v>0</v>
      </c>
      <c r="O188" s="1036"/>
      <c r="P188" s="1127">
        <f t="shared" si="48"/>
        <v>0</v>
      </c>
      <c r="Q188" s="1036"/>
      <c r="R188" s="1127">
        <f t="shared" si="49"/>
        <v>0</v>
      </c>
      <c r="S188" s="1028"/>
      <c r="T188" s="1131">
        <f t="shared" si="51"/>
        <v>0</v>
      </c>
      <c r="U188" s="1045"/>
      <c r="V188" s="1045">
        <f t="shared" si="41"/>
        <v>0</v>
      </c>
      <c r="W188" s="1132">
        <f t="shared" si="43"/>
        <v>0</v>
      </c>
      <c r="X188" s="1045">
        <f t="shared" si="50"/>
        <v>0</v>
      </c>
      <c r="Y188" s="1132">
        <f>building!Y187</f>
        <v>0</v>
      </c>
      <c r="Z188" s="1045">
        <f t="shared" si="52"/>
        <v>0</v>
      </c>
      <c r="AA188" s="891"/>
      <c r="AB188" s="891"/>
    </row>
    <row r="189" spans="1:29" s="718" customFormat="1">
      <c r="A189" s="1160"/>
      <c r="B189" s="1162" t="s">
        <v>2060</v>
      </c>
      <c r="C189" s="995">
        <f>Data!K2264</f>
        <v>1499.19</v>
      </c>
      <c r="D189" s="1031" t="s">
        <v>1341</v>
      </c>
      <c r="E189" s="1215">
        <f>detailed!H1715</f>
        <v>92</v>
      </c>
      <c r="F189" s="1127">
        <f t="shared" si="42"/>
        <v>137925.48000000001</v>
      </c>
      <c r="G189" s="1031"/>
      <c r="H189" s="1127">
        <f t="shared" si="44"/>
        <v>0</v>
      </c>
      <c r="I189" s="1031"/>
      <c r="J189" s="1127">
        <f t="shared" si="45"/>
        <v>0</v>
      </c>
      <c r="K189" s="1031"/>
      <c r="L189" s="1127">
        <f t="shared" si="46"/>
        <v>0</v>
      </c>
      <c r="M189" s="1031"/>
      <c r="N189" s="1127">
        <f t="shared" si="47"/>
        <v>0</v>
      </c>
      <c r="O189" s="1031"/>
      <c r="P189" s="1127">
        <f t="shared" si="48"/>
        <v>0</v>
      </c>
      <c r="Q189" s="1031"/>
      <c r="R189" s="1127">
        <f t="shared" si="49"/>
        <v>0</v>
      </c>
      <c r="S189" s="1045"/>
      <c r="T189" s="1131">
        <f t="shared" si="51"/>
        <v>0</v>
      </c>
      <c r="U189" s="1045"/>
      <c r="V189" s="1045">
        <f t="shared" si="41"/>
        <v>0</v>
      </c>
      <c r="W189" s="1132">
        <f t="shared" si="43"/>
        <v>0</v>
      </c>
      <c r="X189" s="1045">
        <f t="shared" si="50"/>
        <v>0</v>
      </c>
      <c r="Y189" s="1132">
        <f>building!Y188</f>
        <v>92</v>
      </c>
      <c r="Z189" s="1045">
        <f t="shared" si="52"/>
        <v>137925.48000000001</v>
      </c>
      <c r="AA189" s="891"/>
      <c r="AB189" s="891"/>
    </row>
    <row r="190" spans="1:29" s="718" customFormat="1">
      <c r="A190" s="1160"/>
      <c r="B190" s="1162" t="s">
        <v>1223</v>
      </c>
      <c r="C190" s="995">
        <f>Data!K2265</f>
        <v>1503.34</v>
      </c>
      <c r="D190" s="1031" t="s">
        <v>1341</v>
      </c>
      <c r="E190" s="1215">
        <f>detailed!H1754</f>
        <v>132</v>
      </c>
      <c r="F190" s="1127">
        <f t="shared" si="42"/>
        <v>198440.88</v>
      </c>
      <c r="G190" s="1031"/>
      <c r="H190" s="1127">
        <f t="shared" si="44"/>
        <v>0</v>
      </c>
      <c r="I190" s="1031"/>
      <c r="J190" s="1127">
        <f t="shared" si="45"/>
        <v>0</v>
      </c>
      <c r="K190" s="1031"/>
      <c r="L190" s="1127">
        <f t="shared" si="46"/>
        <v>0</v>
      </c>
      <c r="M190" s="1031"/>
      <c r="N190" s="1127">
        <f t="shared" si="47"/>
        <v>0</v>
      </c>
      <c r="O190" s="1031"/>
      <c r="P190" s="1127">
        <f t="shared" si="48"/>
        <v>0</v>
      </c>
      <c r="Q190" s="1031"/>
      <c r="R190" s="1127">
        <f t="shared" si="49"/>
        <v>0</v>
      </c>
      <c r="S190" s="1045"/>
      <c r="T190" s="1131">
        <f t="shared" si="51"/>
        <v>0</v>
      </c>
      <c r="U190" s="1045"/>
      <c r="V190" s="1045">
        <f t="shared" si="41"/>
        <v>0</v>
      </c>
      <c r="W190" s="1132">
        <f t="shared" si="43"/>
        <v>0</v>
      </c>
      <c r="X190" s="1045">
        <f t="shared" si="50"/>
        <v>0</v>
      </c>
      <c r="Y190" s="1132">
        <f>building!Y189</f>
        <v>132</v>
      </c>
      <c r="Z190" s="1045">
        <f t="shared" si="52"/>
        <v>198440.88</v>
      </c>
      <c r="AA190" s="891"/>
      <c r="AB190" s="891"/>
    </row>
    <row r="191" spans="1:29" s="718" customFormat="1">
      <c r="A191" s="994"/>
      <c r="B191" s="1162" t="s">
        <v>281</v>
      </c>
      <c r="C191" s="995">
        <f>Data!K2266</f>
        <v>1538.57</v>
      </c>
      <c r="D191" s="1031" t="s">
        <v>1341</v>
      </c>
      <c r="E191" s="1215">
        <f>detailed!H1755</f>
        <v>2</v>
      </c>
      <c r="F191" s="1127">
        <f t="shared" si="42"/>
        <v>3077.14</v>
      </c>
      <c r="G191" s="1031"/>
      <c r="H191" s="1127">
        <f t="shared" si="44"/>
        <v>0</v>
      </c>
      <c r="I191" s="1031"/>
      <c r="J191" s="1127">
        <f t="shared" si="45"/>
        <v>0</v>
      </c>
      <c r="K191" s="1031"/>
      <c r="L191" s="1127">
        <f t="shared" si="46"/>
        <v>0</v>
      </c>
      <c r="M191" s="1031"/>
      <c r="N191" s="1127">
        <f t="shared" si="47"/>
        <v>0</v>
      </c>
      <c r="O191" s="1031"/>
      <c r="P191" s="1127">
        <f t="shared" si="48"/>
        <v>0</v>
      </c>
      <c r="Q191" s="1031"/>
      <c r="R191" s="1127">
        <f t="shared" si="49"/>
        <v>0</v>
      </c>
      <c r="S191" s="1045"/>
      <c r="T191" s="1131">
        <f t="shared" si="51"/>
        <v>0</v>
      </c>
      <c r="U191" s="1045"/>
      <c r="V191" s="1045">
        <f t="shared" si="41"/>
        <v>0</v>
      </c>
      <c r="W191" s="1132">
        <f t="shared" si="43"/>
        <v>0</v>
      </c>
      <c r="X191" s="1045">
        <f t="shared" si="50"/>
        <v>0</v>
      </c>
      <c r="Y191" s="1132">
        <f>building!Y190</f>
        <v>2</v>
      </c>
      <c r="Z191" s="1045">
        <f t="shared" si="52"/>
        <v>3077.14</v>
      </c>
      <c r="AA191" s="891"/>
      <c r="AB191" s="891"/>
    </row>
    <row r="192" spans="1:29" s="718" customFormat="1" ht="67.5">
      <c r="A192" s="1160">
        <v>65.099999999999994</v>
      </c>
      <c r="B192" s="1162" t="s">
        <v>5656</v>
      </c>
      <c r="C192" s="995">
        <f>Data!K2267</f>
        <v>1565.4</v>
      </c>
      <c r="D192" s="1031" t="s">
        <v>1341</v>
      </c>
      <c r="E192" s="1215">
        <f>detailed!H1780</f>
        <v>88</v>
      </c>
      <c r="F192" s="1127">
        <f t="shared" si="42"/>
        <v>137755.20000000001</v>
      </c>
      <c r="G192" s="1031"/>
      <c r="H192" s="1127">
        <f t="shared" si="44"/>
        <v>0</v>
      </c>
      <c r="I192" s="1031"/>
      <c r="J192" s="1127">
        <f t="shared" si="45"/>
        <v>0</v>
      </c>
      <c r="K192" s="1031"/>
      <c r="L192" s="1127">
        <f t="shared" si="46"/>
        <v>0</v>
      </c>
      <c r="M192" s="1031"/>
      <c r="N192" s="1127">
        <f t="shared" si="47"/>
        <v>0</v>
      </c>
      <c r="O192" s="1031"/>
      <c r="P192" s="1127">
        <f t="shared" si="48"/>
        <v>0</v>
      </c>
      <c r="Q192" s="1031"/>
      <c r="R192" s="1127">
        <f t="shared" si="49"/>
        <v>0</v>
      </c>
      <c r="S192" s="1045"/>
      <c r="T192" s="1131">
        <f t="shared" si="51"/>
        <v>0</v>
      </c>
      <c r="U192" s="1045"/>
      <c r="V192" s="1045">
        <f t="shared" si="41"/>
        <v>0</v>
      </c>
      <c r="W192" s="1132">
        <f t="shared" si="43"/>
        <v>0</v>
      </c>
      <c r="X192" s="1045">
        <f t="shared" si="50"/>
        <v>0</v>
      </c>
      <c r="Y192" s="1132">
        <f>building!Y191</f>
        <v>88</v>
      </c>
      <c r="Z192" s="1045">
        <f t="shared" si="52"/>
        <v>137755.20000000001</v>
      </c>
      <c r="AA192" s="891"/>
      <c r="AB192" s="891"/>
    </row>
    <row r="193" spans="1:28" s="718" customFormat="1" ht="90">
      <c r="A193" s="1160">
        <v>66.099999999999994</v>
      </c>
      <c r="B193" s="1162" t="s">
        <v>5657</v>
      </c>
      <c r="C193" s="995">
        <f>Data!K2268</f>
        <v>2802.09</v>
      </c>
      <c r="D193" s="1031" t="s">
        <v>1341</v>
      </c>
      <c r="E193" s="1215">
        <f>detailed!H1782</f>
        <v>4</v>
      </c>
      <c r="F193" s="1127">
        <f t="shared" si="42"/>
        <v>11208.36</v>
      </c>
      <c r="G193" s="1031"/>
      <c r="H193" s="1127">
        <f t="shared" si="44"/>
        <v>0</v>
      </c>
      <c r="I193" s="1031"/>
      <c r="J193" s="1127">
        <f t="shared" si="45"/>
        <v>0</v>
      </c>
      <c r="K193" s="1031"/>
      <c r="L193" s="1127">
        <f t="shared" si="46"/>
        <v>0</v>
      </c>
      <c r="M193" s="1031"/>
      <c r="N193" s="1127">
        <f t="shared" si="47"/>
        <v>0</v>
      </c>
      <c r="O193" s="1031"/>
      <c r="P193" s="1127">
        <f t="shared" si="48"/>
        <v>0</v>
      </c>
      <c r="Q193" s="1031"/>
      <c r="R193" s="1127">
        <f t="shared" si="49"/>
        <v>0</v>
      </c>
      <c r="S193" s="1045"/>
      <c r="T193" s="1131">
        <f t="shared" si="51"/>
        <v>0</v>
      </c>
      <c r="U193" s="1045"/>
      <c r="V193" s="1045">
        <f t="shared" si="41"/>
        <v>0</v>
      </c>
      <c r="W193" s="1132">
        <f t="shared" si="43"/>
        <v>0</v>
      </c>
      <c r="X193" s="1045">
        <f t="shared" si="50"/>
        <v>0</v>
      </c>
      <c r="Y193" s="1132">
        <f>building!Y192</f>
        <v>4</v>
      </c>
      <c r="Z193" s="1045">
        <f t="shared" si="52"/>
        <v>11208.36</v>
      </c>
      <c r="AA193" s="891"/>
      <c r="AB193" s="891"/>
    </row>
    <row r="194" spans="1:28" s="718" customFormat="1" ht="90">
      <c r="A194" s="1160"/>
      <c r="B194" s="1162" t="s">
        <v>5658</v>
      </c>
      <c r="C194" s="995">
        <f>Data!K2269</f>
        <v>764.91</v>
      </c>
      <c r="D194" s="1031" t="s">
        <v>1341</v>
      </c>
      <c r="E194" s="1215">
        <f>detailed!H1807</f>
        <v>37</v>
      </c>
      <c r="F194" s="1127">
        <f t="shared" si="42"/>
        <v>28301.67</v>
      </c>
      <c r="G194" s="1031"/>
      <c r="H194" s="1127">
        <f t="shared" si="44"/>
        <v>0</v>
      </c>
      <c r="I194" s="1031"/>
      <c r="J194" s="1127">
        <f t="shared" si="45"/>
        <v>0</v>
      </c>
      <c r="K194" s="1031"/>
      <c r="L194" s="1127">
        <f t="shared" si="46"/>
        <v>0</v>
      </c>
      <c r="M194" s="1031"/>
      <c r="N194" s="1127">
        <f t="shared" si="47"/>
        <v>0</v>
      </c>
      <c r="O194" s="1031"/>
      <c r="P194" s="1127">
        <f t="shared" si="48"/>
        <v>0</v>
      </c>
      <c r="Q194" s="1031"/>
      <c r="R194" s="1127">
        <f t="shared" si="49"/>
        <v>0</v>
      </c>
      <c r="S194" s="1045"/>
      <c r="T194" s="1131">
        <f t="shared" si="51"/>
        <v>0</v>
      </c>
      <c r="U194" s="1045"/>
      <c r="V194" s="1045">
        <f t="shared" si="41"/>
        <v>0</v>
      </c>
      <c r="W194" s="1132">
        <f t="shared" si="43"/>
        <v>0</v>
      </c>
      <c r="X194" s="1045">
        <f t="shared" si="50"/>
        <v>0</v>
      </c>
      <c r="Y194" s="1132">
        <f>building!Y193</f>
        <v>37</v>
      </c>
      <c r="Z194" s="1045">
        <f t="shared" si="52"/>
        <v>28301.67</v>
      </c>
      <c r="AA194" s="891"/>
      <c r="AB194" s="891"/>
    </row>
    <row r="195" spans="1:28" s="718" customFormat="1" ht="90">
      <c r="A195" s="1160">
        <v>68.2</v>
      </c>
      <c r="B195" s="1162" t="s">
        <v>5659</v>
      </c>
      <c r="C195" s="995">
        <f>Data!K2270</f>
        <v>1041.2</v>
      </c>
      <c r="D195" s="1031" t="s">
        <v>1341</v>
      </c>
      <c r="E195" s="1215">
        <f>detailed!H1830</f>
        <v>50</v>
      </c>
      <c r="F195" s="1127">
        <f t="shared" si="42"/>
        <v>52060</v>
      </c>
      <c r="G195" s="1031"/>
      <c r="H195" s="1127">
        <f t="shared" si="44"/>
        <v>0</v>
      </c>
      <c r="I195" s="1031"/>
      <c r="J195" s="1127">
        <f t="shared" si="45"/>
        <v>0</v>
      </c>
      <c r="K195" s="1031"/>
      <c r="L195" s="1127">
        <f t="shared" si="46"/>
        <v>0</v>
      </c>
      <c r="M195" s="1031"/>
      <c r="N195" s="1127">
        <f t="shared" si="47"/>
        <v>0</v>
      </c>
      <c r="O195" s="1031"/>
      <c r="P195" s="1127">
        <f t="shared" si="48"/>
        <v>0</v>
      </c>
      <c r="Q195" s="1031"/>
      <c r="R195" s="1127">
        <f t="shared" si="49"/>
        <v>0</v>
      </c>
      <c r="S195" s="1045"/>
      <c r="T195" s="1131">
        <f t="shared" si="51"/>
        <v>0</v>
      </c>
      <c r="U195" s="1045"/>
      <c r="V195" s="1045">
        <f t="shared" si="41"/>
        <v>0</v>
      </c>
      <c r="W195" s="1132">
        <f t="shared" si="43"/>
        <v>0</v>
      </c>
      <c r="X195" s="1045">
        <f t="shared" si="50"/>
        <v>0</v>
      </c>
      <c r="Y195" s="1132">
        <f>building!Y194</f>
        <v>50</v>
      </c>
      <c r="Z195" s="1045">
        <f t="shared" si="52"/>
        <v>52060</v>
      </c>
      <c r="AA195" s="891"/>
      <c r="AB195" s="891"/>
    </row>
    <row r="196" spans="1:28" s="486" customFormat="1" ht="45">
      <c r="A196" s="1124">
        <v>70.5</v>
      </c>
      <c r="B196" s="1125" t="s">
        <v>1255</v>
      </c>
      <c r="C196" s="1216">
        <f>Elec.Data!K3781</f>
        <v>535.49</v>
      </c>
      <c r="D196" s="1217" t="s">
        <v>1341</v>
      </c>
      <c r="E196" s="1218"/>
      <c r="F196" s="1127">
        <f t="shared" si="42"/>
        <v>0</v>
      </c>
      <c r="G196" s="1217"/>
      <c r="H196" s="1127">
        <f t="shared" si="44"/>
        <v>0</v>
      </c>
      <c r="I196" s="1217"/>
      <c r="J196" s="1127">
        <f t="shared" si="45"/>
        <v>0</v>
      </c>
      <c r="K196" s="1217"/>
      <c r="L196" s="1127">
        <f t="shared" si="46"/>
        <v>0</v>
      </c>
      <c r="M196" s="1217"/>
      <c r="N196" s="1127">
        <f t="shared" si="47"/>
        <v>0</v>
      </c>
      <c r="O196" s="1217"/>
      <c r="P196" s="1127">
        <f t="shared" si="48"/>
        <v>0</v>
      </c>
      <c r="Q196" s="1217"/>
      <c r="R196" s="1127">
        <f t="shared" si="49"/>
        <v>0</v>
      </c>
      <c r="S196" s="1028"/>
      <c r="T196" s="1131">
        <f t="shared" si="51"/>
        <v>0</v>
      </c>
      <c r="U196" s="1045"/>
      <c r="V196" s="1045">
        <f t="shared" si="41"/>
        <v>0</v>
      </c>
      <c r="W196" s="1132">
        <f t="shared" si="43"/>
        <v>0</v>
      </c>
      <c r="X196" s="1045">
        <f t="shared" si="50"/>
        <v>0</v>
      </c>
      <c r="Y196" s="1132">
        <f>building!Y195</f>
        <v>0</v>
      </c>
      <c r="Z196" s="1045">
        <f t="shared" si="52"/>
        <v>0</v>
      </c>
      <c r="AA196" s="892"/>
      <c r="AB196" s="891"/>
    </row>
    <row r="197" spans="1:28" ht="45">
      <c r="A197" s="1040"/>
      <c r="B197" s="1125" t="s">
        <v>5660</v>
      </c>
      <c r="C197" s="1052">
        <f>ROUND(Data!K3041,2)</f>
        <v>1437.4</v>
      </c>
      <c r="D197" s="1219" t="s">
        <v>1341</v>
      </c>
      <c r="E197" s="1214">
        <f>detailed!H1924</f>
        <v>88</v>
      </c>
      <c r="F197" s="1127">
        <f t="shared" si="42"/>
        <v>126491.2</v>
      </c>
      <c r="G197" s="1219"/>
      <c r="H197" s="1127">
        <f t="shared" si="44"/>
        <v>0</v>
      </c>
      <c r="I197" s="1219"/>
      <c r="J197" s="1127">
        <f t="shared" si="45"/>
        <v>0</v>
      </c>
      <c r="K197" s="1219"/>
      <c r="L197" s="1127">
        <f t="shared" si="46"/>
        <v>0</v>
      </c>
      <c r="M197" s="1219"/>
      <c r="N197" s="1127">
        <f t="shared" si="47"/>
        <v>0</v>
      </c>
      <c r="O197" s="1219"/>
      <c r="P197" s="1127">
        <f t="shared" si="48"/>
        <v>0</v>
      </c>
      <c r="Q197" s="1219"/>
      <c r="R197" s="1127">
        <f t="shared" si="49"/>
        <v>0</v>
      </c>
      <c r="S197" s="1045"/>
      <c r="T197" s="1131">
        <f t="shared" si="51"/>
        <v>0</v>
      </c>
      <c r="U197" s="1045"/>
      <c r="V197" s="1045">
        <f t="shared" si="41"/>
        <v>0</v>
      </c>
      <c r="W197" s="1132">
        <f t="shared" si="43"/>
        <v>0</v>
      </c>
      <c r="X197" s="1045">
        <f t="shared" si="50"/>
        <v>0</v>
      </c>
      <c r="Y197" s="1132">
        <f>building!Y196</f>
        <v>88</v>
      </c>
      <c r="Z197" s="1045">
        <f t="shared" si="52"/>
        <v>126491.2</v>
      </c>
      <c r="AA197" s="890"/>
      <c r="AB197" s="890"/>
    </row>
    <row r="198" spans="1:28" ht="87" customHeight="1">
      <c r="A198" s="1040"/>
      <c r="B198" s="1125" t="s">
        <v>3471</v>
      </c>
      <c r="C198" s="1052">
        <f>Data!K2286</f>
        <v>246.68</v>
      </c>
      <c r="D198" s="1213" t="s">
        <v>794</v>
      </c>
      <c r="E198" s="1214">
        <f>detailed!H1929</f>
        <v>270</v>
      </c>
      <c r="F198" s="1127">
        <f t="shared" si="42"/>
        <v>66603.600000000006</v>
      </c>
      <c r="G198" s="1213"/>
      <c r="H198" s="1127">
        <f t="shared" si="44"/>
        <v>0</v>
      </c>
      <c r="I198" s="1213"/>
      <c r="J198" s="1127">
        <f t="shared" si="45"/>
        <v>0</v>
      </c>
      <c r="K198" s="1213"/>
      <c r="L198" s="1127">
        <f t="shared" si="46"/>
        <v>0</v>
      </c>
      <c r="M198" s="1213"/>
      <c r="N198" s="1127">
        <f t="shared" si="47"/>
        <v>0</v>
      </c>
      <c r="O198" s="1213"/>
      <c r="P198" s="1127">
        <f t="shared" si="48"/>
        <v>0</v>
      </c>
      <c r="Q198" s="1213"/>
      <c r="R198" s="1127">
        <f t="shared" si="49"/>
        <v>0</v>
      </c>
      <c r="S198" s="1045"/>
      <c r="T198" s="1131">
        <f t="shared" si="51"/>
        <v>0</v>
      </c>
      <c r="U198" s="1045"/>
      <c r="V198" s="1045">
        <f t="shared" si="41"/>
        <v>0</v>
      </c>
      <c r="W198" s="1132">
        <f t="shared" si="43"/>
        <v>0</v>
      </c>
      <c r="X198" s="1045">
        <f t="shared" si="50"/>
        <v>0</v>
      </c>
      <c r="Y198" s="1132">
        <f>building!Y197</f>
        <v>270</v>
      </c>
      <c r="Z198" s="1045">
        <f t="shared" si="52"/>
        <v>66603.600000000006</v>
      </c>
      <c r="AA198" s="890"/>
      <c r="AB198" s="890"/>
    </row>
    <row r="199" spans="1:28" s="486" customFormat="1" ht="84.75" customHeight="1">
      <c r="A199" s="1220">
        <v>77.5</v>
      </c>
      <c r="B199" s="1150" t="s">
        <v>3472</v>
      </c>
      <c r="C199" s="1151">
        <f>ROUND(Data!K2285,2)</f>
        <v>192.58</v>
      </c>
      <c r="D199" s="1221" t="s">
        <v>794</v>
      </c>
      <c r="E199" s="1222"/>
      <c r="F199" s="1127">
        <f t="shared" si="42"/>
        <v>0</v>
      </c>
      <c r="G199" s="1221"/>
      <c r="H199" s="1127">
        <f t="shared" si="44"/>
        <v>0</v>
      </c>
      <c r="I199" s="1221"/>
      <c r="J199" s="1127">
        <f t="shared" si="45"/>
        <v>0</v>
      </c>
      <c r="K199" s="1221"/>
      <c r="L199" s="1127">
        <f t="shared" si="46"/>
        <v>0</v>
      </c>
      <c r="M199" s="1221"/>
      <c r="N199" s="1127">
        <f t="shared" si="47"/>
        <v>0</v>
      </c>
      <c r="O199" s="1221"/>
      <c r="P199" s="1127">
        <f t="shared" si="48"/>
        <v>0</v>
      </c>
      <c r="Q199" s="1221"/>
      <c r="R199" s="1127">
        <f t="shared" si="49"/>
        <v>0</v>
      </c>
      <c r="S199" s="1045"/>
      <c r="T199" s="1131">
        <f t="shared" si="51"/>
        <v>0</v>
      </c>
      <c r="U199" s="1045"/>
      <c r="V199" s="1045">
        <f t="shared" ref="V199:V261" si="53">U199*C199</f>
        <v>0</v>
      </c>
      <c r="W199" s="1132">
        <f t="shared" si="43"/>
        <v>0</v>
      </c>
      <c r="X199" s="1045">
        <f t="shared" si="50"/>
        <v>0</v>
      </c>
      <c r="Y199" s="1132">
        <f>building!Y198</f>
        <v>0</v>
      </c>
      <c r="Z199" s="1045">
        <f t="shared" si="52"/>
        <v>0</v>
      </c>
      <c r="AA199" s="892"/>
      <c r="AB199" s="890"/>
    </row>
    <row r="200" spans="1:28" s="486" customFormat="1" ht="84.75" customHeight="1">
      <c r="A200" s="1184"/>
      <c r="B200" s="1125" t="s">
        <v>3512</v>
      </c>
      <c r="C200" s="1040">
        <f>C412</f>
        <v>209.78</v>
      </c>
      <c r="D200" s="1223" t="s">
        <v>794</v>
      </c>
      <c r="E200" s="1128">
        <f>detailed!H1948</f>
        <v>333.5</v>
      </c>
      <c r="F200" s="1127">
        <f t="shared" ref="F200:F263" si="54">E200*C200</f>
        <v>69961.63</v>
      </c>
      <c r="G200" s="1223"/>
      <c r="H200" s="1127">
        <f t="shared" si="44"/>
        <v>0</v>
      </c>
      <c r="I200" s="1223"/>
      <c r="J200" s="1127">
        <f t="shared" si="45"/>
        <v>0</v>
      </c>
      <c r="K200" s="1223"/>
      <c r="L200" s="1127">
        <f t="shared" si="46"/>
        <v>0</v>
      </c>
      <c r="M200" s="1223"/>
      <c r="N200" s="1127">
        <f t="shared" si="47"/>
        <v>0</v>
      </c>
      <c r="O200" s="1223"/>
      <c r="P200" s="1127">
        <f t="shared" si="48"/>
        <v>0</v>
      </c>
      <c r="Q200" s="1223"/>
      <c r="R200" s="1127">
        <f t="shared" si="49"/>
        <v>0</v>
      </c>
      <c r="S200" s="1045"/>
      <c r="T200" s="1131">
        <f t="shared" si="51"/>
        <v>0</v>
      </c>
      <c r="U200" s="1045"/>
      <c r="V200" s="1045">
        <f t="shared" si="53"/>
        <v>0</v>
      </c>
      <c r="W200" s="1132">
        <f t="shared" ref="W200:W263" si="55">U200+S200+Q200+O200+M200+K200+I200+G200</f>
        <v>0</v>
      </c>
      <c r="X200" s="1045">
        <f t="shared" si="50"/>
        <v>0</v>
      </c>
      <c r="Y200" s="1132">
        <f>building!Y199</f>
        <v>333.5</v>
      </c>
      <c r="Z200" s="1045">
        <f t="shared" si="52"/>
        <v>69961.63</v>
      </c>
      <c r="AA200" s="892"/>
      <c r="AB200" s="890"/>
    </row>
    <row r="201" spans="1:28" ht="84" customHeight="1">
      <c r="A201" s="1184"/>
      <c r="B201" s="1125" t="s">
        <v>5661</v>
      </c>
      <c r="C201" s="1040">
        <f>Elec.Data!K3539</f>
        <v>250.43</v>
      </c>
      <c r="D201" s="1213" t="s">
        <v>794</v>
      </c>
      <c r="E201" s="1214"/>
      <c r="F201" s="1127">
        <f t="shared" si="54"/>
        <v>0</v>
      </c>
      <c r="G201" s="1213"/>
      <c r="H201" s="1127">
        <f t="shared" si="44"/>
        <v>0</v>
      </c>
      <c r="I201" s="1213"/>
      <c r="J201" s="1127">
        <f t="shared" si="45"/>
        <v>0</v>
      </c>
      <c r="K201" s="1213"/>
      <c r="L201" s="1127">
        <f t="shared" si="46"/>
        <v>0</v>
      </c>
      <c r="M201" s="1213"/>
      <c r="N201" s="1127">
        <f t="shared" si="47"/>
        <v>0</v>
      </c>
      <c r="O201" s="1213"/>
      <c r="P201" s="1127">
        <f t="shared" si="48"/>
        <v>0</v>
      </c>
      <c r="Q201" s="1213"/>
      <c r="R201" s="1127">
        <f t="shared" si="49"/>
        <v>0</v>
      </c>
      <c r="S201" s="1045"/>
      <c r="T201" s="1131">
        <f t="shared" si="51"/>
        <v>0</v>
      </c>
      <c r="U201" s="1045"/>
      <c r="V201" s="1045">
        <f t="shared" si="53"/>
        <v>0</v>
      </c>
      <c r="W201" s="1132">
        <f t="shared" si="55"/>
        <v>0</v>
      </c>
      <c r="X201" s="1045">
        <f t="shared" si="50"/>
        <v>0</v>
      </c>
      <c r="Y201" s="1132">
        <f>building!Y200</f>
        <v>0</v>
      </c>
      <c r="Z201" s="1045">
        <f t="shared" si="52"/>
        <v>0</v>
      </c>
      <c r="AA201" s="890"/>
      <c r="AB201" s="890"/>
    </row>
    <row r="202" spans="1:28" s="486" customFormat="1" ht="45">
      <c r="A202" s="1184"/>
      <c r="B202" s="1037" t="s">
        <v>3562</v>
      </c>
      <c r="C202" s="1024">
        <f>Elec.Data!R3119</f>
        <v>458</v>
      </c>
      <c r="D202" s="1224" t="s">
        <v>794</v>
      </c>
      <c r="E202" s="1139"/>
      <c r="F202" s="1127">
        <f t="shared" si="54"/>
        <v>0</v>
      </c>
      <c r="G202" s="1224"/>
      <c r="H202" s="1127">
        <f t="shared" si="44"/>
        <v>0</v>
      </c>
      <c r="I202" s="1224"/>
      <c r="J202" s="1127">
        <f t="shared" si="45"/>
        <v>0</v>
      </c>
      <c r="K202" s="1224"/>
      <c r="L202" s="1127">
        <f t="shared" si="46"/>
        <v>0</v>
      </c>
      <c r="M202" s="1224"/>
      <c r="N202" s="1127">
        <f t="shared" si="47"/>
        <v>0</v>
      </c>
      <c r="O202" s="1224"/>
      <c r="P202" s="1127">
        <f t="shared" si="48"/>
        <v>0</v>
      </c>
      <c r="Q202" s="1224"/>
      <c r="R202" s="1127">
        <f t="shared" si="49"/>
        <v>0</v>
      </c>
      <c r="S202" s="1045"/>
      <c r="T202" s="1131">
        <f t="shared" si="51"/>
        <v>0</v>
      </c>
      <c r="U202" s="1045"/>
      <c r="V202" s="1045">
        <f t="shared" si="53"/>
        <v>0</v>
      </c>
      <c r="W202" s="1132">
        <f t="shared" si="55"/>
        <v>0</v>
      </c>
      <c r="X202" s="1045">
        <f t="shared" si="50"/>
        <v>0</v>
      </c>
      <c r="Y202" s="1132">
        <f>building!Y201</f>
        <v>0</v>
      </c>
      <c r="Z202" s="1045">
        <f t="shared" si="52"/>
        <v>0</v>
      </c>
      <c r="AA202" s="892"/>
      <c r="AB202" s="890"/>
    </row>
    <row r="203" spans="1:28" s="718" customFormat="1">
      <c r="A203" s="1160">
        <v>112.1</v>
      </c>
      <c r="B203" s="1162" t="s">
        <v>1852</v>
      </c>
      <c r="C203" s="995">
        <f>Data!K3021</f>
        <v>1941.5</v>
      </c>
      <c r="D203" s="1031" t="s">
        <v>1341</v>
      </c>
      <c r="E203" s="1215">
        <f>detailed!H1985</f>
        <v>6</v>
      </c>
      <c r="F203" s="1127">
        <f t="shared" si="54"/>
        <v>11649</v>
      </c>
      <c r="G203" s="1031"/>
      <c r="H203" s="1127">
        <f>G203*C203</f>
        <v>0</v>
      </c>
      <c r="I203" s="1031"/>
      <c r="J203" s="1127">
        <f>I203*C203</f>
        <v>0</v>
      </c>
      <c r="K203" s="1031"/>
      <c r="L203" s="1127">
        <f>K203*C203</f>
        <v>0</v>
      </c>
      <c r="M203" s="1031"/>
      <c r="N203" s="1127">
        <f>M203*C203</f>
        <v>0</v>
      </c>
      <c r="O203" s="1031"/>
      <c r="P203" s="1127">
        <f>O203*C203</f>
        <v>0</v>
      </c>
      <c r="Q203" s="1031"/>
      <c r="R203" s="1127">
        <f>Q203*C203</f>
        <v>0</v>
      </c>
      <c r="S203" s="1028"/>
      <c r="T203" s="1131">
        <f>S203*C203</f>
        <v>0</v>
      </c>
      <c r="U203" s="1045"/>
      <c r="V203" s="1045">
        <f t="shared" si="53"/>
        <v>0</v>
      </c>
      <c r="W203" s="1132">
        <f t="shared" si="55"/>
        <v>0</v>
      </c>
      <c r="X203" s="1045">
        <f>W203*C203</f>
        <v>0</v>
      </c>
      <c r="Y203" s="1132">
        <f>building!Y202</f>
        <v>6</v>
      </c>
      <c r="Z203" s="1045">
        <f>Y203*C203</f>
        <v>11649</v>
      </c>
      <c r="AA203" s="891"/>
      <c r="AB203" s="891"/>
    </row>
    <row r="204" spans="1:28" s="486" customFormat="1" ht="45">
      <c r="A204" s="1124">
        <v>44.2</v>
      </c>
      <c r="B204" s="1159" t="s">
        <v>1838</v>
      </c>
      <c r="C204" s="1052"/>
      <c r="D204" s="1219"/>
      <c r="E204" s="1214"/>
      <c r="F204" s="1127">
        <f t="shared" si="54"/>
        <v>0</v>
      </c>
      <c r="G204" s="1219"/>
      <c r="H204" s="1127">
        <f t="shared" ref="H204:H267" si="56">G204*C204</f>
        <v>0</v>
      </c>
      <c r="I204" s="1219"/>
      <c r="J204" s="1127">
        <f t="shared" ref="J204:J267" si="57">I204*C204</f>
        <v>0</v>
      </c>
      <c r="K204" s="1219"/>
      <c r="L204" s="1127">
        <f t="shared" ref="L204:L267" si="58">K204*C204</f>
        <v>0</v>
      </c>
      <c r="M204" s="1219"/>
      <c r="N204" s="1127">
        <f t="shared" ref="N204:N267" si="59">M204*C204</f>
        <v>0</v>
      </c>
      <c r="O204" s="1219"/>
      <c r="P204" s="1127">
        <f t="shared" ref="P204:P267" si="60">O204*C204</f>
        <v>0</v>
      </c>
      <c r="Q204" s="1219"/>
      <c r="R204" s="1127">
        <f t="shared" ref="R204:R267" si="61">Q204*C204</f>
        <v>0</v>
      </c>
      <c r="S204" s="1049"/>
      <c r="T204" s="1131">
        <f t="shared" si="51"/>
        <v>0</v>
      </c>
      <c r="U204" s="1045"/>
      <c r="V204" s="1045">
        <f t="shared" si="53"/>
        <v>0</v>
      </c>
      <c r="W204" s="1132">
        <f t="shared" si="55"/>
        <v>0</v>
      </c>
      <c r="X204" s="1045">
        <f t="shared" ref="X204:X267" si="62">W204*C204</f>
        <v>0</v>
      </c>
      <c r="Y204" s="1132">
        <f>building!Y203</f>
        <v>0</v>
      </c>
      <c r="Z204" s="1045">
        <f t="shared" ref="Z204:Z267" si="63">Y204*C204</f>
        <v>0</v>
      </c>
      <c r="AA204" s="892"/>
      <c r="AB204" s="890"/>
    </row>
    <row r="205" spans="1:28" ht="39.75" customHeight="1">
      <c r="A205" s="1124"/>
      <c r="B205" s="1125" t="s">
        <v>4636</v>
      </c>
      <c r="C205" s="1052">
        <f>Data!R2353</f>
        <v>1842.28</v>
      </c>
      <c r="D205" s="1219" t="s">
        <v>1341</v>
      </c>
      <c r="E205" s="1214">
        <f>detailed!H1578</f>
        <v>7</v>
      </c>
      <c r="F205" s="1127">
        <f t="shared" si="54"/>
        <v>12895.96</v>
      </c>
      <c r="G205" s="1219"/>
      <c r="H205" s="1127">
        <f t="shared" si="56"/>
        <v>0</v>
      </c>
      <c r="I205" s="1219"/>
      <c r="J205" s="1127">
        <f t="shared" si="57"/>
        <v>0</v>
      </c>
      <c r="K205" s="1219"/>
      <c r="L205" s="1127">
        <f t="shared" si="58"/>
        <v>0</v>
      </c>
      <c r="M205" s="1219"/>
      <c r="N205" s="1127">
        <f t="shared" si="59"/>
        <v>0</v>
      </c>
      <c r="O205" s="1219"/>
      <c r="P205" s="1127">
        <f t="shared" si="60"/>
        <v>0</v>
      </c>
      <c r="Q205" s="1219"/>
      <c r="R205" s="1127">
        <f t="shared" si="61"/>
        <v>0</v>
      </c>
      <c r="S205" s="1045"/>
      <c r="T205" s="1131">
        <f t="shared" si="51"/>
        <v>0</v>
      </c>
      <c r="U205" s="1045"/>
      <c r="V205" s="1045">
        <f t="shared" si="53"/>
        <v>0</v>
      </c>
      <c r="W205" s="1132">
        <f t="shared" si="55"/>
        <v>0</v>
      </c>
      <c r="X205" s="1045">
        <f t="shared" si="62"/>
        <v>0</v>
      </c>
      <c r="Y205" s="1132">
        <f>building!Y204</f>
        <v>7</v>
      </c>
      <c r="Z205" s="1045">
        <f t="shared" si="63"/>
        <v>12895.96</v>
      </c>
      <c r="AA205" s="890"/>
      <c r="AB205" s="890"/>
    </row>
    <row r="206" spans="1:28" ht="39.75" customHeight="1">
      <c r="A206" s="1124"/>
      <c r="B206" s="1125" t="s">
        <v>297</v>
      </c>
      <c r="C206" s="1052">
        <f>Data!R2360</f>
        <v>427.64</v>
      </c>
      <c r="D206" s="1219" t="s">
        <v>794</v>
      </c>
      <c r="E206" s="1214">
        <f>detailed!H1580</f>
        <v>28</v>
      </c>
      <c r="F206" s="1127">
        <f t="shared" si="54"/>
        <v>11973.92</v>
      </c>
      <c r="G206" s="1219"/>
      <c r="H206" s="1127">
        <f t="shared" si="56"/>
        <v>0</v>
      </c>
      <c r="I206" s="1219"/>
      <c r="J206" s="1127">
        <f t="shared" si="57"/>
        <v>0</v>
      </c>
      <c r="K206" s="1219"/>
      <c r="L206" s="1127">
        <f t="shared" si="58"/>
        <v>0</v>
      </c>
      <c r="M206" s="1219"/>
      <c r="N206" s="1127">
        <f t="shared" si="59"/>
        <v>0</v>
      </c>
      <c r="O206" s="1219"/>
      <c r="P206" s="1127">
        <f t="shared" si="60"/>
        <v>0</v>
      </c>
      <c r="Q206" s="1219"/>
      <c r="R206" s="1127">
        <f t="shared" si="61"/>
        <v>0</v>
      </c>
      <c r="S206" s="1045"/>
      <c r="T206" s="1131">
        <f t="shared" si="51"/>
        <v>0</v>
      </c>
      <c r="U206" s="1045"/>
      <c r="V206" s="1045">
        <f t="shared" si="53"/>
        <v>0</v>
      </c>
      <c r="W206" s="1132">
        <f t="shared" si="55"/>
        <v>0</v>
      </c>
      <c r="X206" s="1045">
        <f t="shared" si="62"/>
        <v>0</v>
      </c>
      <c r="Y206" s="1132">
        <f>building!Y205</f>
        <v>28</v>
      </c>
      <c r="Z206" s="1045">
        <f t="shared" si="63"/>
        <v>11973.92</v>
      </c>
      <c r="AA206" s="890"/>
      <c r="AB206" s="890"/>
    </row>
    <row r="207" spans="1:28" ht="67.5">
      <c r="A207" s="1149"/>
      <c r="B207" s="1150" t="s">
        <v>4635</v>
      </c>
      <c r="C207" s="1225">
        <f>Data!R2099</f>
        <v>1304.21</v>
      </c>
      <c r="D207" s="1226" t="s">
        <v>1341</v>
      </c>
      <c r="E207" s="1227"/>
      <c r="F207" s="1127">
        <f t="shared" si="54"/>
        <v>0</v>
      </c>
      <c r="G207" s="1226"/>
      <c r="H207" s="1127">
        <f t="shared" si="56"/>
        <v>0</v>
      </c>
      <c r="I207" s="1226"/>
      <c r="J207" s="1127">
        <f t="shared" si="57"/>
        <v>0</v>
      </c>
      <c r="K207" s="1226"/>
      <c r="L207" s="1127">
        <f t="shared" si="58"/>
        <v>0</v>
      </c>
      <c r="M207" s="1226"/>
      <c r="N207" s="1127">
        <f t="shared" si="59"/>
        <v>0</v>
      </c>
      <c r="O207" s="1226"/>
      <c r="P207" s="1127">
        <f t="shared" si="60"/>
        <v>0</v>
      </c>
      <c r="Q207" s="1226"/>
      <c r="R207" s="1127">
        <f t="shared" si="61"/>
        <v>0</v>
      </c>
      <c r="S207" s="1045"/>
      <c r="T207" s="1131">
        <f t="shared" si="51"/>
        <v>0</v>
      </c>
      <c r="U207" s="1045"/>
      <c r="V207" s="1045">
        <f t="shared" si="53"/>
        <v>0</v>
      </c>
      <c r="W207" s="1132">
        <f t="shared" si="55"/>
        <v>0</v>
      </c>
      <c r="X207" s="1045">
        <f t="shared" si="62"/>
        <v>0</v>
      </c>
      <c r="Y207" s="1132">
        <f>building!Y206</f>
        <v>0</v>
      </c>
      <c r="Z207" s="1045">
        <f t="shared" si="63"/>
        <v>0</v>
      </c>
      <c r="AA207" s="890"/>
      <c r="AB207" s="890"/>
    </row>
    <row r="208" spans="1:28" s="486" customFormat="1">
      <c r="A208" s="1149">
        <v>257.10000000000002</v>
      </c>
      <c r="B208" s="1150" t="s">
        <v>6047</v>
      </c>
      <c r="C208" s="1156">
        <v>500</v>
      </c>
      <c r="D208" s="1228" t="s">
        <v>1341</v>
      </c>
      <c r="E208" s="1222">
        <f>detailed!H1954</f>
        <v>14</v>
      </c>
      <c r="F208" s="1127">
        <f t="shared" si="54"/>
        <v>7000</v>
      </c>
      <c r="G208" s="1228"/>
      <c r="H208" s="1127">
        <f t="shared" si="56"/>
        <v>0</v>
      </c>
      <c r="I208" s="1228"/>
      <c r="J208" s="1127">
        <f t="shared" si="57"/>
        <v>0</v>
      </c>
      <c r="K208" s="1228"/>
      <c r="L208" s="1127">
        <f t="shared" si="58"/>
        <v>0</v>
      </c>
      <c r="M208" s="1228"/>
      <c r="N208" s="1127">
        <f t="shared" si="59"/>
        <v>0</v>
      </c>
      <c r="O208" s="1228"/>
      <c r="P208" s="1127">
        <f t="shared" si="60"/>
        <v>0</v>
      </c>
      <c r="Q208" s="1228"/>
      <c r="R208" s="1127">
        <f t="shared" si="61"/>
        <v>0</v>
      </c>
      <c r="S208" s="1028"/>
      <c r="T208" s="1131">
        <f t="shared" si="51"/>
        <v>0</v>
      </c>
      <c r="U208" s="1045"/>
      <c r="V208" s="1045">
        <f t="shared" si="53"/>
        <v>0</v>
      </c>
      <c r="W208" s="1132">
        <f t="shared" si="55"/>
        <v>0</v>
      </c>
      <c r="X208" s="1045">
        <f t="shared" si="62"/>
        <v>0</v>
      </c>
      <c r="Y208" s="1132">
        <f>building!Y207</f>
        <v>14</v>
      </c>
      <c r="Z208" s="1045">
        <f t="shared" si="63"/>
        <v>7000</v>
      </c>
      <c r="AA208" s="892"/>
      <c r="AB208" s="891"/>
    </row>
    <row r="209" spans="1:28">
      <c r="A209" s="1184">
        <v>344.2</v>
      </c>
      <c r="B209" s="1125" t="s">
        <v>734</v>
      </c>
      <c r="C209" s="1052">
        <f>ROUND(Data!K3017,2)</f>
        <v>379.4</v>
      </c>
      <c r="D209" s="1219" t="s">
        <v>1341</v>
      </c>
      <c r="E209" s="1214">
        <f>detailed!H1987</f>
        <v>9</v>
      </c>
      <c r="F209" s="1127">
        <f t="shared" si="54"/>
        <v>3414.6</v>
      </c>
      <c r="G209" s="1219"/>
      <c r="H209" s="1127">
        <f t="shared" si="56"/>
        <v>0</v>
      </c>
      <c r="I209" s="1219"/>
      <c r="J209" s="1127">
        <f t="shared" si="57"/>
        <v>0</v>
      </c>
      <c r="K209" s="1219"/>
      <c r="L209" s="1127">
        <f t="shared" si="58"/>
        <v>0</v>
      </c>
      <c r="M209" s="1219"/>
      <c r="N209" s="1127">
        <f t="shared" si="59"/>
        <v>0</v>
      </c>
      <c r="O209" s="1219"/>
      <c r="P209" s="1127">
        <f t="shared" si="60"/>
        <v>0</v>
      </c>
      <c r="Q209" s="1219"/>
      <c r="R209" s="1127">
        <f t="shared" si="61"/>
        <v>0</v>
      </c>
      <c r="S209" s="1045"/>
      <c r="T209" s="1131">
        <f t="shared" si="51"/>
        <v>0</v>
      </c>
      <c r="U209" s="1045"/>
      <c r="V209" s="1045">
        <f t="shared" si="53"/>
        <v>0</v>
      </c>
      <c r="W209" s="1132">
        <f t="shared" si="55"/>
        <v>0</v>
      </c>
      <c r="X209" s="1045">
        <f t="shared" si="62"/>
        <v>0</v>
      </c>
      <c r="Y209" s="1132">
        <f>building!Y208</f>
        <v>9</v>
      </c>
      <c r="Z209" s="1045">
        <f t="shared" si="63"/>
        <v>3414.6</v>
      </c>
      <c r="AA209" s="890"/>
      <c r="AB209" s="890"/>
    </row>
    <row r="210" spans="1:28" s="718" customFormat="1" ht="48.75" customHeight="1">
      <c r="A210" s="1229">
        <v>383</v>
      </c>
      <c r="B210" s="1164" t="s">
        <v>1569</v>
      </c>
      <c r="C210" s="1042">
        <f>Data!C767</f>
        <v>1000</v>
      </c>
      <c r="D210" s="1165" t="s">
        <v>1341</v>
      </c>
      <c r="E210" s="1166"/>
      <c r="F210" s="1127">
        <f t="shared" si="54"/>
        <v>0</v>
      </c>
      <c r="G210" s="1165"/>
      <c r="H210" s="1127">
        <f t="shared" si="56"/>
        <v>0</v>
      </c>
      <c r="I210" s="1165"/>
      <c r="J210" s="1127">
        <f t="shared" si="57"/>
        <v>0</v>
      </c>
      <c r="K210" s="1165"/>
      <c r="L210" s="1127">
        <f t="shared" si="58"/>
        <v>0</v>
      </c>
      <c r="M210" s="1165"/>
      <c r="N210" s="1127">
        <f t="shared" si="59"/>
        <v>0</v>
      </c>
      <c r="O210" s="1165"/>
      <c r="P210" s="1127">
        <f t="shared" si="60"/>
        <v>0</v>
      </c>
      <c r="Q210" s="1165"/>
      <c r="R210" s="1127">
        <f t="shared" si="61"/>
        <v>0</v>
      </c>
      <c r="S210" s="1028"/>
      <c r="T210" s="1131">
        <f t="shared" si="51"/>
        <v>0</v>
      </c>
      <c r="U210" s="1045"/>
      <c r="V210" s="1045">
        <f t="shared" si="53"/>
        <v>0</v>
      </c>
      <c r="W210" s="1132">
        <f t="shared" si="55"/>
        <v>0</v>
      </c>
      <c r="X210" s="1045">
        <f t="shared" si="62"/>
        <v>0</v>
      </c>
      <c r="Y210" s="1132">
        <f>building!Y209</f>
        <v>0</v>
      </c>
      <c r="Z210" s="1045">
        <f t="shared" si="63"/>
        <v>0</v>
      </c>
      <c r="AA210" s="891"/>
      <c r="AB210" s="891"/>
    </row>
    <row r="211" spans="1:28" s="486" customFormat="1" ht="45">
      <c r="A211" s="1124">
        <v>383.1</v>
      </c>
      <c r="B211" s="1125" t="s">
        <v>4945</v>
      </c>
      <c r="C211" s="1025">
        <v>366.6</v>
      </c>
      <c r="D211" s="1030" t="s">
        <v>794</v>
      </c>
      <c r="E211" s="1198">
        <f>detailed!G1990</f>
        <v>126</v>
      </c>
      <c r="F211" s="1127">
        <f t="shared" si="54"/>
        <v>46191.6</v>
      </c>
      <c r="G211" s="1030"/>
      <c r="H211" s="1127">
        <f t="shared" si="56"/>
        <v>0</v>
      </c>
      <c r="I211" s="1030"/>
      <c r="J211" s="1127">
        <f t="shared" si="57"/>
        <v>0</v>
      </c>
      <c r="K211" s="1030"/>
      <c r="L211" s="1127">
        <f t="shared" si="58"/>
        <v>0</v>
      </c>
      <c r="M211" s="1030"/>
      <c r="N211" s="1127">
        <f t="shared" si="59"/>
        <v>0</v>
      </c>
      <c r="O211" s="1030"/>
      <c r="P211" s="1127">
        <f t="shared" si="60"/>
        <v>0</v>
      </c>
      <c r="Q211" s="1030"/>
      <c r="R211" s="1127">
        <f t="shared" si="61"/>
        <v>0</v>
      </c>
      <c r="S211" s="1028"/>
      <c r="T211" s="1131">
        <f t="shared" si="51"/>
        <v>0</v>
      </c>
      <c r="U211" s="1045"/>
      <c r="V211" s="1045">
        <f t="shared" si="53"/>
        <v>0</v>
      </c>
      <c r="W211" s="1132">
        <f t="shared" si="55"/>
        <v>0</v>
      </c>
      <c r="X211" s="1045">
        <f t="shared" si="62"/>
        <v>0</v>
      </c>
      <c r="Y211" s="1132">
        <f>building!Y210</f>
        <v>126</v>
      </c>
      <c r="Z211" s="1045">
        <f t="shared" si="63"/>
        <v>46191.6</v>
      </c>
      <c r="AA211" s="892"/>
      <c r="AB211" s="891"/>
    </row>
    <row r="212" spans="1:28" s="486" customFormat="1" ht="45">
      <c r="A212" s="1149"/>
      <c r="B212" s="1150" t="s">
        <v>3524</v>
      </c>
      <c r="C212" s="1156">
        <f>Data!R1915</f>
        <v>290.77999999999997</v>
      </c>
      <c r="D212" s="1228"/>
      <c r="E212" s="1222"/>
      <c r="F212" s="1127">
        <f t="shared" si="54"/>
        <v>0</v>
      </c>
      <c r="G212" s="1228"/>
      <c r="H212" s="1127">
        <f t="shared" si="56"/>
        <v>0</v>
      </c>
      <c r="I212" s="1228"/>
      <c r="J212" s="1127">
        <f t="shared" si="57"/>
        <v>0</v>
      </c>
      <c r="K212" s="1228"/>
      <c r="L212" s="1127">
        <f t="shared" si="58"/>
        <v>0</v>
      </c>
      <c r="M212" s="1228"/>
      <c r="N212" s="1127">
        <f t="shared" si="59"/>
        <v>0</v>
      </c>
      <c r="O212" s="1228"/>
      <c r="P212" s="1127">
        <f t="shared" si="60"/>
        <v>0</v>
      </c>
      <c r="Q212" s="1228"/>
      <c r="R212" s="1127">
        <f t="shared" si="61"/>
        <v>0</v>
      </c>
      <c r="S212" s="1028"/>
      <c r="T212" s="1131">
        <f t="shared" si="51"/>
        <v>0</v>
      </c>
      <c r="U212" s="1045"/>
      <c r="V212" s="1045">
        <f t="shared" si="53"/>
        <v>0</v>
      </c>
      <c r="W212" s="1132">
        <f t="shared" si="55"/>
        <v>0</v>
      </c>
      <c r="X212" s="1045">
        <f t="shared" si="62"/>
        <v>0</v>
      </c>
      <c r="Y212" s="1132">
        <f>building!Y211</f>
        <v>0</v>
      </c>
      <c r="Z212" s="1045">
        <f t="shared" si="63"/>
        <v>0</v>
      </c>
      <c r="AA212" s="892"/>
      <c r="AB212" s="891"/>
    </row>
    <row r="213" spans="1:28" s="718" customFormat="1">
      <c r="A213" s="1230">
        <v>384</v>
      </c>
      <c r="B213" s="1162" t="s">
        <v>220</v>
      </c>
      <c r="C213" s="994">
        <f>Data!K3049</f>
        <v>1602.5</v>
      </c>
      <c r="D213" s="1231" t="s">
        <v>1341</v>
      </c>
      <c r="E213" s="1148">
        <v>4</v>
      </c>
      <c r="F213" s="1127">
        <f t="shared" si="54"/>
        <v>6410</v>
      </c>
      <c r="G213" s="1231"/>
      <c r="H213" s="1127">
        <f t="shared" si="56"/>
        <v>0</v>
      </c>
      <c r="I213" s="1231"/>
      <c r="J213" s="1127">
        <f t="shared" si="57"/>
        <v>0</v>
      </c>
      <c r="K213" s="1231"/>
      <c r="L213" s="1127">
        <f t="shared" si="58"/>
        <v>0</v>
      </c>
      <c r="M213" s="1231"/>
      <c r="N213" s="1127">
        <f t="shared" si="59"/>
        <v>0</v>
      </c>
      <c r="O213" s="1231"/>
      <c r="P213" s="1127">
        <f t="shared" si="60"/>
        <v>0</v>
      </c>
      <c r="Q213" s="1231"/>
      <c r="R213" s="1127">
        <f t="shared" si="61"/>
        <v>0</v>
      </c>
      <c r="S213" s="1028"/>
      <c r="T213" s="1131">
        <f t="shared" si="51"/>
        <v>0</v>
      </c>
      <c r="U213" s="1045"/>
      <c r="V213" s="1045">
        <f t="shared" si="53"/>
        <v>0</v>
      </c>
      <c r="W213" s="1132">
        <f t="shared" si="55"/>
        <v>0</v>
      </c>
      <c r="X213" s="1045">
        <f t="shared" si="62"/>
        <v>0</v>
      </c>
      <c r="Y213" s="1132">
        <f>building!Y212</f>
        <v>4</v>
      </c>
      <c r="Z213" s="1045">
        <f t="shared" si="63"/>
        <v>6410</v>
      </c>
      <c r="AA213" s="891"/>
      <c r="AB213" s="891"/>
    </row>
    <row r="214" spans="1:28" s="718" customFormat="1" ht="58.5" customHeight="1">
      <c r="A214" s="1160">
        <v>71.2</v>
      </c>
      <c r="B214" s="1162" t="s">
        <v>3468</v>
      </c>
      <c r="C214" s="994">
        <f>Elec.Data!K3210</f>
        <v>2084</v>
      </c>
      <c r="D214" s="1231" t="s">
        <v>1341</v>
      </c>
      <c r="E214" s="1148"/>
      <c r="F214" s="1127">
        <f t="shared" si="54"/>
        <v>0</v>
      </c>
      <c r="G214" s="1231"/>
      <c r="H214" s="1127">
        <f t="shared" si="56"/>
        <v>0</v>
      </c>
      <c r="I214" s="1231"/>
      <c r="J214" s="1127">
        <f t="shared" si="57"/>
        <v>0</v>
      </c>
      <c r="K214" s="1231"/>
      <c r="L214" s="1127">
        <f t="shared" si="58"/>
        <v>0</v>
      </c>
      <c r="M214" s="1231"/>
      <c r="N214" s="1127">
        <f t="shared" si="59"/>
        <v>0</v>
      </c>
      <c r="O214" s="1231"/>
      <c r="P214" s="1127">
        <f t="shared" si="60"/>
        <v>0</v>
      </c>
      <c r="Q214" s="1231"/>
      <c r="R214" s="1127">
        <f t="shared" si="61"/>
        <v>0</v>
      </c>
      <c r="S214" s="1028"/>
      <c r="T214" s="1131">
        <f t="shared" si="51"/>
        <v>0</v>
      </c>
      <c r="U214" s="1045"/>
      <c r="V214" s="1045">
        <f t="shared" si="53"/>
        <v>0</v>
      </c>
      <c r="W214" s="1132">
        <f t="shared" si="55"/>
        <v>0</v>
      </c>
      <c r="X214" s="1045">
        <f t="shared" si="62"/>
        <v>0</v>
      </c>
      <c r="Y214" s="1132">
        <f>building!Y213</f>
        <v>0</v>
      </c>
      <c r="Z214" s="1045">
        <f t="shared" si="63"/>
        <v>0</v>
      </c>
      <c r="AA214" s="891"/>
      <c r="AB214" s="891"/>
    </row>
    <row r="215" spans="1:28" s="718" customFormat="1" ht="47.25" customHeight="1">
      <c r="A215" s="1160">
        <v>80.099999999999994</v>
      </c>
      <c r="B215" s="1162" t="s">
        <v>3709</v>
      </c>
      <c r="C215" s="994">
        <f>C394</f>
        <v>1242.21</v>
      </c>
      <c r="D215" s="1231" t="s">
        <v>1341</v>
      </c>
      <c r="E215" s="1148">
        <f>detailed!H1970</f>
        <v>3</v>
      </c>
      <c r="F215" s="1127">
        <f t="shared" si="54"/>
        <v>3726.63</v>
      </c>
      <c r="G215" s="1231"/>
      <c r="H215" s="1127">
        <f t="shared" si="56"/>
        <v>0</v>
      </c>
      <c r="I215" s="1231"/>
      <c r="J215" s="1127">
        <f t="shared" si="57"/>
        <v>0</v>
      </c>
      <c r="K215" s="1231"/>
      <c r="L215" s="1127">
        <f t="shared" si="58"/>
        <v>0</v>
      </c>
      <c r="M215" s="1231"/>
      <c r="N215" s="1127">
        <f t="shared" si="59"/>
        <v>0</v>
      </c>
      <c r="O215" s="1231"/>
      <c r="P215" s="1127">
        <f t="shared" si="60"/>
        <v>0</v>
      </c>
      <c r="Q215" s="1231"/>
      <c r="R215" s="1127">
        <f t="shared" si="61"/>
        <v>0</v>
      </c>
      <c r="S215" s="1028"/>
      <c r="T215" s="1131">
        <f t="shared" si="51"/>
        <v>0</v>
      </c>
      <c r="U215" s="1045"/>
      <c r="V215" s="1045">
        <f t="shared" si="53"/>
        <v>0</v>
      </c>
      <c r="W215" s="1132">
        <f t="shared" si="55"/>
        <v>0</v>
      </c>
      <c r="X215" s="1045">
        <f t="shared" si="62"/>
        <v>0</v>
      </c>
      <c r="Y215" s="1132">
        <f>building!Y214</f>
        <v>3</v>
      </c>
      <c r="Z215" s="1045">
        <f t="shared" si="63"/>
        <v>3726.63</v>
      </c>
      <c r="AA215" s="891"/>
      <c r="AB215" s="891"/>
    </row>
    <row r="216" spans="1:28" s="486" customFormat="1">
      <c r="A216" s="1124"/>
      <c r="B216" s="1125" t="s">
        <v>3474</v>
      </c>
      <c r="C216" s="1040">
        <f>Elec.Data!K3419</f>
        <v>778</v>
      </c>
      <c r="D216" s="1223" t="s">
        <v>1341</v>
      </c>
      <c r="E216" s="1128"/>
      <c r="F216" s="1127">
        <f t="shared" si="54"/>
        <v>0</v>
      </c>
      <c r="G216" s="1223"/>
      <c r="H216" s="1127">
        <f t="shared" si="56"/>
        <v>0</v>
      </c>
      <c r="I216" s="1223"/>
      <c r="J216" s="1127">
        <f t="shared" si="57"/>
        <v>0</v>
      </c>
      <c r="K216" s="1223"/>
      <c r="L216" s="1127">
        <f t="shared" si="58"/>
        <v>0</v>
      </c>
      <c r="M216" s="1223"/>
      <c r="N216" s="1127">
        <f t="shared" si="59"/>
        <v>0</v>
      </c>
      <c r="O216" s="1223"/>
      <c r="P216" s="1127">
        <f t="shared" si="60"/>
        <v>0</v>
      </c>
      <c r="Q216" s="1223"/>
      <c r="R216" s="1127">
        <f t="shared" si="61"/>
        <v>0</v>
      </c>
      <c r="S216" s="1045"/>
      <c r="T216" s="1131">
        <f t="shared" si="51"/>
        <v>0</v>
      </c>
      <c r="U216" s="1045"/>
      <c r="V216" s="1045">
        <f t="shared" si="53"/>
        <v>0</v>
      </c>
      <c r="W216" s="1132">
        <f t="shared" si="55"/>
        <v>0</v>
      </c>
      <c r="X216" s="1045">
        <f t="shared" si="62"/>
        <v>0</v>
      </c>
      <c r="Y216" s="1132">
        <f>building!Y215</f>
        <v>0</v>
      </c>
      <c r="Z216" s="1045">
        <f t="shared" si="63"/>
        <v>0</v>
      </c>
      <c r="AA216" s="892"/>
      <c r="AB216" s="890"/>
    </row>
    <row r="217" spans="1:28" s="486" customFormat="1">
      <c r="A217" s="1124"/>
      <c r="B217" s="1125" t="s">
        <v>3706</v>
      </c>
      <c r="C217" s="1024">
        <f>Elec.Data!K3400</f>
        <v>508.26</v>
      </c>
      <c r="D217" s="1224" t="s">
        <v>1341</v>
      </c>
      <c r="E217" s="1139"/>
      <c r="F217" s="1127">
        <f t="shared" si="54"/>
        <v>0</v>
      </c>
      <c r="G217" s="1224"/>
      <c r="H217" s="1127">
        <f t="shared" si="56"/>
        <v>0</v>
      </c>
      <c r="I217" s="1224"/>
      <c r="J217" s="1127">
        <f t="shared" si="57"/>
        <v>0</v>
      </c>
      <c r="K217" s="1224"/>
      <c r="L217" s="1127">
        <f t="shared" si="58"/>
        <v>0</v>
      </c>
      <c r="M217" s="1224"/>
      <c r="N217" s="1127">
        <f t="shared" si="59"/>
        <v>0</v>
      </c>
      <c r="O217" s="1224"/>
      <c r="P217" s="1127">
        <f t="shared" si="60"/>
        <v>0</v>
      </c>
      <c r="Q217" s="1224"/>
      <c r="R217" s="1127">
        <f t="shared" si="61"/>
        <v>0</v>
      </c>
      <c r="S217" s="1028"/>
      <c r="T217" s="1131">
        <f t="shared" si="51"/>
        <v>0</v>
      </c>
      <c r="U217" s="1045"/>
      <c r="V217" s="1045">
        <f t="shared" si="53"/>
        <v>0</v>
      </c>
      <c r="W217" s="1132">
        <f t="shared" si="55"/>
        <v>0</v>
      </c>
      <c r="X217" s="1045">
        <f t="shared" si="62"/>
        <v>0</v>
      </c>
      <c r="Y217" s="1132">
        <f>building!Y216</f>
        <v>0</v>
      </c>
      <c r="Z217" s="1045">
        <f t="shared" si="63"/>
        <v>0</v>
      </c>
      <c r="AA217" s="892"/>
      <c r="AB217" s="891"/>
    </row>
    <row r="218" spans="1:28">
      <c r="A218" s="1124">
        <v>87.1</v>
      </c>
      <c r="B218" s="1125" t="str">
        <f>B428</f>
        <v>Supplying and delivery of Three phase ELCB/RCCB</v>
      </c>
      <c r="C218" s="1040">
        <f>Elec.Data!K3468</f>
        <v>2971.6</v>
      </c>
      <c r="D218" s="1223" t="s">
        <v>1341</v>
      </c>
      <c r="E218" s="1128"/>
      <c r="F218" s="1127">
        <f t="shared" si="54"/>
        <v>0</v>
      </c>
      <c r="G218" s="1223"/>
      <c r="H218" s="1127">
        <f t="shared" si="56"/>
        <v>0</v>
      </c>
      <c r="I218" s="1223"/>
      <c r="J218" s="1127">
        <f t="shared" si="57"/>
        <v>0</v>
      </c>
      <c r="K218" s="1223"/>
      <c r="L218" s="1127">
        <f t="shared" si="58"/>
        <v>0</v>
      </c>
      <c r="M218" s="1223"/>
      <c r="N218" s="1127">
        <f t="shared" si="59"/>
        <v>0</v>
      </c>
      <c r="O218" s="1223"/>
      <c r="P218" s="1127">
        <f t="shared" si="60"/>
        <v>0</v>
      </c>
      <c r="Q218" s="1223"/>
      <c r="R218" s="1127">
        <f t="shared" si="61"/>
        <v>0</v>
      </c>
      <c r="S218" s="1045"/>
      <c r="T218" s="1131">
        <f t="shared" si="51"/>
        <v>0</v>
      </c>
      <c r="U218" s="1045"/>
      <c r="V218" s="1045">
        <f t="shared" si="53"/>
        <v>0</v>
      </c>
      <c r="W218" s="1132">
        <f t="shared" si="55"/>
        <v>0</v>
      </c>
      <c r="X218" s="1045">
        <f t="shared" si="62"/>
        <v>0</v>
      </c>
      <c r="Y218" s="1132">
        <f>building!Y217</f>
        <v>0</v>
      </c>
      <c r="Z218" s="1045">
        <f t="shared" si="63"/>
        <v>0</v>
      </c>
      <c r="AA218" s="890"/>
      <c r="AB218" s="890"/>
    </row>
    <row r="219" spans="1:28" s="486" customFormat="1">
      <c r="A219" s="1124"/>
      <c r="B219" s="1125" t="s">
        <v>3710</v>
      </c>
      <c r="C219" s="1040">
        <f>C431</f>
        <v>165</v>
      </c>
      <c r="D219" s="1223" t="s">
        <v>794</v>
      </c>
      <c r="E219" s="1128"/>
      <c r="F219" s="1127">
        <f t="shared" si="54"/>
        <v>0</v>
      </c>
      <c r="G219" s="1223"/>
      <c r="H219" s="1127">
        <f t="shared" si="56"/>
        <v>0</v>
      </c>
      <c r="I219" s="1223"/>
      <c r="J219" s="1127">
        <f t="shared" si="57"/>
        <v>0</v>
      </c>
      <c r="K219" s="1223"/>
      <c r="L219" s="1127">
        <f t="shared" si="58"/>
        <v>0</v>
      </c>
      <c r="M219" s="1223"/>
      <c r="N219" s="1127">
        <f t="shared" si="59"/>
        <v>0</v>
      </c>
      <c r="O219" s="1223"/>
      <c r="P219" s="1127">
        <f t="shared" si="60"/>
        <v>0</v>
      </c>
      <c r="Q219" s="1223"/>
      <c r="R219" s="1127">
        <f t="shared" si="61"/>
        <v>0</v>
      </c>
      <c r="S219" s="1045"/>
      <c r="T219" s="1131">
        <f t="shared" si="51"/>
        <v>0</v>
      </c>
      <c r="U219" s="1045"/>
      <c r="V219" s="1045">
        <f t="shared" si="53"/>
        <v>0</v>
      </c>
      <c r="W219" s="1132">
        <f t="shared" si="55"/>
        <v>0</v>
      </c>
      <c r="X219" s="1045">
        <f t="shared" si="62"/>
        <v>0</v>
      </c>
      <c r="Y219" s="1132">
        <f>building!Y218</f>
        <v>0</v>
      </c>
      <c r="Z219" s="1045">
        <f t="shared" si="63"/>
        <v>0</v>
      </c>
      <c r="AA219" s="892"/>
      <c r="AB219" s="890"/>
    </row>
    <row r="220" spans="1:28" ht="45">
      <c r="A220" s="1124"/>
      <c r="B220" s="1125" t="s">
        <v>4153</v>
      </c>
      <c r="C220" s="1052">
        <f>Data!R1329</f>
        <v>206.91</v>
      </c>
      <c r="D220" s="1223" t="s">
        <v>2199</v>
      </c>
      <c r="E220" s="1128">
        <f>detailed!G1532</f>
        <v>1894.8</v>
      </c>
      <c r="F220" s="1127">
        <f t="shared" si="54"/>
        <v>392053.07</v>
      </c>
      <c r="G220" s="1223"/>
      <c r="H220" s="1127">
        <f t="shared" si="56"/>
        <v>0</v>
      </c>
      <c r="I220" s="1223"/>
      <c r="J220" s="1127">
        <f t="shared" si="57"/>
        <v>0</v>
      </c>
      <c r="K220" s="1223"/>
      <c r="L220" s="1127">
        <f t="shared" si="58"/>
        <v>0</v>
      </c>
      <c r="M220" s="1223"/>
      <c r="N220" s="1127">
        <f t="shared" si="59"/>
        <v>0</v>
      </c>
      <c r="O220" s="1223"/>
      <c r="P220" s="1127">
        <f t="shared" si="60"/>
        <v>0</v>
      </c>
      <c r="Q220" s="1223"/>
      <c r="R220" s="1127">
        <f t="shared" si="61"/>
        <v>0</v>
      </c>
      <c r="S220" s="1045"/>
      <c r="T220" s="1131">
        <f t="shared" si="51"/>
        <v>0</v>
      </c>
      <c r="U220" s="1045">
        <f>Com.wall!H72</f>
        <v>636.9</v>
      </c>
      <c r="V220" s="1045">
        <f t="shared" si="53"/>
        <v>131780.98000000001</v>
      </c>
      <c r="W220" s="1132">
        <f t="shared" si="55"/>
        <v>636.9</v>
      </c>
      <c r="X220" s="1045">
        <f t="shared" si="62"/>
        <v>131780.98000000001</v>
      </c>
      <c r="Y220" s="1132">
        <f>building!Y219</f>
        <v>2531.6999999999998</v>
      </c>
      <c r="Z220" s="1045">
        <f t="shared" si="63"/>
        <v>523834.05</v>
      </c>
      <c r="AA220" s="890"/>
      <c r="AB220" s="890"/>
    </row>
    <row r="221" spans="1:28" ht="45">
      <c r="A221" s="1124" t="s">
        <v>4257</v>
      </c>
      <c r="B221" s="1125" t="s">
        <v>3711</v>
      </c>
      <c r="C221" s="1052">
        <f>Data!K3351</f>
        <v>109.44</v>
      </c>
      <c r="D221" s="1223" t="s">
        <v>2199</v>
      </c>
      <c r="E221" s="1128">
        <f>detailed!G1501</f>
        <v>2472.9</v>
      </c>
      <c r="F221" s="1127">
        <f t="shared" si="54"/>
        <v>270634.18</v>
      </c>
      <c r="G221" s="1223"/>
      <c r="H221" s="1127">
        <f t="shared" si="56"/>
        <v>0</v>
      </c>
      <c r="I221" s="1223"/>
      <c r="J221" s="1127">
        <f t="shared" si="57"/>
        <v>0</v>
      </c>
      <c r="K221" s="1223"/>
      <c r="L221" s="1127">
        <f t="shared" si="58"/>
        <v>0</v>
      </c>
      <c r="M221" s="1223"/>
      <c r="N221" s="1127">
        <f t="shared" si="59"/>
        <v>0</v>
      </c>
      <c r="O221" s="1223"/>
      <c r="P221" s="1127">
        <f t="shared" si="60"/>
        <v>0</v>
      </c>
      <c r="Q221" s="1223"/>
      <c r="R221" s="1127">
        <f t="shared" si="61"/>
        <v>0</v>
      </c>
      <c r="S221" s="1045"/>
      <c r="T221" s="1131">
        <f t="shared" si="51"/>
        <v>0</v>
      </c>
      <c r="U221" s="1045"/>
      <c r="V221" s="1045">
        <f t="shared" si="53"/>
        <v>0</v>
      </c>
      <c r="W221" s="1132">
        <f t="shared" si="55"/>
        <v>0</v>
      </c>
      <c r="X221" s="1045">
        <f t="shared" si="62"/>
        <v>0</v>
      </c>
      <c r="Y221" s="1132">
        <f>building!Y220</f>
        <v>2472.9</v>
      </c>
      <c r="Z221" s="1045">
        <f t="shared" si="63"/>
        <v>270634.18</v>
      </c>
      <c r="AA221" s="890"/>
      <c r="AB221" s="890"/>
    </row>
    <row r="222" spans="1:28" s="486" customFormat="1" ht="45">
      <c r="A222" s="1149"/>
      <c r="B222" s="1150" t="str">
        <f>B429</f>
        <v>2 x 4 Sqmm Copper PVC insulated unsheathed single core 1 KV grade cable for EB service single phase.</v>
      </c>
      <c r="C222" s="1156">
        <f>C429</f>
        <v>142.29</v>
      </c>
      <c r="D222" s="1232" t="s">
        <v>794</v>
      </c>
      <c r="E222" s="1153"/>
      <c r="F222" s="1127">
        <f t="shared" si="54"/>
        <v>0</v>
      </c>
      <c r="G222" s="1232"/>
      <c r="H222" s="1127">
        <f t="shared" si="56"/>
        <v>0</v>
      </c>
      <c r="I222" s="1232"/>
      <c r="J222" s="1127">
        <f t="shared" si="57"/>
        <v>0</v>
      </c>
      <c r="K222" s="1232"/>
      <c r="L222" s="1127">
        <f t="shared" si="58"/>
        <v>0</v>
      </c>
      <c r="M222" s="1232"/>
      <c r="N222" s="1127">
        <f t="shared" si="59"/>
        <v>0</v>
      </c>
      <c r="O222" s="1232"/>
      <c r="P222" s="1127">
        <f t="shared" si="60"/>
        <v>0</v>
      </c>
      <c r="Q222" s="1232"/>
      <c r="R222" s="1127">
        <f t="shared" si="61"/>
        <v>0</v>
      </c>
      <c r="S222" s="1028"/>
      <c r="T222" s="1131">
        <f t="shared" si="51"/>
        <v>0</v>
      </c>
      <c r="U222" s="1045"/>
      <c r="V222" s="1045">
        <f t="shared" si="53"/>
        <v>0</v>
      </c>
      <c r="W222" s="1132">
        <f t="shared" si="55"/>
        <v>0</v>
      </c>
      <c r="X222" s="1045">
        <f t="shared" si="62"/>
        <v>0</v>
      </c>
      <c r="Y222" s="1132">
        <f>building!Y221</f>
        <v>0</v>
      </c>
      <c r="Z222" s="1045">
        <f t="shared" si="63"/>
        <v>0</v>
      </c>
      <c r="AA222" s="892"/>
      <c r="AB222" s="891"/>
    </row>
    <row r="223" spans="1:28" s="486" customFormat="1">
      <c r="A223" s="1124"/>
      <c r="B223" s="1125" t="str">
        <f>B395</f>
        <v>40 mm dia GI pipe "B"class</v>
      </c>
      <c r="C223" s="1155">
        <f>C395</f>
        <v>165</v>
      </c>
      <c r="D223" s="1224" t="s">
        <v>794</v>
      </c>
      <c r="E223" s="1139"/>
      <c r="F223" s="1127">
        <f t="shared" si="54"/>
        <v>0</v>
      </c>
      <c r="G223" s="1224"/>
      <c r="H223" s="1127">
        <f t="shared" si="56"/>
        <v>0</v>
      </c>
      <c r="I223" s="1224"/>
      <c r="J223" s="1127">
        <f t="shared" si="57"/>
        <v>0</v>
      </c>
      <c r="K223" s="1224"/>
      <c r="L223" s="1127">
        <f t="shared" si="58"/>
        <v>0</v>
      </c>
      <c r="M223" s="1224"/>
      <c r="N223" s="1127">
        <f t="shared" si="59"/>
        <v>0</v>
      </c>
      <c r="O223" s="1224"/>
      <c r="P223" s="1127">
        <f t="shared" si="60"/>
        <v>0</v>
      </c>
      <c r="Q223" s="1224"/>
      <c r="R223" s="1127">
        <f t="shared" si="61"/>
        <v>0</v>
      </c>
      <c r="S223" s="1028"/>
      <c r="T223" s="1131">
        <f t="shared" si="51"/>
        <v>0</v>
      </c>
      <c r="U223" s="1045"/>
      <c r="V223" s="1045">
        <f t="shared" si="53"/>
        <v>0</v>
      </c>
      <c r="W223" s="1132">
        <f t="shared" si="55"/>
        <v>0</v>
      </c>
      <c r="X223" s="1045">
        <f t="shared" si="62"/>
        <v>0</v>
      </c>
      <c r="Y223" s="1132">
        <f>building!Y222</f>
        <v>0</v>
      </c>
      <c r="Z223" s="1045">
        <f t="shared" si="63"/>
        <v>0</v>
      </c>
      <c r="AA223" s="892"/>
      <c r="AB223" s="891"/>
    </row>
    <row r="224" spans="1:28" s="718" customFormat="1">
      <c r="A224" s="1160">
        <v>448.2</v>
      </c>
      <c r="B224" s="1162" t="s">
        <v>4154</v>
      </c>
      <c r="C224" s="995">
        <f>Data!R3126</f>
        <v>122.25</v>
      </c>
      <c r="D224" s="1231" t="s">
        <v>1341</v>
      </c>
      <c r="E224" s="1148">
        <f>detailed!H1672</f>
        <v>8</v>
      </c>
      <c r="F224" s="1127">
        <f t="shared" si="54"/>
        <v>978</v>
      </c>
      <c r="G224" s="1231"/>
      <c r="H224" s="1127">
        <f t="shared" si="56"/>
        <v>0</v>
      </c>
      <c r="I224" s="1231"/>
      <c r="J224" s="1127">
        <f t="shared" si="57"/>
        <v>0</v>
      </c>
      <c r="K224" s="1231"/>
      <c r="L224" s="1127">
        <f t="shared" si="58"/>
        <v>0</v>
      </c>
      <c r="M224" s="1231"/>
      <c r="N224" s="1127">
        <f t="shared" si="59"/>
        <v>0</v>
      </c>
      <c r="O224" s="1231"/>
      <c r="P224" s="1127">
        <f t="shared" si="60"/>
        <v>0</v>
      </c>
      <c r="Q224" s="1231"/>
      <c r="R224" s="1127">
        <f t="shared" si="61"/>
        <v>0</v>
      </c>
      <c r="S224" s="1028"/>
      <c r="T224" s="1131">
        <f t="shared" si="51"/>
        <v>0</v>
      </c>
      <c r="U224" s="1045"/>
      <c r="V224" s="1045">
        <f t="shared" si="53"/>
        <v>0</v>
      </c>
      <c r="W224" s="1132">
        <f t="shared" si="55"/>
        <v>0</v>
      </c>
      <c r="X224" s="1045">
        <f t="shared" si="62"/>
        <v>0</v>
      </c>
      <c r="Y224" s="1132">
        <f>building!Y223</f>
        <v>8</v>
      </c>
      <c r="Z224" s="1045">
        <f t="shared" si="63"/>
        <v>978</v>
      </c>
      <c r="AA224" s="891"/>
      <c r="AB224" s="891"/>
    </row>
    <row r="225" spans="1:28" s="486" customFormat="1" ht="45">
      <c r="A225" s="1149"/>
      <c r="B225" s="1150" t="s">
        <v>5662</v>
      </c>
      <c r="C225" s="1156">
        <f>C379</f>
        <v>1489.39</v>
      </c>
      <c r="D225" s="1228" t="s">
        <v>2199</v>
      </c>
      <c r="E225" s="1222">
        <f>detailed!G1007</f>
        <v>304.89999999999998</v>
      </c>
      <c r="F225" s="1127">
        <f t="shared" si="54"/>
        <v>454115.01</v>
      </c>
      <c r="G225" s="1228"/>
      <c r="H225" s="1127">
        <f t="shared" si="56"/>
        <v>0</v>
      </c>
      <c r="I225" s="1228"/>
      <c r="J225" s="1127">
        <f t="shared" si="57"/>
        <v>0</v>
      </c>
      <c r="K225" s="1228"/>
      <c r="L225" s="1127">
        <f t="shared" si="58"/>
        <v>0</v>
      </c>
      <c r="M225" s="1228"/>
      <c r="N225" s="1127">
        <f t="shared" si="59"/>
        <v>0</v>
      </c>
      <c r="O225" s="1228"/>
      <c r="P225" s="1127">
        <f t="shared" si="60"/>
        <v>0</v>
      </c>
      <c r="Q225" s="1228"/>
      <c r="R225" s="1127">
        <f t="shared" si="61"/>
        <v>0</v>
      </c>
      <c r="S225" s="1045"/>
      <c r="T225" s="1131">
        <f t="shared" si="51"/>
        <v>0</v>
      </c>
      <c r="U225" s="1045"/>
      <c r="V225" s="1045">
        <f t="shared" si="53"/>
        <v>0</v>
      </c>
      <c r="W225" s="1132">
        <f t="shared" si="55"/>
        <v>0</v>
      </c>
      <c r="X225" s="1045">
        <f t="shared" si="62"/>
        <v>0</v>
      </c>
      <c r="Y225" s="1132">
        <f>building!Y224</f>
        <v>304.89999999999998</v>
      </c>
      <c r="Z225" s="1045">
        <f t="shared" si="63"/>
        <v>454115.01</v>
      </c>
      <c r="AA225" s="892"/>
      <c r="AB225" s="890"/>
    </row>
    <row r="226" spans="1:28" ht="45">
      <c r="A226" s="1124"/>
      <c r="B226" s="1125" t="s">
        <v>5663</v>
      </c>
      <c r="C226" s="1052">
        <f>Data!R2419</f>
        <v>1298.51</v>
      </c>
      <c r="D226" s="1219" t="s">
        <v>2199</v>
      </c>
      <c r="E226" s="1214">
        <f>detailed!G1545</f>
        <v>134.69999999999999</v>
      </c>
      <c r="F226" s="1127">
        <f t="shared" si="54"/>
        <v>174909.3</v>
      </c>
      <c r="G226" s="1219"/>
      <c r="H226" s="1127">
        <f t="shared" si="56"/>
        <v>0</v>
      </c>
      <c r="I226" s="1219"/>
      <c r="J226" s="1127">
        <f t="shared" si="57"/>
        <v>0</v>
      </c>
      <c r="K226" s="1219"/>
      <c r="L226" s="1127">
        <f t="shared" si="58"/>
        <v>0</v>
      </c>
      <c r="M226" s="1219"/>
      <c r="N226" s="1127">
        <f t="shared" si="59"/>
        <v>0</v>
      </c>
      <c r="O226" s="1219"/>
      <c r="P226" s="1127">
        <f t="shared" si="60"/>
        <v>0</v>
      </c>
      <c r="Q226" s="1219"/>
      <c r="R226" s="1127">
        <f t="shared" si="61"/>
        <v>0</v>
      </c>
      <c r="S226" s="1045"/>
      <c r="T226" s="1131">
        <f t="shared" si="51"/>
        <v>0</v>
      </c>
      <c r="U226" s="1045"/>
      <c r="V226" s="1045">
        <f t="shared" si="53"/>
        <v>0</v>
      </c>
      <c r="W226" s="1132">
        <f t="shared" si="55"/>
        <v>0</v>
      </c>
      <c r="X226" s="1045">
        <f t="shared" si="62"/>
        <v>0</v>
      </c>
      <c r="Y226" s="1132">
        <f>building!Y225</f>
        <v>134.69999999999999</v>
      </c>
      <c r="Z226" s="1045">
        <f t="shared" si="63"/>
        <v>174909.3</v>
      </c>
      <c r="AA226" s="890"/>
      <c r="AB226" s="890"/>
    </row>
    <row r="227" spans="1:28" s="486" customFormat="1">
      <c r="A227" s="1149"/>
      <c r="B227" s="1150" t="s">
        <v>4602</v>
      </c>
      <c r="C227" s="1151">
        <f>Data!K2438</f>
        <v>1331.17</v>
      </c>
      <c r="D227" s="1228" t="s">
        <v>222</v>
      </c>
      <c r="E227" s="1222"/>
      <c r="F227" s="1127">
        <f t="shared" si="54"/>
        <v>0</v>
      </c>
      <c r="G227" s="1228"/>
      <c r="H227" s="1127">
        <f t="shared" si="56"/>
        <v>0</v>
      </c>
      <c r="I227" s="1228"/>
      <c r="J227" s="1127">
        <f t="shared" si="57"/>
        <v>0</v>
      </c>
      <c r="K227" s="1228"/>
      <c r="L227" s="1127">
        <f t="shared" si="58"/>
        <v>0</v>
      </c>
      <c r="M227" s="1228"/>
      <c r="N227" s="1127">
        <f t="shared" si="59"/>
        <v>0</v>
      </c>
      <c r="O227" s="1228"/>
      <c r="P227" s="1127">
        <f t="shared" si="60"/>
        <v>0</v>
      </c>
      <c r="Q227" s="1228"/>
      <c r="R227" s="1127">
        <f t="shared" si="61"/>
        <v>0</v>
      </c>
      <c r="S227" s="1045"/>
      <c r="T227" s="1131">
        <f t="shared" si="51"/>
        <v>0</v>
      </c>
      <c r="U227" s="1045"/>
      <c r="V227" s="1045">
        <f t="shared" si="53"/>
        <v>0</v>
      </c>
      <c r="W227" s="1132">
        <f t="shared" si="55"/>
        <v>0</v>
      </c>
      <c r="X227" s="1045">
        <f t="shared" si="62"/>
        <v>0</v>
      </c>
      <c r="Y227" s="1132">
        <f>building!Y226</f>
        <v>0</v>
      </c>
      <c r="Z227" s="1045">
        <f t="shared" si="63"/>
        <v>0</v>
      </c>
      <c r="AA227" s="892"/>
      <c r="AB227" s="890"/>
    </row>
    <row r="228" spans="1:28">
      <c r="A228" s="1124"/>
      <c r="B228" s="1125" t="s">
        <v>4444</v>
      </c>
      <c r="C228" s="1040">
        <f>Data!R1275</f>
        <v>1147.69</v>
      </c>
      <c r="D228" s="1219" t="s">
        <v>2199</v>
      </c>
      <c r="E228" s="1214">
        <f>detailed!G1057</f>
        <v>895.5</v>
      </c>
      <c r="F228" s="1127">
        <f t="shared" si="54"/>
        <v>1027756.4</v>
      </c>
      <c r="G228" s="1219"/>
      <c r="H228" s="1127">
        <f t="shared" si="56"/>
        <v>0</v>
      </c>
      <c r="I228" s="1219"/>
      <c r="J228" s="1127">
        <f t="shared" si="57"/>
        <v>0</v>
      </c>
      <c r="K228" s="1219"/>
      <c r="L228" s="1127">
        <f t="shared" si="58"/>
        <v>0</v>
      </c>
      <c r="M228" s="1219"/>
      <c r="N228" s="1127">
        <f t="shared" si="59"/>
        <v>0</v>
      </c>
      <c r="O228" s="1219"/>
      <c r="P228" s="1127">
        <f t="shared" si="60"/>
        <v>0</v>
      </c>
      <c r="Q228" s="1219"/>
      <c r="R228" s="1127">
        <f t="shared" si="61"/>
        <v>0</v>
      </c>
      <c r="S228" s="1045"/>
      <c r="T228" s="1131">
        <f t="shared" si="51"/>
        <v>0</v>
      </c>
      <c r="U228" s="1045"/>
      <c r="V228" s="1045">
        <f t="shared" si="53"/>
        <v>0</v>
      </c>
      <c r="W228" s="1132">
        <f t="shared" si="55"/>
        <v>0</v>
      </c>
      <c r="X228" s="1045">
        <f t="shared" si="62"/>
        <v>0</v>
      </c>
      <c r="Y228" s="1132">
        <f>building!Y227</f>
        <v>895.5</v>
      </c>
      <c r="Z228" s="1045">
        <f t="shared" si="63"/>
        <v>1027756.4</v>
      </c>
      <c r="AA228" s="890"/>
      <c r="AB228" s="890"/>
    </row>
    <row r="229" spans="1:28" s="486" customFormat="1">
      <c r="A229" s="1124" t="s">
        <v>4151</v>
      </c>
      <c r="B229" s="1125" t="s">
        <v>3707</v>
      </c>
      <c r="C229" s="1025">
        <f>Data!R1233</f>
        <v>1352.57</v>
      </c>
      <c r="D229" s="1030" t="s">
        <v>2199</v>
      </c>
      <c r="E229" s="1198">
        <f>detailed!G1066</f>
        <v>166.7</v>
      </c>
      <c r="F229" s="1127">
        <f t="shared" si="54"/>
        <v>225473.42</v>
      </c>
      <c r="G229" s="1030"/>
      <c r="H229" s="1127">
        <f t="shared" si="56"/>
        <v>0</v>
      </c>
      <c r="I229" s="1030"/>
      <c r="J229" s="1127">
        <f t="shared" si="57"/>
        <v>0</v>
      </c>
      <c r="K229" s="1030"/>
      <c r="L229" s="1127">
        <f t="shared" si="58"/>
        <v>0</v>
      </c>
      <c r="M229" s="1030"/>
      <c r="N229" s="1127">
        <f t="shared" si="59"/>
        <v>0</v>
      </c>
      <c r="O229" s="1030"/>
      <c r="P229" s="1127">
        <f t="shared" si="60"/>
        <v>0</v>
      </c>
      <c r="Q229" s="1030"/>
      <c r="R229" s="1127">
        <f t="shared" si="61"/>
        <v>0</v>
      </c>
      <c r="S229" s="1028"/>
      <c r="T229" s="1131">
        <f t="shared" si="51"/>
        <v>0</v>
      </c>
      <c r="U229" s="1045"/>
      <c r="V229" s="1045">
        <f t="shared" si="53"/>
        <v>0</v>
      </c>
      <c r="W229" s="1132">
        <f t="shared" si="55"/>
        <v>0</v>
      </c>
      <c r="X229" s="1045">
        <f t="shared" si="62"/>
        <v>0</v>
      </c>
      <c r="Y229" s="1132">
        <f>building!Y228</f>
        <v>166.7</v>
      </c>
      <c r="Z229" s="1045">
        <f t="shared" si="63"/>
        <v>225473.42</v>
      </c>
      <c r="AA229" s="892"/>
      <c r="AB229" s="891"/>
    </row>
    <row r="230" spans="1:28" s="486" customFormat="1">
      <c r="A230" s="1149"/>
      <c r="B230" s="1150" t="s">
        <v>4606</v>
      </c>
      <c r="C230" s="1151">
        <f>Data!R1233</f>
        <v>1352.57</v>
      </c>
      <c r="D230" s="1228" t="s">
        <v>2199</v>
      </c>
      <c r="E230" s="1222"/>
      <c r="F230" s="1127">
        <f t="shared" si="54"/>
        <v>0</v>
      </c>
      <c r="G230" s="1228"/>
      <c r="H230" s="1127">
        <f t="shared" si="56"/>
        <v>0</v>
      </c>
      <c r="I230" s="1228"/>
      <c r="J230" s="1127">
        <f t="shared" si="57"/>
        <v>0</v>
      </c>
      <c r="K230" s="1228"/>
      <c r="L230" s="1127">
        <f t="shared" si="58"/>
        <v>0</v>
      </c>
      <c r="M230" s="1228"/>
      <c r="N230" s="1127">
        <f t="shared" si="59"/>
        <v>0</v>
      </c>
      <c r="O230" s="1228"/>
      <c r="P230" s="1127">
        <f t="shared" si="60"/>
        <v>0</v>
      </c>
      <c r="Q230" s="1228"/>
      <c r="R230" s="1127">
        <f t="shared" si="61"/>
        <v>0</v>
      </c>
      <c r="S230" s="1045"/>
      <c r="T230" s="1131">
        <f t="shared" si="51"/>
        <v>0</v>
      </c>
      <c r="U230" s="1045"/>
      <c r="V230" s="1045">
        <f t="shared" si="53"/>
        <v>0</v>
      </c>
      <c r="W230" s="1132">
        <f t="shared" si="55"/>
        <v>0</v>
      </c>
      <c r="X230" s="1045">
        <f t="shared" si="62"/>
        <v>0</v>
      </c>
      <c r="Y230" s="1132">
        <f>building!Y229</f>
        <v>0</v>
      </c>
      <c r="Z230" s="1045">
        <f t="shared" si="63"/>
        <v>0</v>
      </c>
      <c r="AA230" s="892"/>
      <c r="AB230" s="890"/>
    </row>
    <row r="231" spans="1:28" s="486" customFormat="1">
      <c r="A231" s="1124"/>
      <c r="B231" s="1125" t="s">
        <v>3513</v>
      </c>
      <c r="C231" s="1197">
        <v>905</v>
      </c>
      <c r="D231" s="1138" t="s">
        <v>794</v>
      </c>
      <c r="E231" s="1139"/>
      <c r="F231" s="1127">
        <f t="shared" si="54"/>
        <v>0</v>
      </c>
      <c r="G231" s="1138"/>
      <c r="H231" s="1127">
        <f t="shared" si="56"/>
        <v>0</v>
      </c>
      <c r="I231" s="1138"/>
      <c r="J231" s="1127">
        <f t="shared" si="57"/>
        <v>0</v>
      </c>
      <c r="K231" s="1138"/>
      <c r="L231" s="1127">
        <f t="shared" si="58"/>
        <v>0</v>
      </c>
      <c r="M231" s="1138"/>
      <c r="N231" s="1127">
        <f t="shared" si="59"/>
        <v>0</v>
      </c>
      <c r="O231" s="1138"/>
      <c r="P231" s="1127">
        <f t="shared" si="60"/>
        <v>0</v>
      </c>
      <c r="Q231" s="1138"/>
      <c r="R231" s="1127">
        <f t="shared" si="61"/>
        <v>0</v>
      </c>
      <c r="S231" s="1028"/>
      <c r="T231" s="1131">
        <f t="shared" si="51"/>
        <v>0</v>
      </c>
      <c r="U231" s="1045"/>
      <c r="V231" s="1045">
        <f t="shared" si="53"/>
        <v>0</v>
      </c>
      <c r="W231" s="1132">
        <f t="shared" si="55"/>
        <v>0</v>
      </c>
      <c r="X231" s="1045">
        <f t="shared" si="62"/>
        <v>0</v>
      </c>
      <c r="Y231" s="1132">
        <f>building!Y230</f>
        <v>0</v>
      </c>
      <c r="Z231" s="1045">
        <f t="shared" si="63"/>
        <v>0</v>
      </c>
      <c r="AA231" s="892"/>
      <c r="AB231" s="891"/>
    </row>
    <row r="232" spans="1:28" s="486" customFormat="1">
      <c r="A232" s="1124"/>
      <c r="B232" s="1125" t="s">
        <v>3536</v>
      </c>
      <c r="C232" s="1197">
        <v>8467.2999999999993</v>
      </c>
      <c r="D232" s="1138" t="s">
        <v>1341</v>
      </c>
      <c r="E232" s="1139"/>
      <c r="F232" s="1127">
        <f t="shared" si="54"/>
        <v>0</v>
      </c>
      <c r="G232" s="1138"/>
      <c r="H232" s="1127">
        <f t="shared" si="56"/>
        <v>0</v>
      </c>
      <c r="I232" s="1138"/>
      <c r="J232" s="1127">
        <f t="shared" si="57"/>
        <v>0</v>
      </c>
      <c r="K232" s="1138"/>
      <c r="L232" s="1127">
        <f t="shared" si="58"/>
        <v>0</v>
      </c>
      <c r="M232" s="1138"/>
      <c r="N232" s="1127">
        <f t="shared" si="59"/>
        <v>0</v>
      </c>
      <c r="O232" s="1138"/>
      <c r="P232" s="1127">
        <f t="shared" si="60"/>
        <v>0</v>
      </c>
      <c r="Q232" s="1138"/>
      <c r="R232" s="1127">
        <f t="shared" si="61"/>
        <v>0</v>
      </c>
      <c r="S232" s="1028"/>
      <c r="T232" s="1131">
        <f t="shared" si="51"/>
        <v>0</v>
      </c>
      <c r="U232" s="1045"/>
      <c r="V232" s="1045">
        <f t="shared" si="53"/>
        <v>0</v>
      </c>
      <c r="W232" s="1132">
        <f t="shared" si="55"/>
        <v>0</v>
      </c>
      <c r="X232" s="1045">
        <f t="shared" si="62"/>
        <v>0</v>
      </c>
      <c r="Y232" s="1132">
        <f>building!Y231</f>
        <v>0</v>
      </c>
      <c r="Z232" s="1045">
        <f t="shared" si="63"/>
        <v>0</v>
      </c>
      <c r="AA232" s="892"/>
      <c r="AB232" s="891"/>
    </row>
    <row r="233" spans="1:28" s="486" customFormat="1" ht="45">
      <c r="A233" s="1124"/>
      <c r="B233" s="1125" t="s">
        <v>3514</v>
      </c>
      <c r="C233" s="1025">
        <f>Data!K2356</f>
        <v>30.62</v>
      </c>
      <c r="D233" s="1030" t="s">
        <v>2199</v>
      </c>
      <c r="E233" s="1198"/>
      <c r="F233" s="1127">
        <f t="shared" si="54"/>
        <v>0</v>
      </c>
      <c r="G233" s="1030"/>
      <c r="H233" s="1127">
        <f t="shared" si="56"/>
        <v>0</v>
      </c>
      <c r="I233" s="1030"/>
      <c r="J233" s="1127">
        <f t="shared" si="57"/>
        <v>0</v>
      </c>
      <c r="K233" s="1030"/>
      <c r="L233" s="1127">
        <f t="shared" si="58"/>
        <v>0</v>
      </c>
      <c r="M233" s="1030"/>
      <c r="N233" s="1127">
        <f t="shared" si="59"/>
        <v>0</v>
      </c>
      <c r="O233" s="1030"/>
      <c r="P233" s="1127">
        <f t="shared" si="60"/>
        <v>0</v>
      </c>
      <c r="Q233" s="1030"/>
      <c r="R233" s="1127">
        <f t="shared" si="61"/>
        <v>0</v>
      </c>
      <c r="S233" s="1028"/>
      <c r="T233" s="1131">
        <f t="shared" si="51"/>
        <v>0</v>
      </c>
      <c r="U233" s="1045"/>
      <c r="V233" s="1045">
        <f t="shared" si="53"/>
        <v>0</v>
      </c>
      <c r="W233" s="1132">
        <f t="shared" si="55"/>
        <v>0</v>
      </c>
      <c r="X233" s="1045">
        <f t="shared" si="62"/>
        <v>0</v>
      </c>
      <c r="Y233" s="1132">
        <f>building!Y232</f>
        <v>0</v>
      </c>
      <c r="Z233" s="1045">
        <f t="shared" si="63"/>
        <v>0</v>
      </c>
      <c r="AA233" s="892"/>
      <c r="AB233" s="891"/>
    </row>
    <row r="234" spans="1:28" s="486" customFormat="1" ht="45">
      <c r="A234" s="1124"/>
      <c r="B234" s="1233" t="s">
        <v>3739</v>
      </c>
      <c r="C234" s="1025"/>
      <c r="D234" s="1030"/>
      <c r="E234" s="1198"/>
      <c r="F234" s="1127">
        <f t="shared" si="54"/>
        <v>0</v>
      </c>
      <c r="G234" s="1030"/>
      <c r="H234" s="1127">
        <f t="shared" si="56"/>
        <v>0</v>
      </c>
      <c r="I234" s="1030"/>
      <c r="J234" s="1127">
        <f t="shared" si="57"/>
        <v>0</v>
      </c>
      <c r="K234" s="1030"/>
      <c r="L234" s="1127">
        <f t="shared" si="58"/>
        <v>0</v>
      </c>
      <c r="M234" s="1030"/>
      <c r="N234" s="1127">
        <f t="shared" si="59"/>
        <v>0</v>
      </c>
      <c r="O234" s="1030"/>
      <c r="P234" s="1127">
        <f t="shared" si="60"/>
        <v>0</v>
      </c>
      <c r="Q234" s="1030"/>
      <c r="R234" s="1127">
        <f t="shared" si="61"/>
        <v>0</v>
      </c>
      <c r="S234" s="1049"/>
      <c r="T234" s="1131">
        <f t="shared" ref="T234:T296" si="64">S234*C234</f>
        <v>0</v>
      </c>
      <c r="U234" s="1045"/>
      <c r="V234" s="1045">
        <f t="shared" si="53"/>
        <v>0</v>
      </c>
      <c r="W234" s="1132">
        <f t="shared" si="55"/>
        <v>0</v>
      </c>
      <c r="X234" s="1045">
        <f t="shared" si="62"/>
        <v>0</v>
      </c>
      <c r="Y234" s="1132">
        <f>building!Y233</f>
        <v>0</v>
      </c>
      <c r="Z234" s="1045">
        <f t="shared" si="63"/>
        <v>0</v>
      </c>
      <c r="AA234" s="892"/>
      <c r="AB234" s="890"/>
    </row>
    <row r="235" spans="1:28" s="486" customFormat="1">
      <c r="A235" s="1124"/>
      <c r="B235" s="1125" t="s">
        <v>1205</v>
      </c>
      <c r="C235" s="1025">
        <f>Data!AD1200</f>
        <v>1916.74</v>
      </c>
      <c r="D235" s="1030" t="s">
        <v>2199</v>
      </c>
      <c r="E235" s="1198">
        <f>detailed!G653</f>
        <v>6</v>
      </c>
      <c r="F235" s="1127">
        <f t="shared" si="54"/>
        <v>11500.44</v>
      </c>
      <c r="G235" s="1030"/>
      <c r="H235" s="1127">
        <f t="shared" si="56"/>
        <v>0</v>
      </c>
      <c r="I235" s="1030"/>
      <c r="J235" s="1127">
        <f t="shared" si="57"/>
        <v>0</v>
      </c>
      <c r="K235" s="1030"/>
      <c r="L235" s="1127">
        <f t="shared" si="58"/>
        <v>0</v>
      </c>
      <c r="M235" s="1030"/>
      <c r="N235" s="1127">
        <f t="shared" si="59"/>
        <v>0</v>
      </c>
      <c r="O235" s="1030"/>
      <c r="P235" s="1127">
        <f t="shared" si="60"/>
        <v>0</v>
      </c>
      <c r="Q235" s="1030"/>
      <c r="R235" s="1127">
        <f t="shared" si="61"/>
        <v>0</v>
      </c>
      <c r="S235" s="1045"/>
      <c r="T235" s="1131">
        <f t="shared" si="64"/>
        <v>0</v>
      </c>
      <c r="U235" s="1045"/>
      <c r="V235" s="1045">
        <f t="shared" si="53"/>
        <v>0</v>
      </c>
      <c r="W235" s="1132">
        <f t="shared" si="55"/>
        <v>0</v>
      </c>
      <c r="X235" s="1045">
        <f t="shared" si="62"/>
        <v>0</v>
      </c>
      <c r="Y235" s="1132">
        <f>building!Y234</f>
        <v>6</v>
      </c>
      <c r="Z235" s="1045">
        <f t="shared" si="63"/>
        <v>11500.44</v>
      </c>
      <c r="AA235" s="892"/>
      <c r="AB235" s="890"/>
    </row>
    <row r="236" spans="1:28" s="486" customFormat="1">
      <c r="A236" s="1149"/>
      <c r="B236" s="1150" t="s">
        <v>1331</v>
      </c>
      <c r="C236" s="1025">
        <f>Data!AD1201</f>
        <v>1920.81</v>
      </c>
      <c r="D236" s="1228" t="s">
        <v>2199</v>
      </c>
      <c r="E236" s="1222">
        <f>detailed!G658</f>
        <v>11.3</v>
      </c>
      <c r="F236" s="1127">
        <f t="shared" si="54"/>
        <v>21705.15</v>
      </c>
      <c r="G236" s="1228"/>
      <c r="H236" s="1127">
        <f t="shared" si="56"/>
        <v>0</v>
      </c>
      <c r="I236" s="1228"/>
      <c r="J236" s="1127">
        <f t="shared" si="57"/>
        <v>0</v>
      </c>
      <c r="K236" s="1228"/>
      <c r="L236" s="1127">
        <f t="shared" si="58"/>
        <v>0</v>
      </c>
      <c r="M236" s="1228"/>
      <c r="N236" s="1127">
        <f t="shared" si="59"/>
        <v>0</v>
      </c>
      <c r="O236" s="1228"/>
      <c r="P236" s="1127">
        <f t="shared" si="60"/>
        <v>0</v>
      </c>
      <c r="Q236" s="1228"/>
      <c r="R236" s="1127">
        <f t="shared" si="61"/>
        <v>0</v>
      </c>
      <c r="S236" s="1028"/>
      <c r="T236" s="1131">
        <f t="shared" si="64"/>
        <v>0</v>
      </c>
      <c r="U236" s="1045"/>
      <c r="V236" s="1045">
        <f t="shared" si="53"/>
        <v>0</v>
      </c>
      <c r="W236" s="1132">
        <f t="shared" si="55"/>
        <v>0</v>
      </c>
      <c r="X236" s="1045">
        <f t="shared" si="62"/>
        <v>0</v>
      </c>
      <c r="Y236" s="1132">
        <f>building!Y235</f>
        <v>11.3</v>
      </c>
      <c r="Z236" s="1045">
        <f t="shared" si="63"/>
        <v>21705.15</v>
      </c>
      <c r="AA236" s="892"/>
      <c r="AB236" s="891"/>
    </row>
    <row r="237" spans="1:28" s="486" customFormat="1">
      <c r="A237" s="1124"/>
      <c r="B237" s="1125" t="s">
        <v>1378</v>
      </c>
      <c r="C237" s="1025">
        <f>Data!AD1202</f>
        <v>1924.88</v>
      </c>
      <c r="D237" s="1030" t="s">
        <v>2199</v>
      </c>
      <c r="E237" s="1198">
        <f>detailed!G663</f>
        <v>31.5</v>
      </c>
      <c r="F237" s="1127">
        <f t="shared" si="54"/>
        <v>60633.72</v>
      </c>
      <c r="G237" s="1030"/>
      <c r="H237" s="1127">
        <f t="shared" si="56"/>
        <v>0</v>
      </c>
      <c r="I237" s="1030"/>
      <c r="J237" s="1127">
        <f t="shared" si="57"/>
        <v>0</v>
      </c>
      <c r="K237" s="1030"/>
      <c r="L237" s="1127">
        <f t="shared" si="58"/>
        <v>0</v>
      </c>
      <c r="M237" s="1030"/>
      <c r="N237" s="1127">
        <f t="shared" si="59"/>
        <v>0</v>
      </c>
      <c r="O237" s="1030"/>
      <c r="P237" s="1127">
        <f t="shared" si="60"/>
        <v>0</v>
      </c>
      <c r="Q237" s="1030"/>
      <c r="R237" s="1127">
        <f t="shared" si="61"/>
        <v>0</v>
      </c>
      <c r="S237" s="1028"/>
      <c r="T237" s="1131">
        <f t="shared" si="64"/>
        <v>0</v>
      </c>
      <c r="U237" s="1045"/>
      <c r="V237" s="1045">
        <f t="shared" si="53"/>
        <v>0</v>
      </c>
      <c r="W237" s="1132">
        <f t="shared" si="55"/>
        <v>0</v>
      </c>
      <c r="X237" s="1045">
        <f t="shared" si="62"/>
        <v>0</v>
      </c>
      <c r="Y237" s="1132">
        <f>building!Y236</f>
        <v>31.5</v>
      </c>
      <c r="Z237" s="1045">
        <f t="shared" si="63"/>
        <v>60633.72</v>
      </c>
      <c r="AA237" s="892"/>
      <c r="AB237" s="891"/>
    </row>
    <row r="238" spans="1:28" s="486" customFormat="1">
      <c r="A238" s="1124"/>
      <c r="B238" s="1125" t="s">
        <v>1274</v>
      </c>
      <c r="C238" s="1025">
        <f>Data!AD1203</f>
        <v>1928.95</v>
      </c>
      <c r="D238" s="1030" t="s">
        <v>2199</v>
      </c>
      <c r="E238" s="1198"/>
      <c r="F238" s="1127">
        <f t="shared" si="54"/>
        <v>0</v>
      </c>
      <c r="G238" s="1030"/>
      <c r="H238" s="1127">
        <f t="shared" si="56"/>
        <v>0</v>
      </c>
      <c r="I238" s="1030"/>
      <c r="J238" s="1127">
        <f t="shared" si="57"/>
        <v>0</v>
      </c>
      <c r="K238" s="1030"/>
      <c r="L238" s="1127">
        <f t="shared" si="58"/>
        <v>0</v>
      </c>
      <c r="M238" s="1030"/>
      <c r="N238" s="1127">
        <f t="shared" si="59"/>
        <v>0</v>
      </c>
      <c r="O238" s="1030"/>
      <c r="P238" s="1127">
        <f t="shared" si="60"/>
        <v>0</v>
      </c>
      <c r="Q238" s="1030"/>
      <c r="R238" s="1127">
        <f t="shared" si="61"/>
        <v>0</v>
      </c>
      <c r="S238" s="1028"/>
      <c r="T238" s="1131">
        <f t="shared" si="64"/>
        <v>0</v>
      </c>
      <c r="U238" s="1045"/>
      <c r="V238" s="1045">
        <f t="shared" si="53"/>
        <v>0</v>
      </c>
      <c r="W238" s="1132">
        <f t="shared" si="55"/>
        <v>0</v>
      </c>
      <c r="X238" s="1045">
        <f t="shared" si="62"/>
        <v>0</v>
      </c>
      <c r="Y238" s="1132">
        <f>building!Y237</f>
        <v>0</v>
      </c>
      <c r="Z238" s="1045">
        <f t="shared" si="63"/>
        <v>0</v>
      </c>
      <c r="AA238" s="892"/>
      <c r="AB238" s="891"/>
    </row>
    <row r="239" spans="1:28" s="486" customFormat="1">
      <c r="A239" s="1124"/>
      <c r="B239" s="1202" t="s">
        <v>5664</v>
      </c>
      <c r="C239" s="1235">
        <f>Data!AG3118</f>
        <v>467</v>
      </c>
      <c r="D239" s="1199" t="s">
        <v>1341</v>
      </c>
      <c r="E239" s="1200">
        <f>detailed!H1634</f>
        <v>17</v>
      </c>
      <c r="F239" s="1127">
        <f t="shared" si="54"/>
        <v>7939</v>
      </c>
      <c r="G239" s="1199"/>
      <c r="H239" s="1127">
        <f t="shared" si="56"/>
        <v>0</v>
      </c>
      <c r="I239" s="1199"/>
      <c r="J239" s="1127">
        <f t="shared" si="57"/>
        <v>0</v>
      </c>
      <c r="K239" s="1199"/>
      <c r="L239" s="1127">
        <f t="shared" si="58"/>
        <v>0</v>
      </c>
      <c r="M239" s="1199"/>
      <c r="N239" s="1127">
        <f t="shared" si="59"/>
        <v>0</v>
      </c>
      <c r="O239" s="1199"/>
      <c r="P239" s="1127">
        <f t="shared" si="60"/>
        <v>0</v>
      </c>
      <c r="Q239" s="1199"/>
      <c r="R239" s="1127">
        <f t="shared" si="61"/>
        <v>0</v>
      </c>
      <c r="S239" s="1045"/>
      <c r="T239" s="1131">
        <f t="shared" si="64"/>
        <v>0</v>
      </c>
      <c r="U239" s="1045"/>
      <c r="V239" s="1045">
        <f t="shared" si="53"/>
        <v>0</v>
      </c>
      <c r="W239" s="1132">
        <f t="shared" si="55"/>
        <v>0</v>
      </c>
      <c r="X239" s="1045">
        <f t="shared" si="62"/>
        <v>0</v>
      </c>
      <c r="Y239" s="1132">
        <f>building!Y238</f>
        <v>17</v>
      </c>
      <c r="Z239" s="1045">
        <f t="shared" si="63"/>
        <v>7939</v>
      </c>
      <c r="AA239" s="892"/>
      <c r="AB239" s="890"/>
    </row>
    <row r="240" spans="1:28" s="486" customFormat="1">
      <c r="A240" s="1124"/>
      <c r="B240" s="1202" t="s">
        <v>5665</v>
      </c>
      <c r="C240" s="1235">
        <f>Data!AH3118</f>
        <v>419</v>
      </c>
      <c r="D240" s="1199" t="s">
        <v>1341</v>
      </c>
      <c r="E240" s="1200">
        <f>detailed!H1637</f>
        <v>11</v>
      </c>
      <c r="F240" s="1127">
        <f t="shared" si="54"/>
        <v>4609</v>
      </c>
      <c r="G240" s="1199"/>
      <c r="H240" s="1127">
        <f t="shared" si="56"/>
        <v>0</v>
      </c>
      <c r="I240" s="1199"/>
      <c r="J240" s="1127">
        <f t="shared" si="57"/>
        <v>0</v>
      </c>
      <c r="K240" s="1199"/>
      <c r="L240" s="1127">
        <f t="shared" si="58"/>
        <v>0</v>
      </c>
      <c r="M240" s="1199"/>
      <c r="N240" s="1127">
        <f t="shared" si="59"/>
        <v>0</v>
      </c>
      <c r="O240" s="1199"/>
      <c r="P240" s="1127">
        <f t="shared" si="60"/>
        <v>0</v>
      </c>
      <c r="Q240" s="1199"/>
      <c r="R240" s="1127">
        <f t="shared" si="61"/>
        <v>0</v>
      </c>
      <c r="S240" s="1045"/>
      <c r="T240" s="1131">
        <f t="shared" si="64"/>
        <v>0</v>
      </c>
      <c r="U240" s="1045"/>
      <c r="V240" s="1045">
        <f t="shared" si="53"/>
        <v>0</v>
      </c>
      <c r="W240" s="1132">
        <f t="shared" si="55"/>
        <v>0</v>
      </c>
      <c r="X240" s="1045">
        <f t="shared" si="62"/>
        <v>0</v>
      </c>
      <c r="Y240" s="1132">
        <f>building!Y239</f>
        <v>11</v>
      </c>
      <c r="Z240" s="1045">
        <f t="shared" si="63"/>
        <v>4609</v>
      </c>
      <c r="AA240" s="892"/>
      <c r="AB240" s="890"/>
    </row>
    <row r="241" spans="1:28" ht="45">
      <c r="A241" s="1124"/>
      <c r="B241" s="1125" t="s">
        <v>4111</v>
      </c>
      <c r="C241" s="1236">
        <f>Data!X1350</f>
        <v>1529.48</v>
      </c>
      <c r="D241" s="1127" t="s">
        <v>1776</v>
      </c>
      <c r="E241" s="1128"/>
      <c r="F241" s="1127">
        <f t="shared" si="54"/>
        <v>0</v>
      </c>
      <c r="G241" s="1127"/>
      <c r="H241" s="1127">
        <f t="shared" si="56"/>
        <v>0</v>
      </c>
      <c r="I241" s="1127"/>
      <c r="J241" s="1127">
        <f t="shared" si="57"/>
        <v>0</v>
      </c>
      <c r="K241" s="1127"/>
      <c r="L241" s="1127">
        <f t="shared" si="58"/>
        <v>0</v>
      </c>
      <c r="M241" s="1127"/>
      <c r="N241" s="1127">
        <f t="shared" si="59"/>
        <v>0</v>
      </c>
      <c r="O241" s="1127"/>
      <c r="P241" s="1127">
        <f t="shared" si="60"/>
        <v>0</v>
      </c>
      <c r="Q241" s="1127"/>
      <c r="R241" s="1127">
        <f t="shared" si="61"/>
        <v>0</v>
      </c>
      <c r="S241" s="1045"/>
      <c r="T241" s="1131">
        <f t="shared" si="64"/>
        <v>0</v>
      </c>
      <c r="U241" s="1045"/>
      <c r="V241" s="1045">
        <f t="shared" si="53"/>
        <v>0</v>
      </c>
      <c r="W241" s="1132">
        <f t="shared" si="55"/>
        <v>0</v>
      </c>
      <c r="X241" s="1045">
        <f t="shared" si="62"/>
        <v>0</v>
      </c>
      <c r="Y241" s="1132">
        <f>building!Y240</f>
        <v>0</v>
      </c>
      <c r="Z241" s="1045">
        <f t="shared" si="63"/>
        <v>0</v>
      </c>
      <c r="AA241" s="890"/>
      <c r="AB241" s="890"/>
    </row>
    <row r="242" spans="1:28" s="486" customFormat="1">
      <c r="A242" s="1174" t="s">
        <v>1279</v>
      </c>
      <c r="B242" s="1175" t="s">
        <v>1351</v>
      </c>
      <c r="C242" s="1176">
        <f>Data!K1800</f>
        <v>1920</v>
      </c>
      <c r="D242" s="1177" t="s">
        <v>1341</v>
      </c>
      <c r="E242" s="1178"/>
      <c r="F242" s="1127">
        <f t="shared" si="54"/>
        <v>0</v>
      </c>
      <c r="G242" s="1177"/>
      <c r="H242" s="1127">
        <f t="shared" si="56"/>
        <v>0</v>
      </c>
      <c r="I242" s="1177"/>
      <c r="J242" s="1127">
        <f t="shared" si="57"/>
        <v>0</v>
      </c>
      <c r="K242" s="1177"/>
      <c r="L242" s="1127">
        <f t="shared" si="58"/>
        <v>0</v>
      </c>
      <c r="M242" s="1177"/>
      <c r="N242" s="1127">
        <f t="shared" si="59"/>
        <v>0</v>
      </c>
      <c r="O242" s="1177"/>
      <c r="P242" s="1127">
        <f t="shared" si="60"/>
        <v>0</v>
      </c>
      <c r="Q242" s="1177"/>
      <c r="R242" s="1127">
        <f t="shared" si="61"/>
        <v>0</v>
      </c>
      <c r="S242" s="1143"/>
      <c r="T242" s="1131">
        <f t="shared" si="64"/>
        <v>0</v>
      </c>
      <c r="U242" s="1144"/>
      <c r="V242" s="1045">
        <f t="shared" si="53"/>
        <v>0</v>
      </c>
      <c r="W242" s="1132">
        <f t="shared" si="55"/>
        <v>0</v>
      </c>
      <c r="X242" s="1045">
        <f t="shared" si="62"/>
        <v>0</v>
      </c>
      <c r="Y242" s="1132">
        <f>building!Y241</f>
        <v>0</v>
      </c>
      <c r="Z242" s="1045">
        <f t="shared" si="63"/>
        <v>0</v>
      </c>
      <c r="AA242" s="892"/>
      <c r="AB242" s="891"/>
    </row>
    <row r="243" spans="1:28" ht="45">
      <c r="A243" s="1124"/>
      <c r="B243" s="1159" t="s">
        <v>3721</v>
      </c>
      <c r="C243" s="1040"/>
      <c r="D243" s="1127"/>
      <c r="E243" s="1128"/>
      <c r="F243" s="1127">
        <f t="shared" si="54"/>
        <v>0</v>
      </c>
      <c r="G243" s="1127"/>
      <c r="H243" s="1127">
        <f t="shared" si="56"/>
        <v>0</v>
      </c>
      <c r="I243" s="1127"/>
      <c r="J243" s="1127">
        <f t="shared" si="57"/>
        <v>0</v>
      </c>
      <c r="K243" s="1127"/>
      <c r="L243" s="1127">
        <f t="shared" si="58"/>
        <v>0</v>
      </c>
      <c r="M243" s="1127"/>
      <c r="N243" s="1127">
        <f t="shared" si="59"/>
        <v>0</v>
      </c>
      <c r="O243" s="1127"/>
      <c r="P243" s="1127">
        <f t="shared" si="60"/>
        <v>0</v>
      </c>
      <c r="Q243" s="1127"/>
      <c r="R243" s="1127">
        <f t="shared" si="61"/>
        <v>0</v>
      </c>
      <c r="S243" s="1049"/>
      <c r="T243" s="1131">
        <f t="shared" si="64"/>
        <v>0</v>
      </c>
      <c r="U243" s="1045"/>
      <c r="V243" s="1045">
        <f t="shared" si="53"/>
        <v>0</v>
      </c>
      <c r="W243" s="1132">
        <f t="shared" si="55"/>
        <v>0</v>
      </c>
      <c r="X243" s="1045">
        <f t="shared" si="62"/>
        <v>0</v>
      </c>
      <c r="Y243" s="1132">
        <f>building!Y242</f>
        <v>0</v>
      </c>
      <c r="Z243" s="1045">
        <f t="shared" si="63"/>
        <v>0</v>
      </c>
      <c r="AA243" s="890"/>
      <c r="AB243" s="890"/>
    </row>
    <row r="244" spans="1:28" ht="50.25" customHeight="1">
      <c r="A244" s="1124"/>
      <c r="B244" s="1125" t="s">
        <v>3722</v>
      </c>
      <c r="C244" s="1237">
        <f>Data!K3680</f>
        <v>366.07</v>
      </c>
      <c r="D244" s="1127" t="s">
        <v>794</v>
      </c>
      <c r="E244" s="1128">
        <f>detailed!H1663</f>
        <v>60</v>
      </c>
      <c r="F244" s="1127">
        <f t="shared" si="54"/>
        <v>21964.2</v>
      </c>
      <c r="G244" s="1127">
        <f>ST!H81</f>
        <v>12</v>
      </c>
      <c r="H244" s="1127">
        <f t="shared" si="56"/>
        <v>4392.84</v>
      </c>
      <c r="I244" s="1127"/>
      <c r="J244" s="1127">
        <f t="shared" si="57"/>
        <v>0</v>
      </c>
      <c r="K244" s="1127"/>
      <c r="L244" s="1127">
        <f t="shared" si="58"/>
        <v>0</v>
      </c>
      <c r="M244" s="1127"/>
      <c r="N244" s="1127">
        <f t="shared" si="59"/>
        <v>0</v>
      </c>
      <c r="O244" s="1127"/>
      <c r="P244" s="1127">
        <f t="shared" si="60"/>
        <v>0</v>
      </c>
      <c r="Q244" s="1127"/>
      <c r="R244" s="1127">
        <f t="shared" si="61"/>
        <v>0</v>
      </c>
      <c r="S244" s="1028"/>
      <c r="T244" s="1131">
        <f t="shared" si="64"/>
        <v>0</v>
      </c>
      <c r="U244" s="1045"/>
      <c r="V244" s="1045">
        <f t="shared" si="53"/>
        <v>0</v>
      </c>
      <c r="W244" s="1132">
        <f t="shared" si="55"/>
        <v>12</v>
      </c>
      <c r="X244" s="1045">
        <f t="shared" si="62"/>
        <v>4392.84</v>
      </c>
      <c r="Y244" s="1132">
        <f>building!Y243</f>
        <v>72</v>
      </c>
      <c r="Z244" s="1045">
        <f t="shared" si="63"/>
        <v>26357.040000000001</v>
      </c>
      <c r="AA244" s="890"/>
      <c r="AB244" s="890"/>
    </row>
    <row r="245" spans="1:28" ht="50.25" customHeight="1">
      <c r="A245" s="1124"/>
      <c r="B245" s="1125" t="s">
        <v>3878</v>
      </c>
      <c r="C245" s="1237">
        <f>Data!K3700</f>
        <v>593.33000000000004</v>
      </c>
      <c r="D245" s="1127" t="s">
        <v>794</v>
      </c>
      <c r="E245" s="1128">
        <f>detailed!H1664</f>
        <v>24</v>
      </c>
      <c r="F245" s="1127">
        <f t="shared" si="54"/>
        <v>14239.92</v>
      </c>
      <c r="G245" s="1127"/>
      <c r="H245" s="1127">
        <f t="shared" si="56"/>
        <v>0</v>
      </c>
      <c r="I245" s="1127"/>
      <c r="J245" s="1127">
        <f t="shared" si="57"/>
        <v>0</v>
      </c>
      <c r="K245" s="1127"/>
      <c r="L245" s="1127">
        <f t="shared" si="58"/>
        <v>0</v>
      </c>
      <c r="M245" s="1127"/>
      <c r="N245" s="1127">
        <f t="shared" si="59"/>
        <v>0</v>
      </c>
      <c r="O245" s="1127"/>
      <c r="P245" s="1127">
        <f t="shared" si="60"/>
        <v>0</v>
      </c>
      <c r="Q245" s="1127"/>
      <c r="R245" s="1127">
        <f t="shared" si="61"/>
        <v>0</v>
      </c>
      <c r="S245" s="1045"/>
      <c r="T245" s="1131">
        <f t="shared" si="64"/>
        <v>0</v>
      </c>
      <c r="U245" s="1045"/>
      <c r="V245" s="1045">
        <f t="shared" si="53"/>
        <v>0</v>
      </c>
      <c r="W245" s="1132">
        <f t="shared" si="55"/>
        <v>0</v>
      </c>
      <c r="X245" s="1045">
        <f t="shared" si="62"/>
        <v>0</v>
      </c>
      <c r="Y245" s="1132">
        <f>building!Y244</f>
        <v>24</v>
      </c>
      <c r="Z245" s="1045">
        <f t="shared" si="63"/>
        <v>14239.92</v>
      </c>
      <c r="AA245" s="890"/>
      <c r="AB245" s="890"/>
    </row>
    <row r="246" spans="1:28" s="718" customFormat="1" ht="50.25" customHeight="1">
      <c r="A246" s="1160"/>
      <c r="B246" s="1161" t="s">
        <v>3723</v>
      </c>
      <c r="C246" s="1237"/>
      <c r="D246" s="1147"/>
      <c r="E246" s="1148"/>
      <c r="F246" s="1127">
        <f t="shared" si="54"/>
        <v>0</v>
      </c>
      <c r="G246" s="1147"/>
      <c r="H246" s="1127">
        <f t="shared" si="56"/>
        <v>0</v>
      </c>
      <c r="I246" s="1147"/>
      <c r="J246" s="1127">
        <f t="shared" si="57"/>
        <v>0</v>
      </c>
      <c r="K246" s="1147"/>
      <c r="L246" s="1127">
        <f t="shared" si="58"/>
        <v>0</v>
      </c>
      <c r="M246" s="1147"/>
      <c r="N246" s="1127">
        <f t="shared" si="59"/>
        <v>0</v>
      </c>
      <c r="O246" s="1147"/>
      <c r="P246" s="1127">
        <f t="shared" si="60"/>
        <v>0</v>
      </c>
      <c r="Q246" s="1147"/>
      <c r="R246" s="1127">
        <f t="shared" si="61"/>
        <v>0</v>
      </c>
      <c r="S246" s="1028"/>
      <c r="T246" s="1131">
        <f t="shared" si="64"/>
        <v>0</v>
      </c>
      <c r="U246" s="1045"/>
      <c r="V246" s="1045">
        <f t="shared" si="53"/>
        <v>0</v>
      </c>
      <c r="W246" s="1132">
        <f t="shared" si="55"/>
        <v>0</v>
      </c>
      <c r="X246" s="1045">
        <f t="shared" si="62"/>
        <v>0</v>
      </c>
      <c r="Y246" s="1132">
        <f>building!Y245</f>
        <v>0</v>
      </c>
      <c r="Z246" s="1045">
        <f t="shared" si="63"/>
        <v>0</v>
      </c>
      <c r="AA246" s="891"/>
      <c r="AB246" s="891"/>
    </row>
    <row r="247" spans="1:28" s="718" customFormat="1" ht="55.5" customHeight="1">
      <c r="A247" s="1160"/>
      <c r="B247" s="1238" t="s">
        <v>4630</v>
      </c>
      <c r="C247" s="1237">
        <v>156</v>
      </c>
      <c r="D247" s="1147" t="s">
        <v>1341</v>
      </c>
      <c r="E247" s="1148">
        <v>1</v>
      </c>
      <c r="F247" s="1127">
        <f t="shared" si="54"/>
        <v>156</v>
      </c>
      <c r="G247" s="1147"/>
      <c r="H247" s="1127">
        <f t="shared" si="56"/>
        <v>0</v>
      </c>
      <c r="I247" s="1147"/>
      <c r="J247" s="1127">
        <f t="shared" si="57"/>
        <v>0</v>
      </c>
      <c r="K247" s="1147"/>
      <c r="L247" s="1127">
        <f t="shared" si="58"/>
        <v>0</v>
      </c>
      <c r="M247" s="1147"/>
      <c r="N247" s="1127">
        <f t="shared" si="59"/>
        <v>0</v>
      </c>
      <c r="O247" s="1147"/>
      <c r="P247" s="1127">
        <f t="shared" si="60"/>
        <v>0</v>
      </c>
      <c r="Q247" s="1147"/>
      <c r="R247" s="1127">
        <f t="shared" si="61"/>
        <v>0</v>
      </c>
      <c r="S247" s="1028"/>
      <c r="T247" s="1131">
        <f t="shared" si="64"/>
        <v>0</v>
      </c>
      <c r="U247" s="1045"/>
      <c r="V247" s="1045">
        <f t="shared" si="53"/>
        <v>0</v>
      </c>
      <c r="W247" s="1132">
        <f t="shared" si="55"/>
        <v>0</v>
      </c>
      <c r="X247" s="1045">
        <f t="shared" si="62"/>
        <v>0</v>
      </c>
      <c r="Y247" s="1132">
        <f>building!Y246</f>
        <v>1</v>
      </c>
      <c r="Z247" s="1045">
        <f t="shared" si="63"/>
        <v>156</v>
      </c>
      <c r="AA247" s="891"/>
      <c r="AB247" s="891"/>
    </row>
    <row r="248" spans="1:28" s="718" customFormat="1" ht="63.75" customHeight="1">
      <c r="A248" s="1239"/>
      <c r="B248" s="1240" t="s">
        <v>4633</v>
      </c>
      <c r="C248" s="1241">
        <v>497</v>
      </c>
      <c r="D248" s="1242" t="s">
        <v>1341</v>
      </c>
      <c r="E248" s="1243">
        <v>1</v>
      </c>
      <c r="F248" s="1127">
        <f t="shared" si="54"/>
        <v>497</v>
      </c>
      <c r="G248" s="1242"/>
      <c r="H248" s="1127">
        <f t="shared" si="56"/>
        <v>0</v>
      </c>
      <c r="I248" s="1242"/>
      <c r="J248" s="1127">
        <f t="shared" si="57"/>
        <v>0</v>
      </c>
      <c r="K248" s="1242"/>
      <c r="L248" s="1127">
        <f t="shared" si="58"/>
        <v>0</v>
      </c>
      <c r="M248" s="1242"/>
      <c r="N248" s="1127">
        <f t="shared" si="59"/>
        <v>0</v>
      </c>
      <c r="O248" s="1242"/>
      <c r="P248" s="1127">
        <f t="shared" si="60"/>
        <v>0</v>
      </c>
      <c r="Q248" s="1242"/>
      <c r="R248" s="1127">
        <f t="shared" si="61"/>
        <v>0</v>
      </c>
      <c r="S248" s="1143"/>
      <c r="T248" s="1131">
        <f t="shared" si="64"/>
        <v>0</v>
      </c>
      <c r="U248" s="1144"/>
      <c r="V248" s="1045">
        <f t="shared" si="53"/>
        <v>0</v>
      </c>
      <c r="W248" s="1132">
        <f t="shared" si="55"/>
        <v>0</v>
      </c>
      <c r="X248" s="1045">
        <f t="shared" si="62"/>
        <v>0</v>
      </c>
      <c r="Y248" s="1132">
        <f>building!Y247</f>
        <v>1</v>
      </c>
      <c r="Z248" s="1045">
        <f t="shared" si="63"/>
        <v>497</v>
      </c>
      <c r="AA248" s="891"/>
      <c r="AB248" s="891"/>
    </row>
    <row r="249" spans="1:28" s="718" customFormat="1" ht="55.5" customHeight="1">
      <c r="A249" s="1160"/>
      <c r="B249" s="1161" t="s">
        <v>3724</v>
      </c>
      <c r="C249" s="1237"/>
      <c r="D249" s="1147"/>
      <c r="E249" s="1148"/>
      <c r="F249" s="1127">
        <f t="shared" si="54"/>
        <v>0</v>
      </c>
      <c r="G249" s="1147"/>
      <c r="H249" s="1127">
        <f t="shared" si="56"/>
        <v>0</v>
      </c>
      <c r="I249" s="1147"/>
      <c r="J249" s="1127">
        <f t="shared" si="57"/>
        <v>0</v>
      </c>
      <c r="K249" s="1147"/>
      <c r="L249" s="1127">
        <f t="shared" si="58"/>
        <v>0</v>
      </c>
      <c r="M249" s="1147"/>
      <c r="N249" s="1127">
        <f t="shared" si="59"/>
        <v>0</v>
      </c>
      <c r="O249" s="1147"/>
      <c r="P249" s="1127">
        <f t="shared" si="60"/>
        <v>0</v>
      </c>
      <c r="Q249" s="1147"/>
      <c r="R249" s="1127">
        <f t="shared" si="61"/>
        <v>0</v>
      </c>
      <c r="S249" s="1028"/>
      <c r="T249" s="1131">
        <f t="shared" si="64"/>
        <v>0</v>
      </c>
      <c r="U249" s="1045"/>
      <c r="V249" s="1045">
        <f t="shared" si="53"/>
        <v>0</v>
      </c>
      <c r="W249" s="1132">
        <f t="shared" si="55"/>
        <v>0</v>
      </c>
      <c r="X249" s="1045">
        <f t="shared" si="62"/>
        <v>0</v>
      </c>
      <c r="Y249" s="1132">
        <f>building!Y248</f>
        <v>0</v>
      </c>
      <c r="Z249" s="1045">
        <f t="shared" si="63"/>
        <v>0</v>
      </c>
      <c r="AA249" s="891"/>
      <c r="AB249" s="891"/>
    </row>
    <row r="250" spans="1:28" s="718" customFormat="1" ht="55.5" customHeight="1">
      <c r="A250" s="1160"/>
      <c r="B250" s="1162" t="s">
        <v>4631</v>
      </c>
      <c r="C250" s="1237">
        <v>186</v>
      </c>
      <c r="D250" s="1147" t="s">
        <v>1341</v>
      </c>
      <c r="E250" s="1148">
        <v>1</v>
      </c>
      <c r="F250" s="1127">
        <f t="shared" si="54"/>
        <v>186</v>
      </c>
      <c r="G250" s="1147">
        <v>2</v>
      </c>
      <c r="H250" s="1127">
        <f t="shared" si="56"/>
        <v>372</v>
      </c>
      <c r="I250" s="1147"/>
      <c r="J250" s="1127">
        <f t="shared" si="57"/>
        <v>0</v>
      </c>
      <c r="K250" s="1147"/>
      <c r="L250" s="1127">
        <f t="shared" si="58"/>
        <v>0</v>
      </c>
      <c r="M250" s="1147"/>
      <c r="N250" s="1127">
        <f t="shared" si="59"/>
        <v>0</v>
      </c>
      <c r="O250" s="1147"/>
      <c r="P250" s="1127">
        <f t="shared" si="60"/>
        <v>0</v>
      </c>
      <c r="Q250" s="1147"/>
      <c r="R250" s="1127">
        <f t="shared" si="61"/>
        <v>0</v>
      </c>
      <c r="S250" s="1028"/>
      <c r="T250" s="1131">
        <f t="shared" si="64"/>
        <v>0</v>
      </c>
      <c r="U250" s="1045"/>
      <c r="V250" s="1045">
        <f t="shared" si="53"/>
        <v>0</v>
      </c>
      <c r="W250" s="1132">
        <f t="shared" si="55"/>
        <v>2</v>
      </c>
      <c r="X250" s="1045">
        <f t="shared" si="62"/>
        <v>372</v>
      </c>
      <c r="Y250" s="1132">
        <f>building!Y249</f>
        <v>3</v>
      </c>
      <c r="Z250" s="1045">
        <f t="shared" si="63"/>
        <v>558</v>
      </c>
      <c r="AA250" s="891"/>
      <c r="AB250" s="891"/>
    </row>
    <row r="251" spans="1:28" s="718" customFormat="1" ht="45">
      <c r="A251" s="1163"/>
      <c r="B251" s="1164" t="s">
        <v>4632</v>
      </c>
      <c r="C251" s="1241">
        <v>328</v>
      </c>
      <c r="D251" s="1244" t="s">
        <v>1341</v>
      </c>
      <c r="E251" s="1245">
        <v>1</v>
      </c>
      <c r="F251" s="1127">
        <f t="shared" si="54"/>
        <v>328</v>
      </c>
      <c r="G251" s="1244"/>
      <c r="H251" s="1127">
        <f t="shared" si="56"/>
        <v>0</v>
      </c>
      <c r="I251" s="1244"/>
      <c r="J251" s="1127">
        <f t="shared" si="57"/>
        <v>0</v>
      </c>
      <c r="K251" s="1244"/>
      <c r="L251" s="1127">
        <f t="shared" si="58"/>
        <v>0</v>
      </c>
      <c r="M251" s="1244"/>
      <c r="N251" s="1127">
        <f t="shared" si="59"/>
        <v>0</v>
      </c>
      <c r="O251" s="1244"/>
      <c r="P251" s="1127">
        <f t="shared" si="60"/>
        <v>0</v>
      </c>
      <c r="Q251" s="1244"/>
      <c r="R251" s="1127">
        <f t="shared" si="61"/>
        <v>0</v>
      </c>
      <c r="S251" s="1028"/>
      <c r="T251" s="1131">
        <f t="shared" si="64"/>
        <v>0</v>
      </c>
      <c r="U251" s="1045"/>
      <c r="V251" s="1045">
        <f t="shared" si="53"/>
        <v>0</v>
      </c>
      <c r="W251" s="1132">
        <f t="shared" si="55"/>
        <v>0</v>
      </c>
      <c r="X251" s="1045">
        <f t="shared" si="62"/>
        <v>0</v>
      </c>
      <c r="Y251" s="1132">
        <f>building!Y250</f>
        <v>1</v>
      </c>
      <c r="Z251" s="1045">
        <f t="shared" si="63"/>
        <v>328</v>
      </c>
      <c r="AA251" s="891"/>
      <c r="AB251" s="891"/>
    </row>
    <row r="252" spans="1:28" ht="67.5">
      <c r="A252" s="1124"/>
      <c r="B252" s="1125" t="s">
        <v>5666</v>
      </c>
      <c r="C252" s="1246">
        <f>Data!R1981</f>
        <v>3025.8</v>
      </c>
      <c r="D252" s="1127" t="s">
        <v>1341</v>
      </c>
      <c r="E252" s="1128">
        <f>detailed!H1639</f>
        <v>2</v>
      </c>
      <c r="F252" s="1127">
        <f t="shared" si="54"/>
        <v>6051.6</v>
      </c>
      <c r="G252" s="1127"/>
      <c r="H252" s="1127">
        <f t="shared" si="56"/>
        <v>0</v>
      </c>
      <c r="I252" s="1127"/>
      <c r="J252" s="1127">
        <f t="shared" si="57"/>
        <v>0</v>
      </c>
      <c r="K252" s="1127"/>
      <c r="L252" s="1127">
        <f t="shared" si="58"/>
        <v>0</v>
      </c>
      <c r="M252" s="1127"/>
      <c r="N252" s="1127">
        <f t="shared" si="59"/>
        <v>0</v>
      </c>
      <c r="O252" s="1127"/>
      <c r="P252" s="1127">
        <f t="shared" si="60"/>
        <v>0</v>
      </c>
      <c r="Q252" s="1127"/>
      <c r="R252" s="1127">
        <f t="shared" si="61"/>
        <v>0</v>
      </c>
      <c r="S252" s="1045"/>
      <c r="T252" s="1131">
        <f t="shared" si="64"/>
        <v>0</v>
      </c>
      <c r="U252" s="1045"/>
      <c r="V252" s="1045">
        <f t="shared" si="53"/>
        <v>0</v>
      </c>
      <c r="W252" s="1132">
        <f t="shared" si="55"/>
        <v>0</v>
      </c>
      <c r="X252" s="1045">
        <f t="shared" si="62"/>
        <v>0</v>
      </c>
      <c r="Y252" s="1132">
        <f>building!Y251</f>
        <v>2</v>
      </c>
      <c r="Z252" s="1045">
        <f t="shared" si="63"/>
        <v>6051.6</v>
      </c>
      <c r="AA252" s="890"/>
      <c r="AB252" s="890"/>
    </row>
    <row r="253" spans="1:28" ht="67.5">
      <c r="A253" s="1124"/>
      <c r="B253" s="1125" t="s">
        <v>5667</v>
      </c>
      <c r="C253" s="1246">
        <f>Data!R2002</f>
        <v>4676.12</v>
      </c>
      <c r="D253" s="1127" t="s">
        <v>1341</v>
      </c>
      <c r="E253" s="1128">
        <f>detailed!H1641</f>
        <v>4</v>
      </c>
      <c r="F253" s="1127">
        <f t="shared" si="54"/>
        <v>18704.48</v>
      </c>
      <c r="G253" s="1127"/>
      <c r="H253" s="1127">
        <f t="shared" si="56"/>
        <v>0</v>
      </c>
      <c r="I253" s="1127"/>
      <c r="J253" s="1127">
        <f t="shared" si="57"/>
        <v>0</v>
      </c>
      <c r="K253" s="1127"/>
      <c r="L253" s="1127">
        <f t="shared" si="58"/>
        <v>0</v>
      </c>
      <c r="M253" s="1127"/>
      <c r="N253" s="1127">
        <f t="shared" si="59"/>
        <v>0</v>
      </c>
      <c r="O253" s="1127"/>
      <c r="P253" s="1127">
        <f t="shared" si="60"/>
        <v>0</v>
      </c>
      <c r="Q253" s="1127"/>
      <c r="R253" s="1127">
        <f t="shared" si="61"/>
        <v>0</v>
      </c>
      <c r="S253" s="1045"/>
      <c r="T253" s="1131">
        <f t="shared" si="64"/>
        <v>0</v>
      </c>
      <c r="U253" s="1045"/>
      <c r="V253" s="1045">
        <f t="shared" si="53"/>
        <v>0</v>
      </c>
      <c r="W253" s="1132">
        <f t="shared" si="55"/>
        <v>0</v>
      </c>
      <c r="X253" s="1045">
        <f t="shared" si="62"/>
        <v>0</v>
      </c>
      <c r="Y253" s="1132">
        <f>building!Y252</f>
        <v>4</v>
      </c>
      <c r="Z253" s="1045">
        <f t="shared" si="63"/>
        <v>18704.48</v>
      </c>
      <c r="AA253" s="890"/>
      <c r="AB253" s="890"/>
    </row>
    <row r="254" spans="1:28" ht="45">
      <c r="A254" s="1124"/>
      <c r="B254" s="1125" t="s">
        <v>5668</v>
      </c>
      <c r="C254" s="1236">
        <f>Data!R2021</f>
        <v>6501.3</v>
      </c>
      <c r="D254" s="1127" t="s">
        <v>1341</v>
      </c>
      <c r="E254" s="1128">
        <f>detailed!H1644</f>
        <v>5</v>
      </c>
      <c r="F254" s="1127">
        <f t="shared" si="54"/>
        <v>32506.5</v>
      </c>
      <c r="G254" s="1127"/>
      <c r="H254" s="1127">
        <f t="shared" si="56"/>
        <v>0</v>
      </c>
      <c r="I254" s="1127"/>
      <c r="J254" s="1127">
        <f t="shared" si="57"/>
        <v>0</v>
      </c>
      <c r="K254" s="1127"/>
      <c r="L254" s="1127">
        <f t="shared" si="58"/>
        <v>0</v>
      </c>
      <c r="M254" s="1127"/>
      <c r="N254" s="1127">
        <f t="shared" si="59"/>
        <v>0</v>
      </c>
      <c r="O254" s="1127"/>
      <c r="P254" s="1127">
        <f t="shared" si="60"/>
        <v>0</v>
      </c>
      <c r="Q254" s="1127"/>
      <c r="R254" s="1127">
        <f t="shared" si="61"/>
        <v>0</v>
      </c>
      <c r="S254" s="1045"/>
      <c r="T254" s="1131">
        <f t="shared" si="64"/>
        <v>0</v>
      </c>
      <c r="U254" s="1045"/>
      <c r="V254" s="1045">
        <f t="shared" si="53"/>
        <v>0</v>
      </c>
      <c r="W254" s="1132">
        <f t="shared" si="55"/>
        <v>0</v>
      </c>
      <c r="X254" s="1045">
        <f t="shared" si="62"/>
        <v>0</v>
      </c>
      <c r="Y254" s="1132">
        <f>building!Y253</f>
        <v>5</v>
      </c>
      <c r="Z254" s="1045">
        <f t="shared" si="63"/>
        <v>32506.5</v>
      </c>
      <c r="AA254" s="890"/>
      <c r="AB254" s="890"/>
    </row>
    <row r="255" spans="1:28" s="486" customFormat="1" ht="45">
      <c r="A255" s="1209"/>
      <c r="B255" s="1125" t="s">
        <v>4946</v>
      </c>
      <c r="C255" s="1247">
        <v>134</v>
      </c>
      <c r="D255" s="1138" t="s">
        <v>1341</v>
      </c>
      <c r="E255" s="1139">
        <f>detailed!H1893</f>
        <v>24</v>
      </c>
      <c r="F255" s="1127">
        <f t="shared" si="54"/>
        <v>3216</v>
      </c>
      <c r="G255" s="1138"/>
      <c r="H255" s="1127">
        <f t="shared" si="56"/>
        <v>0</v>
      </c>
      <c r="I255" s="1138"/>
      <c r="J255" s="1127">
        <f t="shared" si="57"/>
        <v>0</v>
      </c>
      <c r="K255" s="1138"/>
      <c r="L255" s="1127">
        <f t="shared" si="58"/>
        <v>0</v>
      </c>
      <c r="M255" s="1138"/>
      <c r="N255" s="1127">
        <f t="shared" si="59"/>
        <v>0</v>
      </c>
      <c r="O255" s="1138"/>
      <c r="P255" s="1127">
        <f t="shared" si="60"/>
        <v>0</v>
      </c>
      <c r="Q255" s="1138"/>
      <c r="R255" s="1127">
        <f t="shared" si="61"/>
        <v>0</v>
      </c>
      <c r="S255" s="1045"/>
      <c r="T255" s="1131">
        <f t="shared" si="64"/>
        <v>0</v>
      </c>
      <c r="U255" s="1045"/>
      <c r="V255" s="1045">
        <f t="shared" si="53"/>
        <v>0</v>
      </c>
      <c r="W255" s="1132">
        <f t="shared" si="55"/>
        <v>0</v>
      </c>
      <c r="X255" s="1045">
        <f t="shared" si="62"/>
        <v>0</v>
      </c>
      <c r="Y255" s="1132">
        <f>building!Y254</f>
        <v>24</v>
      </c>
      <c r="Z255" s="1045">
        <f t="shared" si="63"/>
        <v>3216</v>
      </c>
      <c r="AA255" s="892"/>
      <c r="AB255" s="890"/>
    </row>
    <row r="256" spans="1:28" s="486" customFormat="1" ht="54.95" customHeight="1">
      <c r="A256" s="1209"/>
      <c r="B256" s="1125" t="s">
        <v>4947</v>
      </c>
      <c r="C256" s="1125">
        <v>642</v>
      </c>
      <c r="D256" s="1138" t="s">
        <v>1341</v>
      </c>
      <c r="E256" s="1139">
        <f>detailed!H1889</f>
        <v>132</v>
      </c>
      <c r="F256" s="1127">
        <f t="shared" si="54"/>
        <v>84744</v>
      </c>
      <c r="G256" s="1138"/>
      <c r="H256" s="1127">
        <f t="shared" si="56"/>
        <v>0</v>
      </c>
      <c r="I256" s="1138"/>
      <c r="J256" s="1127">
        <f t="shared" si="57"/>
        <v>0</v>
      </c>
      <c r="K256" s="1138"/>
      <c r="L256" s="1127">
        <f t="shared" si="58"/>
        <v>0</v>
      </c>
      <c r="M256" s="1138"/>
      <c r="N256" s="1127">
        <f t="shared" si="59"/>
        <v>0</v>
      </c>
      <c r="O256" s="1138"/>
      <c r="P256" s="1127">
        <f t="shared" si="60"/>
        <v>0</v>
      </c>
      <c r="Q256" s="1138"/>
      <c r="R256" s="1127">
        <f t="shared" si="61"/>
        <v>0</v>
      </c>
      <c r="S256" s="1045"/>
      <c r="T256" s="1131">
        <f t="shared" si="64"/>
        <v>0</v>
      </c>
      <c r="U256" s="1045"/>
      <c r="V256" s="1045">
        <f t="shared" si="53"/>
        <v>0</v>
      </c>
      <c r="W256" s="1132">
        <f t="shared" si="55"/>
        <v>0</v>
      </c>
      <c r="X256" s="1045">
        <f t="shared" si="62"/>
        <v>0</v>
      </c>
      <c r="Y256" s="1132">
        <f>building!Y255</f>
        <v>132</v>
      </c>
      <c r="Z256" s="1045">
        <f t="shared" si="63"/>
        <v>84744</v>
      </c>
      <c r="AA256" s="892"/>
      <c r="AB256" s="890"/>
    </row>
    <row r="257" spans="1:29" s="486" customFormat="1" ht="65.099999999999994" customHeight="1">
      <c r="A257" s="1209"/>
      <c r="B257" s="1125" t="s">
        <v>4607</v>
      </c>
      <c r="C257" s="1125">
        <v>462</v>
      </c>
      <c r="D257" s="1127" t="s">
        <v>1341</v>
      </c>
      <c r="E257" s="1128">
        <f>detailed!H1896</f>
        <v>6</v>
      </c>
      <c r="F257" s="1127">
        <f t="shared" si="54"/>
        <v>2772</v>
      </c>
      <c r="G257" s="1127"/>
      <c r="H257" s="1127">
        <f t="shared" si="56"/>
        <v>0</v>
      </c>
      <c r="I257" s="1127"/>
      <c r="J257" s="1127">
        <f t="shared" si="57"/>
        <v>0</v>
      </c>
      <c r="K257" s="1127"/>
      <c r="L257" s="1127">
        <f t="shared" si="58"/>
        <v>0</v>
      </c>
      <c r="M257" s="1127"/>
      <c r="N257" s="1127">
        <f t="shared" si="59"/>
        <v>0</v>
      </c>
      <c r="O257" s="1127"/>
      <c r="P257" s="1127">
        <f t="shared" si="60"/>
        <v>0</v>
      </c>
      <c r="Q257" s="1127"/>
      <c r="R257" s="1127">
        <f t="shared" si="61"/>
        <v>0</v>
      </c>
      <c r="S257" s="1045"/>
      <c r="T257" s="1131">
        <f t="shared" si="64"/>
        <v>0</v>
      </c>
      <c r="U257" s="1045"/>
      <c r="V257" s="1045">
        <f t="shared" si="53"/>
        <v>0</v>
      </c>
      <c r="W257" s="1132">
        <f t="shared" si="55"/>
        <v>0</v>
      </c>
      <c r="X257" s="1045">
        <f t="shared" si="62"/>
        <v>0</v>
      </c>
      <c r="Y257" s="1132">
        <f>building!Y256</f>
        <v>6</v>
      </c>
      <c r="Z257" s="1045">
        <f t="shared" si="63"/>
        <v>2772</v>
      </c>
      <c r="AA257" s="892"/>
      <c r="AB257" s="890"/>
    </row>
    <row r="258" spans="1:29" s="486" customFormat="1" ht="54.95" customHeight="1">
      <c r="A258" s="1209"/>
      <c r="B258" s="1125" t="s">
        <v>4634</v>
      </c>
      <c r="C258" s="1125">
        <v>2991</v>
      </c>
      <c r="D258" s="1127" t="s">
        <v>1341</v>
      </c>
      <c r="E258" s="1128">
        <f>detailed!H1972</f>
        <v>10</v>
      </c>
      <c r="F258" s="1127">
        <f t="shared" si="54"/>
        <v>29910</v>
      </c>
      <c r="G258" s="1127"/>
      <c r="H258" s="1127">
        <f t="shared" si="56"/>
        <v>0</v>
      </c>
      <c r="I258" s="1127"/>
      <c r="J258" s="1127">
        <f t="shared" si="57"/>
        <v>0</v>
      </c>
      <c r="K258" s="1127"/>
      <c r="L258" s="1127">
        <f t="shared" si="58"/>
        <v>0</v>
      </c>
      <c r="M258" s="1127"/>
      <c r="N258" s="1127">
        <f t="shared" si="59"/>
        <v>0</v>
      </c>
      <c r="O258" s="1127"/>
      <c r="P258" s="1127">
        <f t="shared" si="60"/>
        <v>0</v>
      </c>
      <c r="Q258" s="1127"/>
      <c r="R258" s="1127">
        <f t="shared" si="61"/>
        <v>0</v>
      </c>
      <c r="S258" s="1045"/>
      <c r="T258" s="1131">
        <f t="shared" si="64"/>
        <v>0</v>
      </c>
      <c r="U258" s="1045"/>
      <c r="V258" s="1045">
        <f t="shared" si="53"/>
        <v>0</v>
      </c>
      <c r="W258" s="1132">
        <f t="shared" si="55"/>
        <v>0</v>
      </c>
      <c r="X258" s="1045">
        <f t="shared" si="62"/>
        <v>0</v>
      </c>
      <c r="Y258" s="1132">
        <f>building!Y257</f>
        <v>10</v>
      </c>
      <c r="Z258" s="1045">
        <f t="shared" si="63"/>
        <v>29910</v>
      </c>
      <c r="AA258" s="892"/>
      <c r="AB258" s="890"/>
    </row>
    <row r="259" spans="1:29" s="486" customFormat="1">
      <c r="A259" s="1209"/>
      <c r="B259" s="1125" t="s">
        <v>5669</v>
      </c>
      <c r="C259" s="1125">
        <v>170</v>
      </c>
      <c r="D259" s="1127" t="str">
        <f>D258</f>
        <v>Each</v>
      </c>
      <c r="E259" s="1128">
        <f>detailed!H1893</f>
        <v>24</v>
      </c>
      <c r="F259" s="1127">
        <f t="shared" si="54"/>
        <v>4080</v>
      </c>
      <c r="G259" s="1127"/>
      <c r="H259" s="1127">
        <f t="shared" si="56"/>
        <v>0</v>
      </c>
      <c r="I259" s="1127"/>
      <c r="J259" s="1127">
        <f t="shared" si="57"/>
        <v>0</v>
      </c>
      <c r="K259" s="1127"/>
      <c r="L259" s="1127">
        <f t="shared" si="58"/>
        <v>0</v>
      </c>
      <c r="M259" s="1127"/>
      <c r="N259" s="1127">
        <f t="shared" si="59"/>
        <v>0</v>
      </c>
      <c r="O259" s="1127"/>
      <c r="P259" s="1127">
        <f t="shared" si="60"/>
        <v>0</v>
      </c>
      <c r="Q259" s="1127"/>
      <c r="R259" s="1127">
        <f t="shared" si="61"/>
        <v>0</v>
      </c>
      <c r="S259" s="1045"/>
      <c r="T259" s="1131">
        <f t="shared" si="64"/>
        <v>0</v>
      </c>
      <c r="U259" s="1045"/>
      <c r="V259" s="1045">
        <f t="shared" si="53"/>
        <v>0</v>
      </c>
      <c r="W259" s="1132">
        <f t="shared" si="55"/>
        <v>0</v>
      </c>
      <c r="X259" s="1045">
        <f t="shared" si="62"/>
        <v>0</v>
      </c>
      <c r="Y259" s="1132">
        <f>building!Y258</f>
        <v>24</v>
      </c>
      <c r="Z259" s="1045">
        <f t="shared" si="63"/>
        <v>4080</v>
      </c>
      <c r="AA259" s="892"/>
      <c r="AB259" s="890"/>
    </row>
    <row r="260" spans="1:29" s="486" customFormat="1" ht="45">
      <c r="A260" s="1209"/>
      <c r="B260" s="1162" t="s">
        <v>4271</v>
      </c>
      <c r="C260" s="1248">
        <v>5350</v>
      </c>
      <c r="D260" s="1157" t="s">
        <v>2199</v>
      </c>
      <c r="E260" s="1158"/>
      <c r="F260" s="1127">
        <f t="shared" si="54"/>
        <v>0</v>
      </c>
      <c r="G260" s="1157"/>
      <c r="H260" s="1127">
        <f t="shared" si="56"/>
        <v>0</v>
      </c>
      <c r="I260" s="1157"/>
      <c r="J260" s="1127">
        <f t="shared" si="57"/>
        <v>0</v>
      </c>
      <c r="K260" s="1157"/>
      <c r="L260" s="1127">
        <f t="shared" si="58"/>
        <v>0</v>
      </c>
      <c r="M260" s="1157"/>
      <c r="N260" s="1127">
        <f t="shared" si="59"/>
        <v>0</v>
      </c>
      <c r="O260" s="1157"/>
      <c r="P260" s="1127">
        <f t="shared" si="60"/>
        <v>0</v>
      </c>
      <c r="Q260" s="1157"/>
      <c r="R260" s="1127">
        <f t="shared" si="61"/>
        <v>0</v>
      </c>
      <c r="S260" s="1028"/>
      <c r="T260" s="1131">
        <f t="shared" si="64"/>
        <v>0</v>
      </c>
      <c r="U260" s="1045"/>
      <c r="V260" s="1045">
        <f t="shared" si="53"/>
        <v>0</v>
      </c>
      <c r="W260" s="1132">
        <f t="shared" si="55"/>
        <v>0</v>
      </c>
      <c r="X260" s="1045">
        <f t="shared" si="62"/>
        <v>0</v>
      </c>
      <c r="Y260" s="1132">
        <f>building!Y259</f>
        <v>0</v>
      </c>
      <c r="Z260" s="1045">
        <f t="shared" si="63"/>
        <v>0</v>
      </c>
      <c r="AA260" s="892"/>
      <c r="AB260" s="891"/>
    </row>
    <row r="261" spans="1:29" s="486" customFormat="1" ht="57" customHeight="1">
      <c r="A261" s="1249"/>
      <c r="B261" s="1140" t="s">
        <v>4269</v>
      </c>
      <c r="C261" s="1140">
        <f>Data!K3741</f>
        <v>84.17</v>
      </c>
      <c r="D261" s="1141" t="s">
        <v>2199</v>
      </c>
      <c r="E261" s="1142">
        <f>detailed!G1503</f>
        <v>2472.9</v>
      </c>
      <c r="F261" s="1127">
        <f t="shared" si="54"/>
        <v>208143.99</v>
      </c>
      <c r="G261" s="1141"/>
      <c r="H261" s="1127">
        <f t="shared" si="56"/>
        <v>0</v>
      </c>
      <c r="I261" s="1141"/>
      <c r="J261" s="1127">
        <f t="shared" si="57"/>
        <v>0</v>
      </c>
      <c r="K261" s="1141"/>
      <c r="L261" s="1127">
        <f t="shared" si="58"/>
        <v>0</v>
      </c>
      <c r="M261" s="1141"/>
      <c r="N261" s="1127">
        <f t="shared" si="59"/>
        <v>0</v>
      </c>
      <c r="O261" s="1141"/>
      <c r="P261" s="1127">
        <f t="shared" si="60"/>
        <v>0</v>
      </c>
      <c r="Q261" s="1141"/>
      <c r="R261" s="1127">
        <f t="shared" si="61"/>
        <v>0</v>
      </c>
      <c r="S261" s="1143"/>
      <c r="T261" s="1131">
        <f t="shared" si="64"/>
        <v>0</v>
      </c>
      <c r="U261" s="1144"/>
      <c r="V261" s="1045">
        <f t="shared" si="53"/>
        <v>0</v>
      </c>
      <c r="W261" s="1132">
        <f t="shared" si="55"/>
        <v>0</v>
      </c>
      <c r="X261" s="1045">
        <f t="shared" si="62"/>
        <v>0</v>
      </c>
      <c r="Y261" s="1132">
        <f>building!Y260</f>
        <v>2472.9</v>
      </c>
      <c r="Z261" s="1045">
        <f t="shared" si="63"/>
        <v>208143.99</v>
      </c>
      <c r="AA261" s="892"/>
      <c r="AB261" s="891"/>
    </row>
    <row r="262" spans="1:29" s="486" customFormat="1" ht="57" customHeight="1">
      <c r="A262" s="1249"/>
      <c r="B262" s="1140" t="s">
        <v>5546</v>
      </c>
      <c r="C262" s="1125">
        <v>55400</v>
      </c>
      <c r="D262" s="1127" t="s">
        <v>1341</v>
      </c>
      <c r="E262" s="1142">
        <f>detailed!H1995</f>
        <v>14</v>
      </c>
      <c r="F262" s="1127">
        <f t="shared" si="54"/>
        <v>775600</v>
      </c>
      <c r="G262" s="1141"/>
      <c r="H262" s="1127">
        <f t="shared" si="56"/>
        <v>0</v>
      </c>
      <c r="I262" s="1141"/>
      <c r="J262" s="1127">
        <f t="shared" si="57"/>
        <v>0</v>
      </c>
      <c r="K262" s="1141"/>
      <c r="L262" s="1127">
        <f t="shared" si="58"/>
        <v>0</v>
      </c>
      <c r="M262" s="1141"/>
      <c r="N262" s="1127">
        <f t="shared" si="59"/>
        <v>0</v>
      </c>
      <c r="O262" s="1141"/>
      <c r="P262" s="1127">
        <f t="shared" si="60"/>
        <v>0</v>
      </c>
      <c r="Q262" s="1250"/>
      <c r="R262" s="1127">
        <f t="shared" si="61"/>
        <v>0</v>
      </c>
      <c r="S262" s="1143"/>
      <c r="T262" s="1131">
        <f t="shared" si="64"/>
        <v>0</v>
      </c>
      <c r="U262" s="1144"/>
      <c r="V262" s="1045"/>
      <c r="W262" s="1132">
        <f t="shared" si="55"/>
        <v>0</v>
      </c>
      <c r="X262" s="1045">
        <f t="shared" si="62"/>
        <v>0</v>
      </c>
      <c r="Y262" s="1132">
        <f>building!Y261</f>
        <v>14</v>
      </c>
      <c r="Z262" s="1045">
        <f t="shared" si="63"/>
        <v>775600</v>
      </c>
      <c r="AA262" s="892"/>
      <c r="AB262" s="891"/>
    </row>
    <row r="263" spans="1:29" s="486" customFormat="1" ht="57" customHeight="1">
      <c r="A263" s="1249"/>
      <c r="B263" s="1140" t="s">
        <v>5547</v>
      </c>
      <c r="C263" s="1125">
        <v>4855</v>
      </c>
      <c r="D263" s="1127" t="s">
        <v>1341</v>
      </c>
      <c r="E263" s="1142">
        <f>detailed!H2000</f>
        <v>14</v>
      </c>
      <c r="F263" s="1127">
        <f t="shared" si="54"/>
        <v>67970</v>
      </c>
      <c r="G263" s="1141"/>
      <c r="H263" s="1127">
        <f t="shared" si="56"/>
        <v>0</v>
      </c>
      <c r="I263" s="1141"/>
      <c r="J263" s="1127">
        <f t="shared" si="57"/>
        <v>0</v>
      </c>
      <c r="K263" s="1141"/>
      <c r="L263" s="1127">
        <f t="shared" si="58"/>
        <v>0</v>
      </c>
      <c r="M263" s="1141"/>
      <c r="N263" s="1127">
        <f t="shared" si="59"/>
        <v>0</v>
      </c>
      <c r="O263" s="1141"/>
      <c r="P263" s="1127">
        <f t="shared" si="60"/>
        <v>0</v>
      </c>
      <c r="Q263" s="1250"/>
      <c r="R263" s="1127">
        <f t="shared" si="61"/>
        <v>0</v>
      </c>
      <c r="S263" s="1143"/>
      <c r="T263" s="1131">
        <f t="shared" si="64"/>
        <v>0</v>
      </c>
      <c r="U263" s="1144"/>
      <c r="V263" s="1045"/>
      <c r="W263" s="1132">
        <f t="shared" si="55"/>
        <v>0</v>
      </c>
      <c r="X263" s="1045">
        <f t="shared" si="62"/>
        <v>0</v>
      </c>
      <c r="Y263" s="1132">
        <f>building!Y262</f>
        <v>14</v>
      </c>
      <c r="Z263" s="1045">
        <f t="shared" si="63"/>
        <v>67970</v>
      </c>
      <c r="AA263" s="892"/>
      <c r="AB263" s="891"/>
    </row>
    <row r="264" spans="1:29" s="486" customFormat="1" ht="57" customHeight="1">
      <c r="A264" s="1249"/>
      <c r="B264" s="1140" t="s">
        <v>5548</v>
      </c>
      <c r="C264" s="1125">
        <v>1070</v>
      </c>
      <c r="D264" s="1127" t="s">
        <v>1341</v>
      </c>
      <c r="E264" s="1142">
        <f>detailed!H2005</f>
        <v>14</v>
      </c>
      <c r="F264" s="1127">
        <f t="shared" ref="F264:F326" si="65">E264*C264</f>
        <v>14980</v>
      </c>
      <c r="G264" s="1141"/>
      <c r="H264" s="1127">
        <f t="shared" si="56"/>
        <v>0</v>
      </c>
      <c r="I264" s="1141"/>
      <c r="J264" s="1127">
        <f t="shared" si="57"/>
        <v>0</v>
      </c>
      <c r="K264" s="1141"/>
      <c r="L264" s="1127">
        <f t="shared" si="58"/>
        <v>0</v>
      </c>
      <c r="M264" s="1141"/>
      <c r="N264" s="1127">
        <f t="shared" si="59"/>
        <v>0</v>
      </c>
      <c r="O264" s="1141"/>
      <c r="P264" s="1127">
        <f t="shared" si="60"/>
        <v>0</v>
      </c>
      <c r="Q264" s="1250"/>
      <c r="R264" s="1127">
        <f t="shared" si="61"/>
        <v>0</v>
      </c>
      <c r="S264" s="1143"/>
      <c r="T264" s="1131">
        <f t="shared" si="64"/>
        <v>0</v>
      </c>
      <c r="U264" s="1144"/>
      <c r="V264" s="1045"/>
      <c r="W264" s="1132">
        <f t="shared" ref="W264:W326" si="66">U264+S264+Q264+O264+M264+K264+I264+G264</f>
        <v>0</v>
      </c>
      <c r="X264" s="1045">
        <f t="shared" si="62"/>
        <v>0</v>
      </c>
      <c r="Y264" s="1132">
        <f>building!Y263</f>
        <v>14</v>
      </c>
      <c r="Z264" s="1045">
        <f t="shared" si="63"/>
        <v>14980</v>
      </c>
      <c r="AA264" s="892"/>
      <c r="AB264" s="891"/>
    </row>
    <row r="265" spans="1:29" s="486" customFormat="1" ht="57" customHeight="1">
      <c r="A265" s="1249"/>
      <c r="B265" s="1140" t="s">
        <v>5549</v>
      </c>
      <c r="C265" s="1125">
        <v>1020</v>
      </c>
      <c r="D265" s="1127" t="s">
        <v>794</v>
      </c>
      <c r="E265" s="1142">
        <f>detailed!H2010</f>
        <v>70</v>
      </c>
      <c r="F265" s="1127">
        <f t="shared" si="65"/>
        <v>71400</v>
      </c>
      <c r="G265" s="1141"/>
      <c r="H265" s="1127">
        <f t="shared" si="56"/>
        <v>0</v>
      </c>
      <c r="I265" s="1141"/>
      <c r="J265" s="1127">
        <f t="shared" si="57"/>
        <v>0</v>
      </c>
      <c r="K265" s="1141"/>
      <c r="L265" s="1127">
        <f t="shared" si="58"/>
        <v>0</v>
      </c>
      <c r="M265" s="1141"/>
      <c r="N265" s="1127">
        <f t="shared" si="59"/>
        <v>0</v>
      </c>
      <c r="O265" s="1141"/>
      <c r="P265" s="1127">
        <f t="shared" si="60"/>
        <v>0</v>
      </c>
      <c r="Q265" s="1250"/>
      <c r="R265" s="1127">
        <f t="shared" si="61"/>
        <v>0</v>
      </c>
      <c r="S265" s="1143"/>
      <c r="T265" s="1131">
        <f t="shared" si="64"/>
        <v>0</v>
      </c>
      <c r="U265" s="1144"/>
      <c r="V265" s="1045"/>
      <c r="W265" s="1132">
        <f t="shared" si="66"/>
        <v>0</v>
      </c>
      <c r="X265" s="1045">
        <f t="shared" si="62"/>
        <v>0</v>
      </c>
      <c r="Y265" s="1132">
        <f>building!Y264</f>
        <v>70</v>
      </c>
      <c r="Z265" s="1045">
        <f t="shared" si="63"/>
        <v>71400</v>
      </c>
      <c r="AA265" s="892"/>
      <c r="AB265" s="891"/>
    </row>
    <row r="266" spans="1:29" s="486" customFormat="1" ht="57" customHeight="1">
      <c r="A266" s="1249"/>
      <c r="B266" s="1140" t="s">
        <v>5550</v>
      </c>
      <c r="C266" s="1125">
        <v>63</v>
      </c>
      <c r="D266" s="1127" t="s">
        <v>794</v>
      </c>
      <c r="E266" s="1142">
        <f>detailed!H2016</f>
        <v>136</v>
      </c>
      <c r="F266" s="1127">
        <f t="shared" si="65"/>
        <v>8568</v>
      </c>
      <c r="G266" s="1141"/>
      <c r="H266" s="1127">
        <f t="shared" si="56"/>
        <v>0</v>
      </c>
      <c r="I266" s="1141"/>
      <c r="J266" s="1127">
        <f t="shared" si="57"/>
        <v>0</v>
      </c>
      <c r="K266" s="1141"/>
      <c r="L266" s="1127">
        <f t="shared" si="58"/>
        <v>0</v>
      </c>
      <c r="M266" s="1141"/>
      <c r="N266" s="1127">
        <f t="shared" si="59"/>
        <v>0</v>
      </c>
      <c r="O266" s="1141"/>
      <c r="P266" s="1127">
        <f t="shared" si="60"/>
        <v>0</v>
      </c>
      <c r="Q266" s="1250"/>
      <c r="R266" s="1127">
        <f t="shared" si="61"/>
        <v>0</v>
      </c>
      <c r="S266" s="1143"/>
      <c r="T266" s="1131">
        <f t="shared" si="64"/>
        <v>0</v>
      </c>
      <c r="U266" s="1144"/>
      <c r="V266" s="1045"/>
      <c r="W266" s="1132">
        <f t="shared" si="66"/>
        <v>0</v>
      </c>
      <c r="X266" s="1045">
        <f t="shared" si="62"/>
        <v>0</v>
      </c>
      <c r="Y266" s="1132">
        <f>building!Y265</f>
        <v>136</v>
      </c>
      <c r="Z266" s="1045">
        <f t="shared" si="63"/>
        <v>8568</v>
      </c>
      <c r="AA266" s="892"/>
      <c r="AB266" s="891"/>
    </row>
    <row r="267" spans="1:29" s="486" customFormat="1" ht="57" customHeight="1">
      <c r="A267" s="1249"/>
      <c r="B267" s="1140" t="s">
        <v>5686</v>
      </c>
      <c r="C267" s="1140">
        <v>700</v>
      </c>
      <c r="D267" s="1141" t="s">
        <v>5687</v>
      </c>
      <c r="E267" s="1142">
        <f>detailed!G2033</f>
        <v>62.9</v>
      </c>
      <c r="F267" s="1127">
        <f t="shared" si="65"/>
        <v>44030</v>
      </c>
      <c r="G267" s="1141"/>
      <c r="H267" s="1127">
        <f t="shared" si="56"/>
        <v>0</v>
      </c>
      <c r="I267" s="1141"/>
      <c r="J267" s="1127">
        <f t="shared" si="57"/>
        <v>0</v>
      </c>
      <c r="K267" s="1141"/>
      <c r="L267" s="1127">
        <f t="shared" si="58"/>
        <v>0</v>
      </c>
      <c r="M267" s="1141"/>
      <c r="N267" s="1127">
        <f t="shared" si="59"/>
        <v>0</v>
      </c>
      <c r="O267" s="1141"/>
      <c r="P267" s="1127">
        <f t="shared" si="60"/>
        <v>0</v>
      </c>
      <c r="Q267" s="1250"/>
      <c r="R267" s="1127">
        <f t="shared" si="61"/>
        <v>0</v>
      </c>
      <c r="S267" s="1143"/>
      <c r="T267" s="1131">
        <f t="shared" si="64"/>
        <v>0</v>
      </c>
      <c r="U267" s="1144"/>
      <c r="V267" s="1045"/>
      <c r="W267" s="1132">
        <f t="shared" si="66"/>
        <v>0</v>
      </c>
      <c r="X267" s="1045">
        <f t="shared" si="62"/>
        <v>0</v>
      </c>
      <c r="Y267" s="1132">
        <f>building!Y266</f>
        <v>62.9</v>
      </c>
      <c r="Z267" s="1045">
        <f t="shared" si="63"/>
        <v>44030</v>
      </c>
      <c r="AA267" s="892"/>
      <c r="AB267" s="891"/>
    </row>
    <row r="268" spans="1:29" s="486" customFormat="1" ht="292.5">
      <c r="A268" s="1249"/>
      <c r="B268" s="1140" t="s">
        <v>5688</v>
      </c>
      <c r="C268" s="1431">
        <v>5482</v>
      </c>
      <c r="D268" s="1432" t="s">
        <v>5689</v>
      </c>
      <c r="E268" s="1433">
        <f>detailed!G2038</f>
        <v>68.7</v>
      </c>
      <c r="F268" s="1401">
        <f t="shared" si="65"/>
        <v>376613.4</v>
      </c>
      <c r="G268" s="1432"/>
      <c r="H268" s="1401">
        <f t="shared" ref="H268:H331" si="67">G268*C268</f>
        <v>0</v>
      </c>
      <c r="I268" s="1432"/>
      <c r="J268" s="1401">
        <f t="shared" ref="J268:J331" si="68">I268*C268</f>
        <v>0</v>
      </c>
      <c r="K268" s="1432"/>
      <c r="L268" s="1401">
        <f t="shared" ref="L268:L331" si="69">K268*C268</f>
        <v>0</v>
      </c>
      <c r="M268" s="1432"/>
      <c r="N268" s="1401">
        <f t="shared" ref="N268:N331" si="70">M268*C268</f>
        <v>0</v>
      </c>
      <c r="O268" s="1432"/>
      <c r="P268" s="1401">
        <f t="shared" ref="P268:P331" si="71">O268*C268</f>
        <v>0</v>
      </c>
      <c r="Q268" s="1434"/>
      <c r="R268" s="1401">
        <f t="shared" ref="R268:R331" si="72">Q268*C268</f>
        <v>0</v>
      </c>
      <c r="S268" s="1435"/>
      <c r="T268" s="1436">
        <f t="shared" si="64"/>
        <v>0</v>
      </c>
      <c r="U268" s="1437"/>
      <c r="V268" s="1438"/>
      <c r="W268" s="1439">
        <f t="shared" si="66"/>
        <v>0</v>
      </c>
      <c r="X268" s="1438">
        <f t="shared" ref="X268:X331" si="73">W268*C268</f>
        <v>0</v>
      </c>
      <c r="Y268" s="1132">
        <f>building!Y267</f>
        <v>68.7</v>
      </c>
      <c r="Z268" s="1438">
        <f t="shared" ref="Z268:Z331" si="74">Y268*C268</f>
        <v>376613.4</v>
      </c>
      <c r="AA268" s="892"/>
      <c r="AB268" s="891"/>
    </row>
    <row r="269" spans="1:29" s="486" customFormat="1" ht="67.5">
      <c r="A269" s="1249"/>
      <c r="B269" s="1428" t="s">
        <v>6070</v>
      </c>
      <c r="C269" s="1140">
        <v>1825000</v>
      </c>
      <c r="D269" s="1141" t="s">
        <v>6071</v>
      </c>
      <c r="E269" s="1142">
        <f>detailed!H2041</f>
        <v>1</v>
      </c>
      <c r="F269" s="1127">
        <f t="shared" si="65"/>
        <v>1825000</v>
      </c>
      <c r="G269" s="1141"/>
      <c r="H269" s="1127">
        <f t="shared" si="67"/>
        <v>0</v>
      </c>
      <c r="I269" s="1141"/>
      <c r="J269" s="1127">
        <f t="shared" si="68"/>
        <v>0</v>
      </c>
      <c r="K269" s="1141"/>
      <c r="L269" s="1127">
        <f t="shared" si="69"/>
        <v>0</v>
      </c>
      <c r="M269" s="1141"/>
      <c r="N269" s="1127">
        <f t="shared" si="70"/>
        <v>0</v>
      </c>
      <c r="O269" s="1141"/>
      <c r="P269" s="1127">
        <f t="shared" si="71"/>
        <v>0</v>
      </c>
      <c r="Q269" s="1250"/>
      <c r="R269" s="1127">
        <f t="shared" si="72"/>
        <v>0</v>
      </c>
      <c r="S269" s="1143"/>
      <c r="T269" s="1131">
        <f t="shared" si="64"/>
        <v>0</v>
      </c>
      <c r="U269" s="1144"/>
      <c r="V269" s="1045"/>
      <c r="W269" s="1132">
        <f t="shared" si="66"/>
        <v>0</v>
      </c>
      <c r="X269" s="1045">
        <f t="shared" si="73"/>
        <v>0</v>
      </c>
      <c r="Y269" s="1132">
        <f>building!Y268</f>
        <v>1</v>
      </c>
      <c r="Z269" s="1045">
        <f t="shared" si="74"/>
        <v>1825000</v>
      </c>
      <c r="AA269" s="892"/>
      <c r="AB269" s="891"/>
    </row>
    <row r="270" spans="1:29" s="486" customFormat="1">
      <c r="A270" s="1249"/>
      <c r="B270" s="1251"/>
      <c r="C270" s="1140"/>
      <c r="D270" s="1141"/>
      <c r="E270" s="1142"/>
      <c r="F270" s="1127">
        <f t="shared" si="65"/>
        <v>0</v>
      </c>
      <c r="G270" s="1141"/>
      <c r="H270" s="1127">
        <f t="shared" si="67"/>
        <v>0</v>
      </c>
      <c r="I270" s="1141"/>
      <c r="J270" s="1127">
        <f t="shared" si="68"/>
        <v>0</v>
      </c>
      <c r="K270" s="1141"/>
      <c r="L270" s="1127">
        <f t="shared" si="69"/>
        <v>0</v>
      </c>
      <c r="M270" s="1141"/>
      <c r="N270" s="1127">
        <f t="shared" si="70"/>
        <v>0</v>
      </c>
      <c r="O270" s="1141"/>
      <c r="P270" s="1127">
        <f t="shared" si="71"/>
        <v>0</v>
      </c>
      <c r="Q270" s="1250"/>
      <c r="R270" s="1127">
        <f t="shared" si="72"/>
        <v>0</v>
      </c>
      <c r="S270" s="1143"/>
      <c r="T270" s="1131">
        <f t="shared" si="64"/>
        <v>0</v>
      </c>
      <c r="U270" s="1144"/>
      <c r="V270" s="1045"/>
      <c r="W270" s="1132">
        <f t="shared" si="66"/>
        <v>0</v>
      </c>
      <c r="X270" s="1045">
        <f t="shared" si="73"/>
        <v>0</v>
      </c>
      <c r="Y270" s="1132">
        <f>building!Y269</f>
        <v>0</v>
      </c>
      <c r="Z270" s="1045">
        <f t="shared" si="74"/>
        <v>0</v>
      </c>
      <c r="AA270" s="892"/>
      <c r="AB270" s="891"/>
    </row>
    <row r="271" spans="1:29" s="486" customFormat="1">
      <c r="A271" s="1249"/>
      <c r="B271" s="1251"/>
      <c r="C271" s="1140"/>
      <c r="D271" s="1141"/>
      <c r="E271" s="1142"/>
      <c r="F271" s="1127">
        <f t="shared" si="65"/>
        <v>0</v>
      </c>
      <c r="G271" s="1141"/>
      <c r="H271" s="1127">
        <f t="shared" si="67"/>
        <v>0</v>
      </c>
      <c r="I271" s="1141"/>
      <c r="J271" s="1127">
        <f t="shared" si="68"/>
        <v>0</v>
      </c>
      <c r="K271" s="1141"/>
      <c r="L271" s="1127">
        <f t="shared" si="69"/>
        <v>0</v>
      </c>
      <c r="M271" s="1141"/>
      <c r="N271" s="1127">
        <f t="shared" si="70"/>
        <v>0</v>
      </c>
      <c r="O271" s="1141"/>
      <c r="P271" s="1127">
        <f t="shared" si="71"/>
        <v>0</v>
      </c>
      <c r="Q271" s="1250"/>
      <c r="R271" s="1127">
        <f t="shared" si="72"/>
        <v>0</v>
      </c>
      <c r="S271" s="1143"/>
      <c r="T271" s="1131">
        <f t="shared" si="64"/>
        <v>0</v>
      </c>
      <c r="U271" s="1144"/>
      <c r="V271" s="1045"/>
      <c r="W271" s="1132">
        <f t="shared" si="66"/>
        <v>0</v>
      </c>
      <c r="X271" s="1045">
        <f t="shared" si="73"/>
        <v>0</v>
      </c>
      <c r="Y271" s="1132">
        <f>building!Y270</f>
        <v>0</v>
      </c>
      <c r="Z271" s="1045">
        <f t="shared" si="74"/>
        <v>0</v>
      </c>
      <c r="AA271" s="892"/>
      <c r="AB271" s="891"/>
    </row>
    <row r="272" spans="1:29" s="486" customFormat="1">
      <c r="A272" s="1014"/>
      <c r="B272" s="1023" t="s">
        <v>5048</v>
      </c>
      <c r="C272" s="1022"/>
      <c r="D272" s="1021"/>
      <c r="E272" s="1021"/>
      <c r="F272" s="1127">
        <f t="shared" si="65"/>
        <v>0</v>
      </c>
      <c r="G272" s="1009"/>
      <c r="H272" s="1127">
        <f t="shared" si="67"/>
        <v>0</v>
      </c>
      <c r="I272" s="996">
        <f t="shared" ref="I272:I335" si="75">G272+E272</f>
        <v>0</v>
      </c>
      <c r="J272" s="1127">
        <f t="shared" si="68"/>
        <v>0</v>
      </c>
      <c r="K272" s="1013"/>
      <c r="L272" s="1127">
        <f t="shared" si="69"/>
        <v>0</v>
      </c>
      <c r="M272" s="995">
        <f t="shared" ref="M272:M335" si="76">K272*C272</f>
        <v>0</v>
      </c>
      <c r="N272" s="1127">
        <f t="shared" si="70"/>
        <v>0</v>
      </c>
      <c r="O272" s="994"/>
      <c r="P272" s="1127">
        <f t="shared" si="71"/>
        <v>0</v>
      </c>
      <c r="Q272" s="1051"/>
      <c r="R272" s="1127">
        <f t="shared" si="72"/>
        <v>0</v>
      </c>
      <c r="S272" s="1012"/>
      <c r="T272" s="1131">
        <f t="shared" si="64"/>
        <v>0</v>
      </c>
      <c r="U272" s="994"/>
      <c r="V272" s="994"/>
      <c r="W272" s="1132">
        <f t="shared" si="66"/>
        <v>0</v>
      </c>
      <c r="X272" s="1045">
        <f t="shared" si="73"/>
        <v>0</v>
      </c>
      <c r="Y272" s="1132">
        <f>building!Y271</f>
        <v>0</v>
      </c>
      <c r="Z272" s="1045">
        <f t="shared" si="74"/>
        <v>0</v>
      </c>
      <c r="AA272" s="994">
        <f t="shared" ref="AA272:AA335" si="77">Z272*C272</f>
        <v>0</v>
      </c>
      <c r="AB272" s="1011"/>
      <c r="AC272" s="988">
        <f t="shared" ref="AC272:AC335" si="78">(F272+H272)-J272</f>
        <v>0</v>
      </c>
    </row>
    <row r="273" spans="1:29" s="486" customFormat="1" ht="67.5">
      <c r="A273" s="1014"/>
      <c r="B273" s="1002" t="s">
        <v>5047</v>
      </c>
      <c r="C273" s="1006">
        <v>275</v>
      </c>
      <c r="D273" s="1005" t="s">
        <v>794</v>
      </c>
      <c r="E273" s="1005"/>
      <c r="F273" s="1127">
        <f t="shared" si="65"/>
        <v>0</v>
      </c>
      <c r="G273" s="1009"/>
      <c r="H273" s="1127">
        <f t="shared" si="67"/>
        <v>0</v>
      </c>
      <c r="I273" s="996">
        <f t="shared" si="75"/>
        <v>0</v>
      </c>
      <c r="J273" s="1127">
        <f t="shared" si="68"/>
        <v>0</v>
      </c>
      <c r="K273" s="1013"/>
      <c r="L273" s="1127">
        <f t="shared" si="69"/>
        <v>0</v>
      </c>
      <c r="M273" s="995">
        <f t="shared" si="76"/>
        <v>0</v>
      </c>
      <c r="N273" s="1127">
        <f t="shared" si="70"/>
        <v>0</v>
      </c>
      <c r="O273" s="994"/>
      <c r="P273" s="1127">
        <f t="shared" si="71"/>
        <v>0</v>
      </c>
      <c r="Q273" s="1051">
        <f>'Ex. WS'!H8</f>
        <v>375</v>
      </c>
      <c r="R273" s="1127">
        <f t="shared" si="72"/>
        <v>103125</v>
      </c>
      <c r="S273" s="1012"/>
      <c r="T273" s="1131">
        <f t="shared" si="64"/>
        <v>0</v>
      </c>
      <c r="U273" s="994"/>
      <c r="V273" s="994">
        <f>'[4]Ex. WS'!H245</f>
        <v>0</v>
      </c>
      <c r="W273" s="1132">
        <f t="shared" si="66"/>
        <v>375</v>
      </c>
      <c r="X273" s="1045">
        <f t="shared" si="73"/>
        <v>103125</v>
      </c>
      <c r="Y273" s="1132">
        <f>building!Y272</f>
        <v>375</v>
      </c>
      <c r="Z273" s="1045">
        <f t="shared" si="74"/>
        <v>103125</v>
      </c>
      <c r="AA273" s="994">
        <f t="shared" si="77"/>
        <v>28359375</v>
      </c>
      <c r="AB273" s="1011"/>
      <c r="AC273" s="988">
        <f t="shared" si="78"/>
        <v>0</v>
      </c>
    </row>
    <row r="274" spans="1:29" s="486" customFormat="1">
      <c r="A274" s="1014"/>
      <c r="B274" s="992"/>
      <c r="C274" s="1006"/>
      <c r="D274" s="1005"/>
      <c r="E274" s="1005"/>
      <c r="F274" s="1127">
        <f t="shared" si="65"/>
        <v>0</v>
      </c>
      <c r="G274" s="1009"/>
      <c r="H274" s="1127">
        <f t="shared" si="67"/>
        <v>0</v>
      </c>
      <c r="I274" s="996">
        <f t="shared" si="75"/>
        <v>0</v>
      </c>
      <c r="J274" s="1127">
        <f t="shared" si="68"/>
        <v>0</v>
      </c>
      <c r="K274" s="1013"/>
      <c r="L274" s="1127">
        <f t="shared" si="69"/>
        <v>0</v>
      </c>
      <c r="M274" s="995">
        <f t="shared" si="76"/>
        <v>0</v>
      </c>
      <c r="N274" s="1127">
        <f t="shared" si="70"/>
        <v>0</v>
      </c>
      <c r="O274" s="994"/>
      <c r="P274" s="1127">
        <f t="shared" si="71"/>
        <v>0</v>
      </c>
      <c r="Q274" s="1051"/>
      <c r="R274" s="1127">
        <f t="shared" si="72"/>
        <v>0</v>
      </c>
      <c r="S274" s="1012"/>
      <c r="T274" s="1131">
        <f t="shared" si="64"/>
        <v>0</v>
      </c>
      <c r="U274" s="994"/>
      <c r="V274" s="994"/>
      <c r="W274" s="1132">
        <f t="shared" si="66"/>
        <v>0</v>
      </c>
      <c r="X274" s="1045">
        <f t="shared" si="73"/>
        <v>0</v>
      </c>
      <c r="Y274" s="1132">
        <f>building!Y273</f>
        <v>0</v>
      </c>
      <c r="Z274" s="1045">
        <f t="shared" si="74"/>
        <v>0</v>
      </c>
      <c r="AA274" s="994">
        <f t="shared" si="77"/>
        <v>0</v>
      </c>
      <c r="AB274" s="1011"/>
      <c r="AC274" s="988">
        <f t="shared" si="78"/>
        <v>0</v>
      </c>
    </row>
    <row r="275" spans="1:29" s="486" customFormat="1" ht="67.5">
      <c r="A275" s="1014"/>
      <c r="B275" s="1002" t="s">
        <v>5046</v>
      </c>
      <c r="C275" s="1015">
        <v>618</v>
      </c>
      <c r="D275" s="1005" t="s">
        <v>794</v>
      </c>
      <c r="E275" s="1005"/>
      <c r="F275" s="1127">
        <f t="shared" si="65"/>
        <v>0</v>
      </c>
      <c r="G275" s="1009"/>
      <c r="H275" s="1127">
        <f t="shared" si="67"/>
        <v>0</v>
      </c>
      <c r="I275" s="996">
        <f t="shared" si="75"/>
        <v>0</v>
      </c>
      <c r="J275" s="1127">
        <f t="shared" si="68"/>
        <v>0</v>
      </c>
      <c r="K275" s="1013"/>
      <c r="L275" s="1127">
        <f t="shared" si="69"/>
        <v>0</v>
      </c>
      <c r="M275" s="995">
        <f t="shared" si="76"/>
        <v>0</v>
      </c>
      <c r="N275" s="1127">
        <f t="shared" si="70"/>
        <v>0</v>
      </c>
      <c r="O275" s="994"/>
      <c r="P275" s="1127">
        <f t="shared" si="71"/>
        <v>0</v>
      </c>
      <c r="Q275" s="1051">
        <f>'Ex. WS'!H11</f>
        <v>30</v>
      </c>
      <c r="R275" s="1127">
        <f t="shared" si="72"/>
        <v>18540</v>
      </c>
      <c r="S275" s="1012"/>
      <c r="T275" s="1131">
        <f t="shared" si="64"/>
        <v>0</v>
      </c>
      <c r="U275" s="994"/>
      <c r="V275" s="994">
        <f>'[4]Ex. WS'!H248</f>
        <v>0</v>
      </c>
      <c r="W275" s="1132">
        <f t="shared" si="66"/>
        <v>30</v>
      </c>
      <c r="X275" s="1045">
        <f t="shared" si="73"/>
        <v>18540</v>
      </c>
      <c r="Y275" s="1132">
        <f>building!Y274</f>
        <v>30</v>
      </c>
      <c r="Z275" s="1045">
        <f t="shared" si="74"/>
        <v>18540</v>
      </c>
      <c r="AA275" s="994">
        <f t="shared" si="77"/>
        <v>11457720</v>
      </c>
      <c r="AB275" s="1011"/>
      <c r="AC275" s="988">
        <f t="shared" si="78"/>
        <v>0</v>
      </c>
    </row>
    <row r="276" spans="1:29" s="486" customFormat="1">
      <c r="A276" s="1014"/>
      <c r="B276" s="992"/>
      <c r="C276" s="1006"/>
      <c r="D276" s="1005"/>
      <c r="E276" s="1005"/>
      <c r="F276" s="1127">
        <f t="shared" si="65"/>
        <v>0</v>
      </c>
      <c r="G276" s="1009"/>
      <c r="H276" s="1127">
        <f t="shared" si="67"/>
        <v>0</v>
      </c>
      <c r="I276" s="996">
        <f t="shared" si="75"/>
        <v>0</v>
      </c>
      <c r="J276" s="1127">
        <f t="shared" si="68"/>
        <v>0</v>
      </c>
      <c r="K276" s="1013"/>
      <c r="L276" s="1127">
        <f t="shared" si="69"/>
        <v>0</v>
      </c>
      <c r="M276" s="995">
        <f t="shared" si="76"/>
        <v>0</v>
      </c>
      <c r="N276" s="1127">
        <f t="shared" si="70"/>
        <v>0</v>
      </c>
      <c r="O276" s="994"/>
      <c r="P276" s="1127">
        <f t="shared" si="71"/>
        <v>0</v>
      </c>
      <c r="Q276" s="1051"/>
      <c r="R276" s="1127">
        <f t="shared" si="72"/>
        <v>0</v>
      </c>
      <c r="S276" s="1012"/>
      <c r="T276" s="1131">
        <f t="shared" si="64"/>
        <v>0</v>
      </c>
      <c r="U276" s="994"/>
      <c r="V276" s="994"/>
      <c r="W276" s="1132">
        <f t="shared" si="66"/>
        <v>0</v>
      </c>
      <c r="X276" s="1045">
        <f t="shared" si="73"/>
        <v>0</v>
      </c>
      <c r="Y276" s="1132">
        <f>building!Y275</f>
        <v>0</v>
      </c>
      <c r="Z276" s="1045">
        <f t="shared" si="74"/>
        <v>0</v>
      </c>
      <c r="AA276" s="994">
        <f t="shared" si="77"/>
        <v>0</v>
      </c>
      <c r="AB276" s="1011"/>
      <c r="AC276" s="988">
        <f t="shared" si="78"/>
        <v>0</v>
      </c>
    </row>
    <row r="277" spans="1:29" s="486" customFormat="1">
      <c r="A277" s="1014"/>
      <c r="B277" s="1002" t="s">
        <v>5045</v>
      </c>
      <c r="C277" s="1015">
        <v>137.5</v>
      </c>
      <c r="D277" s="1005" t="s">
        <v>1341</v>
      </c>
      <c r="E277" s="1005"/>
      <c r="F277" s="1127">
        <f t="shared" si="65"/>
        <v>0</v>
      </c>
      <c r="G277" s="1009"/>
      <c r="H277" s="1127">
        <f t="shared" si="67"/>
        <v>0</v>
      </c>
      <c r="I277" s="996">
        <f t="shared" si="75"/>
        <v>0</v>
      </c>
      <c r="J277" s="1127">
        <f t="shared" si="68"/>
        <v>0</v>
      </c>
      <c r="K277" s="1013"/>
      <c r="L277" s="1127">
        <f t="shared" si="69"/>
        <v>0</v>
      </c>
      <c r="M277" s="995">
        <f t="shared" si="76"/>
        <v>0</v>
      </c>
      <c r="N277" s="1127">
        <f t="shared" si="70"/>
        <v>0</v>
      </c>
      <c r="O277" s="994"/>
      <c r="P277" s="1127">
        <f t="shared" si="71"/>
        <v>0</v>
      </c>
      <c r="Q277" s="1051">
        <f>'Ex. WS'!H13</f>
        <v>1</v>
      </c>
      <c r="R277" s="1127">
        <f t="shared" si="72"/>
        <v>137.5</v>
      </c>
      <c r="S277" s="1012"/>
      <c r="T277" s="1131">
        <f t="shared" si="64"/>
        <v>0</v>
      </c>
      <c r="U277" s="994"/>
      <c r="V277" s="994">
        <f>'[4]Ex. WS'!H250</f>
        <v>0</v>
      </c>
      <c r="W277" s="1132">
        <f t="shared" si="66"/>
        <v>1</v>
      </c>
      <c r="X277" s="1045">
        <f t="shared" si="73"/>
        <v>137.5</v>
      </c>
      <c r="Y277" s="1132">
        <f>building!Y276</f>
        <v>1</v>
      </c>
      <c r="Z277" s="1045">
        <f t="shared" si="74"/>
        <v>137.5</v>
      </c>
      <c r="AA277" s="994">
        <f t="shared" si="77"/>
        <v>18906.25</v>
      </c>
      <c r="AB277" s="1011"/>
      <c r="AC277" s="988">
        <f t="shared" si="78"/>
        <v>0</v>
      </c>
    </row>
    <row r="278" spans="1:29" s="486" customFormat="1">
      <c r="A278" s="1014"/>
      <c r="B278" s="1020"/>
      <c r="C278" s="1005"/>
      <c r="D278" s="1005"/>
      <c r="E278" s="1005"/>
      <c r="F278" s="1127">
        <f t="shared" si="65"/>
        <v>0</v>
      </c>
      <c r="G278" s="1009"/>
      <c r="H278" s="1127">
        <f t="shared" si="67"/>
        <v>0</v>
      </c>
      <c r="I278" s="996">
        <f t="shared" si="75"/>
        <v>0</v>
      </c>
      <c r="J278" s="1127">
        <f t="shared" si="68"/>
        <v>0</v>
      </c>
      <c r="K278" s="1013"/>
      <c r="L278" s="1127">
        <f t="shared" si="69"/>
        <v>0</v>
      </c>
      <c r="M278" s="995">
        <f t="shared" si="76"/>
        <v>0</v>
      </c>
      <c r="N278" s="1127">
        <f t="shared" si="70"/>
        <v>0</v>
      </c>
      <c r="O278" s="994"/>
      <c r="P278" s="1127">
        <f t="shared" si="71"/>
        <v>0</v>
      </c>
      <c r="Q278" s="1051"/>
      <c r="R278" s="1127">
        <f t="shared" si="72"/>
        <v>0</v>
      </c>
      <c r="S278" s="1012"/>
      <c r="T278" s="1131">
        <f t="shared" si="64"/>
        <v>0</v>
      </c>
      <c r="U278" s="994"/>
      <c r="V278" s="994"/>
      <c r="W278" s="1132">
        <f t="shared" si="66"/>
        <v>0</v>
      </c>
      <c r="X278" s="1045">
        <f t="shared" si="73"/>
        <v>0</v>
      </c>
      <c r="Y278" s="1132">
        <f>building!Y277</f>
        <v>0</v>
      </c>
      <c r="Z278" s="1045">
        <f t="shared" si="74"/>
        <v>0</v>
      </c>
      <c r="AA278" s="994">
        <f t="shared" si="77"/>
        <v>0</v>
      </c>
      <c r="AB278" s="1011"/>
      <c r="AC278" s="988">
        <f t="shared" si="78"/>
        <v>0</v>
      </c>
    </row>
    <row r="279" spans="1:29" s="486" customFormat="1">
      <c r="A279" s="1014"/>
      <c r="B279" s="1020"/>
      <c r="C279" s="1005"/>
      <c r="D279" s="1005"/>
      <c r="E279" s="1005"/>
      <c r="F279" s="1127">
        <f t="shared" si="65"/>
        <v>0</v>
      </c>
      <c r="G279" s="1009"/>
      <c r="H279" s="1127">
        <f t="shared" si="67"/>
        <v>0</v>
      </c>
      <c r="I279" s="996">
        <f t="shared" si="75"/>
        <v>0</v>
      </c>
      <c r="J279" s="1127">
        <f t="shared" si="68"/>
        <v>0</v>
      </c>
      <c r="K279" s="1013"/>
      <c r="L279" s="1127">
        <f t="shared" si="69"/>
        <v>0</v>
      </c>
      <c r="M279" s="995">
        <f t="shared" si="76"/>
        <v>0</v>
      </c>
      <c r="N279" s="1127">
        <f t="shared" si="70"/>
        <v>0</v>
      </c>
      <c r="O279" s="994"/>
      <c r="P279" s="1127">
        <f t="shared" si="71"/>
        <v>0</v>
      </c>
      <c r="Q279" s="1051"/>
      <c r="R279" s="1127">
        <f t="shared" si="72"/>
        <v>0</v>
      </c>
      <c r="S279" s="1012"/>
      <c r="T279" s="1131">
        <f t="shared" si="64"/>
        <v>0</v>
      </c>
      <c r="U279" s="994"/>
      <c r="V279" s="994"/>
      <c r="W279" s="1132">
        <f t="shared" si="66"/>
        <v>0</v>
      </c>
      <c r="X279" s="1045">
        <f t="shared" si="73"/>
        <v>0</v>
      </c>
      <c r="Y279" s="1132">
        <f>building!Y278</f>
        <v>0</v>
      </c>
      <c r="Z279" s="1045">
        <f t="shared" si="74"/>
        <v>0</v>
      </c>
      <c r="AA279" s="994">
        <f t="shared" si="77"/>
        <v>0</v>
      </c>
      <c r="AB279" s="1011"/>
      <c r="AC279" s="988">
        <f t="shared" si="78"/>
        <v>0</v>
      </c>
    </row>
    <row r="280" spans="1:29" s="486" customFormat="1" ht="67.5">
      <c r="A280" s="1014"/>
      <c r="B280" s="1002" t="s">
        <v>5044</v>
      </c>
      <c r="C280" s="1006">
        <v>19309</v>
      </c>
      <c r="D280" s="1005" t="s">
        <v>1375</v>
      </c>
      <c r="E280" s="1005"/>
      <c r="F280" s="1127">
        <f t="shared" si="65"/>
        <v>0</v>
      </c>
      <c r="G280" s="1009"/>
      <c r="H280" s="1127">
        <f t="shared" si="67"/>
        <v>0</v>
      </c>
      <c r="I280" s="996">
        <f t="shared" si="75"/>
        <v>0</v>
      </c>
      <c r="J280" s="1127">
        <f t="shared" si="68"/>
        <v>0</v>
      </c>
      <c r="K280" s="1013"/>
      <c r="L280" s="1127">
        <f t="shared" si="69"/>
        <v>0</v>
      </c>
      <c r="M280" s="995">
        <f t="shared" si="76"/>
        <v>0</v>
      </c>
      <c r="N280" s="1127">
        <f t="shared" si="70"/>
        <v>0</v>
      </c>
      <c r="O280" s="994"/>
      <c r="P280" s="1127">
        <f t="shared" si="71"/>
        <v>0</v>
      </c>
      <c r="Q280" s="1051">
        <f>'Ex. WS'!H19</f>
        <v>2</v>
      </c>
      <c r="R280" s="1127">
        <f t="shared" si="72"/>
        <v>38618</v>
      </c>
      <c r="S280" s="1012"/>
      <c r="T280" s="1131">
        <f t="shared" si="64"/>
        <v>0</v>
      </c>
      <c r="U280" s="994"/>
      <c r="V280" s="994">
        <f>'[4]Ex. WS'!H256</f>
        <v>0</v>
      </c>
      <c r="W280" s="1132">
        <f t="shared" si="66"/>
        <v>2</v>
      </c>
      <c r="X280" s="1045">
        <f t="shared" si="73"/>
        <v>38618</v>
      </c>
      <c r="Y280" s="1132">
        <f>building!Y279</f>
        <v>2</v>
      </c>
      <c r="Z280" s="1045">
        <f t="shared" si="74"/>
        <v>38618</v>
      </c>
      <c r="AA280" s="994">
        <f t="shared" si="77"/>
        <v>745674962</v>
      </c>
      <c r="AB280" s="1011"/>
      <c r="AC280" s="988">
        <f t="shared" si="78"/>
        <v>0</v>
      </c>
    </row>
    <row r="281" spans="1:29" s="486" customFormat="1">
      <c r="A281" s="1014"/>
      <c r="B281" s="992"/>
      <c r="C281" s="1006"/>
      <c r="D281" s="1005"/>
      <c r="E281" s="1005"/>
      <c r="F281" s="1127">
        <f t="shared" si="65"/>
        <v>0</v>
      </c>
      <c r="G281" s="1009"/>
      <c r="H281" s="1127">
        <f t="shared" si="67"/>
        <v>0</v>
      </c>
      <c r="I281" s="996">
        <f t="shared" si="75"/>
        <v>0</v>
      </c>
      <c r="J281" s="1127">
        <f t="shared" si="68"/>
        <v>0</v>
      </c>
      <c r="K281" s="1013"/>
      <c r="L281" s="1127">
        <f t="shared" si="69"/>
        <v>0</v>
      </c>
      <c r="M281" s="995">
        <f t="shared" si="76"/>
        <v>0</v>
      </c>
      <c r="N281" s="1127">
        <f t="shared" si="70"/>
        <v>0</v>
      </c>
      <c r="O281" s="994"/>
      <c r="P281" s="1127">
        <f t="shared" si="71"/>
        <v>0</v>
      </c>
      <c r="Q281" s="1051"/>
      <c r="R281" s="1127">
        <f t="shared" si="72"/>
        <v>0</v>
      </c>
      <c r="S281" s="1012"/>
      <c r="T281" s="1131">
        <f t="shared" si="64"/>
        <v>0</v>
      </c>
      <c r="U281" s="994"/>
      <c r="V281" s="994"/>
      <c r="W281" s="1132">
        <f t="shared" si="66"/>
        <v>0</v>
      </c>
      <c r="X281" s="1045">
        <f t="shared" si="73"/>
        <v>0</v>
      </c>
      <c r="Y281" s="1132">
        <f>building!Y280</f>
        <v>0</v>
      </c>
      <c r="Z281" s="1045">
        <f t="shared" si="74"/>
        <v>0</v>
      </c>
      <c r="AA281" s="994">
        <f t="shared" si="77"/>
        <v>0</v>
      </c>
      <c r="AB281" s="1011"/>
      <c r="AC281" s="988">
        <f t="shared" si="78"/>
        <v>0</v>
      </c>
    </row>
    <row r="282" spans="1:29" s="486" customFormat="1" ht="45">
      <c r="A282" s="1014"/>
      <c r="B282" s="1019" t="s">
        <v>5043</v>
      </c>
      <c r="C282" s="1006">
        <v>5249</v>
      </c>
      <c r="D282" s="1005" t="s">
        <v>1375</v>
      </c>
      <c r="E282" s="1005"/>
      <c r="F282" s="1127">
        <f t="shared" si="65"/>
        <v>0</v>
      </c>
      <c r="G282" s="1009"/>
      <c r="H282" s="1127">
        <f t="shared" si="67"/>
        <v>0</v>
      </c>
      <c r="I282" s="996">
        <f t="shared" si="75"/>
        <v>0</v>
      </c>
      <c r="J282" s="1127">
        <f t="shared" si="68"/>
        <v>0</v>
      </c>
      <c r="K282" s="1013"/>
      <c r="L282" s="1127">
        <f t="shared" si="69"/>
        <v>0</v>
      </c>
      <c r="M282" s="995">
        <f t="shared" si="76"/>
        <v>0</v>
      </c>
      <c r="N282" s="1127">
        <f t="shared" si="70"/>
        <v>0</v>
      </c>
      <c r="O282" s="994"/>
      <c r="P282" s="1127">
        <f t="shared" si="71"/>
        <v>0</v>
      </c>
      <c r="Q282" s="1051">
        <f>'Ex. WS'!H21</f>
        <v>2</v>
      </c>
      <c r="R282" s="1127">
        <f t="shared" si="72"/>
        <v>10498</v>
      </c>
      <c r="S282" s="1012"/>
      <c r="T282" s="1131">
        <f t="shared" si="64"/>
        <v>0</v>
      </c>
      <c r="U282" s="994"/>
      <c r="V282" s="994">
        <f>'[4]Ex. WS'!H258</f>
        <v>0</v>
      </c>
      <c r="W282" s="1132">
        <f t="shared" si="66"/>
        <v>2</v>
      </c>
      <c r="X282" s="1045">
        <f t="shared" si="73"/>
        <v>10498</v>
      </c>
      <c r="Y282" s="1132">
        <f>building!Y281</f>
        <v>2</v>
      </c>
      <c r="Z282" s="1045">
        <f t="shared" si="74"/>
        <v>10498</v>
      </c>
      <c r="AA282" s="994">
        <f t="shared" si="77"/>
        <v>55104002</v>
      </c>
      <c r="AB282" s="1011"/>
      <c r="AC282" s="988">
        <f t="shared" si="78"/>
        <v>0</v>
      </c>
    </row>
    <row r="283" spans="1:29" s="486" customFormat="1">
      <c r="A283" s="1014"/>
      <c r="B283" s="992"/>
      <c r="C283" s="1006"/>
      <c r="D283" s="1005"/>
      <c r="E283" s="1005"/>
      <c r="F283" s="1127">
        <f t="shared" si="65"/>
        <v>0</v>
      </c>
      <c r="G283" s="1009"/>
      <c r="H283" s="1127">
        <f t="shared" si="67"/>
        <v>0</v>
      </c>
      <c r="I283" s="996">
        <f t="shared" si="75"/>
        <v>0</v>
      </c>
      <c r="J283" s="1127">
        <f t="shared" si="68"/>
        <v>0</v>
      </c>
      <c r="K283" s="1013"/>
      <c r="L283" s="1127">
        <f t="shared" si="69"/>
        <v>0</v>
      </c>
      <c r="M283" s="995">
        <f t="shared" si="76"/>
        <v>0</v>
      </c>
      <c r="N283" s="1127">
        <f t="shared" si="70"/>
        <v>0</v>
      </c>
      <c r="O283" s="994"/>
      <c r="P283" s="1127">
        <f t="shared" si="71"/>
        <v>0</v>
      </c>
      <c r="Q283" s="1051"/>
      <c r="R283" s="1127">
        <f t="shared" si="72"/>
        <v>0</v>
      </c>
      <c r="S283" s="1012"/>
      <c r="T283" s="1131">
        <f t="shared" si="64"/>
        <v>0</v>
      </c>
      <c r="U283" s="994"/>
      <c r="V283" s="994"/>
      <c r="W283" s="1132">
        <f t="shared" si="66"/>
        <v>0</v>
      </c>
      <c r="X283" s="1045">
        <f t="shared" si="73"/>
        <v>0</v>
      </c>
      <c r="Y283" s="1132">
        <f>building!Y282</f>
        <v>0</v>
      </c>
      <c r="Z283" s="1045">
        <f t="shared" si="74"/>
        <v>0</v>
      </c>
      <c r="AA283" s="994">
        <f t="shared" si="77"/>
        <v>0</v>
      </c>
      <c r="AB283" s="1011"/>
      <c r="AC283" s="988">
        <f t="shared" si="78"/>
        <v>0</v>
      </c>
    </row>
    <row r="284" spans="1:29" s="486" customFormat="1" ht="67.5">
      <c r="A284" s="1014"/>
      <c r="B284" s="1002" t="s">
        <v>5042</v>
      </c>
      <c r="C284" s="1006">
        <v>7391.8</v>
      </c>
      <c r="D284" s="1005" t="s">
        <v>1375</v>
      </c>
      <c r="E284" s="1005"/>
      <c r="F284" s="1127">
        <f t="shared" si="65"/>
        <v>0</v>
      </c>
      <c r="G284" s="1009"/>
      <c r="H284" s="1127">
        <f t="shared" si="67"/>
        <v>0</v>
      </c>
      <c r="I284" s="996">
        <f t="shared" si="75"/>
        <v>0</v>
      </c>
      <c r="J284" s="1127">
        <f t="shared" si="68"/>
        <v>0</v>
      </c>
      <c r="K284" s="1013"/>
      <c r="L284" s="1127">
        <f t="shared" si="69"/>
        <v>0</v>
      </c>
      <c r="M284" s="995">
        <f t="shared" si="76"/>
        <v>0</v>
      </c>
      <c r="N284" s="1127">
        <f t="shared" si="70"/>
        <v>0</v>
      </c>
      <c r="O284" s="994"/>
      <c r="P284" s="1127">
        <f t="shared" si="71"/>
        <v>0</v>
      </c>
      <c r="Q284" s="1051">
        <f>'Ex. WS'!H24</f>
        <v>2</v>
      </c>
      <c r="R284" s="1127">
        <f t="shared" si="72"/>
        <v>14783.6</v>
      </c>
      <c r="S284" s="1012"/>
      <c r="T284" s="1131">
        <f t="shared" si="64"/>
        <v>0</v>
      </c>
      <c r="U284" s="994"/>
      <c r="V284" s="994">
        <f>'[4]Ex. WS'!H261</f>
        <v>0</v>
      </c>
      <c r="W284" s="1132">
        <f t="shared" si="66"/>
        <v>2</v>
      </c>
      <c r="X284" s="1045">
        <f t="shared" si="73"/>
        <v>14783.6</v>
      </c>
      <c r="Y284" s="1132">
        <f>building!Y283</f>
        <v>2</v>
      </c>
      <c r="Z284" s="1045">
        <f t="shared" si="74"/>
        <v>14783.6</v>
      </c>
      <c r="AA284" s="994">
        <f t="shared" si="77"/>
        <v>109277414.48</v>
      </c>
      <c r="AB284" s="1011"/>
      <c r="AC284" s="988">
        <f t="shared" si="78"/>
        <v>0</v>
      </c>
    </row>
    <row r="285" spans="1:29" s="486" customFormat="1">
      <c r="A285" s="1014"/>
      <c r="B285" s="992"/>
      <c r="C285" s="1006"/>
      <c r="D285" s="1005"/>
      <c r="E285" s="1005"/>
      <c r="F285" s="1127">
        <f t="shared" si="65"/>
        <v>0</v>
      </c>
      <c r="G285" s="1009"/>
      <c r="H285" s="1127">
        <f t="shared" si="67"/>
        <v>0</v>
      </c>
      <c r="I285" s="996">
        <f t="shared" si="75"/>
        <v>0</v>
      </c>
      <c r="J285" s="1127">
        <f t="shared" si="68"/>
        <v>0</v>
      </c>
      <c r="K285" s="1013"/>
      <c r="L285" s="1127">
        <f t="shared" si="69"/>
        <v>0</v>
      </c>
      <c r="M285" s="995">
        <f t="shared" si="76"/>
        <v>0</v>
      </c>
      <c r="N285" s="1127">
        <f t="shared" si="70"/>
        <v>0</v>
      </c>
      <c r="O285" s="994"/>
      <c r="P285" s="1127">
        <f t="shared" si="71"/>
        <v>0</v>
      </c>
      <c r="Q285" s="1051"/>
      <c r="R285" s="1127">
        <f t="shared" si="72"/>
        <v>0</v>
      </c>
      <c r="S285" s="1012"/>
      <c r="T285" s="1131">
        <f t="shared" si="64"/>
        <v>0</v>
      </c>
      <c r="U285" s="994"/>
      <c r="V285" s="994"/>
      <c r="W285" s="1132">
        <f t="shared" si="66"/>
        <v>0</v>
      </c>
      <c r="X285" s="1045">
        <f t="shared" si="73"/>
        <v>0</v>
      </c>
      <c r="Y285" s="1132">
        <f>building!Y284</f>
        <v>0</v>
      </c>
      <c r="Z285" s="1045">
        <f t="shared" si="74"/>
        <v>0</v>
      </c>
      <c r="AA285" s="994">
        <f t="shared" si="77"/>
        <v>0</v>
      </c>
      <c r="AB285" s="1011"/>
      <c r="AC285" s="988">
        <f t="shared" si="78"/>
        <v>0</v>
      </c>
    </row>
    <row r="286" spans="1:29" s="486" customFormat="1" ht="45">
      <c r="A286" s="1014"/>
      <c r="B286" s="1002" t="s">
        <v>5041</v>
      </c>
      <c r="C286" s="1006">
        <v>57424</v>
      </c>
      <c r="D286" s="1018" t="s">
        <v>5038</v>
      </c>
      <c r="E286" s="1018"/>
      <c r="F286" s="1127">
        <f t="shared" si="65"/>
        <v>0</v>
      </c>
      <c r="G286" s="1009"/>
      <c r="H286" s="1127">
        <f t="shared" si="67"/>
        <v>0</v>
      </c>
      <c r="I286" s="996">
        <f t="shared" si="75"/>
        <v>0</v>
      </c>
      <c r="J286" s="1127">
        <f t="shared" si="68"/>
        <v>0</v>
      </c>
      <c r="K286" s="1013"/>
      <c r="L286" s="1127">
        <f t="shared" si="69"/>
        <v>0</v>
      </c>
      <c r="M286" s="995">
        <f t="shared" si="76"/>
        <v>0</v>
      </c>
      <c r="N286" s="1127">
        <f t="shared" si="70"/>
        <v>0</v>
      </c>
      <c r="O286" s="994"/>
      <c r="P286" s="1127">
        <f t="shared" si="71"/>
        <v>0</v>
      </c>
      <c r="Q286" s="1051">
        <f>'Ex. WS'!H26</f>
        <v>1</v>
      </c>
      <c r="R286" s="1127">
        <f t="shared" si="72"/>
        <v>57424</v>
      </c>
      <c r="S286" s="1012"/>
      <c r="T286" s="1131">
        <f t="shared" si="64"/>
        <v>0</v>
      </c>
      <c r="U286" s="994"/>
      <c r="V286" s="994">
        <f>'[4]Ex. WS'!H263</f>
        <v>0</v>
      </c>
      <c r="W286" s="1132">
        <f t="shared" si="66"/>
        <v>1</v>
      </c>
      <c r="X286" s="1045">
        <f t="shared" si="73"/>
        <v>57424</v>
      </c>
      <c r="Y286" s="1132">
        <f>building!Y285</f>
        <v>1</v>
      </c>
      <c r="Z286" s="1045">
        <f t="shared" si="74"/>
        <v>57424</v>
      </c>
      <c r="AA286" s="994">
        <f t="shared" si="77"/>
        <v>3297515776</v>
      </c>
      <c r="AB286" s="1011"/>
      <c r="AC286" s="988">
        <f t="shared" si="78"/>
        <v>0</v>
      </c>
    </row>
    <row r="287" spans="1:29" s="486" customFormat="1">
      <c r="A287" s="1014"/>
      <c r="B287" s="992"/>
      <c r="C287" s="1006"/>
      <c r="D287" s="1005"/>
      <c r="E287" s="1005"/>
      <c r="F287" s="1127">
        <f t="shared" si="65"/>
        <v>0</v>
      </c>
      <c r="G287" s="1009"/>
      <c r="H287" s="1127">
        <f t="shared" si="67"/>
        <v>0</v>
      </c>
      <c r="I287" s="996">
        <f t="shared" si="75"/>
        <v>0</v>
      </c>
      <c r="J287" s="1127">
        <f t="shared" si="68"/>
        <v>0</v>
      </c>
      <c r="K287" s="1013"/>
      <c r="L287" s="1127">
        <f t="shared" si="69"/>
        <v>0</v>
      </c>
      <c r="M287" s="995">
        <f t="shared" si="76"/>
        <v>0</v>
      </c>
      <c r="N287" s="1127">
        <f t="shared" si="70"/>
        <v>0</v>
      </c>
      <c r="O287" s="994"/>
      <c r="P287" s="1127">
        <f t="shared" si="71"/>
        <v>0</v>
      </c>
      <c r="Q287" s="1051"/>
      <c r="R287" s="1127">
        <f t="shared" si="72"/>
        <v>0</v>
      </c>
      <c r="S287" s="1012"/>
      <c r="T287" s="1131">
        <f t="shared" si="64"/>
        <v>0</v>
      </c>
      <c r="U287" s="994"/>
      <c r="V287" s="994"/>
      <c r="W287" s="1132">
        <f t="shared" si="66"/>
        <v>0</v>
      </c>
      <c r="X287" s="1045">
        <f t="shared" si="73"/>
        <v>0</v>
      </c>
      <c r="Y287" s="1132">
        <f>building!Y286</f>
        <v>0</v>
      </c>
      <c r="Z287" s="1045">
        <f t="shared" si="74"/>
        <v>0</v>
      </c>
      <c r="AA287" s="994">
        <f t="shared" si="77"/>
        <v>0</v>
      </c>
      <c r="AB287" s="1011"/>
      <c r="AC287" s="988">
        <f t="shared" si="78"/>
        <v>0</v>
      </c>
    </row>
    <row r="288" spans="1:29" s="486" customFormat="1" ht="45">
      <c r="A288" s="1014"/>
      <c r="B288" s="1002" t="s">
        <v>5040</v>
      </c>
      <c r="C288" s="1006">
        <v>10051.1</v>
      </c>
      <c r="D288" s="1005" t="s">
        <v>1375</v>
      </c>
      <c r="E288" s="1005"/>
      <c r="F288" s="1127">
        <f t="shared" si="65"/>
        <v>0</v>
      </c>
      <c r="G288" s="1009"/>
      <c r="H288" s="1127">
        <f t="shared" si="67"/>
        <v>0</v>
      </c>
      <c r="I288" s="996">
        <f t="shared" si="75"/>
        <v>0</v>
      </c>
      <c r="J288" s="1127">
        <f t="shared" si="68"/>
        <v>0</v>
      </c>
      <c r="K288" s="1013"/>
      <c r="L288" s="1127">
        <f t="shared" si="69"/>
        <v>0</v>
      </c>
      <c r="M288" s="995">
        <f t="shared" si="76"/>
        <v>0</v>
      </c>
      <c r="N288" s="1127">
        <f t="shared" si="70"/>
        <v>0</v>
      </c>
      <c r="O288" s="994"/>
      <c r="P288" s="1127">
        <f t="shared" si="71"/>
        <v>0</v>
      </c>
      <c r="Q288" s="1051">
        <f>'Ex. WS'!H28</f>
        <v>1</v>
      </c>
      <c r="R288" s="1127">
        <f t="shared" si="72"/>
        <v>10051.1</v>
      </c>
      <c r="S288" s="1012"/>
      <c r="T288" s="1131">
        <f t="shared" si="64"/>
        <v>0</v>
      </c>
      <c r="U288" s="994"/>
      <c r="V288" s="994">
        <f>'[4]Ex. WS'!H267</f>
        <v>0</v>
      </c>
      <c r="W288" s="1132">
        <f t="shared" si="66"/>
        <v>1</v>
      </c>
      <c r="X288" s="1045">
        <f t="shared" si="73"/>
        <v>10051.1</v>
      </c>
      <c r="Y288" s="1132">
        <f>building!Y287</f>
        <v>1</v>
      </c>
      <c r="Z288" s="1045">
        <f t="shared" si="74"/>
        <v>10051.1</v>
      </c>
      <c r="AA288" s="994">
        <f t="shared" si="77"/>
        <v>101024611.20999999</v>
      </c>
      <c r="AB288" s="1011"/>
      <c r="AC288" s="988">
        <f t="shared" si="78"/>
        <v>0</v>
      </c>
    </row>
    <row r="289" spans="1:29" s="486" customFormat="1">
      <c r="A289" s="1014"/>
      <c r="B289" s="992"/>
      <c r="C289" s="1006"/>
      <c r="D289" s="1005"/>
      <c r="E289" s="1005"/>
      <c r="F289" s="1127">
        <f t="shared" si="65"/>
        <v>0</v>
      </c>
      <c r="G289" s="1009"/>
      <c r="H289" s="1127">
        <f t="shared" si="67"/>
        <v>0</v>
      </c>
      <c r="I289" s="996">
        <f t="shared" si="75"/>
        <v>0</v>
      </c>
      <c r="J289" s="1127">
        <f t="shared" si="68"/>
        <v>0</v>
      </c>
      <c r="K289" s="1013"/>
      <c r="L289" s="1127">
        <f t="shared" si="69"/>
        <v>0</v>
      </c>
      <c r="M289" s="995">
        <f t="shared" si="76"/>
        <v>0</v>
      </c>
      <c r="N289" s="1127">
        <f t="shared" si="70"/>
        <v>0</v>
      </c>
      <c r="O289" s="994"/>
      <c r="P289" s="1127">
        <f t="shared" si="71"/>
        <v>0</v>
      </c>
      <c r="Q289" s="1051"/>
      <c r="R289" s="1127">
        <f t="shared" si="72"/>
        <v>0</v>
      </c>
      <c r="S289" s="1012"/>
      <c r="T289" s="1131">
        <f t="shared" si="64"/>
        <v>0</v>
      </c>
      <c r="U289" s="994"/>
      <c r="V289" s="994"/>
      <c r="W289" s="1132">
        <f t="shared" si="66"/>
        <v>0</v>
      </c>
      <c r="X289" s="1045">
        <f t="shared" si="73"/>
        <v>0</v>
      </c>
      <c r="Y289" s="1132">
        <f>building!Y288</f>
        <v>0</v>
      </c>
      <c r="Z289" s="1045">
        <f t="shared" si="74"/>
        <v>0</v>
      </c>
      <c r="AA289" s="994">
        <f t="shared" si="77"/>
        <v>0</v>
      </c>
      <c r="AB289" s="1011"/>
      <c r="AC289" s="988">
        <f t="shared" si="78"/>
        <v>0</v>
      </c>
    </row>
    <row r="290" spans="1:29" s="486" customFormat="1" ht="45">
      <c r="A290" s="1014"/>
      <c r="B290" s="1002" t="s">
        <v>5039</v>
      </c>
      <c r="C290" s="1006">
        <v>14492</v>
      </c>
      <c r="D290" s="1018" t="s">
        <v>5038</v>
      </c>
      <c r="E290" s="1018"/>
      <c r="F290" s="1127">
        <f t="shared" si="65"/>
        <v>0</v>
      </c>
      <c r="G290" s="1009"/>
      <c r="H290" s="1127">
        <f t="shared" si="67"/>
        <v>0</v>
      </c>
      <c r="I290" s="996">
        <f t="shared" si="75"/>
        <v>0</v>
      </c>
      <c r="J290" s="1127">
        <f t="shared" si="68"/>
        <v>0</v>
      </c>
      <c r="K290" s="1013"/>
      <c r="L290" s="1127">
        <f t="shared" si="69"/>
        <v>0</v>
      </c>
      <c r="M290" s="995">
        <f t="shared" si="76"/>
        <v>0</v>
      </c>
      <c r="N290" s="1127">
        <f t="shared" si="70"/>
        <v>0</v>
      </c>
      <c r="O290" s="994"/>
      <c r="P290" s="1127">
        <f t="shared" si="71"/>
        <v>0</v>
      </c>
      <c r="Q290" s="1051">
        <f>'Ex. WS'!H30</f>
        <v>1</v>
      </c>
      <c r="R290" s="1127">
        <f t="shared" si="72"/>
        <v>14492</v>
      </c>
      <c r="S290" s="1012"/>
      <c r="T290" s="1131">
        <f t="shared" si="64"/>
        <v>0</v>
      </c>
      <c r="U290" s="994"/>
      <c r="V290" s="994">
        <f>'[4]Ex. WS'!H267</f>
        <v>0</v>
      </c>
      <c r="W290" s="1132">
        <f t="shared" si="66"/>
        <v>1</v>
      </c>
      <c r="X290" s="1045">
        <f t="shared" si="73"/>
        <v>14492</v>
      </c>
      <c r="Y290" s="1132">
        <f>building!Y289</f>
        <v>1</v>
      </c>
      <c r="Z290" s="1045">
        <f t="shared" si="74"/>
        <v>14492</v>
      </c>
      <c r="AA290" s="994">
        <f t="shared" si="77"/>
        <v>210018064</v>
      </c>
      <c r="AB290" s="1011"/>
      <c r="AC290" s="988">
        <f t="shared" si="78"/>
        <v>0</v>
      </c>
    </row>
    <row r="291" spans="1:29" s="486" customFormat="1">
      <c r="A291" s="1014"/>
      <c r="B291" s="992"/>
      <c r="C291" s="1006"/>
      <c r="D291" s="1005"/>
      <c r="E291" s="1005"/>
      <c r="F291" s="1127">
        <f t="shared" si="65"/>
        <v>0</v>
      </c>
      <c r="G291" s="1009"/>
      <c r="H291" s="1127">
        <f t="shared" si="67"/>
        <v>0</v>
      </c>
      <c r="I291" s="996">
        <f t="shared" si="75"/>
        <v>0</v>
      </c>
      <c r="J291" s="1127">
        <f t="shared" si="68"/>
        <v>0</v>
      </c>
      <c r="K291" s="1013"/>
      <c r="L291" s="1127">
        <f t="shared" si="69"/>
        <v>0</v>
      </c>
      <c r="M291" s="995">
        <f t="shared" si="76"/>
        <v>0</v>
      </c>
      <c r="N291" s="1127">
        <f t="shared" si="70"/>
        <v>0</v>
      </c>
      <c r="O291" s="994"/>
      <c r="P291" s="1127">
        <f t="shared" si="71"/>
        <v>0</v>
      </c>
      <c r="Q291" s="1051"/>
      <c r="R291" s="1127">
        <f t="shared" si="72"/>
        <v>0</v>
      </c>
      <c r="S291" s="1012"/>
      <c r="T291" s="1131">
        <f t="shared" si="64"/>
        <v>0</v>
      </c>
      <c r="U291" s="994"/>
      <c r="V291" s="994"/>
      <c r="W291" s="1132">
        <f t="shared" si="66"/>
        <v>0</v>
      </c>
      <c r="X291" s="1045">
        <f t="shared" si="73"/>
        <v>0</v>
      </c>
      <c r="Y291" s="1132">
        <f>building!Y290</f>
        <v>0</v>
      </c>
      <c r="Z291" s="1045">
        <f t="shared" si="74"/>
        <v>0</v>
      </c>
      <c r="AA291" s="994">
        <f t="shared" si="77"/>
        <v>0</v>
      </c>
      <c r="AB291" s="1011"/>
      <c r="AC291" s="988">
        <f t="shared" si="78"/>
        <v>0</v>
      </c>
    </row>
    <row r="292" spans="1:29" s="486" customFormat="1" ht="45">
      <c r="A292" s="1014"/>
      <c r="B292" s="1002" t="s">
        <v>5037</v>
      </c>
      <c r="C292" s="1006">
        <v>186</v>
      </c>
      <c r="D292" s="1005" t="s">
        <v>794</v>
      </c>
      <c r="E292" s="1005"/>
      <c r="F292" s="1127">
        <f t="shared" si="65"/>
        <v>0</v>
      </c>
      <c r="G292" s="1009"/>
      <c r="H292" s="1127">
        <f t="shared" si="67"/>
        <v>0</v>
      </c>
      <c r="I292" s="996">
        <f t="shared" si="75"/>
        <v>0</v>
      </c>
      <c r="J292" s="1127">
        <f t="shared" si="68"/>
        <v>0</v>
      </c>
      <c r="K292" s="1013"/>
      <c r="L292" s="1127">
        <f t="shared" si="69"/>
        <v>0</v>
      </c>
      <c r="M292" s="995">
        <f t="shared" si="76"/>
        <v>0</v>
      </c>
      <c r="N292" s="1127">
        <f t="shared" si="70"/>
        <v>0</v>
      </c>
      <c r="O292" s="994"/>
      <c r="P292" s="1127">
        <f t="shared" si="71"/>
        <v>0</v>
      </c>
      <c r="Q292" s="1051">
        <f>'Ex. WS'!H35</f>
        <v>415</v>
      </c>
      <c r="R292" s="1127">
        <f t="shared" si="72"/>
        <v>77190</v>
      </c>
      <c r="S292" s="1012"/>
      <c r="T292" s="1131">
        <f t="shared" si="64"/>
        <v>0</v>
      </c>
      <c r="U292" s="994"/>
      <c r="V292" s="994">
        <f>'[4]Ex. WS'!H272</f>
        <v>0</v>
      </c>
      <c r="W292" s="1132">
        <f t="shared" si="66"/>
        <v>415</v>
      </c>
      <c r="X292" s="1045">
        <f t="shared" si="73"/>
        <v>77190</v>
      </c>
      <c r="Y292" s="1132">
        <f>building!Y291</f>
        <v>415</v>
      </c>
      <c r="Z292" s="1045">
        <f t="shared" si="74"/>
        <v>77190</v>
      </c>
      <c r="AA292" s="994">
        <f t="shared" si="77"/>
        <v>14357340</v>
      </c>
      <c r="AB292" s="1011"/>
      <c r="AC292" s="988">
        <f t="shared" si="78"/>
        <v>0</v>
      </c>
    </row>
    <row r="293" spans="1:29" s="486" customFormat="1">
      <c r="A293" s="1014"/>
      <c r="B293" s="992"/>
      <c r="C293" s="1017"/>
      <c r="D293" s="1005"/>
      <c r="E293" s="1005"/>
      <c r="F293" s="1127">
        <f t="shared" si="65"/>
        <v>0</v>
      </c>
      <c r="G293" s="1009"/>
      <c r="H293" s="1127">
        <f t="shared" si="67"/>
        <v>0</v>
      </c>
      <c r="I293" s="996">
        <f t="shared" si="75"/>
        <v>0</v>
      </c>
      <c r="J293" s="1127">
        <f t="shared" si="68"/>
        <v>0</v>
      </c>
      <c r="K293" s="1013"/>
      <c r="L293" s="1127">
        <f t="shared" si="69"/>
        <v>0</v>
      </c>
      <c r="M293" s="995">
        <f t="shared" si="76"/>
        <v>0</v>
      </c>
      <c r="N293" s="1127">
        <f t="shared" si="70"/>
        <v>0</v>
      </c>
      <c r="O293" s="994"/>
      <c r="P293" s="1127">
        <f t="shared" si="71"/>
        <v>0</v>
      </c>
      <c r="Q293" s="1051"/>
      <c r="R293" s="1127">
        <f t="shared" si="72"/>
        <v>0</v>
      </c>
      <c r="S293" s="1012"/>
      <c r="T293" s="1131">
        <f t="shared" si="64"/>
        <v>0</v>
      </c>
      <c r="U293" s="994"/>
      <c r="V293" s="994"/>
      <c r="W293" s="1132">
        <f t="shared" si="66"/>
        <v>0</v>
      </c>
      <c r="X293" s="1045">
        <f t="shared" si="73"/>
        <v>0</v>
      </c>
      <c r="Y293" s="1132">
        <f>building!Y292</f>
        <v>0</v>
      </c>
      <c r="Z293" s="1045">
        <f t="shared" si="74"/>
        <v>0</v>
      </c>
      <c r="AA293" s="994">
        <f t="shared" si="77"/>
        <v>0</v>
      </c>
      <c r="AB293" s="1011"/>
      <c r="AC293" s="988">
        <f t="shared" si="78"/>
        <v>0</v>
      </c>
    </row>
    <row r="294" spans="1:29" s="486" customFormat="1" ht="45">
      <c r="A294" s="1014"/>
      <c r="B294" s="1002" t="s">
        <v>5036</v>
      </c>
      <c r="C294" s="1006">
        <v>141.1</v>
      </c>
      <c r="D294" s="1005" t="s">
        <v>3391</v>
      </c>
      <c r="E294" s="1005"/>
      <c r="F294" s="1127">
        <f t="shared" si="65"/>
        <v>0</v>
      </c>
      <c r="G294" s="1009"/>
      <c r="H294" s="1127">
        <f t="shared" si="67"/>
        <v>0</v>
      </c>
      <c r="I294" s="996">
        <f t="shared" si="75"/>
        <v>0</v>
      </c>
      <c r="J294" s="1127">
        <f t="shared" si="68"/>
        <v>0</v>
      </c>
      <c r="K294" s="1013"/>
      <c r="L294" s="1127">
        <f t="shared" si="69"/>
        <v>0</v>
      </c>
      <c r="M294" s="995">
        <f t="shared" si="76"/>
        <v>0</v>
      </c>
      <c r="N294" s="1127">
        <f t="shared" si="70"/>
        <v>0</v>
      </c>
      <c r="O294" s="994"/>
      <c r="P294" s="1127">
        <f t="shared" si="71"/>
        <v>0</v>
      </c>
      <c r="Q294" s="1051">
        <f>'Ex. WS'!H38</f>
        <v>375</v>
      </c>
      <c r="R294" s="1127">
        <f t="shared" si="72"/>
        <v>52912.5</v>
      </c>
      <c r="S294" s="1012"/>
      <c r="T294" s="1131">
        <f t="shared" si="64"/>
        <v>0</v>
      </c>
      <c r="U294" s="994"/>
      <c r="V294" s="994">
        <f>'[4]Ex. WS'!H275</f>
        <v>0</v>
      </c>
      <c r="W294" s="1132">
        <f t="shared" si="66"/>
        <v>375</v>
      </c>
      <c r="X294" s="1045">
        <f t="shared" si="73"/>
        <v>52912.5</v>
      </c>
      <c r="Y294" s="1132">
        <f>building!Y293</f>
        <v>375</v>
      </c>
      <c r="Z294" s="1045">
        <f t="shared" si="74"/>
        <v>52912.5</v>
      </c>
      <c r="AA294" s="994">
        <f t="shared" si="77"/>
        <v>7465953.75</v>
      </c>
      <c r="AB294" s="1011"/>
      <c r="AC294" s="988">
        <f t="shared" si="78"/>
        <v>0</v>
      </c>
    </row>
    <row r="295" spans="1:29" s="486" customFormat="1">
      <c r="A295" s="1014"/>
      <c r="B295" s="992"/>
      <c r="C295" s="1006"/>
      <c r="D295" s="1005"/>
      <c r="E295" s="1005"/>
      <c r="F295" s="1127">
        <f t="shared" si="65"/>
        <v>0</v>
      </c>
      <c r="G295" s="1009"/>
      <c r="H295" s="1127">
        <f t="shared" si="67"/>
        <v>0</v>
      </c>
      <c r="I295" s="996">
        <f t="shared" si="75"/>
        <v>0</v>
      </c>
      <c r="J295" s="1127">
        <f t="shared" si="68"/>
        <v>0</v>
      </c>
      <c r="K295" s="1013"/>
      <c r="L295" s="1127">
        <f t="shared" si="69"/>
        <v>0</v>
      </c>
      <c r="M295" s="995">
        <f t="shared" si="76"/>
        <v>0</v>
      </c>
      <c r="N295" s="1127">
        <f t="shared" si="70"/>
        <v>0</v>
      </c>
      <c r="O295" s="994"/>
      <c r="P295" s="1127">
        <f t="shared" si="71"/>
        <v>0</v>
      </c>
      <c r="Q295" s="1051"/>
      <c r="R295" s="1127">
        <f t="shared" si="72"/>
        <v>0</v>
      </c>
      <c r="S295" s="1012"/>
      <c r="T295" s="1131">
        <f t="shared" si="64"/>
        <v>0</v>
      </c>
      <c r="U295" s="994"/>
      <c r="V295" s="994"/>
      <c r="W295" s="1132">
        <f t="shared" si="66"/>
        <v>0</v>
      </c>
      <c r="X295" s="1045">
        <f t="shared" si="73"/>
        <v>0</v>
      </c>
      <c r="Y295" s="1132">
        <f>building!Y294</f>
        <v>0</v>
      </c>
      <c r="Z295" s="1045">
        <f t="shared" si="74"/>
        <v>0</v>
      </c>
      <c r="AA295" s="994">
        <f t="shared" si="77"/>
        <v>0</v>
      </c>
      <c r="AB295" s="1011"/>
      <c r="AC295" s="988">
        <f t="shared" si="78"/>
        <v>0</v>
      </c>
    </row>
    <row r="296" spans="1:29" s="486" customFormat="1" ht="45">
      <c r="A296" s="1014"/>
      <c r="B296" s="1002" t="s">
        <v>5035</v>
      </c>
      <c r="C296" s="1006"/>
      <c r="D296" s="1005"/>
      <c r="E296" s="1005"/>
      <c r="F296" s="1127">
        <f t="shared" si="65"/>
        <v>0</v>
      </c>
      <c r="G296" s="1009"/>
      <c r="H296" s="1127">
        <f t="shared" si="67"/>
        <v>0</v>
      </c>
      <c r="I296" s="996">
        <f t="shared" si="75"/>
        <v>0</v>
      </c>
      <c r="J296" s="1127">
        <f t="shared" si="68"/>
        <v>0</v>
      </c>
      <c r="K296" s="1013"/>
      <c r="L296" s="1127">
        <f t="shared" si="69"/>
        <v>0</v>
      </c>
      <c r="M296" s="995">
        <f t="shared" si="76"/>
        <v>0</v>
      </c>
      <c r="N296" s="1127">
        <f t="shared" si="70"/>
        <v>0</v>
      </c>
      <c r="O296" s="994"/>
      <c r="P296" s="1127">
        <f t="shared" si="71"/>
        <v>0</v>
      </c>
      <c r="Q296" s="1051"/>
      <c r="R296" s="1127">
        <f t="shared" si="72"/>
        <v>0</v>
      </c>
      <c r="S296" s="1012"/>
      <c r="T296" s="1131">
        <f t="shared" si="64"/>
        <v>0</v>
      </c>
      <c r="U296" s="994"/>
      <c r="V296" s="994"/>
      <c r="W296" s="1132">
        <f t="shared" si="66"/>
        <v>0</v>
      </c>
      <c r="X296" s="1045">
        <f t="shared" si="73"/>
        <v>0</v>
      </c>
      <c r="Y296" s="1132">
        <f>building!Y295</f>
        <v>0</v>
      </c>
      <c r="Z296" s="1045">
        <f t="shared" si="74"/>
        <v>0</v>
      </c>
      <c r="AA296" s="994">
        <f t="shared" si="77"/>
        <v>0</v>
      </c>
      <c r="AB296" s="1011"/>
      <c r="AC296" s="988">
        <f t="shared" si="78"/>
        <v>0</v>
      </c>
    </row>
    <row r="297" spans="1:29" s="486" customFormat="1">
      <c r="A297" s="1014"/>
      <c r="B297" s="1016" t="s">
        <v>5034</v>
      </c>
      <c r="C297" s="1006">
        <v>128</v>
      </c>
      <c r="D297" s="1005" t="s">
        <v>3391</v>
      </c>
      <c r="E297" s="1005"/>
      <c r="F297" s="1127">
        <f t="shared" si="65"/>
        <v>0</v>
      </c>
      <c r="G297" s="1009"/>
      <c r="H297" s="1127">
        <f t="shared" si="67"/>
        <v>0</v>
      </c>
      <c r="I297" s="996">
        <f t="shared" si="75"/>
        <v>0</v>
      </c>
      <c r="J297" s="1127">
        <f t="shared" si="68"/>
        <v>0</v>
      </c>
      <c r="K297" s="1013"/>
      <c r="L297" s="1127">
        <f t="shared" si="69"/>
        <v>0</v>
      </c>
      <c r="M297" s="995">
        <f t="shared" si="76"/>
        <v>0</v>
      </c>
      <c r="N297" s="1127">
        <f t="shared" si="70"/>
        <v>0</v>
      </c>
      <c r="O297" s="994"/>
      <c r="P297" s="1127">
        <f t="shared" si="71"/>
        <v>0</v>
      </c>
      <c r="Q297" s="1051">
        <f>'Ex. WS'!H43</f>
        <v>15</v>
      </c>
      <c r="R297" s="1127">
        <f t="shared" si="72"/>
        <v>1920</v>
      </c>
      <c r="S297" s="1012"/>
      <c r="T297" s="1131">
        <f t="shared" ref="T297:T360" si="79">S297*C297</f>
        <v>0</v>
      </c>
      <c r="U297" s="994"/>
      <c r="V297" s="994">
        <f>'[4]Ex. WS'!H282</f>
        <v>0</v>
      </c>
      <c r="W297" s="1132">
        <f t="shared" si="66"/>
        <v>15</v>
      </c>
      <c r="X297" s="1045">
        <f t="shared" si="73"/>
        <v>1920</v>
      </c>
      <c r="Y297" s="1132">
        <f>building!Y296</f>
        <v>15</v>
      </c>
      <c r="Z297" s="1045">
        <f t="shared" si="74"/>
        <v>1920</v>
      </c>
      <c r="AA297" s="994">
        <f t="shared" si="77"/>
        <v>245760</v>
      </c>
      <c r="AB297" s="1011"/>
      <c r="AC297" s="988">
        <f t="shared" si="78"/>
        <v>0</v>
      </c>
    </row>
    <row r="298" spans="1:29" s="486" customFormat="1">
      <c r="A298" s="1014"/>
      <c r="B298" s="1016" t="s">
        <v>5033</v>
      </c>
      <c r="C298" s="1006">
        <v>163</v>
      </c>
      <c r="D298" s="1005" t="s">
        <v>3391</v>
      </c>
      <c r="E298" s="1005"/>
      <c r="F298" s="1127">
        <f t="shared" si="65"/>
        <v>0</v>
      </c>
      <c r="G298" s="1009"/>
      <c r="H298" s="1127">
        <f t="shared" si="67"/>
        <v>0</v>
      </c>
      <c r="I298" s="996">
        <f t="shared" si="75"/>
        <v>0</v>
      </c>
      <c r="J298" s="1127">
        <f t="shared" si="68"/>
        <v>0</v>
      </c>
      <c r="K298" s="1013"/>
      <c r="L298" s="1127">
        <f t="shared" si="69"/>
        <v>0</v>
      </c>
      <c r="M298" s="995">
        <f t="shared" si="76"/>
        <v>0</v>
      </c>
      <c r="N298" s="1127">
        <f t="shared" si="70"/>
        <v>0</v>
      </c>
      <c r="O298" s="994"/>
      <c r="P298" s="1127">
        <f t="shared" si="71"/>
        <v>0</v>
      </c>
      <c r="Q298" s="1051">
        <f>'Ex. WS'!H45</f>
        <v>5</v>
      </c>
      <c r="R298" s="1127">
        <f t="shared" si="72"/>
        <v>815</v>
      </c>
      <c r="S298" s="1012"/>
      <c r="T298" s="1131">
        <f t="shared" si="79"/>
        <v>0</v>
      </c>
      <c r="U298" s="994"/>
      <c r="V298" s="994">
        <f>'[4]Ex. WS'!H288</f>
        <v>0</v>
      </c>
      <c r="W298" s="1132">
        <f t="shared" si="66"/>
        <v>5</v>
      </c>
      <c r="X298" s="1045">
        <f t="shared" si="73"/>
        <v>815</v>
      </c>
      <c r="Y298" s="1132">
        <f>building!Y297</f>
        <v>5</v>
      </c>
      <c r="Z298" s="1045">
        <f t="shared" si="74"/>
        <v>815</v>
      </c>
      <c r="AA298" s="994">
        <f t="shared" si="77"/>
        <v>132845</v>
      </c>
      <c r="AB298" s="1011"/>
      <c r="AC298" s="988">
        <f t="shared" si="78"/>
        <v>0</v>
      </c>
    </row>
    <row r="299" spans="1:29" s="486" customFormat="1">
      <c r="A299" s="1014"/>
      <c r="B299" s="1016" t="s">
        <v>6056</v>
      </c>
      <c r="C299" s="1006">
        <v>209</v>
      </c>
      <c r="D299" s="1005" t="s">
        <v>3391</v>
      </c>
      <c r="E299" s="1005"/>
      <c r="F299" s="1127">
        <f t="shared" si="65"/>
        <v>0</v>
      </c>
      <c r="G299" s="1009"/>
      <c r="H299" s="1127">
        <f t="shared" si="67"/>
        <v>0</v>
      </c>
      <c r="I299" s="996">
        <f t="shared" si="75"/>
        <v>0</v>
      </c>
      <c r="J299" s="1127">
        <f t="shared" si="68"/>
        <v>0</v>
      </c>
      <c r="K299" s="1013"/>
      <c r="L299" s="1127">
        <f t="shared" si="69"/>
        <v>0</v>
      </c>
      <c r="M299" s="995">
        <f t="shared" si="76"/>
        <v>0</v>
      </c>
      <c r="N299" s="1127">
        <f t="shared" si="70"/>
        <v>0</v>
      </c>
      <c r="O299" s="994"/>
      <c r="P299" s="1127">
        <f t="shared" si="71"/>
        <v>0</v>
      </c>
      <c r="Q299" s="1051">
        <f>'Ex. WS'!H51</f>
        <v>16</v>
      </c>
      <c r="R299" s="1127">
        <f t="shared" si="72"/>
        <v>3344</v>
      </c>
      <c r="S299" s="1012"/>
      <c r="T299" s="1131">
        <f t="shared" si="79"/>
        <v>0</v>
      </c>
      <c r="U299" s="994"/>
      <c r="V299" s="994">
        <f>'[4]Ex. WS'!H290</f>
        <v>0</v>
      </c>
      <c r="W299" s="1132">
        <f t="shared" si="66"/>
        <v>16</v>
      </c>
      <c r="X299" s="1045">
        <f t="shared" si="73"/>
        <v>3344</v>
      </c>
      <c r="Y299" s="1132">
        <f>building!Y298</f>
        <v>16</v>
      </c>
      <c r="Z299" s="1045">
        <f t="shared" si="74"/>
        <v>3344</v>
      </c>
      <c r="AA299" s="994">
        <f t="shared" si="77"/>
        <v>698896</v>
      </c>
      <c r="AB299" s="1011"/>
      <c r="AC299" s="988">
        <f t="shared" si="78"/>
        <v>0</v>
      </c>
    </row>
    <row r="300" spans="1:29" s="486" customFormat="1">
      <c r="A300" s="1014"/>
      <c r="B300" s="1016"/>
      <c r="C300" s="1006"/>
      <c r="D300" s="1005"/>
      <c r="E300" s="1005"/>
      <c r="F300" s="1127">
        <f t="shared" si="65"/>
        <v>0</v>
      </c>
      <c r="G300" s="1009"/>
      <c r="H300" s="1127">
        <f t="shared" si="67"/>
        <v>0</v>
      </c>
      <c r="I300" s="996">
        <f t="shared" si="75"/>
        <v>0</v>
      </c>
      <c r="J300" s="1127">
        <f t="shared" si="68"/>
        <v>0</v>
      </c>
      <c r="K300" s="1013"/>
      <c r="L300" s="1127">
        <f t="shared" si="69"/>
        <v>0</v>
      </c>
      <c r="M300" s="995">
        <f t="shared" si="76"/>
        <v>0</v>
      </c>
      <c r="N300" s="1127">
        <f t="shared" si="70"/>
        <v>0</v>
      </c>
      <c r="O300" s="994"/>
      <c r="P300" s="1127">
        <f t="shared" si="71"/>
        <v>0</v>
      </c>
      <c r="Q300" s="1051"/>
      <c r="R300" s="1127">
        <f t="shared" si="72"/>
        <v>0</v>
      </c>
      <c r="S300" s="1012"/>
      <c r="T300" s="1131">
        <f t="shared" si="79"/>
        <v>0</v>
      </c>
      <c r="U300" s="994"/>
      <c r="V300" s="994"/>
      <c r="W300" s="1132">
        <f t="shared" si="66"/>
        <v>0</v>
      </c>
      <c r="X300" s="1045">
        <f t="shared" si="73"/>
        <v>0</v>
      </c>
      <c r="Y300" s="1132">
        <f>building!Y299</f>
        <v>0</v>
      </c>
      <c r="Z300" s="1045">
        <f t="shared" si="74"/>
        <v>0</v>
      </c>
      <c r="AA300" s="994">
        <f t="shared" si="77"/>
        <v>0</v>
      </c>
      <c r="AB300" s="1011"/>
      <c r="AC300" s="988">
        <f t="shared" si="78"/>
        <v>0</v>
      </c>
    </row>
    <row r="301" spans="1:29" s="486" customFormat="1">
      <c r="A301" s="1014"/>
      <c r="B301" s="1002" t="s">
        <v>5032</v>
      </c>
      <c r="C301" s="1006"/>
      <c r="D301" s="1005"/>
      <c r="E301" s="1005"/>
      <c r="F301" s="1127">
        <f t="shared" si="65"/>
        <v>0</v>
      </c>
      <c r="G301" s="1009"/>
      <c r="H301" s="1127">
        <f t="shared" si="67"/>
        <v>0</v>
      </c>
      <c r="I301" s="996">
        <f t="shared" si="75"/>
        <v>0</v>
      </c>
      <c r="J301" s="1127">
        <f t="shared" si="68"/>
        <v>0</v>
      </c>
      <c r="K301" s="1013"/>
      <c r="L301" s="1127">
        <f t="shared" si="69"/>
        <v>0</v>
      </c>
      <c r="M301" s="995">
        <f t="shared" si="76"/>
        <v>0</v>
      </c>
      <c r="N301" s="1127">
        <f t="shared" si="70"/>
        <v>0</v>
      </c>
      <c r="O301" s="994"/>
      <c r="P301" s="1127">
        <f t="shared" si="71"/>
        <v>0</v>
      </c>
      <c r="Q301" s="1051"/>
      <c r="R301" s="1127">
        <f t="shared" si="72"/>
        <v>0</v>
      </c>
      <c r="S301" s="1012"/>
      <c r="T301" s="1131">
        <f t="shared" si="79"/>
        <v>0</v>
      </c>
      <c r="U301" s="994"/>
      <c r="V301" s="994"/>
      <c r="W301" s="1132">
        <f t="shared" si="66"/>
        <v>0</v>
      </c>
      <c r="X301" s="1045">
        <f t="shared" si="73"/>
        <v>0</v>
      </c>
      <c r="Y301" s="1132">
        <f>building!Y300</f>
        <v>0</v>
      </c>
      <c r="Z301" s="1045">
        <f t="shared" si="74"/>
        <v>0</v>
      </c>
      <c r="AA301" s="994">
        <f t="shared" si="77"/>
        <v>0</v>
      </c>
      <c r="AB301" s="1011"/>
      <c r="AC301" s="988">
        <f t="shared" si="78"/>
        <v>0</v>
      </c>
    </row>
    <row r="302" spans="1:29" s="486" customFormat="1">
      <c r="A302" s="1014"/>
      <c r="B302" s="1016" t="s">
        <v>5031</v>
      </c>
      <c r="C302" s="1006">
        <v>144.69999999999999</v>
      </c>
      <c r="D302" s="1005" t="s">
        <v>3391</v>
      </c>
      <c r="E302" s="1005"/>
      <c r="F302" s="1127">
        <f t="shared" si="65"/>
        <v>0</v>
      </c>
      <c r="G302" s="1009"/>
      <c r="H302" s="1127">
        <f t="shared" si="67"/>
        <v>0</v>
      </c>
      <c r="I302" s="996">
        <f t="shared" si="75"/>
        <v>0</v>
      </c>
      <c r="J302" s="1127">
        <f t="shared" si="68"/>
        <v>0</v>
      </c>
      <c r="K302" s="1013"/>
      <c r="L302" s="1127">
        <f t="shared" si="69"/>
        <v>0</v>
      </c>
      <c r="M302" s="995">
        <f t="shared" si="76"/>
        <v>0</v>
      </c>
      <c r="N302" s="1127">
        <f t="shared" si="70"/>
        <v>0</v>
      </c>
      <c r="O302" s="994"/>
      <c r="P302" s="1127">
        <f t="shared" si="71"/>
        <v>0</v>
      </c>
      <c r="Q302" s="1051">
        <f>'Ex. WS'!G57</f>
        <v>95</v>
      </c>
      <c r="R302" s="1127">
        <f t="shared" si="72"/>
        <v>13746.5</v>
      </c>
      <c r="S302" s="1012"/>
      <c r="T302" s="1131">
        <f t="shared" si="79"/>
        <v>0</v>
      </c>
      <c r="U302" s="994"/>
      <c r="V302" s="994">
        <f>'[4]Ex. WS'!G296</f>
        <v>0</v>
      </c>
      <c r="W302" s="1132">
        <f t="shared" si="66"/>
        <v>95</v>
      </c>
      <c r="X302" s="1045">
        <f t="shared" si="73"/>
        <v>13746.5</v>
      </c>
      <c r="Y302" s="1132">
        <f>building!Y301</f>
        <v>95</v>
      </c>
      <c r="Z302" s="1045">
        <f t="shared" si="74"/>
        <v>13746.5</v>
      </c>
      <c r="AA302" s="994">
        <f t="shared" si="77"/>
        <v>1989118.55</v>
      </c>
      <c r="AB302" s="1011"/>
      <c r="AC302" s="988">
        <f t="shared" si="78"/>
        <v>0</v>
      </c>
    </row>
    <row r="303" spans="1:29" s="486" customFormat="1">
      <c r="A303" s="1014"/>
      <c r="B303" s="992"/>
      <c r="C303" s="1006"/>
      <c r="D303" s="1005"/>
      <c r="E303" s="1005"/>
      <c r="F303" s="1127">
        <f t="shared" si="65"/>
        <v>0</v>
      </c>
      <c r="G303" s="1009"/>
      <c r="H303" s="1127">
        <f t="shared" si="67"/>
        <v>0</v>
      </c>
      <c r="I303" s="996">
        <f t="shared" si="75"/>
        <v>0</v>
      </c>
      <c r="J303" s="1127">
        <f t="shared" si="68"/>
        <v>0</v>
      </c>
      <c r="K303" s="1013"/>
      <c r="L303" s="1127">
        <f t="shared" si="69"/>
        <v>0</v>
      </c>
      <c r="M303" s="995">
        <f t="shared" si="76"/>
        <v>0</v>
      </c>
      <c r="N303" s="1127">
        <f t="shared" si="70"/>
        <v>0</v>
      </c>
      <c r="O303" s="994"/>
      <c r="P303" s="1127">
        <f t="shared" si="71"/>
        <v>0</v>
      </c>
      <c r="Q303" s="1051"/>
      <c r="R303" s="1127">
        <f t="shared" si="72"/>
        <v>0</v>
      </c>
      <c r="S303" s="1012"/>
      <c r="T303" s="1131">
        <f t="shared" si="79"/>
        <v>0</v>
      </c>
      <c r="U303" s="994"/>
      <c r="V303" s="994"/>
      <c r="W303" s="1132">
        <f t="shared" si="66"/>
        <v>0</v>
      </c>
      <c r="X303" s="1045">
        <f t="shared" si="73"/>
        <v>0</v>
      </c>
      <c r="Y303" s="1132">
        <f>building!Y302</f>
        <v>0</v>
      </c>
      <c r="Z303" s="1045">
        <f t="shared" si="74"/>
        <v>0</v>
      </c>
      <c r="AA303" s="994">
        <f t="shared" si="77"/>
        <v>0</v>
      </c>
      <c r="AB303" s="1011"/>
      <c r="AC303" s="988">
        <f t="shared" si="78"/>
        <v>0</v>
      </c>
    </row>
    <row r="304" spans="1:29" s="486" customFormat="1">
      <c r="A304" s="1014"/>
      <c r="B304" s="1002" t="s">
        <v>5030</v>
      </c>
      <c r="C304" s="1006">
        <v>61.7</v>
      </c>
      <c r="D304" s="1005" t="s">
        <v>3391</v>
      </c>
      <c r="E304" s="1005"/>
      <c r="F304" s="1127">
        <f t="shared" si="65"/>
        <v>0</v>
      </c>
      <c r="G304" s="1009"/>
      <c r="H304" s="1127">
        <f t="shared" si="67"/>
        <v>0</v>
      </c>
      <c r="I304" s="996">
        <f t="shared" si="75"/>
        <v>0</v>
      </c>
      <c r="J304" s="1127">
        <f t="shared" si="68"/>
        <v>0</v>
      </c>
      <c r="K304" s="1013"/>
      <c r="L304" s="1127">
        <f t="shared" si="69"/>
        <v>0</v>
      </c>
      <c r="M304" s="995">
        <f t="shared" si="76"/>
        <v>0</v>
      </c>
      <c r="N304" s="1127">
        <f t="shared" si="70"/>
        <v>0</v>
      </c>
      <c r="O304" s="994"/>
      <c r="P304" s="1127">
        <f t="shared" si="71"/>
        <v>0</v>
      </c>
      <c r="Q304" s="1051">
        <f>'Ex. WS'!H60</f>
        <v>15</v>
      </c>
      <c r="R304" s="1127">
        <f t="shared" si="72"/>
        <v>925.5</v>
      </c>
      <c r="S304" s="1012"/>
      <c r="T304" s="1131">
        <f t="shared" si="79"/>
        <v>0</v>
      </c>
      <c r="U304" s="994"/>
      <c r="V304" s="994">
        <f>'[4]Ex. WS'!H299</f>
        <v>0</v>
      </c>
      <c r="W304" s="1132">
        <f t="shared" si="66"/>
        <v>15</v>
      </c>
      <c r="X304" s="1045">
        <f t="shared" si="73"/>
        <v>925.5</v>
      </c>
      <c r="Y304" s="1132">
        <f>building!Y303</f>
        <v>15</v>
      </c>
      <c r="Z304" s="1045">
        <f t="shared" si="74"/>
        <v>925.5</v>
      </c>
      <c r="AA304" s="994">
        <f t="shared" si="77"/>
        <v>57103.35</v>
      </c>
      <c r="AB304" s="1011"/>
      <c r="AC304" s="988">
        <f t="shared" si="78"/>
        <v>0</v>
      </c>
    </row>
    <row r="305" spans="1:29" s="486" customFormat="1">
      <c r="A305" s="1014"/>
      <c r="B305" s="992"/>
      <c r="C305" s="1006"/>
      <c r="D305" s="1005"/>
      <c r="E305" s="1005"/>
      <c r="F305" s="1127">
        <f t="shared" si="65"/>
        <v>0</v>
      </c>
      <c r="G305" s="1009"/>
      <c r="H305" s="1127">
        <f t="shared" si="67"/>
        <v>0</v>
      </c>
      <c r="I305" s="996">
        <f t="shared" si="75"/>
        <v>0</v>
      </c>
      <c r="J305" s="1127">
        <f t="shared" si="68"/>
        <v>0</v>
      </c>
      <c r="K305" s="1013"/>
      <c r="L305" s="1127">
        <f t="shared" si="69"/>
        <v>0</v>
      </c>
      <c r="M305" s="995">
        <f t="shared" si="76"/>
        <v>0</v>
      </c>
      <c r="N305" s="1127">
        <f t="shared" si="70"/>
        <v>0</v>
      </c>
      <c r="O305" s="994"/>
      <c r="P305" s="1127">
        <f t="shared" si="71"/>
        <v>0</v>
      </c>
      <c r="Q305" s="1051"/>
      <c r="R305" s="1127">
        <f t="shared" si="72"/>
        <v>0</v>
      </c>
      <c r="S305" s="1012"/>
      <c r="T305" s="1131">
        <f t="shared" si="79"/>
        <v>0</v>
      </c>
      <c r="U305" s="994"/>
      <c r="V305" s="994"/>
      <c r="W305" s="1132">
        <f t="shared" si="66"/>
        <v>0</v>
      </c>
      <c r="X305" s="1045">
        <f t="shared" si="73"/>
        <v>0</v>
      </c>
      <c r="Y305" s="1132">
        <f>building!Y304</f>
        <v>0</v>
      </c>
      <c r="Z305" s="1045">
        <f t="shared" si="74"/>
        <v>0</v>
      </c>
      <c r="AA305" s="994">
        <f t="shared" si="77"/>
        <v>0</v>
      </c>
      <c r="AB305" s="1011"/>
      <c r="AC305" s="988">
        <f t="shared" si="78"/>
        <v>0</v>
      </c>
    </row>
    <row r="306" spans="1:29" s="486" customFormat="1">
      <c r="A306" s="1014"/>
      <c r="B306" s="1002" t="s">
        <v>5029</v>
      </c>
      <c r="C306" s="1006"/>
      <c r="D306" s="1005"/>
      <c r="E306" s="1005"/>
      <c r="F306" s="1127">
        <f t="shared" si="65"/>
        <v>0</v>
      </c>
      <c r="G306" s="1009"/>
      <c r="H306" s="1127">
        <f t="shared" si="67"/>
        <v>0</v>
      </c>
      <c r="I306" s="996">
        <f t="shared" si="75"/>
        <v>0</v>
      </c>
      <c r="J306" s="1127">
        <f t="shared" si="68"/>
        <v>0</v>
      </c>
      <c r="K306" s="1013"/>
      <c r="L306" s="1127">
        <f t="shared" si="69"/>
        <v>0</v>
      </c>
      <c r="M306" s="995">
        <f t="shared" si="76"/>
        <v>0</v>
      </c>
      <c r="N306" s="1127">
        <f t="shared" si="70"/>
        <v>0</v>
      </c>
      <c r="O306" s="994"/>
      <c r="P306" s="1127">
        <f t="shared" si="71"/>
        <v>0</v>
      </c>
      <c r="Q306" s="1051"/>
      <c r="R306" s="1127">
        <f t="shared" si="72"/>
        <v>0</v>
      </c>
      <c r="S306" s="1012"/>
      <c r="T306" s="1131">
        <f t="shared" si="79"/>
        <v>0</v>
      </c>
      <c r="U306" s="994"/>
      <c r="V306" s="994"/>
      <c r="W306" s="1132">
        <f t="shared" si="66"/>
        <v>0</v>
      </c>
      <c r="X306" s="1045">
        <f t="shared" si="73"/>
        <v>0</v>
      </c>
      <c r="Y306" s="1132">
        <f>building!Y305</f>
        <v>0</v>
      </c>
      <c r="Z306" s="1045">
        <f t="shared" si="74"/>
        <v>0</v>
      </c>
      <c r="AA306" s="994">
        <f t="shared" si="77"/>
        <v>0</v>
      </c>
      <c r="AB306" s="1011"/>
      <c r="AC306" s="988">
        <f t="shared" si="78"/>
        <v>0</v>
      </c>
    </row>
    <row r="307" spans="1:29" s="486" customFormat="1">
      <c r="A307" s="1014"/>
      <c r="B307" s="1002" t="s">
        <v>5028</v>
      </c>
      <c r="C307" s="1006">
        <v>139.80000000000001</v>
      </c>
      <c r="D307" s="1005" t="s">
        <v>1375</v>
      </c>
      <c r="E307" s="1005"/>
      <c r="F307" s="1127">
        <f t="shared" si="65"/>
        <v>0</v>
      </c>
      <c r="G307" s="1009"/>
      <c r="H307" s="1127">
        <f t="shared" si="67"/>
        <v>0</v>
      </c>
      <c r="I307" s="996">
        <f t="shared" si="75"/>
        <v>0</v>
      </c>
      <c r="J307" s="1127">
        <f t="shared" si="68"/>
        <v>0</v>
      </c>
      <c r="K307" s="1013"/>
      <c r="L307" s="1127">
        <f t="shared" si="69"/>
        <v>0</v>
      </c>
      <c r="M307" s="995">
        <f t="shared" si="76"/>
        <v>0</v>
      </c>
      <c r="N307" s="1127">
        <f t="shared" si="70"/>
        <v>0</v>
      </c>
      <c r="O307" s="994"/>
      <c r="P307" s="1127">
        <f t="shared" si="71"/>
        <v>0</v>
      </c>
      <c r="Q307" s="1051">
        <f>'Ex. WS'!H62</f>
        <v>5</v>
      </c>
      <c r="R307" s="1127">
        <f t="shared" si="72"/>
        <v>699</v>
      </c>
      <c r="S307" s="1012"/>
      <c r="T307" s="1131">
        <f t="shared" si="79"/>
        <v>0</v>
      </c>
      <c r="U307" s="994"/>
      <c r="V307" s="994">
        <f>'[4]Ex. WS'!H301</f>
        <v>0</v>
      </c>
      <c r="W307" s="1132">
        <f t="shared" si="66"/>
        <v>5</v>
      </c>
      <c r="X307" s="1045">
        <f t="shared" si="73"/>
        <v>699</v>
      </c>
      <c r="Y307" s="1132">
        <f>building!Y306</f>
        <v>5</v>
      </c>
      <c r="Z307" s="1045">
        <f t="shared" si="74"/>
        <v>699</v>
      </c>
      <c r="AA307" s="994">
        <f t="shared" si="77"/>
        <v>97720.2</v>
      </c>
      <c r="AB307" s="1011"/>
      <c r="AC307" s="988">
        <f t="shared" si="78"/>
        <v>0</v>
      </c>
    </row>
    <row r="308" spans="1:29" s="486" customFormat="1">
      <c r="A308" s="1014"/>
      <c r="B308" s="1002" t="s">
        <v>5027</v>
      </c>
      <c r="C308" s="1006">
        <v>69.8</v>
      </c>
      <c r="D308" s="1005" t="s">
        <v>1375</v>
      </c>
      <c r="E308" s="1005"/>
      <c r="F308" s="1127">
        <f t="shared" si="65"/>
        <v>0</v>
      </c>
      <c r="G308" s="1009"/>
      <c r="H308" s="1127">
        <f t="shared" si="67"/>
        <v>0</v>
      </c>
      <c r="I308" s="996">
        <f t="shared" si="75"/>
        <v>0</v>
      </c>
      <c r="J308" s="1127">
        <f t="shared" si="68"/>
        <v>0</v>
      </c>
      <c r="K308" s="1013"/>
      <c r="L308" s="1127">
        <f t="shared" si="69"/>
        <v>0</v>
      </c>
      <c r="M308" s="995">
        <f t="shared" si="76"/>
        <v>0</v>
      </c>
      <c r="N308" s="1127">
        <f t="shared" si="70"/>
        <v>0</v>
      </c>
      <c r="O308" s="994"/>
      <c r="P308" s="1127">
        <f t="shared" si="71"/>
        <v>0</v>
      </c>
      <c r="Q308" s="1051">
        <f>'Ex. WS'!H63</f>
        <v>6</v>
      </c>
      <c r="R308" s="1127">
        <f t="shared" si="72"/>
        <v>418.8</v>
      </c>
      <c r="S308" s="1012"/>
      <c r="T308" s="1131">
        <f t="shared" si="79"/>
        <v>0</v>
      </c>
      <c r="U308" s="994"/>
      <c r="V308" s="994">
        <f>'[4]Ex. WS'!H302</f>
        <v>0</v>
      </c>
      <c r="W308" s="1132">
        <f t="shared" si="66"/>
        <v>6</v>
      </c>
      <c r="X308" s="1045">
        <f t="shared" si="73"/>
        <v>418.8</v>
      </c>
      <c r="Y308" s="1132">
        <f>building!Y307</f>
        <v>6</v>
      </c>
      <c r="Z308" s="1045">
        <f t="shared" si="74"/>
        <v>418.8</v>
      </c>
      <c r="AA308" s="994">
        <f t="shared" si="77"/>
        <v>29232.240000000002</v>
      </c>
      <c r="AB308" s="1011"/>
      <c r="AC308" s="988">
        <f t="shared" si="78"/>
        <v>0</v>
      </c>
    </row>
    <row r="309" spans="1:29" s="486" customFormat="1">
      <c r="A309" s="1014"/>
      <c r="B309" s="1002" t="s">
        <v>5026</v>
      </c>
      <c r="C309" s="1006">
        <v>1229</v>
      </c>
      <c r="D309" s="1005" t="s">
        <v>1375</v>
      </c>
      <c r="E309" s="1005"/>
      <c r="F309" s="1127">
        <f t="shared" si="65"/>
        <v>0</v>
      </c>
      <c r="G309" s="1009"/>
      <c r="H309" s="1127">
        <f t="shared" si="67"/>
        <v>0</v>
      </c>
      <c r="I309" s="996">
        <f t="shared" si="75"/>
        <v>0</v>
      </c>
      <c r="J309" s="1127">
        <f t="shared" si="68"/>
        <v>0</v>
      </c>
      <c r="K309" s="1013"/>
      <c r="L309" s="1127">
        <f t="shared" si="69"/>
        <v>0</v>
      </c>
      <c r="M309" s="995">
        <f t="shared" si="76"/>
        <v>0</v>
      </c>
      <c r="N309" s="1127">
        <f t="shared" si="70"/>
        <v>0</v>
      </c>
      <c r="O309" s="994"/>
      <c r="P309" s="1127">
        <f t="shared" si="71"/>
        <v>0</v>
      </c>
      <c r="Q309" s="1051">
        <f>'Ex. WS'!H64</f>
        <v>3</v>
      </c>
      <c r="R309" s="1127">
        <f t="shared" si="72"/>
        <v>3687</v>
      </c>
      <c r="S309" s="1012"/>
      <c r="T309" s="1131">
        <f t="shared" si="79"/>
        <v>0</v>
      </c>
      <c r="U309" s="994"/>
      <c r="V309" s="994">
        <f>'[4]Ex. WS'!H303</f>
        <v>0</v>
      </c>
      <c r="W309" s="1132">
        <f t="shared" si="66"/>
        <v>3</v>
      </c>
      <c r="X309" s="1045">
        <f t="shared" si="73"/>
        <v>3687</v>
      </c>
      <c r="Y309" s="1132">
        <f>building!Y308</f>
        <v>3</v>
      </c>
      <c r="Z309" s="1045">
        <f t="shared" si="74"/>
        <v>3687</v>
      </c>
      <c r="AA309" s="994">
        <f t="shared" si="77"/>
        <v>4531323</v>
      </c>
      <c r="AB309" s="1011"/>
      <c r="AC309" s="988">
        <f t="shared" si="78"/>
        <v>0</v>
      </c>
    </row>
    <row r="310" spans="1:29" s="486" customFormat="1">
      <c r="A310" s="1014"/>
      <c r="B310" s="1002" t="s">
        <v>5025</v>
      </c>
      <c r="C310" s="1015">
        <v>2082</v>
      </c>
      <c r="D310" s="1005" t="s">
        <v>1375</v>
      </c>
      <c r="E310" s="1005"/>
      <c r="F310" s="1127">
        <f t="shared" si="65"/>
        <v>0</v>
      </c>
      <c r="G310" s="1009"/>
      <c r="H310" s="1127">
        <f t="shared" si="67"/>
        <v>0</v>
      </c>
      <c r="I310" s="996">
        <f t="shared" si="75"/>
        <v>0</v>
      </c>
      <c r="J310" s="1127">
        <f t="shared" si="68"/>
        <v>0</v>
      </c>
      <c r="K310" s="1013"/>
      <c r="L310" s="1127">
        <f t="shared" si="69"/>
        <v>0</v>
      </c>
      <c r="M310" s="995">
        <f t="shared" si="76"/>
        <v>0</v>
      </c>
      <c r="N310" s="1127">
        <f t="shared" si="70"/>
        <v>0</v>
      </c>
      <c r="O310" s="994"/>
      <c r="P310" s="1127">
        <f t="shared" si="71"/>
        <v>0</v>
      </c>
      <c r="Q310" s="1051">
        <f>'Ex. WS'!H65</f>
        <v>1</v>
      </c>
      <c r="R310" s="1127">
        <f t="shared" si="72"/>
        <v>2082</v>
      </c>
      <c r="S310" s="1012"/>
      <c r="T310" s="1131">
        <f t="shared" si="79"/>
        <v>0</v>
      </c>
      <c r="U310" s="994"/>
      <c r="V310" s="994">
        <f>'[4]Ex. WS'!H304</f>
        <v>0</v>
      </c>
      <c r="W310" s="1132">
        <f t="shared" si="66"/>
        <v>1</v>
      </c>
      <c r="X310" s="1045">
        <f t="shared" si="73"/>
        <v>2082</v>
      </c>
      <c r="Y310" s="1132">
        <f>building!Y309</f>
        <v>1</v>
      </c>
      <c r="Z310" s="1045">
        <f t="shared" si="74"/>
        <v>2082</v>
      </c>
      <c r="AA310" s="994">
        <f t="shared" si="77"/>
        <v>4334724</v>
      </c>
      <c r="AB310" s="1011"/>
      <c r="AC310" s="988">
        <f t="shared" si="78"/>
        <v>0</v>
      </c>
    </row>
    <row r="311" spans="1:29" s="486" customFormat="1">
      <c r="A311" s="1014"/>
      <c r="B311" s="1002" t="s">
        <v>5024</v>
      </c>
      <c r="C311" s="1006">
        <v>266.3</v>
      </c>
      <c r="D311" s="1005" t="s">
        <v>1375</v>
      </c>
      <c r="E311" s="1005"/>
      <c r="F311" s="1127">
        <f t="shared" si="65"/>
        <v>0</v>
      </c>
      <c r="G311" s="1009"/>
      <c r="H311" s="1127">
        <f t="shared" si="67"/>
        <v>0</v>
      </c>
      <c r="I311" s="996">
        <f t="shared" si="75"/>
        <v>0</v>
      </c>
      <c r="J311" s="1127">
        <f t="shared" si="68"/>
        <v>0</v>
      </c>
      <c r="K311" s="1013"/>
      <c r="L311" s="1127">
        <f t="shared" si="69"/>
        <v>0</v>
      </c>
      <c r="M311" s="995">
        <f t="shared" si="76"/>
        <v>0</v>
      </c>
      <c r="N311" s="1127">
        <f t="shared" si="70"/>
        <v>0</v>
      </c>
      <c r="O311" s="994"/>
      <c r="P311" s="1127">
        <f t="shared" si="71"/>
        <v>0</v>
      </c>
      <c r="Q311" s="1051">
        <f>'Ex. WS'!H66</f>
        <v>3</v>
      </c>
      <c r="R311" s="1127">
        <f t="shared" si="72"/>
        <v>798.9</v>
      </c>
      <c r="S311" s="1012"/>
      <c r="T311" s="1131">
        <f t="shared" si="79"/>
        <v>0</v>
      </c>
      <c r="U311" s="994"/>
      <c r="V311" s="994">
        <f>'[4]Ex. WS'!H305</f>
        <v>0</v>
      </c>
      <c r="W311" s="1132">
        <f t="shared" si="66"/>
        <v>3</v>
      </c>
      <c r="X311" s="1045">
        <f t="shared" si="73"/>
        <v>798.9</v>
      </c>
      <c r="Y311" s="1132">
        <f>building!Y310</f>
        <v>3</v>
      </c>
      <c r="Z311" s="1045">
        <f t="shared" si="74"/>
        <v>798.9</v>
      </c>
      <c r="AA311" s="994">
        <f t="shared" si="77"/>
        <v>212747.07</v>
      </c>
      <c r="AB311" s="1011"/>
      <c r="AC311" s="988">
        <f t="shared" si="78"/>
        <v>0</v>
      </c>
    </row>
    <row r="312" spans="1:29" s="486" customFormat="1">
      <c r="A312" s="1014"/>
      <c r="B312" s="1002" t="s">
        <v>5023</v>
      </c>
      <c r="C312" s="1006">
        <v>87</v>
      </c>
      <c r="D312" s="1005" t="s">
        <v>1375</v>
      </c>
      <c r="E312" s="1005"/>
      <c r="F312" s="1127">
        <f t="shared" si="65"/>
        <v>0</v>
      </c>
      <c r="G312" s="1009"/>
      <c r="H312" s="1127">
        <f t="shared" si="67"/>
        <v>0</v>
      </c>
      <c r="I312" s="996">
        <f t="shared" si="75"/>
        <v>0</v>
      </c>
      <c r="J312" s="1127">
        <f t="shared" si="68"/>
        <v>0</v>
      </c>
      <c r="K312" s="1013"/>
      <c r="L312" s="1127">
        <f t="shared" si="69"/>
        <v>0</v>
      </c>
      <c r="M312" s="995">
        <f t="shared" si="76"/>
        <v>0</v>
      </c>
      <c r="N312" s="1127">
        <f t="shared" si="70"/>
        <v>0</v>
      </c>
      <c r="O312" s="994"/>
      <c r="P312" s="1127">
        <f t="shared" si="71"/>
        <v>0</v>
      </c>
      <c r="Q312" s="1051">
        <f>'Ex. WS'!H67</f>
        <v>5</v>
      </c>
      <c r="R312" s="1127">
        <f t="shared" si="72"/>
        <v>435</v>
      </c>
      <c r="S312" s="1012"/>
      <c r="T312" s="1131">
        <f t="shared" si="79"/>
        <v>0</v>
      </c>
      <c r="U312" s="994"/>
      <c r="V312" s="994">
        <f>'[4]Ex. WS'!H306</f>
        <v>0</v>
      </c>
      <c r="W312" s="1132">
        <f t="shared" si="66"/>
        <v>5</v>
      </c>
      <c r="X312" s="1045">
        <f t="shared" si="73"/>
        <v>435</v>
      </c>
      <c r="Y312" s="1132">
        <f>building!Y311</f>
        <v>5</v>
      </c>
      <c r="Z312" s="1045">
        <f t="shared" si="74"/>
        <v>435</v>
      </c>
      <c r="AA312" s="994">
        <f t="shared" si="77"/>
        <v>37845</v>
      </c>
      <c r="AB312" s="1011"/>
      <c r="AC312" s="988">
        <f t="shared" si="78"/>
        <v>0</v>
      </c>
    </row>
    <row r="313" spans="1:29" s="486" customFormat="1">
      <c r="A313" s="1014"/>
      <c r="B313" s="1002" t="s">
        <v>5022</v>
      </c>
      <c r="C313" s="1006">
        <v>434</v>
      </c>
      <c r="D313" s="1005" t="s">
        <v>1375</v>
      </c>
      <c r="E313" s="1005"/>
      <c r="F313" s="1127">
        <f t="shared" si="65"/>
        <v>0</v>
      </c>
      <c r="G313" s="1009"/>
      <c r="H313" s="1127">
        <f t="shared" si="67"/>
        <v>0</v>
      </c>
      <c r="I313" s="996">
        <f t="shared" si="75"/>
        <v>0</v>
      </c>
      <c r="J313" s="1127">
        <f t="shared" si="68"/>
        <v>0</v>
      </c>
      <c r="K313" s="1013"/>
      <c r="L313" s="1127">
        <f t="shared" si="69"/>
        <v>0</v>
      </c>
      <c r="M313" s="995">
        <f t="shared" si="76"/>
        <v>0</v>
      </c>
      <c r="N313" s="1127">
        <f t="shared" si="70"/>
        <v>0</v>
      </c>
      <c r="O313" s="994"/>
      <c r="P313" s="1127">
        <f t="shared" si="71"/>
        <v>0</v>
      </c>
      <c r="Q313" s="1051">
        <f>'Ex. WS'!H68</f>
        <v>1</v>
      </c>
      <c r="R313" s="1127">
        <f t="shared" si="72"/>
        <v>434</v>
      </c>
      <c r="S313" s="1012"/>
      <c r="T313" s="1131">
        <f t="shared" si="79"/>
        <v>0</v>
      </c>
      <c r="U313" s="994"/>
      <c r="V313" s="994">
        <f>'[4]Ex. WS'!H307</f>
        <v>0</v>
      </c>
      <c r="W313" s="1132">
        <f t="shared" si="66"/>
        <v>1</v>
      </c>
      <c r="X313" s="1045">
        <f t="shared" si="73"/>
        <v>434</v>
      </c>
      <c r="Y313" s="1132">
        <f>building!Y312</f>
        <v>1</v>
      </c>
      <c r="Z313" s="1045">
        <f t="shared" si="74"/>
        <v>434</v>
      </c>
      <c r="AA313" s="994">
        <f t="shared" si="77"/>
        <v>188356</v>
      </c>
      <c r="AB313" s="1011"/>
      <c r="AC313" s="988">
        <f t="shared" si="78"/>
        <v>0</v>
      </c>
    </row>
    <row r="314" spans="1:29" s="486" customFormat="1">
      <c r="A314" s="1014"/>
      <c r="B314" s="1002" t="s">
        <v>5021</v>
      </c>
      <c r="C314" s="1006">
        <v>139.80000000000001</v>
      </c>
      <c r="D314" s="1005" t="s">
        <v>1375</v>
      </c>
      <c r="E314" s="1005"/>
      <c r="F314" s="1127">
        <f t="shared" si="65"/>
        <v>0</v>
      </c>
      <c r="G314" s="1009"/>
      <c r="H314" s="1127">
        <f t="shared" si="67"/>
        <v>0</v>
      </c>
      <c r="I314" s="996">
        <f t="shared" si="75"/>
        <v>0</v>
      </c>
      <c r="J314" s="1127">
        <f t="shared" si="68"/>
        <v>0</v>
      </c>
      <c r="K314" s="1013"/>
      <c r="L314" s="1127">
        <f t="shared" si="69"/>
        <v>0</v>
      </c>
      <c r="M314" s="995">
        <f t="shared" si="76"/>
        <v>0</v>
      </c>
      <c r="N314" s="1127">
        <f t="shared" si="70"/>
        <v>0</v>
      </c>
      <c r="O314" s="994"/>
      <c r="P314" s="1127">
        <f t="shared" si="71"/>
        <v>0</v>
      </c>
      <c r="Q314" s="1051">
        <f>'Ex. WS'!H69</f>
        <v>3</v>
      </c>
      <c r="R314" s="1127">
        <f t="shared" si="72"/>
        <v>419.4</v>
      </c>
      <c r="S314" s="1012"/>
      <c r="T314" s="1131">
        <f t="shared" si="79"/>
        <v>0</v>
      </c>
      <c r="U314" s="994"/>
      <c r="V314" s="994">
        <f>'[4]Ex. WS'!H308</f>
        <v>0</v>
      </c>
      <c r="W314" s="1132">
        <f t="shared" si="66"/>
        <v>3</v>
      </c>
      <c r="X314" s="1045">
        <f t="shared" si="73"/>
        <v>419.4</v>
      </c>
      <c r="Y314" s="1132">
        <f>building!Y313</f>
        <v>3</v>
      </c>
      <c r="Z314" s="1045">
        <f t="shared" si="74"/>
        <v>419.4</v>
      </c>
      <c r="AA314" s="994">
        <f t="shared" si="77"/>
        <v>58632.12</v>
      </c>
      <c r="AB314" s="1011"/>
      <c r="AC314" s="988">
        <f t="shared" si="78"/>
        <v>0</v>
      </c>
    </row>
    <row r="315" spans="1:29" s="486" customFormat="1">
      <c r="A315" s="1014"/>
      <c r="B315" s="1002" t="s">
        <v>5020</v>
      </c>
      <c r="C315" s="1006">
        <v>127.5</v>
      </c>
      <c r="D315" s="1005" t="s">
        <v>1375</v>
      </c>
      <c r="E315" s="1005"/>
      <c r="F315" s="1127">
        <f t="shared" si="65"/>
        <v>0</v>
      </c>
      <c r="G315" s="1009"/>
      <c r="H315" s="1127">
        <f t="shared" si="67"/>
        <v>0</v>
      </c>
      <c r="I315" s="996">
        <f t="shared" si="75"/>
        <v>0</v>
      </c>
      <c r="J315" s="1127">
        <f t="shared" si="68"/>
        <v>0</v>
      </c>
      <c r="K315" s="1013"/>
      <c r="L315" s="1127">
        <f t="shared" si="69"/>
        <v>0</v>
      </c>
      <c r="M315" s="995">
        <f t="shared" si="76"/>
        <v>0</v>
      </c>
      <c r="N315" s="1127">
        <f t="shared" si="70"/>
        <v>0</v>
      </c>
      <c r="O315" s="994"/>
      <c r="P315" s="1127">
        <f t="shared" si="71"/>
        <v>0</v>
      </c>
      <c r="Q315" s="1051">
        <f>'Ex. WS'!H70</f>
        <v>2</v>
      </c>
      <c r="R315" s="1127">
        <f t="shared" si="72"/>
        <v>255</v>
      </c>
      <c r="S315" s="1012"/>
      <c r="T315" s="1131">
        <f t="shared" si="79"/>
        <v>0</v>
      </c>
      <c r="U315" s="994"/>
      <c r="V315" s="994">
        <f>'[4]Ex. WS'!H309</f>
        <v>0</v>
      </c>
      <c r="W315" s="1132">
        <f t="shared" si="66"/>
        <v>2</v>
      </c>
      <c r="X315" s="1045">
        <f t="shared" si="73"/>
        <v>255</v>
      </c>
      <c r="Y315" s="1132">
        <f>building!Y314</f>
        <v>2</v>
      </c>
      <c r="Z315" s="1045">
        <f t="shared" si="74"/>
        <v>255</v>
      </c>
      <c r="AA315" s="994">
        <f t="shared" si="77"/>
        <v>32512.5</v>
      </c>
      <c r="AB315" s="1011"/>
      <c r="AC315" s="988">
        <f t="shared" si="78"/>
        <v>0</v>
      </c>
    </row>
    <row r="316" spans="1:29" s="486" customFormat="1">
      <c r="A316" s="1014"/>
      <c r="B316" s="1002" t="s">
        <v>5019</v>
      </c>
      <c r="C316" s="1006">
        <v>87</v>
      </c>
      <c r="D316" s="1005" t="s">
        <v>1375</v>
      </c>
      <c r="E316" s="1005"/>
      <c r="F316" s="1127">
        <f t="shared" si="65"/>
        <v>0</v>
      </c>
      <c r="G316" s="1009"/>
      <c r="H316" s="1127">
        <f t="shared" si="67"/>
        <v>0</v>
      </c>
      <c r="I316" s="996">
        <f t="shared" si="75"/>
        <v>0</v>
      </c>
      <c r="J316" s="1127">
        <f t="shared" si="68"/>
        <v>0</v>
      </c>
      <c r="K316" s="1013"/>
      <c r="L316" s="1127">
        <f t="shared" si="69"/>
        <v>0</v>
      </c>
      <c r="M316" s="995">
        <f t="shared" si="76"/>
        <v>0</v>
      </c>
      <c r="N316" s="1127">
        <f t="shared" si="70"/>
        <v>0</v>
      </c>
      <c r="O316" s="994">
        <f>N316*C316</f>
        <v>0</v>
      </c>
      <c r="P316" s="1127">
        <f t="shared" si="71"/>
        <v>0</v>
      </c>
      <c r="Q316" s="1051">
        <f>'Ex. WS'!H71</f>
        <v>2</v>
      </c>
      <c r="R316" s="1127">
        <f t="shared" si="72"/>
        <v>174</v>
      </c>
      <c r="S316" s="1012"/>
      <c r="T316" s="1131">
        <f t="shared" si="79"/>
        <v>0</v>
      </c>
      <c r="U316" s="994"/>
      <c r="V316" s="994">
        <f>'[4]Ex. WS'!H310</f>
        <v>0</v>
      </c>
      <c r="W316" s="1132">
        <f t="shared" si="66"/>
        <v>2</v>
      </c>
      <c r="X316" s="1045">
        <f t="shared" si="73"/>
        <v>174</v>
      </c>
      <c r="Y316" s="1132">
        <f>building!Y315</f>
        <v>2</v>
      </c>
      <c r="Z316" s="1045">
        <f t="shared" si="74"/>
        <v>174</v>
      </c>
      <c r="AA316" s="994">
        <f t="shared" si="77"/>
        <v>15138</v>
      </c>
      <c r="AB316" s="1011"/>
      <c r="AC316" s="988">
        <f t="shared" si="78"/>
        <v>0</v>
      </c>
    </row>
    <row r="317" spans="1:29" s="718" customFormat="1">
      <c r="A317" s="1010"/>
      <c r="B317" s="1002" t="s">
        <v>5018</v>
      </c>
      <c r="C317" s="1006">
        <v>58.1</v>
      </c>
      <c r="D317" s="1005" t="s">
        <v>1375</v>
      </c>
      <c r="E317" s="1005"/>
      <c r="F317" s="1127">
        <f t="shared" si="65"/>
        <v>0</v>
      </c>
      <c r="G317" s="1009"/>
      <c r="H317" s="1127">
        <f t="shared" si="67"/>
        <v>0</v>
      </c>
      <c r="I317" s="996">
        <f t="shared" si="75"/>
        <v>0</v>
      </c>
      <c r="J317" s="1127">
        <f t="shared" si="68"/>
        <v>0</v>
      </c>
      <c r="K317" s="1008"/>
      <c r="L317" s="1127">
        <f t="shared" si="69"/>
        <v>0</v>
      </c>
      <c r="M317" s="995">
        <f t="shared" si="76"/>
        <v>0</v>
      </c>
      <c r="N317" s="1127">
        <f t="shared" si="70"/>
        <v>0</v>
      </c>
      <c r="O317" s="993"/>
      <c r="P317" s="1127">
        <f t="shared" si="71"/>
        <v>0</v>
      </c>
      <c r="Q317" s="1051">
        <f>'Ex. WS'!H72</f>
        <v>2</v>
      </c>
      <c r="R317" s="1127">
        <f t="shared" si="72"/>
        <v>116.2</v>
      </c>
      <c r="S317" s="1007"/>
      <c r="T317" s="1131">
        <f t="shared" si="79"/>
        <v>0</v>
      </c>
      <c r="U317" s="993"/>
      <c r="V317" s="994">
        <f>'[4]Ex. WS'!H311</f>
        <v>0</v>
      </c>
      <c r="W317" s="1132">
        <f t="shared" si="66"/>
        <v>2</v>
      </c>
      <c r="X317" s="1045">
        <f t="shared" si="73"/>
        <v>116.2</v>
      </c>
      <c r="Y317" s="1132">
        <f>building!Y316</f>
        <v>2</v>
      </c>
      <c r="Z317" s="1045">
        <f t="shared" si="74"/>
        <v>116.2</v>
      </c>
      <c r="AA317" s="994">
        <f t="shared" si="77"/>
        <v>6751.22</v>
      </c>
      <c r="AB317" s="989"/>
      <c r="AC317" s="988">
        <f t="shared" si="78"/>
        <v>0</v>
      </c>
    </row>
    <row r="318" spans="1:29" s="486" customFormat="1">
      <c r="A318" s="1010"/>
      <c r="B318" s="1002" t="s">
        <v>5017</v>
      </c>
      <c r="C318" s="1006">
        <v>28.6</v>
      </c>
      <c r="D318" s="1005" t="s">
        <v>1375</v>
      </c>
      <c r="E318" s="1005"/>
      <c r="F318" s="1127">
        <f t="shared" si="65"/>
        <v>0</v>
      </c>
      <c r="G318" s="1252"/>
      <c r="H318" s="1127">
        <f t="shared" si="67"/>
        <v>0</v>
      </c>
      <c r="I318" s="996">
        <f t="shared" si="75"/>
        <v>0</v>
      </c>
      <c r="J318" s="1127">
        <f t="shared" si="68"/>
        <v>0</v>
      </c>
      <c r="K318" s="1041"/>
      <c r="L318" s="1127">
        <f t="shared" si="69"/>
        <v>0</v>
      </c>
      <c r="M318" s="995">
        <f t="shared" si="76"/>
        <v>0</v>
      </c>
      <c r="N318" s="1127">
        <f t="shared" si="70"/>
        <v>0</v>
      </c>
      <c r="O318" s="994">
        <f t="shared" ref="O318:O326" si="80">N318*C318</f>
        <v>0</v>
      </c>
      <c r="P318" s="1127">
        <f t="shared" si="71"/>
        <v>0</v>
      </c>
      <c r="Q318" s="1051">
        <f>'Ex. WS'!H73</f>
        <v>2</v>
      </c>
      <c r="R318" s="1127">
        <f t="shared" si="72"/>
        <v>57.2</v>
      </c>
      <c r="S318" s="1253"/>
      <c r="T318" s="1131">
        <f t="shared" si="79"/>
        <v>0</v>
      </c>
      <c r="U318" s="994"/>
      <c r="V318" s="994">
        <f>'[4]Ex. WS'!H312</f>
        <v>0</v>
      </c>
      <c r="W318" s="1132">
        <f t="shared" si="66"/>
        <v>2</v>
      </c>
      <c r="X318" s="1045">
        <f t="shared" si="73"/>
        <v>57.2</v>
      </c>
      <c r="Y318" s="1132">
        <f>building!Y317</f>
        <v>2</v>
      </c>
      <c r="Z318" s="1045">
        <f t="shared" si="74"/>
        <v>57.2</v>
      </c>
      <c r="AA318" s="994">
        <f t="shared" si="77"/>
        <v>1635.92</v>
      </c>
      <c r="AB318" s="990"/>
      <c r="AC318" s="988">
        <f t="shared" si="78"/>
        <v>0</v>
      </c>
    </row>
    <row r="319" spans="1:29" s="486" customFormat="1">
      <c r="A319" s="1010"/>
      <c r="B319" s="1002"/>
      <c r="C319" s="1006"/>
      <c r="D319" s="1005"/>
      <c r="E319" s="1005"/>
      <c r="F319" s="1127">
        <f t="shared" si="65"/>
        <v>0</v>
      </c>
      <c r="G319" s="1039"/>
      <c r="H319" s="1127">
        <f t="shared" si="67"/>
        <v>0</v>
      </c>
      <c r="I319" s="996">
        <f t="shared" si="75"/>
        <v>0</v>
      </c>
      <c r="J319" s="1127">
        <f t="shared" si="68"/>
        <v>0</v>
      </c>
      <c r="K319" s="1254"/>
      <c r="L319" s="1127">
        <f t="shared" si="69"/>
        <v>0</v>
      </c>
      <c r="M319" s="995">
        <f t="shared" si="76"/>
        <v>0</v>
      </c>
      <c r="N319" s="1127">
        <f t="shared" si="70"/>
        <v>0</v>
      </c>
      <c r="O319" s="994">
        <f t="shared" si="80"/>
        <v>0</v>
      </c>
      <c r="P319" s="1127">
        <f t="shared" si="71"/>
        <v>0</v>
      </c>
      <c r="Q319" s="1255"/>
      <c r="R319" s="1127">
        <f t="shared" si="72"/>
        <v>0</v>
      </c>
      <c r="S319" s="1040"/>
      <c r="T319" s="1131">
        <f t="shared" si="79"/>
        <v>0</v>
      </c>
      <c r="U319" s="994"/>
      <c r="V319" s="994"/>
      <c r="W319" s="1132">
        <f t="shared" si="66"/>
        <v>0</v>
      </c>
      <c r="X319" s="1045">
        <f t="shared" si="73"/>
        <v>0</v>
      </c>
      <c r="Y319" s="1132">
        <f>building!Y318</f>
        <v>0</v>
      </c>
      <c r="Z319" s="1045">
        <f t="shared" si="74"/>
        <v>0</v>
      </c>
      <c r="AA319" s="994">
        <f t="shared" si="77"/>
        <v>0</v>
      </c>
      <c r="AB319" s="990"/>
      <c r="AC319" s="988">
        <f t="shared" si="78"/>
        <v>0</v>
      </c>
    </row>
    <row r="320" spans="1:29" s="486" customFormat="1" ht="45">
      <c r="A320" s="1010"/>
      <c r="B320" s="1002" t="s">
        <v>5016</v>
      </c>
      <c r="C320" s="1006">
        <v>81.89</v>
      </c>
      <c r="D320" s="1005" t="s">
        <v>794</v>
      </c>
      <c r="E320" s="1005"/>
      <c r="F320" s="1127">
        <f t="shared" si="65"/>
        <v>0</v>
      </c>
      <c r="G320" s="1039"/>
      <c r="H320" s="1127">
        <f t="shared" si="67"/>
        <v>0</v>
      </c>
      <c r="I320" s="996">
        <f t="shared" si="75"/>
        <v>0</v>
      </c>
      <c r="J320" s="1127">
        <f t="shared" si="68"/>
        <v>0</v>
      </c>
      <c r="K320" s="1254"/>
      <c r="L320" s="1127">
        <f t="shared" si="69"/>
        <v>0</v>
      </c>
      <c r="M320" s="995">
        <f t="shared" si="76"/>
        <v>0</v>
      </c>
      <c r="N320" s="1127">
        <f t="shared" si="70"/>
        <v>0</v>
      </c>
      <c r="O320" s="994">
        <f t="shared" si="80"/>
        <v>0</v>
      </c>
      <c r="P320" s="1127">
        <f t="shared" si="71"/>
        <v>0</v>
      </c>
      <c r="Q320" s="1255">
        <f>'Ex. WS'!H76</f>
        <v>220</v>
      </c>
      <c r="R320" s="1127">
        <f t="shared" si="72"/>
        <v>18015.8</v>
      </c>
      <c r="S320" s="1040"/>
      <c r="T320" s="1131">
        <f t="shared" si="79"/>
        <v>0</v>
      </c>
      <c r="U320" s="994"/>
      <c r="V320" s="994">
        <f>'[4]Ex. WS'!H315</f>
        <v>0</v>
      </c>
      <c r="W320" s="1132">
        <f t="shared" si="66"/>
        <v>220</v>
      </c>
      <c r="X320" s="1045">
        <f t="shared" si="73"/>
        <v>18015.8</v>
      </c>
      <c r="Y320" s="1132">
        <f>building!Y319</f>
        <v>220</v>
      </c>
      <c r="Z320" s="1045">
        <f t="shared" si="74"/>
        <v>18015.8</v>
      </c>
      <c r="AA320" s="994">
        <f t="shared" si="77"/>
        <v>1475313.86</v>
      </c>
      <c r="AB320" s="990"/>
      <c r="AC320" s="988">
        <f t="shared" si="78"/>
        <v>0</v>
      </c>
    </row>
    <row r="321" spans="1:29" s="486" customFormat="1">
      <c r="A321" s="1010"/>
      <c r="B321" s="1002"/>
      <c r="C321" s="1006"/>
      <c r="D321" s="1005"/>
      <c r="E321" s="1005"/>
      <c r="F321" s="1127">
        <f t="shared" si="65"/>
        <v>0</v>
      </c>
      <c r="G321" s="1252"/>
      <c r="H321" s="1127">
        <f t="shared" si="67"/>
        <v>0</v>
      </c>
      <c r="I321" s="996">
        <f t="shared" si="75"/>
        <v>0</v>
      </c>
      <c r="J321" s="1127">
        <f t="shared" si="68"/>
        <v>0</v>
      </c>
      <c r="K321" s="1041"/>
      <c r="L321" s="1127">
        <f t="shared" si="69"/>
        <v>0</v>
      </c>
      <c r="M321" s="995">
        <f t="shared" si="76"/>
        <v>0</v>
      </c>
      <c r="N321" s="1127">
        <f t="shared" si="70"/>
        <v>0</v>
      </c>
      <c r="O321" s="994">
        <f t="shared" si="80"/>
        <v>0</v>
      </c>
      <c r="P321" s="1127">
        <f t="shared" si="71"/>
        <v>0</v>
      </c>
      <c r="Q321" s="1255"/>
      <c r="R321" s="1127">
        <f t="shared" si="72"/>
        <v>0</v>
      </c>
      <c r="S321" s="1040"/>
      <c r="T321" s="1131">
        <f t="shared" si="79"/>
        <v>0</v>
      </c>
      <c r="U321" s="994"/>
      <c r="V321" s="994"/>
      <c r="W321" s="1132">
        <f t="shared" si="66"/>
        <v>0</v>
      </c>
      <c r="X321" s="1045">
        <f t="shared" si="73"/>
        <v>0</v>
      </c>
      <c r="Y321" s="1132">
        <f>building!Y320</f>
        <v>0</v>
      </c>
      <c r="Z321" s="1045">
        <f t="shared" si="74"/>
        <v>0</v>
      </c>
      <c r="AA321" s="994">
        <f t="shared" si="77"/>
        <v>0</v>
      </c>
      <c r="AB321" s="990"/>
      <c r="AC321" s="988">
        <f t="shared" si="78"/>
        <v>0</v>
      </c>
    </row>
    <row r="322" spans="1:29" s="486" customFormat="1">
      <c r="A322" s="1010"/>
      <c r="B322" s="1004" t="s">
        <v>5015</v>
      </c>
      <c r="C322" s="1003"/>
      <c r="D322" s="992"/>
      <c r="E322" s="992"/>
      <c r="F322" s="1127">
        <f t="shared" si="65"/>
        <v>0</v>
      </c>
      <c r="G322" s="1252"/>
      <c r="H322" s="1127">
        <f t="shared" si="67"/>
        <v>0</v>
      </c>
      <c r="I322" s="996">
        <f t="shared" si="75"/>
        <v>0</v>
      </c>
      <c r="J322" s="1127">
        <f t="shared" si="68"/>
        <v>0</v>
      </c>
      <c r="K322" s="1041"/>
      <c r="L322" s="1127">
        <f t="shared" si="69"/>
        <v>0</v>
      </c>
      <c r="M322" s="995">
        <f t="shared" si="76"/>
        <v>0</v>
      </c>
      <c r="N322" s="1127">
        <f t="shared" si="70"/>
        <v>0</v>
      </c>
      <c r="O322" s="994">
        <f t="shared" si="80"/>
        <v>0</v>
      </c>
      <c r="P322" s="1127">
        <f t="shared" si="71"/>
        <v>0</v>
      </c>
      <c r="Q322" s="1255"/>
      <c r="R322" s="1127">
        <f t="shared" si="72"/>
        <v>0</v>
      </c>
      <c r="S322" s="1040"/>
      <c r="T322" s="1131">
        <f t="shared" si="79"/>
        <v>0</v>
      </c>
      <c r="U322" s="994"/>
      <c r="V322" s="994"/>
      <c r="W322" s="1132">
        <f t="shared" si="66"/>
        <v>0</v>
      </c>
      <c r="X322" s="1045">
        <f t="shared" si="73"/>
        <v>0</v>
      </c>
      <c r="Y322" s="1132">
        <f>building!Y321</f>
        <v>0</v>
      </c>
      <c r="Z322" s="1045">
        <f t="shared" si="74"/>
        <v>0</v>
      </c>
      <c r="AA322" s="994">
        <f t="shared" si="77"/>
        <v>0</v>
      </c>
      <c r="AB322" s="990"/>
      <c r="AC322" s="988">
        <f t="shared" si="78"/>
        <v>0</v>
      </c>
    </row>
    <row r="323" spans="1:29" s="486" customFormat="1" ht="45">
      <c r="A323" s="1010"/>
      <c r="B323" s="1002" t="s">
        <v>5014</v>
      </c>
      <c r="C323" s="991">
        <v>3000</v>
      </c>
      <c r="D323" s="991" t="s">
        <v>1341</v>
      </c>
      <c r="E323" s="991"/>
      <c r="F323" s="1127">
        <f t="shared" si="65"/>
        <v>0</v>
      </c>
      <c r="G323" s="1252"/>
      <c r="H323" s="1127">
        <f t="shared" si="67"/>
        <v>0</v>
      </c>
      <c r="I323" s="996">
        <f t="shared" si="75"/>
        <v>0</v>
      </c>
      <c r="J323" s="1127">
        <f t="shared" si="68"/>
        <v>0</v>
      </c>
      <c r="K323" s="1041"/>
      <c r="L323" s="1127">
        <f t="shared" si="69"/>
        <v>0</v>
      </c>
      <c r="M323" s="995">
        <f t="shared" si="76"/>
        <v>0</v>
      </c>
      <c r="N323" s="1127">
        <f t="shared" si="70"/>
        <v>0</v>
      </c>
      <c r="O323" s="994">
        <f t="shared" si="80"/>
        <v>0</v>
      </c>
      <c r="P323" s="1127">
        <f t="shared" si="71"/>
        <v>0</v>
      </c>
      <c r="Q323" s="1255">
        <f>'Ex. WS'!H79</f>
        <v>1</v>
      </c>
      <c r="R323" s="1127">
        <f t="shared" si="72"/>
        <v>3000</v>
      </c>
      <c r="S323" s="1040"/>
      <c r="T323" s="1131">
        <f t="shared" si="79"/>
        <v>0</v>
      </c>
      <c r="U323" s="994"/>
      <c r="V323" s="994">
        <f>'[4]Ex. WS'!H318</f>
        <v>0</v>
      </c>
      <c r="W323" s="1132">
        <f t="shared" si="66"/>
        <v>1</v>
      </c>
      <c r="X323" s="1045">
        <f t="shared" si="73"/>
        <v>3000</v>
      </c>
      <c r="Y323" s="1132">
        <f>building!Y322</f>
        <v>1</v>
      </c>
      <c r="Z323" s="1045">
        <f t="shared" si="74"/>
        <v>3000</v>
      </c>
      <c r="AA323" s="994">
        <f t="shared" si="77"/>
        <v>9000000</v>
      </c>
      <c r="AB323" s="990"/>
      <c r="AC323" s="988">
        <f t="shared" si="78"/>
        <v>0</v>
      </c>
    </row>
    <row r="324" spans="1:29" s="486" customFormat="1" ht="45">
      <c r="A324" s="1010"/>
      <c r="B324" s="1002" t="s">
        <v>5013</v>
      </c>
      <c r="C324" s="991"/>
      <c r="D324" s="991"/>
      <c r="E324" s="991"/>
      <c r="F324" s="1127">
        <f t="shared" si="65"/>
        <v>0</v>
      </c>
      <c r="G324" s="1252"/>
      <c r="H324" s="1127">
        <f t="shared" si="67"/>
        <v>0</v>
      </c>
      <c r="I324" s="996">
        <f t="shared" si="75"/>
        <v>0</v>
      </c>
      <c r="J324" s="1127">
        <f t="shared" si="68"/>
        <v>0</v>
      </c>
      <c r="K324" s="1041"/>
      <c r="L324" s="1127">
        <f t="shared" si="69"/>
        <v>0</v>
      </c>
      <c r="M324" s="995">
        <f t="shared" si="76"/>
        <v>0</v>
      </c>
      <c r="N324" s="1127">
        <f t="shared" si="70"/>
        <v>0</v>
      </c>
      <c r="O324" s="994">
        <f t="shared" si="80"/>
        <v>0</v>
      </c>
      <c r="P324" s="1127">
        <f t="shared" si="71"/>
        <v>0</v>
      </c>
      <c r="Q324" s="1255"/>
      <c r="R324" s="1127">
        <f t="shared" si="72"/>
        <v>0</v>
      </c>
      <c r="S324" s="1040"/>
      <c r="T324" s="1131">
        <f t="shared" si="79"/>
        <v>0</v>
      </c>
      <c r="U324" s="994"/>
      <c r="V324" s="994"/>
      <c r="W324" s="1132">
        <f t="shared" si="66"/>
        <v>0</v>
      </c>
      <c r="X324" s="1045">
        <f t="shared" si="73"/>
        <v>0</v>
      </c>
      <c r="Y324" s="1132">
        <f>building!Y323</f>
        <v>0</v>
      </c>
      <c r="Z324" s="1045">
        <f t="shared" si="74"/>
        <v>0</v>
      </c>
      <c r="AA324" s="994">
        <f t="shared" si="77"/>
        <v>0</v>
      </c>
      <c r="AB324" s="990"/>
      <c r="AC324" s="988">
        <f t="shared" si="78"/>
        <v>0</v>
      </c>
    </row>
    <row r="325" spans="1:29" s="486" customFormat="1">
      <c r="A325" s="1010"/>
      <c r="B325" s="992" t="s">
        <v>5012</v>
      </c>
      <c r="C325" s="991">
        <v>1092</v>
      </c>
      <c r="D325" s="991" t="s">
        <v>1341</v>
      </c>
      <c r="E325" s="991"/>
      <c r="F325" s="1127">
        <f t="shared" si="65"/>
        <v>0</v>
      </c>
      <c r="G325" s="1252"/>
      <c r="H325" s="1127">
        <f t="shared" si="67"/>
        <v>0</v>
      </c>
      <c r="I325" s="996">
        <f t="shared" si="75"/>
        <v>0</v>
      </c>
      <c r="J325" s="1127">
        <f t="shared" si="68"/>
        <v>0</v>
      </c>
      <c r="K325" s="1041"/>
      <c r="L325" s="1127">
        <f t="shared" si="69"/>
        <v>0</v>
      </c>
      <c r="M325" s="995">
        <f t="shared" si="76"/>
        <v>0</v>
      </c>
      <c r="N325" s="1127">
        <f t="shared" si="70"/>
        <v>0</v>
      </c>
      <c r="O325" s="994">
        <f t="shared" si="80"/>
        <v>0</v>
      </c>
      <c r="P325" s="1127">
        <f t="shared" si="71"/>
        <v>0</v>
      </c>
      <c r="Q325" s="1255">
        <f>'Ex. WS'!H90</f>
        <v>74</v>
      </c>
      <c r="R325" s="1127">
        <f t="shared" si="72"/>
        <v>80808</v>
      </c>
      <c r="S325" s="1040"/>
      <c r="T325" s="1131">
        <f t="shared" si="79"/>
        <v>0</v>
      </c>
      <c r="U325" s="994"/>
      <c r="V325" s="994">
        <f>'[4]Ex. WS'!H329</f>
        <v>0</v>
      </c>
      <c r="W325" s="1132">
        <f t="shared" si="66"/>
        <v>74</v>
      </c>
      <c r="X325" s="1045">
        <f t="shared" si="73"/>
        <v>80808</v>
      </c>
      <c r="Y325" s="1132">
        <f>building!Y324</f>
        <v>74</v>
      </c>
      <c r="Z325" s="1045">
        <f t="shared" si="74"/>
        <v>80808</v>
      </c>
      <c r="AA325" s="994">
        <f t="shared" si="77"/>
        <v>88242336</v>
      </c>
      <c r="AB325" s="990"/>
      <c r="AC325" s="988">
        <f t="shared" si="78"/>
        <v>0</v>
      </c>
    </row>
    <row r="326" spans="1:29" s="486" customFormat="1">
      <c r="A326" s="1010"/>
      <c r="B326" s="992" t="s">
        <v>5011</v>
      </c>
      <c r="C326" s="991">
        <v>693</v>
      </c>
      <c r="D326" s="991" t="s">
        <v>1341</v>
      </c>
      <c r="E326" s="991"/>
      <c r="F326" s="1127">
        <f t="shared" si="65"/>
        <v>0</v>
      </c>
      <c r="G326" s="1252"/>
      <c r="H326" s="1127">
        <f t="shared" si="67"/>
        <v>0</v>
      </c>
      <c r="I326" s="996">
        <f t="shared" si="75"/>
        <v>0</v>
      </c>
      <c r="J326" s="1127">
        <f t="shared" si="68"/>
        <v>0</v>
      </c>
      <c r="K326" s="1041"/>
      <c r="L326" s="1127">
        <f t="shared" si="69"/>
        <v>0</v>
      </c>
      <c r="M326" s="995">
        <f t="shared" si="76"/>
        <v>0</v>
      </c>
      <c r="N326" s="1127">
        <f t="shared" si="70"/>
        <v>0</v>
      </c>
      <c r="O326" s="994">
        <f t="shared" si="80"/>
        <v>0</v>
      </c>
      <c r="P326" s="1127">
        <f t="shared" si="71"/>
        <v>0</v>
      </c>
      <c r="Q326" s="1255">
        <f>'Ex. WS'!H97</f>
        <v>40</v>
      </c>
      <c r="R326" s="1127">
        <f t="shared" si="72"/>
        <v>27720</v>
      </c>
      <c r="S326" s="1040"/>
      <c r="T326" s="1131">
        <f t="shared" si="79"/>
        <v>0</v>
      </c>
      <c r="U326" s="994"/>
      <c r="V326" s="994">
        <f>'[4]Ex. WS'!H336</f>
        <v>0</v>
      </c>
      <c r="W326" s="1132">
        <f t="shared" si="66"/>
        <v>40</v>
      </c>
      <c r="X326" s="1045">
        <f t="shared" si="73"/>
        <v>27720</v>
      </c>
      <c r="Y326" s="1132">
        <f>building!Y325</f>
        <v>40</v>
      </c>
      <c r="Z326" s="1045">
        <f t="shared" si="74"/>
        <v>27720</v>
      </c>
      <c r="AA326" s="994">
        <f t="shared" si="77"/>
        <v>19209960</v>
      </c>
      <c r="AB326" s="990"/>
      <c r="AC326" s="988">
        <f t="shared" si="78"/>
        <v>0</v>
      </c>
    </row>
    <row r="327" spans="1:29" s="486" customFormat="1">
      <c r="A327" s="1010"/>
      <c r="B327" s="992"/>
      <c r="C327" s="991"/>
      <c r="D327" s="991"/>
      <c r="E327" s="991"/>
      <c r="F327" s="1127">
        <f t="shared" ref="F327:F362" si="81">E327*C327</f>
        <v>0</v>
      </c>
      <c r="G327" s="1252"/>
      <c r="H327" s="1127">
        <f t="shared" si="67"/>
        <v>0</v>
      </c>
      <c r="I327" s="996">
        <f t="shared" si="75"/>
        <v>0</v>
      </c>
      <c r="J327" s="1127">
        <f t="shared" si="68"/>
        <v>0</v>
      </c>
      <c r="K327" s="1041"/>
      <c r="L327" s="1127">
        <f t="shared" si="69"/>
        <v>0</v>
      </c>
      <c r="M327" s="995">
        <f t="shared" si="76"/>
        <v>0</v>
      </c>
      <c r="N327" s="1127">
        <f t="shared" si="70"/>
        <v>0</v>
      </c>
      <c r="O327" s="994"/>
      <c r="P327" s="1127">
        <f t="shared" si="71"/>
        <v>0</v>
      </c>
      <c r="Q327" s="1255"/>
      <c r="R327" s="1127">
        <f t="shared" si="72"/>
        <v>0</v>
      </c>
      <c r="S327" s="1040"/>
      <c r="T327" s="1131">
        <f t="shared" si="79"/>
        <v>0</v>
      </c>
      <c r="U327" s="994"/>
      <c r="V327" s="994"/>
      <c r="W327" s="1132">
        <f t="shared" ref="W327:W362" si="82">U327+S327+Q327+O327+M327+K327+I327+G327</f>
        <v>0</v>
      </c>
      <c r="X327" s="1045">
        <f t="shared" si="73"/>
        <v>0</v>
      </c>
      <c r="Y327" s="1132">
        <f>building!Y326</f>
        <v>0</v>
      </c>
      <c r="Z327" s="1045">
        <f t="shared" si="74"/>
        <v>0</v>
      </c>
      <c r="AA327" s="994">
        <f t="shared" si="77"/>
        <v>0</v>
      </c>
      <c r="AB327" s="990"/>
      <c r="AC327" s="988">
        <f t="shared" si="78"/>
        <v>0</v>
      </c>
    </row>
    <row r="328" spans="1:29" s="1000" customFormat="1" ht="97.5" customHeight="1">
      <c r="A328" s="1230"/>
      <c r="B328" s="1509" t="s">
        <v>6081</v>
      </c>
      <c r="C328" s="1422">
        <f>'Sub Data'!F96</f>
        <v>43630.559999999998</v>
      </c>
      <c r="D328" s="1422" t="s">
        <v>1341</v>
      </c>
      <c r="E328" s="1392"/>
      <c r="F328" s="1127">
        <f t="shared" si="81"/>
        <v>0</v>
      </c>
      <c r="G328" s="1252"/>
      <c r="H328" s="1127">
        <f t="shared" si="67"/>
        <v>0</v>
      </c>
      <c r="I328" s="996">
        <f t="shared" si="75"/>
        <v>0</v>
      </c>
      <c r="J328" s="1127">
        <f t="shared" si="68"/>
        <v>0</v>
      </c>
      <c r="K328" s="1041"/>
      <c r="L328" s="1127">
        <f t="shared" si="69"/>
        <v>0</v>
      </c>
      <c r="M328" s="995">
        <f t="shared" si="76"/>
        <v>0</v>
      </c>
      <c r="N328" s="1127">
        <f t="shared" si="70"/>
        <v>0</v>
      </c>
      <c r="O328" s="994"/>
      <c r="P328" s="1127">
        <f t="shared" si="71"/>
        <v>0</v>
      </c>
      <c r="Q328" s="1255"/>
      <c r="R328" s="1127">
        <f t="shared" si="72"/>
        <v>0</v>
      </c>
      <c r="S328" s="1040">
        <f>'UG cable'!H7</f>
        <v>1</v>
      </c>
      <c r="T328" s="1131">
        <f t="shared" si="79"/>
        <v>43630.559999999998</v>
      </c>
      <c r="U328" s="994"/>
      <c r="V328" s="994"/>
      <c r="W328" s="1132">
        <f t="shared" si="82"/>
        <v>1</v>
      </c>
      <c r="X328" s="1045">
        <f t="shared" si="73"/>
        <v>43630.559999999998</v>
      </c>
      <c r="Y328" s="1132">
        <f>building!Y327</f>
        <v>1</v>
      </c>
      <c r="Z328" s="1045">
        <f t="shared" si="74"/>
        <v>43630.559999999998</v>
      </c>
      <c r="AA328" s="994">
        <f t="shared" si="77"/>
        <v>1903625765.9100001</v>
      </c>
      <c r="AB328" s="1001"/>
      <c r="AC328" s="988">
        <f t="shared" si="78"/>
        <v>0</v>
      </c>
    </row>
    <row r="329" spans="1:29" s="1000" customFormat="1" ht="59.25" customHeight="1">
      <c r="A329" s="1230"/>
      <c r="B329" s="1509"/>
      <c r="C329" s="1420"/>
      <c r="D329" s="1420"/>
      <c r="E329" s="1394"/>
      <c r="F329" s="1127">
        <f t="shared" si="81"/>
        <v>0</v>
      </c>
      <c r="G329" s="1252"/>
      <c r="H329" s="1127">
        <f t="shared" si="67"/>
        <v>0</v>
      </c>
      <c r="I329" s="996">
        <f t="shared" si="75"/>
        <v>0</v>
      </c>
      <c r="J329" s="1127">
        <f t="shared" si="68"/>
        <v>0</v>
      </c>
      <c r="K329" s="1041"/>
      <c r="L329" s="1127">
        <f t="shared" si="69"/>
        <v>0</v>
      </c>
      <c r="M329" s="995">
        <f t="shared" si="76"/>
        <v>0</v>
      </c>
      <c r="N329" s="1127">
        <f t="shared" si="70"/>
        <v>0</v>
      </c>
      <c r="O329" s="994"/>
      <c r="P329" s="1127">
        <f t="shared" si="71"/>
        <v>0</v>
      </c>
      <c r="Q329" s="1255"/>
      <c r="R329" s="1127">
        <f t="shared" si="72"/>
        <v>0</v>
      </c>
      <c r="S329" s="1040"/>
      <c r="T329" s="1131">
        <f t="shared" si="79"/>
        <v>0</v>
      </c>
      <c r="U329" s="994"/>
      <c r="V329" s="994"/>
      <c r="W329" s="1132">
        <f t="shared" si="82"/>
        <v>0</v>
      </c>
      <c r="X329" s="1045">
        <f t="shared" si="73"/>
        <v>0</v>
      </c>
      <c r="Y329" s="1132">
        <f>building!Y328</f>
        <v>0</v>
      </c>
      <c r="Z329" s="1045">
        <f t="shared" si="74"/>
        <v>0</v>
      </c>
      <c r="AA329" s="994">
        <f t="shared" si="77"/>
        <v>0</v>
      </c>
      <c r="AB329" s="1001"/>
      <c r="AC329" s="988">
        <f t="shared" si="78"/>
        <v>0</v>
      </c>
    </row>
    <row r="330" spans="1:29" s="486" customFormat="1" ht="131.25" customHeight="1">
      <c r="A330" s="1230"/>
      <c r="B330" s="1416" t="s">
        <v>5010</v>
      </c>
      <c r="C330" s="1422"/>
      <c r="D330" s="1422"/>
      <c r="E330" s="1392"/>
      <c r="F330" s="1127">
        <f t="shared" si="81"/>
        <v>0</v>
      </c>
      <c r="G330" s="1252"/>
      <c r="H330" s="1127">
        <f t="shared" si="67"/>
        <v>0</v>
      </c>
      <c r="I330" s="996">
        <f t="shared" si="75"/>
        <v>0</v>
      </c>
      <c r="J330" s="1127">
        <f t="shared" si="68"/>
        <v>0</v>
      </c>
      <c r="K330" s="1041"/>
      <c r="L330" s="1127">
        <f t="shared" si="69"/>
        <v>0</v>
      </c>
      <c r="M330" s="995">
        <f t="shared" si="76"/>
        <v>0</v>
      </c>
      <c r="N330" s="1127">
        <f t="shared" si="70"/>
        <v>0</v>
      </c>
      <c r="O330" s="994"/>
      <c r="P330" s="1127">
        <f t="shared" si="71"/>
        <v>0</v>
      </c>
      <c r="Q330" s="1255"/>
      <c r="R330" s="1127">
        <f t="shared" si="72"/>
        <v>0</v>
      </c>
      <c r="S330" s="1040"/>
      <c r="T330" s="1131">
        <f t="shared" si="79"/>
        <v>0</v>
      </c>
      <c r="U330" s="994"/>
      <c r="V330" s="994"/>
      <c r="W330" s="1132">
        <f t="shared" si="82"/>
        <v>0</v>
      </c>
      <c r="X330" s="1045">
        <f t="shared" si="73"/>
        <v>0</v>
      </c>
      <c r="Y330" s="1132">
        <f>building!Y329</f>
        <v>0</v>
      </c>
      <c r="Z330" s="1045">
        <f t="shared" si="74"/>
        <v>0</v>
      </c>
      <c r="AA330" s="994">
        <f t="shared" si="77"/>
        <v>0</v>
      </c>
      <c r="AB330" s="990"/>
      <c r="AC330" s="988">
        <f t="shared" si="78"/>
        <v>0</v>
      </c>
    </row>
    <row r="331" spans="1:29" s="486" customFormat="1">
      <c r="A331" s="1230"/>
      <c r="B331" s="1510" t="s">
        <v>5009</v>
      </c>
      <c r="C331" s="1422">
        <v>314.7</v>
      </c>
      <c r="D331" s="1422" t="s">
        <v>794</v>
      </c>
      <c r="E331" s="1392"/>
      <c r="F331" s="1127">
        <f t="shared" si="81"/>
        <v>0</v>
      </c>
      <c r="G331" s="1252"/>
      <c r="H331" s="1127">
        <f t="shared" si="67"/>
        <v>0</v>
      </c>
      <c r="I331" s="996">
        <f t="shared" si="75"/>
        <v>0</v>
      </c>
      <c r="J331" s="1127">
        <f t="shared" si="68"/>
        <v>0</v>
      </c>
      <c r="K331" s="1041"/>
      <c r="L331" s="1127">
        <f t="shared" si="69"/>
        <v>0</v>
      </c>
      <c r="M331" s="995">
        <f t="shared" si="76"/>
        <v>0</v>
      </c>
      <c r="N331" s="1127">
        <f t="shared" si="70"/>
        <v>0</v>
      </c>
      <c r="O331" s="994"/>
      <c r="P331" s="1127">
        <f t="shared" si="71"/>
        <v>0</v>
      </c>
      <c r="Q331" s="1255"/>
      <c r="R331" s="1127">
        <f t="shared" si="72"/>
        <v>0</v>
      </c>
      <c r="S331" s="1040">
        <f>'UG cable'!H13</f>
        <v>78.5</v>
      </c>
      <c r="T331" s="1131">
        <f t="shared" si="79"/>
        <v>24703.95</v>
      </c>
      <c r="U331" s="994"/>
      <c r="V331" s="994"/>
      <c r="W331" s="1132">
        <f t="shared" si="82"/>
        <v>78.5</v>
      </c>
      <c r="X331" s="1045">
        <f t="shared" si="73"/>
        <v>24703.95</v>
      </c>
      <c r="Y331" s="1132">
        <f>building!Y330</f>
        <v>78.5</v>
      </c>
      <c r="Z331" s="1045">
        <f t="shared" si="74"/>
        <v>24703.95</v>
      </c>
      <c r="AA331" s="994">
        <f t="shared" si="77"/>
        <v>7774333.0700000003</v>
      </c>
      <c r="AB331" s="990"/>
      <c r="AC331" s="988">
        <f t="shared" si="78"/>
        <v>0</v>
      </c>
    </row>
    <row r="332" spans="1:29" s="486" customFormat="1" ht="40.5">
      <c r="A332" s="1230"/>
      <c r="B332" s="1510"/>
      <c r="C332" s="1420"/>
      <c r="D332" s="1420" t="s">
        <v>5008</v>
      </c>
      <c r="E332" s="1394"/>
      <c r="F332" s="1127">
        <f t="shared" si="81"/>
        <v>0</v>
      </c>
      <c r="G332" s="1252"/>
      <c r="H332" s="1127">
        <f t="shared" ref="H332:H362" si="83">G332*C332</f>
        <v>0</v>
      </c>
      <c r="I332" s="996">
        <f t="shared" si="75"/>
        <v>0</v>
      </c>
      <c r="J332" s="1127">
        <f t="shared" ref="J332:J362" si="84">I332*C332</f>
        <v>0</v>
      </c>
      <c r="K332" s="1041"/>
      <c r="L332" s="1127">
        <f t="shared" ref="L332:L362" si="85">K332*C332</f>
        <v>0</v>
      </c>
      <c r="M332" s="995">
        <f t="shared" si="76"/>
        <v>0</v>
      </c>
      <c r="N332" s="1127">
        <f t="shared" ref="N332:N362" si="86">M332*C332</f>
        <v>0</v>
      </c>
      <c r="O332" s="994"/>
      <c r="P332" s="1127">
        <f t="shared" ref="P332:P362" si="87">O332*C332</f>
        <v>0</v>
      </c>
      <c r="Q332" s="1255"/>
      <c r="R332" s="1127">
        <f t="shared" ref="R332:R362" si="88">Q332*C332</f>
        <v>0</v>
      </c>
      <c r="S332" s="1040"/>
      <c r="T332" s="1131">
        <f t="shared" si="79"/>
        <v>0</v>
      </c>
      <c r="U332" s="994"/>
      <c r="V332" s="994"/>
      <c r="W332" s="1132">
        <f t="shared" si="82"/>
        <v>0</v>
      </c>
      <c r="X332" s="1045">
        <f t="shared" ref="X332:X362" si="89">W332*C332</f>
        <v>0</v>
      </c>
      <c r="Y332" s="1132">
        <f>building!Y331</f>
        <v>0</v>
      </c>
      <c r="Z332" s="1045">
        <f t="shared" ref="Z332:Z362" si="90">Y332*C332</f>
        <v>0</v>
      </c>
      <c r="AA332" s="994">
        <f t="shared" si="77"/>
        <v>0</v>
      </c>
      <c r="AB332" s="990"/>
      <c r="AC332" s="988">
        <f t="shared" si="78"/>
        <v>0</v>
      </c>
    </row>
    <row r="333" spans="1:29" s="486" customFormat="1">
      <c r="A333" s="1230"/>
      <c r="B333" s="1417"/>
      <c r="C333" s="1420"/>
      <c r="D333" s="1422"/>
      <c r="E333" s="1392"/>
      <c r="F333" s="1127">
        <f t="shared" si="81"/>
        <v>0</v>
      </c>
      <c r="G333" s="1252"/>
      <c r="H333" s="1127">
        <f t="shared" si="83"/>
        <v>0</v>
      </c>
      <c r="I333" s="996">
        <f t="shared" si="75"/>
        <v>0</v>
      </c>
      <c r="J333" s="1127">
        <f t="shared" si="84"/>
        <v>0</v>
      </c>
      <c r="K333" s="1041"/>
      <c r="L333" s="1127">
        <f t="shared" si="85"/>
        <v>0</v>
      </c>
      <c r="M333" s="995">
        <f t="shared" si="76"/>
        <v>0</v>
      </c>
      <c r="N333" s="1127">
        <f t="shared" si="86"/>
        <v>0</v>
      </c>
      <c r="O333" s="994"/>
      <c r="P333" s="1127">
        <f t="shared" si="87"/>
        <v>0</v>
      </c>
      <c r="Q333" s="1255"/>
      <c r="R333" s="1127">
        <f t="shared" si="88"/>
        <v>0</v>
      </c>
      <c r="S333" s="1040"/>
      <c r="T333" s="1131">
        <f t="shared" si="79"/>
        <v>0</v>
      </c>
      <c r="U333" s="994"/>
      <c r="V333" s="994"/>
      <c r="W333" s="1132">
        <f t="shared" si="82"/>
        <v>0</v>
      </c>
      <c r="X333" s="1045">
        <f t="shared" si="89"/>
        <v>0</v>
      </c>
      <c r="Y333" s="1132">
        <f>building!Y332</f>
        <v>0</v>
      </c>
      <c r="Z333" s="1045">
        <f t="shared" si="90"/>
        <v>0</v>
      </c>
      <c r="AA333" s="994">
        <f t="shared" si="77"/>
        <v>0</v>
      </c>
      <c r="AB333" s="990"/>
      <c r="AC333" s="988">
        <f t="shared" si="78"/>
        <v>0</v>
      </c>
    </row>
    <row r="334" spans="1:29" s="486" customFormat="1" ht="25.5" customHeight="1">
      <c r="A334" s="1230"/>
      <c r="B334" s="1511" t="s">
        <v>5007</v>
      </c>
      <c r="C334" s="1422">
        <v>61.1</v>
      </c>
      <c r="D334" s="1422" t="s">
        <v>1341</v>
      </c>
      <c r="E334" s="1394"/>
      <c r="F334" s="1127">
        <f t="shared" si="81"/>
        <v>0</v>
      </c>
      <c r="G334" s="1252"/>
      <c r="H334" s="1127">
        <f t="shared" si="83"/>
        <v>0</v>
      </c>
      <c r="I334" s="996">
        <f t="shared" si="75"/>
        <v>0</v>
      </c>
      <c r="J334" s="1127">
        <f t="shared" si="84"/>
        <v>0</v>
      </c>
      <c r="K334" s="1041"/>
      <c r="L334" s="1127">
        <f t="shared" si="85"/>
        <v>0</v>
      </c>
      <c r="M334" s="995">
        <f t="shared" si="76"/>
        <v>0</v>
      </c>
      <c r="N334" s="1127">
        <f t="shared" si="86"/>
        <v>0</v>
      </c>
      <c r="O334" s="994"/>
      <c r="P334" s="1127">
        <f t="shared" si="87"/>
        <v>0</v>
      </c>
      <c r="Q334" s="1255"/>
      <c r="R334" s="1127">
        <f t="shared" si="88"/>
        <v>0</v>
      </c>
      <c r="S334" s="1040">
        <f>'UG cable'!H16</f>
        <v>2</v>
      </c>
      <c r="T334" s="1131">
        <f t="shared" si="79"/>
        <v>122.2</v>
      </c>
      <c r="U334" s="994"/>
      <c r="V334" s="994"/>
      <c r="W334" s="1132">
        <f t="shared" si="82"/>
        <v>2</v>
      </c>
      <c r="X334" s="1045">
        <f t="shared" si="89"/>
        <v>122.2</v>
      </c>
      <c r="Y334" s="1132">
        <f>building!Y333</f>
        <v>2</v>
      </c>
      <c r="Z334" s="1045">
        <f t="shared" si="90"/>
        <v>122.2</v>
      </c>
      <c r="AA334" s="994">
        <f t="shared" si="77"/>
        <v>7466.42</v>
      </c>
      <c r="AB334" s="990"/>
      <c r="AC334" s="988">
        <f t="shared" si="78"/>
        <v>0</v>
      </c>
    </row>
    <row r="335" spans="1:29" s="486" customFormat="1" ht="40.5">
      <c r="A335" s="1230"/>
      <c r="B335" s="1511"/>
      <c r="C335" s="1420"/>
      <c r="D335" s="1420" t="s">
        <v>5006</v>
      </c>
      <c r="E335" s="1392"/>
      <c r="F335" s="1127">
        <f t="shared" si="81"/>
        <v>0</v>
      </c>
      <c r="G335" s="1252"/>
      <c r="H335" s="1127">
        <f t="shared" si="83"/>
        <v>0</v>
      </c>
      <c r="I335" s="996">
        <f t="shared" si="75"/>
        <v>0</v>
      </c>
      <c r="J335" s="1127">
        <f t="shared" si="84"/>
        <v>0</v>
      </c>
      <c r="K335" s="1041"/>
      <c r="L335" s="1127">
        <f t="shared" si="85"/>
        <v>0</v>
      </c>
      <c r="M335" s="995">
        <f t="shared" si="76"/>
        <v>0</v>
      </c>
      <c r="N335" s="1127">
        <f t="shared" si="86"/>
        <v>0</v>
      </c>
      <c r="O335" s="994"/>
      <c r="P335" s="1127">
        <f t="shared" si="87"/>
        <v>0</v>
      </c>
      <c r="Q335" s="1255"/>
      <c r="R335" s="1127">
        <f t="shared" si="88"/>
        <v>0</v>
      </c>
      <c r="S335" s="1040"/>
      <c r="T335" s="1131">
        <f t="shared" si="79"/>
        <v>0</v>
      </c>
      <c r="U335" s="994"/>
      <c r="V335" s="994"/>
      <c r="W335" s="1132">
        <f t="shared" si="82"/>
        <v>0</v>
      </c>
      <c r="X335" s="1045">
        <f t="shared" si="89"/>
        <v>0</v>
      </c>
      <c r="Y335" s="1132">
        <f>building!Y334</f>
        <v>0</v>
      </c>
      <c r="Z335" s="1045">
        <f t="shared" si="90"/>
        <v>0</v>
      </c>
      <c r="AA335" s="994">
        <f t="shared" si="77"/>
        <v>0</v>
      </c>
      <c r="AB335" s="990"/>
      <c r="AC335" s="988">
        <f t="shared" si="78"/>
        <v>0</v>
      </c>
    </row>
    <row r="336" spans="1:29" s="486" customFormat="1" ht="25.5" customHeight="1">
      <c r="A336" s="1230"/>
      <c r="B336" s="1418"/>
      <c r="C336" s="1420"/>
      <c r="D336" s="1422"/>
      <c r="E336" s="1392"/>
      <c r="F336" s="1127">
        <f t="shared" si="81"/>
        <v>0</v>
      </c>
      <c r="G336" s="1252"/>
      <c r="H336" s="1127">
        <f t="shared" si="83"/>
        <v>0</v>
      </c>
      <c r="I336" s="996">
        <f t="shared" ref="I336:I362" si="91">G336+E336</f>
        <v>0</v>
      </c>
      <c r="J336" s="1127">
        <f t="shared" si="84"/>
        <v>0</v>
      </c>
      <c r="K336" s="1041"/>
      <c r="L336" s="1127">
        <f t="shared" si="85"/>
        <v>0</v>
      </c>
      <c r="M336" s="995">
        <f t="shared" ref="M336:M362" si="92">K336*C336</f>
        <v>0</v>
      </c>
      <c r="N336" s="1127">
        <f t="shared" si="86"/>
        <v>0</v>
      </c>
      <c r="O336" s="994"/>
      <c r="P336" s="1127">
        <f t="shared" si="87"/>
        <v>0</v>
      </c>
      <c r="Q336" s="1255"/>
      <c r="R336" s="1127">
        <f t="shared" si="88"/>
        <v>0</v>
      </c>
      <c r="S336" s="1040"/>
      <c r="T336" s="1131">
        <f t="shared" si="79"/>
        <v>0</v>
      </c>
      <c r="U336" s="994"/>
      <c r="V336" s="994"/>
      <c r="W336" s="1132">
        <f t="shared" si="82"/>
        <v>0</v>
      </c>
      <c r="X336" s="1045">
        <f t="shared" si="89"/>
        <v>0</v>
      </c>
      <c r="Y336" s="1132">
        <f>building!Y335</f>
        <v>0</v>
      </c>
      <c r="Z336" s="1045">
        <f t="shared" si="90"/>
        <v>0</v>
      </c>
      <c r="AA336" s="994">
        <f t="shared" ref="AA336:AA362" si="93">Z336*C336</f>
        <v>0</v>
      </c>
      <c r="AB336" s="990"/>
      <c r="AC336" s="988">
        <f t="shared" ref="AC336:AC362" si="94">(F336+H336)-J336</f>
        <v>0</v>
      </c>
    </row>
    <row r="337" spans="1:29" s="486" customFormat="1" ht="121.5">
      <c r="A337" s="1230"/>
      <c r="B337" s="1419" t="s">
        <v>3544</v>
      </c>
      <c r="C337" s="1422">
        <v>457.07</v>
      </c>
      <c r="D337" s="1422" t="s">
        <v>794</v>
      </c>
      <c r="E337" s="1394"/>
      <c r="F337" s="1127">
        <f t="shared" si="81"/>
        <v>0</v>
      </c>
      <c r="G337" s="1252"/>
      <c r="H337" s="1127">
        <f t="shared" si="83"/>
        <v>0</v>
      </c>
      <c r="I337" s="996">
        <f t="shared" si="91"/>
        <v>0</v>
      </c>
      <c r="J337" s="1127">
        <f t="shared" si="84"/>
        <v>0</v>
      </c>
      <c r="K337" s="1041"/>
      <c r="L337" s="1127">
        <f t="shared" si="85"/>
        <v>0</v>
      </c>
      <c r="M337" s="995">
        <f t="shared" si="92"/>
        <v>0</v>
      </c>
      <c r="N337" s="1127">
        <f t="shared" si="86"/>
        <v>0</v>
      </c>
      <c r="O337" s="994"/>
      <c r="P337" s="1127">
        <f t="shared" si="87"/>
        <v>0</v>
      </c>
      <c r="Q337" s="1255"/>
      <c r="R337" s="1127">
        <f t="shared" si="88"/>
        <v>0</v>
      </c>
      <c r="S337" s="1040">
        <f>'UG cable'!H19</f>
        <v>25</v>
      </c>
      <c r="T337" s="1131">
        <f t="shared" si="79"/>
        <v>11426.75</v>
      </c>
      <c r="U337" s="994"/>
      <c r="V337" s="994"/>
      <c r="W337" s="1132">
        <f t="shared" si="82"/>
        <v>25</v>
      </c>
      <c r="X337" s="1045">
        <f t="shared" si="89"/>
        <v>11426.75</v>
      </c>
      <c r="Y337" s="1132">
        <f>building!Y336</f>
        <v>25</v>
      </c>
      <c r="Z337" s="1045">
        <f t="shared" si="90"/>
        <v>11426.75</v>
      </c>
      <c r="AA337" s="994">
        <f t="shared" si="93"/>
        <v>5222824.62</v>
      </c>
      <c r="AB337" s="990"/>
      <c r="AC337" s="988">
        <f t="shared" si="94"/>
        <v>0</v>
      </c>
    </row>
    <row r="338" spans="1:29" s="486" customFormat="1">
      <c r="A338" s="1230"/>
      <c r="B338" s="1419"/>
      <c r="C338" s="1422"/>
      <c r="D338" s="1422"/>
      <c r="E338" s="1392"/>
      <c r="F338" s="1127">
        <f t="shared" si="81"/>
        <v>0</v>
      </c>
      <c r="G338" s="1252"/>
      <c r="H338" s="1127">
        <f t="shared" si="83"/>
        <v>0</v>
      </c>
      <c r="I338" s="996">
        <f t="shared" si="91"/>
        <v>0</v>
      </c>
      <c r="J338" s="1127">
        <f t="shared" si="84"/>
        <v>0</v>
      </c>
      <c r="K338" s="1041"/>
      <c r="L338" s="1127">
        <f t="shared" si="85"/>
        <v>0</v>
      </c>
      <c r="M338" s="995">
        <f t="shared" si="92"/>
        <v>0</v>
      </c>
      <c r="N338" s="1127">
        <f t="shared" si="86"/>
        <v>0</v>
      </c>
      <c r="O338" s="994"/>
      <c r="P338" s="1127">
        <f t="shared" si="87"/>
        <v>0</v>
      </c>
      <c r="Q338" s="1255"/>
      <c r="R338" s="1127">
        <f t="shared" si="88"/>
        <v>0</v>
      </c>
      <c r="S338" s="1040"/>
      <c r="T338" s="1131">
        <f t="shared" si="79"/>
        <v>0</v>
      </c>
      <c r="U338" s="994"/>
      <c r="V338" s="994"/>
      <c r="W338" s="1132">
        <f t="shared" si="82"/>
        <v>0</v>
      </c>
      <c r="X338" s="1045">
        <f t="shared" si="89"/>
        <v>0</v>
      </c>
      <c r="Y338" s="1132">
        <f>building!Y337</f>
        <v>0</v>
      </c>
      <c r="Z338" s="1045">
        <f t="shared" si="90"/>
        <v>0</v>
      </c>
      <c r="AA338" s="994">
        <f t="shared" si="93"/>
        <v>0</v>
      </c>
      <c r="AB338" s="990"/>
      <c r="AC338" s="988">
        <f t="shared" si="94"/>
        <v>0</v>
      </c>
    </row>
    <row r="339" spans="1:29" s="486" customFormat="1" ht="25.5" customHeight="1">
      <c r="A339" s="1230"/>
      <c r="B339" s="1508" t="s">
        <v>6057</v>
      </c>
      <c r="C339" s="1422">
        <v>232.06</v>
      </c>
      <c r="D339" s="1512" t="s">
        <v>794</v>
      </c>
      <c r="E339" s="1392"/>
      <c r="F339" s="1127">
        <f t="shared" si="81"/>
        <v>0</v>
      </c>
      <c r="G339" s="1252"/>
      <c r="H339" s="1127">
        <f t="shared" si="83"/>
        <v>0</v>
      </c>
      <c r="I339" s="996">
        <f t="shared" si="91"/>
        <v>0</v>
      </c>
      <c r="J339" s="1127">
        <f t="shared" si="84"/>
        <v>0</v>
      </c>
      <c r="K339" s="1041"/>
      <c r="L339" s="1127">
        <f t="shared" si="85"/>
        <v>0</v>
      </c>
      <c r="M339" s="995">
        <f t="shared" si="92"/>
        <v>0</v>
      </c>
      <c r="N339" s="1127">
        <f t="shared" si="86"/>
        <v>0</v>
      </c>
      <c r="O339" s="994"/>
      <c r="P339" s="1127">
        <f t="shared" si="87"/>
        <v>0</v>
      </c>
      <c r="Q339" s="1255"/>
      <c r="R339" s="1127">
        <f t="shared" si="88"/>
        <v>0</v>
      </c>
      <c r="S339" s="1040">
        <f>'UG cable'!H23</f>
        <v>70</v>
      </c>
      <c r="T339" s="1131">
        <f t="shared" si="79"/>
        <v>16244.2</v>
      </c>
      <c r="U339" s="994"/>
      <c r="V339" s="994"/>
      <c r="W339" s="1132">
        <f t="shared" si="82"/>
        <v>70</v>
      </c>
      <c r="X339" s="1045">
        <f t="shared" si="89"/>
        <v>16244.2</v>
      </c>
      <c r="Y339" s="1132">
        <f>building!Y338</f>
        <v>70</v>
      </c>
      <c r="Z339" s="1045">
        <f t="shared" si="90"/>
        <v>16244.2</v>
      </c>
      <c r="AA339" s="994">
        <f t="shared" si="93"/>
        <v>3769629.05</v>
      </c>
      <c r="AB339" s="990"/>
      <c r="AC339" s="988">
        <f t="shared" si="94"/>
        <v>0</v>
      </c>
    </row>
    <row r="340" spans="1:29" s="486" customFormat="1" ht="63" customHeight="1">
      <c r="A340" s="1230"/>
      <c r="B340" s="1508"/>
      <c r="C340" s="1420"/>
      <c r="D340" s="1512"/>
      <c r="E340" s="1394"/>
      <c r="F340" s="1127">
        <f t="shared" si="81"/>
        <v>0</v>
      </c>
      <c r="G340" s="1252"/>
      <c r="H340" s="1127">
        <f t="shared" si="83"/>
        <v>0</v>
      </c>
      <c r="I340" s="996">
        <f t="shared" si="91"/>
        <v>0</v>
      </c>
      <c r="J340" s="1127">
        <f t="shared" si="84"/>
        <v>0</v>
      </c>
      <c r="K340" s="1041"/>
      <c r="L340" s="1127">
        <f t="shared" si="85"/>
        <v>0</v>
      </c>
      <c r="M340" s="995">
        <f t="shared" si="92"/>
        <v>0</v>
      </c>
      <c r="N340" s="1127">
        <f t="shared" si="86"/>
        <v>0</v>
      </c>
      <c r="O340" s="994"/>
      <c r="P340" s="1127">
        <f t="shared" si="87"/>
        <v>0</v>
      </c>
      <c r="Q340" s="1255"/>
      <c r="R340" s="1127">
        <f t="shared" si="88"/>
        <v>0</v>
      </c>
      <c r="S340" s="1040"/>
      <c r="T340" s="1131">
        <f t="shared" si="79"/>
        <v>0</v>
      </c>
      <c r="U340" s="994"/>
      <c r="V340" s="994"/>
      <c r="W340" s="1132">
        <f t="shared" si="82"/>
        <v>0</v>
      </c>
      <c r="X340" s="1045">
        <f t="shared" si="89"/>
        <v>0</v>
      </c>
      <c r="Y340" s="1132">
        <f>building!Y339</f>
        <v>0</v>
      </c>
      <c r="Z340" s="1045">
        <f t="shared" si="90"/>
        <v>0</v>
      </c>
      <c r="AA340" s="994">
        <f t="shared" si="93"/>
        <v>0</v>
      </c>
      <c r="AB340" s="990"/>
      <c r="AC340" s="988">
        <f t="shared" si="94"/>
        <v>0</v>
      </c>
    </row>
    <row r="341" spans="1:29" s="486" customFormat="1">
      <c r="A341" s="1230"/>
      <c r="B341" s="1421"/>
      <c r="C341" s="1420"/>
      <c r="D341" s="1420"/>
      <c r="E341" s="1392"/>
      <c r="F341" s="1127">
        <f t="shared" si="81"/>
        <v>0</v>
      </c>
      <c r="G341" s="1252"/>
      <c r="H341" s="1127">
        <f t="shared" si="83"/>
        <v>0</v>
      </c>
      <c r="I341" s="996">
        <f t="shared" si="91"/>
        <v>0</v>
      </c>
      <c r="J341" s="1127">
        <f t="shared" si="84"/>
        <v>0</v>
      </c>
      <c r="K341" s="1041"/>
      <c r="L341" s="1127">
        <f t="shared" si="85"/>
        <v>0</v>
      </c>
      <c r="M341" s="995">
        <f t="shared" si="92"/>
        <v>0</v>
      </c>
      <c r="N341" s="1127">
        <f t="shared" si="86"/>
        <v>0</v>
      </c>
      <c r="O341" s="994"/>
      <c r="P341" s="1127">
        <f t="shared" si="87"/>
        <v>0</v>
      </c>
      <c r="Q341" s="1255"/>
      <c r="R341" s="1127">
        <f t="shared" si="88"/>
        <v>0</v>
      </c>
      <c r="S341" s="1040"/>
      <c r="T341" s="1131">
        <f t="shared" si="79"/>
        <v>0</v>
      </c>
      <c r="U341" s="994"/>
      <c r="V341" s="994"/>
      <c r="W341" s="1132">
        <f t="shared" si="82"/>
        <v>0</v>
      </c>
      <c r="X341" s="1045">
        <f t="shared" si="89"/>
        <v>0</v>
      </c>
      <c r="Y341" s="1132">
        <f>building!Y340</f>
        <v>0</v>
      </c>
      <c r="Z341" s="1045">
        <f t="shared" si="90"/>
        <v>0</v>
      </c>
      <c r="AA341" s="994">
        <f t="shared" si="93"/>
        <v>0</v>
      </c>
      <c r="AB341" s="990"/>
      <c r="AC341" s="988">
        <f t="shared" si="94"/>
        <v>0</v>
      </c>
    </row>
    <row r="342" spans="1:29" s="486" customFormat="1" ht="25.5" customHeight="1">
      <c r="A342" s="1230"/>
      <c r="B342" s="1508" t="s">
        <v>6058</v>
      </c>
      <c r="C342" s="1422">
        <f>C418</f>
        <v>2084</v>
      </c>
      <c r="D342" s="1513" t="s">
        <v>794</v>
      </c>
      <c r="E342" s="1392"/>
      <c r="F342" s="1127">
        <f t="shared" si="81"/>
        <v>0</v>
      </c>
      <c r="G342" s="1252"/>
      <c r="H342" s="1127">
        <f t="shared" si="83"/>
        <v>0</v>
      </c>
      <c r="I342" s="996">
        <f t="shared" si="91"/>
        <v>0</v>
      </c>
      <c r="J342" s="1127">
        <f t="shared" si="84"/>
        <v>0</v>
      </c>
      <c r="K342" s="1041"/>
      <c r="L342" s="1127">
        <f t="shared" si="85"/>
        <v>0</v>
      </c>
      <c r="M342" s="995">
        <f t="shared" si="92"/>
        <v>0</v>
      </c>
      <c r="N342" s="1127">
        <f t="shared" si="86"/>
        <v>0</v>
      </c>
      <c r="O342" s="994"/>
      <c r="P342" s="1127">
        <f t="shared" si="87"/>
        <v>0</v>
      </c>
      <c r="Q342" s="1255"/>
      <c r="R342" s="1127">
        <f t="shared" si="88"/>
        <v>0</v>
      </c>
      <c r="S342" s="1040">
        <f>'UG cable'!H27</f>
        <v>17</v>
      </c>
      <c r="T342" s="1131">
        <f t="shared" si="79"/>
        <v>35428</v>
      </c>
      <c r="U342" s="994"/>
      <c r="V342" s="994"/>
      <c r="W342" s="1132">
        <f t="shared" si="82"/>
        <v>17</v>
      </c>
      <c r="X342" s="1045">
        <f t="shared" si="89"/>
        <v>35428</v>
      </c>
      <c r="Y342" s="1132">
        <f>building!Y341</f>
        <v>17</v>
      </c>
      <c r="Z342" s="1045">
        <f t="shared" si="90"/>
        <v>35428</v>
      </c>
      <c r="AA342" s="994">
        <f t="shared" si="93"/>
        <v>73831952</v>
      </c>
      <c r="AB342" s="990"/>
      <c r="AC342" s="988">
        <f t="shared" si="94"/>
        <v>0</v>
      </c>
    </row>
    <row r="343" spans="1:29" s="486" customFormat="1">
      <c r="A343" s="1230"/>
      <c r="B343" s="1508"/>
      <c r="C343" s="1420"/>
      <c r="D343" s="1513"/>
      <c r="E343" s="1392"/>
      <c r="F343" s="1127">
        <f t="shared" si="81"/>
        <v>0</v>
      </c>
      <c r="G343" s="1252"/>
      <c r="H343" s="1127">
        <f t="shared" si="83"/>
        <v>0</v>
      </c>
      <c r="I343" s="996">
        <f t="shared" si="91"/>
        <v>0</v>
      </c>
      <c r="J343" s="1127">
        <f t="shared" si="84"/>
        <v>0</v>
      </c>
      <c r="K343" s="1041"/>
      <c r="L343" s="1127">
        <f t="shared" si="85"/>
        <v>0</v>
      </c>
      <c r="M343" s="995">
        <f t="shared" si="92"/>
        <v>0</v>
      </c>
      <c r="N343" s="1127">
        <f t="shared" si="86"/>
        <v>0</v>
      </c>
      <c r="O343" s="994"/>
      <c r="P343" s="1127">
        <f t="shared" si="87"/>
        <v>0</v>
      </c>
      <c r="Q343" s="1255"/>
      <c r="R343" s="1127">
        <f t="shared" si="88"/>
        <v>0</v>
      </c>
      <c r="S343" s="1040"/>
      <c r="T343" s="1131">
        <f t="shared" si="79"/>
        <v>0</v>
      </c>
      <c r="U343" s="994"/>
      <c r="V343" s="994"/>
      <c r="W343" s="1132">
        <f t="shared" si="82"/>
        <v>0</v>
      </c>
      <c r="X343" s="1045">
        <f t="shared" si="89"/>
        <v>0</v>
      </c>
      <c r="Y343" s="1132">
        <f>building!Y342</f>
        <v>0</v>
      </c>
      <c r="Z343" s="1045">
        <f t="shared" si="90"/>
        <v>0</v>
      </c>
      <c r="AA343" s="994">
        <f t="shared" si="93"/>
        <v>0</v>
      </c>
      <c r="AB343" s="990"/>
      <c r="AC343" s="988">
        <f t="shared" si="94"/>
        <v>0</v>
      </c>
    </row>
    <row r="344" spans="1:29" s="486" customFormat="1" ht="25.5" customHeight="1">
      <c r="A344" s="1230"/>
      <c r="B344" s="1420"/>
      <c r="C344" s="1420"/>
      <c r="D344" s="1422"/>
      <c r="E344" s="1394"/>
      <c r="F344" s="1127">
        <f t="shared" si="81"/>
        <v>0</v>
      </c>
      <c r="G344" s="1252"/>
      <c r="H344" s="1127">
        <f t="shared" si="83"/>
        <v>0</v>
      </c>
      <c r="I344" s="996">
        <f t="shared" si="91"/>
        <v>0</v>
      </c>
      <c r="J344" s="1127">
        <f t="shared" si="84"/>
        <v>0</v>
      </c>
      <c r="K344" s="1041"/>
      <c r="L344" s="1127">
        <f t="shared" si="85"/>
        <v>0</v>
      </c>
      <c r="M344" s="995">
        <f t="shared" si="92"/>
        <v>0</v>
      </c>
      <c r="N344" s="1127">
        <f t="shared" si="86"/>
        <v>0</v>
      </c>
      <c r="O344" s="994"/>
      <c r="P344" s="1127">
        <f t="shared" si="87"/>
        <v>0</v>
      </c>
      <c r="Q344" s="1255"/>
      <c r="R344" s="1127">
        <f t="shared" si="88"/>
        <v>0</v>
      </c>
      <c r="S344" s="1040"/>
      <c r="T344" s="1131">
        <f t="shared" si="79"/>
        <v>0</v>
      </c>
      <c r="U344" s="994"/>
      <c r="V344" s="994"/>
      <c r="W344" s="1132">
        <f t="shared" si="82"/>
        <v>0</v>
      </c>
      <c r="X344" s="1045">
        <f t="shared" si="89"/>
        <v>0</v>
      </c>
      <c r="Y344" s="1132">
        <f>building!Y343</f>
        <v>0</v>
      </c>
      <c r="Z344" s="1045">
        <f t="shared" si="90"/>
        <v>0</v>
      </c>
      <c r="AA344" s="994">
        <f t="shared" si="93"/>
        <v>0</v>
      </c>
      <c r="AB344" s="990"/>
      <c r="AC344" s="988">
        <f t="shared" si="94"/>
        <v>0</v>
      </c>
    </row>
    <row r="345" spans="1:29" s="486" customFormat="1" ht="40.5" customHeight="1">
      <c r="A345" s="1230"/>
      <c r="B345" s="1508" t="s">
        <v>5005</v>
      </c>
      <c r="C345" s="1422">
        <v>209</v>
      </c>
      <c r="D345" s="1422" t="s">
        <v>794</v>
      </c>
      <c r="E345" s="1394"/>
      <c r="F345" s="1127">
        <f t="shared" si="81"/>
        <v>0</v>
      </c>
      <c r="G345" s="1252"/>
      <c r="H345" s="1127">
        <f t="shared" si="83"/>
        <v>0</v>
      </c>
      <c r="I345" s="996">
        <f t="shared" si="91"/>
        <v>0</v>
      </c>
      <c r="J345" s="1127">
        <f t="shared" si="84"/>
        <v>0</v>
      </c>
      <c r="K345" s="1041"/>
      <c r="L345" s="1127">
        <f t="shared" si="85"/>
        <v>0</v>
      </c>
      <c r="M345" s="995">
        <f t="shared" si="92"/>
        <v>0</v>
      </c>
      <c r="N345" s="1127">
        <f t="shared" si="86"/>
        <v>0</v>
      </c>
      <c r="O345" s="994"/>
      <c r="P345" s="1127">
        <f t="shared" si="87"/>
        <v>0</v>
      </c>
      <c r="Q345" s="1255"/>
      <c r="R345" s="1127">
        <f t="shared" si="88"/>
        <v>0</v>
      </c>
      <c r="S345" s="1040">
        <f>'UG cable'!H31</f>
        <v>76</v>
      </c>
      <c r="T345" s="1131">
        <f t="shared" si="79"/>
        <v>15884</v>
      </c>
      <c r="U345" s="994"/>
      <c r="V345" s="994"/>
      <c r="W345" s="1132">
        <f t="shared" si="82"/>
        <v>76</v>
      </c>
      <c r="X345" s="1045">
        <f t="shared" si="89"/>
        <v>15884</v>
      </c>
      <c r="Y345" s="1132">
        <f>building!Y344</f>
        <v>76</v>
      </c>
      <c r="Z345" s="1045">
        <f t="shared" si="90"/>
        <v>15884</v>
      </c>
      <c r="AA345" s="994">
        <f t="shared" si="93"/>
        <v>3319756</v>
      </c>
      <c r="AB345" s="990"/>
      <c r="AC345" s="988">
        <f t="shared" si="94"/>
        <v>0</v>
      </c>
    </row>
    <row r="346" spans="1:29" s="486" customFormat="1" ht="40.5">
      <c r="A346" s="1230"/>
      <c r="B346" s="1508"/>
      <c r="C346" s="1423"/>
      <c r="D346" s="1420" t="s">
        <v>5004</v>
      </c>
      <c r="E346" s="1394"/>
      <c r="F346" s="1127">
        <f t="shared" si="81"/>
        <v>0</v>
      </c>
      <c r="G346" s="1252"/>
      <c r="H346" s="1127">
        <f t="shared" si="83"/>
        <v>0</v>
      </c>
      <c r="I346" s="996">
        <f t="shared" si="91"/>
        <v>0</v>
      </c>
      <c r="J346" s="1127">
        <f t="shared" si="84"/>
        <v>0</v>
      </c>
      <c r="K346" s="1041"/>
      <c r="L346" s="1127">
        <f t="shared" si="85"/>
        <v>0</v>
      </c>
      <c r="M346" s="995">
        <f t="shared" si="92"/>
        <v>0</v>
      </c>
      <c r="N346" s="1127">
        <f t="shared" si="86"/>
        <v>0</v>
      </c>
      <c r="O346" s="994"/>
      <c r="P346" s="1127">
        <f t="shared" si="87"/>
        <v>0</v>
      </c>
      <c r="Q346" s="1255"/>
      <c r="R346" s="1127">
        <f t="shared" si="88"/>
        <v>0</v>
      </c>
      <c r="S346" s="1040"/>
      <c r="T346" s="1131">
        <f t="shared" si="79"/>
        <v>0</v>
      </c>
      <c r="U346" s="994"/>
      <c r="V346" s="994"/>
      <c r="W346" s="1132">
        <f t="shared" si="82"/>
        <v>0</v>
      </c>
      <c r="X346" s="1045">
        <f t="shared" si="89"/>
        <v>0</v>
      </c>
      <c r="Y346" s="1132">
        <f>building!Y345</f>
        <v>0</v>
      </c>
      <c r="Z346" s="1045">
        <f t="shared" si="90"/>
        <v>0</v>
      </c>
      <c r="AA346" s="994">
        <f t="shared" si="93"/>
        <v>0</v>
      </c>
      <c r="AB346" s="990"/>
      <c r="AC346" s="988">
        <f t="shared" si="94"/>
        <v>0</v>
      </c>
    </row>
    <row r="347" spans="1:29" s="486" customFormat="1" ht="25.5" customHeight="1">
      <c r="A347" s="1230"/>
      <c r="B347" s="1420"/>
      <c r="C347" s="1420"/>
      <c r="D347" s="1422"/>
      <c r="E347" s="1392"/>
      <c r="F347" s="1127">
        <f t="shared" si="81"/>
        <v>0</v>
      </c>
      <c r="G347" s="1252"/>
      <c r="H347" s="1127">
        <f t="shared" si="83"/>
        <v>0</v>
      </c>
      <c r="I347" s="996">
        <f t="shared" si="91"/>
        <v>0</v>
      </c>
      <c r="J347" s="1127">
        <f t="shared" si="84"/>
        <v>0</v>
      </c>
      <c r="K347" s="1041"/>
      <c r="L347" s="1127">
        <f t="shared" si="85"/>
        <v>0</v>
      </c>
      <c r="M347" s="995">
        <f t="shared" si="92"/>
        <v>0</v>
      </c>
      <c r="N347" s="1127">
        <f t="shared" si="86"/>
        <v>0</v>
      </c>
      <c r="O347" s="994"/>
      <c r="P347" s="1127">
        <f t="shared" si="87"/>
        <v>0</v>
      </c>
      <c r="Q347" s="1255"/>
      <c r="R347" s="1127">
        <f t="shared" si="88"/>
        <v>0</v>
      </c>
      <c r="S347" s="1040"/>
      <c r="T347" s="1131">
        <f t="shared" si="79"/>
        <v>0</v>
      </c>
      <c r="U347" s="994"/>
      <c r="V347" s="994"/>
      <c r="W347" s="1132">
        <f t="shared" si="82"/>
        <v>0</v>
      </c>
      <c r="X347" s="1045">
        <f t="shared" si="89"/>
        <v>0</v>
      </c>
      <c r="Y347" s="1132">
        <f>building!Y346</f>
        <v>0</v>
      </c>
      <c r="Z347" s="1045">
        <f t="shared" si="90"/>
        <v>0</v>
      </c>
      <c r="AA347" s="994">
        <f t="shared" si="93"/>
        <v>0</v>
      </c>
      <c r="AB347" s="990"/>
      <c r="AC347" s="988">
        <f t="shared" si="94"/>
        <v>0</v>
      </c>
    </row>
    <row r="348" spans="1:29" s="486" customFormat="1" ht="40.5">
      <c r="A348" s="1230"/>
      <c r="B348" s="1424" t="s">
        <v>5003</v>
      </c>
      <c r="C348" s="1423"/>
      <c r="D348" s="1420" t="s">
        <v>5002</v>
      </c>
      <c r="E348" s="1392"/>
      <c r="F348" s="1127">
        <f t="shared" si="81"/>
        <v>0</v>
      </c>
      <c r="G348" s="1252"/>
      <c r="H348" s="1127">
        <f t="shared" si="83"/>
        <v>0</v>
      </c>
      <c r="I348" s="996">
        <f t="shared" si="91"/>
        <v>0</v>
      </c>
      <c r="J348" s="1127">
        <f t="shared" si="84"/>
        <v>0</v>
      </c>
      <c r="K348" s="1041"/>
      <c r="L348" s="1127">
        <f t="shared" si="85"/>
        <v>0</v>
      </c>
      <c r="M348" s="995">
        <f t="shared" si="92"/>
        <v>0</v>
      </c>
      <c r="N348" s="1127">
        <f t="shared" si="86"/>
        <v>0</v>
      </c>
      <c r="O348" s="994"/>
      <c r="P348" s="1127">
        <f t="shared" si="87"/>
        <v>0</v>
      </c>
      <c r="Q348" s="1255"/>
      <c r="R348" s="1127">
        <f t="shared" si="88"/>
        <v>0</v>
      </c>
      <c r="S348" s="1040"/>
      <c r="T348" s="1131">
        <f t="shared" si="79"/>
        <v>0</v>
      </c>
      <c r="U348" s="994"/>
      <c r="V348" s="994"/>
      <c r="W348" s="1132">
        <f t="shared" si="82"/>
        <v>0</v>
      </c>
      <c r="X348" s="1045">
        <f t="shared" si="89"/>
        <v>0</v>
      </c>
      <c r="Y348" s="1132">
        <f>building!Y347</f>
        <v>0</v>
      </c>
      <c r="Z348" s="1045">
        <f t="shared" si="90"/>
        <v>0</v>
      </c>
      <c r="AA348" s="994">
        <f t="shared" si="93"/>
        <v>0</v>
      </c>
      <c r="AB348" s="990"/>
      <c r="AC348" s="988">
        <f t="shared" si="94"/>
        <v>0</v>
      </c>
    </row>
    <row r="349" spans="1:29" s="486" customFormat="1">
      <c r="A349" s="1230"/>
      <c r="B349" s="997" t="s">
        <v>5001</v>
      </c>
      <c r="C349" s="1422">
        <v>116.3</v>
      </c>
      <c r="D349" s="1422" t="s">
        <v>1341</v>
      </c>
      <c r="E349" s="1392"/>
      <c r="F349" s="1127">
        <f t="shared" si="81"/>
        <v>0</v>
      </c>
      <c r="G349" s="1252"/>
      <c r="H349" s="1127">
        <f t="shared" si="83"/>
        <v>0</v>
      </c>
      <c r="I349" s="996">
        <f t="shared" si="91"/>
        <v>0</v>
      </c>
      <c r="J349" s="1127">
        <f t="shared" si="84"/>
        <v>0</v>
      </c>
      <c r="K349" s="1041"/>
      <c r="L349" s="1127">
        <f t="shared" si="85"/>
        <v>0</v>
      </c>
      <c r="M349" s="995">
        <f t="shared" si="92"/>
        <v>0</v>
      </c>
      <c r="N349" s="1127">
        <f t="shared" si="86"/>
        <v>0</v>
      </c>
      <c r="O349" s="994"/>
      <c r="P349" s="1127">
        <f t="shared" si="87"/>
        <v>0</v>
      </c>
      <c r="Q349" s="1255"/>
      <c r="R349" s="1127">
        <f t="shared" si="88"/>
        <v>0</v>
      </c>
      <c r="S349" s="1040">
        <f>'UG cable'!H34</f>
        <v>10</v>
      </c>
      <c r="T349" s="1131">
        <f t="shared" si="79"/>
        <v>1163</v>
      </c>
      <c r="U349" s="994"/>
      <c r="V349" s="994"/>
      <c r="W349" s="1132">
        <f t="shared" si="82"/>
        <v>10</v>
      </c>
      <c r="X349" s="1045">
        <f t="shared" si="89"/>
        <v>1163</v>
      </c>
      <c r="Y349" s="1132">
        <f>building!Y348</f>
        <v>10</v>
      </c>
      <c r="Z349" s="1045">
        <f t="shared" si="90"/>
        <v>1163</v>
      </c>
      <c r="AA349" s="994">
        <f t="shared" si="93"/>
        <v>135256.9</v>
      </c>
      <c r="AB349" s="990"/>
      <c r="AC349" s="988">
        <f t="shared" si="94"/>
        <v>0</v>
      </c>
    </row>
    <row r="350" spans="1:29" s="486" customFormat="1" ht="25.5" customHeight="1">
      <c r="A350" s="1230"/>
      <c r="B350" s="997" t="s">
        <v>5000</v>
      </c>
      <c r="C350" s="1422">
        <v>69.8</v>
      </c>
      <c r="D350" s="1422" t="s">
        <v>1341</v>
      </c>
      <c r="E350" s="1392"/>
      <c r="F350" s="1127">
        <f t="shared" si="81"/>
        <v>0</v>
      </c>
      <c r="G350" s="1252"/>
      <c r="H350" s="1127">
        <f t="shared" si="83"/>
        <v>0</v>
      </c>
      <c r="I350" s="996">
        <f t="shared" si="91"/>
        <v>0</v>
      </c>
      <c r="J350" s="1127">
        <f t="shared" si="84"/>
        <v>0</v>
      </c>
      <c r="K350" s="1041"/>
      <c r="L350" s="1127">
        <f t="shared" si="85"/>
        <v>0</v>
      </c>
      <c r="M350" s="995">
        <f t="shared" si="92"/>
        <v>0</v>
      </c>
      <c r="N350" s="1127">
        <f t="shared" si="86"/>
        <v>0</v>
      </c>
      <c r="O350" s="994"/>
      <c r="P350" s="1127">
        <f t="shared" si="87"/>
        <v>0</v>
      </c>
      <c r="Q350" s="1255"/>
      <c r="R350" s="1127">
        <f t="shared" si="88"/>
        <v>0</v>
      </c>
      <c r="S350" s="1040">
        <f>'UG cable'!H36</f>
        <v>20</v>
      </c>
      <c r="T350" s="1131">
        <f t="shared" si="79"/>
        <v>1396</v>
      </c>
      <c r="U350" s="994"/>
      <c r="V350" s="994"/>
      <c r="W350" s="1132">
        <f t="shared" si="82"/>
        <v>20</v>
      </c>
      <c r="X350" s="1045">
        <f t="shared" si="89"/>
        <v>1396</v>
      </c>
      <c r="Y350" s="1132">
        <f>building!Y349</f>
        <v>20</v>
      </c>
      <c r="Z350" s="1045">
        <f t="shared" si="90"/>
        <v>1396</v>
      </c>
      <c r="AA350" s="994">
        <f t="shared" si="93"/>
        <v>97440.8</v>
      </c>
      <c r="AB350" s="990"/>
      <c r="AC350" s="988">
        <f t="shared" si="94"/>
        <v>0</v>
      </c>
    </row>
    <row r="351" spans="1:29" s="486" customFormat="1">
      <c r="A351" s="1230"/>
      <c r="B351" s="997"/>
      <c r="C351" s="1422"/>
      <c r="D351" s="1422"/>
      <c r="E351" s="1394"/>
      <c r="F351" s="1127">
        <f t="shared" si="81"/>
        <v>0</v>
      </c>
      <c r="G351" s="1252"/>
      <c r="H351" s="1127">
        <f t="shared" si="83"/>
        <v>0</v>
      </c>
      <c r="I351" s="996">
        <f t="shared" si="91"/>
        <v>0</v>
      </c>
      <c r="J351" s="1127">
        <f t="shared" si="84"/>
        <v>0</v>
      </c>
      <c r="K351" s="1041"/>
      <c r="L351" s="1127">
        <f t="shared" si="85"/>
        <v>0</v>
      </c>
      <c r="M351" s="995">
        <f t="shared" si="92"/>
        <v>0</v>
      </c>
      <c r="N351" s="1127">
        <f t="shared" si="86"/>
        <v>0</v>
      </c>
      <c r="O351" s="994"/>
      <c r="P351" s="1127">
        <f t="shared" si="87"/>
        <v>0</v>
      </c>
      <c r="Q351" s="1255"/>
      <c r="R351" s="1127">
        <f t="shared" si="88"/>
        <v>0</v>
      </c>
      <c r="S351" s="1040"/>
      <c r="T351" s="1131">
        <f t="shared" si="79"/>
        <v>0</v>
      </c>
      <c r="U351" s="994"/>
      <c r="V351" s="994"/>
      <c r="W351" s="1132">
        <f t="shared" si="82"/>
        <v>0</v>
      </c>
      <c r="X351" s="1045">
        <f t="shared" si="89"/>
        <v>0</v>
      </c>
      <c r="Y351" s="1132">
        <f>building!Y350</f>
        <v>0</v>
      </c>
      <c r="Z351" s="1045">
        <f t="shared" si="90"/>
        <v>0</v>
      </c>
      <c r="AA351" s="994">
        <f t="shared" si="93"/>
        <v>0</v>
      </c>
      <c r="AB351" s="990"/>
      <c r="AC351" s="988">
        <f t="shared" si="94"/>
        <v>0</v>
      </c>
    </row>
    <row r="352" spans="1:29" s="486" customFormat="1" ht="81">
      <c r="A352" s="1230"/>
      <c r="B352" s="1419" t="s">
        <v>4999</v>
      </c>
      <c r="C352" s="1422">
        <v>3590</v>
      </c>
      <c r="D352" s="1420" t="s">
        <v>4995</v>
      </c>
      <c r="E352" s="1392"/>
      <c r="F352" s="1127">
        <f t="shared" si="81"/>
        <v>0</v>
      </c>
      <c r="G352" s="1252"/>
      <c r="H352" s="1127">
        <f t="shared" si="83"/>
        <v>0</v>
      </c>
      <c r="I352" s="996">
        <f t="shared" si="91"/>
        <v>0</v>
      </c>
      <c r="J352" s="1127">
        <f t="shared" si="84"/>
        <v>0</v>
      </c>
      <c r="K352" s="1041"/>
      <c r="L352" s="1127">
        <f t="shared" si="85"/>
        <v>0</v>
      </c>
      <c r="M352" s="995">
        <f t="shared" si="92"/>
        <v>0</v>
      </c>
      <c r="N352" s="1127">
        <f t="shared" si="86"/>
        <v>0</v>
      </c>
      <c r="O352" s="994"/>
      <c r="P352" s="1127">
        <f t="shared" si="87"/>
        <v>0</v>
      </c>
      <c r="Q352" s="1255"/>
      <c r="R352" s="1127">
        <f t="shared" si="88"/>
        <v>0</v>
      </c>
      <c r="S352" s="1040">
        <f>'UG cable'!H39</f>
        <v>3</v>
      </c>
      <c r="T352" s="1131">
        <f t="shared" si="79"/>
        <v>10770</v>
      </c>
      <c r="U352" s="994"/>
      <c r="V352" s="994"/>
      <c r="W352" s="1132">
        <f t="shared" si="82"/>
        <v>3</v>
      </c>
      <c r="X352" s="1045">
        <f t="shared" si="89"/>
        <v>10770</v>
      </c>
      <c r="Y352" s="1132">
        <f>building!Y351</f>
        <v>3</v>
      </c>
      <c r="Z352" s="1045">
        <f t="shared" si="90"/>
        <v>10770</v>
      </c>
      <c r="AA352" s="994">
        <f t="shared" si="93"/>
        <v>38664300</v>
      </c>
      <c r="AB352" s="990"/>
      <c r="AC352" s="988">
        <f t="shared" si="94"/>
        <v>0</v>
      </c>
    </row>
    <row r="353" spans="1:36" s="486" customFormat="1" ht="25.5" customHeight="1">
      <c r="A353" s="1230"/>
      <c r="B353" s="1419"/>
      <c r="C353" s="1422"/>
      <c r="D353" s="1420"/>
      <c r="E353" s="1392"/>
      <c r="F353" s="1127">
        <f t="shared" si="81"/>
        <v>0</v>
      </c>
      <c r="G353" s="1252"/>
      <c r="H353" s="1127">
        <f t="shared" si="83"/>
        <v>0</v>
      </c>
      <c r="I353" s="996">
        <f t="shared" si="91"/>
        <v>0</v>
      </c>
      <c r="J353" s="1127">
        <f t="shared" si="84"/>
        <v>0</v>
      </c>
      <c r="K353" s="1041"/>
      <c r="L353" s="1127">
        <f t="shared" si="85"/>
        <v>0</v>
      </c>
      <c r="M353" s="995">
        <f t="shared" si="92"/>
        <v>0</v>
      </c>
      <c r="N353" s="1127">
        <f t="shared" si="86"/>
        <v>0</v>
      </c>
      <c r="O353" s="994"/>
      <c r="P353" s="1127">
        <f t="shared" si="87"/>
        <v>0</v>
      </c>
      <c r="Q353" s="1255"/>
      <c r="R353" s="1127">
        <f t="shared" si="88"/>
        <v>0</v>
      </c>
      <c r="S353" s="1040"/>
      <c r="T353" s="1131">
        <f t="shared" si="79"/>
        <v>0</v>
      </c>
      <c r="U353" s="994"/>
      <c r="V353" s="994"/>
      <c r="W353" s="1132">
        <f t="shared" si="82"/>
        <v>0</v>
      </c>
      <c r="X353" s="1045">
        <f t="shared" si="89"/>
        <v>0</v>
      </c>
      <c r="Y353" s="1132">
        <f>building!Y352</f>
        <v>0</v>
      </c>
      <c r="Z353" s="1045">
        <f t="shared" si="90"/>
        <v>0</v>
      </c>
      <c r="AA353" s="994">
        <f t="shared" si="93"/>
        <v>0</v>
      </c>
      <c r="AB353" s="990"/>
      <c r="AC353" s="988">
        <f t="shared" si="94"/>
        <v>0</v>
      </c>
    </row>
    <row r="354" spans="1:36" s="486" customFormat="1">
      <c r="A354" s="1230"/>
      <c r="B354" s="1425" t="s">
        <v>4998</v>
      </c>
      <c r="C354" s="1422">
        <f>C352</f>
        <v>3590</v>
      </c>
      <c r="D354" s="1422" t="s">
        <v>1341</v>
      </c>
      <c r="E354" s="1394"/>
      <c r="F354" s="1127">
        <f t="shared" si="81"/>
        <v>0</v>
      </c>
      <c r="G354" s="1252"/>
      <c r="H354" s="1127">
        <f t="shared" si="83"/>
        <v>0</v>
      </c>
      <c r="I354" s="996">
        <f t="shared" si="91"/>
        <v>0</v>
      </c>
      <c r="J354" s="1127">
        <f t="shared" si="84"/>
        <v>0</v>
      </c>
      <c r="K354" s="1041"/>
      <c r="L354" s="1127">
        <f t="shared" si="85"/>
        <v>0</v>
      </c>
      <c r="M354" s="995">
        <f t="shared" si="92"/>
        <v>0</v>
      </c>
      <c r="N354" s="1127">
        <f t="shared" si="86"/>
        <v>0</v>
      </c>
      <c r="O354" s="994"/>
      <c r="P354" s="1127">
        <f t="shared" si="87"/>
        <v>0</v>
      </c>
      <c r="Q354" s="1255"/>
      <c r="R354" s="1127">
        <f t="shared" si="88"/>
        <v>0</v>
      </c>
      <c r="S354" s="1040"/>
      <c r="T354" s="1131">
        <f t="shared" si="79"/>
        <v>0</v>
      </c>
      <c r="U354" s="994"/>
      <c r="V354" s="994"/>
      <c r="W354" s="1132">
        <f t="shared" si="82"/>
        <v>0</v>
      </c>
      <c r="X354" s="1045">
        <f t="shared" si="89"/>
        <v>0</v>
      </c>
      <c r="Y354" s="1132">
        <f>building!Y353</f>
        <v>0</v>
      </c>
      <c r="Z354" s="1045">
        <f t="shared" si="90"/>
        <v>0</v>
      </c>
      <c r="AA354" s="994">
        <f t="shared" si="93"/>
        <v>0</v>
      </c>
      <c r="AB354" s="990"/>
      <c r="AC354" s="988">
        <f t="shared" si="94"/>
        <v>0</v>
      </c>
    </row>
    <row r="355" spans="1:36" s="486" customFormat="1">
      <c r="A355" s="1230"/>
      <c r="B355" s="1425"/>
      <c r="C355" s="1422"/>
      <c r="D355" s="1422"/>
      <c r="E355" s="1392"/>
      <c r="F355" s="1127">
        <f t="shared" si="81"/>
        <v>0</v>
      </c>
      <c r="G355" s="1252"/>
      <c r="H355" s="1127">
        <f t="shared" si="83"/>
        <v>0</v>
      </c>
      <c r="I355" s="996">
        <f t="shared" si="91"/>
        <v>0</v>
      </c>
      <c r="J355" s="1127">
        <f t="shared" si="84"/>
        <v>0</v>
      </c>
      <c r="K355" s="1041"/>
      <c r="L355" s="1127">
        <f t="shared" si="85"/>
        <v>0</v>
      </c>
      <c r="M355" s="995">
        <f t="shared" si="92"/>
        <v>0</v>
      </c>
      <c r="N355" s="1127">
        <f t="shared" si="86"/>
        <v>0</v>
      </c>
      <c r="O355" s="994"/>
      <c r="P355" s="1127">
        <f t="shared" si="87"/>
        <v>0</v>
      </c>
      <c r="Q355" s="1255"/>
      <c r="R355" s="1127">
        <f t="shared" si="88"/>
        <v>0</v>
      </c>
      <c r="S355" s="1040"/>
      <c r="T355" s="1131">
        <f t="shared" si="79"/>
        <v>0</v>
      </c>
      <c r="U355" s="994"/>
      <c r="V355" s="994"/>
      <c r="W355" s="1132">
        <f t="shared" si="82"/>
        <v>0</v>
      </c>
      <c r="X355" s="1045">
        <f t="shared" si="89"/>
        <v>0</v>
      </c>
      <c r="Y355" s="1132">
        <f>building!Y354</f>
        <v>0</v>
      </c>
      <c r="Z355" s="1045">
        <f t="shared" si="90"/>
        <v>0</v>
      </c>
      <c r="AA355" s="994">
        <f t="shared" si="93"/>
        <v>0</v>
      </c>
      <c r="AB355" s="990"/>
      <c r="AC355" s="988">
        <f t="shared" si="94"/>
        <v>0</v>
      </c>
    </row>
    <row r="356" spans="1:36" s="486" customFormat="1">
      <c r="A356" s="1230"/>
      <c r="B356" s="1425" t="s">
        <v>4997</v>
      </c>
      <c r="C356" s="1422">
        <v>2745</v>
      </c>
      <c r="D356" s="1422" t="s">
        <v>1341</v>
      </c>
      <c r="E356" s="1394"/>
      <c r="F356" s="1127">
        <f t="shared" si="81"/>
        <v>0</v>
      </c>
      <c r="G356" s="1252"/>
      <c r="H356" s="1127">
        <f t="shared" si="83"/>
        <v>0</v>
      </c>
      <c r="I356" s="996">
        <f t="shared" si="91"/>
        <v>0</v>
      </c>
      <c r="J356" s="1127">
        <f t="shared" si="84"/>
        <v>0</v>
      </c>
      <c r="K356" s="1041"/>
      <c r="L356" s="1127">
        <f t="shared" si="85"/>
        <v>0</v>
      </c>
      <c r="M356" s="995">
        <f t="shared" si="92"/>
        <v>0</v>
      </c>
      <c r="N356" s="1127">
        <f t="shared" si="86"/>
        <v>0</v>
      </c>
      <c r="O356" s="994"/>
      <c r="P356" s="1127">
        <f t="shared" si="87"/>
        <v>0</v>
      </c>
      <c r="Q356" s="1255"/>
      <c r="R356" s="1127">
        <f t="shared" si="88"/>
        <v>0</v>
      </c>
      <c r="S356" s="1040">
        <f>'UG cable'!H45</f>
        <v>3</v>
      </c>
      <c r="T356" s="1131">
        <f t="shared" si="79"/>
        <v>8235</v>
      </c>
      <c r="U356" s="994"/>
      <c r="V356" s="994"/>
      <c r="W356" s="1132">
        <f t="shared" si="82"/>
        <v>3</v>
      </c>
      <c r="X356" s="1045">
        <f t="shared" si="89"/>
        <v>8235</v>
      </c>
      <c r="Y356" s="1132">
        <f>building!Y355</f>
        <v>3</v>
      </c>
      <c r="Z356" s="1045">
        <f t="shared" si="90"/>
        <v>8235</v>
      </c>
      <c r="AA356" s="994">
        <f t="shared" si="93"/>
        <v>22605075</v>
      </c>
      <c r="AB356" s="990"/>
      <c r="AC356" s="988">
        <f t="shared" si="94"/>
        <v>0</v>
      </c>
    </row>
    <row r="357" spans="1:36" s="486" customFormat="1">
      <c r="A357" s="1230"/>
      <c r="B357" s="1425"/>
      <c r="C357" s="1422"/>
      <c r="D357" s="1422"/>
      <c r="E357" s="1392"/>
      <c r="F357" s="1127">
        <f t="shared" si="81"/>
        <v>0</v>
      </c>
      <c r="G357" s="1252"/>
      <c r="H357" s="1127">
        <f t="shared" si="83"/>
        <v>0</v>
      </c>
      <c r="I357" s="996">
        <f t="shared" si="91"/>
        <v>0</v>
      </c>
      <c r="J357" s="1127">
        <f t="shared" si="84"/>
        <v>0</v>
      </c>
      <c r="K357" s="1041"/>
      <c r="L357" s="1127">
        <f t="shared" si="85"/>
        <v>0</v>
      </c>
      <c r="M357" s="995">
        <f t="shared" si="92"/>
        <v>0</v>
      </c>
      <c r="N357" s="1127">
        <f t="shared" si="86"/>
        <v>0</v>
      </c>
      <c r="O357" s="994"/>
      <c r="P357" s="1127">
        <f t="shared" si="87"/>
        <v>0</v>
      </c>
      <c r="Q357" s="1255"/>
      <c r="R357" s="1127">
        <f t="shared" si="88"/>
        <v>0</v>
      </c>
      <c r="S357" s="1040"/>
      <c r="T357" s="1131">
        <f t="shared" si="79"/>
        <v>0</v>
      </c>
      <c r="U357" s="994"/>
      <c r="V357" s="994"/>
      <c r="W357" s="1132">
        <f t="shared" si="82"/>
        <v>0</v>
      </c>
      <c r="X357" s="1045">
        <f t="shared" si="89"/>
        <v>0</v>
      </c>
      <c r="Y357" s="1132">
        <f>building!Y356</f>
        <v>0</v>
      </c>
      <c r="Z357" s="1045">
        <f t="shared" si="90"/>
        <v>0</v>
      </c>
      <c r="AA357" s="994">
        <f t="shared" si="93"/>
        <v>0</v>
      </c>
      <c r="AB357" s="990"/>
      <c r="AC357" s="988">
        <f t="shared" si="94"/>
        <v>0</v>
      </c>
    </row>
    <row r="358" spans="1:36" s="486" customFormat="1">
      <c r="A358" s="1230"/>
      <c r="B358" s="1425" t="s">
        <v>4996</v>
      </c>
      <c r="C358" s="1422">
        <v>374</v>
      </c>
      <c r="D358" s="1422" t="s">
        <v>1341</v>
      </c>
      <c r="E358" s="1392"/>
      <c r="F358" s="1127">
        <f t="shared" si="81"/>
        <v>0</v>
      </c>
      <c r="G358" s="1252"/>
      <c r="H358" s="1127">
        <f t="shared" si="83"/>
        <v>0</v>
      </c>
      <c r="I358" s="996">
        <f t="shared" si="91"/>
        <v>0</v>
      </c>
      <c r="J358" s="1127">
        <f t="shared" si="84"/>
        <v>0</v>
      </c>
      <c r="K358" s="1041"/>
      <c r="L358" s="1127">
        <f t="shared" si="85"/>
        <v>0</v>
      </c>
      <c r="M358" s="995">
        <f t="shared" si="92"/>
        <v>0</v>
      </c>
      <c r="N358" s="1127">
        <f t="shared" si="86"/>
        <v>0</v>
      </c>
      <c r="O358" s="994"/>
      <c r="P358" s="1127">
        <f t="shared" si="87"/>
        <v>0</v>
      </c>
      <c r="Q358" s="1255"/>
      <c r="R358" s="1127">
        <f t="shared" si="88"/>
        <v>0</v>
      </c>
      <c r="S358" s="1040">
        <f>'UG cable'!H48</f>
        <v>18</v>
      </c>
      <c r="T358" s="1131">
        <f t="shared" si="79"/>
        <v>6732</v>
      </c>
      <c r="U358" s="994"/>
      <c r="V358" s="994"/>
      <c r="W358" s="1132">
        <f t="shared" si="82"/>
        <v>18</v>
      </c>
      <c r="X358" s="1045">
        <f t="shared" si="89"/>
        <v>6732</v>
      </c>
      <c r="Y358" s="1132">
        <f>building!Y357</f>
        <v>18</v>
      </c>
      <c r="Z358" s="1045">
        <f t="shared" si="90"/>
        <v>6732</v>
      </c>
      <c r="AA358" s="994">
        <f t="shared" si="93"/>
        <v>2517768</v>
      </c>
      <c r="AB358" s="990"/>
      <c r="AC358" s="988">
        <f t="shared" si="94"/>
        <v>0</v>
      </c>
    </row>
    <row r="359" spans="1:36" s="486" customFormat="1">
      <c r="A359" s="1230"/>
      <c r="B359" s="1425"/>
      <c r="C359" s="1422"/>
      <c r="D359" s="1422"/>
      <c r="E359" s="1392"/>
      <c r="F359" s="1127">
        <f t="shared" si="81"/>
        <v>0</v>
      </c>
      <c r="G359" s="1252"/>
      <c r="H359" s="1127">
        <f t="shared" si="83"/>
        <v>0</v>
      </c>
      <c r="I359" s="996">
        <f t="shared" si="91"/>
        <v>0</v>
      </c>
      <c r="J359" s="1127">
        <f t="shared" si="84"/>
        <v>0</v>
      </c>
      <c r="K359" s="1041"/>
      <c r="L359" s="1127">
        <f t="shared" si="85"/>
        <v>0</v>
      </c>
      <c r="M359" s="995">
        <f t="shared" si="92"/>
        <v>0</v>
      </c>
      <c r="N359" s="1127">
        <f t="shared" si="86"/>
        <v>0</v>
      </c>
      <c r="O359" s="994"/>
      <c r="P359" s="1127">
        <f t="shared" si="87"/>
        <v>0</v>
      </c>
      <c r="Q359" s="1255"/>
      <c r="R359" s="1127">
        <f t="shared" si="88"/>
        <v>0</v>
      </c>
      <c r="S359" s="1040"/>
      <c r="T359" s="1131">
        <f t="shared" si="79"/>
        <v>0</v>
      </c>
      <c r="U359" s="994"/>
      <c r="V359" s="994"/>
      <c r="W359" s="1132">
        <f t="shared" si="82"/>
        <v>0</v>
      </c>
      <c r="X359" s="1045">
        <f t="shared" si="89"/>
        <v>0</v>
      </c>
      <c r="Y359" s="1132">
        <f>building!Y358</f>
        <v>0</v>
      </c>
      <c r="Z359" s="1045">
        <f t="shared" si="90"/>
        <v>0</v>
      </c>
      <c r="AA359" s="994">
        <f t="shared" si="93"/>
        <v>0</v>
      </c>
      <c r="AB359" s="990"/>
      <c r="AC359" s="988">
        <f t="shared" si="94"/>
        <v>0</v>
      </c>
    </row>
    <row r="360" spans="1:36" s="486" customFormat="1">
      <c r="A360" s="1230"/>
      <c r="B360" s="1426" t="s">
        <v>3468</v>
      </c>
      <c r="C360" s="1422">
        <v>2083.67</v>
      </c>
      <c r="D360" s="1422" t="s">
        <v>1341</v>
      </c>
      <c r="E360" s="1392"/>
      <c r="F360" s="1127">
        <f t="shared" si="81"/>
        <v>0</v>
      </c>
      <c r="G360" s="1252"/>
      <c r="H360" s="1127">
        <f t="shared" si="83"/>
        <v>0</v>
      </c>
      <c r="I360" s="996">
        <f t="shared" si="91"/>
        <v>0</v>
      </c>
      <c r="J360" s="1127">
        <f t="shared" si="84"/>
        <v>0</v>
      </c>
      <c r="K360" s="1041"/>
      <c r="L360" s="1127">
        <f t="shared" si="85"/>
        <v>0</v>
      </c>
      <c r="M360" s="995">
        <f t="shared" si="92"/>
        <v>0</v>
      </c>
      <c r="N360" s="1127">
        <f t="shared" si="86"/>
        <v>0</v>
      </c>
      <c r="O360" s="994"/>
      <c r="P360" s="1127">
        <f t="shared" si="87"/>
        <v>0</v>
      </c>
      <c r="Q360" s="1255"/>
      <c r="R360" s="1127">
        <f t="shared" si="88"/>
        <v>0</v>
      </c>
      <c r="S360" s="1040">
        <f>'UG cable'!H51</f>
        <v>1</v>
      </c>
      <c r="T360" s="1131">
        <f t="shared" si="79"/>
        <v>2083.67</v>
      </c>
      <c r="U360" s="994"/>
      <c r="V360" s="994"/>
      <c r="W360" s="1132">
        <f t="shared" si="82"/>
        <v>1</v>
      </c>
      <c r="X360" s="1045">
        <f t="shared" si="89"/>
        <v>2083.67</v>
      </c>
      <c r="Y360" s="1132">
        <f>building!Y359</f>
        <v>1</v>
      </c>
      <c r="Z360" s="1045">
        <f t="shared" si="90"/>
        <v>2083.67</v>
      </c>
      <c r="AA360" s="994">
        <f t="shared" si="93"/>
        <v>4341680.67</v>
      </c>
      <c r="AB360" s="990"/>
      <c r="AC360" s="988">
        <f t="shared" si="94"/>
        <v>0</v>
      </c>
    </row>
    <row r="361" spans="1:36" s="486" customFormat="1">
      <c r="A361" s="1230"/>
      <c r="B361" s="1426"/>
      <c r="C361" s="1422"/>
      <c r="D361" s="1422"/>
      <c r="E361" s="1392"/>
      <c r="F361" s="1127">
        <f t="shared" si="81"/>
        <v>0</v>
      </c>
      <c r="G361" s="1252"/>
      <c r="H361" s="1127">
        <f t="shared" si="83"/>
        <v>0</v>
      </c>
      <c r="I361" s="996">
        <f t="shared" si="91"/>
        <v>0</v>
      </c>
      <c r="J361" s="1127">
        <f t="shared" si="84"/>
        <v>0</v>
      </c>
      <c r="K361" s="1041"/>
      <c r="L361" s="1127">
        <f t="shared" si="85"/>
        <v>0</v>
      </c>
      <c r="M361" s="995">
        <f t="shared" si="92"/>
        <v>0</v>
      </c>
      <c r="N361" s="1127">
        <f t="shared" si="86"/>
        <v>0</v>
      </c>
      <c r="O361" s="994"/>
      <c r="P361" s="1127">
        <f t="shared" si="87"/>
        <v>0</v>
      </c>
      <c r="Q361" s="1255"/>
      <c r="R361" s="1127">
        <f t="shared" si="88"/>
        <v>0</v>
      </c>
      <c r="S361" s="1040"/>
      <c r="T361" s="1131">
        <f t="shared" ref="T361:T362" si="95">S361*C361</f>
        <v>0</v>
      </c>
      <c r="U361" s="994"/>
      <c r="V361" s="994"/>
      <c r="W361" s="1132">
        <f t="shared" si="82"/>
        <v>0</v>
      </c>
      <c r="X361" s="1045">
        <f t="shared" si="89"/>
        <v>0</v>
      </c>
      <c r="Y361" s="1132">
        <f>building!Y360</f>
        <v>0</v>
      </c>
      <c r="Z361" s="1045">
        <f t="shared" si="90"/>
        <v>0</v>
      </c>
      <c r="AA361" s="994">
        <f t="shared" si="93"/>
        <v>0</v>
      </c>
      <c r="AB361" s="990"/>
      <c r="AC361" s="988">
        <f t="shared" si="94"/>
        <v>0</v>
      </c>
    </row>
    <row r="362" spans="1:36" s="486" customFormat="1" ht="40.5">
      <c r="A362" s="1230"/>
      <c r="B362" s="1427" t="s">
        <v>4994</v>
      </c>
      <c r="C362" s="1422">
        <v>885</v>
      </c>
      <c r="D362" s="1420" t="s">
        <v>4993</v>
      </c>
      <c r="E362" s="1392"/>
      <c r="F362" s="1127">
        <f t="shared" si="81"/>
        <v>0</v>
      </c>
      <c r="G362" s="1252"/>
      <c r="H362" s="1127">
        <f t="shared" si="83"/>
        <v>0</v>
      </c>
      <c r="I362" s="996">
        <f t="shared" si="91"/>
        <v>0</v>
      </c>
      <c r="J362" s="1127">
        <f t="shared" si="84"/>
        <v>0</v>
      </c>
      <c r="K362" s="1041"/>
      <c r="L362" s="1127">
        <f t="shared" si="85"/>
        <v>0</v>
      </c>
      <c r="M362" s="995">
        <f t="shared" si="92"/>
        <v>0</v>
      </c>
      <c r="N362" s="1127">
        <f t="shared" si="86"/>
        <v>0</v>
      </c>
      <c r="O362" s="994"/>
      <c r="P362" s="1127">
        <f t="shared" si="87"/>
        <v>0</v>
      </c>
      <c r="Q362" s="1255"/>
      <c r="R362" s="1127">
        <f t="shared" si="88"/>
        <v>0</v>
      </c>
      <c r="S362" s="1040">
        <f>'UG cable'!H55</f>
        <v>3</v>
      </c>
      <c r="T362" s="1131">
        <f t="shared" si="95"/>
        <v>2655</v>
      </c>
      <c r="U362" s="994"/>
      <c r="V362" s="994"/>
      <c r="W362" s="1132">
        <f t="shared" si="82"/>
        <v>3</v>
      </c>
      <c r="X362" s="1045">
        <f t="shared" si="89"/>
        <v>2655</v>
      </c>
      <c r="Y362" s="1132">
        <f>building!Y361</f>
        <v>3</v>
      </c>
      <c r="Z362" s="1045">
        <f t="shared" si="90"/>
        <v>2655</v>
      </c>
      <c r="AA362" s="994">
        <f t="shared" si="93"/>
        <v>2349675</v>
      </c>
      <c r="AB362" s="990"/>
      <c r="AC362" s="988">
        <f t="shared" si="94"/>
        <v>0</v>
      </c>
    </row>
    <row r="363" spans="1:36">
      <c r="A363" s="1010"/>
      <c r="B363" s="1256" t="s">
        <v>2161</v>
      </c>
      <c r="C363" s="1024">
        <f>ROUND(Data!K1209,2)</f>
        <v>0</v>
      </c>
      <c r="D363" s="1257"/>
      <c r="E363" s="1258"/>
      <c r="F363" s="1257">
        <f>SUM(F7:F362)</f>
        <v>26070798.969999999</v>
      </c>
      <c r="G363" s="1257"/>
      <c r="H363" s="1257">
        <f>SUM(H7:H362)</f>
        <v>183231.24</v>
      </c>
      <c r="I363" s="1257"/>
      <c r="J363" s="1257">
        <f>SUM(J7:J362)</f>
        <v>403834.21</v>
      </c>
      <c r="K363" s="1257"/>
      <c r="L363" s="1257">
        <f>SUM(L7:L362)</f>
        <v>215285.95</v>
      </c>
      <c r="M363" s="1257"/>
      <c r="N363" s="1257">
        <f>SUM(N7:N362)</f>
        <v>1678758.17</v>
      </c>
      <c r="O363" s="1257"/>
      <c r="P363" s="1257">
        <f>SUM(P7:P362)</f>
        <v>177198.21</v>
      </c>
      <c r="Q363" s="1257"/>
      <c r="R363" s="1257">
        <f>SUM(R7:R362)</f>
        <v>557643</v>
      </c>
      <c r="S363" s="1259"/>
      <c r="T363" s="1260">
        <f>SUM(T7:T362)+0.01</f>
        <v>180474.34</v>
      </c>
      <c r="U363" s="1260"/>
      <c r="V363" s="1260">
        <f>SUM(V7:V362)</f>
        <v>1178560.42</v>
      </c>
      <c r="W363" s="1132"/>
      <c r="X363" s="1260">
        <f>SUM(X7:X362)</f>
        <v>4574985.53</v>
      </c>
      <c r="Y363" s="1130" t="s">
        <v>2167</v>
      </c>
      <c r="Z363" s="1260">
        <f>SUM(Z7:Z362)</f>
        <v>30645784.420000002</v>
      </c>
      <c r="AA363" s="893"/>
      <c r="AB363" s="890">
        <f>Z363-building!Z362</f>
        <v>0</v>
      </c>
      <c r="AD363" s="780"/>
      <c r="AE363" s="618"/>
      <c r="AF363" s="781"/>
      <c r="AG363" s="868"/>
      <c r="AH363" s="782" t="e">
        <f>AG363*#REF!</f>
        <v>#REF!</v>
      </c>
      <c r="AI363" s="861">
        <f>AG363+AE363</f>
        <v>0</v>
      </c>
      <c r="AJ363" s="618" t="e">
        <f>AI363*#REF!</f>
        <v>#REF!</v>
      </c>
    </row>
    <row r="364" spans="1:36" s="486" customFormat="1">
      <c r="A364" s="1261"/>
      <c r="B364" s="1262"/>
      <c r="C364" s="1263"/>
      <c r="D364" s="1264"/>
      <c r="E364" s="1265"/>
      <c r="F364" s="1264"/>
      <c r="G364" s="1264"/>
      <c r="H364" s="1264"/>
      <c r="I364" s="1264"/>
      <c r="J364" s="1264"/>
      <c r="K364" s="1264"/>
      <c r="L364" s="1264"/>
      <c r="M364" s="1264"/>
      <c r="N364" s="1264"/>
      <c r="O364" s="1264"/>
      <c r="P364" s="1264"/>
      <c r="Q364" s="1264"/>
      <c r="R364" s="1264"/>
      <c r="S364" s="1266"/>
      <c r="T364" s="1131">
        <f t="shared" ref="T364:T427" si="96">S364*C364</f>
        <v>0</v>
      </c>
      <c r="U364" s="1234"/>
      <c r="V364" s="1045">
        <f t="shared" ref="V364:V427" si="97">U364*C364</f>
        <v>0</v>
      </c>
      <c r="W364" s="1132" t="e">
        <f>#REF!+U364+#REF!</f>
        <v>#REF!</v>
      </c>
      <c r="X364" s="1045" t="e">
        <f>W364*C364</f>
        <v>#REF!</v>
      </c>
      <c r="Y364" s="1132" t="e">
        <f>W364+S364+#REF!</f>
        <v>#REF!</v>
      </c>
      <c r="Z364" s="1045" t="e">
        <f>Y364*C364</f>
        <v>#REF!</v>
      </c>
      <c r="AA364" s="892"/>
      <c r="AB364" s="891"/>
    </row>
    <row r="365" spans="1:36" s="486" customFormat="1">
      <c r="A365" s="1261"/>
      <c r="B365" s="1267" t="s">
        <v>1977</v>
      </c>
      <c r="C365" s="1268"/>
      <c r="D365" s="1269" t="s">
        <v>1341</v>
      </c>
      <c r="E365" s="1270"/>
      <c r="F365" s="1269"/>
      <c r="G365" s="1269"/>
      <c r="H365" s="1269"/>
      <c r="I365" s="1269"/>
      <c r="J365" s="1269"/>
      <c r="K365" s="1269"/>
      <c r="L365" s="1269"/>
      <c r="M365" s="1269"/>
      <c r="N365" s="1269"/>
      <c r="O365" s="1269"/>
      <c r="P365" s="1269"/>
      <c r="Q365" s="1269"/>
      <c r="R365" s="1269"/>
      <c r="S365" s="1271"/>
      <c r="T365" s="1131">
        <f t="shared" si="96"/>
        <v>0</v>
      </c>
      <c r="U365" s="1045"/>
      <c r="V365" s="1045">
        <f t="shared" si="97"/>
        <v>0</v>
      </c>
      <c r="W365" s="1132" t="e">
        <f>#REF!+U365+#REF!</f>
        <v>#REF!</v>
      </c>
      <c r="X365" s="1045" t="e">
        <f>W365*C365</f>
        <v>#REF!</v>
      </c>
      <c r="Y365" s="1132" t="e">
        <f>W365+S365+#REF!</f>
        <v>#REF!</v>
      </c>
      <c r="Z365" s="1045" t="e">
        <f>Y365*C365</f>
        <v>#REF!</v>
      </c>
      <c r="AA365" s="892"/>
      <c r="AB365" s="891"/>
    </row>
    <row r="366" spans="1:36" s="486" customFormat="1">
      <c r="A366" s="1261"/>
      <c r="B366" s="1267" t="s">
        <v>565</v>
      </c>
      <c r="C366" s="1268"/>
      <c r="D366" s="1269" t="s">
        <v>1341</v>
      </c>
      <c r="E366" s="1270"/>
      <c r="F366" s="1269"/>
      <c r="G366" s="1269"/>
      <c r="H366" s="1269"/>
      <c r="I366" s="1269"/>
      <c r="J366" s="1269"/>
      <c r="K366" s="1269"/>
      <c r="L366" s="1269"/>
      <c r="M366" s="1269"/>
      <c r="N366" s="1269"/>
      <c r="O366" s="1269"/>
      <c r="P366" s="1269"/>
      <c r="Q366" s="1269"/>
      <c r="R366" s="1269"/>
      <c r="S366" s="1271"/>
      <c r="T366" s="1131">
        <f t="shared" si="96"/>
        <v>0</v>
      </c>
      <c r="U366" s="1045"/>
      <c r="V366" s="1045">
        <f t="shared" si="97"/>
        <v>0</v>
      </c>
      <c r="W366" s="1132" t="e">
        <f>#REF!+U366+#REF!</f>
        <v>#REF!</v>
      </c>
      <c r="X366" s="1045" t="e">
        <f>#REF!+V363+#REF!</f>
        <v>#REF!</v>
      </c>
      <c r="Y366" s="1132" t="e">
        <f>W366+S366+#REF!</f>
        <v>#REF!</v>
      </c>
      <c r="Z366" s="1045" t="e">
        <f>Y366*C366</f>
        <v>#REF!</v>
      </c>
      <c r="AA366" s="892"/>
      <c r="AB366" s="891"/>
    </row>
    <row r="367" spans="1:36" s="486" customFormat="1">
      <c r="A367" s="1261"/>
      <c r="B367" s="1267" t="s">
        <v>566</v>
      </c>
      <c r="C367" s="1268">
        <f>Data!K2495</f>
        <v>4366.33</v>
      </c>
      <c r="D367" s="1264" t="s">
        <v>2199</v>
      </c>
      <c r="E367" s="1265"/>
      <c r="F367" s="1264"/>
      <c r="G367" s="1264"/>
      <c r="H367" s="1264"/>
      <c r="I367" s="1264"/>
      <c r="J367" s="1264"/>
      <c r="K367" s="1264"/>
      <c r="L367" s="1264"/>
      <c r="M367" s="1264"/>
      <c r="N367" s="1264"/>
      <c r="O367" s="1264"/>
      <c r="P367" s="1264"/>
      <c r="Q367" s="1264"/>
      <c r="R367" s="1264"/>
      <c r="S367" s="1266"/>
      <c r="T367" s="1131">
        <f t="shared" si="96"/>
        <v>0</v>
      </c>
      <c r="U367" s="1045"/>
      <c r="V367" s="1045">
        <f t="shared" si="97"/>
        <v>0</v>
      </c>
      <c r="W367" s="1132" t="e">
        <f>#REF!+U367+#REF!</f>
        <v>#REF!</v>
      </c>
      <c r="X367" s="1045" t="e">
        <f>X366-X363</f>
        <v>#REF!</v>
      </c>
      <c r="Y367" s="1132" t="e">
        <f>W367+S367+#REF!</f>
        <v>#REF!</v>
      </c>
      <c r="Z367" s="1045" t="e">
        <f>T363+#REF!+X363</f>
        <v>#REF!</v>
      </c>
      <c r="AA367" s="892"/>
      <c r="AB367" s="891"/>
    </row>
    <row r="368" spans="1:36" s="486" customFormat="1">
      <c r="A368" s="1261"/>
      <c r="B368" s="1267" t="s">
        <v>1834</v>
      </c>
      <c r="C368" s="1268">
        <f>Data!K2518</f>
        <v>4626.8100000000004</v>
      </c>
      <c r="D368" s="1264" t="s">
        <v>2199</v>
      </c>
      <c r="E368" s="1265"/>
      <c r="F368" s="1264"/>
      <c r="G368" s="1264"/>
      <c r="H368" s="1264"/>
      <c r="I368" s="1264"/>
      <c r="J368" s="1264"/>
      <c r="K368" s="1264"/>
      <c r="L368" s="1264"/>
      <c r="M368" s="1264"/>
      <c r="N368" s="1264"/>
      <c r="O368" s="1264"/>
      <c r="P368" s="1264"/>
      <c r="Q368" s="1264"/>
      <c r="R368" s="1264"/>
      <c r="S368" s="1266"/>
      <c r="T368" s="1131">
        <f t="shared" si="96"/>
        <v>0</v>
      </c>
      <c r="U368" s="1045"/>
      <c r="V368" s="1045">
        <f t="shared" si="97"/>
        <v>0</v>
      </c>
      <c r="W368" s="1132" t="e">
        <f>#REF!+U368+#REF!</f>
        <v>#REF!</v>
      </c>
      <c r="X368" s="1045" t="e">
        <f t="shared" ref="X368:X431" si="98">W368*C368</f>
        <v>#REF!</v>
      </c>
      <c r="Y368" s="1132" t="e">
        <f>W368+S368+#REF!</f>
        <v>#REF!</v>
      </c>
      <c r="Z368" s="1045" t="e">
        <f>Z367-Z363</f>
        <v>#REF!</v>
      </c>
      <c r="AA368" s="892"/>
      <c r="AB368" s="891"/>
    </row>
    <row r="369" spans="1:28" s="486" customFormat="1">
      <c r="A369" s="1261"/>
      <c r="B369" s="1267" t="s">
        <v>2124</v>
      </c>
      <c r="C369" s="1268">
        <f>Data!R2583</f>
        <v>3984.57</v>
      </c>
      <c r="D369" s="1264" t="s">
        <v>2199</v>
      </c>
      <c r="E369" s="1265"/>
      <c r="F369" s="1264"/>
      <c r="G369" s="1264"/>
      <c r="H369" s="1264"/>
      <c r="I369" s="1264"/>
      <c r="J369" s="1264"/>
      <c r="K369" s="1264"/>
      <c r="L369" s="1264"/>
      <c r="M369" s="1264"/>
      <c r="N369" s="1264"/>
      <c r="O369" s="1264"/>
      <c r="P369" s="1264"/>
      <c r="Q369" s="1264"/>
      <c r="R369" s="1264"/>
      <c r="S369" s="1266"/>
      <c r="T369" s="1131">
        <f t="shared" si="96"/>
        <v>0</v>
      </c>
      <c r="U369" s="1045"/>
      <c r="V369" s="1045">
        <f t="shared" si="97"/>
        <v>0</v>
      </c>
      <c r="W369" s="1132" t="e">
        <f>#REF!+U369+#REF!</f>
        <v>#REF!</v>
      </c>
      <c r="X369" s="1045" t="e">
        <f t="shared" si="98"/>
        <v>#REF!</v>
      </c>
      <c r="Y369" s="1132" t="e">
        <f>W369+S369+#REF!</f>
        <v>#REF!</v>
      </c>
      <c r="Z369" s="1045" t="e">
        <f t="shared" ref="Z369:Z432" si="99">Y369*C369</f>
        <v>#REF!</v>
      </c>
      <c r="AA369" s="892"/>
      <c r="AB369" s="891"/>
    </row>
    <row r="370" spans="1:28" s="486" customFormat="1">
      <c r="A370" s="1261"/>
      <c r="B370" s="1267" t="s">
        <v>2125</v>
      </c>
      <c r="C370" s="1268"/>
      <c r="D370" s="1264" t="s">
        <v>2199</v>
      </c>
      <c r="E370" s="1265"/>
      <c r="F370" s="1264"/>
      <c r="G370" s="1264"/>
      <c r="H370" s="1264"/>
      <c r="I370" s="1264"/>
      <c r="J370" s="1264"/>
      <c r="K370" s="1264"/>
      <c r="L370" s="1264"/>
      <c r="M370" s="1264"/>
      <c r="N370" s="1264"/>
      <c r="O370" s="1264"/>
      <c r="P370" s="1264"/>
      <c r="Q370" s="1264"/>
      <c r="R370" s="1264"/>
      <c r="S370" s="1266"/>
      <c r="T370" s="1131">
        <f t="shared" si="96"/>
        <v>0</v>
      </c>
      <c r="U370" s="1045"/>
      <c r="V370" s="1045">
        <f t="shared" si="97"/>
        <v>0</v>
      </c>
      <c r="W370" s="1132" t="e">
        <f>#REF!+U370+#REF!</f>
        <v>#REF!</v>
      </c>
      <c r="X370" s="1045" t="e">
        <f t="shared" si="98"/>
        <v>#REF!</v>
      </c>
      <c r="Y370" s="1132" t="e">
        <f>W370+S370+#REF!</f>
        <v>#REF!</v>
      </c>
      <c r="Z370" s="1045" t="e">
        <f t="shared" si="99"/>
        <v>#REF!</v>
      </c>
      <c r="AA370" s="892"/>
      <c r="AB370" s="891"/>
    </row>
    <row r="371" spans="1:28" s="486" customFormat="1">
      <c r="A371" s="1261"/>
      <c r="B371" s="1267" t="s">
        <v>2776</v>
      </c>
      <c r="C371" s="1268"/>
      <c r="D371" s="1264" t="s">
        <v>2199</v>
      </c>
      <c r="E371" s="1265"/>
      <c r="F371" s="1264"/>
      <c r="G371" s="1264"/>
      <c r="H371" s="1264"/>
      <c r="I371" s="1264"/>
      <c r="J371" s="1264"/>
      <c r="K371" s="1264"/>
      <c r="L371" s="1264"/>
      <c r="M371" s="1264"/>
      <c r="N371" s="1264"/>
      <c r="O371" s="1264"/>
      <c r="P371" s="1264"/>
      <c r="Q371" s="1264"/>
      <c r="R371" s="1264"/>
      <c r="S371" s="1266"/>
      <c r="T371" s="1131">
        <f t="shared" si="96"/>
        <v>0</v>
      </c>
      <c r="U371" s="1045"/>
      <c r="V371" s="1045">
        <f t="shared" si="97"/>
        <v>0</v>
      </c>
      <c r="W371" s="1132" t="e">
        <f>#REF!+U371+#REF!</f>
        <v>#REF!</v>
      </c>
      <c r="X371" s="1045" t="e">
        <f t="shared" si="98"/>
        <v>#REF!</v>
      </c>
      <c r="Y371" s="1132" t="e">
        <f>W371+S371+#REF!</f>
        <v>#REF!</v>
      </c>
      <c r="Z371" s="1045" t="e">
        <f t="shared" si="99"/>
        <v>#REF!</v>
      </c>
      <c r="AA371" s="892"/>
      <c r="AB371" s="891"/>
    </row>
    <row r="372" spans="1:28" s="486" customFormat="1" ht="45">
      <c r="A372" s="1261"/>
      <c r="B372" s="1267" t="s">
        <v>644</v>
      </c>
      <c r="C372" s="1268"/>
      <c r="D372" s="1264" t="s">
        <v>2199</v>
      </c>
      <c r="E372" s="1265"/>
      <c r="F372" s="1264"/>
      <c r="G372" s="1264"/>
      <c r="H372" s="1264"/>
      <c r="I372" s="1264"/>
      <c r="J372" s="1264"/>
      <c r="K372" s="1264"/>
      <c r="L372" s="1264"/>
      <c r="M372" s="1264"/>
      <c r="N372" s="1264"/>
      <c r="O372" s="1264"/>
      <c r="P372" s="1264"/>
      <c r="Q372" s="1264"/>
      <c r="R372" s="1264"/>
      <c r="S372" s="1266"/>
      <c r="T372" s="1131">
        <f t="shared" si="96"/>
        <v>0</v>
      </c>
      <c r="U372" s="1045"/>
      <c r="V372" s="1045">
        <f t="shared" si="97"/>
        <v>0</v>
      </c>
      <c r="W372" s="1132" t="e">
        <f>#REF!+U372+#REF!</f>
        <v>#REF!</v>
      </c>
      <c r="X372" s="1045" t="e">
        <f t="shared" si="98"/>
        <v>#REF!</v>
      </c>
      <c r="Y372" s="1132" t="e">
        <f>W372+S372+#REF!</f>
        <v>#REF!</v>
      </c>
      <c r="Z372" s="1045" t="e">
        <f t="shared" si="99"/>
        <v>#REF!</v>
      </c>
      <c r="AA372" s="892"/>
      <c r="AB372" s="891"/>
    </row>
    <row r="373" spans="1:28" s="486" customFormat="1" ht="45">
      <c r="A373" s="1261"/>
      <c r="B373" s="1267" t="s">
        <v>647</v>
      </c>
      <c r="C373" s="1268"/>
      <c r="D373" s="1264" t="s">
        <v>2199</v>
      </c>
      <c r="E373" s="1265"/>
      <c r="F373" s="1264"/>
      <c r="G373" s="1264"/>
      <c r="H373" s="1264"/>
      <c r="I373" s="1264"/>
      <c r="J373" s="1264"/>
      <c r="K373" s="1264"/>
      <c r="L373" s="1264"/>
      <c r="M373" s="1264"/>
      <c r="N373" s="1264"/>
      <c r="O373" s="1264"/>
      <c r="P373" s="1264"/>
      <c r="Q373" s="1264"/>
      <c r="R373" s="1264"/>
      <c r="S373" s="1266"/>
      <c r="T373" s="1131">
        <f t="shared" si="96"/>
        <v>0</v>
      </c>
      <c r="U373" s="1045"/>
      <c r="V373" s="1045">
        <f t="shared" si="97"/>
        <v>0</v>
      </c>
      <c r="W373" s="1132" t="e">
        <f>#REF!+U373+#REF!</f>
        <v>#REF!</v>
      </c>
      <c r="X373" s="1045" t="e">
        <f t="shared" si="98"/>
        <v>#REF!</v>
      </c>
      <c r="Y373" s="1132" t="e">
        <f>W373+S373+#REF!</f>
        <v>#REF!</v>
      </c>
      <c r="Z373" s="1045" t="e">
        <f t="shared" si="99"/>
        <v>#REF!</v>
      </c>
      <c r="AA373" s="892"/>
      <c r="AB373" s="891"/>
    </row>
    <row r="374" spans="1:28" s="486" customFormat="1">
      <c r="A374" s="1261"/>
      <c r="B374" s="1267" t="s">
        <v>567</v>
      </c>
      <c r="C374" s="1268">
        <f>8.2*1500</f>
        <v>12300</v>
      </c>
      <c r="D374" s="1264" t="s">
        <v>1341</v>
      </c>
      <c r="E374" s="1265"/>
      <c r="F374" s="1264"/>
      <c r="G374" s="1264"/>
      <c r="H374" s="1264"/>
      <c r="I374" s="1264"/>
      <c r="J374" s="1264"/>
      <c r="K374" s="1264"/>
      <c r="L374" s="1264"/>
      <c r="M374" s="1264"/>
      <c r="N374" s="1264"/>
      <c r="O374" s="1264"/>
      <c r="P374" s="1264"/>
      <c r="Q374" s="1264"/>
      <c r="R374" s="1264"/>
      <c r="S374" s="1266"/>
      <c r="T374" s="1131">
        <f t="shared" si="96"/>
        <v>0</v>
      </c>
      <c r="U374" s="1045"/>
      <c r="V374" s="1045">
        <f t="shared" si="97"/>
        <v>0</v>
      </c>
      <c r="W374" s="1132" t="e">
        <f>#REF!+U374+#REF!</f>
        <v>#REF!</v>
      </c>
      <c r="X374" s="1045" t="e">
        <f t="shared" si="98"/>
        <v>#REF!</v>
      </c>
      <c r="Y374" s="1132" t="e">
        <f>W374+S374+#REF!</f>
        <v>#REF!</v>
      </c>
      <c r="Z374" s="1045" t="e">
        <f t="shared" si="99"/>
        <v>#REF!</v>
      </c>
      <c r="AA374" s="892"/>
      <c r="AB374" s="891"/>
    </row>
    <row r="375" spans="1:28" s="486" customFormat="1">
      <c r="A375" s="1261"/>
      <c r="B375" s="1267" t="s">
        <v>2388</v>
      </c>
      <c r="C375" s="1268">
        <f>Data!K2438</f>
        <v>1331.17</v>
      </c>
      <c r="D375" s="1264" t="s">
        <v>2199</v>
      </c>
      <c r="E375" s="1265"/>
      <c r="F375" s="1264"/>
      <c r="G375" s="1264"/>
      <c r="H375" s="1264"/>
      <c r="I375" s="1264"/>
      <c r="J375" s="1264"/>
      <c r="K375" s="1264"/>
      <c r="L375" s="1264"/>
      <c r="M375" s="1264"/>
      <c r="N375" s="1264"/>
      <c r="O375" s="1264"/>
      <c r="P375" s="1264"/>
      <c r="Q375" s="1264"/>
      <c r="R375" s="1264"/>
      <c r="S375" s="1266"/>
      <c r="T375" s="1131">
        <f t="shared" si="96"/>
        <v>0</v>
      </c>
      <c r="U375" s="1045"/>
      <c r="V375" s="1045">
        <f t="shared" si="97"/>
        <v>0</v>
      </c>
      <c r="W375" s="1132" t="e">
        <f>#REF!+U375+#REF!</f>
        <v>#REF!</v>
      </c>
      <c r="X375" s="1045" t="e">
        <f t="shared" si="98"/>
        <v>#REF!</v>
      </c>
      <c r="Y375" s="1132" t="e">
        <f>W375+S375+#REF!</f>
        <v>#REF!</v>
      </c>
      <c r="Z375" s="1045" t="e">
        <f t="shared" si="99"/>
        <v>#REF!</v>
      </c>
      <c r="AA375" s="892"/>
      <c r="AB375" s="891"/>
    </row>
    <row r="376" spans="1:28" s="486" customFormat="1">
      <c r="A376" s="1261"/>
      <c r="B376" s="1267" t="s">
        <v>568</v>
      </c>
      <c r="C376" s="1268">
        <f>Data!R1233</f>
        <v>1352.57</v>
      </c>
      <c r="D376" s="1264" t="s">
        <v>2199</v>
      </c>
      <c r="E376" s="1265"/>
      <c r="F376" s="1264"/>
      <c r="G376" s="1264"/>
      <c r="H376" s="1264"/>
      <c r="I376" s="1264"/>
      <c r="J376" s="1264"/>
      <c r="K376" s="1264"/>
      <c r="L376" s="1264"/>
      <c r="M376" s="1264"/>
      <c r="N376" s="1264"/>
      <c r="O376" s="1264"/>
      <c r="P376" s="1264"/>
      <c r="Q376" s="1264"/>
      <c r="R376" s="1264"/>
      <c r="S376" s="1266"/>
      <c r="T376" s="1131">
        <f t="shared" si="96"/>
        <v>0</v>
      </c>
      <c r="U376" s="1045"/>
      <c r="V376" s="1045">
        <f t="shared" si="97"/>
        <v>0</v>
      </c>
      <c r="W376" s="1132" t="e">
        <f>#REF!+U376+#REF!</f>
        <v>#REF!</v>
      </c>
      <c r="X376" s="1045" t="e">
        <f t="shared" si="98"/>
        <v>#REF!</v>
      </c>
      <c r="Y376" s="1132" t="e">
        <f>W376+S376+#REF!</f>
        <v>#REF!</v>
      </c>
      <c r="Z376" s="1045" t="e">
        <f t="shared" si="99"/>
        <v>#REF!</v>
      </c>
      <c r="AA376" s="892"/>
      <c r="AB376" s="891"/>
    </row>
    <row r="377" spans="1:28" s="486" customFormat="1">
      <c r="A377" s="1261"/>
      <c r="B377" s="1267" t="s">
        <v>905</v>
      </c>
      <c r="C377" s="1268">
        <f>Data!R1275</f>
        <v>1147.69</v>
      </c>
      <c r="D377" s="1264" t="s">
        <v>2199</v>
      </c>
      <c r="E377" s="1265"/>
      <c r="F377" s="1264"/>
      <c r="G377" s="1264"/>
      <c r="H377" s="1264"/>
      <c r="I377" s="1264"/>
      <c r="J377" s="1264"/>
      <c r="K377" s="1264"/>
      <c r="L377" s="1264"/>
      <c r="M377" s="1264"/>
      <c r="N377" s="1264"/>
      <c r="O377" s="1264"/>
      <c r="P377" s="1264"/>
      <c r="Q377" s="1264"/>
      <c r="R377" s="1264"/>
      <c r="S377" s="1266"/>
      <c r="T377" s="1131">
        <f t="shared" si="96"/>
        <v>0</v>
      </c>
      <c r="U377" s="1045"/>
      <c r="V377" s="1045">
        <f t="shared" si="97"/>
        <v>0</v>
      </c>
      <c r="W377" s="1132" t="e">
        <f>#REF!+U377+#REF!</f>
        <v>#REF!</v>
      </c>
      <c r="X377" s="1045" t="e">
        <f t="shared" si="98"/>
        <v>#REF!</v>
      </c>
      <c r="Y377" s="1132" t="e">
        <f>W377+S377+#REF!</f>
        <v>#REF!</v>
      </c>
      <c r="Z377" s="1045" t="e">
        <f t="shared" si="99"/>
        <v>#REF!</v>
      </c>
      <c r="AA377" s="892"/>
      <c r="AB377" s="891"/>
    </row>
    <row r="378" spans="1:28" s="486" customFormat="1">
      <c r="A378" s="1261"/>
      <c r="B378" s="1267" t="s">
        <v>1130</v>
      </c>
      <c r="C378" s="1268">
        <f>Data!R2445</f>
        <v>1504.42</v>
      </c>
      <c r="D378" s="1264" t="s">
        <v>2199</v>
      </c>
      <c r="E378" s="1265"/>
      <c r="F378" s="1264"/>
      <c r="G378" s="1264"/>
      <c r="H378" s="1264"/>
      <c r="I378" s="1264"/>
      <c r="J378" s="1264"/>
      <c r="K378" s="1264"/>
      <c r="L378" s="1264"/>
      <c r="M378" s="1264"/>
      <c r="N378" s="1264"/>
      <c r="O378" s="1264"/>
      <c r="P378" s="1264"/>
      <c r="Q378" s="1264"/>
      <c r="R378" s="1264"/>
      <c r="S378" s="1266"/>
      <c r="T378" s="1131">
        <f t="shared" si="96"/>
        <v>0</v>
      </c>
      <c r="U378" s="1045"/>
      <c r="V378" s="1045">
        <f t="shared" si="97"/>
        <v>0</v>
      </c>
      <c r="W378" s="1132" t="e">
        <f>#REF!+U378+#REF!</f>
        <v>#REF!</v>
      </c>
      <c r="X378" s="1045" t="e">
        <f t="shared" si="98"/>
        <v>#REF!</v>
      </c>
      <c r="Y378" s="1132" t="e">
        <f>W378+S378+#REF!</f>
        <v>#REF!</v>
      </c>
      <c r="Z378" s="1045" t="e">
        <f t="shared" si="99"/>
        <v>#REF!</v>
      </c>
      <c r="AA378" s="892"/>
      <c r="AB378" s="891"/>
    </row>
    <row r="379" spans="1:28" s="486" customFormat="1">
      <c r="A379" s="1261"/>
      <c r="B379" s="1267" t="s">
        <v>3025</v>
      </c>
      <c r="C379" s="1268">
        <f>Data!AD1260</f>
        <v>1489.39</v>
      </c>
      <c r="D379" s="1264" t="s">
        <v>2199</v>
      </c>
      <c r="E379" s="1265"/>
      <c r="F379" s="1264"/>
      <c r="G379" s="1264"/>
      <c r="H379" s="1264"/>
      <c r="I379" s="1264"/>
      <c r="J379" s="1264"/>
      <c r="K379" s="1264"/>
      <c r="L379" s="1264"/>
      <c r="M379" s="1264"/>
      <c r="N379" s="1264"/>
      <c r="O379" s="1264"/>
      <c r="P379" s="1264"/>
      <c r="Q379" s="1264"/>
      <c r="R379" s="1264"/>
      <c r="S379" s="1266"/>
      <c r="T379" s="1131">
        <f t="shared" si="96"/>
        <v>0</v>
      </c>
      <c r="U379" s="1045"/>
      <c r="V379" s="1045">
        <f t="shared" si="97"/>
        <v>0</v>
      </c>
      <c r="W379" s="1132" t="e">
        <f>#REF!+U379+#REF!</f>
        <v>#REF!</v>
      </c>
      <c r="X379" s="1045" t="e">
        <f t="shared" si="98"/>
        <v>#REF!</v>
      </c>
      <c r="Y379" s="1132" t="e">
        <f>W379+S379+#REF!</f>
        <v>#REF!</v>
      </c>
      <c r="Z379" s="1045" t="e">
        <f t="shared" si="99"/>
        <v>#REF!</v>
      </c>
      <c r="AA379" s="892"/>
      <c r="AB379" s="891"/>
    </row>
    <row r="380" spans="1:28" s="486" customFormat="1">
      <c r="A380" s="1261"/>
      <c r="B380" s="1272" t="s">
        <v>2122</v>
      </c>
      <c r="C380" s="1263">
        <f>Data!K1445</f>
        <v>243.04</v>
      </c>
      <c r="D380" s="1264" t="s">
        <v>2199</v>
      </c>
      <c r="E380" s="1265"/>
      <c r="F380" s="1264"/>
      <c r="G380" s="1264"/>
      <c r="H380" s="1264"/>
      <c r="I380" s="1264"/>
      <c r="J380" s="1264"/>
      <c r="K380" s="1264"/>
      <c r="L380" s="1264"/>
      <c r="M380" s="1264"/>
      <c r="N380" s="1264"/>
      <c r="O380" s="1264"/>
      <c r="P380" s="1264"/>
      <c r="Q380" s="1264"/>
      <c r="R380" s="1264"/>
      <c r="S380" s="1266"/>
      <c r="T380" s="1131">
        <f t="shared" si="96"/>
        <v>0</v>
      </c>
      <c r="U380" s="1045"/>
      <c r="V380" s="1045">
        <f t="shared" si="97"/>
        <v>0</v>
      </c>
      <c r="W380" s="1132" t="e">
        <f>#REF!+U380+#REF!</f>
        <v>#REF!</v>
      </c>
      <c r="X380" s="1045" t="e">
        <f t="shared" si="98"/>
        <v>#REF!</v>
      </c>
      <c r="Y380" s="1132" t="e">
        <f>W380+S380+#REF!</f>
        <v>#REF!</v>
      </c>
      <c r="Z380" s="1045" t="e">
        <f t="shared" si="99"/>
        <v>#REF!</v>
      </c>
      <c r="AA380" s="892"/>
      <c r="AB380" s="891"/>
    </row>
    <row r="381" spans="1:28" s="486" customFormat="1">
      <c r="A381" s="1261"/>
      <c r="B381" s="1272" t="s">
        <v>2123</v>
      </c>
      <c r="C381" s="1263">
        <f>5000*8.2</f>
        <v>41000</v>
      </c>
      <c r="D381" s="1264" t="s">
        <v>1341</v>
      </c>
      <c r="E381" s="1265"/>
      <c r="F381" s="1264"/>
      <c r="G381" s="1264"/>
      <c r="H381" s="1264"/>
      <c r="I381" s="1264"/>
      <c r="J381" s="1264"/>
      <c r="K381" s="1264"/>
      <c r="L381" s="1264"/>
      <c r="M381" s="1264"/>
      <c r="N381" s="1264"/>
      <c r="O381" s="1264"/>
      <c r="P381" s="1264"/>
      <c r="Q381" s="1264"/>
      <c r="R381" s="1264"/>
      <c r="S381" s="1266"/>
      <c r="T381" s="1131">
        <f t="shared" si="96"/>
        <v>0</v>
      </c>
      <c r="U381" s="1045"/>
      <c r="V381" s="1045">
        <f t="shared" si="97"/>
        <v>0</v>
      </c>
      <c r="W381" s="1132" t="e">
        <f>#REF!+U381+#REF!</f>
        <v>#REF!</v>
      </c>
      <c r="X381" s="1045" t="e">
        <f t="shared" si="98"/>
        <v>#REF!</v>
      </c>
      <c r="Y381" s="1132" t="e">
        <f>W381+S381+#REF!</f>
        <v>#REF!</v>
      </c>
      <c r="Z381" s="1045" t="e">
        <f t="shared" si="99"/>
        <v>#REF!</v>
      </c>
      <c r="AA381" s="892"/>
      <c r="AB381" s="891"/>
    </row>
    <row r="382" spans="1:28" s="486" customFormat="1">
      <c r="A382" s="1261"/>
      <c r="B382" s="1272" t="str">
        <f>Data!O2629</f>
        <v>T.W DOOR SHUTTER TWO LEAVES(1200 X 2100 mm ) with Brass Fittings</v>
      </c>
      <c r="C382" s="1263">
        <f>Data!R2657</f>
        <v>6199.77</v>
      </c>
      <c r="D382" s="1264" t="s">
        <v>2199</v>
      </c>
      <c r="E382" s="1265"/>
      <c r="F382" s="1264"/>
      <c r="G382" s="1264"/>
      <c r="H382" s="1264"/>
      <c r="I382" s="1264"/>
      <c r="J382" s="1264"/>
      <c r="K382" s="1264"/>
      <c r="L382" s="1264"/>
      <c r="M382" s="1264"/>
      <c r="N382" s="1264"/>
      <c r="O382" s="1264"/>
      <c r="P382" s="1264"/>
      <c r="Q382" s="1264"/>
      <c r="R382" s="1264"/>
      <c r="S382" s="1266"/>
      <c r="T382" s="1131">
        <f t="shared" si="96"/>
        <v>0</v>
      </c>
      <c r="U382" s="1045"/>
      <c r="V382" s="1045">
        <f t="shared" si="97"/>
        <v>0</v>
      </c>
      <c r="W382" s="1132" t="e">
        <f>#REF!+U382+#REF!</f>
        <v>#REF!</v>
      </c>
      <c r="X382" s="1045" t="e">
        <f t="shared" si="98"/>
        <v>#REF!</v>
      </c>
      <c r="Y382" s="1132" t="e">
        <f>W382+S382+#REF!</f>
        <v>#REF!</v>
      </c>
      <c r="Z382" s="1045" t="e">
        <f t="shared" si="99"/>
        <v>#REF!</v>
      </c>
      <c r="AA382" s="892"/>
      <c r="AB382" s="891"/>
    </row>
    <row r="383" spans="1:28" s="486" customFormat="1">
      <c r="A383" s="1261"/>
      <c r="B383" s="1272" t="s">
        <v>1684</v>
      </c>
      <c r="C383" s="1263">
        <f>Data!R1127</f>
        <v>5040.1899999999996</v>
      </c>
      <c r="D383" s="1264" t="s">
        <v>2199</v>
      </c>
      <c r="E383" s="1265"/>
      <c r="F383" s="1264"/>
      <c r="G383" s="1264"/>
      <c r="H383" s="1264"/>
      <c r="I383" s="1264"/>
      <c r="J383" s="1264"/>
      <c r="K383" s="1264"/>
      <c r="L383" s="1264"/>
      <c r="M383" s="1264"/>
      <c r="N383" s="1264"/>
      <c r="O383" s="1264"/>
      <c r="P383" s="1264"/>
      <c r="Q383" s="1264"/>
      <c r="R383" s="1264"/>
      <c r="S383" s="1266"/>
      <c r="T383" s="1131">
        <f t="shared" si="96"/>
        <v>0</v>
      </c>
      <c r="U383" s="1045"/>
      <c r="V383" s="1045">
        <f t="shared" si="97"/>
        <v>0</v>
      </c>
      <c r="W383" s="1132" t="e">
        <f>#REF!+U383+#REF!</f>
        <v>#REF!</v>
      </c>
      <c r="X383" s="1045" t="e">
        <f t="shared" si="98"/>
        <v>#REF!</v>
      </c>
      <c r="Y383" s="1132" t="e">
        <f>W383+S383+#REF!</f>
        <v>#REF!</v>
      </c>
      <c r="Z383" s="1045" t="e">
        <f t="shared" si="99"/>
        <v>#REF!</v>
      </c>
      <c r="AA383" s="892"/>
      <c r="AB383" s="891"/>
    </row>
    <row r="384" spans="1:28" s="486" customFormat="1">
      <c r="A384" s="1261"/>
      <c r="B384" s="1272" t="s">
        <v>3265</v>
      </c>
      <c r="C384" s="1263">
        <f>Data!R3206</f>
        <v>6182.41</v>
      </c>
      <c r="D384" s="1264" t="s">
        <v>2199</v>
      </c>
      <c r="E384" s="1265"/>
      <c r="F384" s="1264"/>
      <c r="G384" s="1264"/>
      <c r="H384" s="1264"/>
      <c r="I384" s="1264"/>
      <c r="J384" s="1264"/>
      <c r="K384" s="1264"/>
      <c r="L384" s="1264"/>
      <c r="M384" s="1264"/>
      <c r="N384" s="1264"/>
      <c r="O384" s="1264"/>
      <c r="P384" s="1264"/>
      <c r="Q384" s="1264"/>
      <c r="R384" s="1264"/>
      <c r="S384" s="1266"/>
      <c r="T384" s="1131">
        <f t="shared" si="96"/>
        <v>0</v>
      </c>
      <c r="U384" s="1045"/>
      <c r="V384" s="1045">
        <f t="shared" si="97"/>
        <v>0</v>
      </c>
      <c r="W384" s="1132" t="e">
        <f>#REF!+U384+#REF!</f>
        <v>#REF!</v>
      </c>
      <c r="X384" s="1045" t="e">
        <f t="shared" si="98"/>
        <v>#REF!</v>
      </c>
      <c r="Y384" s="1132" t="e">
        <f>W384+S384+#REF!</f>
        <v>#REF!</v>
      </c>
      <c r="Z384" s="1045" t="e">
        <f t="shared" si="99"/>
        <v>#REF!</v>
      </c>
      <c r="AA384" s="892"/>
      <c r="AB384" s="891"/>
    </row>
    <row r="385" spans="1:28" s="486" customFormat="1">
      <c r="A385" s="1261"/>
      <c r="B385" s="1272" t="s">
        <v>3266</v>
      </c>
      <c r="C385" s="1263">
        <f>Data!R3275</f>
        <v>6164.11</v>
      </c>
      <c r="D385" s="1264" t="s">
        <v>2199</v>
      </c>
      <c r="E385" s="1265"/>
      <c r="F385" s="1264"/>
      <c r="G385" s="1264"/>
      <c r="H385" s="1264"/>
      <c r="I385" s="1264"/>
      <c r="J385" s="1264"/>
      <c r="K385" s="1264"/>
      <c r="L385" s="1264"/>
      <c r="M385" s="1264"/>
      <c r="N385" s="1264"/>
      <c r="O385" s="1264"/>
      <c r="P385" s="1264"/>
      <c r="Q385" s="1264"/>
      <c r="R385" s="1264"/>
      <c r="S385" s="1266"/>
      <c r="T385" s="1131">
        <f t="shared" si="96"/>
        <v>0</v>
      </c>
      <c r="U385" s="1045"/>
      <c r="V385" s="1045">
        <f t="shared" si="97"/>
        <v>0</v>
      </c>
      <c r="W385" s="1132" t="e">
        <f>#REF!+U385+#REF!</f>
        <v>#REF!</v>
      </c>
      <c r="X385" s="1045" t="e">
        <f t="shared" si="98"/>
        <v>#REF!</v>
      </c>
      <c r="Y385" s="1132" t="e">
        <f>W385+S385+#REF!</f>
        <v>#REF!</v>
      </c>
      <c r="Z385" s="1045" t="e">
        <f t="shared" si="99"/>
        <v>#REF!</v>
      </c>
      <c r="AA385" s="892"/>
      <c r="AB385" s="891"/>
    </row>
    <row r="386" spans="1:28" s="486" customFormat="1">
      <c r="A386" s="1261"/>
      <c r="B386" s="1272" t="s">
        <v>3267</v>
      </c>
      <c r="C386" s="1263">
        <f>Data!K3334</f>
        <v>4845.1099999999997</v>
      </c>
      <c r="D386" s="1264" t="s">
        <v>2199</v>
      </c>
      <c r="E386" s="1265"/>
      <c r="F386" s="1264"/>
      <c r="G386" s="1264"/>
      <c r="H386" s="1264"/>
      <c r="I386" s="1264"/>
      <c r="J386" s="1264"/>
      <c r="K386" s="1264"/>
      <c r="L386" s="1264"/>
      <c r="M386" s="1264"/>
      <c r="N386" s="1264"/>
      <c r="O386" s="1264"/>
      <c r="P386" s="1264"/>
      <c r="Q386" s="1264"/>
      <c r="R386" s="1264"/>
      <c r="S386" s="1266"/>
      <c r="T386" s="1131">
        <f t="shared" si="96"/>
        <v>0</v>
      </c>
      <c r="U386" s="1045"/>
      <c r="V386" s="1045">
        <f t="shared" si="97"/>
        <v>0</v>
      </c>
      <c r="W386" s="1132" t="e">
        <f>#REF!+U386+#REF!</f>
        <v>#REF!</v>
      </c>
      <c r="X386" s="1045" t="e">
        <f t="shared" si="98"/>
        <v>#REF!</v>
      </c>
      <c r="Y386" s="1132" t="e">
        <f>W386+S386+#REF!</f>
        <v>#REF!</v>
      </c>
      <c r="Z386" s="1045" t="e">
        <f t="shared" si="99"/>
        <v>#REF!</v>
      </c>
      <c r="AA386" s="892"/>
      <c r="AB386" s="891"/>
    </row>
    <row r="387" spans="1:28" s="486" customFormat="1" ht="67.5">
      <c r="A387" s="1261"/>
      <c r="B387" s="1273" t="s">
        <v>5670</v>
      </c>
      <c r="C387" s="1263">
        <f>Data!R3342</f>
        <v>4942.12</v>
      </c>
      <c r="D387" s="1264" t="s">
        <v>2199</v>
      </c>
      <c r="E387" s="1265"/>
      <c r="F387" s="1264"/>
      <c r="G387" s="1264"/>
      <c r="H387" s="1264"/>
      <c r="I387" s="1264"/>
      <c r="J387" s="1264"/>
      <c r="K387" s="1264"/>
      <c r="L387" s="1264"/>
      <c r="M387" s="1264"/>
      <c r="N387" s="1264"/>
      <c r="O387" s="1264"/>
      <c r="P387" s="1264"/>
      <c r="Q387" s="1264"/>
      <c r="R387" s="1264"/>
      <c r="S387" s="1266"/>
      <c r="T387" s="1131">
        <f t="shared" si="96"/>
        <v>0</v>
      </c>
      <c r="U387" s="1045"/>
      <c r="V387" s="1045">
        <f t="shared" si="97"/>
        <v>0</v>
      </c>
      <c r="W387" s="1132" t="e">
        <f>#REF!+U387+#REF!</f>
        <v>#REF!</v>
      </c>
      <c r="X387" s="1045" t="e">
        <f t="shared" si="98"/>
        <v>#REF!</v>
      </c>
      <c r="Y387" s="1132" t="e">
        <f>W387+S387+#REF!</f>
        <v>#REF!</v>
      </c>
      <c r="Z387" s="1045" t="e">
        <f t="shared" si="99"/>
        <v>#REF!</v>
      </c>
      <c r="AA387" s="892"/>
      <c r="AB387" s="891"/>
    </row>
    <row r="388" spans="1:28" s="486" customFormat="1" ht="67.5">
      <c r="A388" s="1261"/>
      <c r="B388" s="1273" t="s">
        <v>5671</v>
      </c>
      <c r="C388" s="1263">
        <f>Data!R3455</f>
        <v>5792.32</v>
      </c>
      <c r="D388" s="1264" t="s">
        <v>2199</v>
      </c>
      <c r="E388" s="1265"/>
      <c r="F388" s="1264"/>
      <c r="G388" s="1264"/>
      <c r="H388" s="1264"/>
      <c r="I388" s="1264"/>
      <c r="J388" s="1264"/>
      <c r="K388" s="1264"/>
      <c r="L388" s="1264"/>
      <c r="M388" s="1264"/>
      <c r="N388" s="1264"/>
      <c r="O388" s="1264"/>
      <c r="P388" s="1264"/>
      <c r="Q388" s="1264"/>
      <c r="R388" s="1264"/>
      <c r="S388" s="1266"/>
      <c r="T388" s="1131">
        <f t="shared" si="96"/>
        <v>0</v>
      </c>
      <c r="U388" s="1045"/>
      <c r="V388" s="1045">
        <f t="shared" si="97"/>
        <v>0</v>
      </c>
      <c r="W388" s="1132" t="e">
        <f>#REF!+U388+#REF!</f>
        <v>#REF!</v>
      </c>
      <c r="X388" s="1045" t="e">
        <f t="shared" si="98"/>
        <v>#REF!</v>
      </c>
      <c r="Y388" s="1132" t="e">
        <f>W388+S388+#REF!</f>
        <v>#REF!</v>
      </c>
      <c r="Z388" s="1045" t="e">
        <f t="shared" si="99"/>
        <v>#REF!</v>
      </c>
      <c r="AA388" s="892"/>
      <c r="AB388" s="891"/>
    </row>
    <row r="389" spans="1:28" s="486" customFormat="1" ht="45">
      <c r="A389" s="1261"/>
      <c r="B389" s="1267" t="s">
        <v>3847</v>
      </c>
      <c r="C389" s="1263">
        <f>Data!K3437</f>
        <v>5051.6899999999996</v>
      </c>
      <c r="D389" s="1264" t="s">
        <v>2199</v>
      </c>
      <c r="E389" s="1265"/>
      <c r="F389" s="1264"/>
      <c r="G389" s="1264"/>
      <c r="H389" s="1264"/>
      <c r="I389" s="1264"/>
      <c r="J389" s="1264"/>
      <c r="K389" s="1264"/>
      <c r="L389" s="1264"/>
      <c r="M389" s="1264"/>
      <c r="N389" s="1264"/>
      <c r="O389" s="1264"/>
      <c r="P389" s="1264"/>
      <c r="Q389" s="1264"/>
      <c r="R389" s="1264"/>
      <c r="S389" s="1266"/>
      <c r="T389" s="1131">
        <f t="shared" si="96"/>
        <v>0</v>
      </c>
      <c r="U389" s="1045"/>
      <c r="V389" s="1045">
        <f t="shared" si="97"/>
        <v>0</v>
      </c>
      <c r="W389" s="1132" t="e">
        <f>#REF!+U389+#REF!</f>
        <v>#REF!</v>
      </c>
      <c r="X389" s="1045" t="e">
        <f t="shared" si="98"/>
        <v>#REF!</v>
      </c>
      <c r="Y389" s="1132" t="e">
        <f>W389+S389+#REF!</f>
        <v>#REF!</v>
      </c>
      <c r="Z389" s="1045" t="e">
        <f t="shared" si="99"/>
        <v>#REF!</v>
      </c>
      <c r="AA389" s="892"/>
      <c r="AB389" s="891"/>
    </row>
    <row r="390" spans="1:28" s="486" customFormat="1">
      <c r="A390" s="1261"/>
      <c r="B390" s="1272" t="s">
        <v>3268</v>
      </c>
      <c r="C390" s="1263">
        <f>Data!R3377</f>
        <v>5522.66</v>
      </c>
      <c r="D390" s="1264" t="s">
        <v>2199</v>
      </c>
      <c r="E390" s="1265"/>
      <c r="F390" s="1264"/>
      <c r="G390" s="1264"/>
      <c r="H390" s="1264"/>
      <c r="I390" s="1264"/>
      <c r="J390" s="1264"/>
      <c r="K390" s="1264"/>
      <c r="L390" s="1264"/>
      <c r="M390" s="1264"/>
      <c r="N390" s="1264"/>
      <c r="O390" s="1264"/>
      <c r="P390" s="1264"/>
      <c r="Q390" s="1264"/>
      <c r="R390" s="1264"/>
      <c r="S390" s="1266"/>
      <c r="T390" s="1131">
        <f t="shared" si="96"/>
        <v>0</v>
      </c>
      <c r="U390" s="1045"/>
      <c r="V390" s="1045">
        <f t="shared" si="97"/>
        <v>0</v>
      </c>
      <c r="W390" s="1132" t="e">
        <f>#REF!+U390+#REF!</f>
        <v>#REF!</v>
      </c>
      <c r="X390" s="1045" t="e">
        <f t="shared" si="98"/>
        <v>#REF!</v>
      </c>
      <c r="Y390" s="1132" t="e">
        <f>W390+S390+#REF!</f>
        <v>#REF!</v>
      </c>
      <c r="Z390" s="1045" t="e">
        <f t="shared" si="99"/>
        <v>#REF!</v>
      </c>
      <c r="AA390" s="892"/>
      <c r="AB390" s="891"/>
    </row>
    <row r="391" spans="1:28" s="486" customFormat="1">
      <c r="A391" s="1261"/>
      <c r="B391" s="1272" t="s">
        <v>3269</v>
      </c>
      <c r="C391" s="1263">
        <f>Data!R3411</f>
        <v>4897.2299999999996</v>
      </c>
      <c r="D391" s="1264" t="s">
        <v>2199</v>
      </c>
      <c r="E391" s="1265"/>
      <c r="F391" s="1264"/>
      <c r="G391" s="1264"/>
      <c r="H391" s="1264"/>
      <c r="I391" s="1264"/>
      <c r="J391" s="1264"/>
      <c r="K391" s="1264"/>
      <c r="L391" s="1264"/>
      <c r="M391" s="1264"/>
      <c r="N391" s="1264"/>
      <c r="O391" s="1264"/>
      <c r="P391" s="1264"/>
      <c r="Q391" s="1264"/>
      <c r="R391" s="1264"/>
      <c r="S391" s="1266"/>
      <c r="T391" s="1131">
        <f t="shared" si="96"/>
        <v>0</v>
      </c>
      <c r="U391" s="1045"/>
      <c r="V391" s="1045">
        <f t="shared" si="97"/>
        <v>0</v>
      </c>
      <c r="W391" s="1132" t="e">
        <f>#REF!+U391+#REF!</f>
        <v>#REF!</v>
      </c>
      <c r="X391" s="1045" t="e">
        <f t="shared" si="98"/>
        <v>#REF!</v>
      </c>
      <c r="Y391" s="1132" t="e">
        <f>W391+S391+#REF!</f>
        <v>#REF!</v>
      </c>
      <c r="Z391" s="1045" t="e">
        <f t="shared" si="99"/>
        <v>#REF!</v>
      </c>
      <c r="AA391" s="892"/>
      <c r="AB391" s="891"/>
    </row>
    <row r="392" spans="1:28" s="486" customFormat="1">
      <c r="A392" s="1261"/>
      <c r="B392" s="1272" t="s">
        <v>3270</v>
      </c>
      <c r="C392" s="1263">
        <f>Data!R3308</f>
        <v>5445.16</v>
      </c>
      <c r="D392" s="1264" t="s">
        <v>2199</v>
      </c>
      <c r="E392" s="1265"/>
      <c r="F392" s="1264"/>
      <c r="G392" s="1264"/>
      <c r="H392" s="1264"/>
      <c r="I392" s="1264"/>
      <c r="J392" s="1264"/>
      <c r="K392" s="1264"/>
      <c r="L392" s="1264"/>
      <c r="M392" s="1264"/>
      <c r="N392" s="1264"/>
      <c r="O392" s="1264"/>
      <c r="P392" s="1264"/>
      <c r="Q392" s="1264"/>
      <c r="R392" s="1264"/>
      <c r="S392" s="1266"/>
      <c r="T392" s="1131">
        <f t="shared" si="96"/>
        <v>0</v>
      </c>
      <c r="U392" s="1045"/>
      <c r="V392" s="1045">
        <f t="shared" si="97"/>
        <v>0</v>
      </c>
      <c r="W392" s="1132" t="e">
        <f>#REF!+U392+#REF!</f>
        <v>#REF!</v>
      </c>
      <c r="X392" s="1045" t="e">
        <f t="shared" si="98"/>
        <v>#REF!</v>
      </c>
      <c r="Y392" s="1132" t="e">
        <f>W392+S392+#REF!</f>
        <v>#REF!</v>
      </c>
      <c r="Z392" s="1045" t="e">
        <f t="shared" si="99"/>
        <v>#REF!</v>
      </c>
      <c r="AA392" s="892"/>
      <c r="AB392" s="891"/>
    </row>
    <row r="393" spans="1:28" s="486" customFormat="1">
      <c r="A393" s="1261"/>
      <c r="B393" s="1272" t="s">
        <v>3271</v>
      </c>
      <c r="C393" s="1263">
        <f>Data!R3342</f>
        <v>4942.12</v>
      </c>
      <c r="D393" s="1264" t="s">
        <v>2199</v>
      </c>
      <c r="E393" s="1265"/>
      <c r="F393" s="1264"/>
      <c r="G393" s="1264"/>
      <c r="H393" s="1264"/>
      <c r="I393" s="1264"/>
      <c r="J393" s="1264"/>
      <c r="K393" s="1264"/>
      <c r="L393" s="1264"/>
      <c r="M393" s="1264"/>
      <c r="N393" s="1264"/>
      <c r="O393" s="1264"/>
      <c r="P393" s="1264"/>
      <c r="Q393" s="1264"/>
      <c r="R393" s="1264"/>
      <c r="S393" s="1266"/>
      <c r="T393" s="1131">
        <f t="shared" si="96"/>
        <v>0</v>
      </c>
      <c r="U393" s="1045"/>
      <c r="V393" s="1045">
        <f t="shared" si="97"/>
        <v>0</v>
      </c>
      <c r="W393" s="1132" t="e">
        <f>#REF!+U393+#REF!</f>
        <v>#REF!</v>
      </c>
      <c r="X393" s="1045" t="e">
        <f t="shared" si="98"/>
        <v>#REF!</v>
      </c>
      <c r="Y393" s="1132" t="e">
        <f>W393+S393+#REF!</f>
        <v>#REF!</v>
      </c>
      <c r="Z393" s="1045" t="e">
        <f t="shared" si="99"/>
        <v>#REF!</v>
      </c>
      <c r="AA393" s="892"/>
      <c r="AB393" s="891"/>
    </row>
    <row r="394" spans="1:28" s="486" customFormat="1">
      <c r="A394" s="1261"/>
      <c r="B394" s="1272" t="s">
        <v>3017</v>
      </c>
      <c r="C394" s="1263">
        <f>Elec.Data!K3481</f>
        <v>1242.21</v>
      </c>
      <c r="D394" s="1264" t="s">
        <v>1341</v>
      </c>
      <c r="E394" s="1265"/>
      <c r="F394" s="1264"/>
      <c r="G394" s="1264"/>
      <c r="H394" s="1264"/>
      <c r="I394" s="1264"/>
      <c r="J394" s="1264"/>
      <c r="K394" s="1264"/>
      <c r="L394" s="1264"/>
      <c r="M394" s="1264"/>
      <c r="N394" s="1264"/>
      <c r="O394" s="1264"/>
      <c r="P394" s="1264"/>
      <c r="Q394" s="1264"/>
      <c r="R394" s="1264"/>
      <c r="S394" s="1266"/>
      <c r="T394" s="1131">
        <f t="shared" si="96"/>
        <v>0</v>
      </c>
      <c r="U394" s="1045"/>
      <c r="V394" s="1045">
        <f t="shared" si="97"/>
        <v>0</v>
      </c>
      <c r="W394" s="1132" t="e">
        <f>#REF!+U394+#REF!</f>
        <v>#REF!</v>
      </c>
      <c r="X394" s="1045" t="e">
        <f t="shared" si="98"/>
        <v>#REF!</v>
      </c>
      <c r="Y394" s="1132" t="e">
        <f>W394+S394+#REF!</f>
        <v>#REF!</v>
      </c>
      <c r="Z394" s="1045" t="e">
        <f t="shared" si="99"/>
        <v>#REF!</v>
      </c>
      <c r="AA394" s="892"/>
      <c r="AB394" s="891"/>
    </row>
    <row r="395" spans="1:28" s="486" customFormat="1">
      <c r="A395" s="1261"/>
      <c r="B395" s="1272" t="s">
        <v>3018</v>
      </c>
      <c r="C395" s="1263">
        <f>Elec.Data!K3547</f>
        <v>165</v>
      </c>
      <c r="D395" s="1264" t="s">
        <v>794</v>
      </c>
      <c r="E395" s="1265"/>
      <c r="F395" s="1264"/>
      <c r="G395" s="1264"/>
      <c r="H395" s="1264"/>
      <c r="I395" s="1264"/>
      <c r="J395" s="1264"/>
      <c r="K395" s="1264"/>
      <c r="L395" s="1264"/>
      <c r="M395" s="1264"/>
      <c r="N395" s="1264"/>
      <c r="O395" s="1264"/>
      <c r="P395" s="1264"/>
      <c r="Q395" s="1264"/>
      <c r="R395" s="1264"/>
      <c r="S395" s="1266"/>
      <c r="T395" s="1131">
        <f t="shared" si="96"/>
        <v>0</v>
      </c>
      <c r="U395" s="1045"/>
      <c r="V395" s="1045">
        <f t="shared" si="97"/>
        <v>0</v>
      </c>
      <c r="W395" s="1132" t="e">
        <f>#REF!+U395+#REF!</f>
        <v>#REF!</v>
      </c>
      <c r="X395" s="1045" t="e">
        <f t="shared" si="98"/>
        <v>#REF!</v>
      </c>
      <c r="Y395" s="1132" t="e">
        <f>W395+S395+#REF!</f>
        <v>#REF!</v>
      </c>
      <c r="Z395" s="1045" t="e">
        <f t="shared" si="99"/>
        <v>#REF!</v>
      </c>
      <c r="AA395" s="892"/>
      <c r="AB395" s="891"/>
    </row>
    <row r="396" spans="1:28" s="486" customFormat="1">
      <c r="A396" s="1261"/>
      <c r="B396" s="1274" t="s">
        <v>2421</v>
      </c>
      <c r="C396" s="1263">
        <f>Elec.Data!K3468</f>
        <v>2971.6</v>
      </c>
      <c r="D396" s="1264" t="s">
        <v>1341</v>
      </c>
      <c r="E396" s="1265"/>
      <c r="F396" s="1264"/>
      <c r="G396" s="1264"/>
      <c r="H396" s="1264"/>
      <c r="I396" s="1264"/>
      <c r="J396" s="1264"/>
      <c r="K396" s="1264"/>
      <c r="L396" s="1264"/>
      <c r="M396" s="1264"/>
      <c r="N396" s="1264"/>
      <c r="O396" s="1264"/>
      <c r="P396" s="1264"/>
      <c r="Q396" s="1264"/>
      <c r="R396" s="1264"/>
      <c r="S396" s="1266"/>
      <c r="T396" s="1131">
        <f t="shared" si="96"/>
        <v>0</v>
      </c>
      <c r="U396" s="1045"/>
      <c r="V396" s="1045">
        <f t="shared" si="97"/>
        <v>0</v>
      </c>
      <c r="W396" s="1132" t="e">
        <f>#REF!+U396+#REF!</f>
        <v>#REF!</v>
      </c>
      <c r="X396" s="1045" t="e">
        <f t="shared" si="98"/>
        <v>#REF!</v>
      </c>
      <c r="Y396" s="1132" t="e">
        <f>W396+S396+#REF!</f>
        <v>#REF!</v>
      </c>
      <c r="Z396" s="1045" t="e">
        <f t="shared" si="99"/>
        <v>#REF!</v>
      </c>
      <c r="AA396" s="892"/>
      <c r="AB396" s="891"/>
    </row>
    <row r="397" spans="1:28" s="486" customFormat="1">
      <c r="A397" s="1261"/>
      <c r="B397" s="1272" t="s">
        <v>3021</v>
      </c>
      <c r="C397" s="1263">
        <f>Data!K2984</f>
        <v>2770.14</v>
      </c>
      <c r="D397" s="1264" t="s">
        <v>2199</v>
      </c>
      <c r="E397" s="1265"/>
      <c r="F397" s="1264"/>
      <c r="G397" s="1264"/>
      <c r="H397" s="1264"/>
      <c r="I397" s="1264"/>
      <c r="J397" s="1264"/>
      <c r="K397" s="1264"/>
      <c r="L397" s="1264"/>
      <c r="M397" s="1264"/>
      <c r="N397" s="1264"/>
      <c r="O397" s="1264"/>
      <c r="P397" s="1264"/>
      <c r="Q397" s="1264"/>
      <c r="R397" s="1264"/>
      <c r="S397" s="1266"/>
      <c r="T397" s="1131">
        <f t="shared" si="96"/>
        <v>0</v>
      </c>
      <c r="U397" s="1045"/>
      <c r="V397" s="1045">
        <f t="shared" si="97"/>
        <v>0</v>
      </c>
      <c r="W397" s="1132" t="e">
        <f>#REF!+U397+#REF!</f>
        <v>#REF!</v>
      </c>
      <c r="X397" s="1045" t="e">
        <f t="shared" si="98"/>
        <v>#REF!</v>
      </c>
      <c r="Y397" s="1132" t="e">
        <f>W397+S397+#REF!</f>
        <v>#REF!</v>
      </c>
      <c r="Z397" s="1045" t="e">
        <f t="shared" si="99"/>
        <v>#REF!</v>
      </c>
      <c r="AA397" s="892"/>
      <c r="AB397" s="891"/>
    </row>
    <row r="398" spans="1:28" s="486" customFormat="1">
      <c r="A398" s="1261"/>
      <c r="B398" s="1272" t="s">
        <v>3019</v>
      </c>
      <c r="C398" s="1263">
        <f>Data!K2848</f>
        <v>2727.59</v>
      </c>
      <c r="D398" s="1264" t="s">
        <v>2199</v>
      </c>
      <c r="E398" s="1265"/>
      <c r="F398" s="1264"/>
      <c r="G398" s="1264"/>
      <c r="H398" s="1264"/>
      <c r="I398" s="1264"/>
      <c r="J398" s="1264"/>
      <c r="K398" s="1264"/>
      <c r="L398" s="1264"/>
      <c r="M398" s="1264"/>
      <c r="N398" s="1264"/>
      <c r="O398" s="1264"/>
      <c r="P398" s="1264"/>
      <c r="Q398" s="1264"/>
      <c r="R398" s="1264"/>
      <c r="S398" s="1266"/>
      <c r="T398" s="1131">
        <f t="shared" si="96"/>
        <v>0</v>
      </c>
      <c r="U398" s="1045"/>
      <c r="V398" s="1045">
        <f t="shared" si="97"/>
        <v>0</v>
      </c>
      <c r="W398" s="1132" t="e">
        <f>#REF!+U398+#REF!</f>
        <v>#REF!</v>
      </c>
      <c r="X398" s="1045" t="e">
        <f t="shared" si="98"/>
        <v>#REF!</v>
      </c>
      <c r="Y398" s="1132" t="e">
        <f>W398+S398+#REF!</f>
        <v>#REF!</v>
      </c>
      <c r="Z398" s="1045" t="e">
        <f t="shared" si="99"/>
        <v>#REF!</v>
      </c>
      <c r="AA398" s="892"/>
      <c r="AB398" s="891"/>
    </row>
    <row r="399" spans="1:28" s="486" customFormat="1">
      <c r="A399" s="1261"/>
      <c r="B399" s="1272" t="s">
        <v>3020</v>
      </c>
      <c r="C399" s="1263">
        <f>Data!R2991</f>
        <v>2653.99</v>
      </c>
      <c r="D399" s="1264" t="s">
        <v>2199</v>
      </c>
      <c r="E399" s="1265"/>
      <c r="F399" s="1264"/>
      <c r="G399" s="1264"/>
      <c r="H399" s="1264"/>
      <c r="I399" s="1264"/>
      <c r="J399" s="1264"/>
      <c r="K399" s="1264"/>
      <c r="L399" s="1264"/>
      <c r="M399" s="1264"/>
      <c r="N399" s="1264"/>
      <c r="O399" s="1264"/>
      <c r="P399" s="1264"/>
      <c r="Q399" s="1264"/>
      <c r="R399" s="1264"/>
      <c r="S399" s="1266"/>
      <c r="T399" s="1131">
        <f t="shared" si="96"/>
        <v>0</v>
      </c>
      <c r="U399" s="1045"/>
      <c r="V399" s="1045">
        <f t="shared" si="97"/>
        <v>0</v>
      </c>
      <c r="W399" s="1132" t="e">
        <f>#REF!+U399+#REF!</f>
        <v>#REF!</v>
      </c>
      <c r="X399" s="1045" t="e">
        <f t="shared" si="98"/>
        <v>#REF!</v>
      </c>
      <c r="Y399" s="1132" t="e">
        <f>W399+S399+#REF!</f>
        <v>#REF!</v>
      </c>
      <c r="Z399" s="1045" t="e">
        <f t="shared" si="99"/>
        <v>#REF!</v>
      </c>
      <c r="AA399" s="892"/>
      <c r="AB399" s="891"/>
    </row>
    <row r="400" spans="1:28" s="486" customFormat="1">
      <c r="A400" s="1261"/>
      <c r="B400" s="1272" t="s">
        <v>3022</v>
      </c>
      <c r="C400" s="1263">
        <f>Data!K3088</f>
        <v>2872.51</v>
      </c>
      <c r="D400" s="1264" t="s">
        <v>2199</v>
      </c>
      <c r="E400" s="1265"/>
      <c r="F400" s="1264"/>
      <c r="G400" s="1264"/>
      <c r="H400" s="1264"/>
      <c r="I400" s="1264"/>
      <c r="J400" s="1264"/>
      <c r="K400" s="1264"/>
      <c r="L400" s="1264"/>
      <c r="M400" s="1264"/>
      <c r="N400" s="1264"/>
      <c r="O400" s="1264"/>
      <c r="P400" s="1264"/>
      <c r="Q400" s="1264"/>
      <c r="R400" s="1264"/>
      <c r="S400" s="1266"/>
      <c r="T400" s="1131">
        <f t="shared" si="96"/>
        <v>0</v>
      </c>
      <c r="U400" s="1045"/>
      <c r="V400" s="1045">
        <f t="shared" si="97"/>
        <v>0</v>
      </c>
      <c r="W400" s="1132" t="e">
        <f>#REF!+U400+#REF!</f>
        <v>#REF!</v>
      </c>
      <c r="X400" s="1045" t="e">
        <f t="shared" si="98"/>
        <v>#REF!</v>
      </c>
      <c r="Y400" s="1132" t="e">
        <f>W400+S400+#REF!</f>
        <v>#REF!</v>
      </c>
      <c r="Z400" s="1045" t="e">
        <f t="shared" si="99"/>
        <v>#REF!</v>
      </c>
      <c r="AA400" s="892"/>
      <c r="AB400" s="891"/>
    </row>
    <row r="401" spans="1:28" s="486" customFormat="1">
      <c r="A401" s="1261"/>
      <c r="B401" s="1272" t="s">
        <v>3023</v>
      </c>
      <c r="C401" s="1263">
        <f>Data!K3069</f>
        <v>2995.3</v>
      </c>
      <c r="D401" s="1264" t="s">
        <v>2199</v>
      </c>
      <c r="E401" s="1265"/>
      <c r="F401" s="1264"/>
      <c r="G401" s="1264"/>
      <c r="H401" s="1264"/>
      <c r="I401" s="1264"/>
      <c r="J401" s="1264"/>
      <c r="K401" s="1264"/>
      <c r="L401" s="1264"/>
      <c r="M401" s="1264"/>
      <c r="N401" s="1264"/>
      <c r="O401" s="1264"/>
      <c r="P401" s="1264"/>
      <c r="Q401" s="1264"/>
      <c r="R401" s="1264"/>
      <c r="S401" s="1266"/>
      <c r="T401" s="1131">
        <f t="shared" si="96"/>
        <v>0</v>
      </c>
      <c r="U401" s="1045"/>
      <c r="V401" s="1045">
        <f t="shared" si="97"/>
        <v>0</v>
      </c>
      <c r="W401" s="1132" t="e">
        <f>#REF!+U401+#REF!</f>
        <v>#REF!</v>
      </c>
      <c r="X401" s="1045" t="e">
        <f t="shared" si="98"/>
        <v>#REF!</v>
      </c>
      <c r="Y401" s="1132" t="e">
        <f>W401+S401+#REF!</f>
        <v>#REF!</v>
      </c>
      <c r="Z401" s="1045" t="e">
        <f t="shared" si="99"/>
        <v>#REF!</v>
      </c>
      <c r="AA401" s="892"/>
      <c r="AB401" s="891"/>
    </row>
    <row r="402" spans="1:28" s="486" customFormat="1">
      <c r="A402" s="1261"/>
      <c r="B402" s="1272" t="s">
        <v>3024</v>
      </c>
      <c r="C402" s="1263">
        <f>Data!R3076</f>
        <v>2817.67</v>
      </c>
      <c r="D402" s="1264" t="s">
        <v>2199</v>
      </c>
      <c r="E402" s="1265"/>
      <c r="F402" s="1264"/>
      <c r="G402" s="1264"/>
      <c r="H402" s="1264"/>
      <c r="I402" s="1264"/>
      <c r="J402" s="1264"/>
      <c r="K402" s="1264"/>
      <c r="L402" s="1264"/>
      <c r="M402" s="1264"/>
      <c r="N402" s="1264"/>
      <c r="O402" s="1264"/>
      <c r="P402" s="1264"/>
      <c r="Q402" s="1264"/>
      <c r="R402" s="1264"/>
      <c r="S402" s="1266"/>
      <c r="T402" s="1131">
        <f t="shared" si="96"/>
        <v>0</v>
      </c>
      <c r="U402" s="1045"/>
      <c r="V402" s="1045">
        <f t="shared" si="97"/>
        <v>0</v>
      </c>
      <c r="W402" s="1132" t="e">
        <f>#REF!+U402+#REF!</f>
        <v>#REF!</v>
      </c>
      <c r="X402" s="1045" t="e">
        <f t="shared" si="98"/>
        <v>#REF!</v>
      </c>
      <c r="Y402" s="1132" t="e">
        <f>W402+S402+#REF!</f>
        <v>#REF!</v>
      </c>
      <c r="Z402" s="1045" t="e">
        <f t="shared" si="99"/>
        <v>#REF!</v>
      </c>
      <c r="AA402" s="892"/>
      <c r="AB402" s="891"/>
    </row>
    <row r="403" spans="1:28" s="486" customFormat="1" ht="45">
      <c r="A403" s="1261"/>
      <c r="B403" s="1275" t="s">
        <v>534</v>
      </c>
      <c r="C403" s="1263">
        <f>Data!K2880</f>
        <v>2112.4699999999998</v>
      </c>
      <c r="D403" s="1264" t="s">
        <v>2199</v>
      </c>
      <c r="E403" s="1265"/>
      <c r="F403" s="1264"/>
      <c r="G403" s="1264"/>
      <c r="H403" s="1264"/>
      <c r="I403" s="1264"/>
      <c r="J403" s="1264"/>
      <c r="K403" s="1264"/>
      <c r="L403" s="1264"/>
      <c r="M403" s="1264"/>
      <c r="N403" s="1264"/>
      <c r="O403" s="1264"/>
      <c r="P403" s="1264"/>
      <c r="Q403" s="1264"/>
      <c r="R403" s="1264"/>
      <c r="S403" s="1266"/>
      <c r="T403" s="1131">
        <f t="shared" si="96"/>
        <v>0</v>
      </c>
      <c r="U403" s="1045"/>
      <c r="V403" s="1045">
        <f t="shared" si="97"/>
        <v>0</v>
      </c>
      <c r="W403" s="1132" t="e">
        <f>#REF!+U403+#REF!</f>
        <v>#REF!</v>
      </c>
      <c r="X403" s="1045" t="e">
        <f t="shared" si="98"/>
        <v>#REF!</v>
      </c>
      <c r="Y403" s="1132" t="e">
        <f>W403+S403+#REF!</f>
        <v>#REF!</v>
      </c>
      <c r="Z403" s="1045" t="e">
        <f t="shared" si="99"/>
        <v>#REF!</v>
      </c>
      <c r="AA403" s="892"/>
      <c r="AB403" s="891"/>
    </row>
    <row r="404" spans="1:28" s="486" customFormat="1">
      <c r="A404" s="1261"/>
      <c r="B404" s="1272" t="s">
        <v>2783</v>
      </c>
      <c r="C404" s="1263">
        <f>Data!K1157</f>
        <v>109.86</v>
      </c>
      <c r="D404" s="1264"/>
      <c r="E404" s="1265"/>
      <c r="F404" s="1264"/>
      <c r="G404" s="1264"/>
      <c r="H404" s="1264"/>
      <c r="I404" s="1264"/>
      <c r="J404" s="1264"/>
      <c r="K404" s="1264"/>
      <c r="L404" s="1264"/>
      <c r="M404" s="1264"/>
      <c r="N404" s="1264"/>
      <c r="O404" s="1264"/>
      <c r="P404" s="1264"/>
      <c r="Q404" s="1264"/>
      <c r="R404" s="1264"/>
      <c r="S404" s="1266"/>
      <c r="T404" s="1131">
        <f t="shared" si="96"/>
        <v>0</v>
      </c>
      <c r="U404" s="1045"/>
      <c r="V404" s="1045">
        <f t="shared" si="97"/>
        <v>0</v>
      </c>
      <c r="W404" s="1132" t="e">
        <f>#REF!+U404+#REF!</f>
        <v>#REF!</v>
      </c>
      <c r="X404" s="1045" t="e">
        <f t="shared" si="98"/>
        <v>#REF!</v>
      </c>
      <c r="Y404" s="1132" t="e">
        <f>W404+S404+#REF!</f>
        <v>#REF!</v>
      </c>
      <c r="Z404" s="1045" t="e">
        <f t="shared" si="99"/>
        <v>#REF!</v>
      </c>
      <c r="AA404" s="892"/>
      <c r="AB404" s="891"/>
    </row>
    <row r="405" spans="1:28" s="486" customFormat="1">
      <c r="A405" s="1261"/>
      <c r="B405" s="1272" t="s">
        <v>2784</v>
      </c>
      <c r="C405" s="1263">
        <f>Data!K1170</f>
        <v>172.13</v>
      </c>
      <c r="D405" s="1264"/>
      <c r="E405" s="1265"/>
      <c r="F405" s="1264"/>
      <c r="G405" s="1264"/>
      <c r="H405" s="1264"/>
      <c r="I405" s="1264"/>
      <c r="J405" s="1264"/>
      <c r="K405" s="1264"/>
      <c r="L405" s="1264"/>
      <c r="M405" s="1264"/>
      <c r="N405" s="1264"/>
      <c r="O405" s="1264"/>
      <c r="P405" s="1264"/>
      <c r="Q405" s="1264"/>
      <c r="R405" s="1264"/>
      <c r="S405" s="1266"/>
      <c r="T405" s="1131">
        <f t="shared" si="96"/>
        <v>0</v>
      </c>
      <c r="U405" s="1045"/>
      <c r="V405" s="1045">
        <f t="shared" si="97"/>
        <v>0</v>
      </c>
      <c r="W405" s="1132" t="e">
        <f>#REF!+U405+#REF!</f>
        <v>#REF!</v>
      </c>
      <c r="X405" s="1045" t="e">
        <f t="shared" si="98"/>
        <v>#REF!</v>
      </c>
      <c r="Y405" s="1132" t="e">
        <f>W405+S405+#REF!</f>
        <v>#REF!</v>
      </c>
      <c r="Z405" s="1045" t="e">
        <f t="shared" si="99"/>
        <v>#REF!</v>
      </c>
      <c r="AA405" s="892"/>
      <c r="AB405" s="891"/>
    </row>
    <row r="406" spans="1:28" s="486" customFormat="1">
      <c r="A406" s="1261"/>
      <c r="B406" s="1272" t="s">
        <v>1621</v>
      </c>
      <c r="C406" s="1263">
        <f>Data!K2451</f>
        <v>680.91</v>
      </c>
      <c r="D406" s="1264"/>
      <c r="E406" s="1265"/>
      <c r="F406" s="1264"/>
      <c r="G406" s="1264"/>
      <c r="H406" s="1264"/>
      <c r="I406" s="1264"/>
      <c r="J406" s="1264"/>
      <c r="K406" s="1264"/>
      <c r="L406" s="1264"/>
      <c r="M406" s="1264"/>
      <c r="N406" s="1264"/>
      <c r="O406" s="1264"/>
      <c r="P406" s="1264"/>
      <c r="Q406" s="1264"/>
      <c r="R406" s="1264"/>
      <c r="S406" s="1266"/>
      <c r="T406" s="1131">
        <f t="shared" si="96"/>
        <v>0</v>
      </c>
      <c r="U406" s="1045"/>
      <c r="V406" s="1045">
        <f t="shared" si="97"/>
        <v>0</v>
      </c>
      <c r="W406" s="1132" t="e">
        <f>#REF!+U406+#REF!</f>
        <v>#REF!</v>
      </c>
      <c r="X406" s="1045" t="e">
        <f t="shared" si="98"/>
        <v>#REF!</v>
      </c>
      <c r="Y406" s="1132" t="e">
        <f>W406+S406+#REF!</f>
        <v>#REF!</v>
      </c>
      <c r="Z406" s="1045" t="e">
        <f t="shared" si="99"/>
        <v>#REF!</v>
      </c>
      <c r="AA406" s="892"/>
      <c r="AB406" s="891"/>
    </row>
    <row r="407" spans="1:28" s="486" customFormat="1">
      <c r="A407" s="1261"/>
      <c r="B407" s="1272" t="s">
        <v>1622</v>
      </c>
      <c r="C407" s="1263">
        <f>Data!K2801</f>
        <v>1497.63</v>
      </c>
      <c r="D407" s="1264"/>
      <c r="E407" s="1265"/>
      <c r="F407" s="1264"/>
      <c r="G407" s="1264"/>
      <c r="H407" s="1264"/>
      <c r="I407" s="1264"/>
      <c r="J407" s="1264"/>
      <c r="K407" s="1264"/>
      <c r="L407" s="1264"/>
      <c r="M407" s="1264"/>
      <c r="N407" s="1264"/>
      <c r="O407" s="1264"/>
      <c r="P407" s="1264"/>
      <c r="Q407" s="1264"/>
      <c r="R407" s="1264"/>
      <c r="S407" s="1266"/>
      <c r="T407" s="1131">
        <f t="shared" si="96"/>
        <v>0</v>
      </c>
      <c r="U407" s="1045"/>
      <c r="V407" s="1045">
        <f t="shared" si="97"/>
        <v>0</v>
      </c>
      <c r="W407" s="1132" t="e">
        <f>#REF!+U407+#REF!</f>
        <v>#REF!</v>
      </c>
      <c r="X407" s="1045" t="e">
        <f t="shared" si="98"/>
        <v>#REF!</v>
      </c>
      <c r="Y407" s="1132" t="e">
        <f>W407+S407+#REF!</f>
        <v>#REF!</v>
      </c>
      <c r="Z407" s="1045" t="e">
        <f t="shared" si="99"/>
        <v>#REF!</v>
      </c>
      <c r="AA407" s="892"/>
      <c r="AB407" s="891"/>
    </row>
    <row r="408" spans="1:28" s="486" customFormat="1" ht="67.5">
      <c r="A408" s="1261"/>
      <c r="B408" s="1275" t="s">
        <v>5672</v>
      </c>
      <c r="C408" s="1263">
        <f>Elec.Data!K3011</f>
        <v>2424.33</v>
      </c>
      <c r="D408" s="1264"/>
      <c r="E408" s="1265"/>
      <c r="F408" s="1264"/>
      <c r="G408" s="1264"/>
      <c r="H408" s="1264"/>
      <c r="I408" s="1264"/>
      <c r="J408" s="1264"/>
      <c r="K408" s="1264"/>
      <c r="L408" s="1264"/>
      <c r="M408" s="1264"/>
      <c r="N408" s="1264"/>
      <c r="O408" s="1264"/>
      <c r="P408" s="1264"/>
      <c r="Q408" s="1264"/>
      <c r="R408" s="1264"/>
      <c r="S408" s="1266"/>
      <c r="T408" s="1131">
        <f t="shared" si="96"/>
        <v>0</v>
      </c>
      <c r="U408" s="1045"/>
      <c r="V408" s="1045">
        <f t="shared" si="97"/>
        <v>0</v>
      </c>
      <c r="W408" s="1132" t="e">
        <f>#REF!+U408+#REF!</f>
        <v>#REF!</v>
      </c>
      <c r="X408" s="1045" t="e">
        <f t="shared" si="98"/>
        <v>#REF!</v>
      </c>
      <c r="Y408" s="1132" t="e">
        <f>W408+S408+#REF!</f>
        <v>#REF!</v>
      </c>
      <c r="Z408" s="1045" t="e">
        <f t="shared" si="99"/>
        <v>#REF!</v>
      </c>
      <c r="AA408" s="892"/>
      <c r="AB408" s="891"/>
    </row>
    <row r="409" spans="1:28" s="486" customFormat="1" ht="67.5">
      <c r="A409" s="1261"/>
      <c r="B409" s="1275" t="s">
        <v>5673</v>
      </c>
      <c r="C409" s="1263">
        <f>Elec.Data!K3023</f>
        <v>2425.48</v>
      </c>
      <c r="D409" s="1264"/>
      <c r="E409" s="1265"/>
      <c r="F409" s="1264"/>
      <c r="G409" s="1264"/>
      <c r="H409" s="1264"/>
      <c r="I409" s="1264"/>
      <c r="J409" s="1264"/>
      <c r="K409" s="1264"/>
      <c r="L409" s="1264"/>
      <c r="M409" s="1264"/>
      <c r="N409" s="1264"/>
      <c r="O409" s="1264"/>
      <c r="P409" s="1264"/>
      <c r="Q409" s="1264"/>
      <c r="R409" s="1264"/>
      <c r="S409" s="1266"/>
      <c r="T409" s="1131">
        <f t="shared" si="96"/>
        <v>0</v>
      </c>
      <c r="U409" s="1045"/>
      <c r="V409" s="1045">
        <f t="shared" si="97"/>
        <v>0</v>
      </c>
      <c r="W409" s="1132" t="e">
        <f>#REF!+U409+#REF!</f>
        <v>#REF!</v>
      </c>
      <c r="X409" s="1045" t="e">
        <f t="shared" si="98"/>
        <v>#REF!</v>
      </c>
      <c r="Y409" s="1132" t="e">
        <f>W409+S409+#REF!</f>
        <v>#REF!</v>
      </c>
      <c r="Z409" s="1045" t="e">
        <f t="shared" si="99"/>
        <v>#REF!</v>
      </c>
      <c r="AA409" s="892"/>
      <c r="AB409" s="891"/>
    </row>
    <row r="410" spans="1:28" s="486" customFormat="1" ht="45">
      <c r="A410" s="1261"/>
      <c r="B410" s="1275" t="s">
        <v>5674</v>
      </c>
      <c r="C410" s="1263">
        <f>Elec.Data!K3044</f>
        <v>2491.5500000000002</v>
      </c>
      <c r="D410" s="1264"/>
      <c r="E410" s="1265"/>
      <c r="F410" s="1264"/>
      <c r="G410" s="1264"/>
      <c r="H410" s="1264"/>
      <c r="I410" s="1264"/>
      <c r="J410" s="1264"/>
      <c r="K410" s="1264"/>
      <c r="L410" s="1264"/>
      <c r="M410" s="1264"/>
      <c r="N410" s="1264"/>
      <c r="O410" s="1264"/>
      <c r="P410" s="1264"/>
      <c r="Q410" s="1264"/>
      <c r="R410" s="1264"/>
      <c r="S410" s="1266"/>
      <c r="T410" s="1131">
        <f t="shared" si="96"/>
        <v>0</v>
      </c>
      <c r="U410" s="1045"/>
      <c r="V410" s="1045">
        <f t="shared" si="97"/>
        <v>0</v>
      </c>
      <c r="W410" s="1132" t="e">
        <f>#REF!+U410+#REF!</f>
        <v>#REF!</v>
      </c>
      <c r="X410" s="1045" t="e">
        <f t="shared" si="98"/>
        <v>#REF!</v>
      </c>
      <c r="Y410" s="1132" t="e">
        <f>W410+S410+#REF!</f>
        <v>#REF!</v>
      </c>
      <c r="Z410" s="1045" t="e">
        <f t="shared" si="99"/>
        <v>#REF!</v>
      </c>
      <c r="AA410" s="892"/>
      <c r="AB410" s="891"/>
    </row>
    <row r="411" spans="1:28" s="486" customFormat="1" ht="45">
      <c r="A411" s="1261"/>
      <c r="B411" s="1275" t="s">
        <v>5675</v>
      </c>
      <c r="C411" s="1263">
        <f>Elec.Data!K3063</f>
        <v>4553.51</v>
      </c>
      <c r="D411" s="1264"/>
      <c r="E411" s="1265"/>
      <c r="F411" s="1264"/>
      <c r="G411" s="1264"/>
      <c r="H411" s="1264"/>
      <c r="I411" s="1264"/>
      <c r="J411" s="1264"/>
      <c r="K411" s="1264"/>
      <c r="L411" s="1264"/>
      <c r="M411" s="1264"/>
      <c r="N411" s="1264"/>
      <c r="O411" s="1264"/>
      <c r="P411" s="1264"/>
      <c r="Q411" s="1264"/>
      <c r="R411" s="1264"/>
      <c r="S411" s="1266"/>
      <c r="T411" s="1131">
        <f t="shared" si="96"/>
        <v>0</v>
      </c>
      <c r="U411" s="1045"/>
      <c r="V411" s="1045">
        <f t="shared" si="97"/>
        <v>0</v>
      </c>
      <c r="W411" s="1132" t="e">
        <f>#REF!+U411+#REF!</f>
        <v>#REF!</v>
      </c>
      <c r="X411" s="1045" t="e">
        <f t="shared" si="98"/>
        <v>#REF!</v>
      </c>
      <c r="Y411" s="1132" t="e">
        <f>W411+S411+#REF!</f>
        <v>#REF!</v>
      </c>
      <c r="Z411" s="1045" t="e">
        <f t="shared" si="99"/>
        <v>#REF!</v>
      </c>
      <c r="AA411" s="892"/>
      <c r="AB411" s="891"/>
    </row>
    <row r="412" spans="1:28" s="486" customFormat="1">
      <c r="A412" s="1261"/>
      <c r="B412" s="1275" t="s">
        <v>2311</v>
      </c>
      <c r="C412" s="1263">
        <f>Elec.Data!K3092</f>
        <v>209.78</v>
      </c>
      <c r="D412" s="1264"/>
      <c r="E412" s="1265"/>
      <c r="F412" s="1264"/>
      <c r="G412" s="1264"/>
      <c r="H412" s="1264"/>
      <c r="I412" s="1264"/>
      <c r="J412" s="1264"/>
      <c r="K412" s="1264"/>
      <c r="L412" s="1264"/>
      <c r="M412" s="1264"/>
      <c r="N412" s="1264"/>
      <c r="O412" s="1264"/>
      <c r="P412" s="1264"/>
      <c r="Q412" s="1264"/>
      <c r="R412" s="1264"/>
      <c r="S412" s="1266"/>
      <c r="T412" s="1131">
        <f t="shared" si="96"/>
        <v>0</v>
      </c>
      <c r="U412" s="1045"/>
      <c r="V412" s="1045">
        <f t="shared" si="97"/>
        <v>0</v>
      </c>
      <c r="W412" s="1132" t="e">
        <f>#REF!+U412+#REF!</f>
        <v>#REF!</v>
      </c>
      <c r="X412" s="1045" t="e">
        <f t="shared" si="98"/>
        <v>#REF!</v>
      </c>
      <c r="Y412" s="1132" t="e">
        <f>W412+S412+#REF!</f>
        <v>#REF!</v>
      </c>
      <c r="Z412" s="1045" t="e">
        <f t="shared" si="99"/>
        <v>#REF!</v>
      </c>
      <c r="AA412" s="892"/>
      <c r="AB412" s="891"/>
    </row>
    <row r="413" spans="1:28" s="486" customFormat="1">
      <c r="A413" s="1261"/>
      <c r="B413" s="1275" t="s">
        <v>2894</v>
      </c>
      <c r="C413" s="1263">
        <f>Elec.Data!K3105</f>
        <v>246.68</v>
      </c>
      <c r="D413" s="1264"/>
      <c r="E413" s="1265"/>
      <c r="F413" s="1264"/>
      <c r="G413" s="1264"/>
      <c r="H413" s="1264"/>
      <c r="I413" s="1264"/>
      <c r="J413" s="1264"/>
      <c r="K413" s="1264"/>
      <c r="L413" s="1264"/>
      <c r="M413" s="1264"/>
      <c r="N413" s="1264"/>
      <c r="O413" s="1264"/>
      <c r="P413" s="1264"/>
      <c r="Q413" s="1264"/>
      <c r="R413" s="1264"/>
      <c r="S413" s="1266"/>
      <c r="T413" s="1131">
        <f t="shared" si="96"/>
        <v>0</v>
      </c>
      <c r="U413" s="1045"/>
      <c r="V413" s="1045">
        <f t="shared" si="97"/>
        <v>0</v>
      </c>
      <c r="W413" s="1132" t="e">
        <f>#REF!+U413+#REF!</f>
        <v>#REF!</v>
      </c>
      <c r="X413" s="1045" t="e">
        <f t="shared" si="98"/>
        <v>#REF!</v>
      </c>
      <c r="Y413" s="1132" t="e">
        <f>W413+S413+#REF!</f>
        <v>#REF!</v>
      </c>
      <c r="Z413" s="1045" t="e">
        <f t="shared" si="99"/>
        <v>#REF!</v>
      </c>
      <c r="AA413" s="892"/>
      <c r="AB413" s="891"/>
    </row>
    <row r="414" spans="1:28" s="486" customFormat="1">
      <c r="A414" s="1261"/>
      <c r="B414" s="1275" t="s">
        <v>2251</v>
      </c>
      <c r="C414" s="1263">
        <f>Elec.Data!K3119</f>
        <v>368.57</v>
      </c>
      <c r="D414" s="1264"/>
      <c r="E414" s="1265"/>
      <c r="F414" s="1264"/>
      <c r="G414" s="1264"/>
      <c r="H414" s="1264"/>
      <c r="I414" s="1264"/>
      <c r="J414" s="1264"/>
      <c r="K414" s="1264"/>
      <c r="L414" s="1264"/>
      <c r="M414" s="1264"/>
      <c r="N414" s="1264"/>
      <c r="O414" s="1264"/>
      <c r="P414" s="1264"/>
      <c r="Q414" s="1264"/>
      <c r="R414" s="1264"/>
      <c r="S414" s="1266"/>
      <c r="T414" s="1131">
        <f t="shared" si="96"/>
        <v>0</v>
      </c>
      <c r="U414" s="1045"/>
      <c r="V414" s="1045">
        <f t="shared" si="97"/>
        <v>0</v>
      </c>
      <c r="W414" s="1132" t="e">
        <f>#REF!+U414+#REF!</f>
        <v>#REF!</v>
      </c>
      <c r="X414" s="1045" t="e">
        <f t="shared" si="98"/>
        <v>#REF!</v>
      </c>
      <c r="Y414" s="1132" t="e">
        <f>W414+S414+#REF!</f>
        <v>#REF!</v>
      </c>
      <c r="Z414" s="1045" t="e">
        <f t="shared" si="99"/>
        <v>#REF!</v>
      </c>
      <c r="AA414" s="892"/>
      <c r="AB414" s="891"/>
    </row>
    <row r="415" spans="1:28" s="486" customFormat="1" ht="67.5">
      <c r="A415" s="1261"/>
      <c r="B415" s="1275" t="s">
        <v>2694</v>
      </c>
      <c r="C415" s="1263">
        <f>Elec.Data!K3173</f>
        <v>1308</v>
      </c>
      <c r="D415" s="1264"/>
      <c r="E415" s="1265"/>
      <c r="F415" s="1264"/>
      <c r="G415" s="1264"/>
      <c r="H415" s="1264"/>
      <c r="I415" s="1264"/>
      <c r="J415" s="1264"/>
      <c r="K415" s="1264"/>
      <c r="L415" s="1264"/>
      <c r="M415" s="1264"/>
      <c r="N415" s="1264"/>
      <c r="O415" s="1264"/>
      <c r="P415" s="1264"/>
      <c r="Q415" s="1264"/>
      <c r="R415" s="1264"/>
      <c r="S415" s="1266"/>
      <c r="T415" s="1131">
        <f t="shared" si="96"/>
        <v>0</v>
      </c>
      <c r="U415" s="1045"/>
      <c r="V415" s="1045">
        <f t="shared" si="97"/>
        <v>0</v>
      </c>
      <c r="W415" s="1132" t="e">
        <f>#REF!+U415+#REF!</f>
        <v>#REF!</v>
      </c>
      <c r="X415" s="1045" t="e">
        <f t="shared" si="98"/>
        <v>#REF!</v>
      </c>
      <c r="Y415" s="1132" t="e">
        <f>W415+S415+#REF!</f>
        <v>#REF!</v>
      </c>
      <c r="Z415" s="1045" t="e">
        <f t="shared" si="99"/>
        <v>#REF!</v>
      </c>
      <c r="AA415" s="892"/>
      <c r="AB415" s="891"/>
    </row>
    <row r="416" spans="1:28" s="486" customFormat="1" ht="90">
      <c r="A416" s="1261"/>
      <c r="B416" s="1275" t="s">
        <v>2321</v>
      </c>
      <c r="C416" s="1263">
        <f>Elec.Data!K3184</f>
        <v>999</v>
      </c>
      <c r="D416" s="1264"/>
      <c r="E416" s="1265"/>
      <c r="F416" s="1264"/>
      <c r="G416" s="1264"/>
      <c r="H416" s="1264"/>
      <c r="I416" s="1264"/>
      <c r="J416" s="1264"/>
      <c r="K416" s="1264"/>
      <c r="L416" s="1264"/>
      <c r="M416" s="1264"/>
      <c r="N416" s="1264"/>
      <c r="O416" s="1264"/>
      <c r="P416" s="1264"/>
      <c r="Q416" s="1264"/>
      <c r="R416" s="1264"/>
      <c r="S416" s="1266"/>
      <c r="T416" s="1131">
        <f t="shared" si="96"/>
        <v>0</v>
      </c>
      <c r="U416" s="1045"/>
      <c r="V416" s="1045">
        <f t="shared" si="97"/>
        <v>0</v>
      </c>
      <c r="W416" s="1132" t="e">
        <f>#REF!+U416+#REF!</f>
        <v>#REF!</v>
      </c>
      <c r="X416" s="1045" t="e">
        <f t="shared" si="98"/>
        <v>#REF!</v>
      </c>
      <c r="Y416" s="1132" t="e">
        <f>W416+S416+#REF!</f>
        <v>#REF!</v>
      </c>
      <c r="Z416" s="1045" t="e">
        <f t="shared" si="99"/>
        <v>#REF!</v>
      </c>
      <c r="AA416" s="892"/>
      <c r="AB416" s="891"/>
    </row>
    <row r="417" spans="1:28" s="486" customFormat="1" ht="67.5">
      <c r="A417" s="1261"/>
      <c r="B417" s="1275" t="s">
        <v>3366</v>
      </c>
      <c r="C417" s="1263">
        <f>Elec.Data!K3195</f>
        <v>1660</v>
      </c>
      <c r="D417" s="1264"/>
      <c r="E417" s="1265"/>
      <c r="F417" s="1264"/>
      <c r="G417" s="1264"/>
      <c r="H417" s="1264"/>
      <c r="I417" s="1264"/>
      <c r="J417" s="1264"/>
      <c r="K417" s="1264"/>
      <c r="L417" s="1264"/>
      <c r="M417" s="1264"/>
      <c r="N417" s="1264"/>
      <c r="O417" s="1264"/>
      <c r="P417" s="1264"/>
      <c r="Q417" s="1264"/>
      <c r="R417" s="1264"/>
      <c r="S417" s="1266"/>
      <c r="T417" s="1131">
        <f t="shared" si="96"/>
        <v>0</v>
      </c>
      <c r="U417" s="1045"/>
      <c r="V417" s="1045">
        <f t="shared" si="97"/>
        <v>0</v>
      </c>
      <c r="W417" s="1132" t="e">
        <f>#REF!+U417+#REF!</f>
        <v>#REF!</v>
      </c>
      <c r="X417" s="1045" t="e">
        <f t="shared" si="98"/>
        <v>#REF!</v>
      </c>
      <c r="Y417" s="1132" t="e">
        <f>W417+S417+#REF!</f>
        <v>#REF!</v>
      </c>
      <c r="Z417" s="1045" t="e">
        <f t="shared" si="99"/>
        <v>#REF!</v>
      </c>
      <c r="AA417" s="892"/>
      <c r="AB417" s="891"/>
    </row>
    <row r="418" spans="1:28" s="486" customFormat="1" ht="67.5">
      <c r="A418" s="1261"/>
      <c r="B418" s="1275" t="s">
        <v>2205</v>
      </c>
      <c r="C418" s="1263">
        <f>Elec.Data!K3210</f>
        <v>2084</v>
      </c>
      <c r="D418" s="1264"/>
      <c r="E418" s="1265"/>
      <c r="F418" s="1264"/>
      <c r="G418" s="1264"/>
      <c r="H418" s="1264"/>
      <c r="I418" s="1264"/>
      <c r="J418" s="1264"/>
      <c r="K418" s="1264"/>
      <c r="L418" s="1264"/>
      <c r="M418" s="1264"/>
      <c r="N418" s="1264"/>
      <c r="O418" s="1264"/>
      <c r="P418" s="1264"/>
      <c r="Q418" s="1264"/>
      <c r="R418" s="1264"/>
      <c r="S418" s="1266"/>
      <c r="T418" s="1131">
        <f t="shared" si="96"/>
        <v>0</v>
      </c>
      <c r="U418" s="1045"/>
      <c r="V418" s="1045">
        <f t="shared" si="97"/>
        <v>0</v>
      </c>
      <c r="W418" s="1132" t="e">
        <f>#REF!+U418+#REF!</f>
        <v>#REF!</v>
      </c>
      <c r="X418" s="1045" t="e">
        <f t="shared" si="98"/>
        <v>#REF!</v>
      </c>
      <c r="Y418" s="1132" t="e">
        <f>W418+S418+#REF!</f>
        <v>#REF!</v>
      </c>
      <c r="Z418" s="1045" t="e">
        <f t="shared" si="99"/>
        <v>#REF!</v>
      </c>
      <c r="AA418" s="892"/>
      <c r="AB418" s="891"/>
    </row>
    <row r="419" spans="1:28" s="486" customFormat="1" ht="90">
      <c r="A419" s="1261"/>
      <c r="B419" s="1275" t="s">
        <v>2507</v>
      </c>
      <c r="C419" s="1263">
        <f>Elec.Data!K3233</f>
        <v>4116.8500000000004</v>
      </c>
      <c r="D419" s="1264"/>
      <c r="E419" s="1265"/>
      <c r="F419" s="1264"/>
      <c r="G419" s="1264"/>
      <c r="H419" s="1264"/>
      <c r="I419" s="1264"/>
      <c r="J419" s="1264"/>
      <c r="K419" s="1264"/>
      <c r="L419" s="1264"/>
      <c r="M419" s="1264"/>
      <c r="N419" s="1264"/>
      <c r="O419" s="1264"/>
      <c r="P419" s="1264"/>
      <c r="Q419" s="1264"/>
      <c r="R419" s="1264"/>
      <c r="S419" s="1266"/>
      <c r="T419" s="1131">
        <f t="shared" si="96"/>
        <v>0</v>
      </c>
      <c r="U419" s="1045"/>
      <c r="V419" s="1045">
        <f t="shared" si="97"/>
        <v>0</v>
      </c>
      <c r="W419" s="1132" t="e">
        <f>#REF!+U419+#REF!</f>
        <v>#REF!</v>
      </c>
      <c r="X419" s="1045" t="e">
        <f t="shared" si="98"/>
        <v>#REF!</v>
      </c>
      <c r="Y419" s="1132" t="e">
        <f>W419+S419+#REF!</f>
        <v>#REF!</v>
      </c>
      <c r="Z419" s="1045" t="e">
        <f t="shared" si="99"/>
        <v>#REF!</v>
      </c>
      <c r="AA419" s="892"/>
      <c r="AB419" s="891"/>
    </row>
    <row r="420" spans="1:28" s="486" customFormat="1" ht="67.5">
      <c r="A420" s="1261"/>
      <c r="B420" s="1275" t="s">
        <v>3072</v>
      </c>
      <c r="C420" s="1263">
        <f>Elec.Data!K3221</f>
        <v>3342.85</v>
      </c>
      <c r="D420" s="1264"/>
      <c r="E420" s="1265"/>
      <c r="F420" s="1264"/>
      <c r="G420" s="1264"/>
      <c r="H420" s="1264"/>
      <c r="I420" s="1264"/>
      <c r="J420" s="1264"/>
      <c r="K420" s="1264"/>
      <c r="L420" s="1264"/>
      <c r="M420" s="1264"/>
      <c r="N420" s="1264"/>
      <c r="O420" s="1264"/>
      <c r="P420" s="1264"/>
      <c r="Q420" s="1264"/>
      <c r="R420" s="1264"/>
      <c r="S420" s="1266"/>
      <c r="T420" s="1131">
        <f t="shared" si="96"/>
        <v>0</v>
      </c>
      <c r="U420" s="1045"/>
      <c r="V420" s="1045">
        <f t="shared" si="97"/>
        <v>0</v>
      </c>
      <c r="W420" s="1132" t="e">
        <f>#REF!+U420+#REF!</f>
        <v>#REF!</v>
      </c>
      <c r="X420" s="1045" t="e">
        <f t="shared" si="98"/>
        <v>#REF!</v>
      </c>
      <c r="Y420" s="1132" t="e">
        <f>W420+S420+#REF!</f>
        <v>#REF!</v>
      </c>
      <c r="Z420" s="1045" t="e">
        <f t="shared" si="99"/>
        <v>#REF!</v>
      </c>
      <c r="AA420" s="892"/>
      <c r="AB420" s="891"/>
    </row>
    <row r="421" spans="1:28" s="486" customFormat="1" ht="45">
      <c r="A421" s="1261"/>
      <c r="B421" s="1275" t="s">
        <v>3286</v>
      </c>
      <c r="C421" s="1263">
        <f>Elec.Data!K3244</f>
        <v>276.51</v>
      </c>
      <c r="D421" s="1264"/>
      <c r="E421" s="1265"/>
      <c r="F421" s="1264"/>
      <c r="G421" s="1264"/>
      <c r="H421" s="1264"/>
      <c r="I421" s="1264"/>
      <c r="J421" s="1264"/>
      <c r="K421" s="1264"/>
      <c r="L421" s="1264"/>
      <c r="M421" s="1264"/>
      <c r="N421" s="1264"/>
      <c r="O421" s="1264"/>
      <c r="P421" s="1264"/>
      <c r="Q421" s="1264"/>
      <c r="R421" s="1264"/>
      <c r="S421" s="1266"/>
      <c r="T421" s="1131">
        <f t="shared" si="96"/>
        <v>0</v>
      </c>
      <c r="U421" s="1045"/>
      <c r="V421" s="1045">
        <f t="shared" si="97"/>
        <v>0</v>
      </c>
      <c r="W421" s="1132" t="e">
        <f>#REF!+U421+#REF!</f>
        <v>#REF!</v>
      </c>
      <c r="X421" s="1045" t="e">
        <f t="shared" si="98"/>
        <v>#REF!</v>
      </c>
      <c r="Y421" s="1132" t="e">
        <f>W421+S421+#REF!</f>
        <v>#REF!</v>
      </c>
      <c r="Z421" s="1045" t="e">
        <f t="shared" si="99"/>
        <v>#REF!</v>
      </c>
      <c r="AA421" s="892"/>
      <c r="AB421" s="891"/>
    </row>
    <row r="422" spans="1:28" s="486" customFormat="1" ht="45">
      <c r="A422" s="1261"/>
      <c r="B422" s="1275" t="s">
        <v>3305</v>
      </c>
      <c r="C422" s="1263">
        <f>Elec.Data!K3262</f>
        <v>464.92</v>
      </c>
      <c r="D422" s="1264"/>
      <c r="E422" s="1265"/>
      <c r="F422" s="1264"/>
      <c r="G422" s="1264"/>
      <c r="H422" s="1264"/>
      <c r="I422" s="1264"/>
      <c r="J422" s="1264"/>
      <c r="K422" s="1264"/>
      <c r="L422" s="1264"/>
      <c r="M422" s="1264"/>
      <c r="N422" s="1264"/>
      <c r="O422" s="1264"/>
      <c r="P422" s="1264"/>
      <c r="Q422" s="1264"/>
      <c r="R422" s="1264"/>
      <c r="S422" s="1266"/>
      <c r="T422" s="1131">
        <f t="shared" si="96"/>
        <v>0</v>
      </c>
      <c r="U422" s="1045"/>
      <c r="V422" s="1045">
        <f t="shared" si="97"/>
        <v>0</v>
      </c>
      <c r="W422" s="1132" t="e">
        <f>#REF!+U422+#REF!</f>
        <v>#REF!</v>
      </c>
      <c r="X422" s="1045" t="e">
        <f t="shared" si="98"/>
        <v>#REF!</v>
      </c>
      <c r="Y422" s="1132" t="e">
        <f>W422+S422+#REF!</f>
        <v>#REF!</v>
      </c>
      <c r="Z422" s="1045" t="e">
        <f t="shared" si="99"/>
        <v>#REF!</v>
      </c>
      <c r="AA422" s="892"/>
      <c r="AB422" s="891"/>
    </row>
    <row r="423" spans="1:28" s="486" customFormat="1" ht="45">
      <c r="A423" s="1261"/>
      <c r="B423" s="1275" t="s">
        <v>2207</v>
      </c>
      <c r="C423" s="1263">
        <f>Elec.Data!K3333</f>
        <v>361.01</v>
      </c>
      <c r="D423" s="1264"/>
      <c r="E423" s="1265"/>
      <c r="F423" s="1264"/>
      <c r="G423" s="1264"/>
      <c r="H423" s="1264"/>
      <c r="I423" s="1264"/>
      <c r="J423" s="1264"/>
      <c r="K423" s="1264"/>
      <c r="L423" s="1264"/>
      <c r="M423" s="1264"/>
      <c r="N423" s="1264"/>
      <c r="O423" s="1264"/>
      <c r="P423" s="1264"/>
      <c r="Q423" s="1264"/>
      <c r="R423" s="1264"/>
      <c r="S423" s="1266"/>
      <c r="T423" s="1131">
        <f t="shared" si="96"/>
        <v>0</v>
      </c>
      <c r="U423" s="1045"/>
      <c r="V423" s="1045">
        <f t="shared" si="97"/>
        <v>0</v>
      </c>
      <c r="W423" s="1132" t="e">
        <f>#REF!+U423+#REF!</f>
        <v>#REF!</v>
      </c>
      <c r="X423" s="1045" t="e">
        <f t="shared" si="98"/>
        <v>#REF!</v>
      </c>
      <c r="Y423" s="1132" t="e">
        <f>W423+S423+#REF!</f>
        <v>#REF!</v>
      </c>
      <c r="Z423" s="1045" t="e">
        <f t="shared" si="99"/>
        <v>#REF!</v>
      </c>
      <c r="AA423" s="892"/>
      <c r="AB423" s="891"/>
    </row>
    <row r="424" spans="1:28" s="486" customFormat="1" ht="45">
      <c r="A424" s="1261"/>
      <c r="B424" s="1275" t="s">
        <v>2208</v>
      </c>
      <c r="C424" s="1263">
        <f>Elec.Data!K3348</f>
        <v>713.6</v>
      </c>
      <c r="D424" s="1264"/>
      <c r="E424" s="1265"/>
      <c r="F424" s="1264"/>
      <c r="G424" s="1264"/>
      <c r="H424" s="1264"/>
      <c r="I424" s="1264"/>
      <c r="J424" s="1264"/>
      <c r="K424" s="1264"/>
      <c r="L424" s="1264"/>
      <c r="M424" s="1264"/>
      <c r="N424" s="1264"/>
      <c r="O424" s="1264"/>
      <c r="P424" s="1264"/>
      <c r="Q424" s="1264"/>
      <c r="R424" s="1264"/>
      <c r="S424" s="1266"/>
      <c r="T424" s="1131">
        <f t="shared" si="96"/>
        <v>0</v>
      </c>
      <c r="U424" s="1045"/>
      <c r="V424" s="1045">
        <f t="shared" si="97"/>
        <v>0</v>
      </c>
      <c r="W424" s="1132" t="e">
        <f>#REF!+U424+#REF!</f>
        <v>#REF!</v>
      </c>
      <c r="X424" s="1045" t="e">
        <f t="shared" si="98"/>
        <v>#REF!</v>
      </c>
      <c r="Y424" s="1132" t="e">
        <f>W424+S424+#REF!</f>
        <v>#REF!</v>
      </c>
      <c r="Z424" s="1045" t="e">
        <f t="shared" si="99"/>
        <v>#REF!</v>
      </c>
      <c r="AA424" s="892"/>
      <c r="AB424" s="891"/>
    </row>
    <row r="425" spans="1:28" s="486" customFormat="1" ht="45">
      <c r="A425" s="1261"/>
      <c r="B425" s="1275" t="s">
        <v>2209</v>
      </c>
      <c r="C425" s="1263">
        <f>Elec.Data!K3366</f>
        <v>449.93</v>
      </c>
      <c r="D425" s="1264"/>
      <c r="E425" s="1265"/>
      <c r="F425" s="1264"/>
      <c r="G425" s="1264"/>
      <c r="H425" s="1264"/>
      <c r="I425" s="1264"/>
      <c r="J425" s="1264"/>
      <c r="K425" s="1264"/>
      <c r="L425" s="1264"/>
      <c r="M425" s="1264"/>
      <c r="N425" s="1264"/>
      <c r="O425" s="1264"/>
      <c r="P425" s="1264"/>
      <c r="Q425" s="1264"/>
      <c r="R425" s="1264"/>
      <c r="S425" s="1266"/>
      <c r="T425" s="1131">
        <f t="shared" si="96"/>
        <v>0</v>
      </c>
      <c r="U425" s="1045"/>
      <c r="V425" s="1045">
        <f t="shared" si="97"/>
        <v>0</v>
      </c>
      <c r="W425" s="1132" t="e">
        <f>#REF!+U425+#REF!</f>
        <v>#REF!</v>
      </c>
      <c r="X425" s="1045" t="e">
        <f t="shared" si="98"/>
        <v>#REF!</v>
      </c>
      <c r="Y425" s="1132" t="e">
        <f>W425+S425+#REF!</f>
        <v>#REF!</v>
      </c>
      <c r="Z425" s="1045" t="e">
        <f t="shared" si="99"/>
        <v>#REF!</v>
      </c>
      <c r="AA425" s="892"/>
      <c r="AB425" s="891"/>
    </row>
    <row r="426" spans="1:28" s="486" customFormat="1" ht="45">
      <c r="A426" s="1261"/>
      <c r="B426" s="1275" t="s">
        <v>2210</v>
      </c>
      <c r="C426" s="1263">
        <f>Elec.Data!K3379</f>
        <v>727.6</v>
      </c>
      <c r="D426" s="1264"/>
      <c r="E426" s="1265"/>
      <c r="F426" s="1264"/>
      <c r="G426" s="1264"/>
      <c r="H426" s="1264"/>
      <c r="I426" s="1264"/>
      <c r="J426" s="1264"/>
      <c r="K426" s="1264"/>
      <c r="L426" s="1264"/>
      <c r="M426" s="1264"/>
      <c r="N426" s="1264"/>
      <c r="O426" s="1264"/>
      <c r="P426" s="1264"/>
      <c r="Q426" s="1264"/>
      <c r="R426" s="1264"/>
      <c r="S426" s="1266"/>
      <c r="T426" s="1131">
        <f t="shared" si="96"/>
        <v>0</v>
      </c>
      <c r="U426" s="1045"/>
      <c r="V426" s="1045">
        <f t="shared" si="97"/>
        <v>0</v>
      </c>
      <c r="W426" s="1132" t="e">
        <f>#REF!+U426+#REF!</f>
        <v>#REF!</v>
      </c>
      <c r="X426" s="1045" t="e">
        <f t="shared" si="98"/>
        <v>#REF!</v>
      </c>
      <c r="Y426" s="1132" t="e">
        <f>W426+S426+#REF!</f>
        <v>#REF!</v>
      </c>
      <c r="Z426" s="1045" t="e">
        <f t="shared" si="99"/>
        <v>#REF!</v>
      </c>
      <c r="AA426" s="892"/>
      <c r="AB426" s="891"/>
    </row>
    <row r="427" spans="1:28" s="486" customFormat="1">
      <c r="A427" s="1261"/>
      <c r="B427" s="1275" t="s">
        <v>2329</v>
      </c>
      <c r="C427" s="1263">
        <f>Elec.Data!K3384</f>
        <v>1754</v>
      </c>
      <c r="D427" s="1264"/>
      <c r="E427" s="1265"/>
      <c r="F427" s="1264"/>
      <c r="G427" s="1264"/>
      <c r="H427" s="1264"/>
      <c r="I427" s="1264"/>
      <c r="J427" s="1264"/>
      <c r="K427" s="1264"/>
      <c r="L427" s="1264"/>
      <c r="M427" s="1264"/>
      <c r="N427" s="1264"/>
      <c r="O427" s="1264"/>
      <c r="P427" s="1264"/>
      <c r="Q427" s="1264"/>
      <c r="R427" s="1264"/>
      <c r="S427" s="1266"/>
      <c r="T427" s="1131">
        <f t="shared" si="96"/>
        <v>0</v>
      </c>
      <c r="U427" s="1045"/>
      <c r="V427" s="1045">
        <f t="shared" si="97"/>
        <v>0</v>
      </c>
      <c r="W427" s="1132" t="e">
        <f>#REF!+U427+#REF!</f>
        <v>#REF!</v>
      </c>
      <c r="X427" s="1045" t="e">
        <f t="shared" si="98"/>
        <v>#REF!</v>
      </c>
      <c r="Y427" s="1132" t="e">
        <f>W427+S427+#REF!</f>
        <v>#REF!</v>
      </c>
      <c r="Z427" s="1045" t="e">
        <f t="shared" si="99"/>
        <v>#REF!</v>
      </c>
      <c r="AA427" s="892"/>
      <c r="AB427" s="891"/>
    </row>
    <row r="428" spans="1:28" s="486" customFormat="1">
      <c r="A428" s="1261"/>
      <c r="B428" s="1275" t="s">
        <v>2317</v>
      </c>
      <c r="C428" s="1263">
        <f>Elec.Data!K3389</f>
        <v>1858</v>
      </c>
      <c r="D428" s="1264"/>
      <c r="E428" s="1265"/>
      <c r="F428" s="1264"/>
      <c r="G428" s="1264"/>
      <c r="H428" s="1264"/>
      <c r="I428" s="1264"/>
      <c r="J428" s="1264"/>
      <c r="K428" s="1264"/>
      <c r="L428" s="1264"/>
      <c r="M428" s="1264"/>
      <c r="N428" s="1264"/>
      <c r="O428" s="1264"/>
      <c r="P428" s="1264"/>
      <c r="Q428" s="1264"/>
      <c r="R428" s="1264"/>
      <c r="S428" s="1266"/>
      <c r="T428" s="1131">
        <f t="shared" ref="T428:T491" si="100">S428*C428</f>
        <v>0</v>
      </c>
      <c r="U428" s="1045"/>
      <c r="V428" s="1045">
        <f t="shared" ref="V428:V488" si="101">U428*C428</f>
        <v>0</v>
      </c>
      <c r="W428" s="1132" t="e">
        <f>#REF!+U428+#REF!</f>
        <v>#REF!</v>
      </c>
      <c r="X428" s="1045" t="e">
        <f t="shared" si="98"/>
        <v>#REF!</v>
      </c>
      <c r="Y428" s="1132" t="e">
        <f>W428+S428+#REF!</f>
        <v>#REF!</v>
      </c>
      <c r="Z428" s="1045" t="e">
        <f t="shared" si="99"/>
        <v>#REF!</v>
      </c>
      <c r="AA428" s="892"/>
      <c r="AB428" s="891"/>
    </row>
    <row r="429" spans="1:28" s="486" customFormat="1" ht="45">
      <c r="A429" s="1261"/>
      <c r="B429" s="1275" t="s">
        <v>5676</v>
      </c>
      <c r="C429" s="1263">
        <f>Elec.Data!K3501</f>
        <v>142.29</v>
      </c>
      <c r="D429" s="1264"/>
      <c r="E429" s="1265"/>
      <c r="F429" s="1264"/>
      <c r="G429" s="1264"/>
      <c r="H429" s="1264"/>
      <c r="I429" s="1264"/>
      <c r="J429" s="1264"/>
      <c r="K429" s="1264"/>
      <c r="L429" s="1264"/>
      <c r="M429" s="1264"/>
      <c r="N429" s="1264"/>
      <c r="O429" s="1264"/>
      <c r="P429" s="1264"/>
      <c r="Q429" s="1264"/>
      <c r="R429" s="1264"/>
      <c r="S429" s="1266"/>
      <c r="T429" s="1131">
        <f t="shared" si="100"/>
        <v>0</v>
      </c>
      <c r="U429" s="1045"/>
      <c r="V429" s="1045">
        <f t="shared" si="101"/>
        <v>0</v>
      </c>
      <c r="W429" s="1132" t="e">
        <f>#REF!+U429+#REF!</f>
        <v>#REF!</v>
      </c>
      <c r="X429" s="1045" t="e">
        <f t="shared" si="98"/>
        <v>#REF!</v>
      </c>
      <c r="Y429" s="1132" t="e">
        <f>W429+S429+#REF!</f>
        <v>#REF!</v>
      </c>
      <c r="Z429" s="1045" t="e">
        <f t="shared" si="99"/>
        <v>#REF!</v>
      </c>
      <c r="AA429" s="892"/>
      <c r="AB429" s="891"/>
    </row>
    <row r="430" spans="1:28" s="486" customFormat="1" ht="45">
      <c r="A430" s="1261"/>
      <c r="B430" s="1275" t="s">
        <v>5677</v>
      </c>
      <c r="C430" s="1263">
        <f>Elec.Data!K3539</f>
        <v>250.43</v>
      </c>
      <c r="D430" s="1264"/>
      <c r="E430" s="1265"/>
      <c r="F430" s="1264"/>
      <c r="G430" s="1264"/>
      <c r="H430" s="1264"/>
      <c r="I430" s="1264"/>
      <c r="J430" s="1264"/>
      <c r="K430" s="1264"/>
      <c r="L430" s="1264"/>
      <c r="M430" s="1264"/>
      <c r="N430" s="1264"/>
      <c r="O430" s="1264"/>
      <c r="P430" s="1264"/>
      <c r="Q430" s="1264"/>
      <c r="R430" s="1264"/>
      <c r="S430" s="1266"/>
      <c r="T430" s="1131">
        <f t="shared" si="100"/>
        <v>0</v>
      </c>
      <c r="U430" s="1045"/>
      <c r="V430" s="1045">
        <f t="shared" si="101"/>
        <v>0</v>
      </c>
      <c r="W430" s="1132" t="e">
        <f>#REF!+U430+#REF!</f>
        <v>#REF!</v>
      </c>
      <c r="X430" s="1045" t="e">
        <f t="shared" si="98"/>
        <v>#REF!</v>
      </c>
      <c r="Y430" s="1132" t="e">
        <f>W430+S430+#REF!</f>
        <v>#REF!</v>
      </c>
      <c r="Z430" s="1045" t="e">
        <f t="shared" si="99"/>
        <v>#REF!</v>
      </c>
      <c r="AA430" s="892"/>
      <c r="AB430" s="891"/>
    </row>
    <row r="431" spans="1:28" s="486" customFormat="1">
      <c r="A431" s="1261"/>
      <c r="B431" s="1275" t="s">
        <v>2211</v>
      </c>
      <c r="C431" s="1263">
        <f>Elec.Data!K3547</f>
        <v>165</v>
      </c>
      <c r="D431" s="1264"/>
      <c r="E431" s="1265"/>
      <c r="F431" s="1264"/>
      <c r="G431" s="1264"/>
      <c r="H431" s="1264"/>
      <c r="I431" s="1264"/>
      <c r="J431" s="1264"/>
      <c r="K431" s="1264"/>
      <c r="L431" s="1264"/>
      <c r="M431" s="1264"/>
      <c r="N431" s="1264"/>
      <c r="O431" s="1264"/>
      <c r="P431" s="1264"/>
      <c r="Q431" s="1264"/>
      <c r="R431" s="1264"/>
      <c r="S431" s="1266"/>
      <c r="T431" s="1131">
        <f t="shared" si="100"/>
        <v>0</v>
      </c>
      <c r="U431" s="1045"/>
      <c r="V431" s="1045">
        <f t="shared" si="101"/>
        <v>0</v>
      </c>
      <c r="W431" s="1132" t="e">
        <f>#REF!+U431+#REF!</f>
        <v>#REF!</v>
      </c>
      <c r="X431" s="1045" t="e">
        <f t="shared" si="98"/>
        <v>#REF!</v>
      </c>
      <c r="Y431" s="1132" t="e">
        <f>W431+S431+#REF!</f>
        <v>#REF!</v>
      </c>
      <c r="Z431" s="1045" t="e">
        <f t="shared" si="99"/>
        <v>#REF!</v>
      </c>
      <c r="AA431" s="892"/>
      <c r="AB431" s="891"/>
    </row>
    <row r="432" spans="1:28" s="486" customFormat="1">
      <c r="A432" s="1261"/>
      <c r="B432" s="1275" t="s">
        <v>2224</v>
      </c>
      <c r="C432" s="1263">
        <f>Elec.Data!K3567</f>
        <v>245.46</v>
      </c>
      <c r="D432" s="1264"/>
      <c r="E432" s="1265"/>
      <c r="F432" s="1264"/>
      <c r="G432" s="1264"/>
      <c r="H432" s="1264"/>
      <c r="I432" s="1264"/>
      <c r="J432" s="1264"/>
      <c r="K432" s="1264"/>
      <c r="L432" s="1264"/>
      <c r="M432" s="1264"/>
      <c r="N432" s="1264"/>
      <c r="O432" s="1264"/>
      <c r="P432" s="1264"/>
      <c r="Q432" s="1264"/>
      <c r="R432" s="1264"/>
      <c r="S432" s="1266"/>
      <c r="T432" s="1131">
        <f t="shared" si="100"/>
        <v>0</v>
      </c>
      <c r="U432" s="1045"/>
      <c r="V432" s="1045">
        <f t="shared" si="101"/>
        <v>0</v>
      </c>
      <c r="W432" s="1132" t="e">
        <f>#REF!+U432+#REF!</f>
        <v>#REF!</v>
      </c>
      <c r="X432" s="1045" t="e">
        <f t="shared" ref="X432:X472" si="102">W432*C432</f>
        <v>#REF!</v>
      </c>
      <c r="Y432" s="1132" t="e">
        <f>W432+S432+#REF!</f>
        <v>#REF!</v>
      </c>
      <c r="Z432" s="1045" t="e">
        <f t="shared" si="99"/>
        <v>#REF!</v>
      </c>
      <c r="AA432" s="892"/>
      <c r="AB432" s="891"/>
    </row>
    <row r="433" spans="1:28" s="486" customFormat="1">
      <c r="A433" s="1261"/>
      <c r="B433" s="1275" t="s">
        <v>3254</v>
      </c>
      <c r="C433" s="1263">
        <f>Elec.Data!K3584</f>
        <v>150.69</v>
      </c>
      <c r="D433" s="1264"/>
      <c r="E433" s="1265"/>
      <c r="F433" s="1264"/>
      <c r="G433" s="1264"/>
      <c r="H433" s="1264"/>
      <c r="I433" s="1264"/>
      <c r="J433" s="1264"/>
      <c r="K433" s="1264"/>
      <c r="L433" s="1264"/>
      <c r="M433" s="1264"/>
      <c r="N433" s="1264"/>
      <c r="O433" s="1264"/>
      <c r="P433" s="1264"/>
      <c r="Q433" s="1264"/>
      <c r="R433" s="1264"/>
      <c r="S433" s="1266"/>
      <c r="T433" s="1131">
        <f t="shared" si="100"/>
        <v>0</v>
      </c>
      <c r="U433" s="1045"/>
      <c r="V433" s="1045">
        <f t="shared" si="101"/>
        <v>0</v>
      </c>
      <c r="W433" s="1132" t="e">
        <f>#REF!+U433+#REF!</f>
        <v>#REF!</v>
      </c>
      <c r="X433" s="1045" t="e">
        <f t="shared" si="102"/>
        <v>#REF!</v>
      </c>
      <c r="Y433" s="1132" t="e">
        <f>W433+S433+#REF!</f>
        <v>#REF!</v>
      </c>
      <c r="Z433" s="1045" t="e">
        <f t="shared" ref="Z433:Z473" si="103">Y433*C433</f>
        <v>#REF!</v>
      </c>
      <c r="AA433" s="892"/>
      <c r="AB433" s="891"/>
    </row>
    <row r="434" spans="1:28" s="486" customFormat="1">
      <c r="A434" s="1261"/>
      <c r="B434" s="1275" t="s">
        <v>2748</v>
      </c>
      <c r="C434" s="1263">
        <f>Elec.Data!K3619</f>
        <v>2092</v>
      </c>
      <c r="D434" s="1264"/>
      <c r="E434" s="1265"/>
      <c r="F434" s="1264"/>
      <c r="G434" s="1264"/>
      <c r="H434" s="1264"/>
      <c r="I434" s="1264"/>
      <c r="J434" s="1264"/>
      <c r="K434" s="1264"/>
      <c r="L434" s="1264"/>
      <c r="M434" s="1264"/>
      <c r="N434" s="1264"/>
      <c r="O434" s="1264"/>
      <c r="P434" s="1264"/>
      <c r="Q434" s="1264"/>
      <c r="R434" s="1264"/>
      <c r="S434" s="1266"/>
      <c r="T434" s="1131">
        <f t="shared" si="100"/>
        <v>0</v>
      </c>
      <c r="U434" s="1045"/>
      <c r="V434" s="1045">
        <f t="shared" si="101"/>
        <v>0</v>
      </c>
      <c r="W434" s="1132" t="e">
        <f>#REF!+U434+#REF!</f>
        <v>#REF!</v>
      </c>
      <c r="X434" s="1045" t="e">
        <f t="shared" si="102"/>
        <v>#REF!</v>
      </c>
      <c r="Y434" s="1132" t="e">
        <f>W434+S434+#REF!</f>
        <v>#REF!</v>
      </c>
      <c r="Z434" s="1045" t="e">
        <f t="shared" si="103"/>
        <v>#REF!</v>
      </c>
      <c r="AA434" s="892"/>
      <c r="AB434" s="891"/>
    </row>
    <row r="435" spans="1:28" s="486" customFormat="1" ht="112.5">
      <c r="A435" s="1261"/>
      <c r="B435" s="1275" t="s">
        <v>3029</v>
      </c>
      <c r="C435" s="1263">
        <f>Elec.Data!K3650</f>
        <v>2207</v>
      </c>
      <c r="D435" s="1264"/>
      <c r="E435" s="1265"/>
      <c r="F435" s="1264"/>
      <c r="G435" s="1264"/>
      <c r="H435" s="1264"/>
      <c r="I435" s="1264"/>
      <c r="J435" s="1264"/>
      <c r="K435" s="1264"/>
      <c r="L435" s="1264"/>
      <c r="M435" s="1264"/>
      <c r="N435" s="1264"/>
      <c r="O435" s="1264"/>
      <c r="P435" s="1264"/>
      <c r="Q435" s="1264"/>
      <c r="R435" s="1264"/>
      <c r="S435" s="1266"/>
      <c r="T435" s="1131">
        <f t="shared" si="100"/>
        <v>0</v>
      </c>
      <c r="U435" s="1045"/>
      <c r="V435" s="1045">
        <f t="shared" si="101"/>
        <v>0</v>
      </c>
      <c r="W435" s="1132" t="e">
        <f>#REF!+U435+#REF!</f>
        <v>#REF!</v>
      </c>
      <c r="X435" s="1045" t="e">
        <f t="shared" si="102"/>
        <v>#REF!</v>
      </c>
      <c r="Y435" s="1132" t="e">
        <f>W435+S435+#REF!</f>
        <v>#REF!</v>
      </c>
      <c r="Z435" s="1045" t="e">
        <f t="shared" si="103"/>
        <v>#REF!</v>
      </c>
      <c r="AA435" s="892"/>
      <c r="AB435" s="891"/>
    </row>
    <row r="436" spans="1:28" s="486" customFormat="1" ht="45">
      <c r="A436" s="1261"/>
      <c r="B436" s="1276" t="s">
        <v>1068</v>
      </c>
      <c r="C436" s="1263">
        <f>Elec.Data!K3676</f>
        <v>5044.38</v>
      </c>
      <c r="D436" s="1264"/>
      <c r="E436" s="1265"/>
      <c r="F436" s="1264"/>
      <c r="G436" s="1264"/>
      <c r="H436" s="1264"/>
      <c r="I436" s="1264"/>
      <c r="J436" s="1264"/>
      <c r="K436" s="1264"/>
      <c r="L436" s="1264"/>
      <c r="M436" s="1264"/>
      <c r="N436" s="1264"/>
      <c r="O436" s="1264"/>
      <c r="P436" s="1264"/>
      <c r="Q436" s="1264"/>
      <c r="R436" s="1264"/>
      <c r="S436" s="1266"/>
      <c r="T436" s="1131">
        <f t="shared" si="100"/>
        <v>0</v>
      </c>
      <c r="U436" s="1045"/>
      <c r="V436" s="1045">
        <f t="shared" si="101"/>
        <v>0</v>
      </c>
      <c r="W436" s="1132" t="e">
        <f>#REF!+U436+#REF!</f>
        <v>#REF!</v>
      </c>
      <c r="X436" s="1045" t="e">
        <f t="shared" si="102"/>
        <v>#REF!</v>
      </c>
      <c r="Y436" s="1132" t="e">
        <f>W436+S436+#REF!</f>
        <v>#REF!</v>
      </c>
      <c r="Z436" s="1045" t="e">
        <f t="shared" si="103"/>
        <v>#REF!</v>
      </c>
      <c r="AA436" s="892"/>
      <c r="AB436" s="891"/>
    </row>
    <row r="437" spans="1:28" s="486" customFormat="1" ht="45">
      <c r="A437" s="1261"/>
      <c r="B437" s="1276" t="s">
        <v>2212</v>
      </c>
      <c r="C437" s="1263">
        <f>Elec.Data!K3695</f>
        <v>89.94</v>
      </c>
      <c r="D437" s="1264"/>
      <c r="E437" s="1265"/>
      <c r="F437" s="1264"/>
      <c r="G437" s="1264"/>
      <c r="H437" s="1264"/>
      <c r="I437" s="1264"/>
      <c r="J437" s="1264"/>
      <c r="K437" s="1264"/>
      <c r="L437" s="1264"/>
      <c r="M437" s="1264"/>
      <c r="N437" s="1264"/>
      <c r="O437" s="1264"/>
      <c r="P437" s="1264"/>
      <c r="Q437" s="1264"/>
      <c r="R437" s="1264"/>
      <c r="S437" s="1266"/>
      <c r="T437" s="1131">
        <f t="shared" si="100"/>
        <v>0</v>
      </c>
      <c r="U437" s="1045"/>
      <c r="V437" s="1045">
        <f t="shared" si="101"/>
        <v>0</v>
      </c>
      <c r="W437" s="1132" t="e">
        <f>#REF!+U437+#REF!</f>
        <v>#REF!</v>
      </c>
      <c r="X437" s="1045" t="e">
        <f t="shared" si="102"/>
        <v>#REF!</v>
      </c>
      <c r="Y437" s="1132" t="e">
        <f>W437+S437+#REF!</f>
        <v>#REF!</v>
      </c>
      <c r="Z437" s="1045" t="e">
        <f t="shared" si="103"/>
        <v>#REF!</v>
      </c>
      <c r="AA437" s="892"/>
      <c r="AB437" s="891"/>
    </row>
    <row r="438" spans="1:28" s="486" customFormat="1">
      <c r="A438" s="1261"/>
      <c r="B438" s="1276" t="s">
        <v>2552</v>
      </c>
      <c r="C438" s="1263">
        <f>Elec.Data!K3702</f>
        <v>54</v>
      </c>
      <c r="D438" s="1264"/>
      <c r="E438" s="1265"/>
      <c r="F438" s="1264"/>
      <c r="G438" s="1264"/>
      <c r="H438" s="1264"/>
      <c r="I438" s="1264"/>
      <c r="J438" s="1264"/>
      <c r="K438" s="1264"/>
      <c r="L438" s="1264"/>
      <c r="M438" s="1264"/>
      <c r="N438" s="1264"/>
      <c r="O438" s="1264"/>
      <c r="P438" s="1264"/>
      <c r="Q438" s="1264"/>
      <c r="R438" s="1264"/>
      <c r="S438" s="1266"/>
      <c r="T438" s="1131">
        <f t="shared" si="100"/>
        <v>0</v>
      </c>
      <c r="U438" s="1045"/>
      <c r="V438" s="1045">
        <f t="shared" si="101"/>
        <v>0</v>
      </c>
      <c r="W438" s="1132" t="e">
        <f>#REF!+U438+#REF!</f>
        <v>#REF!</v>
      </c>
      <c r="X438" s="1045" t="e">
        <f t="shared" si="102"/>
        <v>#REF!</v>
      </c>
      <c r="Y438" s="1132" t="e">
        <f>W438+S438+#REF!</f>
        <v>#REF!</v>
      </c>
      <c r="Z438" s="1045" t="e">
        <f t="shared" si="103"/>
        <v>#REF!</v>
      </c>
      <c r="AA438" s="892"/>
      <c r="AB438" s="891"/>
    </row>
    <row r="439" spans="1:28" s="486" customFormat="1" ht="67.5">
      <c r="A439" s="1261"/>
      <c r="B439" s="1276" t="s">
        <v>2213</v>
      </c>
      <c r="C439" s="1263">
        <f>Elec.Data!K3727</f>
        <v>6840.4</v>
      </c>
      <c r="D439" s="1264"/>
      <c r="E439" s="1265"/>
      <c r="F439" s="1264"/>
      <c r="G439" s="1264"/>
      <c r="H439" s="1264"/>
      <c r="I439" s="1264"/>
      <c r="J439" s="1264"/>
      <c r="K439" s="1264"/>
      <c r="L439" s="1264"/>
      <c r="M439" s="1264"/>
      <c r="N439" s="1264"/>
      <c r="O439" s="1264"/>
      <c r="P439" s="1264"/>
      <c r="Q439" s="1264"/>
      <c r="R439" s="1264"/>
      <c r="S439" s="1266"/>
      <c r="T439" s="1131">
        <f t="shared" si="100"/>
        <v>0</v>
      </c>
      <c r="U439" s="1045"/>
      <c r="V439" s="1045">
        <f t="shared" si="101"/>
        <v>0</v>
      </c>
      <c r="W439" s="1132" t="e">
        <f>#REF!+U439+#REF!</f>
        <v>#REF!</v>
      </c>
      <c r="X439" s="1045" t="e">
        <f t="shared" si="102"/>
        <v>#REF!</v>
      </c>
      <c r="Y439" s="1132" t="e">
        <f>W439+S439+#REF!</f>
        <v>#REF!</v>
      </c>
      <c r="Z439" s="1045" t="e">
        <f t="shared" si="103"/>
        <v>#REF!</v>
      </c>
      <c r="AA439" s="892"/>
      <c r="AB439" s="891"/>
    </row>
    <row r="440" spans="1:28" s="486" customFormat="1">
      <c r="A440" s="1261"/>
      <c r="B440" s="1276" t="s">
        <v>2354</v>
      </c>
      <c r="C440" s="1263">
        <f>Elec.Data!K3774</f>
        <v>582.49</v>
      </c>
      <c r="D440" s="1264"/>
      <c r="E440" s="1265"/>
      <c r="F440" s="1264"/>
      <c r="G440" s="1264"/>
      <c r="H440" s="1264"/>
      <c r="I440" s="1264"/>
      <c r="J440" s="1264"/>
      <c r="K440" s="1264"/>
      <c r="L440" s="1264"/>
      <c r="M440" s="1264"/>
      <c r="N440" s="1264"/>
      <c r="O440" s="1264"/>
      <c r="P440" s="1264"/>
      <c r="Q440" s="1264"/>
      <c r="R440" s="1264"/>
      <c r="S440" s="1266"/>
      <c r="T440" s="1131">
        <f t="shared" si="100"/>
        <v>0</v>
      </c>
      <c r="U440" s="1045"/>
      <c r="V440" s="1045">
        <f t="shared" si="101"/>
        <v>0</v>
      </c>
      <c r="W440" s="1132" t="e">
        <f>#REF!+U440+#REF!</f>
        <v>#REF!</v>
      </c>
      <c r="X440" s="1045" t="e">
        <f t="shared" si="102"/>
        <v>#REF!</v>
      </c>
      <c r="Y440" s="1132" t="e">
        <f>W440+S440+#REF!</f>
        <v>#REF!</v>
      </c>
      <c r="Z440" s="1045" t="e">
        <f t="shared" si="103"/>
        <v>#REF!</v>
      </c>
      <c r="AA440" s="892"/>
      <c r="AB440" s="891"/>
    </row>
    <row r="441" spans="1:28" s="486" customFormat="1" ht="45">
      <c r="A441" s="1261"/>
      <c r="B441" s="1277" t="s">
        <v>5678</v>
      </c>
      <c r="C441" s="1263">
        <f>Elec.Data!K3824</f>
        <v>830.01</v>
      </c>
      <c r="D441" s="1264"/>
      <c r="E441" s="1265"/>
      <c r="F441" s="1264"/>
      <c r="G441" s="1264"/>
      <c r="H441" s="1264"/>
      <c r="I441" s="1264"/>
      <c r="J441" s="1264"/>
      <c r="K441" s="1264"/>
      <c r="L441" s="1264"/>
      <c r="M441" s="1264"/>
      <c r="N441" s="1264"/>
      <c r="O441" s="1264"/>
      <c r="P441" s="1264"/>
      <c r="Q441" s="1264"/>
      <c r="R441" s="1264"/>
      <c r="S441" s="1266"/>
      <c r="T441" s="1131">
        <f t="shared" si="100"/>
        <v>0</v>
      </c>
      <c r="U441" s="1045"/>
      <c r="V441" s="1045">
        <f t="shared" si="101"/>
        <v>0</v>
      </c>
      <c r="W441" s="1132" t="e">
        <f>#REF!+U441+#REF!</f>
        <v>#REF!</v>
      </c>
      <c r="X441" s="1045" t="e">
        <f t="shared" si="102"/>
        <v>#REF!</v>
      </c>
      <c r="Y441" s="1132" t="e">
        <f>W441+S441+#REF!</f>
        <v>#REF!</v>
      </c>
      <c r="Z441" s="1045" t="e">
        <f t="shared" si="103"/>
        <v>#REF!</v>
      </c>
      <c r="AA441" s="892"/>
      <c r="AB441" s="891"/>
    </row>
    <row r="442" spans="1:28" s="486" customFormat="1" ht="45">
      <c r="A442" s="1261"/>
      <c r="B442" s="1276" t="s">
        <v>5679</v>
      </c>
      <c r="C442" s="1263">
        <f>Elec.Data!K3850</f>
        <v>833.16</v>
      </c>
      <c r="D442" s="1264"/>
      <c r="E442" s="1265"/>
      <c r="F442" s="1264"/>
      <c r="G442" s="1264"/>
      <c r="H442" s="1264"/>
      <c r="I442" s="1264"/>
      <c r="J442" s="1264"/>
      <c r="K442" s="1264"/>
      <c r="L442" s="1264"/>
      <c r="M442" s="1264"/>
      <c r="N442" s="1264"/>
      <c r="O442" s="1264"/>
      <c r="P442" s="1264"/>
      <c r="Q442" s="1264"/>
      <c r="R442" s="1264"/>
      <c r="S442" s="1266"/>
      <c r="T442" s="1131">
        <f t="shared" si="100"/>
        <v>0</v>
      </c>
      <c r="U442" s="1045"/>
      <c r="V442" s="1045">
        <f t="shared" si="101"/>
        <v>0</v>
      </c>
      <c r="W442" s="1132" t="e">
        <f>#REF!+U442+#REF!</f>
        <v>#REF!</v>
      </c>
      <c r="X442" s="1045" t="e">
        <f t="shared" si="102"/>
        <v>#REF!</v>
      </c>
      <c r="Y442" s="1132" t="e">
        <f>W442+S442+#REF!</f>
        <v>#REF!</v>
      </c>
      <c r="Z442" s="1045" t="e">
        <f t="shared" si="103"/>
        <v>#REF!</v>
      </c>
      <c r="AA442" s="892"/>
      <c r="AB442" s="891"/>
    </row>
    <row r="443" spans="1:28" s="486" customFormat="1" ht="67.5">
      <c r="A443" s="1261"/>
      <c r="B443" s="1277" t="s">
        <v>5680</v>
      </c>
      <c r="C443" s="1263">
        <f>Elec.Data!K3866</f>
        <v>871.29</v>
      </c>
      <c r="D443" s="1264"/>
      <c r="E443" s="1265"/>
      <c r="F443" s="1264"/>
      <c r="G443" s="1264"/>
      <c r="H443" s="1264"/>
      <c r="I443" s="1264"/>
      <c r="J443" s="1264"/>
      <c r="K443" s="1264"/>
      <c r="L443" s="1264"/>
      <c r="M443" s="1264"/>
      <c r="N443" s="1264"/>
      <c r="O443" s="1264"/>
      <c r="P443" s="1264"/>
      <c r="Q443" s="1264"/>
      <c r="R443" s="1264"/>
      <c r="S443" s="1266"/>
      <c r="T443" s="1131">
        <f t="shared" si="100"/>
        <v>0</v>
      </c>
      <c r="U443" s="1045"/>
      <c r="V443" s="1045">
        <f t="shared" si="101"/>
        <v>0</v>
      </c>
      <c r="W443" s="1132" t="e">
        <f>#REF!+U443+#REF!</f>
        <v>#REF!</v>
      </c>
      <c r="X443" s="1045" t="e">
        <f t="shared" si="102"/>
        <v>#REF!</v>
      </c>
      <c r="Y443" s="1132" t="e">
        <f>W443+S443+#REF!</f>
        <v>#REF!</v>
      </c>
      <c r="Z443" s="1045" t="e">
        <f t="shared" si="103"/>
        <v>#REF!</v>
      </c>
      <c r="AA443" s="892"/>
      <c r="AB443" s="891"/>
    </row>
    <row r="444" spans="1:28" s="486" customFormat="1" ht="45">
      <c r="A444" s="1261"/>
      <c r="B444" s="1277" t="s">
        <v>5681</v>
      </c>
      <c r="C444" s="1263">
        <f>Elec.Data!K3888</f>
        <v>917.36</v>
      </c>
      <c r="D444" s="1264"/>
      <c r="E444" s="1265"/>
      <c r="F444" s="1264"/>
      <c r="G444" s="1264"/>
      <c r="H444" s="1264"/>
      <c r="I444" s="1264"/>
      <c r="J444" s="1264"/>
      <c r="K444" s="1264"/>
      <c r="L444" s="1264"/>
      <c r="M444" s="1264"/>
      <c r="N444" s="1264"/>
      <c r="O444" s="1264"/>
      <c r="P444" s="1264"/>
      <c r="Q444" s="1264"/>
      <c r="R444" s="1264"/>
      <c r="S444" s="1266"/>
      <c r="T444" s="1131">
        <f t="shared" si="100"/>
        <v>0</v>
      </c>
      <c r="U444" s="1045"/>
      <c r="V444" s="1045">
        <f t="shared" si="101"/>
        <v>0</v>
      </c>
      <c r="W444" s="1132" t="e">
        <f>#REF!+U444+#REF!</f>
        <v>#REF!</v>
      </c>
      <c r="X444" s="1045" t="e">
        <f t="shared" si="102"/>
        <v>#REF!</v>
      </c>
      <c r="Y444" s="1132" t="e">
        <f>W444+S444+#REF!</f>
        <v>#REF!</v>
      </c>
      <c r="Z444" s="1045" t="e">
        <f t="shared" si="103"/>
        <v>#REF!</v>
      </c>
      <c r="AA444" s="892"/>
      <c r="AB444" s="891"/>
    </row>
    <row r="445" spans="1:28" s="486" customFormat="1" ht="67.5">
      <c r="A445" s="1261"/>
      <c r="B445" s="1277" t="s">
        <v>5682</v>
      </c>
      <c r="C445" s="1263">
        <f>Elec.Data!K3908</f>
        <v>1963.89</v>
      </c>
      <c r="D445" s="1264"/>
      <c r="E445" s="1265"/>
      <c r="F445" s="1264"/>
      <c r="G445" s="1264"/>
      <c r="H445" s="1264"/>
      <c r="I445" s="1264"/>
      <c r="J445" s="1264"/>
      <c r="K445" s="1264"/>
      <c r="L445" s="1264"/>
      <c r="M445" s="1264"/>
      <c r="N445" s="1264"/>
      <c r="O445" s="1264"/>
      <c r="P445" s="1264"/>
      <c r="Q445" s="1264"/>
      <c r="R445" s="1264"/>
      <c r="S445" s="1266"/>
      <c r="T445" s="1131">
        <f t="shared" si="100"/>
        <v>0</v>
      </c>
      <c r="U445" s="1045"/>
      <c r="V445" s="1045">
        <f t="shared" si="101"/>
        <v>0</v>
      </c>
      <c r="W445" s="1132" t="e">
        <f>#REF!+U445+#REF!</f>
        <v>#REF!</v>
      </c>
      <c r="X445" s="1045" t="e">
        <f t="shared" si="102"/>
        <v>#REF!</v>
      </c>
      <c r="Y445" s="1132" t="e">
        <f>W445+S445+#REF!</f>
        <v>#REF!</v>
      </c>
      <c r="Z445" s="1045" t="e">
        <f t="shared" si="103"/>
        <v>#REF!</v>
      </c>
      <c r="AA445" s="892"/>
      <c r="AB445" s="891"/>
    </row>
    <row r="446" spans="1:28" s="486" customFormat="1" ht="45">
      <c r="A446" s="1261"/>
      <c r="B446" s="1277" t="s">
        <v>5683</v>
      </c>
      <c r="C446" s="1263">
        <f>Elec.Data!K3927</f>
        <v>638.45000000000005</v>
      </c>
      <c r="D446" s="1264"/>
      <c r="E446" s="1265"/>
      <c r="F446" s="1264"/>
      <c r="G446" s="1264"/>
      <c r="H446" s="1264"/>
      <c r="I446" s="1264"/>
      <c r="J446" s="1264"/>
      <c r="K446" s="1264"/>
      <c r="L446" s="1264"/>
      <c r="M446" s="1264"/>
      <c r="N446" s="1264"/>
      <c r="O446" s="1264"/>
      <c r="P446" s="1264"/>
      <c r="Q446" s="1264"/>
      <c r="R446" s="1264"/>
      <c r="S446" s="1266"/>
      <c r="T446" s="1131">
        <f t="shared" si="100"/>
        <v>0</v>
      </c>
      <c r="U446" s="1045"/>
      <c r="V446" s="1045">
        <f t="shared" si="101"/>
        <v>0</v>
      </c>
      <c r="W446" s="1132" t="e">
        <f>#REF!+U446+#REF!</f>
        <v>#REF!</v>
      </c>
      <c r="X446" s="1045" t="e">
        <f t="shared" si="102"/>
        <v>#REF!</v>
      </c>
      <c r="Y446" s="1132" t="e">
        <f>W446+S446+#REF!</f>
        <v>#REF!</v>
      </c>
      <c r="Z446" s="1045" t="e">
        <f t="shared" si="103"/>
        <v>#REF!</v>
      </c>
      <c r="AA446" s="892"/>
      <c r="AB446" s="891"/>
    </row>
    <row r="447" spans="1:28" s="486" customFormat="1" ht="45">
      <c r="A447" s="1261"/>
      <c r="B447" s="1277" t="s">
        <v>5684</v>
      </c>
      <c r="C447" s="1263">
        <f>Elec.Data!K3951</f>
        <v>119.23</v>
      </c>
      <c r="D447" s="1264"/>
      <c r="E447" s="1265"/>
      <c r="F447" s="1264"/>
      <c r="G447" s="1264"/>
      <c r="H447" s="1264"/>
      <c r="I447" s="1264"/>
      <c r="J447" s="1264"/>
      <c r="K447" s="1264"/>
      <c r="L447" s="1264"/>
      <c r="M447" s="1264"/>
      <c r="N447" s="1264"/>
      <c r="O447" s="1264"/>
      <c r="P447" s="1264"/>
      <c r="Q447" s="1264"/>
      <c r="R447" s="1264"/>
      <c r="S447" s="1266"/>
      <c r="T447" s="1131">
        <f t="shared" si="100"/>
        <v>0</v>
      </c>
      <c r="U447" s="1045"/>
      <c r="V447" s="1045">
        <f t="shared" si="101"/>
        <v>0</v>
      </c>
      <c r="W447" s="1132" t="e">
        <f>#REF!+U447+#REF!</f>
        <v>#REF!</v>
      </c>
      <c r="X447" s="1045" t="e">
        <f t="shared" si="102"/>
        <v>#REF!</v>
      </c>
      <c r="Y447" s="1132" t="e">
        <f>W447+S447+#REF!</f>
        <v>#REF!</v>
      </c>
      <c r="Z447" s="1045" t="e">
        <f t="shared" si="103"/>
        <v>#REF!</v>
      </c>
      <c r="AA447" s="892"/>
      <c r="AB447" s="891"/>
    </row>
    <row r="448" spans="1:28" s="486" customFormat="1" ht="45">
      <c r="A448" s="1261"/>
      <c r="B448" s="1276" t="s">
        <v>5685</v>
      </c>
      <c r="C448" s="1263">
        <f>Elec.Data!K3962</f>
        <v>136.43</v>
      </c>
      <c r="D448" s="1264"/>
      <c r="E448" s="1265"/>
      <c r="F448" s="1264"/>
      <c r="G448" s="1264"/>
      <c r="H448" s="1264"/>
      <c r="I448" s="1264"/>
      <c r="J448" s="1264"/>
      <c r="K448" s="1264"/>
      <c r="L448" s="1264"/>
      <c r="M448" s="1264"/>
      <c r="N448" s="1264"/>
      <c r="O448" s="1264"/>
      <c r="P448" s="1264"/>
      <c r="Q448" s="1264"/>
      <c r="R448" s="1264"/>
      <c r="S448" s="1266"/>
      <c r="T448" s="1131">
        <f t="shared" si="100"/>
        <v>0</v>
      </c>
      <c r="U448" s="1045"/>
      <c r="V448" s="1045">
        <f t="shared" si="101"/>
        <v>0</v>
      </c>
      <c r="W448" s="1132" t="e">
        <f>#REF!+U448+#REF!</f>
        <v>#REF!</v>
      </c>
      <c r="X448" s="1045" t="e">
        <f t="shared" si="102"/>
        <v>#REF!</v>
      </c>
      <c r="Y448" s="1132" t="e">
        <f>W448+S448+#REF!</f>
        <v>#REF!</v>
      </c>
      <c r="Z448" s="1045" t="e">
        <f t="shared" si="103"/>
        <v>#REF!</v>
      </c>
      <c r="AA448" s="892"/>
      <c r="AB448" s="891"/>
    </row>
    <row r="449" spans="1:28" s="486" customFormat="1">
      <c r="A449" s="1261"/>
      <c r="B449" s="1276" t="s">
        <v>2831</v>
      </c>
      <c r="C449" s="1263">
        <f>Data!R387</f>
        <v>19.96</v>
      </c>
      <c r="D449" s="1264"/>
      <c r="E449" s="1265"/>
      <c r="F449" s="1264"/>
      <c r="G449" s="1264"/>
      <c r="H449" s="1264"/>
      <c r="I449" s="1264"/>
      <c r="J449" s="1264"/>
      <c r="K449" s="1264"/>
      <c r="L449" s="1264"/>
      <c r="M449" s="1264"/>
      <c r="N449" s="1264"/>
      <c r="O449" s="1264"/>
      <c r="P449" s="1264"/>
      <c r="Q449" s="1264"/>
      <c r="R449" s="1264"/>
      <c r="S449" s="1266"/>
      <c r="T449" s="1131">
        <f t="shared" si="100"/>
        <v>0</v>
      </c>
      <c r="U449" s="1045"/>
      <c r="V449" s="1045">
        <f t="shared" si="101"/>
        <v>0</v>
      </c>
      <c r="W449" s="1132" t="e">
        <f>#REF!+U449+#REF!</f>
        <v>#REF!</v>
      </c>
      <c r="X449" s="1045" t="e">
        <f t="shared" si="102"/>
        <v>#REF!</v>
      </c>
      <c r="Y449" s="1132" t="e">
        <f>W449+S449+#REF!</f>
        <v>#REF!</v>
      </c>
      <c r="Z449" s="1045" t="e">
        <f t="shared" si="103"/>
        <v>#REF!</v>
      </c>
      <c r="AA449" s="892"/>
      <c r="AB449" s="891"/>
    </row>
    <row r="450" spans="1:28" s="486" customFormat="1">
      <c r="A450" s="1261"/>
      <c r="B450" s="1276" t="s">
        <v>522</v>
      </c>
      <c r="C450" s="1263">
        <f>C449+C452</f>
        <v>23.61</v>
      </c>
      <c r="D450" s="1264"/>
      <c r="E450" s="1265"/>
      <c r="F450" s="1264"/>
      <c r="G450" s="1264"/>
      <c r="H450" s="1264"/>
      <c r="I450" s="1264"/>
      <c r="J450" s="1264"/>
      <c r="K450" s="1264"/>
      <c r="L450" s="1264"/>
      <c r="M450" s="1264"/>
      <c r="N450" s="1264"/>
      <c r="O450" s="1264"/>
      <c r="P450" s="1264"/>
      <c r="Q450" s="1264"/>
      <c r="R450" s="1264"/>
      <c r="S450" s="1266"/>
      <c r="T450" s="1131">
        <f t="shared" si="100"/>
        <v>0</v>
      </c>
      <c r="U450" s="1045"/>
      <c r="V450" s="1045">
        <f t="shared" si="101"/>
        <v>0</v>
      </c>
      <c r="W450" s="1132" t="e">
        <f>#REF!+U450+#REF!</f>
        <v>#REF!</v>
      </c>
      <c r="X450" s="1045" t="e">
        <f t="shared" si="102"/>
        <v>#REF!</v>
      </c>
      <c r="Y450" s="1132" t="e">
        <f>W450+S450+#REF!</f>
        <v>#REF!</v>
      </c>
      <c r="Z450" s="1045" t="e">
        <f t="shared" si="103"/>
        <v>#REF!</v>
      </c>
      <c r="AA450" s="892"/>
      <c r="AB450" s="891"/>
    </row>
    <row r="451" spans="1:28" s="486" customFormat="1">
      <c r="A451" s="1261"/>
      <c r="B451" s="1276" t="s">
        <v>2826</v>
      </c>
      <c r="C451" s="1263">
        <f>Data!R401</f>
        <v>29.07</v>
      </c>
      <c r="D451" s="1264"/>
      <c r="E451" s="1265"/>
      <c r="F451" s="1264"/>
      <c r="G451" s="1264"/>
      <c r="H451" s="1264"/>
      <c r="I451" s="1264"/>
      <c r="J451" s="1264"/>
      <c r="K451" s="1264"/>
      <c r="L451" s="1264"/>
      <c r="M451" s="1264"/>
      <c r="N451" s="1264"/>
      <c r="O451" s="1264"/>
      <c r="P451" s="1264"/>
      <c r="Q451" s="1264"/>
      <c r="R451" s="1264"/>
      <c r="S451" s="1266"/>
      <c r="T451" s="1131">
        <f t="shared" si="100"/>
        <v>0</v>
      </c>
      <c r="U451" s="1045"/>
      <c r="V451" s="1045">
        <f t="shared" si="101"/>
        <v>0</v>
      </c>
      <c r="W451" s="1132" t="e">
        <f>#REF!+U451+#REF!</f>
        <v>#REF!</v>
      </c>
      <c r="X451" s="1045" t="e">
        <f t="shared" si="102"/>
        <v>#REF!</v>
      </c>
      <c r="Y451" s="1132" t="e">
        <f>W451+S451+#REF!</f>
        <v>#REF!</v>
      </c>
      <c r="Z451" s="1045" t="e">
        <f t="shared" si="103"/>
        <v>#REF!</v>
      </c>
      <c r="AA451" s="892"/>
      <c r="AB451" s="891"/>
    </row>
    <row r="452" spans="1:28" s="486" customFormat="1">
      <c r="A452" s="1261"/>
      <c r="B452" s="1276" t="s">
        <v>2832</v>
      </c>
      <c r="C452" s="1263">
        <f>Data!I3175</f>
        <v>3.65</v>
      </c>
      <c r="D452" s="1264"/>
      <c r="E452" s="1265"/>
      <c r="F452" s="1264"/>
      <c r="G452" s="1264"/>
      <c r="H452" s="1264"/>
      <c r="I452" s="1264"/>
      <c r="J452" s="1264"/>
      <c r="K452" s="1264"/>
      <c r="L452" s="1264"/>
      <c r="M452" s="1264"/>
      <c r="N452" s="1264"/>
      <c r="O452" s="1264"/>
      <c r="P452" s="1264"/>
      <c r="Q452" s="1264"/>
      <c r="R452" s="1264"/>
      <c r="S452" s="1266"/>
      <c r="T452" s="1131">
        <f t="shared" si="100"/>
        <v>0</v>
      </c>
      <c r="U452" s="1045"/>
      <c r="V452" s="1045">
        <f t="shared" si="101"/>
        <v>0</v>
      </c>
      <c r="W452" s="1132" t="e">
        <f>#REF!+U452+#REF!</f>
        <v>#REF!</v>
      </c>
      <c r="X452" s="1045" t="e">
        <f t="shared" si="102"/>
        <v>#REF!</v>
      </c>
      <c r="Y452" s="1132" t="e">
        <f>W452+S452+#REF!</f>
        <v>#REF!</v>
      </c>
      <c r="Z452" s="1045" t="e">
        <f t="shared" si="103"/>
        <v>#REF!</v>
      </c>
      <c r="AA452" s="892"/>
      <c r="AB452" s="891"/>
    </row>
    <row r="453" spans="1:28" s="486" customFormat="1">
      <c r="A453" s="1261"/>
      <c r="B453" s="1276" t="s">
        <v>2833</v>
      </c>
      <c r="C453" s="1263">
        <f>Data!I3201</f>
        <v>7.9</v>
      </c>
      <c r="D453" s="1264"/>
      <c r="E453" s="1265"/>
      <c r="F453" s="1264"/>
      <c r="G453" s="1264"/>
      <c r="H453" s="1264"/>
      <c r="I453" s="1264"/>
      <c r="J453" s="1264"/>
      <c r="K453" s="1264"/>
      <c r="L453" s="1264"/>
      <c r="M453" s="1264"/>
      <c r="N453" s="1264"/>
      <c r="O453" s="1264"/>
      <c r="P453" s="1264"/>
      <c r="Q453" s="1264"/>
      <c r="R453" s="1264"/>
      <c r="S453" s="1266"/>
      <c r="T453" s="1131">
        <f t="shared" si="100"/>
        <v>0</v>
      </c>
      <c r="U453" s="1045"/>
      <c r="V453" s="1045">
        <f t="shared" si="101"/>
        <v>0</v>
      </c>
      <c r="W453" s="1132" t="e">
        <f>#REF!+U453+#REF!</f>
        <v>#REF!</v>
      </c>
      <c r="X453" s="1045" t="e">
        <f t="shared" si="102"/>
        <v>#REF!</v>
      </c>
      <c r="Y453" s="1132" t="e">
        <f>W453+S453+#REF!</f>
        <v>#REF!</v>
      </c>
      <c r="Z453" s="1045" t="e">
        <f t="shared" si="103"/>
        <v>#REF!</v>
      </c>
      <c r="AA453" s="892"/>
      <c r="AB453" s="891"/>
    </row>
    <row r="454" spans="1:28" s="486" customFormat="1">
      <c r="A454" s="1261"/>
      <c r="B454" s="1276" t="s">
        <v>2834</v>
      </c>
      <c r="C454" s="1263">
        <f>Data!I3215</f>
        <v>8.5</v>
      </c>
      <c r="D454" s="1264"/>
      <c r="E454" s="1265"/>
      <c r="F454" s="1264"/>
      <c r="G454" s="1264"/>
      <c r="H454" s="1264"/>
      <c r="I454" s="1264"/>
      <c r="J454" s="1264"/>
      <c r="K454" s="1264"/>
      <c r="L454" s="1264"/>
      <c r="M454" s="1264"/>
      <c r="N454" s="1264"/>
      <c r="O454" s="1264"/>
      <c r="P454" s="1264"/>
      <c r="Q454" s="1264"/>
      <c r="R454" s="1264"/>
      <c r="S454" s="1266"/>
      <c r="T454" s="1131">
        <f t="shared" si="100"/>
        <v>0</v>
      </c>
      <c r="U454" s="1045"/>
      <c r="V454" s="1045">
        <f t="shared" si="101"/>
        <v>0</v>
      </c>
      <c r="W454" s="1132" t="e">
        <f>#REF!+U454+#REF!</f>
        <v>#REF!</v>
      </c>
      <c r="X454" s="1045" t="e">
        <f t="shared" si="102"/>
        <v>#REF!</v>
      </c>
      <c r="Y454" s="1132" t="e">
        <f>W454+S454+#REF!</f>
        <v>#REF!</v>
      </c>
      <c r="Z454" s="1045" t="e">
        <f t="shared" si="103"/>
        <v>#REF!</v>
      </c>
      <c r="AA454" s="892"/>
      <c r="AB454" s="891"/>
    </row>
    <row r="455" spans="1:28" s="486" customFormat="1">
      <c r="A455" s="1261"/>
      <c r="B455" s="1276" t="s">
        <v>2824</v>
      </c>
      <c r="C455" s="1263">
        <f>Data!K3191</f>
        <v>62.39</v>
      </c>
      <c r="D455" s="1264"/>
      <c r="E455" s="1265"/>
      <c r="F455" s="1264"/>
      <c r="G455" s="1264"/>
      <c r="H455" s="1264"/>
      <c r="I455" s="1264"/>
      <c r="J455" s="1264"/>
      <c r="K455" s="1264"/>
      <c r="L455" s="1264"/>
      <c r="M455" s="1264"/>
      <c r="N455" s="1264"/>
      <c r="O455" s="1264"/>
      <c r="P455" s="1264"/>
      <c r="Q455" s="1264"/>
      <c r="R455" s="1264"/>
      <c r="S455" s="1266"/>
      <c r="T455" s="1131">
        <f t="shared" si="100"/>
        <v>0</v>
      </c>
      <c r="U455" s="1045"/>
      <c r="V455" s="1045">
        <f t="shared" si="101"/>
        <v>0</v>
      </c>
      <c r="W455" s="1132" t="e">
        <f>#REF!+U455+#REF!</f>
        <v>#REF!</v>
      </c>
      <c r="X455" s="1045" t="e">
        <f t="shared" si="102"/>
        <v>#REF!</v>
      </c>
      <c r="Y455" s="1132" t="e">
        <f>W455+S455+#REF!</f>
        <v>#REF!</v>
      </c>
      <c r="Z455" s="1045" t="e">
        <f t="shared" si="103"/>
        <v>#REF!</v>
      </c>
      <c r="AA455" s="892"/>
      <c r="AB455" s="891"/>
    </row>
    <row r="456" spans="1:28" s="486" customFormat="1">
      <c r="A456" s="1261"/>
      <c r="B456" s="1276" t="s">
        <v>2825</v>
      </c>
      <c r="C456" s="1263">
        <f>Data!K3178</f>
        <v>119.16</v>
      </c>
      <c r="D456" s="1264"/>
      <c r="E456" s="1265"/>
      <c r="F456" s="1264"/>
      <c r="G456" s="1264"/>
      <c r="H456" s="1264"/>
      <c r="I456" s="1264"/>
      <c r="J456" s="1264"/>
      <c r="K456" s="1264"/>
      <c r="L456" s="1264"/>
      <c r="M456" s="1264"/>
      <c r="N456" s="1264"/>
      <c r="O456" s="1264"/>
      <c r="P456" s="1264"/>
      <c r="Q456" s="1264"/>
      <c r="R456" s="1264"/>
      <c r="S456" s="1266"/>
      <c r="T456" s="1131">
        <f t="shared" si="100"/>
        <v>0</v>
      </c>
      <c r="U456" s="1045"/>
      <c r="V456" s="1045">
        <f t="shared" si="101"/>
        <v>0</v>
      </c>
      <c r="W456" s="1132" t="e">
        <f>#REF!+U456+#REF!</f>
        <v>#REF!</v>
      </c>
      <c r="X456" s="1045" t="e">
        <f t="shared" si="102"/>
        <v>#REF!</v>
      </c>
      <c r="Y456" s="1132" t="e">
        <f>W456+S456+#REF!</f>
        <v>#REF!</v>
      </c>
      <c r="Z456" s="1045" t="e">
        <f t="shared" si="103"/>
        <v>#REF!</v>
      </c>
      <c r="AA456" s="892"/>
      <c r="AB456" s="891"/>
    </row>
    <row r="457" spans="1:28" s="486" customFormat="1">
      <c r="A457" s="1261"/>
      <c r="B457" s="1261" t="s">
        <v>2827</v>
      </c>
      <c r="C457" s="1263">
        <f>Data!K3205</f>
        <v>81.36</v>
      </c>
      <c r="D457" s="1264"/>
      <c r="E457" s="1265"/>
      <c r="F457" s="1264"/>
      <c r="G457" s="1264"/>
      <c r="H457" s="1264"/>
      <c r="I457" s="1264"/>
      <c r="J457" s="1264"/>
      <c r="K457" s="1264"/>
      <c r="L457" s="1264"/>
      <c r="M457" s="1264"/>
      <c r="N457" s="1264"/>
      <c r="O457" s="1264"/>
      <c r="P457" s="1264"/>
      <c r="Q457" s="1264"/>
      <c r="R457" s="1264"/>
      <c r="S457" s="1266"/>
      <c r="T457" s="1131">
        <f t="shared" si="100"/>
        <v>0</v>
      </c>
      <c r="U457" s="1045"/>
      <c r="V457" s="1045">
        <f t="shared" si="101"/>
        <v>0</v>
      </c>
      <c r="W457" s="1132" t="e">
        <f>#REF!+U457+#REF!</f>
        <v>#REF!</v>
      </c>
      <c r="X457" s="1045" t="e">
        <f t="shared" si="102"/>
        <v>#REF!</v>
      </c>
      <c r="Y457" s="1132" t="e">
        <f>W457+S457+#REF!</f>
        <v>#REF!</v>
      </c>
      <c r="Z457" s="1045" t="e">
        <f t="shared" si="103"/>
        <v>#REF!</v>
      </c>
      <c r="AA457" s="892"/>
      <c r="AB457" s="891"/>
    </row>
    <row r="458" spans="1:28" s="486" customFormat="1">
      <c r="A458" s="1000"/>
      <c r="B458" s="1000" t="s">
        <v>2829</v>
      </c>
      <c r="C458" s="1278">
        <f>Data!K3250</f>
        <v>126.37</v>
      </c>
      <c r="D458" s="1264"/>
      <c r="E458" s="1265"/>
      <c r="F458" s="1264"/>
      <c r="G458" s="1264"/>
      <c r="H458" s="1264"/>
      <c r="I458" s="1264"/>
      <c r="J458" s="1264"/>
      <c r="K458" s="1264"/>
      <c r="L458" s="1264"/>
      <c r="M458" s="1264"/>
      <c r="N458" s="1264"/>
      <c r="O458" s="1264"/>
      <c r="P458" s="1264"/>
      <c r="Q458" s="1264"/>
      <c r="R458" s="1264"/>
      <c r="S458" s="1266"/>
      <c r="T458" s="1131">
        <f t="shared" si="100"/>
        <v>0</v>
      </c>
      <c r="U458" s="1045"/>
      <c r="V458" s="1045">
        <f t="shared" si="101"/>
        <v>0</v>
      </c>
      <c r="W458" s="1132" t="e">
        <f>#REF!+U458+#REF!</f>
        <v>#REF!</v>
      </c>
      <c r="X458" s="1045" t="e">
        <f t="shared" si="102"/>
        <v>#REF!</v>
      </c>
      <c r="Y458" s="1132" t="e">
        <f>W458+S458+#REF!</f>
        <v>#REF!</v>
      </c>
      <c r="Z458" s="1045" t="e">
        <f t="shared" si="103"/>
        <v>#REF!</v>
      </c>
      <c r="AA458" s="892"/>
      <c r="AB458" s="891"/>
    </row>
    <row r="459" spans="1:28" s="486" customFormat="1">
      <c r="A459" s="1000"/>
      <c r="B459" s="1000" t="s">
        <v>2828</v>
      </c>
      <c r="C459" s="1278">
        <f>Data!K3219</f>
        <v>88.47</v>
      </c>
      <c r="D459" s="1264"/>
      <c r="E459" s="1265"/>
      <c r="F459" s="1264"/>
      <c r="G459" s="1264"/>
      <c r="H459" s="1264"/>
      <c r="I459" s="1264"/>
      <c r="J459" s="1264"/>
      <c r="K459" s="1264"/>
      <c r="L459" s="1264"/>
      <c r="M459" s="1264"/>
      <c r="N459" s="1264"/>
      <c r="O459" s="1264"/>
      <c r="P459" s="1264"/>
      <c r="Q459" s="1264"/>
      <c r="R459" s="1264"/>
      <c r="S459" s="1266"/>
      <c r="T459" s="1131">
        <f t="shared" si="100"/>
        <v>0</v>
      </c>
      <c r="U459" s="1045"/>
      <c r="V459" s="1045">
        <f t="shared" si="101"/>
        <v>0</v>
      </c>
      <c r="W459" s="1132" t="e">
        <f>#REF!+U459+#REF!</f>
        <v>#REF!</v>
      </c>
      <c r="X459" s="1045" t="e">
        <f t="shared" si="102"/>
        <v>#REF!</v>
      </c>
      <c r="Y459" s="1132" t="e">
        <f>W459+S459+#REF!</f>
        <v>#REF!</v>
      </c>
      <c r="Z459" s="1045" t="e">
        <f t="shared" si="103"/>
        <v>#REF!</v>
      </c>
      <c r="AA459" s="892"/>
      <c r="AB459" s="891"/>
    </row>
    <row r="460" spans="1:28" s="486" customFormat="1">
      <c r="A460" s="1000"/>
      <c r="B460" s="1000" t="s">
        <v>3700</v>
      </c>
      <c r="C460" s="1278">
        <f>Data!K3234</f>
        <v>144.25</v>
      </c>
      <c r="D460" s="1264"/>
      <c r="E460" s="1265"/>
      <c r="F460" s="1264"/>
      <c r="G460" s="1264"/>
      <c r="H460" s="1264"/>
      <c r="I460" s="1264"/>
      <c r="J460" s="1264"/>
      <c r="K460" s="1264"/>
      <c r="L460" s="1264"/>
      <c r="M460" s="1264"/>
      <c r="N460" s="1264"/>
      <c r="O460" s="1264"/>
      <c r="P460" s="1264"/>
      <c r="Q460" s="1264"/>
      <c r="R460" s="1264"/>
      <c r="S460" s="1266"/>
      <c r="T460" s="1131">
        <f t="shared" si="100"/>
        <v>0</v>
      </c>
      <c r="U460" s="1045"/>
      <c r="V460" s="1045">
        <f t="shared" si="101"/>
        <v>0</v>
      </c>
      <c r="W460" s="1132" t="e">
        <f>#REF!+U460+#REF!</f>
        <v>#REF!</v>
      </c>
      <c r="X460" s="1045" t="e">
        <f t="shared" si="102"/>
        <v>#REF!</v>
      </c>
      <c r="Y460" s="1132" t="e">
        <f>W460+S460+#REF!</f>
        <v>#REF!</v>
      </c>
      <c r="Z460" s="1045" t="e">
        <f t="shared" si="103"/>
        <v>#REF!</v>
      </c>
      <c r="AA460" s="892"/>
      <c r="AB460" s="891"/>
    </row>
    <row r="461" spans="1:28" s="486" customFormat="1">
      <c r="A461" s="1000"/>
      <c r="B461" s="1000" t="s">
        <v>2830</v>
      </c>
      <c r="C461" s="1278">
        <f>Data!K3278</f>
        <v>81.41</v>
      </c>
      <c r="D461" s="1264"/>
      <c r="E461" s="1265"/>
      <c r="F461" s="1264"/>
      <c r="G461" s="1264"/>
      <c r="H461" s="1264"/>
      <c r="I461" s="1264"/>
      <c r="J461" s="1264"/>
      <c r="K461" s="1264"/>
      <c r="L461" s="1264"/>
      <c r="M461" s="1264"/>
      <c r="N461" s="1264"/>
      <c r="O461" s="1264"/>
      <c r="P461" s="1264"/>
      <c r="Q461" s="1264"/>
      <c r="R461" s="1264"/>
      <c r="S461" s="1266"/>
      <c r="T461" s="1131">
        <f t="shared" si="100"/>
        <v>0</v>
      </c>
      <c r="U461" s="1045"/>
      <c r="V461" s="1045">
        <f t="shared" si="101"/>
        <v>0</v>
      </c>
      <c r="W461" s="1132" t="e">
        <f>#REF!+U461+#REF!</f>
        <v>#REF!</v>
      </c>
      <c r="X461" s="1045" t="e">
        <f t="shared" si="102"/>
        <v>#REF!</v>
      </c>
      <c r="Y461" s="1132" t="e">
        <f>W461+S461+#REF!</f>
        <v>#REF!</v>
      </c>
      <c r="Z461" s="1045" t="e">
        <f t="shared" si="103"/>
        <v>#REF!</v>
      </c>
      <c r="AA461" s="892"/>
      <c r="AB461" s="891"/>
    </row>
    <row r="462" spans="1:28" s="486" customFormat="1">
      <c r="A462" s="1000"/>
      <c r="B462" s="1000" t="str">
        <f>Data!H3367</f>
        <v>Plastic Emulsion PAINT one coat for old wall</v>
      </c>
      <c r="C462" s="1278">
        <f>Data!K3374</f>
        <v>75.39</v>
      </c>
      <c r="D462" s="1264"/>
      <c r="E462" s="1265"/>
      <c r="F462" s="1264"/>
      <c r="G462" s="1264"/>
      <c r="H462" s="1264"/>
      <c r="I462" s="1264"/>
      <c r="J462" s="1264"/>
      <c r="K462" s="1264"/>
      <c r="L462" s="1264"/>
      <c r="M462" s="1264"/>
      <c r="N462" s="1264"/>
      <c r="O462" s="1264"/>
      <c r="P462" s="1264"/>
      <c r="Q462" s="1264"/>
      <c r="R462" s="1264"/>
      <c r="S462" s="1266"/>
      <c r="T462" s="1131">
        <f t="shared" si="100"/>
        <v>0</v>
      </c>
      <c r="U462" s="1045"/>
      <c r="V462" s="1045">
        <f t="shared" si="101"/>
        <v>0</v>
      </c>
      <c r="W462" s="1132" t="e">
        <f>#REF!+U462+#REF!</f>
        <v>#REF!</v>
      </c>
      <c r="X462" s="1045" t="e">
        <f t="shared" si="102"/>
        <v>#REF!</v>
      </c>
      <c r="Y462" s="1132" t="e">
        <f>W462+S462+#REF!</f>
        <v>#REF!</v>
      </c>
      <c r="Z462" s="1045" t="e">
        <f t="shared" si="103"/>
        <v>#REF!</v>
      </c>
      <c r="AA462" s="892"/>
      <c r="AB462" s="891"/>
    </row>
    <row r="463" spans="1:28" s="486" customFormat="1">
      <c r="A463" s="1000"/>
      <c r="B463" s="1000" t="str">
        <f>Data!H3354</f>
        <v>Plastic Emulsion PAINT two coat for old wall</v>
      </c>
      <c r="C463" s="1278">
        <f>Data!K3361</f>
        <v>148.26</v>
      </c>
      <c r="D463" s="1264"/>
      <c r="E463" s="1265"/>
      <c r="F463" s="1264"/>
      <c r="G463" s="1264"/>
      <c r="H463" s="1264"/>
      <c r="I463" s="1264"/>
      <c r="J463" s="1264"/>
      <c r="K463" s="1264"/>
      <c r="L463" s="1264"/>
      <c r="M463" s="1264"/>
      <c r="N463" s="1264"/>
      <c r="O463" s="1264"/>
      <c r="P463" s="1264"/>
      <c r="Q463" s="1264"/>
      <c r="R463" s="1264"/>
      <c r="S463" s="1266"/>
      <c r="T463" s="1131">
        <f t="shared" si="100"/>
        <v>0</v>
      </c>
      <c r="U463" s="1045"/>
      <c r="V463" s="1045">
        <f t="shared" si="101"/>
        <v>0</v>
      </c>
      <c r="W463" s="1132" t="e">
        <f>#REF!+U463+#REF!</f>
        <v>#REF!</v>
      </c>
      <c r="X463" s="1045" t="e">
        <f t="shared" si="102"/>
        <v>#REF!</v>
      </c>
      <c r="Y463" s="1132" t="e">
        <f>W463+S463+#REF!</f>
        <v>#REF!</v>
      </c>
      <c r="Z463" s="1045" t="e">
        <f t="shared" si="103"/>
        <v>#REF!</v>
      </c>
      <c r="AA463" s="892"/>
      <c r="AB463" s="891"/>
    </row>
    <row r="464" spans="1:28" s="486" customFormat="1">
      <c r="A464" s="1279"/>
      <c r="B464" s="1000"/>
      <c r="C464" s="1278"/>
      <c r="D464" s="1264"/>
      <c r="E464" s="1265"/>
      <c r="F464" s="1264"/>
      <c r="G464" s="1264"/>
      <c r="H464" s="1264"/>
      <c r="I464" s="1264"/>
      <c r="J464" s="1264"/>
      <c r="K464" s="1264"/>
      <c r="L464" s="1264"/>
      <c r="M464" s="1264"/>
      <c r="N464" s="1264"/>
      <c r="O464" s="1264"/>
      <c r="P464" s="1264"/>
      <c r="Q464" s="1264"/>
      <c r="R464" s="1264"/>
      <c r="S464" s="1266"/>
      <c r="T464" s="1131">
        <f t="shared" si="100"/>
        <v>0</v>
      </c>
      <c r="U464" s="1045"/>
      <c r="V464" s="1045">
        <f t="shared" si="101"/>
        <v>0</v>
      </c>
      <c r="W464" s="1132" t="e">
        <f>#REF!+U464+#REF!</f>
        <v>#REF!</v>
      </c>
      <c r="X464" s="1045" t="e">
        <f t="shared" si="102"/>
        <v>#REF!</v>
      </c>
      <c r="Y464" s="1132" t="e">
        <f>W464+S464+#REF!</f>
        <v>#REF!</v>
      </c>
      <c r="Z464" s="1045" t="e">
        <f t="shared" si="103"/>
        <v>#REF!</v>
      </c>
      <c r="AA464" s="892"/>
      <c r="AB464" s="891"/>
    </row>
    <row r="465" spans="1:28" s="486" customFormat="1">
      <c r="A465" s="1279"/>
      <c r="B465" s="1000"/>
      <c r="C465" s="1278"/>
      <c r="D465" s="1264"/>
      <c r="E465" s="1265"/>
      <c r="F465" s="1264"/>
      <c r="G465" s="1264"/>
      <c r="H465" s="1264"/>
      <c r="I465" s="1264"/>
      <c r="J465" s="1264"/>
      <c r="K465" s="1264"/>
      <c r="L465" s="1264"/>
      <c r="M465" s="1264"/>
      <c r="N465" s="1264"/>
      <c r="O465" s="1264"/>
      <c r="P465" s="1264"/>
      <c r="Q465" s="1264"/>
      <c r="R465" s="1264"/>
      <c r="S465" s="1266"/>
      <c r="T465" s="1131">
        <f t="shared" si="100"/>
        <v>0</v>
      </c>
      <c r="U465" s="1045"/>
      <c r="V465" s="1045">
        <f t="shared" si="101"/>
        <v>0</v>
      </c>
      <c r="W465" s="1132" t="e">
        <f>#REF!+U465+#REF!</f>
        <v>#REF!</v>
      </c>
      <c r="X465" s="1045" t="e">
        <f t="shared" si="102"/>
        <v>#REF!</v>
      </c>
      <c r="Y465" s="1132" t="e">
        <f>W465+S465+#REF!</f>
        <v>#REF!</v>
      </c>
      <c r="Z465" s="1045" t="e">
        <f t="shared" si="103"/>
        <v>#REF!</v>
      </c>
      <c r="AA465" s="892"/>
      <c r="AB465" s="891"/>
    </row>
    <row r="466" spans="1:28" s="486" customFormat="1">
      <c r="A466" s="1279"/>
      <c r="B466" s="1000"/>
      <c r="C466" s="1278"/>
      <c r="D466" s="1264"/>
      <c r="E466" s="1265"/>
      <c r="F466" s="1264"/>
      <c r="G466" s="1264"/>
      <c r="H466" s="1264"/>
      <c r="I466" s="1264"/>
      <c r="J466" s="1264"/>
      <c r="K466" s="1264"/>
      <c r="L466" s="1264"/>
      <c r="M466" s="1264"/>
      <c r="N466" s="1264"/>
      <c r="O466" s="1264"/>
      <c r="P466" s="1264"/>
      <c r="Q466" s="1264"/>
      <c r="R466" s="1264"/>
      <c r="S466" s="1266"/>
      <c r="T466" s="1131">
        <f t="shared" si="100"/>
        <v>0</v>
      </c>
      <c r="U466" s="1045"/>
      <c r="V466" s="1045">
        <f t="shared" si="101"/>
        <v>0</v>
      </c>
      <c r="W466" s="1132" t="e">
        <f>#REF!+U466+#REF!</f>
        <v>#REF!</v>
      </c>
      <c r="X466" s="1045" t="e">
        <f t="shared" si="102"/>
        <v>#REF!</v>
      </c>
      <c r="Y466" s="1132" t="e">
        <f>W466+S466+#REF!</f>
        <v>#REF!</v>
      </c>
      <c r="Z466" s="1045" t="e">
        <f t="shared" si="103"/>
        <v>#REF!</v>
      </c>
      <c r="AA466" s="892"/>
      <c r="AB466" s="891"/>
    </row>
    <row r="467" spans="1:28" s="486" customFormat="1">
      <c r="A467" s="1279"/>
      <c r="B467" s="1000"/>
      <c r="C467" s="1278"/>
      <c r="D467" s="1264"/>
      <c r="E467" s="1265"/>
      <c r="F467" s="1264"/>
      <c r="G467" s="1264"/>
      <c r="H467" s="1264"/>
      <c r="I467" s="1264"/>
      <c r="J467" s="1264"/>
      <c r="K467" s="1264"/>
      <c r="L467" s="1264"/>
      <c r="M467" s="1264"/>
      <c r="N467" s="1264"/>
      <c r="O467" s="1264"/>
      <c r="P467" s="1264"/>
      <c r="Q467" s="1264"/>
      <c r="R467" s="1264"/>
      <c r="S467" s="1266"/>
      <c r="T467" s="1131">
        <f t="shared" si="100"/>
        <v>0</v>
      </c>
      <c r="U467" s="1045"/>
      <c r="V467" s="1045">
        <f t="shared" si="101"/>
        <v>0</v>
      </c>
      <c r="W467" s="1132" t="e">
        <f>#REF!+U467+#REF!</f>
        <v>#REF!</v>
      </c>
      <c r="X467" s="1045" t="e">
        <f t="shared" si="102"/>
        <v>#REF!</v>
      </c>
      <c r="Y467" s="1132" t="e">
        <f>W467+S467+#REF!</f>
        <v>#REF!</v>
      </c>
      <c r="Z467" s="1045" t="e">
        <f t="shared" si="103"/>
        <v>#REF!</v>
      </c>
      <c r="AA467" s="892"/>
      <c r="AB467" s="891"/>
    </row>
    <row r="468" spans="1:28" s="486" customFormat="1">
      <c r="A468" s="1279"/>
      <c r="B468" s="1000"/>
      <c r="C468" s="1278"/>
      <c r="D468" s="1264"/>
      <c r="E468" s="1265"/>
      <c r="F468" s="1264"/>
      <c r="G468" s="1264"/>
      <c r="H468" s="1264"/>
      <c r="I468" s="1264"/>
      <c r="J468" s="1264"/>
      <c r="K468" s="1264"/>
      <c r="L468" s="1264"/>
      <c r="M468" s="1264"/>
      <c r="N468" s="1264"/>
      <c r="O468" s="1264"/>
      <c r="P468" s="1264"/>
      <c r="Q468" s="1264"/>
      <c r="R468" s="1264"/>
      <c r="S468" s="1266"/>
      <c r="T468" s="1131">
        <f t="shared" si="100"/>
        <v>0</v>
      </c>
      <c r="U468" s="1045"/>
      <c r="V468" s="1045">
        <f t="shared" si="101"/>
        <v>0</v>
      </c>
      <c r="W468" s="1132" t="e">
        <f>#REF!+U468+#REF!</f>
        <v>#REF!</v>
      </c>
      <c r="X468" s="1045" t="e">
        <f t="shared" si="102"/>
        <v>#REF!</v>
      </c>
      <c r="Y468" s="1132" t="e">
        <f>W468+S468+#REF!</f>
        <v>#REF!</v>
      </c>
      <c r="Z468" s="1045" t="e">
        <f t="shared" si="103"/>
        <v>#REF!</v>
      </c>
      <c r="AA468" s="892"/>
      <c r="AB468" s="891"/>
    </row>
    <row r="469" spans="1:28" s="486" customFormat="1">
      <c r="A469" s="1279"/>
      <c r="B469" s="1000"/>
      <c r="C469" s="1278"/>
      <c r="D469" s="1264"/>
      <c r="E469" s="1265"/>
      <c r="F469" s="1264"/>
      <c r="G469" s="1264"/>
      <c r="H469" s="1264"/>
      <c r="I469" s="1264"/>
      <c r="J469" s="1264"/>
      <c r="K469" s="1264"/>
      <c r="L469" s="1264"/>
      <c r="M469" s="1264"/>
      <c r="N469" s="1264"/>
      <c r="O469" s="1264"/>
      <c r="P469" s="1264"/>
      <c r="Q469" s="1264"/>
      <c r="R469" s="1264"/>
      <c r="S469" s="1266"/>
      <c r="T469" s="1131">
        <f t="shared" si="100"/>
        <v>0</v>
      </c>
      <c r="U469" s="1045"/>
      <c r="V469" s="1045">
        <f t="shared" si="101"/>
        <v>0</v>
      </c>
      <c r="W469" s="1132" t="e">
        <f>#REF!+U469+#REF!</f>
        <v>#REF!</v>
      </c>
      <c r="X469" s="1045" t="e">
        <f t="shared" si="102"/>
        <v>#REF!</v>
      </c>
      <c r="Y469" s="1132" t="e">
        <f>W469+S469+#REF!</f>
        <v>#REF!</v>
      </c>
      <c r="Z469" s="1045" t="e">
        <f t="shared" si="103"/>
        <v>#REF!</v>
      </c>
      <c r="AA469" s="892"/>
      <c r="AB469" s="891"/>
    </row>
    <row r="470" spans="1:28" s="486" customFormat="1">
      <c r="A470" s="1279"/>
      <c r="B470" s="1000"/>
      <c r="C470" s="1278"/>
      <c r="D470" s="1264"/>
      <c r="E470" s="1265"/>
      <c r="F470" s="1264"/>
      <c r="G470" s="1264"/>
      <c r="H470" s="1264"/>
      <c r="I470" s="1264"/>
      <c r="J470" s="1264"/>
      <c r="K470" s="1264"/>
      <c r="L470" s="1264"/>
      <c r="M470" s="1264"/>
      <c r="N470" s="1264"/>
      <c r="O470" s="1264"/>
      <c r="P470" s="1264"/>
      <c r="Q470" s="1264"/>
      <c r="R470" s="1264"/>
      <c r="S470" s="1266"/>
      <c r="T470" s="1131">
        <f t="shared" si="100"/>
        <v>0</v>
      </c>
      <c r="U470" s="1045"/>
      <c r="V470" s="1045">
        <f t="shared" si="101"/>
        <v>0</v>
      </c>
      <c r="W470" s="1132" t="e">
        <f>#REF!+U470+#REF!</f>
        <v>#REF!</v>
      </c>
      <c r="X470" s="1045" t="e">
        <f t="shared" si="102"/>
        <v>#REF!</v>
      </c>
      <c r="Y470" s="1132" t="e">
        <f>W470+S470+#REF!</f>
        <v>#REF!</v>
      </c>
      <c r="Z470" s="1045" t="e">
        <f t="shared" si="103"/>
        <v>#REF!</v>
      </c>
      <c r="AA470" s="892"/>
      <c r="AB470" s="891"/>
    </row>
    <row r="471" spans="1:28" s="486" customFormat="1">
      <c r="A471" s="1279"/>
      <c r="B471" s="1000"/>
      <c r="C471" s="1278"/>
      <c r="D471" s="1264"/>
      <c r="E471" s="1265"/>
      <c r="F471" s="1264"/>
      <c r="G471" s="1264"/>
      <c r="H471" s="1264"/>
      <c r="I471" s="1264"/>
      <c r="J471" s="1264"/>
      <c r="K471" s="1264"/>
      <c r="L471" s="1264"/>
      <c r="M471" s="1264"/>
      <c r="N471" s="1264"/>
      <c r="O471" s="1264"/>
      <c r="P471" s="1264"/>
      <c r="Q471" s="1264"/>
      <c r="R471" s="1264"/>
      <c r="S471" s="1266"/>
      <c r="T471" s="1131">
        <f t="shared" si="100"/>
        <v>0</v>
      </c>
      <c r="U471" s="1045"/>
      <c r="V471" s="1045">
        <f t="shared" si="101"/>
        <v>0</v>
      </c>
      <c r="W471" s="1132" t="e">
        <f>#REF!+U471+#REF!</f>
        <v>#REF!</v>
      </c>
      <c r="X471" s="1045" t="e">
        <f t="shared" si="102"/>
        <v>#REF!</v>
      </c>
      <c r="Y471" s="1132" t="e">
        <f>W471+S471+#REF!</f>
        <v>#REF!</v>
      </c>
      <c r="Z471" s="1045" t="e">
        <f t="shared" si="103"/>
        <v>#REF!</v>
      </c>
      <c r="AA471" s="892"/>
      <c r="AB471" s="891"/>
    </row>
    <row r="472" spans="1:28">
      <c r="S472" s="1284"/>
      <c r="T472" s="1131">
        <f t="shared" si="100"/>
        <v>0</v>
      </c>
      <c r="U472" s="1045"/>
      <c r="V472" s="1045">
        <f t="shared" si="101"/>
        <v>0</v>
      </c>
      <c r="W472" s="1132" t="e">
        <f>#REF!+U472+#REF!</f>
        <v>#REF!</v>
      </c>
      <c r="X472" s="1045" t="e">
        <f t="shared" si="102"/>
        <v>#REF!</v>
      </c>
      <c r="Y472" s="1132" t="e">
        <f>W472+S472+#REF!</f>
        <v>#REF!</v>
      </c>
      <c r="Z472" s="1045" t="e">
        <f t="shared" si="103"/>
        <v>#REF!</v>
      </c>
      <c r="AA472" s="890"/>
      <c r="AB472" s="890"/>
    </row>
    <row r="473" spans="1:28">
      <c r="S473" s="1284"/>
      <c r="T473" s="1131">
        <f t="shared" si="100"/>
        <v>0</v>
      </c>
      <c r="U473" s="1045"/>
      <c r="V473" s="1045">
        <f t="shared" si="101"/>
        <v>0</v>
      </c>
      <c r="W473" s="1132" t="e">
        <f>#REF!+U473+#REF!</f>
        <v>#REF!</v>
      </c>
      <c r="X473" s="1045"/>
      <c r="Y473" s="1132" t="e">
        <f>W473+S473+#REF!</f>
        <v>#REF!</v>
      </c>
      <c r="Z473" s="1045" t="e">
        <f t="shared" si="103"/>
        <v>#REF!</v>
      </c>
      <c r="AA473" s="890"/>
      <c r="AB473" s="890"/>
    </row>
    <row r="474" spans="1:28">
      <c r="S474" s="1284"/>
      <c r="T474" s="1131">
        <f t="shared" si="100"/>
        <v>0</v>
      </c>
      <c r="U474" s="1045"/>
      <c r="V474" s="1045">
        <f t="shared" si="101"/>
        <v>0</v>
      </c>
      <c r="W474" s="1132" t="e">
        <f>#REF!+U474+#REF!</f>
        <v>#REF!</v>
      </c>
      <c r="X474" s="1045" t="e">
        <f>#REF!+V363+#REF!</f>
        <v>#REF!</v>
      </c>
      <c r="Y474" s="1132" t="e">
        <f>W474+S474+#REF!</f>
        <v>#REF!</v>
      </c>
      <c r="Z474" s="1045" t="e">
        <f>X363+#REF!+T363</f>
        <v>#REF!</v>
      </c>
      <c r="AA474" s="890"/>
      <c r="AB474" s="890"/>
    </row>
    <row r="475" spans="1:28">
      <c r="S475" s="1284"/>
      <c r="T475" s="1131">
        <f t="shared" si="100"/>
        <v>0</v>
      </c>
      <c r="U475" s="1045"/>
      <c r="V475" s="1045">
        <f t="shared" si="101"/>
        <v>0</v>
      </c>
      <c r="W475" s="1132" t="e">
        <f>#REF!+U475+#REF!</f>
        <v>#REF!</v>
      </c>
      <c r="X475" s="1045" t="e">
        <f>X363-X474</f>
        <v>#REF!</v>
      </c>
      <c r="Y475" s="1132" t="e">
        <f>W475+S475+#REF!</f>
        <v>#REF!</v>
      </c>
      <c r="Z475" s="1045" t="e">
        <f>Z363-Z474</f>
        <v>#REF!</v>
      </c>
      <c r="AA475" s="890"/>
      <c r="AB475" s="890"/>
    </row>
    <row r="476" spans="1:28">
      <c r="S476" s="1284"/>
      <c r="T476" s="1131">
        <f t="shared" si="100"/>
        <v>0</v>
      </c>
      <c r="U476" s="1045"/>
      <c r="V476" s="1045">
        <f t="shared" si="101"/>
        <v>0</v>
      </c>
      <c r="W476" s="1132" t="e">
        <f>#REF!+U476+#REF!</f>
        <v>#REF!</v>
      </c>
      <c r="X476" s="1045" t="e">
        <f t="shared" ref="X476:X486" si="104">W476*C476</f>
        <v>#REF!</v>
      </c>
      <c r="Y476" s="1132" t="e">
        <f>W476+S476+#REF!</f>
        <v>#REF!</v>
      </c>
      <c r="Z476" s="1045" t="e">
        <f t="shared" ref="Z476:Z486" si="105">Y476*C476</f>
        <v>#REF!</v>
      </c>
      <c r="AA476" s="890"/>
      <c r="AB476" s="890"/>
    </row>
    <row r="477" spans="1:28">
      <c r="S477" s="1284"/>
      <c r="T477" s="1131">
        <f t="shared" si="100"/>
        <v>0</v>
      </c>
      <c r="U477" s="1045"/>
      <c r="V477" s="1045">
        <f t="shared" si="101"/>
        <v>0</v>
      </c>
      <c r="W477" s="1132" t="e">
        <f>#REF!+U477+#REF!</f>
        <v>#REF!</v>
      </c>
      <c r="X477" s="1045" t="e">
        <f t="shared" si="104"/>
        <v>#REF!</v>
      </c>
      <c r="Y477" s="1132" t="e">
        <f>W477+S477+#REF!</f>
        <v>#REF!</v>
      </c>
      <c r="Z477" s="1045" t="e">
        <f t="shared" si="105"/>
        <v>#REF!</v>
      </c>
      <c r="AA477" s="890"/>
      <c r="AB477" s="890"/>
    </row>
    <row r="478" spans="1:28">
      <c r="S478" s="1284"/>
      <c r="T478" s="1131">
        <f t="shared" si="100"/>
        <v>0</v>
      </c>
      <c r="U478" s="1045"/>
      <c r="V478" s="1045">
        <f t="shared" si="101"/>
        <v>0</v>
      </c>
      <c r="W478" s="1132" t="e">
        <f>#REF!+U478+#REF!</f>
        <v>#REF!</v>
      </c>
      <c r="X478" s="1045" t="e">
        <f t="shared" si="104"/>
        <v>#REF!</v>
      </c>
      <c r="Y478" s="1132" t="e">
        <f>W478+S478+#REF!</f>
        <v>#REF!</v>
      </c>
      <c r="Z478" s="1045" t="e">
        <f t="shared" si="105"/>
        <v>#REF!</v>
      </c>
      <c r="AA478" s="890"/>
      <c r="AB478" s="890"/>
    </row>
    <row r="479" spans="1:28">
      <c r="S479" s="1284"/>
      <c r="T479" s="1131">
        <f t="shared" si="100"/>
        <v>0</v>
      </c>
      <c r="U479" s="1045"/>
      <c r="V479" s="1045">
        <f t="shared" si="101"/>
        <v>0</v>
      </c>
      <c r="W479" s="1132" t="e">
        <f>#REF!+U479+#REF!</f>
        <v>#REF!</v>
      </c>
      <c r="X479" s="1045" t="e">
        <f t="shared" si="104"/>
        <v>#REF!</v>
      </c>
      <c r="Y479" s="1132" t="e">
        <f>W479+S479+#REF!</f>
        <v>#REF!</v>
      </c>
      <c r="Z479" s="1045" t="e">
        <f t="shared" si="105"/>
        <v>#REF!</v>
      </c>
      <c r="AA479" s="890"/>
      <c r="AB479" s="890"/>
    </row>
    <row r="480" spans="1:28">
      <c r="S480" s="1284"/>
      <c r="T480" s="1131">
        <f t="shared" si="100"/>
        <v>0</v>
      </c>
      <c r="U480" s="1045"/>
      <c r="V480" s="1045">
        <f t="shared" si="101"/>
        <v>0</v>
      </c>
      <c r="W480" s="1132" t="e">
        <f>#REF!+U480+#REF!</f>
        <v>#REF!</v>
      </c>
      <c r="X480" s="1045" t="e">
        <f t="shared" si="104"/>
        <v>#REF!</v>
      </c>
      <c r="Y480" s="1132" t="e">
        <f>W480+S480+#REF!</f>
        <v>#REF!</v>
      </c>
      <c r="Z480" s="1045" t="e">
        <f t="shared" si="105"/>
        <v>#REF!</v>
      </c>
      <c r="AA480" s="890"/>
      <c r="AB480" s="890"/>
    </row>
    <row r="481" spans="3:28">
      <c r="S481" s="1284"/>
      <c r="T481" s="1131">
        <f t="shared" si="100"/>
        <v>0</v>
      </c>
      <c r="U481" s="1045"/>
      <c r="V481" s="1045">
        <f t="shared" si="101"/>
        <v>0</v>
      </c>
      <c r="W481" s="1132" t="e">
        <f>#REF!+U481+#REF!</f>
        <v>#REF!</v>
      </c>
      <c r="X481" s="1045" t="e">
        <f t="shared" si="104"/>
        <v>#REF!</v>
      </c>
      <c r="Y481" s="1132" t="e">
        <f>W481+S481+#REF!</f>
        <v>#REF!</v>
      </c>
      <c r="Z481" s="1045" t="e">
        <f t="shared" si="105"/>
        <v>#REF!</v>
      </c>
      <c r="AA481" s="890"/>
      <c r="AB481" s="890"/>
    </row>
    <row r="482" spans="3:28">
      <c r="S482" s="1284"/>
      <c r="T482" s="1131">
        <f t="shared" si="100"/>
        <v>0</v>
      </c>
      <c r="U482" s="1045"/>
      <c r="V482" s="1045">
        <f t="shared" si="101"/>
        <v>0</v>
      </c>
      <c r="W482" s="1132" t="e">
        <f>#REF!+U482+#REF!</f>
        <v>#REF!</v>
      </c>
      <c r="X482" s="1045" t="e">
        <f t="shared" si="104"/>
        <v>#REF!</v>
      </c>
      <c r="Y482" s="1132" t="e">
        <f>W482+S482+#REF!</f>
        <v>#REF!</v>
      </c>
      <c r="Z482" s="1045" t="e">
        <f t="shared" si="105"/>
        <v>#REF!</v>
      </c>
      <c r="AA482" s="890"/>
      <c r="AB482" s="890"/>
    </row>
    <row r="483" spans="3:28">
      <c r="S483" s="1284"/>
      <c r="T483" s="1131">
        <f t="shared" si="100"/>
        <v>0</v>
      </c>
      <c r="U483" s="1045"/>
      <c r="V483" s="1045">
        <f t="shared" si="101"/>
        <v>0</v>
      </c>
      <c r="W483" s="1132" t="e">
        <f>#REF!+U483+#REF!</f>
        <v>#REF!</v>
      </c>
      <c r="X483" s="1045" t="e">
        <f t="shared" si="104"/>
        <v>#REF!</v>
      </c>
      <c r="Y483" s="1132" t="e">
        <f>W483+S483+#REF!</f>
        <v>#REF!</v>
      </c>
      <c r="Z483" s="1045" t="e">
        <f t="shared" si="105"/>
        <v>#REF!</v>
      </c>
      <c r="AA483" s="890"/>
      <c r="AB483" s="890"/>
    </row>
    <row r="484" spans="3:28">
      <c r="C484" s="1280"/>
      <c r="D484" s="1280"/>
      <c r="E484" s="1285"/>
      <c r="F484" s="1280"/>
      <c r="G484" s="1280"/>
      <c r="H484" s="1280"/>
      <c r="I484" s="1280"/>
      <c r="J484" s="1280"/>
      <c r="K484" s="1280"/>
      <c r="L484" s="1280"/>
      <c r="M484" s="1280"/>
      <c r="N484" s="1280"/>
      <c r="O484" s="1280"/>
      <c r="P484" s="1280"/>
      <c r="Q484" s="1280"/>
      <c r="R484" s="1280"/>
      <c r="S484" s="1286"/>
      <c r="T484" s="1131">
        <f t="shared" si="100"/>
        <v>0</v>
      </c>
      <c r="U484" s="1045"/>
      <c r="V484" s="1045">
        <f t="shared" si="101"/>
        <v>0</v>
      </c>
      <c r="W484" s="1132" t="e">
        <f>#REF!+U484+#REF!</f>
        <v>#REF!</v>
      </c>
      <c r="X484" s="1045" t="e">
        <f t="shared" si="104"/>
        <v>#REF!</v>
      </c>
      <c r="Y484" s="1132" t="e">
        <f>W484+S484+#REF!</f>
        <v>#REF!</v>
      </c>
      <c r="Z484" s="1045" t="e">
        <f t="shared" si="105"/>
        <v>#REF!</v>
      </c>
      <c r="AA484" s="893"/>
      <c r="AB484" s="890"/>
    </row>
    <row r="485" spans="3:28">
      <c r="C485" s="1280"/>
      <c r="D485" s="1280"/>
      <c r="E485" s="1285"/>
      <c r="F485" s="1280"/>
      <c r="G485" s="1280"/>
      <c r="H485" s="1280"/>
      <c r="I485" s="1280"/>
      <c r="J485" s="1280"/>
      <c r="K485" s="1280"/>
      <c r="L485" s="1280"/>
      <c r="M485" s="1280"/>
      <c r="N485" s="1280"/>
      <c r="O485" s="1280"/>
      <c r="P485" s="1280"/>
      <c r="Q485" s="1280"/>
      <c r="R485" s="1280"/>
      <c r="S485" s="1286"/>
      <c r="T485" s="1131">
        <f t="shared" si="100"/>
        <v>0</v>
      </c>
      <c r="U485" s="1045"/>
      <c r="V485" s="1045">
        <f t="shared" si="101"/>
        <v>0</v>
      </c>
      <c r="W485" s="1132" t="e">
        <f>#REF!+U485+#REF!</f>
        <v>#REF!</v>
      </c>
      <c r="X485" s="1045" t="e">
        <f t="shared" si="104"/>
        <v>#REF!</v>
      </c>
      <c r="Y485" s="1132" t="e">
        <f>W485+S485+#REF!</f>
        <v>#REF!</v>
      </c>
      <c r="Z485" s="1045" t="e">
        <f t="shared" si="105"/>
        <v>#REF!</v>
      </c>
      <c r="AA485" s="893"/>
      <c r="AB485" s="890"/>
    </row>
    <row r="486" spans="3:28">
      <c r="C486" s="1280"/>
      <c r="D486" s="1280"/>
      <c r="E486" s="1285"/>
      <c r="F486" s="1280"/>
      <c r="G486" s="1280"/>
      <c r="H486" s="1280"/>
      <c r="I486" s="1280"/>
      <c r="J486" s="1280"/>
      <c r="K486" s="1280"/>
      <c r="L486" s="1280"/>
      <c r="M486" s="1280"/>
      <c r="N486" s="1280"/>
      <c r="O486" s="1280"/>
      <c r="P486" s="1280"/>
      <c r="Q486" s="1280"/>
      <c r="R486" s="1280"/>
      <c r="S486" s="1286"/>
      <c r="T486" s="1131">
        <f t="shared" si="100"/>
        <v>0</v>
      </c>
      <c r="U486" s="1045"/>
      <c r="V486" s="1045">
        <f t="shared" si="101"/>
        <v>0</v>
      </c>
      <c r="W486" s="1132" t="e">
        <f>#REF!+U486+#REF!</f>
        <v>#REF!</v>
      </c>
      <c r="X486" s="1045" t="e">
        <f t="shared" si="104"/>
        <v>#REF!</v>
      </c>
      <c r="Y486" s="1132" t="e">
        <f>W486+S486+#REF!</f>
        <v>#REF!</v>
      </c>
      <c r="Z486" s="1045" t="e">
        <f t="shared" si="105"/>
        <v>#REF!</v>
      </c>
      <c r="AA486" s="893"/>
      <c r="AB486" s="890"/>
    </row>
    <row r="487" spans="3:28">
      <c r="C487" s="1280"/>
      <c r="D487" s="1280"/>
      <c r="E487" s="1285"/>
      <c r="F487" s="1280"/>
      <c r="G487" s="1280"/>
      <c r="H487" s="1280"/>
      <c r="I487" s="1280"/>
      <c r="J487" s="1280"/>
      <c r="K487" s="1280"/>
      <c r="L487" s="1280"/>
      <c r="M487" s="1280"/>
      <c r="N487" s="1280"/>
      <c r="O487" s="1280"/>
      <c r="P487" s="1280"/>
      <c r="Q487" s="1280"/>
      <c r="R487" s="1280"/>
      <c r="S487" s="1286"/>
      <c r="T487" s="1131">
        <f t="shared" si="100"/>
        <v>0</v>
      </c>
      <c r="U487" s="1045"/>
      <c r="V487" s="1045">
        <f t="shared" si="101"/>
        <v>0</v>
      </c>
      <c r="W487" s="1132"/>
      <c r="X487" s="1045"/>
      <c r="Y487" s="1132"/>
      <c r="Z487" s="1045"/>
      <c r="AA487" s="893"/>
      <c r="AB487" s="890"/>
    </row>
    <row r="488" spans="3:28">
      <c r="C488" s="1280"/>
      <c r="D488" s="1280"/>
      <c r="E488" s="1285"/>
      <c r="F488" s="1280"/>
      <c r="G488" s="1280"/>
      <c r="H488" s="1280"/>
      <c r="I488" s="1280"/>
      <c r="J488" s="1280"/>
      <c r="K488" s="1280"/>
      <c r="L488" s="1280"/>
      <c r="M488" s="1280"/>
      <c r="N488" s="1280"/>
      <c r="O488" s="1280"/>
      <c r="P488" s="1280"/>
      <c r="Q488" s="1280"/>
      <c r="R488" s="1280"/>
      <c r="S488" s="1286"/>
      <c r="T488" s="1131">
        <f t="shared" si="100"/>
        <v>0</v>
      </c>
      <c r="U488" s="1045"/>
      <c r="V488" s="1045">
        <f t="shared" si="101"/>
        <v>0</v>
      </c>
      <c r="W488" s="1132"/>
      <c r="X488" s="1045"/>
      <c r="Y488" s="1132"/>
      <c r="Z488" s="1045"/>
      <c r="AA488" s="893"/>
      <c r="AB488" s="890"/>
    </row>
    <row r="489" spans="3:28">
      <c r="C489" s="1280"/>
      <c r="D489" s="1280"/>
      <c r="E489" s="1285"/>
      <c r="F489" s="1280"/>
      <c r="G489" s="1280"/>
      <c r="H489" s="1280"/>
      <c r="I489" s="1280"/>
      <c r="J489" s="1280"/>
      <c r="K489" s="1280"/>
      <c r="L489" s="1280"/>
      <c r="M489" s="1280"/>
      <c r="N489" s="1280"/>
      <c r="O489" s="1280"/>
      <c r="P489" s="1280"/>
      <c r="Q489" s="1280"/>
      <c r="R489" s="1280"/>
      <c r="S489" s="1286"/>
      <c r="T489" s="1131">
        <f t="shared" si="100"/>
        <v>0</v>
      </c>
      <c r="U489" s="1045"/>
      <c r="V489" s="1045"/>
      <c r="W489" s="1132"/>
      <c r="X489" s="1045"/>
      <c r="Y489" s="1045"/>
      <c r="Z489" s="1045"/>
      <c r="AA489" s="893"/>
      <c r="AB489" s="890"/>
    </row>
    <row r="490" spans="3:28">
      <c r="C490" s="1280"/>
      <c r="D490" s="1280"/>
      <c r="E490" s="1285"/>
      <c r="F490" s="1280"/>
      <c r="G490" s="1280"/>
      <c r="H490" s="1280"/>
      <c r="I490" s="1280"/>
      <c r="J490" s="1280"/>
      <c r="K490" s="1280"/>
      <c r="L490" s="1280"/>
      <c r="M490" s="1280"/>
      <c r="N490" s="1280"/>
      <c r="O490" s="1280"/>
      <c r="P490" s="1280"/>
      <c r="Q490" s="1280"/>
      <c r="R490" s="1280"/>
      <c r="S490" s="1286"/>
      <c r="T490" s="1131">
        <f t="shared" si="100"/>
        <v>0</v>
      </c>
      <c r="U490" s="1045"/>
      <c r="V490" s="1045"/>
      <c r="W490" s="1132"/>
      <c r="X490" s="1045"/>
      <c r="Y490" s="1045"/>
      <c r="Z490" s="1045"/>
      <c r="AA490" s="893"/>
      <c r="AB490" s="890"/>
    </row>
    <row r="491" spans="3:28">
      <c r="C491" s="1280"/>
      <c r="D491" s="1280"/>
      <c r="E491" s="1285"/>
      <c r="F491" s="1280"/>
      <c r="G491" s="1280"/>
      <c r="H491" s="1280"/>
      <c r="I491" s="1280"/>
      <c r="J491" s="1280"/>
      <c r="K491" s="1280"/>
      <c r="L491" s="1280"/>
      <c r="M491" s="1280"/>
      <c r="N491" s="1280"/>
      <c r="O491" s="1280"/>
      <c r="P491" s="1280"/>
      <c r="Q491" s="1280"/>
      <c r="R491" s="1280"/>
      <c r="S491" s="1286"/>
      <c r="T491" s="1131">
        <f t="shared" si="100"/>
        <v>0</v>
      </c>
      <c r="U491" s="1045"/>
      <c r="V491" s="1045"/>
      <c r="W491" s="1132"/>
      <c r="X491" s="1045"/>
      <c r="Y491" s="1045"/>
      <c r="Z491" s="1045"/>
      <c r="AA491" s="893"/>
      <c r="AB491" s="890"/>
    </row>
    <row r="492" spans="3:28">
      <c r="C492" s="1280"/>
      <c r="D492" s="1280"/>
      <c r="E492" s="1285"/>
      <c r="F492" s="1280"/>
      <c r="G492" s="1280"/>
      <c r="H492" s="1280"/>
      <c r="I492" s="1280"/>
      <c r="J492" s="1280"/>
      <c r="K492" s="1280"/>
      <c r="L492" s="1280"/>
      <c r="M492" s="1280"/>
      <c r="N492" s="1280"/>
      <c r="O492" s="1280"/>
      <c r="P492" s="1280"/>
      <c r="Q492" s="1280"/>
      <c r="R492" s="1280"/>
      <c r="S492" s="1286"/>
      <c r="T492" s="1131">
        <f t="shared" ref="T492" si="106">S492*C492</f>
        <v>0</v>
      </c>
      <c r="U492" s="1045"/>
      <c r="V492" s="1045"/>
      <c r="W492" s="1132"/>
      <c r="X492" s="1045"/>
      <c r="Y492" s="1045"/>
      <c r="Z492" s="1045"/>
      <c r="AA492" s="893"/>
      <c r="AB492" s="890"/>
    </row>
    <row r="493" spans="3:28">
      <c r="C493" s="1280"/>
      <c r="D493" s="1280"/>
      <c r="E493" s="1285"/>
      <c r="F493" s="1280"/>
      <c r="G493" s="1280"/>
      <c r="H493" s="1280"/>
      <c r="I493" s="1280"/>
      <c r="J493" s="1280"/>
      <c r="K493" s="1280"/>
      <c r="L493" s="1280"/>
      <c r="M493" s="1280"/>
      <c r="N493" s="1280"/>
      <c r="O493" s="1280"/>
      <c r="P493" s="1280"/>
      <c r="Q493" s="1280"/>
      <c r="R493" s="1280"/>
      <c r="S493" s="1280"/>
      <c r="T493" s="1131"/>
      <c r="U493" s="1040"/>
      <c r="V493" s="1040"/>
      <c r="W493" s="1287"/>
      <c r="X493" s="1040"/>
      <c r="Y493" s="1045"/>
      <c r="Z493" s="1045"/>
      <c r="AA493" s="552"/>
    </row>
    <row r="494" spans="3:28">
      <c r="C494" s="1280"/>
      <c r="D494" s="1280"/>
      <c r="E494" s="1285"/>
      <c r="F494" s="1280"/>
      <c r="G494" s="1280"/>
      <c r="H494" s="1280"/>
      <c r="I494" s="1280"/>
      <c r="J494" s="1280"/>
      <c r="K494" s="1280"/>
      <c r="L494" s="1280"/>
      <c r="M494" s="1280"/>
      <c r="N494" s="1280"/>
      <c r="O494" s="1280"/>
      <c r="P494" s="1280"/>
      <c r="Q494" s="1280"/>
      <c r="R494" s="1280"/>
      <c r="S494" s="1280"/>
      <c r="T494" s="1131"/>
      <c r="U494" s="1040"/>
      <c r="V494" s="1040"/>
      <c r="W494" s="1287"/>
      <c r="X494" s="1040"/>
      <c r="Y494" s="1045"/>
      <c r="Z494" s="1045"/>
      <c r="AA494" s="552"/>
    </row>
    <row r="495" spans="3:28">
      <c r="C495" s="1280"/>
      <c r="D495" s="1280"/>
      <c r="E495" s="1285"/>
      <c r="F495" s="1280"/>
      <c r="G495" s="1280"/>
      <c r="H495" s="1280"/>
      <c r="I495" s="1280"/>
      <c r="J495" s="1280"/>
      <c r="K495" s="1280"/>
      <c r="L495" s="1280"/>
      <c r="M495" s="1280"/>
      <c r="N495" s="1280"/>
      <c r="O495" s="1280"/>
      <c r="P495" s="1280"/>
      <c r="Q495" s="1280"/>
      <c r="R495" s="1280"/>
      <c r="S495" s="1280"/>
      <c r="T495" s="1280"/>
      <c r="U495" s="1288"/>
      <c r="V495" s="1288"/>
      <c r="W495" s="1289"/>
      <c r="X495" s="1288"/>
      <c r="Y495" s="1280"/>
      <c r="Z495" s="1280"/>
      <c r="AA495" s="552"/>
    </row>
    <row r="496" spans="3:28">
      <c r="C496" s="1280"/>
      <c r="D496" s="1280"/>
      <c r="E496" s="1285"/>
      <c r="F496" s="1280"/>
      <c r="G496" s="1280"/>
      <c r="H496" s="1280"/>
      <c r="I496" s="1280"/>
      <c r="J496" s="1280"/>
      <c r="K496" s="1280"/>
      <c r="L496" s="1280"/>
      <c r="M496" s="1280"/>
      <c r="N496" s="1280"/>
      <c r="O496" s="1280"/>
      <c r="P496" s="1280"/>
      <c r="Q496" s="1280"/>
      <c r="R496" s="1280"/>
      <c r="S496" s="1280"/>
      <c r="T496" s="1280"/>
      <c r="U496" s="1288"/>
      <c r="V496" s="1288"/>
      <c r="W496" s="1289"/>
      <c r="X496" s="1288"/>
      <c r="Y496" s="1280"/>
      <c r="Z496" s="1280"/>
      <c r="AA496" s="552"/>
      <c r="AB496" s="552"/>
    </row>
    <row r="497" spans="3:28">
      <c r="C497" s="1280"/>
      <c r="D497" s="1280"/>
      <c r="E497" s="1285"/>
      <c r="F497" s="1280"/>
      <c r="G497" s="1280"/>
      <c r="H497" s="1280"/>
      <c r="I497" s="1280"/>
      <c r="J497" s="1280"/>
      <c r="K497" s="1280"/>
      <c r="L497" s="1280"/>
      <c r="M497" s="1280"/>
      <c r="N497" s="1280"/>
      <c r="O497" s="1280"/>
      <c r="P497" s="1280"/>
      <c r="Q497" s="1280"/>
      <c r="R497" s="1280"/>
      <c r="S497" s="1280"/>
      <c r="T497" s="1280"/>
      <c r="U497" s="1280"/>
      <c r="V497" s="1280"/>
      <c r="W497" s="1285"/>
      <c r="X497" s="1280"/>
      <c r="Y497" s="1280"/>
      <c r="Z497" s="1280"/>
      <c r="AA497" s="552"/>
      <c r="AB497" s="552"/>
    </row>
    <row r="498" spans="3:28">
      <c r="C498" s="1280"/>
      <c r="D498" s="1280"/>
      <c r="E498" s="1285"/>
      <c r="F498" s="1280"/>
      <c r="G498" s="1280"/>
      <c r="H498" s="1280"/>
      <c r="I498" s="1280"/>
      <c r="J498" s="1280"/>
      <c r="K498" s="1280"/>
      <c r="L498" s="1280"/>
      <c r="M498" s="1280"/>
      <c r="N498" s="1280"/>
      <c r="O498" s="1280"/>
      <c r="P498" s="1280"/>
      <c r="Q498" s="1280"/>
      <c r="R498" s="1280"/>
      <c r="S498" s="1280"/>
      <c r="T498" s="1280"/>
      <c r="U498" s="1280"/>
      <c r="V498" s="1280"/>
      <c r="W498" s="1285"/>
      <c r="X498" s="1280"/>
      <c r="Y498" s="1280"/>
      <c r="Z498" s="1280"/>
      <c r="AA498" s="552"/>
      <c r="AB498" s="552"/>
    </row>
    <row r="499" spans="3:28">
      <c r="C499" s="1280"/>
      <c r="D499" s="1280"/>
      <c r="E499" s="1285"/>
      <c r="F499" s="1280"/>
      <c r="G499" s="1280"/>
      <c r="H499" s="1280"/>
      <c r="I499" s="1280"/>
      <c r="J499" s="1280"/>
      <c r="K499" s="1280"/>
      <c r="L499" s="1280"/>
      <c r="M499" s="1280"/>
      <c r="N499" s="1280"/>
      <c r="O499" s="1280"/>
      <c r="P499" s="1280"/>
      <c r="Q499" s="1280"/>
      <c r="R499" s="1280"/>
      <c r="S499" s="1280"/>
      <c r="T499" s="1280"/>
      <c r="U499" s="1280"/>
      <c r="V499" s="1280"/>
      <c r="W499" s="1285"/>
      <c r="X499" s="1280"/>
      <c r="Y499" s="1280"/>
      <c r="Z499" s="1280"/>
      <c r="AA499" s="552"/>
      <c r="AB499" s="552"/>
    </row>
    <row r="500" spans="3:28">
      <c r="C500" s="1280"/>
      <c r="D500" s="1280"/>
      <c r="E500" s="1285"/>
      <c r="F500" s="1280"/>
      <c r="G500" s="1280"/>
      <c r="H500" s="1280"/>
      <c r="I500" s="1280"/>
      <c r="J500" s="1280"/>
      <c r="K500" s="1280"/>
      <c r="L500" s="1280"/>
      <c r="M500" s="1280"/>
      <c r="N500" s="1280"/>
      <c r="O500" s="1280"/>
      <c r="P500" s="1280"/>
      <c r="Q500" s="1280"/>
      <c r="R500" s="1280"/>
      <c r="S500" s="1280"/>
      <c r="T500" s="1280"/>
      <c r="U500" s="1280"/>
      <c r="V500" s="1280"/>
      <c r="W500" s="1285"/>
      <c r="X500" s="1280"/>
      <c r="Y500" s="1280"/>
      <c r="Z500" s="1280"/>
      <c r="AA500" s="552"/>
      <c r="AB500" s="552"/>
    </row>
    <row r="501" spans="3:28">
      <c r="C501" s="1280"/>
      <c r="D501" s="1280"/>
      <c r="E501" s="1285"/>
      <c r="F501" s="1280"/>
      <c r="G501" s="1280"/>
      <c r="H501" s="1280"/>
      <c r="I501" s="1280"/>
      <c r="J501" s="1280"/>
      <c r="K501" s="1280"/>
      <c r="L501" s="1280"/>
      <c r="M501" s="1280"/>
      <c r="N501" s="1280"/>
      <c r="O501" s="1280"/>
      <c r="P501" s="1280"/>
      <c r="Q501" s="1280"/>
      <c r="R501" s="1280"/>
      <c r="S501" s="1280"/>
      <c r="T501" s="1280"/>
      <c r="U501" s="1280"/>
      <c r="V501" s="1280"/>
      <c r="W501" s="1285"/>
      <c r="X501" s="1280"/>
      <c r="Y501" s="1280"/>
      <c r="Z501" s="1280"/>
      <c r="AA501" s="552"/>
      <c r="AB501" s="552"/>
    </row>
    <row r="502" spans="3:28">
      <c r="C502" s="1280"/>
      <c r="D502" s="1280"/>
      <c r="E502" s="1285"/>
      <c r="F502" s="1280"/>
      <c r="G502" s="1280"/>
      <c r="H502" s="1280"/>
      <c r="I502" s="1280"/>
      <c r="J502" s="1280"/>
      <c r="K502" s="1280"/>
      <c r="L502" s="1280"/>
      <c r="M502" s="1280"/>
      <c r="N502" s="1280"/>
      <c r="O502" s="1280"/>
      <c r="P502" s="1280"/>
      <c r="Q502" s="1280"/>
      <c r="R502" s="1280"/>
      <c r="S502" s="1280"/>
      <c r="T502" s="1280"/>
      <c r="U502" s="1280"/>
      <c r="V502" s="1280"/>
      <c r="W502" s="1285"/>
      <c r="X502" s="1280"/>
      <c r="Y502" s="1280"/>
      <c r="Z502" s="1280"/>
      <c r="AA502" s="552"/>
      <c r="AB502" s="552"/>
    </row>
  </sheetData>
  <autoFilter ref="A5:AJ471">
    <filterColumn colId="4"/>
    <filterColumn colId="5"/>
    <filterColumn colId="6"/>
    <filterColumn colId="7"/>
    <filterColumn colId="8"/>
    <filterColumn colId="9"/>
    <filterColumn colId="10"/>
    <filterColumn colId="11"/>
    <filterColumn colId="12"/>
    <filterColumn colId="13"/>
    <filterColumn colId="14"/>
    <filterColumn colId="15"/>
    <filterColumn colId="16"/>
    <filterColumn colId="17"/>
    <filterColumn colId="24">
      <customFilters and="1">
        <customFilter operator="notEqual" val=" "/>
      </customFilters>
    </filterColumn>
  </autoFilter>
  <mergeCells count="25">
    <mergeCell ref="B345:B346"/>
    <mergeCell ref="A2:Z2"/>
    <mergeCell ref="B328:B329"/>
    <mergeCell ref="B331:B332"/>
    <mergeCell ref="B334:B335"/>
    <mergeCell ref="B339:B340"/>
    <mergeCell ref="D339:D340"/>
    <mergeCell ref="B342:B343"/>
    <mergeCell ref="D342:D343"/>
    <mergeCell ref="O3:P3"/>
    <mergeCell ref="Q3:R3"/>
    <mergeCell ref="S3:T3"/>
    <mergeCell ref="U3:V3"/>
    <mergeCell ref="W3:X3"/>
    <mergeCell ref="Y3:Z3"/>
    <mergeCell ref="A1:Z1"/>
    <mergeCell ref="A3:A4"/>
    <mergeCell ref="B3:B4"/>
    <mergeCell ref="C3:C4"/>
    <mergeCell ref="D3:D4"/>
    <mergeCell ref="E3:F3"/>
    <mergeCell ref="G3:H3"/>
    <mergeCell ref="I3:J3"/>
    <mergeCell ref="K3:L3"/>
    <mergeCell ref="M3:N3"/>
  </mergeCells>
  <printOptions horizontalCentered="1"/>
  <pageMargins left="0.23622047244094491" right="0.19685039370078741" top="0.6692913385826772" bottom="0.55118110236220474" header="0.27559055118110237" footer="0.27559055118110237"/>
  <pageSetup paperSize="9" scale="58" orientation="portrait" r:id="rId1"/>
  <headerFooter alignWithMargins="0">
    <oddHeader>&amp;R&amp;P</oddHeader>
  </headerFooter>
  <drawing r:id="rId2"/>
</worksheet>
</file>

<file path=xl/worksheets/sheet10.xml><?xml version="1.0" encoding="utf-8"?>
<worksheet xmlns="http://schemas.openxmlformats.org/spreadsheetml/2006/main" xmlns:r="http://schemas.openxmlformats.org/officeDocument/2006/relationships">
  <sheetPr filterMode="1">
    <tabColor rgb="FFFFFF00"/>
  </sheetPr>
  <dimension ref="A1:AJ501"/>
  <sheetViews>
    <sheetView showZeros="0" view="pageBreakPreview" zoomScale="40" zoomScaleNormal="40" zoomScaleSheetLayoutView="40" workbookViewId="0">
      <pane xSplit="4" ySplit="4" topLeftCell="J358" activePane="bottomRight" state="frozen"/>
      <selection pane="topRight" activeCell="E1" sqref="E1"/>
      <selection pane="bottomLeft" activeCell="A5" sqref="A5"/>
      <selection pane="bottomRight" activeCell="Z362" sqref="Z362"/>
    </sheetView>
  </sheetViews>
  <sheetFormatPr defaultRowHeight="25.5"/>
  <cols>
    <col min="1" max="1" width="10" style="1280" customWidth="1"/>
    <col min="2" max="2" width="64.44140625" style="1280" customWidth="1"/>
    <col min="3" max="3" width="16.5546875" style="1281" customWidth="1"/>
    <col min="4" max="4" width="19.88671875" style="1282" bestFit="1" customWidth="1"/>
    <col min="5" max="5" width="14.5546875" style="1283" bestFit="1" customWidth="1"/>
    <col min="6" max="6" width="19.109375" style="1282" bestFit="1" customWidth="1"/>
    <col min="7" max="7" width="12" style="1282" customWidth="1"/>
    <col min="8" max="8" width="15.6640625" style="1282" bestFit="1" customWidth="1"/>
    <col min="9" max="9" width="10.6640625" style="1282" customWidth="1"/>
    <col min="10" max="10" width="15.6640625" style="1282" bestFit="1" customWidth="1"/>
    <col min="11" max="11" width="11.77734375" style="1282" customWidth="1"/>
    <col min="12" max="12" width="15.6640625" style="1282" bestFit="1" customWidth="1"/>
    <col min="13" max="13" width="12.109375" style="1282" bestFit="1" customWidth="1"/>
    <col min="14" max="14" width="17.44140625" style="1282" bestFit="1" customWidth="1"/>
    <col min="15" max="15" width="10.33203125" style="1282" customWidth="1"/>
    <col min="16" max="16" width="15.6640625" style="1282" bestFit="1" customWidth="1"/>
    <col min="17" max="17" width="11.109375" style="1282" bestFit="1" customWidth="1"/>
    <col min="18" max="18" width="15.6640625" style="1282" bestFit="1" customWidth="1"/>
    <col min="19" max="19" width="10.6640625" style="1282" customWidth="1"/>
    <col min="20" max="20" width="17.88671875" style="1282" customWidth="1"/>
    <col min="21" max="21" width="11.88671875" style="1281" customWidth="1"/>
    <col min="22" max="22" width="20.109375" style="1281" customWidth="1"/>
    <col min="23" max="23" width="12.77734375" style="1290" bestFit="1" customWidth="1"/>
    <col min="24" max="24" width="16.6640625" style="1281" bestFit="1" customWidth="1"/>
    <col min="25" max="25" width="12.77734375" style="1038" bestFit="1" customWidth="1"/>
    <col min="26" max="26" width="23.21875" style="1038" customWidth="1"/>
    <col min="27" max="27" width="22.21875" style="551" bestFit="1" customWidth="1"/>
    <col min="28" max="28" width="21.109375" style="551" bestFit="1" customWidth="1"/>
    <col min="29" max="29" width="15.88671875" style="552" bestFit="1" customWidth="1"/>
    <col min="30" max="30" width="8.88671875" style="552"/>
    <col min="31" max="31" width="13.44140625" style="552" bestFit="1" customWidth="1"/>
    <col min="32" max="32" width="8.88671875" style="552"/>
    <col min="33" max="33" width="11.77734375" style="552" bestFit="1" customWidth="1"/>
    <col min="34" max="35" width="8.88671875" style="552"/>
    <col min="36" max="36" width="11.6640625" style="552" bestFit="1" customWidth="1"/>
    <col min="37" max="16384" width="8.88671875" style="552"/>
  </cols>
  <sheetData>
    <row r="1" spans="1:29" ht="72.75" customHeight="1">
      <c r="A1" s="1499" t="str">
        <f>'G. Abstract'!A3:F3</f>
        <v>N/W : Construction of District office building for Tamilnadu Pollution Control Board at Theni in Theni district.</v>
      </c>
      <c r="B1" s="1500"/>
      <c r="C1" s="1500"/>
      <c r="D1" s="1500"/>
      <c r="E1" s="1501"/>
      <c r="F1" s="1500"/>
      <c r="G1" s="1500"/>
      <c r="H1" s="1500"/>
      <c r="I1" s="1500"/>
      <c r="J1" s="1500"/>
      <c r="K1" s="1500"/>
      <c r="L1" s="1500"/>
      <c r="M1" s="1500"/>
      <c r="N1" s="1500"/>
      <c r="O1" s="1500"/>
      <c r="P1" s="1500"/>
      <c r="Q1" s="1500"/>
      <c r="R1" s="1500"/>
      <c r="S1" s="1500"/>
      <c r="T1" s="1500"/>
      <c r="U1" s="1500"/>
      <c r="V1" s="1500"/>
      <c r="W1" s="1500"/>
      <c r="X1" s="1500"/>
      <c r="Y1" s="1500"/>
      <c r="Z1" s="1502"/>
    </row>
    <row r="2" spans="1:29" s="887" customFormat="1" ht="55.9" customHeight="1">
      <c r="A2" s="1503" t="s">
        <v>218</v>
      </c>
      <c r="B2" s="1503" t="s">
        <v>1720</v>
      </c>
      <c r="C2" s="1503" t="s">
        <v>95</v>
      </c>
      <c r="D2" s="1503" t="s">
        <v>216</v>
      </c>
      <c r="E2" s="1504" t="s">
        <v>5058</v>
      </c>
      <c r="F2" s="1505"/>
      <c r="G2" s="1506" t="s">
        <v>5057</v>
      </c>
      <c r="H2" s="1507"/>
      <c r="I2" s="1505" t="s">
        <v>5056</v>
      </c>
      <c r="J2" s="1505"/>
      <c r="K2" s="1506" t="s">
        <v>5055</v>
      </c>
      <c r="L2" s="1507"/>
      <c r="M2" s="1505" t="s">
        <v>5054</v>
      </c>
      <c r="N2" s="1505"/>
      <c r="O2" s="1505" t="s">
        <v>5053</v>
      </c>
      <c r="P2" s="1505"/>
      <c r="Q2" s="1505" t="s">
        <v>5052</v>
      </c>
      <c r="R2" s="1505"/>
      <c r="S2" s="1505" t="s">
        <v>5051</v>
      </c>
      <c r="T2" s="1505"/>
      <c r="U2" s="1503" t="s">
        <v>4950</v>
      </c>
      <c r="V2" s="1503"/>
      <c r="W2" s="1503" t="s">
        <v>4603</v>
      </c>
      <c r="X2" s="1503"/>
      <c r="Y2" s="1503" t="s">
        <v>4604</v>
      </c>
      <c r="Z2" s="1503"/>
      <c r="AB2" s="888"/>
    </row>
    <row r="3" spans="1:29" s="887" customFormat="1" ht="31.9" customHeight="1">
      <c r="A3" s="1503"/>
      <c r="B3" s="1503"/>
      <c r="C3" s="1503"/>
      <c r="D3" s="1503"/>
      <c r="E3" s="1055" t="s">
        <v>2033</v>
      </c>
      <c r="F3" s="1054" t="s">
        <v>939</v>
      </c>
      <c r="G3" s="1055" t="s">
        <v>2033</v>
      </c>
      <c r="H3" s="1054" t="s">
        <v>939</v>
      </c>
      <c r="I3" s="1053" t="s">
        <v>2033</v>
      </c>
      <c r="J3" s="1054" t="s">
        <v>939</v>
      </c>
      <c r="K3" s="1053" t="s">
        <v>2033</v>
      </c>
      <c r="L3" s="1054" t="s">
        <v>939</v>
      </c>
      <c r="M3" s="1053" t="s">
        <v>2033</v>
      </c>
      <c r="N3" s="1054" t="s">
        <v>939</v>
      </c>
      <c r="O3" s="1055" t="s">
        <v>1007</v>
      </c>
      <c r="P3" s="1054" t="s">
        <v>939</v>
      </c>
      <c r="Q3" s="1055" t="s">
        <v>1007</v>
      </c>
      <c r="R3" s="1054" t="s">
        <v>939</v>
      </c>
      <c r="S3" s="1055" t="s">
        <v>1007</v>
      </c>
      <c r="T3" s="1054" t="s">
        <v>939</v>
      </c>
      <c r="U3" s="1122" t="s">
        <v>1007</v>
      </c>
      <c r="V3" s="1121" t="s">
        <v>939</v>
      </c>
      <c r="W3" s="1122" t="s">
        <v>1007</v>
      </c>
      <c r="X3" s="1121" t="s">
        <v>939</v>
      </c>
      <c r="Y3" s="1121" t="s">
        <v>1007</v>
      </c>
      <c r="Z3" s="1121" t="s">
        <v>939</v>
      </c>
      <c r="AA3" s="888"/>
      <c r="AB3" s="888"/>
    </row>
    <row r="4" spans="1:29" s="887" customFormat="1" ht="39.75" customHeight="1">
      <c r="A4" s="1121"/>
      <c r="B4" s="1121"/>
      <c r="C4" s="1121"/>
      <c r="D4" s="1121"/>
      <c r="E4" s="1122"/>
      <c r="F4" s="1121"/>
      <c r="G4" s="1121"/>
      <c r="H4" s="1121"/>
      <c r="I4" s="1121"/>
      <c r="J4" s="1121"/>
      <c r="K4" s="1121"/>
      <c r="L4" s="1121"/>
      <c r="M4" s="1121"/>
      <c r="N4" s="1121"/>
      <c r="O4" s="1121"/>
      <c r="P4" s="1121"/>
      <c r="Q4" s="1121"/>
      <c r="R4" s="1121"/>
      <c r="S4" s="1121"/>
      <c r="T4" s="1121"/>
      <c r="U4" s="1121"/>
      <c r="V4" s="1121"/>
      <c r="W4" s="1122"/>
      <c r="X4" s="1121"/>
      <c r="Y4" s="1121"/>
      <c r="Z4" s="1121"/>
      <c r="AA4" s="888"/>
      <c r="AB4" s="888"/>
    </row>
    <row r="5" spans="1:29" ht="50.25" customHeight="1">
      <c r="A5" s="1124">
        <v>1.1000000000000001</v>
      </c>
      <c r="B5" s="1125" t="s">
        <v>5641</v>
      </c>
      <c r="C5" s="1126"/>
      <c r="D5" s="1127" t="s">
        <v>940</v>
      </c>
      <c r="E5" s="1128"/>
      <c r="F5" s="1127"/>
      <c r="G5" s="1127"/>
      <c r="H5" s="1127"/>
      <c r="I5" s="1127"/>
      <c r="J5" s="1127"/>
      <c r="K5" s="1127"/>
      <c r="L5" s="1127"/>
      <c r="M5" s="1127"/>
      <c r="N5" s="1127"/>
      <c r="O5" s="1127"/>
      <c r="P5" s="1127"/>
      <c r="Q5" s="1127"/>
      <c r="R5" s="1127"/>
      <c r="S5" s="1127"/>
      <c r="T5" s="1127"/>
      <c r="U5" s="1052"/>
      <c r="V5" s="1052"/>
      <c r="W5" s="1129"/>
      <c r="X5" s="1052"/>
      <c r="Y5" s="1130" t="s">
        <v>2167</v>
      </c>
      <c r="Z5" s="1130"/>
    </row>
    <row r="6" spans="1:29" ht="36" customHeight="1">
      <c r="A6" s="1124"/>
      <c r="B6" s="1125" t="s">
        <v>1909</v>
      </c>
      <c r="C6" s="1052">
        <f>ROUND(Data!K91,2)</f>
        <v>204.4</v>
      </c>
      <c r="D6" s="1127" t="s">
        <v>1153</v>
      </c>
      <c r="E6" s="1128">
        <f>detailed!G51</f>
        <v>462.1</v>
      </c>
      <c r="F6" s="1127">
        <f>E6*C6</f>
        <v>94453.24</v>
      </c>
      <c r="G6" s="1127"/>
      <c r="H6" s="1127">
        <f>G6*C6</f>
        <v>0</v>
      </c>
      <c r="I6" s="1127"/>
      <c r="J6" s="1127">
        <f>I6*C6</f>
        <v>0</v>
      </c>
      <c r="K6" s="1127">
        <f>'Plinth P'!G10</f>
        <v>13.6</v>
      </c>
      <c r="L6" s="1127">
        <f>K6*C6</f>
        <v>2779.84</v>
      </c>
      <c r="M6" s="1127"/>
      <c r="N6" s="1127">
        <f>M6*C6</f>
        <v>0</v>
      </c>
      <c r="O6" s="1127"/>
      <c r="P6" s="1127">
        <f>O6*C6</f>
        <v>0</v>
      </c>
      <c r="Q6" s="1127"/>
      <c r="R6" s="1127">
        <f>Q6*C6</f>
        <v>0</v>
      </c>
      <c r="S6" s="1045"/>
      <c r="T6" s="1131">
        <f>S6*C6</f>
        <v>0</v>
      </c>
      <c r="U6" s="1045">
        <f>Com.wall!H10</f>
        <v>62.4</v>
      </c>
      <c r="V6" s="1045">
        <f t="shared" ref="V6:V69" si="0">U6*C6</f>
        <v>12754.56</v>
      </c>
      <c r="W6" s="1132">
        <f>U6+S6+Q6+O6+M6+K6+I6+G6</f>
        <v>76</v>
      </c>
      <c r="X6" s="1045">
        <f>W6*C6</f>
        <v>15534.4</v>
      </c>
      <c r="Y6" s="1132">
        <f>W6+E6</f>
        <v>538.1</v>
      </c>
      <c r="Z6" s="1045">
        <f>Y6*C6</f>
        <v>109987.64</v>
      </c>
      <c r="AA6" s="890"/>
      <c r="AB6" s="890"/>
    </row>
    <row r="7" spans="1:29" s="718" customFormat="1">
      <c r="A7" s="1133"/>
      <c r="B7" s="1134" t="s">
        <v>691</v>
      </c>
      <c r="C7" s="1135">
        <f>ROUND(Data!K92,2)</f>
        <v>213.7</v>
      </c>
      <c r="D7" s="1136" t="s">
        <v>1153</v>
      </c>
      <c r="E7" s="1137"/>
      <c r="F7" s="1127">
        <f t="shared" ref="F7:F70" si="1">E7*C7</f>
        <v>0</v>
      </c>
      <c r="G7" s="1136"/>
      <c r="H7" s="1127">
        <f t="shared" ref="H7:H29" si="2">G7*C7</f>
        <v>0</v>
      </c>
      <c r="I7" s="1136"/>
      <c r="J7" s="1127">
        <f t="shared" ref="J7:J29" si="3">I7*C7</f>
        <v>0</v>
      </c>
      <c r="K7" s="1136"/>
      <c r="L7" s="1127">
        <f t="shared" ref="L7:L29" si="4">K7*C7</f>
        <v>0</v>
      </c>
      <c r="M7" s="1136"/>
      <c r="N7" s="1127">
        <f t="shared" ref="N7:N29" si="5">M7*C7</f>
        <v>0</v>
      </c>
      <c r="O7" s="1136"/>
      <c r="P7" s="1127">
        <f t="shared" ref="P7:P29" si="6">O7*C7</f>
        <v>0</v>
      </c>
      <c r="Q7" s="1136"/>
      <c r="R7" s="1127">
        <f t="shared" ref="R7:R29" si="7">Q7*C7</f>
        <v>0</v>
      </c>
      <c r="S7" s="1028"/>
      <c r="T7" s="1131">
        <f t="shared" ref="T7:T29" si="8">S7*C7</f>
        <v>0</v>
      </c>
      <c r="U7" s="1045"/>
      <c r="V7" s="1045">
        <f t="shared" si="0"/>
        <v>0</v>
      </c>
      <c r="W7" s="1132">
        <f t="shared" ref="W7:W70" si="9">U7+S7+Q7+O7+M7+K7+I7+G7</f>
        <v>0</v>
      </c>
      <c r="X7" s="1045">
        <f t="shared" ref="X7:X29" si="10">W7*C7</f>
        <v>0</v>
      </c>
      <c r="Y7" s="1132">
        <f t="shared" ref="Y7:Y70" si="11">W7+E7</f>
        <v>0</v>
      </c>
      <c r="Z7" s="1045">
        <f t="shared" ref="Z7:Z29" si="12">Y7*C7</f>
        <v>0</v>
      </c>
      <c r="AA7" s="891"/>
      <c r="AB7" s="891"/>
    </row>
    <row r="8" spans="1:29" ht="45">
      <c r="A8" s="1124">
        <v>1.5</v>
      </c>
      <c r="B8" s="1125" t="s">
        <v>5642</v>
      </c>
      <c r="C8" s="1052"/>
      <c r="D8" s="1127" t="s">
        <v>940</v>
      </c>
      <c r="E8" s="1128"/>
      <c r="F8" s="1127">
        <f t="shared" si="1"/>
        <v>0</v>
      </c>
      <c r="G8" s="1127"/>
      <c r="H8" s="1127">
        <f t="shared" si="2"/>
        <v>0</v>
      </c>
      <c r="I8" s="1127"/>
      <c r="J8" s="1127">
        <f t="shared" si="3"/>
        <v>0</v>
      </c>
      <c r="K8" s="1127"/>
      <c r="L8" s="1127">
        <f t="shared" si="4"/>
        <v>0</v>
      </c>
      <c r="M8" s="1127"/>
      <c r="N8" s="1127">
        <f t="shared" si="5"/>
        <v>0</v>
      </c>
      <c r="O8" s="1127"/>
      <c r="P8" s="1127">
        <f t="shared" si="6"/>
        <v>0</v>
      </c>
      <c r="Q8" s="1127"/>
      <c r="R8" s="1127">
        <f t="shared" si="7"/>
        <v>0</v>
      </c>
      <c r="S8" s="1049"/>
      <c r="T8" s="1131">
        <f t="shared" si="8"/>
        <v>0</v>
      </c>
      <c r="U8" s="1045"/>
      <c r="V8" s="1045">
        <f t="shared" si="0"/>
        <v>0</v>
      </c>
      <c r="W8" s="1132">
        <f t="shared" si="9"/>
        <v>0</v>
      </c>
      <c r="X8" s="1045">
        <f t="shared" si="10"/>
        <v>0</v>
      </c>
      <c r="Y8" s="1132">
        <f t="shared" si="11"/>
        <v>0</v>
      </c>
      <c r="Z8" s="1045">
        <f t="shared" si="12"/>
        <v>0</v>
      </c>
      <c r="AA8" s="785"/>
      <c r="AB8" s="890"/>
      <c r="AC8" s="862"/>
    </row>
    <row r="9" spans="1:29" ht="49.5" customHeight="1">
      <c r="A9" s="1124"/>
      <c r="B9" s="1125" t="s">
        <v>1909</v>
      </c>
      <c r="C9" s="1052">
        <f>ROUND(Data!K121,2)</f>
        <v>96.6</v>
      </c>
      <c r="D9" s="1127" t="s">
        <v>1153</v>
      </c>
      <c r="E9" s="1128"/>
      <c r="F9" s="1127">
        <f t="shared" si="1"/>
        <v>0</v>
      </c>
      <c r="G9" s="1127">
        <f>ST!G10</f>
        <v>66.3</v>
      </c>
      <c r="H9" s="1127">
        <f t="shared" si="2"/>
        <v>6404.58</v>
      </c>
      <c r="I9" s="1127">
        <f>Sump!G7</f>
        <v>69.099999999999994</v>
      </c>
      <c r="J9" s="1127">
        <f t="shared" si="3"/>
        <v>6675.06</v>
      </c>
      <c r="K9" s="1127"/>
      <c r="L9" s="1127">
        <f t="shared" si="4"/>
        <v>0</v>
      </c>
      <c r="M9" s="1127"/>
      <c r="N9" s="1127">
        <f t="shared" si="5"/>
        <v>0</v>
      </c>
      <c r="O9" s="1127"/>
      <c r="P9" s="1127">
        <f t="shared" si="6"/>
        <v>0</v>
      </c>
      <c r="Q9" s="1127"/>
      <c r="R9" s="1127">
        <f t="shared" si="7"/>
        <v>0</v>
      </c>
      <c r="S9" s="1045"/>
      <c r="T9" s="1131">
        <f t="shared" si="8"/>
        <v>0</v>
      </c>
      <c r="U9" s="1045"/>
      <c r="V9" s="1045">
        <f t="shared" si="0"/>
        <v>0</v>
      </c>
      <c r="W9" s="1132">
        <f t="shared" si="9"/>
        <v>135.4</v>
      </c>
      <c r="X9" s="1045">
        <f t="shared" si="10"/>
        <v>13079.64</v>
      </c>
      <c r="Y9" s="1132">
        <f t="shared" si="11"/>
        <v>135.4</v>
      </c>
      <c r="Z9" s="1045">
        <f t="shared" si="12"/>
        <v>13079.64</v>
      </c>
      <c r="AA9" s="890"/>
      <c r="AB9" s="890"/>
    </row>
    <row r="10" spans="1:29">
      <c r="A10" s="1154"/>
      <c r="B10" s="1155" t="s">
        <v>691</v>
      </c>
      <c r="C10" s="1040">
        <f>ROUND(Data!K122,2)</f>
        <v>105.9</v>
      </c>
      <c r="D10" s="1127" t="s">
        <v>1153</v>
      </c>
      <c r="E10" s="1128"/>
      <c r="F10" s="1127">
        <f t="shared" si="1"/>
        <v>0</v>
      </c>
      <c r="G10" s="1127"/>
      <c r="H10" s="1127">
        <f t="shared" si="2"/>
        <v>0</v>
      </c>
      <c r="I10" s="1127"/>
      <c r="J10" s="1127">
        <f t="shared" si="3"/>
        <v>0</v>
      </c>
      <c r="K10" s="1127"/>
      <c r="L10" s="1127">
        <f t="shared" si="4"/>
        <v>0</v>
      </c>
      <c r="M10" s="1127"/>
      <c r="N10" s="1127">
        <f t="shared" si="5"/>
        <v>0</v>
      </c>
      <c r="O10" s="1127"/>
      <c r="P10" s="1127">
        <f t="shared" si="6"/>
        <v>0</v>
      </c>
      <c r="Q10" s="1127"/>
      <c r="R10" s="1127">
        <f t="shared" si="7"/>
        <v>0</v>
      </c>
      <c r="S10" s="1045"/>
      <c r="T10" s="1131">
        <f t="shared" si="8"/>
        <v>0</v>
      </c>
      <c r="U10" s="1045"/>
      <c r="V10" s="1045">
        <f t="shared" si="0"/>
        <v>0</v>
      </c>
      <c r="W10" s="1132">
        <f t="shared" si="9"/>
        <v>0</v>
      </c>
      <c r="X10" s="1045">
        <f t="shared" si="10"/>
        <v>0</v>
      </c>
      <c r="Y10" s="1132">
        <f t="shared" si="11"/>
        <v>0</v>
      </c>
      <c r="Z10" s="1045">
        <f t="shared" si="12"/>
        <v>0</v>
      </c>
      <c r="AA10" s="890"/>
      <c r="AB10" s="890"/>
    </row>
    <row r="11" spans="1:29" s="486" customFormat="1" ht="45">
      <c r="A11" s="1124">
        <v>1.6</v>
      </c>
      <c r="B11" s="1125" t="s">
        <v>5643</v>
      </c>
      <c r="C11" s="1052"/>
      <c r="D11" s="1127"/>
      <c r="E11" s="1128"/>
      <c r="F11" s="1127">
        <f t="shared" si="1"/>
        <v>0</v>
      </c>
      <c r="G11" s="1127"/>
      <c r="H11" s="1127">
        <f t="shared" si="2"/>
        <v>0</v>
      </c>
      <c r="I11" s="1127"/>
      <c r="J11" s="1127">
        <f t="shared" si="3"/>
        <v>0</v>
      </c>
      <c r="K11" s="1127"/>
      <c r="L11" s="1127">
        <f t="shared" si="4"/>
        <v>0</v>
      </c>
      <c r="M11" s="1127"/>
      <c r="N11" s="1127">
        <f t="shared" si="5"/>
        <v>0</v>
      </c>
      <c r="O11" s="1127"/>
      <c r="P11" s="1127">
        <f t="shared" si="6"/>
        <v>0</v>
      </c>
      <c r="Q11" s="1127"/>
      <c r="R11" s="1127">
        <f t="shared" si="7"/>
        <v>0</v>
      </c>
      <c r="S11" s="1028"/>
      <c r="T11" s="1131">
        <f t="shared" si="8"/>
        <v>0</v>
      </c>
      <c r="U11" s="1045"/>
      <c r="V11" s="1045">
        <f t="shared" si="0"/>
        <v>0</v>
      </c>
      <c r="W11" s="1132">
        <f t="shared" si="9"/>
        <v>0</v>
      </c>
      <c r="X11" s="1045">
        <f t="shared" si="10"/>
        <v>0</v>
      </c>
      <c r="Y11" s="1132">
        <f t="shared" si="11"/>
        <v>0</v>
      </c>
      <c r="Z11" s="1045">
        <f t="shared" si="12"/>
        <v>0</v>
      </c>
      <c r="AA11" s="892"/>
      <c r="AB11" s="891"/>
    </row>
    <row r="12" spans="1:29" s="486" customFormat="1">
      <c r="A12" s="1124"/>
      <c r="B12" s="1125" t="s">
        <v>1909</v>
      </c>
      <c r="C12" s="1052">
        <f>ROUND(Data!K136,2)</f>
        <v>144.9</v>
      </c>
      <c r="D12" s="1127" t="s">
        <v>1153</v>
      </c>
      <c r="E12" s="1128"/>
      <c r="F12" s="1127">
        <f t="shared" si="1"/>
        <v>0</v>
      </c>
      <c r="G12" s="1127"/>
      <c r="H12" s="1127">
        <f t="shared" si="2"/>
        <v>0</v>
      </c>
      <c r="I12" s="1127"/>
      <c r="J12" s="1127">
        <f t="shared" si="3"/>
        <v>0</v>
      </c>
      <c r="K12" s="1127"/>
      <c r="L12" s="1127">
        <f t="shared" si="4"/>
        <v>0</v>
      </c>
      <c r="M12" s="1127"/>
      <c r="N12" s="1127">
        <f t="shared" si="5"/>
        <v>0</v>
      </c>
      <c r="O12" s="1127">
        <f>'Sullage drain'!G10</f>
        <v>22.5</v>
      </c>
      <c r="P12" s="1127">
        <f t="shared" si="6"/>
        <v>3260.25</v>
      </c>
      <c r="Q12" s="1127"/>
      <c r="R12" s="1127">
        <f t="shared" si="7"/>
        <v>0</v>
      </c>
      <c r="S12" s="1028"/>
      <c r="T12" s="1131">
        <f t="shared" si="8"/>
        <v>0</v>
      </c>
      <c r="U12" s="1045"/>
      <c r="V12" s="1045">
        <f t="shared" si="0"/>
        <v>0</v>
      </c>
      <c r="W12" s="1132">
        <f t="shared" si="9"/>
        <v>22.5</v>
      </c>
      <c r="X12" s="1045">
        <f t="shared" si="10"/>
        <v>3260.25</v>
      </c>
      <c r="Y12" s="1132">
        <f t="shared" si="11"/>
        <v>22.5</v>
      </c>
      <c r="Z12" s="1045">
        <f t="shared" si="12"/>
        <v>3260.25</v>
      </c>
      <c r="AA12" s="892"/>
      <c r="AB12" s="891"/>
    </row>
    <row r="13" spans="1:29" s="486" customFormat="1">
      <c r="A13" s="1149"/>
      <c r="B13" s="1150" t="s">
        <v>691</v>
      </c>
      <c r="C13" s="1156">
        <f>ROUND(Data!K137,2)</f>
        <v>154.19999999999999</v>
      </c>
      <c r="D13" s="1152" t="s">
        <v>1153</v>
      </c>
      <c r="E13" s="1153"/>
      <c r="F13" s="1127">
        <f t="shared" si="1"/>
        <v>0</v>
      </c>
      <c r="G13" s="1152"/>
      <c r="H13" s="1127">
        <f t="shared" si="2"/>
        <v>0</v>
      </c>
      <c r="I13" s="1152"/>
      <c r="J13" s="1127">
        <f t="shared" si="3"/>
        <v>0</v>
      </c>
      <c r="K13" s="1152"/>
      <c r="L13" s="1127">
        <f t="shared" si="4"/>
        <v>0</v>
      </c>
      <c r="M13" s="1152"/>
      <c r="N13" s="1127">
        <f t="shared" si="5"/>
        <v>0</v>
      </c>
      <c r="O13" s="1152"/>
      <c r="P13" s="1127">
        <f t="shared" si="6"/>
        <v>0</v>
      </c>
      <c r="Q13" s="1152"/>
      <c r="R13" s="1127">
        <f t="shared" si="7"/>
        <v>0</v>
      </c>
      <c r="S13" s="1028"/>
      <c r="T13" s="1131">
        <f t="shared" si="8"/>
        <v>0</v>
      </c>
      <c r="U13" s="1045"/>
      <c r="V13" s="1045">
        <f t="shared" si="0"/>
        <v>0</v>
      </c>
      <c r="W13" s="1132">
        <f t="shared" si="9"/>
        <v>0</v>
      </c>
      <c r="X13" s="1045">
        <f t="shared" si="10"/>
        <v>0</v>
      </c>
      <c r="Y13" s="1132">
        <f t="shared" si="11"/>
        <v>0</v>
      </c>
      <c r="Z13" s="1045">
        <f t="shared" si="12"/>
        <v>0</v>
      </c>
      <c r="AA13" s="892"/>
      <c r="AB13" s="891"/>
    </row>
    <row r="14" spans="1:29" s="549" customFormat="1">
      <c r="A14" s="1124">
        <v>2.1</v>
      </c>
      <c r="B14" s="1125" t="s">
        <v>875</v>
      </c>
      <c r="C14" s="1052">
        <f>ROUND(Data!K147,2)</f>
        <v>1430.32</v>
      </c>
      <c r="D14" s="1127" t="s">
        <v>1153</v>
      </c>
      <c r="E14" s="1128">
        <f>detailed!G62</f>
        <v>65.099999999999994</v>
      </c>
      <c r="F14" s="1127">
        <f t="shared" si="1"/>
        <v>93113.83</v>
      </c>
      <c r="G14" s="1127">
        <f>ST!H79</f>
        <v>2.4</v>
      </c>
      <c r="H14" s="1127">
        <f t="shared" si="2"/>
        <v>3432.77</v>
      </c>
      <c r="I14" s="1127"/>
      <c r="J14" s="1127">
        <f t="shared" si="3"/>
        <v>0</v>
      </c>
      <c r="K14" s="1127">
        <f>'Plinth P'!G14</f>
        <v>2.2999999999999998</v>
      </c>
      <c r="L14" s="1127">
        <f t="shared" si="4"/>
        <v>3289.74</v>
      </c>
      <c r="M14" s="1127">
        <f>'Paver '!G16</f>
        <v>158.30000000000001</v>
      </c>
      <c r="N14" s="1127">
        <f t="shared" si="5"/>
        <v>226419.66</v>
      </c>
      <c r="O14" s="1127"/>
      <c r="P14" s="1127">
        <f t="shared" si="6"/>
        <v>0</v>
      </c>
      <c r="Q14" s="1127"/>
      <c r="R14" s="1127">
        <f t="shared" si="7"/>
        <v>0</v>
      </c>
      <c r="S14" s="1045"/>
      <c r="T14" s="1131">
        <f t="shared" si="8"/>
        <v>0</v>
      </c>
      <c r="U14" s="1045"/>
      <c r="V14" s="1045">
        <f t="shared" si="0"/>
        <v>0</v>
      </c>
      <c r="W14" s="1132">
        <f t="shared" si="9"/>
        <v>163</v>
      </c>
      <c r="X14" s="1045">
        <f t="shared" si="10"/>
        <v>233142.16</v>
      </c>
      <c r="Y14" s="1132">
        <f t="shared" si="11"/>
        <v>228.1</v>
      </c>
      <c r="Z14" s="1045">
        <f t="shared" si="12"/>
        <v>326255.99</v>
      </c>
      <c r="AA14" s="890"/>
      <c r="AB14" s="890"/>
    </row>
    <row r="15" spans="1:29" s="486" customFormat="1">
      <c r="A15" s="1149">
        <v>2.2000000000000002</v>
      </c>
      <c r="B15" s="1150" t="s">
        <v>221</v>
      </c>
      <c r="C15" s="1156">
        <f>ROUND(Data!K164,2)</f>
        <v>1350.13</v>
      </c>
      <c r="D15" s="1152" t="s">
        <v>1153</v>
      </c>
      <c r="E15" s="1153"/>
      <c r="F15" s="1127">
        <f t="shared" si="1"/>
        <v>0</v>
      </c>
      <c r="G15" s="1152"/>
      <c r="H15" s="1127">
        <f t="shared" si="2"/>
        <v>0</v>
      </c>
      <c r="I15" s="1152"/>
      <c r="J15" s="1127">
        <f t="shared" si="3"/>
        <v>0</v>
      </c>
      <c r="K15" s="1152"/>
      <c r="L15" s="1127">
        <f t="shared" si="4"/>
        <v>0</v>
      </c>
      <c r="M15" s="1152"/>
      <c r="N15" s="1127">
        <f t="shared" si="5"/>
        <v>0</v>
      </c>
      <c r="O15" s="1152"/>
      <c r="P15" s="1127">
        <f t="shared" si="6"/>
        <v>0</v>
      </c>
      <c r="Q15" s="1152"/>
      <c r="R15" s="1127">
        <f t="shared" si="7"/>
        <v>0</v>
      </c>
      <c r="S15" s="1028"/>
      <c r="T15" s="1131">
        <f t="shared" si="8"/>
        <v>0</v>
      </c>
      <c r="U15" s="1045"/>
      <c r="V15" s="1045">
        <f t="shared" si="0"/>
        <v>0</v>
      </c>
      <c r="W15" s="1132">
        <f t="shared" si="9"/>
        <v>0</v>
      </c>
      <c r="X15" s="1045">
        <f t="shared" si="10"/>
        <v>0</v>
      </c>
      <c r="Y15" s="1132">
        <f t="shared" si="11"/>
        <v>0</v>
      </c>
      <c r="Z15" s="1045">
        <f t="shared" si="12"/>
        <v>0</v>
      </c>
      <c r="AA15" s="892"/>
      <c r="AB15" s="891"/>
    </row>
    <row r="16" spans="1:29" s="718" customFormat="1">
      <c r="A16" s="1145">
        <v>2.2999999999999998</v>
      </c>
      <c r="B16" s="1146" t="s">
        <v>1921</v>
      </c>
      <c r="C16" s="1012">
        <f>ROUND(Data!C168,2)</f>
        <v>744.52</v>
      </c>
      <c r="D16" s="1157" t="s">
        <v>1153</v>
      </c>
      <c r="E16" s="1158"/>
      <c r="F16" s="1127">
        <f t="shared" si="1"/>
        <v>0</v>
      </c>
      <c r="G16" s="1157"/>
      <c r="H16" s="1127">
        <f t="shared" si="2"/>
        <v>0</v>
      </c>
      <c r="I16" s="1157"/>
      <c r="J16" s="1127">
        <f t="shared" si="3"/>
        <v>0</v>
      </c>
      <c r="K16" s="1157"/>
      <c r="L16" s="1127">
        <f t="shared" si="4"/>
        <v>0</v>
      </c>
      <c r="M16" s="1157"/>
      <c r="N16" s="1127">
        <f t="shared" si="5"/>
        <v>0</v>
      </c>
      <c r="O16" s="1157"/>
      <c r="P16" s="1127">
        <f t="shared" si="6"/>
        <v>0</v>
      </c>
      <c r="Q16" s="1157"/>
      <c r="R16" s="1127">
        <f t="shared" si="7"/>
        <v>0</v>
      </c>
      <c r="S16" s="1028"/>
      <c r="T16" s="1131">
        <f t="shared" si="8"/>
        <v>0</v>
      </c>
      <c r="U16" s="1045"/>
      <c r="V16" s="1045">
        <f t="shared" si="0"/>
        <v>0</v>
      </c>
      <c r="W16" s="1132">
        <f t="shared" si="9"/>
        <v>0</v>
      </c>
      <c r="X16" s="1045">
        <f t="shared" si="10"/>
        <v>0</v>
      </c>
      <c r="Y16" s="1132">
        <f t="shared" si="11"/>
        <v>0</v>
      </c>
      <c r="Z16" s="1045">
        <f t="shared" si="12"/>
        <v>0</v>
      </c>
      <c r="AA16" s="891"/>
      <c r="AB16" s="891"/>
    </row>
    <row r="17" spans="1:29" s="718" customFormat="1" ht="102">
      <c r="A17" s="1145">
        <v>2.4</v>
      </c>
      <c r="B17" s="1146" t="s">
        <v>6055</v>
      </c>
      <c r="C17" s="1012">
        <f>'Sub Data'!F20</f>
        <v>1159.55</v>
      </c>
      <c r="D17" s="1157" t="s">
        <v>1776</v>
      </c>
      <c r="E17" s="1158"/>
      <c r="F17" s="1127">
        <f t="shared" si="1"/>
        <v>0</v>
      </c>
      <c r="G17" s="1157"/>
      <c r="H17" s="1127">
        <f t="shared" si="2"/>
        <v>0</v>
      </c>
      <c r="I17" s="1157"/>
      <c r="J17" s="1127">
        <f t="shared" si="3"/>
        <v>0</v>
      </c>
      <c r="K17" s="1157"/>
      <c r="L17" s="1127">
        <f t="shared" si="4"/>
        <v>0</v>
      </c>
      <c r="M17" s="1157">
        <f>'Paver '!G22</f>
        <v>1055.2</v>
      </c>
      <c r="N17" s="1127">
        <f t="shared" si="5"/>
        <v>1223557.1599999999</v>
      </c>
      <c r="O17" s="1157"/>
      <c r="P17" s="1127">
        <f t="shared" si="6"/>
        <v>0</v>
      </c>
      <c r="Q17" s="1157"/>
      <c r="R17" s="1127">
        <f t="shared" si="7"/>
        <v>0</v>
      </c>
      <c r="S17" s="1028"/>
      <c r="T17" s="1131">
        <f t="shared" si="8"/>
        <v>0</v>
      </c>
      <c r="U17" s="1045"/>
      <c r="V17" s="1045">
        <f t="shared" si="0"/>
        <v>0</v>
      </c>
      <c r="W17" s="1132">
        <f t="shared" si="9"/>
        <v>1055.2</v>
      </c>
      <c r="X17" s="1045">
        <f t="shared" si="10"/>
        <v>1223557.1599999999</v>
      </c>
      <c r="Y17" s="1132">
        <f t="shared" si="11"/>
        <v>1055.2</v>
      </c>
      <c r="Z17" s="1045">
        <f t="shared" si="12"/>
        <v>1223557.1599999999</v>
      </c>
      <c r="AA17" s="891"/>
      <c r="AB17" s="891"/>
    </row>
    <row r="18" spans="1:29" s="486" customFormat="1">
      <c r="A18" s="1124">
        <v>2.5</v>
      </c>
      <c r="B18" s="1125" t="s">
        <v>4951</v>
      </c>
      <c r="C18" s="1024">
        <f>'Sub Data'!F8</f>
        <v>927.31</v>
      </c>
      <c r="D18" s="1138" t="s">
        <v>1153</v>
      </c>
      <c r="E18" s="1139"/>
      <c r="F18" s="1127">
        <f t="shared" si="1"/>
        <v>0</v>
      </c>
      <c r="G18" s="1138"/>
      <c r="H18" s="1127">
        <f t="shared" si="2"/>
        <v>0</v>
      </c>
      <c r="I18" s="1138"/>
      <c r="J18" s="1127">
        <f t="shared" si="3"/>
        <v>0</v>
      </c>
      <c r="K18" s="1138"/>
      <c r="L18" s="1127">
        <f t="shared" si="4"/>
        <v>0</v>
      </c>
      <c r="M18" s="1138">
        <f>'Paver '!G11</f>
        <v>158.30000000000001</v>
      </c>
      <c r="N18" s="1127">
        <f t="shared" si="5"/>
        <v>146793.17000000001</v>
      </c>
      <c r="O18" s="1138"/>
      <c r="P18" s="1127">
        <f t="shared" si="6"/>
        <v>0</v>
      </c>
      <c r="Q18" s="1138"/>
      <c r="R18" s="1127">
        <f t="shared" si="7"/>
        <v>0</v>
      </c>
      <c r="S18" s="1028"/>
      <c r="T18" s="1131">
        <f t="shared" si="8"/>
        <v>0</v>
      </c>
      <c r="U18" s="1045"/>
      <c r="V18" s="1045">
        <f t="shared" si="0"/>
        <v>0</v>
      </c>
      <c r="W18" s="1132">
        <f t="shared" si="9"/>
        <v>158.30000000000001</v>
      </c>
      <c r="X18" s="1045">
        <f t="shared" si="10"/>
        <v>146793.17000000001</v>
      </c>
      <c r="Y18" s="1132">
        <f t="shared" si="11"/>
        <v>158.30000000000001</v>
      </c>
      <c r="Z18" s="1045">
        <f t="shared" si="12"/>
        <v>146793.17000000001</v>
      </c>
      <c r="AA18" s="892"/>
      <c r="AB18" s="891"/>
    </row>
    <row r="19" spans="1:29" s="486" customFormat="1">
      <c r="A19" s="1124">
        <v>2.6</v>
      </c>
      <c r="B19" s="1125" t="s">
        <v>445</v>
      </c>
      <c r="C19" s="1052">
        <f>ROUND(Data!K174,2)</f>
        <v>1211.98</v>
      </c>
      <c r="D19" s="1127" t="s">
        <v>1153</v>
      </c>
      <c r="E19" s="1128"/>
      <c r="F19" s="1127">
        <f t="shared" si="1"/>
        <v>0</v>
      </c>
      <c r="G19" s="1127">
        <f>ST!H75</f>
        <v>7.2</v>
      </c>
      <c r="H19" s="1127">
        <f t="shared" si="2"/>
        <v>8726.26</v>
      </c>
      <c r="I19" s="1127"/>
      <c r="J19" s="1127">
        <f t="shared" si="3"/>
        <v>0</v>
      </c>
      <c r="K19" s="1127"/>
      <c r="L19" s="1127">
        <f t="shared" si="4"/>
        <v>0</v>
      </c>
      <c r="M19" s="1127"/>
      <c r="N19" s="1127">
        <f t="shared" si="5"/>
        <v>0</v>
      </c>
      <c r="O19" s="1127"/>
      <c r="P19" s="1127">
        <f t="shared" si="6"/>
        <v>0</v>
      </c>
      <c r="Q19" s="1127"/>
      <c r="R19" s="1127">
        <f t="shared" si="7"/>
        <v>0</v>
      </c>
      <c r="S19" s="1028"/>
      <c r="T19" s="1131">
        <f t="shared" si="8"/>
        <v>0</v>
      </c>
      <c r="U19" s="1045"/>
      <c r="V19" s="1045">
        <f t="shared" si="0"/>
        <v>0</v>
      </c>
      <c r="W19" s="1132">
        <f t="shared" si="9"/>
        <v>7.2</v>
      </c>
      <c r="X19" s="1045">
        <f t="shared" si="10"/>
        <v>8726.26</v>
      </c>
      <c r="Y19" s="1132">
        <f t="shared" si="11"/>
        <v>7.2</v>
      </c>
      <c r="Z19" s="1045">
        <f t="shared" si="12"/>
        <v>8726.26</v>
      </c>
      <c r="AA19" s="892"/>
      <c r="AB19" s="891"/>
    </row>
    <row r="20" spans="1:29" s="486" customFormat="1">
      <c r="A20" s="1124">
        <v>2.7</v>
      </c>
      <c r="B20" s="1125" t="s">
        <v>282</v>
      </c>
      <c r="C20" s="1052">
        <f>ROUND(Data!K182,2)</f>
        <v>1614.98</v>
      </c>
      <c r="D20" s="1127" t="s">
        <v>1153</v>
      </c>
      <c r="E20" s="1128"/>
      <c r="F20" s="1127">
        <f t="shared" si="1"/>
        <v>0</v>
      </c>
      <c r="G20" s="1127">
        <f>ST!H77</f>
        <v>2.4</v>
      </c>
      <c r="H20" s="1127">
        <f t="shared" si="2"/>
        <v>3875.95</v>
      </c>
      <c r="I20" s="1127"/>
      <c r="J20" s="1127">
        <f t="shared" si="3"/>
        <v>0</v>
      </c>
      <c r="K20" s="1127"/>
      <c r="L20" s="1127">
        <f t="shared" si="4"/>
        <v>0</v>
      </c>
      <c r="M20" s="1127"/>
      <c r="N20" s="1127">
        <f t="shared" si="5"/>
        <v>0</v>
      </c>
      <c r="O20" s="1127"/>
      <c r="P20" s="1127">
        <f t="shared" si="6"/>
        <v>0</v>
      </c>
      <c r="Q20" s="1127"/>
      <c r="R20" s="1127">
        <f t="shared" si="7"/>
        <v>0</v>
      </c>
      <c r="S20" s="1028"/>
      <c r="T20" s="1131">
        <f t="shared" si="8"/>
        <v>0</v>
      </c>
      <c r="U20" s="1045"/>
      <c r="V20" s="1045">
        <f t="shared" si="0"/>
        <v>0</v>
      </c>
      <c r="W20" s="1132">
        <f t="shared" si="9"/>
        <v>2.4</v>
      </c>
      <c r="X20" s="1045">
        <f t="shared" si="10"/>
        <v>3875.95</v>
      </c>
      <c r="Y20" s="1132">
        <f t="shared" si="11"/>
        <v>2.4</v>
      </c>
      <c r="Z20" s="1045">
        <f t="shared" si="12"/>
        <v>3875.95</v>
      </c>
      <c r="AA20" s="892"/>
      <c r="AB20" s="891"/>
    </row>
    <row r="21" spans="1:29" s="549" customFormat="1">
      <c r="A21" s="1124">
        <v>3.1</v>
      </c>
      <c r="B21" s="1125" t="s">
        <v>1819</v>
      </c>
      <c r="C21" s="1052">
        <f>ROUND(Data!K207,2)</f>
        <v>4297.8</v>
      </c>
      <c r="D21" s="1127" t="s">
        <v>1153</v>
      </c>
      <c r="E21" s="1128">
        <f>detailed!G118</f>
        <v>30.4</v>
      </c>
      <c r="F21" s="1127">
        <f t="shared" si="1"/>
        <v>130653.12</v>
      </c>
      <c r="G21" s="1127">
        <f>ST!G16</f>
        <v>0.4</v>
      </c>
      <c r="H21" s="1127">
        <f t="shared" si="2"/>
        <v>1719.12</v>
      </c>
      <c r="I21" s="1127">
        <f>Sump!G10</f>
        <v>3.5</v>
      </c>
      <c r="J21" s="1127">
        <f t="shared" si="3"/>
        <v>15042.3</v>
      </c>
      <c r="K21" s="1127">
        <f>'Plinth P'!G18</f>
        <v>3.1</v>
      </c>
      <c r="L21" s="1127">
        <f t="shared" si="4"/>
        <v>13323.18</v>
      </c>
      <c r="M21" s="1127"/>
      <c r="N21" s="1127">
        <f t="shared" si="5"/>
        <v>0</v>
      </c>
      <c r="O21" s="1127">
        <f>'Sullage drain'!G14</f>
        <v>5.7</v>
      </c>
      <c r="P21" s="1127">
        <f t="shared" si="6"/>
        <v>24497.46</v>
      </c>
      <c r="Q21" s="1127"/>
      <c r="R21" s="1127">
        <f t="shared" si="7"/>
        <v>0</v>
      </c>
      <c r="S21" s="1045"/>
      <c r="T21" s="1131">
        <f t="shared" si="8"/>
        <v>0</v>
      </c>
      <c r="U21" s="1045">
        <f>Com.wall!H14</f>
        <v>5.0999999999999996</v>
      </c>
      <c r="V21" s="1045">
        <f t="shared" si="0"/>
        <v>21918.78</v>
      </c>
      <c r="W21" s="1132">
        <f t="shared" si="9"/>
        <v>17.8</v>
      </c>
      <c r="X21" s="1045">
        <f t="shared" si="10"/>
        <v>76500.84</v>
      </c>
      <c r="Y21" s="1132">
        <f t="shared" si="11"/>
        <v>48.2</v>
      </c>
      <c r="Z21" s="1045">
        <f t="shared" si="12"/>
        <v>207153.96</v>
      </c>
      <c r="AA21" s="890"/>
      <c r="AB21" s="890"/>
    </row>
    <row r="22" spans="1:29" ht="45">
      <c r="A22" s="1124">
        <v>3.2</v>
      </c>
      <c r="B22" s="1125" t="s">
        <v>1867</v>
      </c>
      <c r="C22" s="1052">
        <f>ROUND(Data!K222,2)</f>
        <v>5819.12</v>
      </c>
      <c r="D22" s="1127" t="s">
        <v>1153</v>
      </c>
      <c r="E22" s="1128"/>
      <c r="F22" s="1127">
        <f t="shared" si="1"/>
        <v>0</v>
      </c>
      <c r="G22" s="1127">
        <f>ST!G19</f>
        <v>4.2</v>
      </c>
      <c r="H22" s="1127">
        <f t="shared" si="2"/>
        <v>24440.3</v>
      </c>
      <c r="I22" s="1127"/>
      <c r="J22" s="1127">
        <f t="shared" si="3"/>
        <v>0</v>
      </c>
      <c r="K22" s="1127"/>
      <c r="L22" s="1127">
        <f t="shared" si="4"/>
        <v>0</v>
      </c>
      <c r="M22" s="1127"/>
      <c r="N22" s="1127">
        <f t="shared" si="5"/>
        <v>0</v>
      </c>
      <c r="O22" s="1127"/>
      <c r="P22" s="1127">
        <f t="shared" si="6"/>
        <v>0</v>
      </c>
      <c r="Q22" s="1127"/>
      <c r="R22" s="1127">
        <f t="shared" si="7"/>
        <v>0</v>
      </c>
      <c r="S22" s="1045"/>
      <c r="T22" s="1131">
        <f t="shared" si="8"/>
        <v>0</v>
      </c>
      <c r="U22" s="1045"/>
      <c r="V22" s="1045">
        <f t="shared" si="0"/>
        <v>0</v>
      </c>
      <c r="W22" s="1132">
        <f t="shared" si="9"/>
        <v>4.2</v>
      </c>
      <c r="X22" s="1045">
        <f t="shared" si="10"/>
        <v>24440.3</v>
      </c>
      <c r="Y22" s="1132">
        <f t="shared" si="11"/>
        <v>4.2</v>
      </c>
      <c r="Z22" s="1045">
        <f t="shared" si="12"/>
        <v>24440.3</v>
      </c>
      <c r="AA22" s="890"/>
      <c r="AB22" s="890"/>
    </row>
    <row r="23" spans="1:29" s="486" customFormat="1">
      <c r="A23" s="1124">
        <v>3.3</v>
      </c>
      <c r="B23" s="1125" t="s">
        <v>1868</v>
      </c>
      <c r="C23" s="1052">
        <f>ROUND(Data!K237,2)</f>
        <v>3658.53</v>
      </c>
      <c r="D23" s="1127" t="s">
        <v>1153</v>
      </c>
      <c r="E23" s="1128"/>
      <c r="F23" s="1127">
        <f t="shared" si="1"/>
        <v>0</v>
      </c>
      <c r="G23" s="1127">
        <f>ST!G13</f>
        <v>0.1</v>
      </c>
      <c r="H23" s="1127">
        <f t="shared" si="2"/>
        <v>365.85</v>
      </c>
      <c r="I23" s="1127"/>
      <c r="J23" s="1127">
        <f t="shared" si="3"/>
        <v>0</v>
      </c>
      <c r="K23" s="1127"/>
      <c r="L23" s="1127">
        <f t="shared" si="4"/>
        <v>0</v>
      </c>
      <c r="M23" s="1127"/>
      <c r="N23" s="1127">
        <f t="shared" si="5"/>
        <v>0</v>
      </c>
      <c r="O23" s="1127"/>
      <c r="P23" s="1127">
        <f t="shared" si="6"/>
        <v>0</v>
      </c>
      <c r="Q23" s="1127"/>
      <c r="R23" s="1127">
        <f t="shared" si="7"/>
        <v>0</v>
      </c>
      <c r="S23" s="1028"/>
      <c r="T23" s="1131">
        <f t="shared" si="8"/>
        <v>0</v>
      </c>
      <c r="U23" s="1045"/>
      <c r="V23" s="1045">
        <f t="shared" si="0"/>
        <v>0</v>
      </c>
      <c r="W23" s="1132">
        <f t="shared" si="9"/>
        <v>0.1</v>
      </c>
      <c r="X23" s="1045">
        <f t="shared" si="10"/>
        <v>365.85</v>
      </c>
      <c r="Y23" s="1132">
        <f t="shared" si="11"/>
        <v>0.1</v>
      </c>
      <c r="Z23" s="1045">
        <f t="shared" si="12"/>
        <v>365.85</v>
      </c>
      <c r="AA23" s="892"/>
      <c r="AB23" s="891"/>
    </row>
    <row r="24" spans="1:29" s="486" customFormat="1" ht="45">
      <c r="A24" s="1124">
        <v>3.4</v>
      </c>
      <c r="B24" s="1125" t="s">
        <v>564</v>
      </c>
      <c r="C24" s="1024"/>
      <c r="D24" s="1138" t="s">
        <v>1776</v>
      </c>
      <c r="E24" s="1139"/>
      <c r="F24" s="1127">
        <f t="shared" si="1"/>
        <v>0</v>
      </c>
      <c r="G24" s="1138"/>
      <c r="H24" s="1127">
        <f t="shared" si="2"/>
        <v>0</v>
      </c>
      <c r="I24" s="1138"/>
      <c r="J24" s="1127">
        <f t="shared" si="3"/>
        <v>0</v>
      </c>
      <c r="K24" s="1138"/>
      <c r="L24" s="1127">
        <f t="shared" si="4"/>
        <v>0</v>
      </c>
      <c r="M24" s="1138"/>
      <c r="N24" s="1127">
        <f t="shared" si="5"/>
        <v>0</v>
      </c>
      <c r="O24" s="1138"/>
      <c r="P24" s="1127">
        <f t="shared" si="6"/>
        <v>0</v>
      </c>
      <c r="Q24" s="1138"/>
      <c r="R24" s="1127">
        <f t="shared" si="7"/>
        <v>0</v>
      </c>
      <c r="S24" s="1028"/>
      <c r="T24" s="1131">
        <f t="shared" si="8"/>
        <v>0</v>
      </c>
      <c r="U24" s="1045"/>
      <c r="V24" s="1045">
        <f t="shared" si="0"/>
        <v>0</v>
      </c>
      <c r="W24" s="1132">
        <f t="shared" si="9"/>
        <v>0</v>
      </c>
      <c r="X24" s="1045">
        <f t="shared" si="10"/>
        <v>0</v>
      </c>
      <c r="Y24" s="1132">
        <f t="shared" si="11"/>
        <v>0</v>
      </c>
      <c r="Z24" s="1045">
        <f t="shared" si="12"/>
        <v>0</v>
      </c>
      <c r="AA24" s="892"/>
      <c r="AB24" s="891"/>
    </row>
    <row r="25" spans="1:29" s="486" customFormat="1">
      <c r="A25" s="1124">
        <v>4.0999999999999996</v>
      </c>
      <c r="B25" s="1159" t="s">
        <v>5644</v>
      </c>
      <c r="C25" s="1025">
        <f>ROUND(Data!K288,2)</f>
        <v>7160.76</v>
      </c>
      <c r="D25" s="1138" t="s">
        <v>1153</v>
      </c>
      <c r="E25" s="1139"/>
      <c r="F25" s="1127">
        <f t="shared" si="1"/>
        <v>0</v>
      </c>
      <c r="G25" s="1138"/>
      <c r="H25" s="1127">
        <f t="shared" si="2"/>
        <v>0</v>
      </c>
      <c r="I25" s="1138"/>
      <c r="J25" s="1127">
        <f t="shared" si="3"/>
        <v>0</v>
      </c>
      <c r="K25" s="1138"/>
      <c r="L25" s="1127">
        <f t="shared" si="4"/>
        <v>0</v>
      </c>
      <c r="M25" s="1138"/>
      <c r="N25" s="1127">
        <f t="shared" si="5"/>
        <v>0</v>
      </c>
      <c r="O25" s="1138"/>
      <c r="P25" s="1127">
        <f t="shared" si="6"/>
        <v>0</v>
      </c>
      <c r="Q25" s="1138"/>
      <c r="R25" s="1127">
        <f t="shared" si="7"/>
        <v>0</v>
      </c>
      <c r="S25" s="1028"/>
      <c r="T25" s="1131">
        <f t="shared" si="8"/>
        <v>0</v>
      </c>
      <c r="U25" s="1045"/>
      <c r="V25" s="1045">
        <f t="shared" si="0"/>
        <v>0</v>
      </c>
      <c r="W25" s="1132">
        <f t="shared" si="9"/>
        <v>0</v>
      </c>
      <c r="X25" s="1045">
        <f t="shared" si="10"/>
        <v>0</v>
      </c>
      <c r="Y25" s="1132">
        <f t="shared" si="11"/>
        <v>0</v>
      </c>
      <c r="Z25" s="1045">
        <f t="shared" si="12"/>
        <v>0</v>
      </c>
      <c r="AA25" s="892"/>
      <c r="AB25" s="891"/>
    </row>
    <row r="26" spans="1:29" s="486" customFormat="1">
      <c r="A26" s="1124">
        <v>4.2</v>
      </c>
      <c r="B26" s="1159" t="s">
        <v>5645</v>
      </c>
      <c r="C26" s="1025">
        <f>Data!K824</f>
        <v>7802.65</v>
      </c>
      <c r="D26" s="1138" t="s">
        <v>1153</v>
      </c>
      <c r="E26" s="1139"/>
      <c r="F26" s="1127">
        <f t="shared" si="1"/>
        <v>0</v>
      </c>
      <c r="G26" s="1138"/>
      <c r="H26" s="1127">
        <f t="shared" si="2"/>
        <v>0</v>
      </c>
      <c r="I26" s="1138"/>
      <c r="J26" s="1127">
        <f t="shared" si="3"/>
        <v>0</v>
      </c>
      <c r="K26" s="1138"/>
      <c r="L26" s="1127">
        <f t="shared" si="4"/>
        <v>0</v>
      </c>
      <c r="M26" s="1138"/>
      <c r="N26" s="1127">
        <f t="shared" si="5"/>
        <v>0</v>
      </c>
      <c r="O26" s="1138"/>
      <c r="P26" s="1127">
        <f t="shared" si="6"/>
        <v>0</v>
      </c>
      <c r="Q26" s="1138"/>
      <c r="R26" s="1127">
        <f t="shared" si="7"/>
        <v>0</v>
      </c>
      <c r="S26" s="1028"/>
      <c r="T26" s="1131">
        <f t="shared" si="8"/>
        <v>0</v>
      </c>
      <c r="U26" s="1045"/>
      <c r="V26" s="1045">
        <f t="shared" si="0"/>
        <v>0</v>
      </c>
      <c r="W26" s="1132">
        <f t="shared" si="9"/>
        <v>0</v>
      </c>
      <c r="X26" s="1045">
        <f t="shared" si="10"/>
        <v>0</v>
      </c>
      <c r="Y26" s="1132">
        <f t="shared" si="11"/>
        <v>0</v>
      </c>
      <c r="Z26" s="1045">
        <f t="shared" si="12"/>
        <v>0</v>
      </c>
      <c r="AA26" s="892"/>
      <c r="AB26" s="891"/>
    </row>
    <row r="27" spans="1:29" s="718" customFormat="1" ht="51">
      <c r="A27" s="1145">
        <v>5</v>
      </c>
      <c r="B27" s="1146" t="s">
        <v>855</v>
      </c>
      <c r="C27" s="1026">
        <f>ROUND(Data!K309,2)</f>
        <v>4673.38</v>
      </c>
      <c r="D27" s="1157" t="s">
        <v>1153</v>
      </c>
      <c r="E27" s="1158"/>
      <c r="F27" s="1127">
        <f t="shared" si="1"/>
        <v>0</v>
      </c>
      <c r="G27" s="1157"/>
      <c r="H27" s="1127">
        <f t="shared" si="2"/>
        <v>0</v>
      </c>
      <c r="I27" s="1157"/>
      <c r="J27" s="1127">
        <f t="shared" si="3"/>
        <v>0</v>
      </c>
      <c r="K27" s="1157"/>
      <c r="L27" s="1127">
        <f t="shared" si="4"/>
        <v>0</v>
      </c>
      <c r="M27" s="1157"/>
      <c r="N27" s="1127">
        <f t="shared" si="5"/>
        <v>0</v>
      </c>
      <c r="O27" s="1157"/>
      <c r="P27" s="1127">
        <f t="shared" si="6"/>
        <v>0</v>
      </c>
      <c r="Q27" s="1157"/>
      <c r="R27" s="1127">
        <f t="shared" si="7"/>
        <v>0</v>
      </c>
      <c r="S27" s="1028"/>
      <c r="T27" s="1131">
        <f t="shared" si="8"/>
        <v>0</v>
      </c>
      <c r="U27" s="1045"/>
      <c r="V27" s="1045">
        <f t="shared" si="0"/>
        <v>0</v>
      </c>
      <c r="W27" s="1132">
        <f t="shared" si="9"/>
        <v>0</v>
      </c>
      <c r="X27" s="1045">
        <f t="shared" si="10"/>
        <v>0</v>
      </c>
      <c r="Y27" s="1132">
        <f t="shared" si="11"/>
        <v>0</v>
      </c>
      <c r="Z27" s="1045">
        <f t="shared" si="12"/>
        <v>0</v>
      </c>
      <c r="AA27" s="891"/>
      <c r="AB27" s="891"/>
    </row>
    <row r="28" spans="1:29" s="718" customFormat="1" ht="67.5">
      <c r="A28" s="1160">
        <v>6.5</v>
      </c>
      <c r="B28" s="1161" t="s">
        <v>5646</v>
      </c>
      <c r="C28" s="995">
        <f>Data!K324</f>
        <v>6021.38</v>
      </c>
      <c r="D28" s="1147" t="s">
        <v>1153</v>
      </c>
      <c r="E28" s="1148"/>
      <c r="F28" s="1127">
        <f t="shared" si="1"/>
        <v>0</v>
      </c>
      <c r="G28" s="1147">
        <f>ST!G28</f>
        <v>11.3</v>
      </c>
      <c r="H28" s="1127">
        <f t="shared" si="2"/>
        <v>68041.59</v>
      </c>
      <c r="I28" s="1147"/>
      <c r="J28" s="1127">
        <f t="shared" si="3"/>
        <v>0</v>
      </c>
      <c r="K28" s="1147">
        <f>'Plinth P'!G23</f>
        <v>13.9</v>
      </c>
      <c r="L28" s="1127">
        <f t="shared" si="4"/>
        <v>83697.179999999993</v>
      </c>
      <c r="M28" s="1147"/>
      <c r="N28" s="1127">
        <f t="shared" si="5"/>
        <v>0</v>
      </c>
      <c r="O28" s="1147">
        <f>'Sullage drain'!G19</f>
        <v>11.2</v>
      </c>
      <c r="P28" s="1127">
        <f t="shared" si="6"/>
        <v>67439.460000000006</v>
      </c>
      <c r="Q28" s="1147"/>
      <c r="R28" s="1127">
        <f t="shared" si="7"/>
        <v>0</v>
      </c>
      <c r="S28" s="1028"/>
      <c r="T28" s="1131">
        <f t="shared" si="8"/>
        <v>0</v>
      </c>
      <c r="U28" s="1045">
        <f>Com.wall!H24</f>
        <v>21.5</v>
      </c>
      <c r="V28" s="1045">
        <f t="shared" si="0"/>
        <v>129459.67</v>
      </c>
      <c r="W28" s="1132">
        <f t="shared" si="9"/>
        <v>57.9</v>
      </c>
      <c r="X28" s="1045">
        <f t="shared" si="10"/>
        <v>348637.9</v>
      </c>
      <c r="Y28" s="1132">
        <f t="shared" si="11"/>
        <v>57.9</v>
      </c>
      <c r="Z28" s="1045">
        <f t="shared" si="12"/>
        <v>348637.9</v>
      </c>
      <c r="AA28" s="891"/>
      <c r="AB28" s="891"/>
    </row>
    <row r="29" spans="1:29" s="486" customFormat="1" ht="45">
      <c r="A29" s="1124">
        <v>7.2</v>
      </c>
      <c r="B29" s="1125" t="s">
        <v>5647</v>
      </c>
      <c r="C29" s="1025">
        <f>ROUND(Data!K332,2)</f>
        <v>712</v>
      </c>
      <c r="D29" s="1138" t="s">
        <v>1776</v>
      </c>
      <c r="E29" s="1139"/>
      <c r="F29" s="1127">
        <f t="shared" si="1"/>
        <v>0</v>
      </c>
      <c r="G29" s="1138"/>
      <c r="H29" s="1127">
        <f t="shared" si="2"/>
        <v>0</v>
      </c>
      <c r="I29" s="1138"/>
      <c r="J29" s="1127">
        <f t="shared" si="3"/>
        <v>0</v>
      </c>
      <c r="K29" s="1138"/>
      <c r="L29" s="1127">
        <f t="shared" si="4"/>
        <v>0</v>
      </c>
      <c r="M29" s="1138"/>
      <c r="N29" s="1127">
        <f t="shared" si="5"/>
        <v>0</v>
      </c>
      <c r="O29" s="1138"/>
      <c r="P29" s="1127">
        <f t="shared" si="6"/>
        <v>0</v>
      </c>
      <c r="Q29" s="1138"/>
      <c r="R29" s="1127">
        <f t="shared" si="7"/>
        <v>0</v>
      </c>
      <c r="S29" s="1045"/>
      <c r="T29" s="1131">
        <f t="shared" si="8"/>
        <v>0</v>
      </c>
      <c r="U29" s="1045"/>
      <c r="V29" s="1045">
        <f t="shared" si="0"/>
        <v>0</v>
      </c>
      <c r="W29" s="1132">
        <f t="shared" si="9"/>
        <v>0</v>
      </c>
      <c r="X29" s="1045">
        <f t="shared" si="10"/>
        <v>0</v>
      </c>
      <c r="Y29" s="1132">
        <f t="shared" si="11"/>
        <v>0</v>
      </c>
      <c r="Z29" s="1045">
        <f t="shared" si="12"/>
        <v>0</v>
      </c>
      <c r="AA29" s="892"/>
      <c r="AB29" s="890"/>
    </row>
    <row r="30" spans="1:29" s="718" customFormat="1" ht="67.5">
      <c r="A30" s="1160">
        <v>9.5</v>
      </c>
      <c r="B30" s="1161" t="s">
        <v>53</v>
      </c>
      <c r="C30" s="995"/>
      <c r="D30" s="1147"/>
      <c r="E30" s="1148"/>
      <c r="F30" s="1127">
        <f t="shared" si="1"/>
        <v>0</v>
      </c>
      <c r="G30" s="1147"/>
      <c r="H30" s="1127">
        <f t="shared" ref="H30:H80" si="13">G30*C30</f>
        <v>0</v>
      </c>
      <c r="I30" s="1147"/>
      <c r="J30" s="1127">
        <f t="shared" ref="J30:J80" si="14">I30*C30</f>
        <v>0</v>
      </c>
      <c r="K30" s="1147"/>
      <c r="L30" s="1127">
        <f t="shared" ref="L30:L80" si="15">K30*C30</f>
        <v>0</v>
      </c>
      <c r="M30" s="1147"/>
      <c r="N30" s="1127">
        <f t="shared" ref="N30:N80" si="16">M30*C30</f>
        <v>0</v>
      </c>
      <c r="O30" s="1147"/>
      <c r="P30" s="1127">
        <f t="shared" ref="P30:P80" si="17">O30*C30</f>
        <v>0</v>
      </c>
      <c r="Q30" s="1147"/>
      <c r="R30" s="1127">
        <f t="shared" ref="R30:R80" si="18">Q30*C30</f>
        <v>0</v>
      </c>
      <c r="S30" s="1028"/>
      <c r="T30" s="1131">
        <f t="shared" ref="T30:T61" si="19">S30*C30</f>
        <v>0</v>
      </c>
      <c r="U30" s="1045"/>
      <c r="V30" s="1045">
        <f t="shared" si="0"/>
        <v>0</v>
      </c>
      <c r="W30" s="1132">
        <f t="shared" si="9"/>
        <v>0</v>
      </c>
      <c r="X30" s="1045">
        <f t="shared" ref="X30:X80" si="20">W30*C30</f>
        <v>0</v>
      </c>
      <c r="Y30" s="1132">
        <f t="shared" si="11"/>
        <v>0</v>
      </c>
      <c r="Z30" s="1045">
        <f t="shared" ref="Z30:Z80" si="21">Y30*C30</f>
        <v>0</v>
      </c>
      <c r="AA30" s="786"/>
      <c r="AB30" s="891"/>
      <c r="AC30" s="717"/>
    </row>
    <row r="31" spans="1:29" s="718" customFormat="1">
      <c r="A31" s="1160"/>
      <c r="B31" s="1162" t="s">
        <v>195</v>
      </c>
      <c r="C31" s="995">
        <f>ROUND(Data!K350,2)</f>
        <v>6017.86</v>
      </c>
      <c r="D31" s="1147" t="s">
        <v>1153</v>
      </c>
      <c r="E31" s="1148">
        <f>detailed!G436</f>
        <v>94.3</v>
      </c>
      <c r="F31" s="1127">
        <f t="shared" si="1"/>
        <v>567484.19999999995</v>
      </c>
      <c r="G31" s="1147"/>
      <c r="H31" s="1127">
        <f t="shared" si="13"/>
        <v>0</v>
      </c>
      <c r="I31" s="1147"/>
      <c r="J31" s="1127">
        <f t="shared" si="14"/>
        <v>0</v>
      </c>
      <c r="K31" s="1147"/>
      <c r="L31" s="1127">
        <f t="shared" si="15"/>
        <v>0</v>
      </c>
      <c r="M31" s="1147"/>
      <c r="N31" s="1127">
        <f t="shared" si="16"/>
        <v>0</v>
      </c>
      <c r="O31" s="1147"/>
      <c r="P31" s="1127">
        <f t="shared" si="17"/>
        <v>0</v>
      </c>
      <c r="Q31" s="1147"/>
      <c r="R31" s="1127">
        <f t="shared" si="18"/>
        <v>0</v>
      </c>
      <c r="S31" s="1028"/>
      <c r="T31" s="1131">
        <f t="shared" si="19"/>
        <v>0</v>
      </c>
      <c r="U31" s="1045">
        <f>Com.wall!H40</f>
        <v>6.6</v>
      </c>
      <c r="V31" s="1045">
        <f t="shared" si="0"/>
        <v>39717.879999999997</v>
      </c>
      <c r="W31" s="1132">
        <f t="shared" si="9"/>
        <v>6.6</v>
      </c>
      <c r="X31" s="1045">
        <f t="shared" si="20"/>
        <v>39717.879999999997</v>
      </c>
      <c r="Y31" s="1132">
        <f t="shared" si="11"/>
        <v>100.9</v>
      </c>
      <c r="Z31" s="1045">
        <f t="shared" si="21"/>
        <v>607202.06999999995</v>
      </c>
      <c r="AA31" s="891"/>
      <c r="AB31" s="891"/>
    </row>
    <row r="32" spans="1:29" s="718" customFormat="1">
      <c r="A32" s="1160"/>
      <c r="B32" s="1162" t="s">
        <v>196</v>
      </c>
      <c r="C32" s="995">
        <f>ROUND(Data!K351,2)</f>
        <v>6155.06</v>
      </c>
      <c r="D32" s="1147" t="s">
        <v>1153</v>
      </c>
      <c r="E32" s="1148">
        <f>detailed!G463</f>
        <v>97.3</v>
      </c>
      <c r="F32" s="1127">
        <f t="shared" si="1"/>
        <v>598887.34</v>
      </c>
      <c r="G32" s="1147"/>
      <c r="H32" s="1127">
        <f t="shared" si="13"/>
        <v>0</v>
      </c>
      <c r="I32" s="1147"/>
      <c r="J32" s="1127">
        <f t="shared" si="14"/>
        <v>0</v>
      </c>
      <c r="K32" s="1147"/>
      <c r="L32" s="1127">
        <f t="shared" si="15"/>
        <v>0</v>
      </c>
      <c r="M32" s="1147"/>
      <c r="N32" s="1127">
        <f t="shared" si="16"/>
        <v>0</v>
      </c>
      <c r="O32" s="1147"/>
      <c r="P32" s="1127">
        <f t="shared" si="17"/>
        <v>0</v>
      </c>
      <c r="Q32" s="1147"/>
      <c r="R32" s="1127">
        <f t="shared" si="18"/>
        <v>0</v>
      </c>
      <c r="S32" s="1028"/>
      <c r="T32" s="1131">
        <f t="shared" si="19"/>
        <v>0</v>
      </c>
      <c r="U32" s="1045"/>
      <c r="V32" s="1045">
        <f t="shared" si="0"/>
        <v>0</v>
      </c>
      <c r="W32" s="1132">
        <f t="shared" si="9"/>
        <v>0</v>
      </c>
      <c r="X32" s="1045">
        <f t="shared" si="20"/>
        <v>0</v>
      </c>
      <c r="Y32" s="1132">
        <f t="shared" si="11"/>
        <v>97.3</v>
      </c>
      <c r="Z32" s="1045">
        <f t="shared" si="21"/>
        <v>598887.34</v>
      </c>
      <c r="AA32" s="891"/>
      <c r="AB32" s="891"/>
    </row>
    <row r="33" spans="1:29" s="718" customFormat="1">
      <c r="A33" s="1163"/>
      <c r="B33" s="1164" t="s">
        <v>197</v>
      </c>
      <c r="C33" s="1043">
        <f>ROUND(Data!K352,2)</f>
        <v>6292.26</v>
      </c>
      <c r="D33" s="1165" t="s">
        <v>1153</v>
      </c>
      <c r="E33" s="1166">
        <f>detailed!G488</f>
        <v>83.7</v>
      </c>
      <c r="F33" s="1127">
        <f t="shared" si="1"/>
        <v>526662.16</v>
      </c>
      <c r="G33" s="1165"/>
      <c r="H33" s="1127">
        <f t="shared" si="13"/>
        <v>0</v>
      </c>
      <c r="I33" s="1165"/>
      <c r="J33" s="1127">
        <f t="shared" si="14"/>
        <v>0</v>
      </c>
      <c r="K33" s="1165"/>
      <c r="L33" s="1127">
        <f t="shared" si="15"/>
        <v>0</v>
      </c>
      <c r="M33" s="1165"/>
      <c r="N33" s="1127">
        <f t="shared" si="16"/>
        <v>0</v>
      </c>
      <c r="O33" s="1165"/>
      <c r="P33" s="1127">
        <f t="shared" si="17"/>
        <v>0</v>
      </c>
      <c r="Q33" s="1165"/>
      <c r="R33" s="1127">
        <f t="shared" si="18"/>
        <v>0</v>
      </c>
      <c r="S33" s="1028"/>
      <c r="T33" s="1131">
        <f t="shared" si="19"/>
        <v>0</v>
      </c>
      <c r="U33" s="1045"/>
      <c r="V33" s="1045">
        <f t="shared" si="0"/>
        <v>0</v>
      </c>
      <c r="W33" s="1132">
        <f t="shared" si="9"/>
        <v>0</v>
      </c>
      <c r="X33" s="1045">
        <f t="shared" si="20"/>
        <v>0</v>
      </c>
      <c r="Y33" s="1132">
        <f t="shared" si="11"/>
        <v>83.7</v>
      </c>
      <c r="Z33" s="1045">
        <f t="shared" si="21"/>
        <v>526662.16</v>
      </c>
      <c r="AA33" s="891"/>
      <c r="AB33" s="891"/>
    </row>
    <row r="34" spans="1:29" s="718" customFormat="1">
      <c r="A34" s="1160"/>
      <c r="B34" s="1162" t="s">
        <v>198</v>
      </c>
      <c r="C34" s="995">
        <f>ROUND(Data!K353,2)</f>
        <v>6429.46</v>
      </c>
      <c r="D34" s="1147" t="s">
        <v>1153</v>
      </c>
      <c r="E34" s="1148">
        <f>detailed!G498</f>
        <v>17.7</v>
      </c>
      <c r="F34" s="1127">
        <f t="shared" si="1"/>
        <v>113801.44</v>
      </c>
      <c r="G34" s="1147"/>
      <c r="H34" s="1127">
        <f t="shared" si="13"/>
        <v>0</v>
      </c>
      <c r="I34" s="1147"/>
      <c r="J34" s="1127">
        <f t="shared" si="14"/>
        <v>0</v>
      </c>
      <c r="K34" s="1147"/>
      <c r="L34" s="1127">
        <f t="shared" si="15"/>
        <v>0</v>
      </c>
      <c r="M34" s="1147"/>
      <c r="N34" s="1127">
        <f t="shared" si="16"/>
        <v>0</v>
      </c>
      <c r="O34" s="1147"/>
      <c r="P34" s="1127">
        <f t="shared" si="17"/>
        <v>0</v>
      </c>
      <c r="Q34" s="1147"/>
      <c r="R34" s="1127">
        <f t="shared" si="18"/>
        <v>0</v>
      </c>
      <c r="S34" s="1028"/>
      <c r="T34" s="1131">
        <f t="shared" si="19"/>
        <v>0</v>
      </c>
      <c r="U34" s="1045"/>
      <c r="V34" s="1045">
        <f t="shared" si="0"/>
        <v>0</v>
      </c>
      <c r="W34" s="1132">
        <f t="shared" si="9"/>
        <v>0</v>
      </c>
      <c r="X34" s="1045">
        <f t="shared" si="20"/>
        <v>0</v>
      </c>
      <c r="Y34" s="1132">
        <f t="shared" si="11"/>
        <v>17.7</v>
      </c>
      <c r="Z34" s="1045">
        <f t="shared" si="21"/>
        <v>113801.44</v>
      </c>
      <c r="AA34" s="891"/>
      <c r="AB34" s="891"/>
    </row>
    <row r="35" spans="1:29" s="718" customFormat="1">
      <c r="A35" s="1047"/>
      <c r="B35" s="1162" t="s">
        <v>575</v>
      </c>
      <c r="C35" s="995">
        <f>ROUND(Data!K354,2)</f>
        <v>6566.66</v>
      </c>
      <c r="D35" s="1147" t="s">
        <v>1153</v>
      </c>
      <c r="E35" s="1148"/>
      <c r="F35" s="1127">
        <f t="shared" si="1"/>
        <v>0</v>
      </c>
      <c r="G35" s="1147"/>
      <c r="H35" s="1127">
        <f t="shared" si="13"/>
        <v>0</v>
      </c>
      <c r="I35" s="1147"/>
      <c r="J35" s="1127">
        <f t="shared" si="14"/>
        <v>0</v>
      </c>
      <c r="K35" s="1147"/>
      <c r="L35" s="1127">
        <f t="shared" si="15"/>
        <v>0</v>
      </c>
      <c r="M35" s="1147"/>
      <c r="N35" s="1127">
        <f t="shared" si="16"/>
        <v>0</v>
      </c>
      <c r="O35" s="1147"/>
      <c r="P35" s="1127">
        <f t="shared" si="17"/>
        <v>0</v>
      </c>
      <c r="Q35" s="1147"/>
      <c r="R35" s="1127">
        <f t="shared" si="18"/>
        <v>0</v>
      </c>
      <c r="S35" s="1028"/>
      <c r="T35" s="1131">
        <f t="shared" si="19"/>
        <v>0</v>
      </c>
      <c r="U35" s="1045"/>
      <c r="V35" s="1045">
        <f t="shared" si="0"/>
        <v>0</v>
      </c>
      <c r="W35" s="1132">
        <f t="shared" si="9"/>
        <v>0</v>
      </c>
      <c r="X35" s="1045">
        <f t="shared" si="20"/>
        <v>0</v>
      </c>
      <c r="Y35" s="1132">
        <f t="shared" si="11"/>
        <v>0</v>
      </c>
      <c r="Z35" s="1045">
        <f t="shared" si="21"/>
        <v>0</v>
      </c>
      <c r="AA35" s="891"/>
      <c r="AB35" s="891"/>
    </row>
    <row r="36" spans="1:29" s="718" customFormat="1" ht="67.5">
      <c r="A36" s="1160">
        <v>10.5</v>
      </c>
      <c r="B36" s="1161" t="s">
        <v>5648</v>
      </c>
      <c r="C36" s="995"/>
      <c r="D36" s="1147"/>
      <c r="E36" s="1148"/>
      <c r="F36" s="1127">
        <f t="shared" si="1"/>
        <v>0</v>
      </c>
      <c r="G36" s="1147"/>
      <c r="H36" s="1127">
        <f t="shared" si="13"/>
        <v>0</v>
      </c>
      <c r="I36" s="1147"/>
      <c r="J36" s="1127">
        <f t="shared" si="14"/>
        <v>0</v>
      </c>
      <c r="K36" s="1147"/>
      <c r="L36" s="1127">
        <f t="shared" si="15"/>
        <v>0</v>
      </c>
      <c r="M36" s="1147"/>
      <c r="N36" s="1127">
        <f t="shared" si="16"/>
        <v>0</v>
      </c>
      <c r="O36" s="1147"/>
      <c r="P36" s="1127">
        <f t="shared" si="17"/>
        <v>0</v>
      </c>
      <c r="Q36" s="1147"/>
      <c r="R36" s="1127">
        <f t="shared" si="18"/>
        <v>0</v>
      </c>
      <c r="S36" s="1028"/>
      <c r="T36" s="1131">
        <f t="shared" si="19"/>
        <v>0</v>
      </c>
      <c r="U36" s="1045"/>
      <c r="V36" s="1045">
        <f t="shared" si="0"/>
        <v>0</v>
      </c>
      <c r="W36" s="1132">
        <f t="shared" si="9"/>
        <v>0</v>
      </c>
      <c r="X36" s="1045">
        <f t="shared" si="20"/>
        <v>0</v>
      </c>
      <c r="Y36" s="1132">
        <f t="shared" si="11"/>
        <v>0</v>
      </c>
      <c r="Z36" s="1045">
        <f t="shared" si="21"/>
        <v>0</v>
      </c>
      <c r="AA36" s="786"/>
      <c r="AB36" s="891"/>
      <c r="AC36" s="717"/>
    </row>
    <row r="37" spans="1:29" s="718" customFormat="1">
      <c r="A37" s="1160"/>
      <c r="B37" s="1162" t="s">
        <v>513</v>
      </c>
      <c r="C37" s="995">
        <f>ROUND(Data!K403,2)</f>
        <v>725.95</v>
      </c>
      <c r="D37" s="1147" t="s">
        <v>1776</v>
      </c>
      <c r="E37" s="1148"/>
      <c r="F37" s="1127">
        <f t="shared" si="1"/>
        <v>0</v>
      </c>
      <c r="G37" s="1147"/>
      <c r="H37" s="1127">
        <f t="shared" si="13"/>
        <v>0</v>
      </c>
      <c r="I37" s="1147">
        <f>Sump!G27</f>
        <v>51.6</v>
      </c>
      <c r="J37" s="1127">
        <f t="shared" si="14"/>
        <v>37459.019999999997</v>
      </c>
      <c r="K37" s="1147">
        <f>'Plinth P'!G29</f>
        <v>60.2</v>
      </c>
      <c r="L37" s="1127">
        <f t="shared" si="15"/>
        <v>43702.19</v>
      </c>
      <c r="M37" s="1147"/>
      <c r="N37" s="1127">
        <f t="shared" si="16"/>
        <v>0</v>
      </c>
      <c r="O37" s="1147">
        <f>'Sullage drain'!G24</f>
        <v>41.6</v>
      </c>
      <c r="P37" s="1127">
        <f t="shared" si="17"/>
        <v>30199.52</v>
      </c>
      <c r="Q37" s="1147"/>
      <c r="R37" s="1127">
        <f t="shared" si="18"/>
        <v>0</v>
      </c>
      <c r="S37" s="1028"/>
      <c r="T37" s="1131">
        <f t="shared" si="19"/>
        <v>0</v>
      </c>
      <c r="U37" s="1045"/>
      <c r="V37" s="1045">
        <f t="shared" si="0"/>
        <v>0</v>
      </c>
      <c r="W37" s="1132">
        <f t="shared" si="9"/>
        <v>153.4</v>
      </c>
      <c r="X37" s="1045">
        <f t="shared" si="20"/>
        <v>111360.73</v>
      </c>
      <c r="Y37" s="1132">
        <f t="shared" si="11"/>
        <v>153.4</v>
      </c>
      <c r="Z37" s="1045">
        <f t="shared" si="21"/>
        <v>111360.73</v>
      </c>
      <c r="AA37" s="891"/>
      <c r="AB37" s="891"/>
    </row>
    <row r="38" spans="1:29" s="718" customFormat="1">
      <c r="A38" s="1160"/>
      <c r="B38" s="1162" t="s">
        <v>514</v>
      </c>
      <c r="C38" s="995">
        <f>ROUND(Data!K405,2)</f>
        <v>733.43</v>
      </c>
      <c r="D38" s="1147" t="s">
        <v>1776</v>
      </c>
      <c r="E38" s="1148">
        <f>detailed!G505</f>
        <v>20.2</v>
      </c>
      <c r="F38" s="1127">
        <f t="shared" si="1"/>
        <v>14815.29</v>
      </c>
      <c r="G38" s="1147"/>
      <c r="H38" s="1127">
        <f t="shared" si="13"/>
        <v>0</v>
      </c>
      <c r="I38" s="1147"/>
      <c r="J38" s="1127">
        <f t="shared" si="14"/>
        <v>0</v>
      </c>
      <c r="K38" s="1147"/>
      <c r="L38" s="1127">
        <f t="shared" si="15"/>
        <v>0</v>
      </c>
      <c r="M38" s="1147"/>
      <c r="N38" s="1127">
        <f t="shared" si="16"/>
        <v>0</v>
      </c>
      <c r="O38" s="1147"/>
      <c r="P38" s="1127">
        <f t="shared" si="17"/>
        <v>0</v>
      </c>
      <c r="Q38" s="1147"/>
      <c r="R38" s="1127">
        <f t="shared" si="18"/>
        <v>0</v>
      </c>
      <c r="S38" s="1028"/>
      <c r="T38" s="1131">
        <f t="shared" si="19"/>
        <v>0</v>
      </c>
      <c r="U38" s="1045">
        <f>Com.wall!H47</f>
        <v>144.19999999999999</v>
      </c>
      <c r="V38" s="1045">
        <f t="shared" si="0"/>
        <v>105760.61</v>
      </c>
      <c r="W38" s="1132">
        <f t="shared" si="9"/>
        <v>144.19999999999999</v>
      </c>
      <c r="X38" s="1045">
        <f t="shared" si="20"/>
        <v>105760.61</v>
      </c>
      <c r="Y38" s="1132">
        <f t="shared" si="11"/>
        <v>164.4</v>
      </c>
      <c r="Z38" s="1045">
        <f t="shared" si="21"/>
        <v>120575.89</v>
      </c>
      <c r="AA38" s="891"/>
      <c r="AB38" s="891"/>
    </row>
    <row r="39" spans="1:29" s="718" customFormat="1">
      <c r="A39" s="1160"/>
      <c r="B39" s="1162" t="s">
        <v>516</v>
      </c>
      <c r="C39" s="995">
        <f>ROUND(Data!K406,2)</f>
        <v>748.52</v>
      </c>
      <c r="D39" s="1147" t="s">
        <v>1776</v>
      </c>
      <c r="E39" s="1148">
        <f>detailed!G525</f>
        <v>193.2</v>
      </c>
      <c r="F39" s="1127">
        <f t="shared" si="1"/>
        <v>144614.06</v>
      </c>
      <c r="G39" s="1147"/>
      <c r="H39" s="1127">
        <f t="shared" si="13"/>
        <v>0</v>
      </c>
      <c r="I39" s="1147"/>
      <c r="J39" s="1127">
        <f t="shared" si="14"/>
        <v>0</v>
      </c>
      <c r="K39" s="1147"/>
      <c r="L39" s="1127">
        <f t="shared" si="15"/>
        <v>0</v>
      </c>
      <c r="M39" s="1147"/>
      <c r="N39" s="1127">
        <f t="shared" si="16"/>
        <v>0</v>
      </c>
      <c r="O39" s="1147"/>
      <c r="P39" s="1127">
        <f t="shared" si="17"/>
        <v>0</v>
      </c>
      <c r="Q39" s="1147"/>
      <c r="R39" s="1127">
        <f t="shared" si="18"/>
        <v>0</v>
      </c>
      <c r="S39" s="1028"/>
      <c r="T39" s="1131">
        <f t="shared" si="19"/>
        <v>0</v>
      </c>
      <c r="U39" s="1045"/>
      <c r="V39" s="1045">
        <f t="shared" si="0"/>
        <v>0</v>
      </c>
      <c r="W39" s="1132">
        <f t="shared" si="9"/>
        <v>0</v>
      </c>
      <c r="X39" s="1045">
        <f t="shared" si="20"/>
        <v>0</v>
      </c>
      <c r="Y39" s="1132">
        <f t="shared" si="11"/>
        <v>193.2</v>
      </c>
      <c r="Z39" s="1045">
        <f t="shared" si="21"/>
        <v>144614.06</v>
      </c>
      <c r="AA39" s="891"/>
      <c r="AB39" s="891"/>
    </row>
    <row r="40" spans="1:29" s="718" customFormat="1">
      <c r="A40" s="1163"/>
      <c r="B40" s="1164" t="s">
        <v>1743</v>
      </c>
      <c r="C40" s="1043">
        <f>ROUND(Data!K407,2)</f>
        <v>763.61</v>
      </c>
      <c r="D40" s="1165" t="s">
        <v>1776</v>
      </c>
      <c r="E40" s="1166">
        <f>detailed!G538</f>
        <v>100.2</v>
      </c>
      <c r="F40" s="1127">
        <f t="shared" si="1"/>
        <v>76513.72</v>
      </c>
      <c r="G40" s="1165"/>
      <c r="H40" s="1127">
        <f t="shared" si="13"/>
        <v>0</v>
      </c>
      <c r="I40" s="1165"/>
      <c r="J40" s="1127">
        <f t="shared" si="14"/>
        <v>0</v>
      </c>
      <c r="K40" s="1165"/>
      <c r="L40" s="1127">
        <f t="shared" si="15"/>
        <v>0</v>
      </c>
      <c r="M40" s="1165"/>
      <c r="N40" s="1127">
        <f t="shared" si="16"/>
        <v>0</v>
      </c>
      <c r="O40" s="1165"/>
      <c r="P40" s="1127">
        <f t="shared" si="17"/>
        <v>0</v>
      </c>
      <c r="Q40" s="1165"/>
      <c r="R40" s="1127">
        <f t="shared" si="18"/>
        <v>0</v>
      </c>
      <c r="S40" s="1028"/>
      <c r="T40" s="1131">
        <f t="shared" si="19"/>
        <v>0</v>
      </c>
      <c r="U40" s="1045"/>
      <c r="V40" s="1045">
        <f t="shared" si="0"/>
        <v>0</v>
      </c>
      <c r="W40" s="1132">
        <f t="shared" si="9"/>
        <v>0</v>
      </c>
      <c r="X40" s="1045">
        <f t="shared" si="20"/>
        <v>0</v>
      </c>
      <c r="Y40" s="1132">
        <f t="shared" si="11"/>
        <v>100.2</v>
      </c>
      <c r="Z40" s="1045">
        <f t="shared" si="21"/>
        <v>76513.72</v>
      </c>
      <c r="AA40" s="891"/>
      <c r="AB40" s="891"/>
    </row>
    <row r="41" spans="1:29" s="718" customFormat="1">
      <c r="A41" s="1160"/>
      <c r="B41" s="1162" t="s">
        <v>2133</v>
      </c>
      <c r="C41" s="995">
        <f>ROUND(Data!K408,2)</f>
        <v>778.7</v>
      </c>
      <c r="D41" s="1147" t="s">
        <v>1776</v>
      </c>
      <c r="E41" s="1148">
        <f>detailed!G544</f>
        <v>123.8</v>
      </c>
      <c r="F41" s="1127">
        <f t="shared" si="1"/>
        <v>96403.06</v>
      </c>
      <c r="G41" s="1147"/>
      <c r="H41" s="1127">
        <f t="shared" si="13"/>
        <v>0</v>
      </c>
      <c r="I41" s="1147"/>
      <c r="J41" s="1127">
        <f t="shared" si="14"/>
        <v>0</v>
      </c>
      <c r="K41" s="1147"/>
      <c r="L41" s="1127">
        <f t="shared" si="15"/>
        <v>0</v>
      </c>
      <c r="M41" s="1147"/>
      <c r="N41" s="1127">
        <f t="shared" si="16"/>
        <v>0</v>
      </c>
      <c r="O41" s="1147"/>
      <c r="P41" s="1127">
        <f t="shared" si="17"/>
        <v>0</v>
      </c>
      <c r="Q41" s="1147"/>
      <c r="R41" s="1127">
        <f t="shared" si="18"/>
        <v>0</v>
      </c>
      <c r="S41" s="1028"/>
      <c r="T41" s="1131">
        <f t="shared" si="19"/>
        <v>0</v>
      </c>
      <c r="U41" s="1045"/>
      <c r="V41" s="1045">
        <f t="shared" si="0"/>
        <v>0</v>
      </c>
      <c r="W41" s="1132">
        <f t="shared" si="9"/>
        <v>0</v>
      </c>
      <c r="X41" s="1045">
        <f t="shared" si="20"/>
        <v>0</v>
      </c>
      <c r="Y41" s="1132">
        <f t="shared" si="11"/>
        <v>123.8</v>
      </c>
      <c r="Z41" s="1045">
        <f t="shared" si="21"/>
        <v>96403.06</v>
      </c>
      <c r="AA41" s="891"/>
      <c r="AB41" s="891"/>
    </row>
    <row r="42" spans="1:29" s="486" customFormat="1">
      <c r="A42" s="1050"/>
      <c r="B42" s="1125" t="s">
        <v>1026</v>
      </c>
      <c r="C42" s="1025">
        <f>ROUND(Data!K409,2)</f>
        <v>793.79</v>
      </c>
      <c r="D42" s="1138" t="s">
        <v>1776</v>
      </c>
      <c r="E42" s="1139"/>
      <c r="F42" s="1127">
        <f t="shared" si="1"/>
        <v>0</v>
      </c>
      <c r="G42" s="1138"/>
      <c r="H42" s="1127">
        <f t="shared" si="13"/>
        <v>0</v>
      </c>
      <c r="I42" s="1138"/>
      <c r="J42" s="1127">
        <f t="shared" si="14"/>
        <v>0</v>
      </c>
      <c r="K42" s="1138"/>
      <c r="L42" s="1127">
        <f t="shared" si="15"/>
        <v>0</v>
      </c>
      <c r="M42" s="1138"/>
      <c r="N42" s="1127">
        <f t="shared" si="16"/>
        <v>0</v>
      </c>
      <c r="O42" s="1138"/>
      <c r="P42" s="1127">
        <f t="shared" si="17"/>
        <v>0</v>
      </c>
      <c r="Q42" s="1138"/>
      <c r="R42" s="1127">
        <f t="shared" si="18"/>
        <v>0</v>
      </c>
      <c r="S42" s="1028"/>
      <c r="T42" s="1131">
        <f t="shared" si="19"/>
        <v>0</v>
      </c>
      <c r="U42" s="1045"/>
      <c r="V42" s="1045">
        <f t="shared" si="0"/>
        <v>0</v>
      </c>
      <c r="W42" s="1132">
        <f t="shared" si="9"/>
        <v>0</v>
      </c>
      <c r="X42" s="1045">
        <f t="shared" si="20"/>
        <v>0</v>
      </c>
      <c r="Y42" s="1132">
        <f t="shared" si="11"/>
        <v>0</v>
      </c>
      <c r="Z42" s="1045">
        <f t="shared" si="21"/>
        <v>0</v>
      </c>
      <c r="AA42" s="892"/>
      <c r="AB42" s="891"/>
    </row>
    <row r="43" spans="1:29" s="718" customFormat="1" ht="67.5">
      <c r="A43" s="1167">
        <v>11.5</v>
      </c>
      <c r="B43" s="1161" t="s">
        <v>5649</v>
      </c>
      <c r="C43" s="995"/>
      <c r="D43" s="1147"/>
      <c r="E43" s="1148"/>
      <c r="F43" s="1127">
        <f t="shared" si="1"/>
        <v>0</v>
      </c>
      <c r="G43" s="1147"/>
      <c r="H43" s="1127">
        <f t="shared" si="13"/>
        <v>0</v>
      </c>
      <c r="I43" s="1147"/>
      <c r="J43" s="1127">
        <f t="shared" si="14"/>
        <v>0</v>
      </c>
      <c r="K43" s="1147"/>
      <c r="L43" s="1127">
        <f t="shared" si="15"/>
        <v>0</v>
      </c>
      <c r="M43" s="1147"/>
      <c r="N43" s="1127">
        <f t="shared" si="16"/>
        <v>0</v>
      </c>
      <c r="O43" s="1147"/>
      <c r="P43" s="1127">
        <f t="shared" si="17"/>
        <v>0</v>
      </c>
      <c r="Q43" s="1147"/>
      <c r="R43" s="1127">
        <f t="shared" si="18"/>
        <v>0</v>
      </c>
      <c r="S43" s="1028"/>
      <c r="T43" s="1131">
        <f t="shared" si="19"/>
        <v>0</v>
      </c>
      <c r="U43" s="1045"/>
      <c r="V43" s="1045">
        <f t="shared" si="0"/>
        <v>0</v>
      </c>
      <c r="W43" s="1132">
        <f t="shared" si="9"/>
        <v>0</v>
      </c>
      <c r="X43" s="1045">
        <f t="shared" si="20"/>
        <v>0</v>
      </c>
      <c r="Y43" s="1132">
        <f t="shared" si="11"/>
        <v>0</v>
      </c>
      <c r="Z43" s="1045">
        <f t="shared" si="21"/>
        <v>0</v>
      </c>
      <c r="AA43" s="786"/>
      <c r="AB43" s="891"/>
      <c r="AC43" s="717"/>
    </row>
    <row r="44" spans="1:29" s="718" customFormat="1">
      <c r="A44" s="1168"/>
      <c r="B44" s="1164" t="s">
        <v>195</v>
      </c>
      <c r="C44" s="1043">
        <f>ROUND(Data!K437,2)</f>
        <v>498.04</v>
      </c>
      <c r="D44" s="1165" t="s">
        <v>1776</v>
      </c>
      <c r="E44" s="1166">
        <f>detailed!G550</f>
        <v>7.6</v>
      </c>
      <c r="F44" s="1127">
        <f t="shared" si="1"/>
        <v>3785.1</v>
      </c>
      <c r="G44" s="1165"/>
      <c r="H44" s="1127">
        <f t="shared" si="13"/>
        <v>0</v>
      </c>
      <c r="I44" s="1165"/>
      <c r="J44" s="1127">
        <f t="shared" si="14"/>
        <v>0</v>
      </c>
      <c r="K44" s="1165"/>
      <c r="L44" s="1127">
        <f t="shared" si="15"/>
        <v>0</v>
      </c>
      <c r="M44" s="1165"/>
      <c r="N44" s="1127">
        <f t="shared" si="16"/>
        <v>0</v>
      </c>
      <c r="O44" s="1165"/>
      <c r="P44" s="1127">
        <f t="shared" si="17"/>
        <v>0</v>
      </c>
      <c r="Q44" s="1165"/>
      <c r="R44" s="1127">
        <f t="shared" si="18"/>
        <v>0</v>
      </c>
      <c r="S44" s="1028"/>
      <c r="T44" s="1131">
        <f t="shared" si="19"/>
        <v>0</v>
      </c>
      <c r="U44" s="1045"/>
      <c r="V44" s="1045">
        <f t="shared" si="0"/>
        <v>0</v>
      </c>
      <c r="W44" s="1132">
        <f t="shared" si="9"/>
        <v>0</v>
      </c>
      <c r="X44" s="1045">
        <f t="shared" si="20"/>
        <v>0</v>
      </c>
      <c r="Y44" s="1132">
        <f t="shared" si="11"/>
        <v>7.6</v>
      </c>
      <c r="Z44" s="1045">
        <f t="shared" si="21"/>
        <v>3785.1</v>
      </c>
      <c r="AA44" s="891"/>
      <c r="AB44" s="891"/>
    </row>
    <row r="45" spans="1:29" s="718" customFormat="1">
      <c r="A45" s="1167"/>
      <c r="B45" s="1162" t="s">
        <v>196</v>
      </c>
      <c r="C45" s="995">
        <f>ROUND(Data!K438,2)</f>
        <v>507.64</v>
      </c>
      <c r="D45" s="1147" t="s">
        <v>1776</v>
      </c>
      <c r="E45" s="1148">
        <f>detailed!G557</f>
        <v>22.3</v>
      </c>
      <c r="F45" s="1127">
        <f t="shared" si="1"/>
        <v>11320.37</v>
      </c>
      <c r="G45" s="1147"/>
      <c r="H45" s="1127">
        <f t="shared" si="13"/>
        <v>0</v>
      </c>
      <c r="I45" s="1147"/>
      <c r="J45" s="1127">
        <f t="shared" si="14"/>
        <v>0</v>
      </c>
      <c r="K45" s="1147"/>
      <c r="L45" s="1127">
        <f t="shared" si="15"/>
        <v>0</v>
      </c>
      <c r="M45" s="1147"/>
      <c r="N45" s="1127">
        <f t="shared" si="16"/>
        <v>0</v>
      </c>
      <c r="O45" s="1147"/>
      <c r="P45" s="1127">
        <f t="shared" si="17"/>
        <v>0</v>
      </c>
      <c r="Q45" s="1147"/>
      <c r="R45" s="1127">
        <f t="shared" si="18"/>
        <v>0</v>
      </c>
      <c r="S45" s="1028"/>
      <c r="T45" s="1131">
        <f t="shared" si="19"/>
        <v>0</v>
      </c>
      <c r="U45" s="1045"/>
      <c r="V45" s="1045">
        <f t="shared" si="0"/>
        <v>0</v>
      </c>
      <c r="W45" s="1132">
        <f t="shared" si="9"/>
        <v>0</v>
      </c>
      <c r="X45" s="1045">
        <f t="shared" si="20"/>
        <v>0</v>
      </c>
      <c r="Y45" s="1132">
        <f t="shared" si="11"/>
        <v>22.3</v>
      </c>
      <c r="Z45" s="1045">
        <f t="shared" si="21"/>
        <v>11320.37</v>
      </c>
      <c r="AA45" s="891"/>
      <c r="AB45" s="891"/>
    </row>
    <row r="46" spans="1:29" s="718" customFormat="1">
      <c r="A46" s="1168"/>
      <c r="B46" s="1164" t="s">
        <v>197</v>
      </c>
      <c r="C46" s="1043">
        <f>ROUND(Data!K439,2)</f>
        <v>517.24</v>
      </c>
      <c r="D46" s="1165" t="s">
        <v>1776</v>
      </c>
      <c r="E46" s="1166">
        <f>detailed!G563</f>
        <v>25.2</v>
      </c>
      <c r="F46" s="1127">
        <f t="shared" si="1"/>
        <v>13034.45</v>
      </c>
      <c r="G46" s="1165"/>
      <c r="H46" s="1127">
        <f t="shared" si="13"/>
        <v>0</v>
      </c>
      <c r="I46" s="1165"/>
      <c r="J46" s="1127">
        <f t="shared" si="14"/>
        <v>0</v>
      </c>
      <c r="K46" s="1165"/>
      <c r="L46" s="1127">
        <f t="shared" si="15"/>
        <v>0</v>
      </c>
      <c r="M46" s="1165"/>
      <c r="N46" s="1127">
        <f t="shared" si="16"/>
        <v>0</v>
      </c>
      <c r="O46" s="1165"/>
      <c r="P46" s="1127">
        <f t="shared" si="17"/>
        <v>0</v>
      </c>
      <c r="Q46" s="1165"/>
      <c r="R46" s="1127">
        <f t="shared" si="18"/>
        <v>0</v>
      </c>
      <c r="S46" s="1028"/>
      <c r="T46" s="1131">
        <f t="shared" si="19"/>
        <v>0</v>
      </c>
      <c r="U46" s="1045"/>
      <c r="V46" s="1045">
        <f t="shared" si="0"/>
        <v>0</v>
      </c>
      <c r="W46" s="1132">
        <f t="shared" si="9"/>
        <v>0</v>
      </c>
      <c r="X46" s="1045">
        <f t="shared" si="20"/>
        <v>0</v>
      </c>
      <c r="Y46" s="1132">
        <f t="shared" si="11"/>
        <v>25.2</v>
      </c>
      <c r="Z46" s="1045">
        <f t="shared" si="21"/>
        <v>13034.45</v>
      </c>
      <c r="AA46" s="891"/>
      <c r="AB46" s="891"/>
    </row>
    <row r="47" spans="1:29" s="718" customFormat="1">
      <c r="A47" s="1167"/>
      <c r="B47" s="1162" t="s">
        <v>198</v>
      </c>
      <c r="C47" s="995">
        <f>ROUND(Data!K440,2)</f>
        <v>526.84</v>
      </c>
      <c r="D47" s="1147" t="s">
        <v>1776</v>
      </c>
      <c r="E47" s="1148"/>
      <c r="F47" s="1127">
        <f t="shared" si="1"/>
        <v>0</v>
      </c>
      <c r="G47" s="1147"/>
      <c r="H47" s="1127">
        <f t="shared" si="13"/>
        <v>0</v>
      </c>
      <c r="I47" s="1147"/>
      <c r="J47" s="1127">
        <f t="shared" si="14"/>
        <v>0</v>
      </c>
      <c r="K47" s="1147"/>
      <c r="L47" s="1127">
        <f t="shared" si="15"/>
        <v>0</v>
      </c>
      <c r="M47" s="1147"/>
      <c r="N47" s="1127">
        <f t="shared" si="16"/>
        <v>0</v>
      </c>
      <c r="O47" s="1147"/>
      <c r="P47" s="1127">
        <f t="shared" si="17"/>
        <v>0</v>
      </c>
      <c r="Q47" s="1147"/>
      <c r="R47" s="1127">
        <f t="shared" si="18"/>
        <v>0</v>
      </c>
      <c r="S47" s="1028"/>
      <c r="T47" s="1131">
        <f t="shared" si="19"/>
        <v>0</v>
      </c>
      <c r="U47" s="1045"/>
      <c r="V47" s="1045">
        <f t="shared" si="0"/>
        <v>0</v>
      </c>
      <c r="W47" s="1132">
        <f t="shared" si="9"/>
        <v>0</v>
      </c>
      <c r="X47" s="1045">
        <f t="shared" si="20"/>
        <v>0</v>
      </c>
      <c r="Y47" s="1132">
        <f t="shared" si="11"/>
        <v>0</v>
      </c>
      <c r="Z47" s="1045">
        <f t="shared" si="21"/>
        <v>0</v>
      </c>
      <c r="AA47" s="891"/>
      <c r="AB47" s="891"/>
    </row>
    <row r="48" spans="1:29" s="486" customFormat="1">
      <c r="A48" s="1048"/>
      <c r="B48" s="1125" t="s">
        <v>575</v>
      </c>
      <c r="C48" s="1024">
        <f>ROUND(Data!K441,2)</f>
        <v>536.44000000000005</v>
      </c>
      <c r="D48" s="1138" t="s">
        <v>1776</v>
      </c>
      <c r="E48" s="1139"/>
      <c r="F48" s="1127">
        <f t="shared" si="1"/>
        <v>0</v>
      </c>
      <c r="G48" s="1138"/>
      <c r="H48" s="1127">
        <f t="shared" si="13"/>
        <v>0</v>
      </c>
      <c r="I48" s="1138"/>
      <c r="J48" s="1127">
        <f t="shared" si="14"/>
        <v>0</v>
      </c>
      <c r="K48" s="1138"/>
      <c r="L48" s="1127">
        <f t="shared" si="15"/>
        <v>0</v>
      </c>
      <c r="M48" s="1138"/>
      <c r="N48" s="1127">
        <f t="shared" si="16"/>
        <v>0</v>
      </c>
      <c r="O48" s="1138"/>
      <c r="P48" s="1127">
        <f t="shared" si="17"/>
        <v>0</v>
      </c>
      <c r="Q48" s="1138"/>
      <c r="R48" s="1127">
        <f t="shared" si="18"/>
        <v>0</v>
      </c>
      <c r="S48" s="1028"/>
      <c r="T48" s="1131">
        <f t="shared" si="19"/>
        <v>0</v>
      </c>
      <c r="U48" s="1045"/>
      <c r="V48" s="1045">
        <f t="shared" si="0"/>
        <v>0</v>
      </c>
      <c r="W48" s="1132">
        <f t="shared" si="9"/>
        <v>0</v>
      </c>
      <c r="X48" s="1045">
        <f t="shared" si="20"/>
        <v>0</v>
      </c>
      <c r="Y48" s="1132">
        <f t="shared" si="11"/>
        <v>0</v>
      </c>
      <c r="Z48" s="1045">
        <f t="shared" si="21"/>
        <v>0</v>
      </c>
      <c r="AA48" s="892"/>
      <c r="AB48" s="891"/>
    </row>
    <row r="49" spans="1:29" ht="45">
      <c r="A49" s="1124">
        <v>12.1</v>
      </c>
      <c r="B49" s="1159" t="s">
        <v>4264</v>
      </c>
      <c r="C49" s="1052"/>
      <c r="D49" s="1169"/>
      <c r="E49" s="1170"/>
      <c r="F49" s="1127">
        <f t="shared" si="1"/>
        <v>0</v>
      </c>
      <c r="G49" s="1169"/>
      <c r="H49" s="1127">
        <f t="shared" si="13"/>
        <v>0</v>
      </c>
      <c r="I49" s="1169"/>
      <c r="J49" s="1127">
        <f t="shared" si="14"/>
        <v>0</v>
      </c>
      <c r="K49" s="1169"/>
      <c r="L49" s="1127">
        <f t="shared" si="15"/>
        <v>0</v>
      </c>
      <c r="M49" s="1169"/>
      <c r="N49" s="1127">
        <f t="shared" si="16"/>
        <v>0</v>
      </c>
      <c r="O49" s="1169"/>
      <c r="P49" s="1127">
        <f t="shared" si="17"/>
        <v>0</v>
      </c>
      <c r="Q49" s="1169"/>
      <c r="R49" s="1127">
        <f t="shared" si="18"/>
        <v>0</v>
      </c>
      <c r="S49" s="1049"/>
      <c r="T49" s="1131">
        <f t="shared" si="19"/>
        <v>0</v>
      </c>
      <c r="U49" s="1045"/>
      <c r="V49" s="1045">
        <f t="shared" si="0"/>
        <v>0</v>
      </c>
      <c r="W49" s="1132">
        <f t="shared" si="9"/>
        <v>0</v>
      </c>
      <c r="X49" s="1045">
        <f t="shared" si="20"/>
        <v>0</v>
      </c>
      <c r="Y49" s="1132">
        <f t="shared" si="11"/>
        <v>0</v>
      </c>
      <c r="Z49" s="1045">
        <f t="shared" si="21"/>
        <v>0</v>
      </c>
      <c r="AA49" s="785"/>
      <c r="AB49" s="890"/>
      <c r="AC49" s="547"/>
    </row>
    <row r="50" spans="1:29" s="549" customFormat="1" ht="34.5" customHeight="1">
      <c r="A50" s="1125"/>
      <c r="B50" s="1125" t="s">
        <v>195</v>
      </c>
      <c r="C50" s="1052">
        <f>ROUND(Data!K470,2)</f>
        <v>360.11</v>
      </c>
      <c r="D50" s="1127" t="s">
        <v>1776</v>
      </c>
      <c r="E50" s="1128"/>
      <c r="F50" s="1127">
        <f t="shared" si="1"/>
        <v>0</v>
      </c>
      <c r="G50" s="1127"/>
      <c r="H50" s="1127">
        <f t="shared" si="13"/>
        <v>0</v>
      </c>
      <c r="I50" s="1127"/>
      <c r="J50" s="1127">
        <f t="shared" si="14"/>
        <v>0</v>
      </c>
      <c r="K50" s="1127"/>
      <c r="L50" s="1127">
        <f t="shared" si="15"/>
        <v>0</v>
      </c>
      <c r="M50" s="1127"/>
      <c r="N50" s="1127">
        <f t="shared" si="16"/>
        <v>0</v>
      </c>
      <c r="O50" s="1127"/>
      <c r="P50" s="1127">
        <f t="shared" si="17"/>
        <v>0</v>
      </c>
      <c r="Q50" s="1127"/>
      <c r="R50" s="1127">
        <f t="shared" si="18"/>
        <v>0</v>
      </c>
      <c r="S50" s="1045"/>
      <c r="T50" s="1131">
        <f t="shared" si="19"/>
        <v>0</v>
      </c>
      <c r="U50" s="1045"/>
      <c r="V50" s="1045">
        <f t="shared" si="0"/>
        <v>0</v>
      </c>
      <c r="W50" s="1132">
        <f t="shared" si="9"/>
        <v>0</v>
      </c>
      <c r="X50" s="1045">
        <f t="shared" si="20"/>
        <v>0</v>
      </c>
      <c r="Y50" s="1132">
        <f t="shared" si="11"/>
        <v>0</v>
      </c>
      <c r="Z50" s="1045">
        <f t="shared" si="21"/>
        <v>0</v>
      </c>
      <c r="AA50" s="890"/>
      <c r="AB50" s="890"/>
    </row>
    <row r="51" spans="1:29" s="549" customFormat="1" ht="43.5" customHeight="1">
      <c r="A51" s="1125"/>
      <c r="B51" s="1125" t="s">
        <v>196</v>
      </c>
      <c r="C51" s="1052">
        <f>ROUND(Data!K471,2)</f>
        <v>366.97</v>
      </c>
      <c r="D51" s="1127" t="s">
        <v>1776</v>
      </c>
      <c r="E51" s="1128"/>
      <c r="F51" s="1127">
        <f t="shared" si="1"/>
        <v>0</v>
      </c>
      <c r="G51" s="1127"/>
      <c r="H51" s="1127">
        <f t="shared" si="13"/>
        <v>0</v>
      </c>
      <c r="I51" s="1127"/>
      <c r="J51" s="1127">
        <f t="shared" si="14"/>
        <v>0</v>
      </c>
      <c r="K51" s="1127"/>
      <c r="L51" s="1127">
        <f t="shared" si="15"/>
        <v>0</v>
      </c>
      <c r="M51" s="1127"/>
      <c r="N51" s="1127">
        <f t="shared" si="16"/>
        <v>0</v>
      </c>
      <c r="O51" s="1127"/>
      <c r="P51" s="1127">
        <f t="shared" si="17"/>
        <v>0</v>
      </c>
      <c r="Q51" s="1127"/>
      <c r="R51" s="1127">
        <f t="shared" si="18"/>
        <v>0</v>
      </c>
      <c r="S51" s="1045"/>
      <c r="T51" s="1131">
        <f t="shared" si="19"/>
        <v>0</v>
      </c>
      <c r="U51" s="1045"/>
      <c r="V51" s="1045">
        <f t="shared" si="0"/>
        <v>0</v>
      </c>
      <c r="W51" s="1132">
        <f t="shared" si="9"/>
        <v>0</v>
      </c>
      <c r="X51" s="1045">
        <f t="shared" si="20"/>
        <v>0</v>
      </c>
      <c r="Y51" s="1132">
        <f t="shared" si="11"/>
        <v>0</v>
      </c>
      <c r="Z51" s="1045">
        <f t="shared" si="21"/>
        <v>0</v>
      </c>
      <c r="AA51" s="890"/>
      <c r="AB51" s="890"/>
    </row>
    <row r="52" spans="1:29" s="719" customFormat="1">
      <c r="A52" s="1162"/>
      <c r="B52" s="1162" t="s">
        <v>197</v>
      </c>
      <c r="C52" s="995">
        <f>ROUND(Data!K472,2)</f>
        <v>373.83</v>
      </c>
      <c r="D52" s="1147" t="s">
        <v>1776</v>
      </c>
      <c r="E52" s="1148"/>
      <c r="F52" s="1127">
        <f t="shared" si="1"/>
        <v>0</v>
      </c>
      <c r="G52" s="1147"/>
      <c r="H52" s="1127">
        <f t="shared" si="13"/>
        <v>0</v>
      </c>
      <c r="I52" s="1147"/>
      <c r="J52" s="1127">
        <f t="shared" si="14"/>
        <v>0</v>
      </c>
      <c r="K52" s="1147"/>
      <c r="L52" s="1127">
        <f t="shared" si="15"/>
        <v>0</v>
      </c>
      <c r="M52" s="1147"/>
      <c r="N52" s="1127">
        <f t="shared" si="16"/>
        <v>0</v>
      </c>
      <c r="O52" s="1147"/>
      <c r="P52" s="1127">
        <f t="shared" si="17"/>
        <v>0</v>
      </c>
      <c r="Q52" s="1147"/>
      <c r="R52" s="1127">
        <f t="shared" si="18"/>
        <v>0</v>
      </c>
      <c r="S52" s="1028"/>
      <c r="T52" s="1131">
        <f t="shared" si="19"/>
        <v>0</v>
      </c>
      <c r="U52" s="1045"/>
      <c r="V52" s="1045">
        <f t="shared" si="0"/>
        <v>0</v>
      </c>
      <c r="W52" s="1132">
        <f t="shared" si="9"/>
        <v>0</v>
      </c>
      <c r="X52" s="1045">
        <f t="shared" si="20"/>
        <v>0</v>
      </c>
      <c r="Y52" s="1132">
        <f t="shared" si="11"/>
        <v>0</v>
      </c>
      <c r="Z52" s="1045">
        <f t="shared" si="21"/>
        <v>0</v>
      </c>
      <c r="AA52" s="891"/>
      <c r="AB52" s="891"/>
    </row>
    <row r="53" spans="1:29" s="719" customFormat="1">
      <c r="A53" s="1162"/>
      <c r="B53" s="1162" t="s">
        <v>198</v>
      </c>
      <c r="C53" s="995">
        <f>ROUND(Data!K473,2)</f>
        <v>380.69</v>
      </c>
      <c r="D53" s="1147" t="s">
        <v>1776</v>
      </c>
      <c r="E53" s="1148"/>
      <c r="F53" s="1127">
        <f t="shared" si="1"/>
        <v>0</v>
      </c>
      <c r="G53" s="1147"/>
      <c r="H53" s="1127">
        <f t="shared" si="13"/>
        <v>0</v>
      </c>
      <c r="I53" s="1147"/>
      <c r="J53" s="1127">
        <f t="shared" si="14"/>
        <v>0</v>
      </c>
      <c r="K53" s="1147"/>
      <c r="L53" s="1127">
        <f t="shared" si="15"/>
        <v>0</v>
      </c>
      <c r="M53" s="1147"/>
      <c r="N53" s="1127">
        <f t="shared" si="16"/>
        <v>0</v>
      </c>
      <c r="O53" s="1147"/>
      <c r="P53" s="1127">
        <f t="shared" si="17"/>
        <v>0</v>
      </c>
      <c r="Q53" s="1147"/>
      <c r="R53" s="1127">
        <f t="shared" si="18"/>
        <v>0</v>
      </c>
      <c r="S53" s="1028"/>
      <c r="T53" s="1131">
        <f t="shared" si="19"/>
        <v>0</v>
      </c>
      <c r="U53" s="1045"/>
      <c r="V53" s="1045">
        <f t="shared" si="0"/>
        <v>0</v>
      </c>
      <c r="W53" s="1132">
        <f t="shared" si="9"/>
        <v>0</v>
      </c>
      <c r="X53" s="1045">
        <f t="shared" si="20"/>
        <v>0</v>
      </c>
      <c r="Y53" s="1132">
        <f t="shared" si="11"/>
        <v>0</v>
      </c>
      <c r="Z53" s="1045">
        <f t="shared" si="21"/>
        <v>0</v>
      </c>
      <c r="AA53" s="891"/>
      <c r="AB53" s="891"/>
    </row>
    <row r="54" spans="1:29" s="486" customFormat="1">
      <c r="A54" s="1010"/>
      <c r="B54" s="1125" t="s">
        <v>575</v>
      </c>
      <c r="C54" s="1040">
        <f>ROUND(Data!K474,2)</f>
        <v>387.55</v>
      </c>
      <c r="D54" s="1127" t="s">
        <v>1776</v>
      </c>
      <c r="E54" s="1128"/>
      <c r="F54" s="1127">
        <f t="shared" si="1"/>
        <v>0</v>
      </c>
      <c r="G54" s="1127"/>
      <c r="H54" s="1127">
        <f t="shared" si="13"/>
        <v>0</v>
      </c>
      <c r="I54" s="1127"/>
      <c r="J54" s="1127">
        <f t="shared" si="14"/>
        <v>0</v>
      </c>
      <c r="K54" s="1127"/>
      <c r="L54" s="1127">
        <f t="shared" si="15"/>
        <v>0</v>
      </c>
      <c r="M54" s="1127"/>
      <c r="N54" s="1127">
        <f t="shared" si="16"/>
        <v>0</v>
      </c>
      <c r="O54" s="1127"/>
      <c r="P54" s="1127">
        <f t="shared" si="17"/>
        <v>0</v>
      </c>
      <c r="Q54" s="1127"/>
      <c r="R54" s="1127">
        <f t="shared" si="18"/>
        <v>0</v>
      </c>
      <c r="S54" s="1028"/>
      <c r="T54" s="1131">
        <f t="shared" si="19"/>
        <v>0</v>
      </c>
      <c r="U54" s="1045"/>
      <c r="V54" s="1045">
        <f t="shared" si="0"/>
        <v>0</v>
      </c>
      <c r="W54" s="1132">
        <f t="shared" si="9"/>
        <v>0</v>
      </c>
      <c r="X54" s="1045">
        <f t="shared" si="20"/>
        <v>0</v>
      </c>
      <c r="Y54" s="1132">
        <f t="shared" si="11"/>
        <v>0</v>
      </c>
      <c r="Z54" s="1045">
        <f t="shared" si="21"/>
        <v>0</v>
      </c>
      <c r="AA54" s="892"/>
      <c r="AB54" s="891"/>
    </row>
    <row r="55" spans="1:29" s="486" customFormat="1">
      <c r="A55" s="1010"/>
      <c r="B55" s="1125"/>
      <c r="C55" s="1024"/>
      <c r="D55" s="1138"/>
      <c r="E55" s="1139"/>
      <c r="F55" s="1127">
        <f t="shared" si="1"/>
        <v>0</v>
      </c>
      <c r="G55" s="1138"/>
      <c r="H55" s="1127">
        <f t="shared" si="13"/>
        <v>0</v>
      </c>
      <c r="I55" s="1138"/>
      <c r="J55" s="1127">
        <f t="shared" si="14"/>
        <v>0</v>
      </c>
      <c r="K55" s="1138"/>
      <c r="L55" s="1127">
        <f t="shared" si="15"/>
        <v>0</v>
      </c>
      <c r="M55" s="1138"/>
      <c r="N55" s="1127">
        <f t="shared" si="16"/>
        <v>0</v>
      </c>
      <c r="O55" s="1138"/>
      <c r="P55" s="1127">
        <f t="shared" si="17"/>
        <v>0</v>
      </c>
      <c r="Q55" s="1138"/>
      <c r="R55" s="1127">
        <f t="shared" si="18"/>
        <v>0</v>
      </c>
      <c r="S55" s="1028"/>
      <c r="T55" s="1131">
        <f t="shared" si="19"/>
        <v>0</v>
      </c>
      <c r="U55" s="1045"/>
      <c r="V55" s="1045">
        <f t="shared" si="0"/>
        <v>0</v>
      </c>
      <c r="W55" s="1132">
        <f t="shared" si="9"/>
        <v>0</v>
      </c>
      <c r="X55" s="1045">
        <f t="shared" si="20"/>
        <v>0</v>
      </c>
      <c r="Y55" s="1132">
        <f t="shared" si="11"/>
        <v>0</v>
      </c>
      <c r="Z55" s="1045">
        <f t="shared" si="21"/>
        <v>0</v>
      </c>
      <c r="AA55" s="892"/>
      <c r="AB55" s="891"/>
    </row>
    <row r="56" spans="1:29" s="866" customFormat="1">
      <c r="A56" s="1171">
        <v>13.1</v>
      </c>
      <c r="B56" s="1172" t="s">
        <v>1025</v>
      </c>
      <c r="C56" s="1049">
        <f>ROUND(Data!K485,2)</f>
        <v>33.6</v>
      </c>
      <c r="D56" s="1131" t="s">
        <v>1153</v>
      </c>
      <c r="E56" s="1173">
        <f>detailed!G613</f>
        <v>109.2</v>
      </c>
      <c r="F56" s="1127">
        <f t="shared" si="1"/>
        <v>3669.12</v>
      </c>
      <c r="G56" s="1131"/>
      <c r="H56" s="1127">
        <f t="shared" si="13"/>
        <v>0</v>
      </c>
      <c r="I56" s="1131"/>
      <c r="J56" s="1127">
        <f t="shared" si="14"/>
        <v>0</v>
      </c>
      <c r="K56" s="1131"/>
      <c r="L56" s="1127">
        <f t="shared" si="15"/>
        <v>0</v>
      </c>
      <c r="M56" s="1131"/>
      <c r="N56" s="1127">
        <f t="shared" si="16"/>
        <v>0</v>
      </c>
      <c r="O56" s="1131"/>
      <c r="P56" s="1127">
        <f t="shared" si="17"/>
        <v>0</v>
      </c>
      <c r="Q56" s="1131"/>
      <c r="R56" s="1127">
        <f t="shared" si="18"/>
        <v>0</v>
      </c>
      <c r="S56" s="1045"/>
      <c r="T56" s="1131">
        <f t="shared" si="19"/>
        <v>0</v>
      </c>
      <c r="U56" s="1045"/>
      <c r="V56" s="1045">
        <f t="shared" si="0"/>
        <v>0</v>
      </c>
      <c r="W56" s="1132">
        <f t="shared" si="9"/>
        <v>0</v>
      </c>
      <c r="X56" s="1045">
        <f t="shared" si="20"/>
        <v>0</v>
      </c>
      <c r="Y56" s="1132">
        <f t="shared" si="11"/>
        <v>109.2</v>
      </c>
      <c r="Z56" s="1045">
        <f t="shared" si="21"/>
        <v>3669.12</v>
      </c>
      <c r="AA56" s="890"/>
      <c r="AB56" s="890"/>
    </row>
    <row r="57" spans="1:29">
      <c r="A57" s="1124">
        <v>21.2</v>
      </c>
      <c r="B57" s="1159" t="s">
        <v>1981</v>
      </c>
      <c r="C57" s="1052"/>
      <c r="D57" s="1127"/>
      <c r="E57" s="1128"/>
      <c r="F57" s="1127">
        <f t="shared" si="1"/>
        <v>0</v>
      </c>
      <c r="G57" s="1127"/>
      <c r="H57" s="1127">
        <f t="shared" si="13"/>
        <v>0</v>
      </c>
      <c r="I57" s="1127"/>
      <c r="J57" s="1127">
        <f t="shared" si="14"/>
        <v>0</v>
      </c>
      <c r="K57" s="1127"/>
      <c r="L57" s="1127">
        <f t="shared" si="15"/>
        <v>0</v>
      </c>
      <c r="M57" s="1127"/>
      <c r="N57" s="1127">
        <f t="shared" si="16"/>
        <v>0</v>
      </c>
      <c r="O57" s="1127"/>
      <c r="P57" s="1127">
        <f t="shared" si="17"/>
        <v>0</v>
      </c>
      <c r="Q57" s="1127"/>
      <c r="R57" s="1127">
        <f t="shared" si="18"/>
        <v>0</v>
      </c>
      <c r="S57" s="1049"/>
      <c r="T57" s="1131">
        <f t="shared" si="19"/>
        <v>0</v>
      </c>
      <c r="U57" s="1045"/>
      <c r="V57" s="1045">
        <f t="shared" si="0"/>
        <v>0</v>
      </c>
      <c r="W57" s="1132">
        <f t="shared" si="9"/>
        <v>0</v>
      </c>
      <c r="X57" s="1045">
        <f t="shared" si="20"/>
        <v>0</v>
      </c>
      <c r="Y57" s="1132">
        <f t="shared" si="11"/>
        <v>0</v>
      </c>
      <c r="Z57" s="1045">
        <f t="shared" si="21"/>
        <v>0</v>
      </c>
      <c r="AA57" s="785"/>
      <c r="AB57" s="890"/>
      <c r="AC57" s="862"/>
    </row>
    <row r="58" spans="1:29" ht="46.5" customHeight="1">
      <c r="A58" s="1124"/>
      <c r="B58" s="1125" t="s">
        <v>1726</v>
      </c>
      <c r="C58" s="1052">
        <f>ROUND(Data!K926,2)</f>
        <v>123400</v>
      </c>
      <c r="D58" s="1127" t="s">
        <v>1153</v>
      </c>
      <c r="E58" s="1128">
        <f>detailed!G905</f>
        <v>0.8</v>
      </c>
      <c r="F58" s="1127">
        <f t="shared" si="1"/>
        <v>98720</v>
      </c>
      <c r="G58" s="1127"/>
      <c r="H58" s="1127">
        <f t="shared" si="13"/>
        <v>0</v>
      </c>
      <c r="I58" s="1127"/>
      <c r="J58" s="1127">
        <f t="shared" si="14"/>
        <v>0</v>
      </c>
      <c r="K58" s="1127"/>
      <c r="L58" s="1127">
        <f t="shared" si="15"/>
        <v>0</v>
      </c>
      <c r="M58" s="1127"/>
      <c r="N58" s="1127">
        <f t="shared" si="16"/>
        <v>0</v>
      </c>
      <c r="O58" s="1127"/>
      <c r="P58" s="1127">
        <f t="shared" si="17"/>
        <v>0</v>
      </c>
      <c r="Q58" s="1127"/>
      <c r="R58" s="1127">
        <f t="shared" si="18"/>
        <v>0</v>
      </c>
      <c r="S58" s="1132"/>
      <c r="T58" s="1131">
        <f t="shared" si="19"/>
        <v>0</v>
      </c>
      <c r="U58" s="1045"/>
      <c r="V58" s="1045">
        <f t="shared" si="0"/>
        <v>0</v>
      </c>
      <c r="W58" s="1132">
        <f t="shared" si="9"/>
        <v>0</v>
      </c>
      <c r="X58" s="1045">
        <f t="shared" si="20"/>
        <v>0</v>
      </c>
      <c r="Y58" s="1132">
        <f t="shared" si="11"/>
        <v>0.8</v>
      </c>
      <c r="Z58" s="1045">
        <f t="shared" si="21"/>
        <v>98720</v>
      </c>
      <c r="AA58" s="890"/>
      <c r="AB58" s="890"/>
    </row>
    <row r="59" spans="1:29">
      <c r="A59" s="1050"/>
      <c r="B59" s="1125" t="s">
        <v>1727</v>
      </c>
      <c r="C59" s="1052">
        <f>ROUND(Data!K933,2)</f>
        <v>111200</v>
      </c>
      <c r="D59" s="1127" t="s">
        <v>1153</v>
      </c>
      <c r="E59" s="1128">
        <f>detailed!G916</f>
        <v>0.4</v>
      </c>
      <c r="F59" s="1127">
        <f t="shared" si="1"/>
        <v>44480</v>
      </c>
      <c r="G59" s="1127"/>
      <c r="H59" s="1127">
        <f t="shared" si="13"/>
        <v>0</v>
      </c>
      <c r="I59" s="1127"/>
      <c r="J59" s="1127">
        <f t="shared" si="14"/>
        <v>0</v>
      </c>
      <c r="K59" s="1127"/>
      <c r="L59" s="1127">
        <f t="shared" si="15"/>
        <v>0</v>
      </c>
      <c r="M59" s="1127"/>
      <c r="N59" s="1127">
        <f t="shared" si="16"/>
        <v>0</v>
      </c>
      <c r="O59" s="1127"/>
      <c r="P59" s="1127">
        <f t="shared" si="17"/>
        <v>0</v>
      </c>
      <c r="Q59" s="1127"/>
      <c r="R59" s="1127">
        <f t="shared" si="18"/>
        <v>0</v>
      </c>
      <c r="S59" s="1132"/>
      <c r="T59" s="1131">
        <f t="shared" si="19"/>
        <v>0</v>
      </c>
      <c r="U59" s="1045"/>
      <c r="V59" s="1045">
        <f t="shared" si="0"/>
        <v>0</v>
      </c>
      <c r="W59" s="1132">
        <f t="shared" si="9"/>
        <v>0</v>
      </c>
      <c r="X59" s="1045">
        <f t="shared" si="20"/>
        <v>0</v>
      </c>
      <c r="Y59" s="1132">
        <f t="shared" si="11"/>
        <v>0.4</v>
      </c>
      <c r="Z59" s="1045">
        <f t="shared" si="21"/>
        <v>44480</v>
      </c>
      <c r="AA59" s="890"/>
      <c r="AB59" s="890"/>
    </row>
    <row r="60" spans="1:29" s="486" customFormat="1" ht="45">
      <c r="A60" s="1149">
        <v>21.3</v>
      </c>
      <c r="B60" s="1150" t="s">
        <v>1728</v>
      </c>
      <c r="C60" s="1156">
        <f>ROUND(Data!K915,2)</f>
        <v>2034</v>
      </c>
      <c r="D60" s="1152" t="s">
        <v>1776</v>
      </c>
      <c r="E60" s="1153"/>
      <c r="F60" s="1127">
        <f t="shared" si="1"/>
        <v>0</v>
      </c>
      <c r="G60" s="1152"/>
      <c r="H60" s="1127">
        <f t="shared" si="13"/>
        <v>0</v>
      </c>
      <c r="I60" s="1152"/>
      <c r="J60" s="1127">
        <f t="shared" si="14"/>
        <v>0</v>
      </c>
      <c r="K60" s="1152"/>
      <c r="L60" s="1127">
        <f t="shared" si="15"/>
        <v>0</v>
      </c>
      <c r="M60" s="1152"/>
      <c r="N60" s="1127">
        <f t="shared" si="16"/>
        <v>0</v>
      </c>
      <c r="O60" s="1152"/>
      <c r="P60" s="1127">
        <f t="shared" si="17"/>
        <v>0</v>
      </c>
      <c r="Q60" s="1152"/>
      <c r="R60" s="1127">
        <f t="shared" si="18"/>
        <v>0</v>
      </c>
      <c r="S60" s="1028"/>
      <c r="T60" s="1131">
        <f t="shared" si="19"/>
        <v>0</v>
      </c>
      <c r="U60" s="1045"/>
      <c r="V60" s="1045">
        <f t="shared" si="0"/>
        <v>0</v>
      </c>
      <c r="W60" s="1132">
        <f t="shared" si="9"/>
        <v>0</v>
      </c>
      <c r="X60" s="1045">
        <f t="shared" si="20"/>
        <v>0</v>
      </c>
      <c r="Y60" s="1132">
        <f t="shared" si="11"/>
        <v>0</v>
      </c>
      <c r="Z60" s="1045">
        <f t="shared" si="21"/>
        <v>0</v>
      </c>
      <c r="AA60" s="892"/>
      <c r="AB60" s="891"/>
    </row>
    <row r="61" spans="1:29" s="486" customFormat="1">
      <c r="A61" s="1124">
        <v>23.2</v>
      </c>
      <c r="B61" s="1125" t="s">
        <v>1652</v>
      </c>
      <c r="C61" s="1024">
        <f>ROUND(Data!K1188,2)</f>
        <v>708.1</v>
      </c>
      <c r="D61" s="1138" t="s">
        <v>1776</v>
      </c>
      <c r="E61" s="1139"/>
      <c r="F61" s="1127">
        <f t="shared" si="1"/>
        <v>0</v>
      </c>
      <c r="G61" s="1138"/>
      <c r="H61" s="1127">
        <f t="shared" si="13"/>
        <v>0</v>
      </c>
      <c r="I61" s="1138"/>
      <c r="J61" s="1127">
        <f t="shared" si="14"/>
        <v>0</v>
      </c>
      <c r="K61" s="1138"/>
      <c r="L61" s="1127">
        <f t="shared" si="15"/>
        <v>0</v>
      </c>
      <c r="M61" s="1138"/>
      <c r="N61" s="1127">
        <f t="shared" si="16"/>
        <v>0</v>
      </c>
      <c r="O61" s="1138"/>
      <c r="P61" s="1127">
        <f t="shared" si="17"/>
        <v>0</v>
      </c>
      <c r="Q61" s="1138"/>
      <c r="R61" s="1127">
        <f t="shared" si="18"/>
        <v>0</v>
      </c>
      <c r="S61" s="1028"/>
      <c r="T61" s="1131">
        <f t="shared" si="19"/>
        <v>0</v>
      </c>
      <c r="U61" s="1045"/>
      <c r="V61" s="1045">
        <f t="shared" si="0"/>
        <v>0</v>
      </c>
      <c r="W61" s="1132">
        <f t="shared" si="9"/>
        <v>0</v>
      </c>
      <c r="X61" s="1045">
        <f t="shared" si="20"/>
        <v>0</v>
      </c>
      <c r="Y61" s="1132">
        <f t="shared" si="11"/>
        <v>0</v>
      </c>
      <c r="Z61" s="1045">
        <f t="shared" si="21"/>
        <v>0</v>
      </c>
      <c r="AA61" s="892"/>
      <c r="AB61" s="891"/>
    </row>
    <row r="62" spans="1:29" s="549" customFormat="1">
      <c r="A62" s="1124">
        <v>23.3</v>
      </c>
      <c r="B62" s="1125" t="s">
        <v>541</v>
      </c>
      <c r="C62" s="1052">
        <f>Data!K1173</f>
        <v>52</v>
      </c>
      <c r="D62" s="1127" t="s">
        <v>1341</v>
      </c>
      <c r="E62" s="1128">
        <f>detailed!H946</f>
        <v>26</v>
      </c>
      <c r="F62" s="1127">
        <f t="shared" si="1"/>
        <v>1352</v>
      </c>
      <c r="G62" s="1127"/>
      <c r="H62" s="1127">
        <f t="shared" si="13"/>
        <v>0</v>
      </c>
      <c r="I62" s="1127"/>
      <c r="J62" s="1127">
        <f t="shared" si="14"/>
        <v>0</v>
      </c>
      <c r="K62" s="1127"/>
      <c r="L62" s="1127">
        <f t="shared" si="15"/>
        <v>0</v>
      </c>
      <c r="M62" s="1127"/>
      <c r="N62" s="1127">
        <f t="shared" si="16"/>
        <v>0</v>
      </c>
      <c r="O62" s="1127"/>
      <c r="P62" s="1127">
        <f t="shared" si="17"/>
        <v>0</v>
      </c>
      <c r="Q62" s="1127"/>
      <c r="R62" s="1127">
        <f t="shared" si="18"/>
        <v>0</v>
      </c>
      <c r="S62" s="1045"/>
      <c r="T62" s="1131">
        <f t="shared" ref="T62:T102" si="22">S62*C62</f>
        <v>0</v>
      </c>
      <c r="U62" s="1045"/>
      <c r="V62" s="1045">
        <f t="shared" si="0"/>
        <v>0</v>
      </c>
      <c r="W62" s="1132">
        <f t="shared" si="9"/>
        <v>0</v>
      </c>
      <c r="X62" s="1045">
        <f t="shared" si="20"/>
        <v>0</v>
      </c>
      <c r="Y62" s="1132">
        <f t="shared" si="11"/>
        <v>26</v>
      </c>
      <c r="Z62" s="1045">
        <f t="shared" si="21"/>
        <v>1352</v>
      </c>
      <c r="AA62" s="890"/>
      <c r="AB62" s="890"/>
    </row>
    <row r="63" spans="1:29" s="486" customFormat="1">
      <c r="A63" s="1149">
        <v>23.4</v>
      </c>
      <c r="B63" s="1150" t="s">
        <v>6037</v>
      </c>
      <c r="C63" s="1024">
        <v>7126</v>
      </c>
      <c r="D63" s="1138" t="s">
        <v>1776</v>
      </c>
      <c r="E63" s="1153">
        <f>detailed!G960</f>
        <v>97.7</v>
      </c>
      <c r="F63" s="1127">
        <f t="shared" si="1"/>
        <v>696210.2</v>
      </c>
      <c r="G63" s="1152"/>
      <c r="H63" s="1127">
        <f t="shared" si="13"/>
        <v>0</v>
      </c>
      <c r="I63" s="1152"/>
      <c r="J63" s="1127">
        <f t="shared" si="14"/>
        <v>0</v>
      </c>
      <c r="K63" s="1152"/>
      <c r="L63" s="1127">
        <f t="shared" si="15"/>
        <v>0</v>
      </c>
      <c r="M63" s="1152"/>
      <c r="N63" s="1127">
        <f t="shared" si="16"/>
        <v>0</v>
      </c>
      <c r="O63" s="1152"/>
      <c r="P63" s="1127">
        <f t="shared" si="17"/>
        <v>0</v>
      </c>
      <c r="Q63" s="1152"/>
      <c r="R63" s="1127">
        <f t="shared" si="18"/>
        <v>0</v>
      </c>
      <c r="S63" s="1028"/>
      <c r="T63" s="1131">
        <f t="shared" si="22"/>
        <v>0</v>
      </c>
      <c r="U63" s="1045"/>
      <c r="V63" s="1045">
        <f t="shared" si="0"/>
        <v>0</v>
      </c>
      <c r="W63" s="1132">
        <f t="shared" si="9"/>
        <v>0</v>
      </c>
      <c r="X63" s="1045">
        <f t="shared" si="20"/>
        <v>0</v>
      </c>
      <c r="Y63" s="1132">
        <f t="shared" si="11"/>
        <v>97.7</v>
      </c>
      <c r="Z63" s="1045">
        <f t="shared" si="21"/>
        <v>696210.2</v>
      </c>
      <c r="AA63" s="892"/>
      <c r="AB63" s="891"/>
    </row>
    <row r="64" spans="1:29" s="486" customFormat="1">
      <c r="A64" s="1125"/>
      <c r="B64" s="1150" t="s">
        <v>6038</v>
      </c>
      <c r="C64" s="1024">
        <v>7720</v>
      </c>
      <c r="D64" s="1138" t="s">
        <v>1776</v>
      </c>
      <c r="E64" s="1139"/>
      <c r="F64" s="1127">
        <f t="shared" si="1"/>
        <v>0</v>
      </c>
      <c r="G64" s="1138"/>
      <c r="H64" s="1127">
        <f t="shared" si="13"/>
        <v>0</v>
      </c>
      <c r="I64" s="1138"/>
      <c r="J64" s="1127">
        <f t="shared" si="14"/>
        <v>0</v>
      </c>
      <c r="K64" s="1138"/>
      <c r="L64" s="1127">
        <f t="shared" si="15"/>
        <v>0</v>
      </c>
      <c r="M64" s="1138"/>
      <c r="N64" s="1127">
        <f t="shared" si="16"/>
        <v>0</v>
      </c>
      <c r="O64" s="1138"/>
      <c r="P64" s="1127">
        <f t="shared" si="17"/>
        <v>0</v>
      </c>
      <c r="Q64" s="1138"/>
      <c r="R64" s="1127">
        <f t="shared" si="18"/>
        <v>0</v>
      </c>
      <c r="S64" s="1028"/>
      <c r="T64" s="1131">
        <f t="shared" si="22"/>
        <v>0</v>
      </c>
      <c r="U64" s="1045"/>
      <c r="V64" s="1045">
        <f t="shared" si="0"/>
        <v>0</v>
      </c>
      <c r="W64" s="1132">
        <f t="shared" si="9"/>
        <v>0</v>
      </c>
      <c r="X64" s="1045">
        <f t="shared" si="20"/>
        <v>0</v>
      </c>
      <c r="Y64" s="1132">
        <f t="shared" si="11"/>
        <v>0</v>
      </c>
      <c r="Z64" s="1045">
        <f t="shared" si="21"/>
        <v>0</v>
      </c>
      <c r="AA64" s="892"/>
      <c r="AB64" s="891"/>
    </row>
    <row r="65" spans="1:36" s="718" customFormat="1" ht="45">
      <c r="A65" s="1160">
        <v>24</v>
      </c>
      <c r="B65" s="1162" t="s">
        <v>173</v>
      </c>
      <c r="C65" s="995">
        <f>Data!K1194</f>
        <v>62.1</v>
      </c>
      <c r="D65" s="1147" t="s">
        <v>254</v>
      </c>
      <c r="E65" s="1148">
        <f>detailed!G978</f>
        <v>2060.4</v>
      </c>
      <c r="F65" s="1127">
        <f t="shared" si="1"/>
        <v>127950.84</v>
      </c>
      <c r="G65" s="1147"/>
      <c r="H65" s="1127">
        <f t="shared" si="13"/>
        <v>0</v>
      </c>
      <c r="I65" s="1147"/>
      <c r="J65" s="1127">
        <f t="shared" si="14"/>
        <v>0</v>
      </c>
      <c r="K65" s="1147"/>
      <c r="L65" s="1127">
        <f t="shared" si="15"/>
        <v>0</v>
      </c>
      <c r="M65" s="1147"/>
      <c r="N65" s="1127">
        <f t="shared" si="16"/>
        <v>0</v>
      </c>
      <c r="O65" s="1147"/>
      <c r="P65" s="1127">
        <f t="shared" si="17"/>
        <v>0</v>
      </c>
      <c r="Q65" s="1147"/>
      <c r="R65" s="1127">
        <f t="shared" si="18"/>
        <v>0</v>
      </c>
      <c r="S65" s="1028"/>
      <c r="T65" s="1131">
        <f t="shared" si="22"/>
        <v>0</v>
      </c>
      <c r="U65" s="1045"/>
      <c r="V65" s="1045">
        <f t="shared" si="0"/>
        <v>0</v>
      </c>
      <c r="W65" s="1132">
        <f t="shared" si="9"/>
        <v>0</v>
      </c>
      <c r="X65" s="1045">
        <f t="shared" si="20"/>
        <v>0</v>
      </c>
      <c r="Y65" s="1132">
        <f t="shared" si="11"/>
        <v>2060.4</v>
      </c>
      <c r="Z65" s="1045">
        <f t="shared" si="21"/>
        <v>127950.84</v>
      </c>
      <c r="AA65" s="891"/>
      <c r="AB65" s="891"/>
    </row>
    <row r="66" spans="1:36">
      <c r="A66" s="1124">
        <v>25</v>
      </c>
      <c r="B66" s="1125" t="s">
        <v>174</v>
      </c>
      <c r="C66" s="1052">
        <f>ROUND(Data!K1197,2)</f>
        <v>9.6</v>
      </c>
      <c r="D66" s="1127" t="s">
        <v>1341</v>
      </c>
      <c r="E66" s="1128">
        <f>detailed!H959</f>
        <v>97.62</v>
      </c>
      <c r="F66" s="1127">
        <f t="shared" si="1"/>
        <v>937.15</v>
      </c>
      <c r="G66" s="1127"/>
      <c r="H66" s="1127">
        <f t="shared" si="13"/>
        <v>0</v>
      </c>
      <c r="I66" s="1127"/>
      <c r="J66" s="1127">
        <f t="shared" si="14"/>
        <v>0</v>
      </c>
      <c r="K66" s="1127"/>
      <c r="L66" s="1127">
        <f t="shared" si="15"/>
        <v>0</v>
      </c>
      <c r="M66" s="1127"/>
      <c r="N66" s="1127">
        <f t="shared" si="16"/>
        <v>0</v>
      </c>
      <c r="O66" s="1127"/>
      <c r="P66" s="1127">
        <f t="shared" si="17"/>
        <v>0</v>
      </c>
      <c r="Q66" s="1127"/>
      <c r="R66" s="1127">
        <f t="shared" si="18"/>
        <v>0</v>
      </c>
      <c r="S66" s="1045"/>
      <c r="T66" s="1131">
        <f t="shared" si="22"/>
        <v>0</v>
      </c>
      <c r="U66" s="1045"/>
      <c r="V66" s="1045">
        <f t="shared" si="0"/>
        <v>0</v>
      </c>
      <c r="W66" s="1132">
        <f t="shared" si="9"/>
        <v>0</v>
      </c>
      <c r="X66" s="1045">
        <f t="shared" si="20"/>
        <v>0</v>
      </c>
      <c r="Y66" s="1132">
        <f t="shared" si="11"/>
        <v>97.62</v>
      </c>
      <c r="Z66" s="1045">
        <f t="shared" si="21"/>
        <v>937.15</v>
      </c>
      <c r="AA66" s="890"/>
      <c r="AB66" s="890"/>
    </row>
    <row r="67" spans="1:36">
      <c r="A67" s="1124">
        <v>26</v>
      </c>
      <c r="B67" s="1125" t="s">
        <v>175</v>
      </c>
      <c r="C67" s="1052">
        <f>ROUND(Data!K207,2)</f>
        <v>4297.8</v>
      </c>
      <c r="D67" s="1127" t="s">
        <v>1153</v>
      </c>
      <c r="E67" s="1128">
        <f>detailed!G988</f>
        <v>32.6</v>
      </c>
      <c r="F67" s="1127">
        <f t="shared" si="1"/>
        <v>140108.28</v>
      </c>
      <c r="G67" s="1127"/>
      <c r="H67" s="1127">
        <f t="shared" si="13"/>
        <v>0</v>
      </c>
      <c r="I67" s="1127"/>
      <c r="J67" s="1127">
        <f t="shared" si="14"/>
        <v>0</v>
      </c>
      <c r="K67" s="1127"/>
      <c r="L67" s="1127">
        <f t="shared" si="15"/>
        <v>0</v>
      </c>
      <c r="M67" s="1127"/>
      <c r="N67" s="1127">
        <f t="shared" si="16"/>
        <v>0</v>
      </c>
      <c r="O67" s="1127"/>
      <c r="P67" s="1127">
        <f t="shared" si="17"/>
        <v>0</v>
      </c>
      <c r="Q67" s="1127"/>
      <c r="R67" s="1127">
        <f t="shared" si="18"/>
        <v>0</v>
      </c>
      <c r="S67" s="1045"/>
      <c r="T67" s="1131">
        <f t="shared" si="22"/>
        <v>0</v>
      </c>
      <c r="U67" s="1045"/>
      <c r="V67" s="1045">
        <f t="shared" si="0"/>
        <v>0</v>
      </c>
      <c r="W67" s="1132">
        <f t="shared" si="9"/>
        <v>0</v>
      </c>
      <c r="X67" s="1045">
        <f t="shared" si="20"/>
        <v>0</v>
      </c>
      <c r="Y67" s="1132">
        <f t="shared" si="11"/>
        <v>32.6</v>
      </c>
      <c r="Z67" s="1045">
        <f t="shared" si="21"/>
        <v>140108.28</v>
      </c>
      <c r="AA67" s="890"/>
      <c r="AB67" s="890"/>
    </row>
    <row r="68" spans="1:36" s="486" customFormat="1" ht="45">
      <c r="A68" s="1124">
        <v>27.5</v>
      </c>
      <c r="B68" s="1125" t="s">
        <v>1448</v>
      </c>
      <c r="C68" s="1024">
        <f>ROUND(Data!K375,2)</f>
        <v>6402.46</v>
      </c>
      <c r="D68" s="1138" t="s">
        <v>1153</v>
      </c>
      <c r="E68" s="1139"/>
      <c r="F68" s="1127">
        <f t="shared" si="1"/>
        <v>0</v>
      </c>
      <c r="G68" s="1138"/>
      <c r="H68" s="1127">
        <f t="shared" si="13"/>
        <v>0</v>
      </c>
      <c r="I68" s="1138"/>
      <c r="J68" s="1127">
        <f t="shared" si="14"/>
        <v>0</v>
      </c>
      <c r="K68" s="1138"/>
      <c r="L68" s="1127">
        <f t="shared" si="15"/>
        <v>0</v>
      </c>
      <c r="M68" s="1138"/>
      <c r="N68" s="1127">
        <f t="shared" si="16"/>
        <v>0</v>
      </c>
      <c r="O68" s="1138"/>
      <c r="P68" s="1127">
        <f t="shared" si="17"/>
        <v>0</v>
      </c>
      <c r="Q68" s="1138"/>
      <c r="R68" s="1127">
        <f t="shared" si="18"/>
        <v>0</v>
      </c>
      <c r="S68" s="1028"/>
      <c r="T68" s="1131">
        <f t="shared" si="22"/>
        <v>0</v>
      </c>
      <c r="U68" s="1045"/>
      <c r="V68" s="1045">
        <f t="shared" si="0"/>
        <v>0</v>
      </c>
      <c r="W68" s="1132">
        <f t="shared" si="9"/>
        <v>0</v>
      </c>
      <c r="X68" s="1045">
        <f t="shared" si="20"/>
        <v>0</v>
      </c>
      <c r="Y68" s="1132">
        <f t="shared" si="11"/>
        <v>0</v>
      </c>
      <c r="Z68" s="1045">
        <f t="shared" si="21"/>
        <v>0</v>
      </c>
      <c r="AA68" s="892"/>
      <c r="AB68" s="891"/>
    </row>
    <row r="69" spans="1:36">
      <c r="A69" s="1124">
        <v>28</v>
      </c>
      <c r="B69" s="1159" t="s">
        <v>5650</v>
      </c>
      <c r="C69" s="1052">
        <f>ROUND(Data!K1216,2)</f>
        <v>445.26</v>
      </c>
      <c r="D69" s="1127" t="s">
        <v>1776</v>
      </c>
      <c r="E69" s="1128">
        <f>detailed!G992</f>
        <v>7.6</v>
      </c>
      <c r="F69" s="1127">
        <f t="shared" si="1"/>
        <v>3383.98</v>
      </c>
      <c r="G69" s="1127">
        <f>ST!G87</f>
        <v>0.8</v>
      </c>
      <c r="H69" s="1127">
        <f t="shared" si="13"/>
        <v>356.21</v>
      </c>
      <c r="I69" s="1127"/>
      <c r="J69" s="1127">
        <f t="shared" si="14"/>
        <v>0</v>
      </c>
      <c r="K69" s="1127"/>
      <c r="L69" s="1127">
        <f t="shared" si="15"/>
        <v>0</v>
      </c>
      <c r="M69" s="1127"/>
      <c r="N69" s="1127">
        <f t="shared" si="16"/>
        <v>0</v>
      </c>
      <c r="O69" s="1127">
        <f>'Sullage drain'!G28</f>
        <v>22.5</v>
      </c>
      <c r="P69" s="1127">
        <f t="shared" si="17"/>
        <v>10018.35</v>
      </c>
      <c r="Q69" s="1127"/>
      <c r="R69" s="1127">
        <f t="shared" si="18"/>
        <v>0</v>
      </c>
      <c r="S69" s="1045"/>
      <c r="T69" s="1131">
        <f t="shared" si="22"/>
        <v>0</v>
      </c>
      <c r="U69" s="1045"/>
      <c r="V69" s="1045">
        <f t="shared" si="0"/>
        <v>0</v>
      </c>
      <c r="W69" s="1132">
        <f t="shared" si="9"/>
        <v>23.3</v>
      </c>
      <c r="X69" s="1045">
        <f t="shared" si="20"/>
        <v>10374.56</v>
      </c>
      <c r="Y69" s="1132">
        <f t="shared" si="11"/>
        <v>30.9</v>
      </c>
      <c r="Z69" s="1045">
        <f t="shared" si="21"/>
        <v>13758.53</v>
      </c>
      <c r="AA69" s="890"/>
      <c r="AB69" s="890"/>
    </row>
    <row r="70" spans="1:36">
      <c r="A70" s="1124">
        <v>30</v>
      </c>
      <c r="B70" s="1125" t="s">
        <v>1646</v>
      </c>
      <c r="C70" s="1052">
        <f>ROUND(Data!K1315,2)</f>
        <v>394.28</v>
      </c>
      <c r="D70" s="1127" t="s">
        <v>1776</v>
      </c>
      <c r="E70" s="1128">
        <f>detailed!G1139</f>
        <v>13.6</v>
      </c>
      <c r="F70" s="1127">
        <f t="shared" si="1"/>
        <v>5362.21</v>
      </c>
      <c r="G70" s="1127"/>
      <c r="H70" s="1127">
        <f t="shared" si="13"/>
        <v>0</v>
      </c>
      <c r="I70" s="1127"/>
      <c r="J70" s="1127">
        <f t="shared" si="14"/>
        <v>0</v>
      </c>
      <c r="K70" s="1127"/>
      <c r="L70" s="1127">
        <f t="shared" si="15"/>
        <v>0</v>
      </c>
      <c r="M70" s="1127"/>
      <c r="N70" s="1127">
        <f t="shared" si="16"/>
        <v>0</v>
      </c>
      <c r="O70" s="1127"/>
      <c r="P70" s="1127">
        <f t="shared" si="17"/>
        <v>0</v>
      </c>
      <c r="Q70" s="1127"/>
      <c r="R70" s="1127">
        <f t="shared" si="18"/>
        <v>0</v>
      </c>
      <c r="S70" s="1045"/>
      <c r="T70" s="1131">
        <f t="shared" si="22"/>
        <v>0</v>
      </c>
      <c r="U70" s="1045"/>
      <c r="V70" s="1045">
        <f t="shared" ref="V70:V133" si="23">U70*C70</f>
        <v>0</v>
      </c>
      <c r="W70" s="1132">
        <f t="shared" si="9"/>
        <v>0</v>
      </c>
      <c r="X70" s="1045">
        <f t="shared" si="20"/>
        <v>0</v>
      </c>
      <c r="Y70" s="1132">
        <f t="shared" si="11"/>
        <v>13.6</v>
      </c>
      <c r="Z70" s="1045">
        <f t="shared" si="21"/>
        <v>5362.21</v>
      </c>
      <c r="AA70" s="890"/>
      <c r="AB70" s="890"/>
      <c r="AJ70" s="552">
        <f>146-34.2</f>
        <v>111.8</v>
      </c>
    </row>
    <row r="71" spans="1:36">
      <c r="A71" s="1124">
        <v>31</v>
      </c>
      <c r="B71" s="1125" t="s">
        <v>1647</v>
      </c>
      <c r="C71" s="1052">
        <f>ROUND(Data!K1333,2)</f>
        <v>3297.83</v>
      </c>
      <c r="D71" s="1127" t="s">
        <v>1153</v>
      </c>
      <c r="E71" s="1128">
        <f>detailed!G1124</f>
        <v>35.4</v>
      </c>
      <c r="F71" s="1127">
        <f t="shared" ref="F71:F104" si="24">E71*C71</f>
        <v>116743.18</v>
      </c>
      <c r="G71" s="1127"/>
      <c r="H71" s="1127">
        <f t="shared" si="13"/>
        <v>0</v>
      </c>
      <c r="I71" s="1127"/>
      <c r="J71" s="1127">
        <f t="shared" si="14"/>
        <v>0</v>
      </c>
      <c r="K71" s="1127"/>
      <c r="L71" s="1127">
        <f t="shared" si="15"/>
        <v>0</v>
      </c>
      <c r="M71" s="1127"/>
      <c r="N71" s="1127">
        <f t="shared" si="16"/>
        <v>0</v>
      </c>
      <c r="O71" s="1127"/>
      <c r="P71" s="1127">
        <f t="shared" si="17"/>
        <v>0</v>
      </c>
      <c r="Q71" s="1127"/>
      <c r="R71" s="1127">
        <f t="shared" si="18"/>
        <v>0</v>
      </c>
      <c r="S71" s="1045"/>
      <c r="T71" s="1131">
        <f t="shared" si="22"/>
        <v>0</v>
      </c>
      <c r="U71" s="1045"/>
      <c r="V71" s="1045">
        <f t="shared" si="23"/>
        <v>0</v>
      </c>
      <c r="W71" s="1132">
        <f t="shared" ref="W71:W104" si="25">U71+S71+Q71+O71+M71+K71+I71+G71</f>
        <v>0</v>
      </c>
      <c r="X71" s="1045">
        <f t="shared" si="20"/>
        <v>0</v>
      </c>
      <c r="Y71" s="1132">
        <f t="shared" ref="Y71:Y104" si="26">W71+E71</f>
        <v>35.4</v>
      </c>
      <c r="Z71" s="1045">
        <f t="shared" si="21"/>
        <v>116743.18</v>
      </c>
      <c r="AA71" s="890"/>
      <c r="AB71" s="890"/>
    </row>
    <row r="72" spans="1:36" s="486" customFormat="1" ht="45">
      <c r="A72" s="1149">
        <v>32</v>
      </c>
      <c r="B72" s="1150" t="s">
        <v>531</v>
      </c>
      <c r="C72" s="1156"/>
      <c r="D72" s="1152" t="s">
        <v>1776</v>
      </c>
      <c r="E72" s="1153"/>
      <c r="F72" s="1127">
        <f t="shared" si="24"/>
        <v>0</v>
      </c>
      <c r="G72" s="1152"/>
      <c r="H72" s="1127">
        <f t="shared" si="13"/>
        <v>0</v>
      </c>
      <c r="I72" s="1152"/>
      <c r="J72" s="1127">
        <f t="shared" si="14"/>
        <v>0</v>
      </c>
      <c r="K72" s="1152"/>
      <c r="L72" s="1127">
        <f t="shared" si="15"/>
        <v>0</v>
      </c>
      <c r="M72" s="1152"/>
      <c r="N72" s="1127">
        <f t="shared" si="16"/>
        <v>0</v>
      </c>
      <c r="O72" s="1152"/>
      <c r="P72" s="1127">
        <f t="shared" si="17"/>
        <v>0</v>
      </c>
      <c r="Q72" s="1152"/>
      <c r="R72" s="1127">
        <f t="shared" si="18"/>
        <v>0</v>
      </c>
      <c r="S72" s="1028"/>
      <c r="T72" s="1131">
        <f t="shared" si="22"/>
        <v>0</v>
      </c>
      <c r="U72" s="1045"/>
      <c r="V72" s="1045">
        <f t="shared" si="23"/>
        <v>0</v>
      </c>
      <c r="W72" s="1132">
        <f t="shared" si="25"/>
        <v>0</v>
      </c>
      <c r="X72" s="1045">
        <f t="shared" si="20"/>
        <v>0</v>
      </c>
      <c r="Y72" s="1132">
        <f t="shared" si="26"/>
        <v>0</v>
      </c>
      <c r="Z72" s="1045">
        <f t="shared" si="21"/>
        <v>0</v>
      </c>
      <c r="AA72" s="892"/>
      <c r="AB72" s="891"/>
    </row>
    <row r="73" spans="1:36" s="486" customFormat="1" ht="45">
      <c r="A73" s="1124">
        <v>32.1</v>
      </c>
      <c r="B73" s="1125" t="s">
        <v>821</v>
      </c>
      <c r="C73" s="1024">
        <f>ROUND(Data!K1368,2)</f>
        <v>1075.9100000000001</v>
      </c>
      <c r="D73" s="1138" t="s">
        <v>1776</v>
      </c>
      <c r="E73" s="1139">
        <f>detailed!G1135</f>
        <v>490.4</v>
      </c>
      <c r="F73" s="1127">
        <f t="shared" si="24"/>
        <v>527626.26</v>
      </c>
      <c r="G73" s="1138"/>
      <c r="H73" s="1127">
        <f t="shared" si="13"/>
        <v>0</v>
      </c>
      <c r="I73" s="1138"/>
      <c r="J73" s="1127">
        <f t="shared" si="14"/>
        <v>0</v>
      </c>
      <c r="K73" s="1138"/>
      <c r="L73" s="1127">
        <f t="shared" si="15"/>
        <v>0</v>
      </c>
      <c r="M73" s="1138"/>
      <c r="N73" s="1127">
        <f t="shared" si="16"/>
        <v>0</v>
      </c>
      <c r="O73" s="1138"/>
      <c r="P73" s="1127">
        <f t="shared" si="17"/>
        <v>0</v>
      </c>
      <c r="Q73" s="1138"/>
      <c r="R73" s="1127">
        <f t="shared" si="18"/>
        <v>0</v>
      </c>
      <c r="S73" s="1028"/>
      <c r="T73" s="1131">
        <f t="shared" si="22"/>
        <v>0</v>
      </c>
      <c r="U73" s="1045"/>
      <c r="V73" s="1045">
        <f t="shared" si="23"/>
        <v>0</v>
      </c>
      <c r="W73" s="1132">
        <f t="shared" si="25"/>
        <v>0</v>
      </c>
      <c r="X73" s="1045">
        <f t="shared" si="20"/>
        <v>0</v>
      </c>
      <c r="Y73" s="1132">
        <f t="shared" si="26"/>
        <v>490.4</v>
      </c>
      <c r="Z73" s="1045">
        <f t="shared" si="21"/>
        <v>527626.26</v>
      </c>
      <c r="AA73" s="892"/>
      <c r="AB73" s="891"/>
    </row>
    <row r="74" spans="1:36" s="486" customFormat="1" ht="45">
      <c r="A74" s="1124">
        <v>32.200000000000003</v>
      </c>
      <c r="B74" s="1125" t="s">
        <v>820</v>
      </c>
      <c r="C74" s="1024"/>
      <c r="D74" s="1138" t="s">
        <v>1776</v>
      </c>
      <c r="E74" s="1139"/>
      <c r="F74" s="1127">
        <f t="shared" si="24"/>
        <v>0</v>
      </c>
      <c r="G74" s="1138"/>
      <c r="H74" s="1127">
        <f t="shared" si="13"/>
        <v>0</v>
      </c>
      <c r="I74" s="1138"/>
      <c r="J74" s="1127">
        <f t="shared" si="14"/>
        <v>0</v>
      </c>
      <c r="K74" s="1138"/>
      <c r="L74" s="1127">
        <f t="shared" si="15"/>
        <v>0</v>
      </c>
      <c r="M74" s="1138"/>
      <c r="N74" s="1127">
        <f t="shared" si="16"/>
        <v>0</v>
      </c>
      <c r="O74" s="1138"/>
      <c r="P74" s="1127">
        <f t="shared" si="17"/>
        <v>0</v>
      </c>
      <c r="Q74" s="1138"/>
      <c r="R74" s="1127">
        <f t="shared" si="18"/>
        <v>0</v>
      </c>
      <c r="S74" s="1028"/>
      <c r="T74" s="1131">
        <f t="shared" si="22"/>
        <v>0</v>
      </c>
      <c r="U74" s="1045"/>
      <c r="V74" s="1045">
        <f t="shared" si="23"/>
        <v>0</v>
      </c>
      <c r="W74" s="1132">
        <f t="shared" si="25"/>
        <v>0</v>
      </c>
      <c r="X74" s="1045">
        <f t="shared" si="20"/>
        <v>0</v>
      </c>
      <c r="Y74" s="1132">
        <f t="shared" si="26"/>
        <v>0</v>
      </c>
      <c r="Z74" s="1045">
        <f t="shared" si="21"/>
        <v>0</v>
      </c>
      <c r="AA74" s="892"/>
      <c r="AB74" s="891"/>
    </row>
    <row r="75" spans="1:36">
      <c r="A75" s="1124">
        <v>33</v>
      </c>
      <c r="B75" s="1125" t="s">
        <v>972</v>
      </c>
      <c r="C75" s="1052">
        <f>ROUND(Data!K1403,2)</f>
        <v>218.56</v>
      </c>
      <c r="D75" s="1127" t="s">
        <v>1776</v>
      </c>
      <c r="E75" s="1128">
        <f>detailed!G1277</f>
        <v>4584.8</v>
      </c>
      <c r="F75" s="1127">
        <f t="shared" si="24"/>
        <v>1002053.89</v>
      </c>
      <c r="G75" s="1127">
        <f>ST!G64</f>
        <v>42</v>
      </c>
      <c r="H75" s="1127">
        <f t="shared" si="13"/>
        <v>9179.52</v>
      </c>
      <c r="I75" s="1127">
        <f>Sump!G35</f>
        <v>26.6</v>
      </c>
      <c r="J75" s="1127">
        <f t="shared" si="14"/>
        <v>5813.7</v>
      </c>
      <c r="K75" s="1127">
        <f>'Plinth P'!G33</f>
        <v>120.4</v>
      </c>
      <c r="L75" s="1127">
        <f t="shared" si="15"/>
        <v>26314.62</v>
      </c>
      <c r="M75" s="1127"/>
      <c r="N75" s="1127">
        <f t="shared" si="16"/>
        <v>0</v>
      </c>
      <c r="O75" s="1127">
        <f>'Sullage drain'!G32</f>
        <v>98.7</v>
      </c>
      <c r="P75" s="1127">
        <f t="shared" si="17"/>
        <v>21571.87</v>
      </c>
      <c r="Q75" s="1127"/>
      <c r="R75" s="1127">
        <f t="shared" si="18"/>
        <v>0</v>
      </c>
      <c r="S75" s="1045"/>
      <c r="T75" s="1131">
        <f t="shared" si="22"/>
        <v>0</v>
      </c>
      <c r="U75" s="1045">
        <f>Com.wall!H59</f>
        <v>636.9</v>
      </c>
      <c r="V75" s="1045">
        <f t="shared" si="23"/>
        <v>139200.85999999999</v>
      </c>
      <c r="W75" s="1132">
        <f t="shared" si="25"/>
        <v>924.6</v>
      </c>
      <c r="X75" s="1045">
        <f t="shared" si="20"/>
        <v>202080.58</v>
      </c>
      <c r="Y75" s="1132">
        <f t="shared" si="26"/>
        <v>5509.4</v>
      </c>
      <c r="Z75" s="1045">
        <f t="shared" si="21"/>
        <v>1204134.46</v>
      </c>
      <c r="AA75" s="890"/>
      <c r="AB75" s="890"/>
    </row>
    <row r="76" spans="1:36" ht="47.25" customHeight="1">
      <c r="A76" s="1124">
        <v>34</v>
      </c>
      <c r="B76" s="1125" t="s">
        <v>973</v>
      </c>
      <c r="C76" s="1052">
        <f>ROUND(Data!K1417,2)</f>
        <v>224.57</v>
      </c>
      <c r="D76" s="1127" t="s">
        <v>1776</v>
      </c>
      <c r="E76" s="1128">
        <f>detailed!G1283</f>
        <v>35.299999999999997</v>
      </c>
      <c r="F76" s="1127">
        <f t="shared" si="24"/>
        <v>7927.32</v>
      </c>
      <c r="G76" s="1127">
        <f>ST!G56</f>
        <v>40.5</v>
      </c>
      <c r="H76" s="1127">
        <f t="shared" si="13"/>
        <v>9095.09</v>
      </c>
      <c r="I76" s="1127"/>
      <c r="J76" s="1127">
        <f t="shared" si="14"/>
        <v>0</v>
      </c>
      <c r="K76" s="1127"/>
      <c r="L76" s="1127">
        <f t="shared" si="15"/>
        <v>0</v>
      </c>
      <c r="M76" s="1127"/>
      <c r="N76" s="1127">
        <f t="shared" si="16"/>
        <v>0</v>
      </c>
      <c r="O76" s="1127">
        <f>'Sullage drain'!G36</f>
        <v>90</v>
      </c>
      <c r="P76" s="1127">
        <f t="shared" si="17"/>
        <v>20211.3</v>
      </c>
      <c r="Q76" s="1127"/>
      <c r="R76" s="1127">
        <f t="shared" si="18"/>
        <v>0</v>
      </c>
      <c r="S76" s="1045"/>
      <c r="T76" s="1131">
        <f t="shared" si="22"/>
        <v>0</v>
      </c>
      <c r="U76" s="1045"/>
      <c r="V76" s="1045">
        <f t="shared" si="23"/>
        <v>0</v>
      </c>
      <c r="W76" s="1132">
        <f t="shared" si="25"/>
        <v>130.5</v>
      </c>
      <c r="X76" s="1045">
        <f t="shared" si="20"/>
        <v>29306.39</v>
      </c>
      <c r="Y76" s="1132">
        <f t="shared" si="26"/>
        <v>165.8</v>
      </c>
      <c r="Z76" s="1045">
        <f t="shared" si="21"/>
        <v>37233.71</v>
      </c>
      <c r="AA76" s="890"/>
      <c r="AB76" s="890"/>
    </row>
    <row r="77" spans="1:36" ht="57.75" customHeight="1">
      <c r="A77" s="1124">
        <v>35</v>
      </c>
      <c r="B77" s="1125" t="s">
        <v>899</v>
      </c>
      <c r="C77" s="1052">
        <f>ROUND(Data!K1429,2)</f>
        <v>250.86</v>
      </c>
      <c r="D77" s="1127" t="s">
        <v>1776</v>
      </c>
      <c r="E77" s="1128">
        <f>detailed!G1369</f>
        <v>1466.3</v>
      </c>
      <c r="F77" s="1127">
        <f t="shared" si="24"/>
        <v>367836.02</v>
      </c>
      <c r="G77" s="1127"/>
      <c r="H77" s="1127">
        <f t="shared" si="13"/>
        <v>0</v>
      </c>
      <c r="I77" s="1127"/>
      <c r="J77" s="1127">
        <f t="shared" si="14"/>
        <v>0</v>
      </c>
      <c r="K77" s="1127"/>
      <c r="L77" s="1127">
        <f t="shared" si="15"/>
        <v>0</v>
      </c>
      <c r="M77" s="1127"/>
      <c r="N77" s="1127">
        <f t="shared" si="16"/>
        <v>0</v>
      </c>
      <c r="O77" s="1127"/>
      <c r="P77" s="1127">
        <f t="shared" si="17"/>
        <v>0</v>
      </c>
      <c r="Q77" s="1127"/>
      <c r="R77" s="1127">
        <f t="shared" si="18"/>
        <v>0</v>
      </c>
      <c r="S77" s="1045"/>
      <c r="T77" s="1131">
        <f t="shared" si="22"/>
        <v>0</v>
      </c>
      <c r="U77" s="1045"/>
      <c r="V77" s="1045">
        <f t="shared" si="23"/>
        <v>0</v>
      </c>
      <c r="W77" s="1132">
        <f t="shared" si="25"/>
        <v>0</v>
      </c>
      <c r="X77" s="1045">
        <f t="shared" si="20"/>
        <v>0</v>
      </c>
      <c r="Y77" s="1132">
        <f t="shared" si="26"/>
        <v>1466.3</v>
      </c>
      <c r="Z77" s="1045">
        <f t="shared" si="21"/>
        <v>367836.02</v>
      </c>
      <c r="AA77" s="890"/>
      <c r="AB77" s="890"/>
    </row>
    <row r="78" spans="1:36" ht="57.75" customHeight="1">
      <c r="A78" s="1124">
        <v>36</v>
      </c>
      <c r="B78" s="1159" t="s">
        <v>1666</v>
      </c>
      <c r="C78" s="1052"/>
      <c r="D78" s="1127"/>
      <c r="E78" s="1128"/>
      <c r="F78" s="1127">
        <f t="shared" si="24"/>
        <v>0</v>
      </c>
      <c r="G78" s="1127"/>
      <c r="H78" s="1127">
        <f t="shared" si="13"/>
        <v>0</v>
      </c>
      <c r="I78" s="1127"/>
      <c r="J78" s="1127">
        <f t="shared" si="14"/>
        <v>0</v>
      </c>
      <c r="K78" s="1127"/>
      <c r="L78" s="1127">
        <f t="shared" si="15"/>
        <v>0</v>
      </c>
      <c r="M78" s="1127"/>
      <c r="N78" s="1127">
        <f t="shared" si="16"/>
        <v>0</v>
      </c>
      <c r="O78" s="1127"/>
      <c r="P78" s="1127">
        <f t="shared" si="17"/>
        <v>0</v>
      </c>
      <c r="Q78" s="1127"/>
      <c r="R78" s="1127">
        <f t="shared" si="18"/>
        <v>0</v>
      </c>
      <c r="S78" s="1049"/>
      <c r="T78" s="1131">
        <f t="shared" si="22"/>
        <v>0</v>
      </c>
      <c r="U78" s="1045"/>
      <c r="V78" s="1045">
        <f t="shared" si="23"/>
        <v>0</v>
      </c>
      <c r="W78" s="1132">
        <f t="shared" si="25"/>
        <v>0</v>
      </c>
      <c r="X78" s="1045">
        <f t="shared" si="20"/>
        <v>0</v>
      </c>
      <c r="Y78" s="1132">
        <f t="shared" si="26"/>
        <v>0</v>
      </c>
      <c r="Z78" s="1045">
        <f t="shared" si="21"/>
        <v>0</v>
      </c>
      <c r="AA78" s="785"/>
      <c r="AB78" s="890"/>
      <c r="AC78" s="862"/>
    </row>
    <row r="79" spans="1:36" ht="43.5" customHeight="1">
      <c r="A79" s="1125" t="s">
        <v>940</v>
      </c>
      <c r="B79" s="1125" t="s">
        <v>1405</v>
      </c>
      <c r="C79" s="1052">
        <f>ROUND(Data!K1463,2)</f>
        <v>69.709999999999994</v>
      </c>
      <c r="D79" s="1127" t="s">
        <v>794</v>
      </c>
      <c r="E79" s="1128">
        <f>detailed!G1376</f>
        <v>137.6</v>
      </c>
      <c r="F79" s="1127">
        <f t="shared" si="24"/>
        <v>9592.1</v>
      </c>
      <c r="G79" s="1127"/>
      <c r="H79" s="1127">
        <f t="shared" si="13"/>
        <v>0</v>
      </c>
      <c r="I79" s="1127"/>
      <c r="J79" s="1127">
        <f t="shared" si="14"/>
        <v>0</v>
      </c>
      <c r="K79" s="1127"/>
      <c r="L79" s="1127">
        <f t="shared" si="15"/>
        <v>0</v>
      </c>
      <c r="M79" s="1127"/>
      <c r="N79" s="1127">
        <f t="shared" si="16"/>
        <v>0</v>
      </c>
      <c r="O79" s="1127"/>
      <c r="P79" s="1127">
        <f t="shared" si="17"/>
        <v>0</v>
      </c>
      <c r="Q79" s="1127"/>
      <c r="R79" s="1127">
        <f t="shared" si="18"/>
        <v>0</v>
      </c>
      <c r="S79" s="1045"/>
      <c r="T79" s="1131">
        <f t="shared" si="22"/>
        <v>0</v>
      </c>
      <c r="U79" s="1045">
        <f>Com.wall!H66</f>
        <v>150.6</v>
      </c>
      <c r="V79" s="1045">
        <f t="shared" si="23"/>
        <v>10498.33</v>
      </c>
      <c r="W79" s="1132">
        <f t="shared" si="25"/>
        <v>150.6</v>
      </c>
      <c r="X79" s="1045">
        <f t="shared" si="20"/>
        <v>10498.33</v>
      </c>
      <c r="Y79" s="1132">
        <f t="shared" si="26"/>
        <v>288.2</v>
      </c>
      <c r="Z79" s="1045">
        <f t="shared" si="21"/>
        <v>20090.419999999998</v>
      </c>
      <c r="AA79" s="890"/>
      <c r="AB79" s="890"/>
    </row>
    <row r="80" spans="1:36" ht="43.5" customHeight="1">
      <c r="A80" s="1125"/>
      <c r="B80" s="1125" t="s">
        <v>1877</v>
      </c>
      <c r="C80" s="1052">
        <f>ROUND(Data!K1475,2)</f>
        <v>45.36</v>
      </c>
      <c r="D80" s="1127" t="s">
        <v>794</v>
      </c>
      <c r="E80" s="1128">
        <f>detailed!G1381</f>
        <v>137.6</v>
      </c>
      <c r="F80" s="1127">
        <f t="shared" si="24"/>
        <v>6241.54</v>
      </c>
      <c r="G80" s="1127"/>
      <c r="H80" s="1127">
        <f t="shared" si="13"/>
        <v>0</v>
      </c>
      <c r="I80" s="1127"/>
      <c r="J80" s="1127">
        <f t="shared" si="14"/>
        <v>0</v>
      </c>
      <c r="K80" s="1127"/>
      <c r="L80" s="1127">
        <f t="shared" si="15"/>
        <v>0</v>
      </c>
      <c r="M80" s="1127"/>
      <c r="N80" s="1127">
        <f t="shared" si="16"/>
        <v>0</v>
      </c>
      <c r="O80" s="1127"/>
      <c r="P80" s="1127">
        <f t="shared" si="17"/>
        <v>0</v>
      </c>
      <c r="Q80" s="1127"/>
      <c r="R80" s="1127">
        <f t="shared" si="18"/>
        <v>0</v>
      </c>
      <c r="S80" s="1045"/>
      <c r="T80" s="1131">
        <f t="shared" si="22"/>
        <v>0</v>
      </c>
      <c r="U80" s="1045">
        <f>Com.wall!H70</f>
        <v>150.6</v>
      </c>
      <c r="V80" s="1045">
        <f t="shared" si="23"/>
        <v>6831.22</v>
      </c>
      <c r="W80" s="1132">
        <f t="shared" si="25"/>
        <v>150.6</v>
      </c>
      <c r="X80" s="1045">
        <f t="shared" si="20"/>
        <v>6831.22</v>
      </c>
      <c r="Y80" s="1132">
        <f t="shared" si="26"/>
        <v>288.2</v>
      </c>
      <c r="Z80" s="1045">
        <f t="shared" si="21"/>
        <v>13072.75</v>
      </c>
      <c r="AA80" s="890"/>
      <c r="AB80" s="890"/>
    </row>
    <row r="81" spans="1:29" ht="43.5" customHeight="1">
      <c r="A81" s="1040"/>
      <c r="B81" s="1125" t="s">
        <v>1878</v>
      </c>
      <c r="C81" s="1052">
        <f>ROUND(Data!K1488,2)</f>
        <v>33.76</v>
      </c>
      <c r="D81" s="1127" t="s">
        <v>794</v>
      </c>
      <c r="E81" s="1128">
        <f>detailed!H1385</f>
        <v>137.56</v>
      </c>
      <c r="F81" s="1127">
        <f t="shared" si="24"/>
        <v>4644.03</v>
      </c>
      <c r="G81" s="1127"/>
      <c r="H81" s="1127">
        <f t="shared" ref="H81:H102" si="27">G81*C81</f>
        <v>0</v>
      </c>
      <c r="I81" s="1127"/>
      <c r="J81" s="1127">
        <f t="shared" ref="J81:J102" si="28">I81*C81</f>
        <v>0</v>
      </c>
      <c r="K81" s="1127"/>
      <c r="L81" s="1127">
        <f t="shared" ref="L81:L102" si="29">K81*C81</f>
        <v>0</v>
      </c>
      <c r="M81" s="1127"/>
      <c r="N81" s="1127">
        <f t="shared" ref="N81:N102" si="30">M81*C81</f>
        <v>0</v>
      </c>
      <c r="O81" s="1127"/>
      <c r="P81" s="1127">
        <f t="shared" ref="P81:P102" si="31">O81*C81</f>
        <v>0</v>
      </c>
      <c r="Q81" s="1127"/>
      <c r="R81" s="1127">
        <f t="shared" ref="R81:R102" si="32">Q81*C81</f>
        <v>0</v>
      </c>
      <c r="S81" s="1045"/>
      <c r="T81" s="1131">
        <f t="shared" si="22"/>
        <v>0</v>
      </c>
      <c r="U81" s="1045"/>
      <c r="V81" s="1045">
        <f t="shared" si="23"/>
        <v>0</v>
      </c>
      <c r="W81" s="1132">
        <f t="shared" si="25"/>
        <v>0</v>
      </c>
      <c r="X81" s="1045">
        <f t="shared" ref="X81:X102" si="33">W81*C81</f>
        <v>0</v>
      </c>
      <c r="Y81" s="1132">
        <f t="shared" si="26"/>
        <v>137.56</v>
      </c>
      <c r="Z81" s="1045">
        <f t="shared" ref="Z81:Z102" si="34">Y81*C81</f>
        <v>4644.03</v>
      </c>
      <c r="AA81" s="890"/>
      <c r="AB81" s="890"/>
    </row>
    <row r="82" spans="1:29">
      <c r="A82" s="1124">
        <v>37.1</v>
      </c>
      <c r="B82" s="1125" t="s">
        <v>5651</v>
      </c>
      <c r="C82" s="1052">
        <f>ROUND(Data!K1501,2)</f>
        <v>39.22</v>
      </c>
      <c r="D82" s="1127" t="s">
        <v>1776</v>
      </c>
      <c r="E82" s="1128">
        <f>detailed!G1387</f>
        <v>1466.3</v>
      </c>
      <c r="F82" s="1127">
        <f t="shared" si="24"/>
        <v>57508.29</v>
      </c>
      <c r="G82" s="1127"/>
      <c r="H82" s="1127">
        <f t="shared" si="27"/>
        <v>0</v>
      </c>
      <c r="I82" s="1127"/>
      <c r="J82" s="1127">
        <f t="shared" si="28"/>
        <v>0</v>
      </c>
      <c r="K82" s="1127"/>
      <c r="L82" s="1127">
        <f t="shared" si="29"/>
        <v>0</v>
      </c>
      <c r="M82" s="1127"/>
      <c r="N82" s="1127">
        <f t="shared" si="30"/>
        <v>0</v>
      </c>
      <c r="O82" s="1127"/>
      <c r="P82" s="1127">
        <f t="shared" si="31"/>
        <v>0</v>
      </c>
      <c r="Q82" s="1127"/>
      <c r="R82" s="1127">
        <f t="shared" si="32"/>
        <v>0</v>
      </c>
      <c r="S82" s="1045"/>
      <c r="T82" s="1131">
        <f t="shared" si="22"/>
        <v>0</v>
      </c>
      <c r="U82" s="1045"/>
      <c r="V82" s="1045">
        <f t="shared" si="23"/>
        <v>0</v>
      </c>
      <c r="W82" s="1132">
        <f t="shared" si="25"/>
        <v>0</v>
      </c>
      <c r="X82" s="1045">
        <f t="shared" si="33"/>
        <v>0</v>
      </c>
      <c r="Y82" s="1132">
        <f t="shared" si="26"/>
        <v>1466.3</v>
      </c>
      <c r="Z82" s="1045">
        <f t="shared" si="34"/>
        <v>57508.29</v>
      </c>
      <c r="AA82" s="890"/>
      <c r="AB82" s="890"/>
    </row>
    <row r="83" spans="1:29">
      <c r="A83" s="1124">
        <v>39</v>
      </c>
      <c r="B83" s="1125" t="s">
        <v>1879</v>
      </c>
      <c r="C83" s="1052">
        <f>Data!K1196</f>
        <v>62.6</v>
      </c>
      <c r="D83" s="1127" t="s">
        <v>254</v>
      </c>
      <c r="E83" s="1128">
        <f>detailed!H1536</f>
        <v>177</v>
      </c>
      <c r="F83" s="1127">
        <f t="shared" si="24"/>
        <v>11080.2</v>
      </c>
      <c r="G83" s="1127"/>
      <c r="H83" s="1127">
        <f t="shared" si="27"/>
        <v>0</v>
      </c>
      <c r="I83" s="1127"/>
      <c r="J83" s="1127">
        <f t="shared" si="28"/>
        <v>0</v>
      </c>
      <c r="K83" s="1127"/>
      <c r="L83" s="1127">
        <f t="shared" si="29"/>
        <v>0</v>
      </c>
      <c r="M83" s="1127"/>
      <c r="N83" s="1127">
        <f t="shared" si="30"/>
        <v>0</v>
      </c>
      <c r="O83" s="1127"/>
      <c r="P83" s="1127">
        <f t="shared" si="31"/>
        <v>0</v>
      </c>
      <c r="Q83" s="1127"/>
      <c r="R83" s="1127">
        <f t="shared" si="32"/>
        <v>0</v>
      </c>
      <c r="S83" s="1045"/>
      <c r="T83" s="1131">
        <f t="shared" si="22"/>
        <v>0</v>
      </c>
      <c r="U83" s="1045">
        <f>Com.wall!H76</f>
        <v>630</v>
      </c>
      <c r="V83" s="1045">
        <f t="shared" si="23"/>
        <v>39438</v>
      </c>
      <c r="W83" s="1132">
        <f t="shared" si="25"/>
        <v>630</v>
      </c>
      <c r="X83" s="1045">
        <f t="shared" si="33"/>
        <v>39438</v>
      </c>
      <c r="Y83" s="1132">
        <f t="shared" si="26"/>
        <v>807</v>
      </c>
      <c r="Z83" s="1045">
        <f t="shared" si="34"/>
        <v>50518.2</v>
      </c>
      <c r="AA83" s="890"/>
      <c r="AB83" s="890"/>
    </row>
    <row r="84" spans="1:29" ht="43.5" customHeight="1">
      <c r="A84" s="1124">
        <v>40</v>
      </c>
      <c r="B84" s="1125" t="s">
        <v>1967</v>
      </c>
      <c r="C84" s="1052">
        <f>ROUND(Data!K1543,2)</f>
        <v>212.24</v>
      </c>
      <c r="D84" s="1127" t="s">
        <v>1776</v>
      </c>
      <c r="E84" s="1128">
        <f>detailed!G1545</f>
        <v>134.69999999999999</v>
      </c>
      <c r="F84" s="1127">
        <f t="shared" si="24"/>
        <v>28588.73</v>
      </c>
      <c r="G84" s="1127"/>
      <c r="H84" s="1127">
        <f t="shared" si="27"/>
        <v>0</v>
      </c>
      <c r="I84" s="1127"/>
      <c r="J84" s="1127">
        <f t="shared" si="28"/>
        <v>0</v>
      </c>
      <c r="K84" s="1127"/>
      <c r="L84" s="1127">
        <f t="shared" si="29"/>
        <v>0</v>
      </c>
      <c r="M84" s="1127"/>
      <c r="N84" s="1127">
        <f t="shared" si="30"/>
        <v>0</v>
      </c>
      <c r="O84" s="1127"/>
      <c r="P84" s="1127">
        <f t="shared" si="31"/>
        <v>0</v>
      </c>
      <c r="Q84" s="1127"/>
      <c r="R84" s="1127">
        <f t="shared" si="32"/>
        <v>0</v>
      </c>
      <c r="S84" s="1045"/>
      <c r="T84" s="1131">
        <f t="shared" si="22"/>
        <v>0</v>
      </c>
      <c r="U84" s="1045"/>
      <c r="V84" s="1045">
        <f t="shared" si="23"/>
        <v>0</v>
      </c>
      <c r="W84" s="1132">
        <f t="shared" si="25"/>
        <v>0</v>
      </c>
      <c r="X84" s="1045">
        <f t="shared" si="33"/>
        <v>0</v>
      </c>
      <c r="Y84" s="1132">
        <f t="shared" si="26"/>
        <v>134.69999999999999</v>
      </c>
      <c r="Z84" s="1045">
        <f t="shared" si="34"/>
        <v>28588.73</v>
      </c>
      <c r="AA84" s="890"/>
      <c r="AB84" s="890"/>
    </row>
    <row r="85" spans="1:29">
      <c r="A85" s="1124">
        <v>41</v>
      </c>
      <c r="B85" s="1125" t="s">
        <v>1880</v>
      </c>
      <c r="C85" s="1052">
        <f>ROUND(Data!K1556,2)</f>
        <v>125.87</v>
      </c>
      <c r="D85" s="1127" t="s">
        <v>1776</v>
      </c>
      <c r="E85" s="1128">
        <f>detailed!G1561</f>
        <v>190</v>
      </c>
      <c r="F85" s="1127">
        <f t="shared" si="24"/>
        <v>23915.3</v>
      </c>
      <c r="G85" s="1127"/>
      <c r="H85" s="1127">
        <f t="shared" si="27"/>
        <v>0</v>
      </c>
      <c r="I85" s="1127"/>
      <c r="J85" s="1127">
        <f t="shared" si="28"/>
        <v>0</v>
      </c>
      <c r="K85" s="1127"/>
      <c r="L85" s="1127">
        <f t="shared" si="29"/>
        <v>0</v>
      </c>
      <c r="M85" s="1127">
        <f>'Paver '!G33</f>
        <v>125.1</v>
      </c>
      <c r="N85" s="1127">
        <f t="shared" si="30"/>
        <v>15746.34</v>
      </c>
      <c r="O85" s="1127"/>
      <c r="P85" s="1127">
        <f t="shared" si="31"/>
        <v>0</v>
      </c>
      <c r="Q85" s="1127"/>
      <c r="R85" s="1127">
        <f t="shared" si="32"/>
        <v>0</v>
      </c>
      <c r="S85" s="1045"/>
      <c r="T85" s="1131">
        <f t="shared" si="22"/>
        <v>0</v>
      </c>
      <c r="U85" s="1045">
        <f>Com.wall!H79</f>
        <v>18</v>
      </c>
      <c r="V85" s="1045">
        <f t="shared" si="23"/>
        <v>2265.66</v>
      </c>
      <c r="W85" s="1132">
        <f t="shared" si="25"/>
        <v>143.1</v>
      </c>
      <c r="X85" s="1045">
        <f t="shared" si="33"/>
        <v>18012</v>
      </c>
      <c r="Y85" s="1132">
        <f t="shared" si="26"/>
        <v>333.1</v>
      </c>
      <c r="Z85" s="1045">
        <f t="shared" si="34"/>
        <v>41927.300000000003</v>
      </c>
      <c r="AA85" s="890"/>
      <c r="AB85" s="890"/>
    </row>
    <row r="86" spans="1:29">
      <c r="A86" s="1124">
        <v>46</v>
      </c>
      <c r="B86" s="1125" t="s">
        <v>733</v>
      </c>
      <c r="C86" s="1052">
        <f>ROUND(Data!K1673,2)</f>
        <v>58</v>
      </c>
      <c r="D86" s="1127" t="s">
        <v>794</v>
      </c>
      <c r="E86" s="1128">
        <f>detailed!H1583</f>
        <v>16</v>
      </c>
      <c r="F86" s="1127">
        <f t="shared" si="24"/>
        <v>928</v>
      </c>
      <c r="G86" s="1127"/>
      <c r="H86" s="1127">
        <f t="shared" si="27"/>
        <v>0</v>
      </c>
      <c r="I86" s="1127"/>
      <c r="J86" s="1127">
        <f t="shared" si="28"/>
        <v>0</v>
      </c>
      <c r="K86" s="1127"/>
      <c r="L86" s="1127">
        <f t="shared" si="29"/>
        <v>0</v>
      </c>
      <c r="M86" s="1127"/>
      <c r="N86" s="1127">
        <f t="shared" si="30"/>
        <v>0</v>
      </c>
      <c r="O86" s="1127"/>
      <c r="P86" s="1127">
        <f t="shared" si="31"/>
        <v>0</v>
      </c>
      <c r="Q86" s="1127"/>
      <c r="R86" s="1127">
        <f t="shared" si="32"/>
        <v>0</v>
      </c>
      <c r="S86" s="1045"/>
      <c r="T86" s="1131">
        <f t="shared" si="22"/>
        <v>0</v>
      </c>
      <c r="U86" s="1045"/>
      <c r="V86" s="1045">
        <f t="shared" si="23"/>
        <v>0</v>
      </c>
      <c r="W86" s="1132">
        <f t="shared" si="25"/>
        <v>0</v>
      </c>
      <c r="X86" s="1045">
        <f t="shared" si="33"/>
        <v>0</v>
      </c>
      <c r="Y86" s="1132">
        <f t="shared" si="26"/>
        <v>16</v>
      </c>
      <c r="Z86" s="1045">
        <f t="shared" si="34"/>
        <v>928</v>
      </c>
      <c r="AA86" s="890"/>
      <c r="AB86" s="890"/>
    </row>
    <row r="87" spans="1:29" ht="45.75" customHeight="1">
      <c r="A87" s="1124">
        <v>47</v>
      </c>
      <c r="B87" s="1125" t="s">
        <v>882</v>
      </c>
      <c r="C87" s="1052">
        <f>ROUND(Data!K1685,2)</f>
        <v>95</v>
      </c>
      <c r="D87" s="1127" t="s">
        <v>1341</v>
      </c>
      <c r="E87" s="1128">
        <f>detailed!H1585</f>
        <v>8</v>
      </c>
      <c r="F87" s="1127">
        <f t="shared" si="24"/>
        <v>760</v>
      </c>
      <c r="G87" s="1127"/>
      <c r="H87" s="1127">
        <f t="shared" si="27"/>
        <v>0</v>
      </c>
      <c r="I87" s="1127"/>
      <c r="J87" s="1127">
        <f t="shared" si="28"/>
        <v>0</v>
      </c>
      <c r="K87" s="1127"/>
      <c r="L87" s="1127">
        <f t="shared" si="29"/>
        <v>0</v>
      </c>
      <c r="M87" s="1127"/>
      <c r="N87" s="1127">
        <f t="shared" si="30"/>
        <v>0</v>
      </c>
      <c r="O87" s="1127"/>
      <c r="P87" s="1127">
        <f t="shared" si="31"/>
        <v>0</v>
      </c>
      <c r="Q87" s="1127"/>
      <c r="R87" s="1127">
        <f t="shared" si="32"/>
        <v>0</v>
      </c>
      <c r="S87" s="1045"/>
      <c r="T87" s="1131">
        <f t="shared" si="22"/>
        <v>0</v>
      </c>
      <c r="U87" s="1045"/>
      <c r="V87" s="1045">
        <f t="shared" si="23"/>
        <v>0</v>
      </c>
      <c r="W87" s="1132">
        <f t="shared" si="25"/>
        <v>0</v>
      </c>
      <c r="X87" s="1045">
        <f t="shared" si="33"/>
        <v>0</v>
      </c>
      <c r="Y87" s="1132">
        <f t="shared" si="26"/>
        <v>8</v>
      </c>
      <c r="Z87" s="1045">
        <f t="shared" si="34"/>
        <v>760</v>
      </c>
      <c r="AA87" s="890"/>
      <c r="AB87" s="890"/>
    </row>
    <row r="88" spans="1:29" ht="45.75" customHeight="1">
      <c r="A88" s="1124">
        <v>48</v>
      </c>
      <c r="B88" s="1125" t="s">
        <v>1774</v>
      </c>
      <c r="C88" s="1052">
        <f>ROUND(Data!K1693,2)</f>
        <v>55</v>
      </c>
      <c r="D88" s="1127" t="s">
        <v>1341</v>
      </c>
      <c r="E88" s="1128">
        <f>detailed!H1588</f>
        <v>16</v>
      </c>
      <c r="F88" s="1127">
        <f t="shared" si="24"/>
        <v>880</v>
      </c>
      <c r="G88" s="1127"/>
      <c r="H88" s="1127">
        <f t="shared" si="27"/>
        <v>0</v>
      </c>
      <c r="I88" s="1127"/>
      <c r="J88" s="1127">
        <f t="shared" si="28"/>
        <v>0</v>
      </c>
      <c r="K88" s="1127"/>
      <c r="L88" s="1127">
        <f t="shared" si="29"/>
        <v>0</v>
      </c>
      <c r="M88" s="1127"/>
      <c r="N88" s="1127">
        <f t="shared" si="30"/>
        <v>0</v>
      </c>
      <c r="O88" s="1127"/>
      <c r="P88" s="1127">
        <f t="shared" si="31"/>
        <v>0</v>
      </c>
      <c r="Q88" s="1127"/>
      <c r="R88" s="1127">
        <f t="shared" si="32"/>
        <v>0</v>
      </c>
      <c r="S88" s="1045"/>
      <c r="T88" s="1131">
        <f t="shared" si="22"/>
        <v>0</v>
      </c>
      <c r="U88" s="1045"/>
      <c r="V88" s="1045">
        <f t="shared" si="23"/>
        <v>0</v>
      </c>
      <c r="W88" s="1132">
        <f t="shared" si="25"/>
        <v>0</v>
      </c>
      <c r="X88" s="1045">
        <f t="shared" si="33"/>
        <v>0</v>
      </c>
      <c r="Y88" s="1132">
        <f t="shared" si="26"/>
        <v>16</v>
      </c>
      <c r="Z88" s="1045">
        <f t="shared" si="34"/>
        <v>880</v>
      </c>
      <c r="AA88" s="890"/>
      <c r="AB88" s="890"/>
    </row>
    <row r="89" spans="1:29">
      <c r="A89" s="1124">
        <v>49</v>
      </c>
      <c r="B89" s="1125" t="s">
        <v>1775</v>
      </c>
      <c r="C89" s="1052">
        <f>ROUND(Data!K1700,2)</f>
        <v>1.5</v>
      </c>
      <c r="D89" s="1127" t="s">
        <v>1341</v>
      </c>
      <c r="E89" s="1128">
        <f>detailed!G1594</f>
        <v>96</v>
      </c>
      <c r="F89" s="1127">
        <f t="shared" si="24"/>
        <v>144</v>
      </c>
      <c r="G89" s="1127"/>
      <c r="H89" s="1127">
        <f t="shared" si="27"/>
        <v>0</v>
      </c>
      <c r="I89" s="1127"/>
      <c r="J89" s="1127">
        <f t="shared" si="28"/>
        <v>0</v>
      </c>
      <c r="K89" s="1127"/>
      <c r="L89" s="1127">
        <f t="shared" si="29"/>
        <v>0</v>
      </c>
      <c r="M89" s="1127"/>
      <c r="N89" s="1127">
        <f t="shared" si="30"/>
        <v>0</v>
      </c>
      <c r="O89" s="1127"/>
      <c r="P89" s="1127">
        <f t="shared" si="31"/>
        <v>0</v>
      </c>
      <c r="Q89" s="1127"/>
      <c r="R89" s="1127">
        <f t="shared" si="32"/>
        <v>0</v>
      </c>
      <c r="S89" s="1045"/>
      <c r="T89" s="1131">
        <f t="shared" si="22"/>
        <v>0</v>
      </c>
      <c r="U89" s="1045"/>
      <c r="V89" s="1045">
        <f t="shared" si="23"/>
        <v>0</v>
      </c>
      <c r="W89" s="1132">
        <f t="shared" si="25"/>
        <v>0</v>
      </c>
      <c r="X89" s="1045">
        <f t="shared" si="33"/>
        <v>0</v>
      </c>
      <c r="Y89" s="1132">
        <f t="shared" si="26"/>
        <v>96</v>
      </c>
      <c r="Z89" s="1045">
        <f t="shared" si="34"/>
        <v>144</v>
      </c>
      <c r="AA89" s="890"/>
      <c r="AB89" s="890"/>
    </row>
    <row r="90" spans="1:29" ht="45">
      <c r="A90" s="1154">
        <v>50.2</v>
      </c>
      <c r="B90" s="1125" t="s">
        <v>272</v>
      </c>
      <c r="C90" s="1025">
        <f>ROUND(Data!K1749,2)</f>
        <v>238.28</v>
      </c>
      <c r="D90" s="1138" t="s">
        <v>794</v>
      </c>
      <c r="E90" s="1139"/>
      <c r="F90" s="1127">
        <f t="shared" si="24"/>
        <v>0</v>
      </c>
      <c r="G90" s="1138"/>
      <c r="H90" s="1127">
        <f t="shared" si="27"/>
        <v>0</v>
      </c>
      <c r="I90" s="1138"/>
      <c r="J90" s="1127">
        <f t="shared" si="28"/>
        <v>0</v>
      </c>
      <c r="K90" s="1138"/>
      <c r="L90" s="1127">
        <f t="shared" si="29"/>
        <v>0</v>
      </c>
      <c r="M90" s="1138">
        <f>'Paver '!G28</f>
        <v>278</v>
      </c>
      <c r="N90" s="1127">
        <f t="shared" si="30"/>
        <v>66241.84</v>
      </c>
      <c r="O90" s="1138"/>
      <c r="P90" s="1127">
        <f t="shared" si="31"/>
        <v>0</v>
      </c>
      <c r="Q90" s="1138"/>
      <c r="R90" s="1127">
        <f t="shared" si="32"/>
        <v>0</v>
      </c>
      <c r="S90" s="1045"/>
      <c r="T90" s="1131">
        <f t="shared" si="22"/>
        <v>0</v>
      </c>
      <c r="U90" s="1045"/>
      <c r="V90" s="1045">
        <f t="shared" si="23"/>
        <v>0</v>
      </c>
      <c r="W90" s="1132">
        <f t="shared" si="25"/>
        <v>278</v>
      </c>
      <c r="X90" s="1045">
        <f t="shared" si="33"/>
        <v>66241.84</v>
      </c>
      <c r="Y90" s="1132">
        <f t="shared" si="26"/>
        <v>278</v>
      </c>
      <c r="Z90" s="1045">
        <f t="shared" si="34"/>
        <v>66241.84</v>
      </c>
      <c r="AA90" s="890"/>
      <c r="AB90" s="890"/>
    </row>
    <row r="91" spans="1:29" ht="49.5" customHeight="1">
      <c r="A91" s="1124">
        <v>50.3</v>
      </c>
      <c r="B91" s="1125" t="s">
        <v>2111</v>
      </c>
      <c r="C91" s="1052">
        <f>ROUND(Data!K1765,2)</f>
        <v>343.21</v>
      </c>
      <c r="D91" s="1127" t="s">
        <v>1341</v>
      </c>
      <c r="E91" s="1128"/>
      <c r="F91" s="1127">
        <f t="shared" si="24"/>
        <v>0</v>
      </c>
      <c r="G91" s="1127"/>
      <c r="H91" s="1127">
        <f t="shared" si="27"/>
        <v>0</v>
      </c>
      <c r="I91" s="1127"/>
      <c r="J91" s="1127">
        <f t="shared" si="28"/>
        <v>0</v>
      </c>
      <c r="K91" s="1127"/>
      <c r="L91" s="1127">
        <f t="shared" si="29"/>
        <v>0</v>
      </c>
      <c r="M91" s="1127"/>
      <c r="N91" s="1127">
        <f t="shared" si="30"/>
        <v>0</v>
      </c>
      <c r="O91" s="1127"/>
      <c r="P91" s="1127">
        <f t="shared" si="31"/>
        <v>0</v>
      </c>
      <c r="Q91" s="1127"/>
      <c r="R91" s="1127">
        <f t="shared" si="32"/>
        <v>0</v>
      </c>
      <c r="S91" s="1045"/>
      <c r="T91" s="1131">
        <f t="shared" si="22"/>
        <v>0</v>
      </c>
      <c r="U91" s="1045"/>
      <c r="V91" s="1045">
        <f t="shared" si="23"/>
        <v>0</v>
      </c>
      <c r="W91" s="1132">
        <f t="shared" si="25"/>
        <v>0</v>
      </c>
      <c r="X91" s="1045">
        <f t="shared" si="33"/>
        <v>0</v>
      </c>
      <c r="Y91" s="1132">
        <f t="shared" si="26"/>
        <v>0</v>
      </c>
      <c r="Z91" s="1045">
        <f t="shared" si="34"/>
        <v>0</v>
      </c>
      <c r="AA91" s="890"/>
      <c r="AB91" s="890"/>
    </row>
    <row r="92" spans="1:29" ht="43.5" customHeight="1">
      <c r="A92" s="1124">
        <v>50.4</v>
      </c>
      <c r="B92" s="1125" t="s">
        <v>2112</v>
      </c>
      <c r="C92" s="1052">
        <f>ROUND(Data!K1778,2)</f>
        <v>807.7</v>
      </c>
      <c r="D92" s="1127" t="s">
        <v>1341</v>
      </c>
      <c r="E92" s="1128"/>
      <c r="F92" s="1127">
        <f t="shared" si="24"/>
        <v>0</v>
      </c>
      <c r="G92" s="1127"/>
      <c r="H92" s="1127">
        <f t="shared" si="27"/>
        <v>0</v>
      </c>
      <c r="I92" s="1127"/>
      <c r="J92" s="1127">
        <f t="shared" si="28"/>
        <v>0</v>
      </c>
      <c r="K92" s="1127"/>
      <c r="L92" s="1127">
        <f t="shared" si="29"/>
        <v>0</v>
      </c>
      <c r="M92" s="1127"/>
      <c r="N92" s="1127">
        <f t="shared" si="30"/>
        <v>0</v>
      </c>
      <c r="O92" s="1127"/>
      <c r="P92" s="1127">
        <f t="shared" si="31"/>
        <v>0</v>
      </c>
      <c r="Q92" s="1127"/>
      <c r="R92" s="1127">
        <f t="shared" si="32"/>
        <v>0</v>
      </c>
      <c r="S92" s="1045"/>
      <c r="T92" s="1131">
        <f t="shared" si="22"/>
        <v>0</v>
      </c>
      <c r="U92" s="1045"/>
      <c r="V92" s="1045">
        <f t="shared" si="23"/>
        <v>0</v>
      </c>
      <c r="W92" s="1132">
        <f t="shared" si="25"/>
        <v>0</v>
      </c>
      <c r="X92" s="1045">
        <f t="shared" si="33"/>
        <v>0</v>
      </c>
      <c r="Y92" s="1132">
        <f t="shared" si="26"/>
        <v>0</v>
      </c>
      <c r="Z92" s="1045">
        <f t="shared" si="34"/>
        <v>0</v>
      </c>
      <c r="AA92" s="890"/>
      <c r="AB92" s="890"/>
    </row>
    <row r="93" spans="1:29" ht="45">
      <c r="A93" s="1124">
        <v>50.5</v>
      </c>
      <c r="B93" s="1125" t="s">
        <v>365</v>
      </c>
      <c r="C93" s="1052">
        <f>ROUND(Data!K1793,2)</f>
        <v>17153.259999999998</v>
      </c>
      <c r="D93" s="1127" t="s">
        <v>1341</v>
      </c>
      <c r="E93" s="1128">
        <v>1</v>
      </c>
      <c r="F93" s="1127">
        <f t="shared" si="24"/>
        <v>17153.259999999998</v>
      </c>
      <c r="G93" s="1127"/>
      <c r="H93" s="1127">
        <f t="shared" si="27"/>
        <v>0</v>
      </c>
      <c r="I93" s="1127"/>
      <c r="J93" s="1127">
        <f t="shared" si="28"/>
        <v>0</v>
      </c>
      <c r="K93" s="1127"/>
      <c r="L93" s="1127">
        <f t="shared" si="29"/>
        <v>0</v>
      </c>
      <c r="M93" s="1127"/>
      <c r="N93" s="1127">
        <f t="shared" si="30"/>
        <v>0</v>
      </c>
      <c r="O93" s="1127"/>
      <c r="P93" s="1127">
        <f t="shared" si="31"/>
        <v>0</v>
      </c>
      <c r="Q93" s="1127"/>
      <c r="R93" s="1127">
        <f t="shared" si="32"/>
        <v>0</v>
      </c>
      <c r="S93" s="1045"/>
      <c r="T93" s="1131">
        <f t="shared" si="22"/>
        <v>0</v>
      </c>
      <c r="U93" s="1045"/>
      <c r="V93" s="1045">
        <f t="shared" si="23"/>
        <v>0</v>
      </c>
      <c r="W93" s="1132">
        <f t="shared" si="25"/>
        <v>0</v>
      </c>
      <c r="X93" s="1045">
        <f t="shared" si="33"/>
        <v>0</v>
      </c>
      <c r="Y93" s="1132">
        <f t="shared" si="26"/>
        <v>1</v>
      </c>
      <c r="Z93" s="1045">
        <f t="shared" si="34"/>
        <v>17153.259999999998</v>
      </c>
      <c r="AA93" s="890"/>
      <c r="AB93" s="890"/>
    </row>
    <row r="94" spans="1:29" s="486" customFormat="1">
      <c r="A94" s="1174">
        <v>51</v>
      </c>
      <c r="B94" s="1175" t="s">
        <v>229</v>
      </c>
      <c r="C94" s="1176">
        <f>ROUND(Data!K1799,2)</f>
        <v>6720</v>
      </c>
      <c r="D94" s="1177" t="s">
        <v>1341</v>
      </c>
      <c r="E94" s="1178">
        <f>detailed!H1602</f>
        <v>4</v>
      </c>
      <c r="F94" s="1127">
        <f t="shared" si="24"/>
        <v>26880</v>
      </c>
      <c r="G94" s="1177"/>
      <c r="H94" s="1127">
        <f t="shared" si="27"/>
        <v>0</v>
      </c>
      <c r="I94" s="1177"/>
      <c r="J94" s="1127">
        <f t="shared" si="28"/>
        <v>0</v>
      </c>
      <c r="K94" s="1177"/>
      <c r="L94" s="1127">
        <f t="shared" si="29"/>
        <v>0</v>
      </c>
      <c r="M94" s="1177"/>
      <c r="N94" s="1127">
        <f t="shared" si="30"/>
        <v>0</v>
      </c>
      <c r="O94" s="1177"/>
      <c r="P94" s="1127">
        <f t="shared" si="31"/>
        <v>0</v>
      </c>
      <c r="Q94" s="1177"/>
      <c r="R94" s="1127">
        <f t="shared" si="32"/>
        <v>0</v>
      </c>
      <c r="S94" s="1143"/>
      <c r="T94" s="1131">
        <f t="shared" si="22"/>
        <v>0</v>
      </c>
      <c r="U94" s="1144"/>
      <c r="V94" s="1045">
        <f t="shared" si="23"/>
        <v>0</v>
      </c>
      <c r="W94" s="1132">
        <f t="shared" si="25"/>
        <v>0</v>
      </c>
      <c r="X94" s="1045">
        <f t="shared" si="33"/>
        <v>0</v>
      </c>
      <c r="Y94" s="1132">
        <f t="shared" si="26"/>
        <v>4</v>
      </c>
      <c r="Z94" s="1045">
        <f t="shared" si="34"/>
        <v>26880</v>
      </c>
      <c r="AA94" s="892"/>
      <c r="AB94" s="891"/>
    </row>
    <row r="95" spans="1:29" s="719" customFormat="1">
      <c r="A95" s="1160">
        <v>52</v>
      </c>
      <c r="B95" s="1161" t="s">
        <v>230</v>
      </c>
      <c r="C95" s="995"/>
      <c r="D95" s="1147"/>
      <c r="E95" s="1148"/>
      <c r="F95" s="1127">
        <f t="shared" si="24"/>
        <v>0</v>
      </c>
      <c r="G95" s="1147"/>
      <c r="H95" s="1127">
        <f t="shared" si="27"/>
        <v>0</v>
      </c>
      <c r="I95" s="1147"/>
      <c r="J95" s="1127">
        <f t="shared" si="28"/>
        <v>0</v>
      </c>
      <c r="K95" s="1147"/>
      <c r="L95" s="1127">
        <f t="shared" si="29"/>
        <v>0</v>
      </c>
      <c r="M95" s="1147"/>
      <c r="N95" s="1127">
        <f t="shared" si="30"/>
        <v>0</v>
      </c>
      <c r="O95" s="1147"/>
      <c r="P95" s="1127">
        <f t="shared" si="31"/>
        <v>0</v>
      </c>
      <c r="Q95" s="1147"/>
      <c r="R95" s="1127">
        <f t="shared" si="32"/>
        <v>0</v>
      </c>
      <c r="S95" s="1028"/>
      <c r="T95" s="1131">
        <f t="shared" si="22"/>
        <v>0</v>
      </c>
      <c r="U95" s="1045"/>
      <c r="V95" s="1045">
        <f t="shared" si="23"/>
        <v>0</v>
      </c>
      <c r="W95" s="1132">
        <f t="shared" si="25"/>
        <v>0</v>
      </c>
      <c r="X95" s="1045">
        <f t="shared" si="33"/>
        <v>0</v>
      </c>
      <c r="Y95" s="1132">
        <f t="shared" si="26"/>
        <v>0</v>
      </c>
      <c r="Z95" s="1045">
        <f t="shared" si="34"/>
        <v>0</v>
      </c>
      <c r="AA95" s="786"/>
      <c r="AB95" s="891"/>
      <c r="AC95" s="717"/>
    </row>
    <row r="96" spans="1:29" s="719" customFormat="1">
      <c r="A96" s="1162"/>
      <c r="B96" s="1162" t="s">
        <v>45</v>
      </c>
      <c r="C96" s="995">
        <f>ROUND(Data!K1893,2)</f>
        <v>227.81</v>
      </c>
      <c r="D96" s="1147" t="s">
        <v>794</v>
      </c>
      <c r="E96" s="1148">
        <f>detailed!H1607</f>
        <v>60</v>
      </c>
      <c r="F96" s="1127">
        <f t="shared" si="24"/>
        <v>13668.6</v>
      </c>
      <c r="G96" s="1147"/>
      <c r="H96" s="1127">
        <f t="shared" si="27"/>
        <v>0</v>
      </c>
      <c r="I96" s="1147"/>
      <c r="J96" s="1127">
        <f t="shared" si="28"/>
        <v>0</v>
      </c>
      <c r="K96" s="1147"/>
      <c r="L96" s="1127">
        <f t="shared" si="29"/>
        <v>0</v>
      </c>
      <c r="M96" s="1147"/>
      <c r="N96" s="1127">
        <f t="shared" si="30"/>
        <v>0</v>
      </c>
      <c r="O96" s="1147"/>
      <c r="P96" s="1127">
        <f t="shared" si="31"/>
        <v>0</v>
      </c>
      <c r="Q96" s="1147"/>
      <c r="R96" s="1127">
        <f t="shared" si="32"/>
        <v>0</v>
      </c>
      <c r="S96" s="1028"/>
      <c r="T96" s="1131">
        <f t="shared" si="22"/>
        <v>0</v>
      </c>
      <c r="U96" s="1045"/>
      <c r="V96" s="1045">
        <f t="shared" si="23"/>
        <v>0</v>
      </c>
      <c r="W96" s="1132">
        <f t="shared" si="25"/>
        <v>0</v>
      </c>
      <c r="X96" s="1045">
        <f t="shared" si="33"/>
        <v>0</v>
      </c>
      <c r="Y96" s="1132">
        <f t="shared" si="26"/>
        <v>60</v>
      </c>
      <c r="Z96" s="1045">
        <f t="shared" si="34"/>
        <v>13668.6</v>
      </c>
      <c r="AA96" s="891"/>
      <c r="AB96" s="891"/>
    </row>
    <row r="97" spans="1:29" s="719" customFormat="1">
      <c r="A97" s="1162"/>
      <c r="B97" s="1162" t="s">
        <v>46</v>
      </c>
      <c r="C97" s="995">
        <f>ROUND(Data!K1885,2)</f>
        <v>208.73</v>
      </c>
      <c r="D97" s="1147" t="s">
        <v>794</v>
      </c>
      <c r="E97" s="1148">
        <f>detailed!G1620</f>
        <v>537</v>
      </c>
      <c r="F97" s="1127">
        <f t="shared" si="24"/>
        <v>112088.01</v>
      </c>
      <c r="G97" s="1147"/>
      <c r="H97" s="1127">
        <f t="shared" si="27"/>
        <v>0</v>
      </c>
      <c r="I97" s="1147"/>
      <c r="J97" s="1127">
        <f t="shared" si="28"/>
        <v>0</v>
      </c>
      <c r="K97" s="1147"/>
      <c r="L97" s="1127">
        <f t="shared" si="29"/>
        <v>0</v>
      </c>
      <c r="M97" s="1147"/>
      <c r="N97" s="1127">
        <f t="shared" si="30"/>
        <v>0</v>
      </c>
      <c r="O97" s="1147"/>
      <c r="P97" s="1127">
        <f t="shared" si="31"/>
        <v>0</v>
      </c>
      <c r="Q97" s="1147"/>
      <c r="R97" s="1127">
        <f t="shared" si="32"/>
        <v>0</v>
      </c>
      <c r="S97" s="1028"/>
      <c r="T97" s="1131">
        <f t="shared" si="22"/>
        <v>0</v>
      </c>
      <c r="U97" s="1045"/>
      <c r="V97" s="1045">
        <f t="shared" si="23"/>
        <v>0</v>
      </c>
      <c r="W97" s="1132">
        <f t="shared" si="25"/>
        <v>0</v>
      </c>
      <c r="X97" s="1045">
        <f t="shared" si="33"/>
        <v>0</v>
      </c>
      <c r="Y97" s="1132">
        <f t="shared" si="26"/>
        <v>537</v>
      </c>
      <c r="Z97" s="1045">
        <f t="shared" si="34"/>
        <v>112088.01</v>
      </c>
      <c r="AA97" s="891"/>
      <c r="AB97" s="891"/>
    </row>
    <row r="98" spans="1:29" s="486" customFormat="1">
      <c r="A98" s="1010"/>
      <c r="B98" s="1125" t="s">
        <v>47</v>
      </c>
      <c r="C98" s="1040">
        <f>ROUND(Data!K1877,2)</f>
        <v>203.95</v>
      </c>
      <c r="D98" s="1127" t="s">
        <v>794</v>
      </c>
      <c r="E98" s="1128"/>
      <c r="F98" s="1127">
        <f t="shared" si="24"/>
        <v>0</v>
      </c>
      <c r="G98" s="1127"/>
      <c r="H98" s="1127">
        <f t="shared" si="27"/>
        <v>0</v>
      </c>
      <c r="I98" s="1127"/>
      <c r="J98" s="1127">
        <f t="shared" si="28"/>
        <v>0</v>
      </c>
      <c r="K98" s="1127"/>
      <c r="L98" s="1127">
        <f t="shared" si="29"/>
        <v>0</v>
      </c>
      <c r="M98" s="1127"/>
      <c r="N98" s="1127">
        <f t="shared" si="30"/>
        <v>0</v>
      </c>
      <c r="O98" s="1127"/>
      <c r="P98" s="1127">
        <f t="shared" si="31"/>
        <v>0</v>
      </c>
      <c r="Q98" s="1127"/>
      <c r="R98" s="1127">
        <f t="shared" si="32"/>
        <v>0</v>
      </c>
      <c r="S98" s="1028"/>
      <c r="T98" s="1131">
        <f t="shared" si="22"/>
        <v>0</v>
      </c>
      <c r="U98" s="1045"/>
      <c r="V98" s="1045">
        <f t="shared" si="23"/>
        <v>0</v>
      </c>
      <c r="W98" s="1132">
        <f t="shared" si="25"/>
        <v>0</v>
      </c>
      <c r="X98" s="1045">
        <f t="shared" si="33"/>
        <v>0</v>
      </c>
      <c r="Y98" s="1132">
        <f t="shared" si="26"/>
        <v>0</v>
      </c>
      <c r="Z98" s="1045">
        <f t="shared" si="34"/>
        <v>0</v>
      </c>
      <c r="AA98" s="892"/>
      <c r="AB98" s="891"/>
    </row>
    <row r="99" spans="1:29" ht="45">
      <c r="A99" s="1124">
        <v>52.1</v>
      </c>
      <c r="B99" s="1125" t="s">
        <v>1464</v>
      </c>
      <c r="C99" s="1052">
        <f>ROUND(Data!K1930,2)</f>
        <v>286.08</v>
      </c>
      <c r="D99" s="1127" t="s">
        <v>794</v>
      </c>
      <c r="E99" s="1128"/>
      <c r="F99" s="1127">
        <f t="shared" si="24"/>
        <v>0</v>
      </c>
      <c r="G99" s="1127"/>
      <c r="H99" s="1127">
        <f t="shared" si="27"/>
        <v>0</v>
      </c>
      <c r="I99" s="1127"/>
      <c r="J99" s="1127">
        <f t="shared" si="28"/>
        <v>0</v>
      </c>
      <c r="K99" s="1127"/>
      <c r="L99" s="1127">
        <f t="shared" si="29"/>
        <v>0</v>
      </c>
      <c r="M99" s="1127"/>
      <c r="N99" s="1127">
        <f t="shared" si="30"/>
        <v>0</v>
      </c>
      <c r="O99" s="1127"/>
      <c r="P99" s="1127">
        <f t="shared" si="31"/>
        <v>0</v>
      </c>
      <c r="Q99" s="1127"/>
      <c r="R99" s="1127">
        <f t="shared" si="32"/>
        <v>0</v>
      </c>
      <c r="S99" s="1045"/>
      <c r="T99" s="1131">
        <f t="shared" si="22"/>
        <v>0</v>
      </c>
      <c r="U99" s="1045"/>
      <c r="V99" s="1045">
        <f t="shared" si="23"/>
        <v>0</v>
      </c>
      <c r="W99" s="1132">
        <f t="shared" si="25"/>
        <v>0</v>
      </c>
      <c r="X99" s="1045">
        <f t="shared" si="33"/>
        <v>0</v>
      </c>
      <c r="Y99" s="1132">
        <f t="shared" si="26"/>
        <v>0</v>
      </c>
      <c r="Z99" s="1045">
        <f t="shared" si="34"/>
        <v>0</v>
      </c>
      <c r="AA99" s="890"/>
      <c r="AB99" s="890"/>
    </row>
    <row r="100" spans="1:29" s="486" customFormat="1">
      <c r="A100" s="1149">
        <v>53.1</v>
      </c>
      <c r="B100" s="1150" t="s">
        <v>48</v>
      </c>
      <c r="C100" s="1156">
        <f>ROUND(Data!K1951,2)</f>
        <v>3074.82</v>
      </c>
      <c r="D100" s="1152" t="s">
        <v>1341</v>
      </c>
      <c r="E100" s="1153"/>
      <c r="F100" s="1127">
        <f t="shared" si="24"/>
        <v>0</v>
      </c>
      <c r="G100" s="1152"/>
      <c r="H100" s="1127">
        <f t="shared" si="27"/>
        <v>0</v>
      </c>
      <c r="I100" s="1152"/>
      <c r="J100" s="1127">
        <f t="shared" si="28"/>
        <v>0</v>
      </c>
      <c r="K100" s="1152"/>
      <c r="L100" s="1127">
        <f t="shared" si="29"/>
        <v>0</v>
      </c>
      <c r="M100" s="1152"/>
      <c r="N100" s="1127">
        <f t="shared" si="30"/>
        <v>0</v>
      </c>
      <c r="O100" s="1152"/>
      <c r="P100" s="1127">
        <f t="shared" si="31"/>
        <v>0</v>
      </c>
      <c r="Q100" s="1152"/>
      <c r="R100" s="1127">
        <f t="shared" si="32"/>
        <v>0</v>
      </c>
      <c r="S100" s="1028"/>
      <c r="T100" s="1131">
        <f t="shared" si="22"/>
        <v>0</v>
      </c>
      <c r="U100" s="1045"/>
      <c r="V100" s="1045">
        <f t="shared" si="23"/>
        <v>0</v>
      </c>
      <c r="W100" s="1132">
        <f t="shared" si="25"/>
        <v>0</v>
      </c>
      <c r="X100" s="1045">
        <f t="shared" si="33"/>
        <v>0</v>
      </c>
      <c r="Y100" s="1132">
        <f t="shared" si="26"/>
        <v>0</v>
      </c>
      <c r="Z100" s="1045">
        <f t="shared" si="34"/>
        <v>0</v>
      </c>
      <c r="AA100" s="892"/>
      <c r="AB100" s="891"/>
    </row>
    <row r="101" spans="1:29" s="486" customFormat="1" ht="53.25" customHeight="1">
      <c r="A101" s="1124">
        <v>53.2</v>
      </c>
      <c r="B101" s="1125" t="s">
        <v>1144</v>
      </c>
      <c r="C101" s="1024"/>
      <c r="D101" s="1138" t="s">
        <v>1341</v>
      </c>
      <c r="E101" s="1139"/>
      <c r="F101" s="1127">
        <f t="shared" si="24"/>
        <v>0</v>
      </c>
      <c r="G101" s="1138"/>
      <c r="H101" s="1127">
        <f t="shared" si="27"/>
        <v>0</v>
      </c>
      <c r="I101" s="1138"/>
      <c r="J101" s="1127">
        <f t="shared" si="28"/>
        <v>0</v>
      </c>
      <c r="K101" s="1138"/>
      <c r="L101" s="1127">
        <f t="shared" si="29"/>
        <v>0</v>
      </c>
      <c r="M101" s="1138"/>
      <c r="N101" s="1127">
        <f t="shared" si="30"/>
        <v>0</v>
      </c>
      <c r="O101" s="1138"/>
      <c r="P101" s="1127">
        <f t="shared" si="31"/>
        <v>0</v>
      </c>
      <c r="Q101" s="1138"/>
      <c r="R101" s="1127">
        <f t="shared" si="32"/>
        <v>0</v>
      </c>
      <c r="S101" s="1028"/>
      <c r="T101" s="1131">
        <f t="shared" si="22"/>
        <v>0</v>
      </c>
      <c r="U101" s="1045"/>
      <c r="V101" s="1045">
        <f t="shared" si="23"/>
        <v>0</v>
      </c>
      <c r="W101" s="1132">
        <f t="shared" si="25"/>
        <v>0</v>
      </c>
      <c r="X101" s="1045">
        <f t="shared" si="33"/>
        <v>0</v>
      </c>
      <c r="Y101" s="1132">
        <f t="shared" si="26"/>
        <v>0</v>
      </c>
      <c r="Z101" s="1045">
        <f t="shared" si="34"/>
        <v>0</v>
      </c>
      <c r="AA101" s="892"/>
      <c r="AB101" s="891"/>
    </row>
    <row r="102" spans="1:29">
      <c r="A102" s="1124">
        <v>53.3</v>
      </c>
      <c r="B102" s="1125" t="s">
        <v>49</v>
      </c>
      <c r="C102" s="1052">
        <f>ROUND(Data!K1955,2)</f>
        <v>30</v>
      </c>
      <c r="D102" s="1127" t="s">
        <v>1341</v>
      </c>
      <c r="E102" s="1128"/>
      <c r="F102" s="1127">
        <f t="shared" si="24"/>
        <v>0</v>
      </c>
      <c r="G102" s="1127"/>
      <c r="H102" s="1127">
        <f t="shared" si="27"/>
        <v>0</v>
      </c>
      <c r="I102" s="1127">
        <f>Sump!H46</f>
        <v>5</v>
      </c>
      <c r="J102" s="1127">
        <f t="shared" si="28"/>
        <v>150</v>
      </c>
      <c r="K102" s="1127"/>
      <c r="L102" s="1127">
        <f t="shared" si="29"/>
        <v>0</v>
      </c>
      <c r="M102" s="1127"/>
      <c r="N102" s="1127">
        <f t="shared" si="30"/>
        <v>0</v>
      </c>
      <c r="O102" s="1127"/>
      <c r="P102" s="1127">
        <f t="shared" si="31"/>
        <v>0</v>
      </c>
      <c r="Q102" s="1127"/>
      <c r="R102" s="1127">
        <f t="shared" si="32"/>
        <v>0</v>
      </c>
      <c r="S102" s="1045"/>
      <c r="T102" s="1131">
        <f t="shared" si="22"/>
        <v>0</v>
      </c>
      <c r="U102" s="1045"/>
      <c r="V102" s="1045">
        <f t="shared" si="23"/>
        <v>0</v>
      </c>
      <c r="W102" s="1132">
        <f t="shared" si="25"/>
        <v>5</v>
      </c>
      <c r="X102" s="1045">
        <f t="shared" si="33"/>
        <v>150</v>
      </c>
      <c r="Y102" s="1132">
        <f t="shared" si="26"/>
        <v>5</v>
      </c>
      <c r="Z102" s="1045">
        <f t="shared" si="34"/>
        <v>150</v>
      </c>
      <c r="AA102" s="890"/>
      <c r="AB102" s="890"/>
    </row>
    <row r="103" spans="1:29" s="1032" customFormat="1" ht="45">
      <c r="A103" s="1440">
        <v>59.5</v>
      </c>
      <c r="B103" s="1180" t="s">
        <v>1257</v>
      </c>
      <c r="C103" s="1033">
        <f>Data!K2114</f>
        <v>1745.11</v>
      </c>
      <c r="D103" s="1181" t="s">
        <v>1341</v>
      </c>
      <c r="E103" s="1182">
        <f>detailed!H1656</f>
        <v>8</v>
      </c>
      <c r="F103" s="1181">
        <f t="shared" si="24"/>
        <v>13960.88</v>
      </c>
      <c r="G103" s="1181"/>
      <c r="H103" s="1181">
        <f>G103*C103</f>
        <v>0</v>
      </c>
      <c r="I103" s="1181"/>
      <c r="J103" s="1181">
        <f>I103*C103</f>
        <v>0</v>
      </c>
      <c r="K103" s="1181"/>
      <c r="L103" s="1181">
        <f>K103*C103</f>
        <v>0</v>
      </c>
      <c r="M103" s="1181"/>
      <c r="N103" s="1181">
        <f>M103*C103</f>
        <v>0</v>
      </c>
      <c r="O103" s="1181"/>
      <c r="P103" s="1181">
        <f>O103*C103</f>
        <v>0</v>
      </c>
      <c r="Q103" s="1181"/>
      <c r="R103" s="1181">
        <f>Q103*C103</f>
        <v>0</v>
      </c>
      <c r="S103" s="1046"/>
      <c r="T103" s="1183">
        <f>S103*C103</f>
        <v>0</v>
      </c>
      <c r="U103" s="1046"/>
      <c r="V103" s="1046">
        <f t="shared" si="23"/>
        <v>0</v>
      </c>
      <c r="W103" s="1035">
        <f t="shared" si="25"/>
        <v>0</v>
      </c>
      <c r="X103" s="1046">
        <f>W103*C103</f>
        <v>0</v>
      </c>
      <c r="Y103" s="1035">
        <f t="shared" si="26"/>
        <v>8</v>
      </c>
      <c r="Z103" s="1046">
        <f>Y103*C103</f>
        <v>13960.88</v>
      </c>
      <c r="AA103" s="1120"/>
      <c r="AB103" s="1120"/>
    </row>
    <row r="104" spans="1:29">
      <c r="A104" s="1124">
        <v>60</v>
      </c>
      <c r="B104" s="1125" t="s">
        <v>1470</v>
      </c>
      <c r="C104" s="1052">
        <f>ROUND(Data!K2122,2)</f>
        <v>152.6</v>
      </c>
      <c r="D104" s="1127" t="s">
        <v>1341</v>
      </c>
      <c r="E104" s="1128">
        <f>detailed!H1661</f>
        <v>8</v>
      </c>
      <c r="F104" s="1127">
        <f t="shared" si="24"/>
        <v>1220.8</v>
      </c>
      <c r="G104" s="1127"/>
      <c r="H104" s="1127">
        <f>G104*C104</f>
        <v>0</v>
      </c>
      <c r="I104" s="1127"/>
      <c r="J104" s="1127">
        <f>I104*C104</f>
        <v>0</v>
      </c>
      <c r="K104" s="1127"/>
      <c r="L104" s="1127">
        <f>K104*C104</f>
        <v>0</v>
      </c>
      <c r="M104" s="1127"/>
      <c r="N104" s="1127">
        <f>M104*C104</f>
        <v>0</v>
      </c>
      <c r="O104" s="1127"/>
      <c r="P104" s="1127">
        <f>O104*C104</f>
        <v>0</v>
      </c>
      <c r="Q104" s="1127"/>
      <c r="R104" s="1127">
        <f>Q104*C104</f>
        <v>0</v>
      </c>
      <c r="S104" s="1045"/>
      <c r="T104" s="1131">
        <f>S104*C104</f>
        <v>0</v>
      </c>
      <c r="U104" s="1045"/>
      <c r="V104" s="1045">
        <f t="shared" si="23"/>
        <v>0</v>
      </c>
      <c r="W104" s="1132">
        <f t="shared" si="25"/>
        <v>0</v>
      </c>
      <c r="X104" s="1045">
        <f>W104*C104</f>
        <v>0</v>
      </c>
      <c r="Y104" s="1132">
        <f t="shared" si="26"/>
        <v>8</v>
      </c>
      <c r="Z104" s="1045">
        <f>Y104*C104</f>
        <v>1220.8</v>
      </c>
      <c r="AA104" s="890"/>
      <c r="AB104" s="890"/>
    </row>
    <row r="105" spans="1:29">
      <c r="A105" s="1124"/>
      <c r="B105" s="1159" t="s">
        <v>2059</v>
      </c>
      <c r="C105" s="1052"/>
      <c r="D105" s="1127"/>
      <c r="E105" s="1128"/>
      <c r="F105" s="1127">
        <f t="shared" ref="F105:F168" si="35">E105*C105</f>
        <v>0</v>
      </c>
      <c r="G105" s="1127"/>
      <c r="H105" s="1127">
        <f t="shared" ref="H105:H107" si="36">G105*C105</f>
        <v>0</v>
      </c>
      <c r="I105" s="1127"/>
      <c r="J105" s="1127">
        <f t="shared" ref="J105:J107" si="37">I105*C105</f>
        <v>0</v>
      </c>
      <c r="K105" s="1127"/>
      <c r="L105" s="1127">
        <f t="shared" ref="L105:L107" si="38">K105*C105</f>
        <v>0</v>
      </c>
      <c r="M105" s="1127"/>
      <c r="N105" s="1127">
        <f t="shared" ref="N105:N107" si="39">M105*C105</f>
        <v>0</v>
      </c>
      <c r="O105" s="1127"/>
      <c r="P105" s="1127">
        <f t="shared" ref="P105:P107" si="40">O105*C105</f>
        <v>0</v>
      </c>
      <c r="Q105" s="1127"/>
      <c r="R105" s="1127">
        <f t="shared" ref="R105:R107" si="41">Q105*C105</f>
        <v>0</v>
      </c>
      <c r="S105" s="1045"/>
      <c r="T105" s="1131">
        <f t="shared" ref="T105:T132" si="42">S105*C105</f>
        <v>0</v>
      </c>
      <c r="U105" s="1045"/>
      <c r="V105" s="1045">
        <f t="shared" si="23"/>
        <v>0</v>
      </c>
      <c r="W105" s="1132">
        <f t="shared" ref="W105:W168" si="43">U105+S105+Q105+O105+M105+K105+I105+G105</f>
        <v>0</v>
      </c>
      <c r="X105" s="1045">
        <f t="shared" ref="X105:X107" si="44">W105*C105</f>
        <v>0</v>
      </c>
      <c r="Y105" s="1132">
        <f t="shared" ref="Y105:Y168" si="45">W105+E105</f>
        <v>0</v>
      </c>
      <c r="Z105" s="1045">
        <f t="shared" ref="Z105:Z107" si="46">Y105*C105</f>
        <v>0</v>
      </c>
      <c r="AA105" s="785"/>
      <c r="AB105" s="890"/>
      <c r="AC105" s="862"/>
    </row>
    <row r="106" spans="1:29" s="718" customFormat="1">
      <c r="A106" s="1160">
        <v>69</v>
      </c>
      <c r="B106" s="1162" t="s">
        <v>1729</v>
      </c>
      <c r="C106" s="995">
        <f>Data!K2271</f>
        <v>138.69999999999999</v>
      </c>
      <c r="D106" s="1147" t="s">
        <v>1341</v>
      </c>
      <c r="E106" s="1148">
        <f>detailed!H1849</f>
        <v>44</v>
      </c>
      <c r="F106" s="1127">
        <f t="shared" si="35"/>
        <v>6102.8</v>
      </c>
      <c r="G106" s="1147"/>
      <c r="H106" s="1127">
        <f t="shared" si="36"/>
        <v>0</v>
      </c>
      <c r="I106" s="1147"/>
      <c r="J106" s="1127">
        <f t="shared" si="37"/>
        <v>0</v>
      </c>
      <c r="K106" s="1147"/>
      <c r="L106" s="1127">
        <f t="shared" si="38"/>
        <v>0</v>
      </c>
      <c r="M106" s="1147"/>
      <c r="N106" s="1127">
        <f t="shared" si="39"/>
        <v>0</v>
      </c>
      <c r="O106" s="1147"/>
      <c r="P106" s="1127">
        <f t="shared" si="40"/>
        <v>0</v>
      </c>
      <c r="Q106" s="1147"/>
      <c r="R106" s="1127">
        <f t="shared" si="41"/>
        <v>0</v>
      </c>
      <c r="S106" s="1028"/>
      <c r="T106" s="1131">
        <f t="shared" si="42"/>
        <v>0</v>
      </c>
      <c r="U106" s="1045"/>
      <c r="V106" s="1045">
        <f t="shared" si="23"/>
        <v>0</v>
      </c>
      <c r="W106" s="1132">
        <f t="shared" si="43"/>
        <v>0</v>
      </c>
      <c r="X106" s="1045">
        <f t="shared" si="44"/>
        <v>0</v>
      </c>
      <c r="Y106" s="1132">
        <f t="shared" si="45"/>
        <v>44</v>
      </c>
      <c r="Z106" s="1045">
        <f t="shared" si="46"/>
        <v>6102.8</v>
      </c>
      <c r="AA106" s="891"/>
      <c r="AB106" s="891"/>
    </row>
    <row r="107" spans="1:29">
      <c r="A107" s="1124">
        <v>72</v>
      </c>
      <c r="B107" s="1125" t="s">
        <v>869</v>
      </c>
      <c r="C107" s="1052">
        <f>Data!K2277</f>
        <v>33.9</v>
      </c>
      <c r="D107" s="1127" t="s">
        <v>1341</v>
      </c>
      <c r="E107" s="1128">
        <f>detailed!H1957</f>
        <v>88</v>
      </c>
      <c r="F107" s="1127">
        <f t="shared" si="35"/>
        <v>2983.2</v>
      </c>
      <c r="G107" s="1127"/>
      <c r="H107" s="1127">
        <f t="shared" si="36"/>
        <v>0</v>
      </c>
      <c r="I107" s="1127"/>
      <c r="J107" s="1127">
        <f t="shared" si="37"/>
        <v>0</v>
      </c>
      <c r="K107" s="1127"/>
      <c r="L107" s="1127">
        <f t="shared" si="38"/>
        <v>0</v>
      </c>
      <c r="M107" s="1127"/>
      <c r="N107" s="1127">
        <f t="shared" si="39"/>
        <v>0</v>
      </c>
      <c r="O107" s="1127"/>
      <c r="P107" s="1127">
        <f t="shared" si="40"/>
        <v>0</v>
      </c>
      <c r="Q107" s="1127"/>
      <c r="R107" s="1127">
        <f t="shared" si="41"/>
        <v>0</v>
      </c>
      <c r="S107" s="1045"/>
      <c r="T107" s="1131">
        <f t="shared" si="42"/>
        <v>0</v>
      </c>
      <c r="U107" s="1045"/>
      <c r="V107" s="1045">
        <f t="shared" si="23"/>
        <v>0</v>
      </c>
      <c r="W107" s="1132">
        <f t="shared" si="43"/>
        <v>0</v>
      </c>
      <c r="X107" s="1045">
        <f t="shared" si="44"/>
        <v>0</v>
      </c>
      <c r="Y107" s="1132">
        <f t="shared" si="45"/>
        <v>88</v>
      </c>
      <c r="Z107" s="1045">
        <f t="shared" si="46"/>
        <v>2983.2</v>
      </c>
      <c r="AA107" s="890"/>
      <c r="AB107" s="890"/>
    </row>
    <row r="108" spans="1:29">
      <c r="A108" s="788">
        <v>73.099999999999994</v>
      </c>
      <c r="B108" s="788" t="s">
        <v>870</v>
      </c>
      <c r="C108" s="863">
        <f>Data!K2278</f>
        <v>4116.8500000000004</v>
      </c>
      <c r="D108" s="864" t="s">
        <v>1341</v>
      </c>
      <c r="E108" s="864"/>
      <c r="F108" s="1127">
        <f t="shared" si="35"/>
        <v>0</v>
      </c>
      <c r="G108" s="864"/>
      <c r="H108" s="864"/>
      <c r="I108" s="864"/>
      <c r="J108" s="864"/>
      <c r="K108" s="864"/>
      <c r="L108" s="864"/>
      <c r="M108" s="864"/>
      <c r="N108" s="864"/>
      <c r="O108" s="864"/>
      <c r="P108" s="864"/>
      <c r="Q108" s="864"/>
      <c r="R108" s="864"/>
      <c r="S108" s="783"/>
      <c r="T108" s="865">
        <f t="shared" si="42"/>
        <v>0</v>
      </c>
      <c r="U108" s="783"/>
      <c r="V108" s="783">
        <f t="shared" si="23"/>
        <v>0</v>
      </c>
      <c r="W108" s="1132">
        <f t="shared" si="43"/>
        <v>0</v>
      </c>
      <c r="X108" s="783">
        <f>W108*C108</f>
        <v>0</v>
      </c>
      <c r="Y108" s="1132">
        <f t="shared" si="45"/>
        <v>0</v>
      </c>
      <c r="Z108" s="783">
        <f>Y108*C108</f>
        <v>0</v>
      </c>
      <c r="AA108" s="890"/>
      <c r="AB108" s="890"/>
    </row>
    <row r="109" spans="1:29" s="486" customFormat="1">
      <c r="A109" s="1124">
        <v>73.2</v>
      </c>
      <c r="B109" s="1125" t="s">
        <v>871</v>
      </c>
      <c r="C109" s="1040">
        <f>Data!K2279</f>
        <v>3342.85</v>
      </c>
      <c r="D109" s="1127" t="s">
        <v>1341</v>
      </c>
      <c r="E109" s="1128"/>
      <c r="F109" s="1127">
        <f t="shared" si="35"/>
        <v>0</v>
      </c>
      <c r="G109" s="1127"/>
      <c r="H109" s="1127">
        <f t="shared" ref="H109:H111" si="47">G109*C109</f>
        <v>0</v>
      </c>
      <c r="I109" s="1127"/>
      <c r="J109" s="1127">
        <f t="shared" ref="J109:J111" si="48">I109*C109</f>
        <v>0</v>
      </c>
      <c r="K109" s="1127"/>
      <c r="L109" s="1127">
        <f t="shared" ref="L109:L111" si="49">K109*C109</f>
        <v>0</v>
      </c>
      <c r="M109" s="1127"/>
      <c r="N109" s="1127">
        <f t="shared" ref="N109:N111" si="50">M109*C109</f>
        <v>0</v>
      </c>
      <c r="O109" s="1127"/>
      <c r="P109" s="1127">
        <f t="shared" ref="P109:P111" si="51">O109*C109</f>
        <v>0</v>
      </c>
      <c r="Q109" s="1127"/>
      <c r="R109" s="1127">
        <f t="shared" ref="R109:R111" si="52">Q109*C109</f>
        <v>0</v>
      </c>
      <c r="S109" s="1045"/>
      <c r="T109" s="1131">
        <f t="shared" si="42"/>
        <v>0</v>
      </c>
      <c r="U109" s="1045"/>
      <c r="V109" s="1045">
        <f t="shared" si="23"/>
        <v>0</v>
      </c>
      <c r="W109" s="1132">
        <f t="shared" si="43"/>
        <v>0</v>
      </c>
      <c r="X109" s="1045">
        <f t="shared" ref="X109:X111" si="53">W109*C109</f>
        <v>0</v>
      </c>
      <c r="Y109" s="1132">
        <f t="shared" si="45"/>
        <v>0</v>
      </c>
      <c r="Z109" s="1045">
        <f t="shared" ref="Z109:Z111" si="54">Y109*C109</f>
        <v>0</v>
      </c>
      <c r="AA109" s="892"/>
      <c r="AB109" s="890"/>
    </row>
    <row r="110" spans="1:29">
      <c r="A110" s="1124">
        <v>74</v>
      </c>
      <c r="B110" s="1125" t="s">
        <v>872</v>
      </c>
      <c r="C110" s="1052">
        <f>Data!K2280</f>
        <v>521.46</v>
      </c>
      <c r="D110" s="1127" t="s">
        <v>1341</v>
      </c>
      <c r="E110" s="1128">
        <f>detailed!H1960</f>
        <v>88</v>
      </c>
      <c r="F110" s="1127">
        <f t="shared" si="35"/>
        <v>45888.480000000003</v>
      </c>
      <c r="G110" s="1127"/>
      <c r="H110" s="1127">
        <f t="shared" si="47"/>
        <v>0</v>
      </c>
      <c r="I110" s="1127"/>
      <c r="J110" s="1127">
        <f t="shared" si="48"/>
        <v>0</v>
      </c>
      <c r="K110" s="1127"/>
      <c r="L110" s="1127">
        <f t="shared" si="49"/>
        <v>0</v>
      </c>
      <c r="M110" s="1127"/>
      <c r="N110" s="1127">
        <f t="shared" si="50"/>
        <v>0</v>
      </c>
      <c r="O110" s="1127"/>
      <c r="P110" s="1127">
        <f t="shared" si="51"/>
        <v>0</v>
      </c>
      <c r="Q110" s="1127"/>
      <c r="R110" s="1127">
        <f t="shared" si="52"/>
        <v>0</v>
      </c>
      <c r="S110" s="1045"/>
      <c r="T110" s="1131">
        <f t="shared" si="42"/>
        <v>0</v>
      </c>
      <c r="U110" s="1045"/>
      <c r="V110" s="1045">
        <f t="shared" si="23"/>
        <v>0</v>
      </c>
      <c r="W110" s="1132">
        <f t="shared" si="43"/>
        <v>0</v>
      </c>
      <c r="X110" s="1045">
        <f t="shared" si="53"/>
        <v>0</v>
      </c>
      <c r="Y110" s="1132">
        <f t="shared" si="45"/>
        <v>88</v>
      </c>
      <c r="Z110" s="1045">
        <f t="shared" si="54"/>
        <v>45888.480000000003</v>
      </c>
      <c r="AA110" s="890"/>
      <c r="AB110" s="890"/>
    </row>
    <row r="111" spans="1:29">
      <c r="A111" s="1124">
        <v>76</v>
      </c>
      <c r="B111" s="1125" t="s">
        <v>873</v>
      </c>
      <c r="C111" s="1052">
        <f>Elec.Data!K3294</f>
        <v>23.79</v>
      </c>
      <c r="D111" s="1127" t="s">
        <v>794</v>
      </c>
      <c r="E111" s="1128">
        <f>detailed!H1667</f>
        <v>10</v>
      </c>
      <c r="F111" s="1127">
        <f t="shared" si="35"/>
        <v>237.9</v>
      </c>
      <c r="G111" s="1127"/>
      <c r="H111" s="1127">
        <f t="shared" si="47"/>
        <v>0</v>
      </c>
      <c r="I111" s="1127"/>
      <c r="J111" s="1127">
        <f t="shared" si="48"/>
        <v>0</v>
      </c>
      <c r="K111" s="1127"/>
      <c r="L111" s="1127">
        <f t="shared" si="49"/>
        <v>0</v>
      </c>
      <c r="M111" s="1127"/>
      <c r="N111" s="1127">
        <f t="shared" si="50"/>
        <v>0</v>
      </c>
      <c r="O111" s="1127"/>
      <c r="P111" s="1127">
        <f t="shared" si="51"/>
        <v>0</v>
      </c>
      <c r="Q111" s="1127"/>
      <c r="R111" s="1127">
        <f t="shared" si="52"/>
        <v>0</v>
      </c>
      <c r="S111" s="1045"/>
      <c r="T111" s="1131">
        <f t="shared" si="42"/>
        <v>0</v>
      </c>
      <c r="U111" s="1045"/>
      <c r="V111" s="1045">
        <f t="shared" si="23"/>
        <v>0</v>
      </c>
      <c r="W111" s="1132">
        <f t="shared" si="43"/>
        <v>0</v>
      </c>
      <c r="X111" s="1045">
        <f t="shared" si="53"/>
        <v>0</v>
      </c>
      <c r="Y111" s="1132">
        <f t="shared" si="45"/>
        <v>10</v>
      </c>
      <c r="Z111" s="1045">
        <f t="shared" si="54"/>
        <v>237.9</v>
      </c>
      <c r="AA111" s="890"/>
      <c r="AB111" s="890"/>
    </row>
    <row r="112" spans="1:29">
      <c r="A112" s="1124">
        <v>77.3</v>
      </c>
      <c r="B112" s="1125" t="s">
        <v>1292</v>
      </c>
      <c r="C112" s="1052">
        <f>Data!K2288</f>
        <v>76.67</v>
      </c>
      <c r="D112" s="1127" t="s">
        <v>1341</v>
      </c>
      <c r="E112" s="1128">
        <f>detailed!H1963</f>
        <v>8</v>
      </c>
      <c r="F112" s="1127">
        <f t="shared" si="35"/>
        <v>613.36</v>
      </c>
      <c r="G112" s="1127"/>
      <c r="H112" s="1127">
        <f t="shared" ref="H112:H139" si="55">G112*C112</f>
        <v>0</v>
      </c>
      <c r="I112" s="1127"/>
      <c r="J112" s="1127">
        <f t="shared" ref="J112:J139" si="56">I112*C112</f>
        <v>0</v>
      </c>
      <c r="K112" s="1127"/>
      <c r="L112" s="1127">
        <f t="shared" ref="L112:L139" si="57">K112*C112</f>
        <v>0</v>
      </c>
      <c r="M112" s="1127"/>
      <c r="N112" s="1127">
        <f t="shared" ref="N112:N139" si="58">M112*C112</f>
        <v>0</v>
      </c>
      <c r="O112" s="1127"/>
      <c r="P112" s="1127">
        <f t="shared" ref="P112:P139" si="59">O112*C112</f>
        <v>0</v>
      </c>
      <c r="Q112" s="1127"/>
      <c r="R112" s="1127">
        <f t="shared" ref="R112:R139" si="60">Q112*C112</f>
        <v>0</v>
      </c>
      <c r="S112" s="1045"/>
      <c r="T112" s="1131">
        <f t="shared" si="42"/>
        <v>0</v>
      </c>
      <c r="U112" s="1045"/>
      <c r="V112" s="1045">
        <f t="shared" si="23"/>
        <v>0</v>
      </c>
      <c r="W112" s="1132">
        <f t="shared" si="43"/>
        <v>0</v>
      </c>
      <c r="X112" s="1045">
        <f t="shared" ref="X112:X139" si="61">W112*C112</f>
        <v>0</v>
      </c>
      <c r="Y112" s="1132">
        <f t="shared" si="45"/>
        <v>8</v>
      </c>
      <c r="Z112" s="1045">
        <f t="shared" ref="Z112:Z139" si="62">Y112*C112</f>
        <v>613.36</v>
      </c>
      <c r="AA112" s="890"/>
      <c r="AB112" s="890"/>
    </row>
    <row r="113" spans="1:32" ht="49.9" customHeight="1">
      <c r="A113" s="1124">
        <v>77.400000000000006</v>
      </c>
      <c r="B113" s="1125" t="s">
        <v>1019</v>
      </c>
      <c r="C113" s="1052">
        <f>Data!K2307</f>
        <v>76.180000000000007</v>
      </c>
      <c r="D113" s="1127" t="s">
        <v>794</v>
      </c>
      <c r="E113" s="1128">
        <f>detailed!H1965</f>
        <v>100</v>
      </c>
      <c r="F113" s="1127">
        <f t="shared" si="35"/>
        <v>7618</v>
      </c>
      <c r="G113" s="1127"/>
      <c r="H113" s="1127">
        <f t="shared" si="55"/>
        <v>0</v>
      </c>
      <c r="I113" s="1127"/>
      <c r="J113" s="1127">
        <f t="shared" si="56"/>
        <v>0</v>
      </c>
      <c r="K113" s="1127"/>
      <c r="L113" s="1127">
        <f t="shared" si="57"/>
        <v>0</v>
      </c>
      <c r="M113" s="1127"/>
      <c r="N113" s="1127">
        <f t="shared" si="58"/>
        <v>0</v>
      </c>
      <c r="O113" s="1127"/>
      <c r="P113" s="1127">
        <f t="shared" si="59"/>
        <v>0</v>
      </c>
      <c r="Q113" s="1127"/>
      <c r="R113" s="1127">
        <f t="shared" si="60"/>
        <v>0</v>
      </c>
      <c r="S113" s="1045"/>
      <c r="T113" s="1131">
        <f t="shared" si="42"/>
        <v>0</v>
      </c>
      <c r="U113" s="1045"/>
      <c r="V113" s="1045">
        <f t="shared" si="23"/>
        <v>0</v>
      </c>
      <c r="W113" s="1132">
        <f t="shared" si="43"/>
        <v>0</v>
      </c>
      <c r="X113" s="1045">
        <f t="shared" si="61"/>
        <v>0</v>
      </c>
      <c r="Y113" s="1132">
        <f t="shared" si="45"/>
        <v>100</v>
      </c>
      <c r="Z113" s="1045">
        <f t="shared" si="62"/>
        <v>7618</v>
      </c>
      <c r="AA113" s="890"/>
      <c r="AB113" s="890"/>
    </row>
    <row r="114" spans="1:32">
      <c r="A114" s="1124">
        <v>78</v>
      </c>
      <c r="B114" s="1125" t="s">
        <v>2085</v>
      </c>
      <c r="C114" s="1052">
        <f>Data!K2289</f>
        <v>2723</v>
      </c>
      <c r="D114" s="1127" t="s">
        <v>1341</v>
      </c>
      <c r="E114" s="1128">
        <f>detailed!H1967</f>
        <v>1</v>
      </c>
      <c r="F114" s="1127">
        <f t="shared" si="35"/>
        <v>2723</v>
      </c>
      <c r="G114" s="1127"/>
      <c r="H114" s="1127">
        <f t="shared" si="55"/>
        <v>0</v>
      </c>
      <c r="I114" s="1127"/>
      <c r="J114" s="1127">
        <f t="shared" si="56"/>
        <v>0</v>
      </c>
      <c r="K114" s="1127"/>
      <c r="L114" s="1127">
        <f t="shared" si="57"/>
        <v>0</v>
      </c>
      <c r="M114" s="1127"/>
      <c r="N114" s="1127">
        <f t="shared" si="58"/>
        <v>0</v>
      </c>
      <c r="O114" s="1127"/>
      <c r="P114" s="1127">
        <f t="shared" si="59"/>
        <v>0</v>
      </c>
      <c r="Q114" s="1127"/>
      <c r="R114" s="1127">
        <f t="shared" si="60"/>
        <v>0</v>
      </c>
      <c r="S114" s="1045"/>
      <c r="T114" s="1131">
        <f t="shared" si="42"/>
        <v>0</v>
      </c>
      <c r="U114" s="1045"/>
      <c r="V114" s="1045">
        <f t="shared" si="23"/>
        <v>0</v>
      </c>
      <c r="W114" s="1132">
        <f t="shared" si="43"/>
        <v>0</v>
      </c>
      <c r="X114" s="1045">
        <f t="shared" si="61"/>
        <v>0</v>
      </c>
      <c r="Y114" s="1132">
        <f t="shared" si="45"/>
        <v>1</v>
      </c>
      <c r="Z114" s="1045">
        <f t="shared" si="62"/>
        <v>2723</v>
      </c>
      <c r="AA114" s="890"/>
      <c r="AB114" s="890"/>
    </row>
    <row r="115" spans="1:32" s="718" customFormat="1">
      <c r="A115" s="1160">
        <v>81</v>
      </c>
      <c r="B115" s="1162" t="s">
        <v>273</v>
      </c>
      <c r="C115" s="995">
        <f>ROUND(Data!K2291,2)</f>
        <v>2363.98</v>
      </c>
      <c r="D115" s="1147" t="s">
        <v>2199</v>
      </c>
      <c r="E115" s="1148"/>
      <c r="F115" s="1127">
        <f t="shared" si="35"/>
        <v>0</v>
      </c>
      <c r="G115" s="1147"/>
      <c r="H115" s="1127">
        <f t="shared" si="55"/>
        <v>0</v>
      </c>
      <c r="I115" s="1147"/>
      <c r="J115" s="1127">
        <f t="shared" si="56"/>
        <v>0</v>
      </c>
      <c r="K115" s="1147"/>
      <c r="L115" s="1127">
        <f t="shared" si="57"/>
        <v>0</v>
      </c>
      <c r="M115" s="1147"/>
      <c r="N115" s="1127">
        <f t="shared" si="58"/>
        <v>0</v>
      </c>
      <c r="O115" s="1147"/>
      <c r="P115" s="1127">
        <f t="shared" si="59"/>
        <v>0</v>
      </c>
      <c r="Q115" s="1147"/>
      <c r="R115" s="1127">
        <f t="shared" si="60"/>
        <v>0</v>
      </c>
      <c r="S115" s="1028"/>
      <c r="T115" s="1131">
        <f t="shared" si="42"/>
        <v>0</v>
      </c>
      <c r="U115" s="1045"/>
      <c r="V115" s="1045">
        <f t="shared" si="23"/>
        <v>0</v>
      </c>
      <c r="W115" s="1132">
        <f t="shared" si="43"/>
        <v>0</v>
      </c>
      <c r="X115" s="1045">
        <f t="shared" si="61"/>
        <v>0</v>
      </c>
      <c r="Y115" s="1132">
        <f t="shared" si="45"/>
        <v>0</v>
      </c>
      <c r="Z115" s="1045">
        <f t="shared" si="62"/>
        <v>0</v>
      </c>
      <c r="AA115" s="891"/>
      <c r="AB115" s="891"/>
    </row>
    <row r="116" spans="1:32" s="1032" customFormat="1">
      <c r="A116" s="1179">
        <v>86</v>
      </c>
      <c r="B116" s="1180" t="s">
        <v>228</v>
      </c>
      <c r="C116" s="1033">
        <v>34</v>
      </c>
      <c r="D116" s="1181" t="s">
        <v>1776</v>
      </c>
      <c r="E116" s="1182">
        <f>detailed!G1983</f>
        <v>433.9</v>
      </c>
      <c r="F116" s="1127">
        <f t="shared" si="35"/>
        <v>14752.6</v>
      </c>
      <c r="G116" s="1181"/>
      <c r="H116" s="1127">
        <f t="shared" si="55"/>
        <v>0</v>
      </c>
      <c r="I116" s="1181"/>
      <c r="J116" s="1127">
        <f t="shared" si="56"/>
        <v>0</v>
      </c>
      <c r="K116" s="1181"/>
      <c r="L116" s="1127">
        <f t="shared" si="57"/>
        <v>0</v>
      </c>
      <c r="M116" s="1181"/>
      <c r="N116" s="1127">
        <f t="shared" si="58"/>
        <v>0</v>
      </c>
      <c r="O116" s="1181"/>
      <c r="P116" s="1127">
        <f t="shared" si="59"/>
        <v>0</v>
      </c>
      <c r="Q116" s="1181"/>
      <c r="R116" s="1127">
        <f t="shared" si="60"/>
        <v>0</v>
      </c>
      <c r="S116" s="1046"/>
      <c r="T116" s="1131">
        <f t="shared" si="42"/>
        <v>0</v>
      </c>
      <c r="U116" s="1046"/>
      <c r="V116" s="1046">
        <f t="shared" si="23"/>
        <v>0</v>
      </c>
      <c r="W116" s="1132">
        <f t="shared" si="43"/>
        <v>0</v>
      </c>
      <c r="X116" s="1045">
        <f t="shared" si="61"/>
        <v>0</v>
      </c>
      <c r="Y116" s="1132">
        <f t="shared" si="45"/>
        <v>433.9</v>
      </c>
      <c r="Z116" s="1045">
        <f t="shared" si="62"/>
        <v>14752.6</v>
      </c>
      <c r="AA116" s="1120"/>
      <c r="AB116" s="1120"/>
    </row>
    <row r="117" spans="1:32" s="486" customFormat="1">
      <c r="A117" s="791">
        <v>87</v>
      </c>
      <c r="B117" s="788" t="s">
        <v>1818</v>
      </c>
      <c r="C117" s="715">
        <f>ROUND(Data!K2293,2)</f>
        <v>2850.6</v>
      </c>
      <c r="D117" s="714" t="s">
        <v>1341</v>
      </c>
      <c r="E117" s="714"/>
      <c r="F117" s="1127">
        <f t="shared" si="35"/>
        <v>0</v>
      </c>
      <c r="G117" s="714"/>
      <c r="H117" s="1127">
        <f t="shared" si="55"/>
        <v>0</v>
      </c>
      <c r="I117" s="714"/>
      <c r="J117" s="1127">
        <f t="shared" si="56"/>
        <v>0</v>
      </c>
      <c r="K117" s="714"/>
      <c r="L117" s="1127">
        <f t="shared" si="57"/>
        <v>0</v>
      </c>
      <c r="M117" s="714"/>
      <c r="N117" s="1127">
        <f t="shared" si="58"/>
        <v>0</v>
      </c>
      <c r="O117" s="714"/>
      <c r="P117" s="1127">
        <f t="shared" si="59"/>
        <v>0</v>
      </c>
      <c r="Q117" s="714"/>
      <c r="R117" s="1127">
        <f t="shared" si="60"/>
        <v>0</v>
      </c>
      <c r="S117" s="784"/>
      <c r="T117" s="1131">
        <f t="shared" si="42"/>
        <v>0</v>
      </c>
      <c r="U117" s="783"/>
      <c r="V117" s="783">
        <f t="shared" si="23"/>
        <v>0</v>
      </c>
      <c r="W117" s="1132">
        <f t="shared" si="43"/>
        <v>0</v>
      </c>
      <c r="X117" s="1045">
        <f t="shared" si="61"/>
        <v>0</v>
      </c>
      <c r="Y117" s="1132">
        <f t="shared" si="45"/>
        <v>0</v>
      </c>
      <c r="Z117" s="1045">
        <f t="shared" si="62"/>
        <v>0</v>
      </c>
      <c r="AA117" s="892"/>
      <c r="AB117" s="891"/>
    </row>
    <row r="118" spans="1:32" s="486" customFormat="1">
      <c r="A118" s="1124">
        <v>112</v>
      </c>
      <c r="B118" s="1125" t="s">
        <v>3704</v>
      </c>
      <c r="C118" s="1024">
        <f>ROUND(Data!K2283,2)</f>
        <v>2110.5</v>
      </c>
      <c r="D118" s="1138" t="s">
        <v>1341</v>
      </c>
      <c r="E118" s="1139"/>
      <c r="F118" s="1127">
        <f t="shared" si="35"/>
        <v>0</v>
      </c>
      <c r="G118" s="1138"/>
      <c r="H118" s="1127">
        <f t="shared" si="55"/>
        <v>0</v>
      </c>
      <c r="I118" s="1138"/>
      <c r="J118" s="1127">
        <f t="shared" si="56"/>
        <v>0</v>
      </c>
      <c r="K118" s="1138"/>
      <c r="L118" s="1127">
        <f t="shared" si="57"/>
        <v>0</v>
      </c>
      <c r="M118" s="1138"/>
      <c r="N118" s="1127">
        <f t="shared" si="58"/>
        <v>0</v>
      </c>
      <c r="O118" s="1138"/>
      <c r="P118" s="1127">
        <f t="shared" si="59"/>
        <v>0</v>
      </c>
      <c r="Q118" s="1138"/>
      <c r="R118" s="1127">
        <f t="shared" si="60"/>
        <v>0</v>
      </c>
      <c r="S118" s="1045"/>
      <c r="T118" s="1131">
        <f t="shared" si="42"/>
        <v>0</v>
      </c>
      <c r="U118" s="1045"/>
      <c r="V118" s="1045">
        <f t="shared" si="23"/>
        <v>0</v>
      </c>
      <c r="W118" s="1132">
        <f t="shared" si="43"/>
        <v>0</v>
      </c>
      <c r="X118" s="1045">
        <f t="shared" si="61"/>
        <v>0</v>
      </c>
      <c r="Y118" s="1132">
        <f t="shared" si="45"/>
        <v>0</v>
      </c>
      <c r="Z118" s="1045">
        <f t="shared" si="62"/>
        <v>0</v>
      </c>
      <c r="AA118" s="892"/>
      <c r="AB118" s="890"/>
    </row>
    <row r="119" spans="1:32">
      <c r="A119" s="1184"/>
      <c r="B119" s="1185" t="s">
        <v>2837</v>
      </c>
      <c r="C119" s="1052"/>
      <c r="D119" s="1127"/>
      <c r="E119" s="1128"/>
      <c r="F119" s="1127">
        <f t="shared" si="35"/>
        <v>0</v>
      </c>
      <c r="G119" s="1127"/>
      <c r="H119" s="1127">
        <f t="shared" si="55"/>
        <v>0</v>
      </c>
      <c r="I119" s="1127"/>
      <c r="J119" s="1127">
        <f t="shared" si="56"/>
        <v>0</v>
      </c>
      <c r="K119" s="1127"/>
      <c r="L119" s="1127">
        <f t="shared" si="57"/>
        <v>0</v>
      </c>
      <c r="M119" s="1127"/>
      <c r="N119" s="1127">
        <f t="shared" si="58"/>
        <v>0</v>
      </c>
      <c r="O119" s="1127"/>
      <c r="P119" s="1127">
        <f t="shared" si="59"/>
        <v>0</v>
      </c>
      <c r="Q119" s="1127"/>
      <c r="R119" s="1127">
        <f t="shared" si="60"/>
        <v>0</v>
      </c>
      <c r="S119" s="1049"/>
      <c r="T119" s="1131">
        <f t="shared" si="42"/>
        <v>0</v>
      </c>
      <c r="U119" s="1045"/>
      <c r="V119" s="1045">
        <f t="shared" si="23"/>
        <v>0</v>
      </c>
      <c r="W119" s="1132">
        <f t="shared" si="43"/>
        <v>0</v>
      </c>
      <c r="X119" s="1045">
        <f t="shared" si="61"/>
        <v>0</v>
      </c>
      <c r="Y119" s="1132">
        <f t="shared" si="45"/>
        <v>0</v>
      </c>
      <c r="Z119" s="1045">
        <f t="shared" si="62"/>
        <v>0</v>
      </c>
      <c r="AA119" s="785"/>
      <c r="AB119" s="890"/>
      <c r="AC119" s="862"/>
    </row>
    <row r="120" spans="1:32" s="719" customFormat="1" ht="45">
      <c r="A120" s="1186" t="s">
        <v>961</v>
      </c>
      <c r="B120" s="1161" t="s">
        <v>3884</v>
      </c>
      <c r="C120" s="995"/>
      <c r="D120" s="1147"/>
      <c r="E120" s="1148"/>
      <c r="F120" s="1127">
        <f t="shared" si="35"/>
        <v>0</v>
      </c>
      <c r="G120" s="1147"/>
      <c r="H120" s="1127">
        <f t="shared" si="55"/>
        <v>0</v>
      </c>
      <c r="I120" s="1147"/>
      <c r="J120" s="1127">
        <f t="shared" si="56"/>
        <v>0</v>
      </c>
      <c r="K120" s="1147"/>
      <c r="L120" s="1127">
        <f t="shared" si="57"/>
        <v>0</v>
      </c>
      <c r="M120" s="1147"/>
      <c r="N120" s="1127">
        <f t="shared" si="58"/>
        <v>0</v>
      </c>
      <c r="O120" s="1147"/>
      <c r="P120" s="1127">
        <f t="shared" si="59"/>
        <v>0</v>
      </c>
      <c r="Q120" s="1147"/>
      <c r="R120" s="1127">
        <f t="shared" si="60"/>
        <v>0</v>
      </c>
      <c r="S120" s="1028"/>
      <c r="T120" s="1131">
        <f t="shared" si="42"/>
        <v>0</v>
      </c>
      <c r="U120" s="1045"/>
      <c r="V120" s="1045">
        <f t="shared" si="23"/>
        <v>0</v>
      </c>
      <c r="W120" s="1132">
        <f t="shared" si="43"/>
        <v>0</v>
      </c>
      <c r="X120" s="1045">
        <f t="shared" si="61"/>
        <v>0</v>
      </c>
      <c r="Y120" s="1132">
        <f t="shared" si="45"/>
        <v>0</v>
      </c>
      <c r="Z120" s="1045">
        <f t="shared" si="62"/>
        <v>0</v>
      </c>
      <c r="AA120" s="786"/>
      <c r="AB120" s="891"/>
      <c r="AC120" s="717"/>
      <c r="AD120" s="720"/>
      <c r="AE120" s="720"/>
      <c r="AF120" s="720"/>
    </row>
    <row r="121" spans="1:32" s="719" customFormat="1">
      <c r="A121" s="1162"/>
      <c r="B121" s="1162" t="s">
        <v>1205</v>
      </c>
      <c r="C121" s="995">
        <f>Data!X540</f>
        <v>1281.3499999999999</v>
      </c>
      <c r="D121" s="1147" t="s">
        <v>1776</v>
      </c>
      <c r="E121" s="1148">
        <f>detailed!G619</f>
        <v>2.8</v>
      </c>
      <c r="F121" s="1127">
        <f t="shared" si="35"/>
        <v>3587.78</v>
      </c>
      <c r="G121" s="1147"/>
      <c r="H121" s="1127">
        <f t="shared" si="55"/>
        <v>0</v>
      </c>
      <c r="I121" s="1147"/>
      <c r="J121" s="1127">
        <f t="shared" si="56"/>
        <v>0</v>
      </c>
      <c r="K121" s="1147"/>
      <c r="L121" s="1127">
        <f t="shared" si="57"/>
        <v>0</v>
      </c>
      <c r="M121" s="1147"/>
      <c r="N121" s="1127">
        <f t="shared" si="58"/>
        <v>0</v>
      </c>
      <c r="O121" s="1147"/>
      <c r="P121" s="1127">
        <f t="shared" si="59"/>
        <v>0</v>
      </c>
      <c r="Q121" s="1147"/>
      <c r="R121" s="1127">
        <f t="shared" si="60"/>
        <v>0</v>
      </c>
      <c r="S121" s="1028"/>
      <c r="T121" s="1131">
        <f t="shared" si="42"/>
        <v>0</v>
      </c>
      <c r="U121" s="1045"/>
      <c r="V121" s="1045">
        <f t="shared" si="23"/>
        <v>0</v>
      </c>
      <c r="W121" s="1132">
        <f t="shared" si="43"/>
        <v>0</v>
      </c>
      <c r="X121" s="1045">
        <f t="shared" si="61"/>
        <v>0</v>
      </c>
      <c r="Y121" s="1132">
        <f t="shared" si="45"/>
        <v>2.8</v>
      </c>
      <c r="Z121" s="1045">
        <f t="shared" si="62"/>
        <v>3587.78</v>
      </c>
      <c r="AA121" s="891"/>
      <c r="AB121" s="891"/>
      <c r="AC121" s="720"/>
      <c r="AD121" s="720"/>
      <c r="AE121" s="720"/>
      <c r="AF121" s="720"/>
    </row>
    <row r="122" spans="1:32" s="719" customFormat="1">
      <c r="A122" s="1162"/>
      <c r="B122" s="1162" t="s">
        <v>1331</v>
      </c>
      <c r="C122" s="995">
        <f>Data!X541</f>
        <v>1285.46</v>
      </c>
      <c r="D122" s="1147" t="s">
        <v>1776</v>
      </c>
      <c r="E122" s="1148">
        <f>detailed!G626</f>
        <v>38.700000000000003</v>
      </c>
      <c r="F122" s="1127">
        <f t="shared" si="35"/>
        <v>49747.3</v>
      </c>
      <c r="G122" s="1147"/>
      <c r="H122" s="1127">
        <f t="shared" si="55"/>
        <v>0</v>
      </c>
      <c r="I122" s="1147"/>
      <c r="J122" s="1127">
        <f t="shared" si="56"/>
        <v>0</v>
      </c>
      <c r="K122" s="1147"/>
      <c r="L122" s="1127">
        <f t="shared" si="57"/>
        <v>0</v>
      </c>
      <c r="M122" s="1147"/>
      <c r="N122" s="1127">
        <f t="shared" si="58"/>
        <v>0</v>
      </c>
      <c r="O122" s="1147"/>
      <c r="P122" s="1127">
        <f t="shared" si="59"/>
        <v>0</v>
      </c>
      <c r="Q122" s="1147"/>
      <c r="R122" s="1127">
        <f t="shared" si="60"/>
        <v>0</v>
      </c>
      <c r="S122" s="1028"/>
      <c r="T122" s="1131">
        <f t="shared" si="42"/>
        <v>0</v>
      </c>
      <c r="U122" s="1045"/>
      <c r="V122" s="1045">
        <f t="shared" si="23"/>
        <v>0</v>
      </c>
      <c r="W122" s="1132">
        <f t="shared" si="43"/>
        <v>0</v>
      </c>
      <c r="X122" s="1045">
        <f t="shared" si="61"/>
        <v>0</v>
      </c>
      <c r="Y122" s="1132">
        <f t="shared" si="45"/>
        <v>38.700000000000003</v>
      </c>
      <c r="Z122" s="1045">
        <f t="shared" si="62"/>
        <v>49747.3</v>
      </c>
      <c r="AA122" s="891"/>
      <c r="AB122" s="891"/>
      <c r="AC122" s="720"/>
      <c r="AD122" s="720"/>
      <c r="AE122" s="720"/>
      <c r="AF122" s="720"/>
    </row>
    <row r="123" spans="1:32" s="719" customFormat="1">
      <c r="A123" s="1164"/>
      <c r="B123" s="1164" t="s">
        <v>1378</v>
      </c>
      <c r="C123" s="1043">
        <f>Data!X542</f>
        <v>1289.57</v>
      </c>
      <c r="D123" s="1165" t="s">
        <v>1776</v>
      </c>
      <c r="E123" s="1166">
        <f>detailed!G632</f>
        <v>47</v>
      </c>
      <c r="F123" s="1127">
        <f t="shared" si="35"/>
        <v>60609.79</v>
      </c>
      <c r="G123" s="1165"/>
      <c r="H123" s="1127">
        <f t="shared" si="55"/>
        <v>0</v>
      </c>
      <c r="I123" s="1165"/>
      <c r="J123" s="1127">
        <f t="shared" si="56"/>
        <v>0</v>
      </c>
      <c r="K123" s="1165"/>
      <c r="L123" s="1127">
        <f t="shared" si="57"/>
        <v>0</v>
      </c>
      <c r="M123" s="1165"/>
      <c r="N123" s="1127">
        <f t="shared" si="58"/>
        <v>0</v>
      </c>
      <c r="O123" s="1165"/>
      <c r="P123" s="1127">
        <f t="shared" si="59"/>
        <v>0</v>
      </c>
      <c r="Q123" s="1165"/>
      <c r="R123" s="1127">
        <f t="shared" si="60"/>
        <v>0</v>
      </c>
      <c r="S123" s="1028"/>
      <c r="T123" s="1131">
        <f t="shared" si="42"/>
        <v>0</v>
      </c>
      <c r="U123" s="1045"/>
      <c r="V123" s="1045">
        <f t="shared" si="23"/>
        <v>0</v>
      </c>
      <c r="W123" s="1132">
        <f t="shared" si="43"/>
        <v>0</v>
      </c>
      <c r="X123" s="1045">
        <f t="shared" si="61"/>
        <v>0</v>
      </c>
      <c r="Y123" s="1132">
        <f t="shared" si="45"/>
        <v>47</v>
      </c>
      <c r="Z123" s="1045">
        <f t="shared" si="62"/>
        <v>60609.79</v>
      </c>
      <c r="AA123" s="891"/>
      <c r="AB123" s="891"/>
      <c r="AC123" s="720"/>
      <c r="AD123" s="720"/>
      <c r="AE123" s="720"/>
      <c r="AF123" s="720"/>
    </row>
    <row r="124" spans="1:32" s="719" customFormat="1">
      <c r="A124" s="1164"/>
      <c r="B124" s="1164" t="s">
        <v>1274</v>
      </c>
      <c r="C124" s="995">
        <f>Data!X543</f>
        <v>1293.68</v>
      </c>
      <c r="D124" s="1165" t="s">
        <v>1776</v>
      </c>
      <c r="E124" s="1166"/>
      <c r="F124" s="1127">
        <f t="shared" si="35"/>
        <v>0</v>
      </c>
      <c r="G124" s="1165"/>
      <c r="H124" s="1127">
        <f t="shared" si="55"/>
        <v>0</v>
      </c>
      <c r="I124" s="1165"/>
      <c r="J124" s="1127">
        <f t="shared" si="56"/>
        <v>0</v>
      </c>
      <c r="K124" s="1165"/>
      <c r="L124" s="1127">
        <f t="shared" si="57"/>
        <v>0</v>
      </c>
      <c r="M124" s="1165"/>
      <c r="N124" s="1127">
        <f t="shared" si="58"/>
        <v>0</v>
      </c>
      <c r="O124" s="1165"/>
      <c r="P124" s="1127">
        <f t="shared" si="59"/>
        <v>0</v>
      </c>
      <c r="Q124" s="1165"/>
      <c r="R124" s="1127">
        <f t="shared" si="60"/>
        <v>0</v>
      </c>
      <c r="S124" s="1028"/>
      <c r="T124" s="1131">
        <f t="shared" si="42"/>
        <v>0</v>
      </c>
      <c r="U124" s="1045"/>
      <c r="V124" s="1045">
        <f t="shared" si="23"/>
        <v>0</v>
      </c>
      <c r="W124" s="1132">
        <f t="shared" si="43"/>
        <v>0</v>
      </c>
      <c r="X124" s="1045">
        <f t="shared" si="61"/>
        <v>0</v>
      </c>
      <c r="Y124" s="1132">
        <f t="shared" si="45"/>
        <v>0</v>
      </c>
      <c r="Z124" s="1045">
        <f t="shared" si="62"/>
        <v>0</v>
      </c>
      <c r="AA124" s="891"/>
      <c r="AB124" s="891"/>
      <c r="AC124" s="720"/>
      <c r="AD124" s="720"/>
      <c r="AE124" s="720"/>
      <c r="AF124" s="720"/>
    </row>
    <row r="125" spans="1:32" s="486" customFormat="1">
      <c r="A125" s="1187"/>
      <c r="B125" s="1140" t="s">
        <v>1040</v>
      </c>
      <c r="C125" s="1052">
        <f>Data!X544</f>
        <v>1297.79</v>
      </c>
      <c r="D125" s="1188" t="s">
        <v>1776</v>
      </c>
      <c r="E125" s="1189"/>
      <c r="F125" s="1127">
        <f t="shared" si="35"/>
        <v>0</v>
      </c>
      <c r="G125" s="1188"/>
      <c r="H125" s="1127">
        <f t="shared" si="55"/>
        <v>0</v>
      </c>
      <c r="I125" s="1188"/>
      <c r="J125" s="1127">
        <f t="shared" si="56"/>
        <v>0</v>
      </c>
      <c r="K125" s="1188"/>
      <c r="L125" s="1127">
        <f t="shared" si="57"/>
        <v>0</v>
      </c>
      <c r="M125" s="1188"/>
      <c r="N125" s="1127">
        <f t="shared" si="58"/>
        <v>0</v>
      </c>
      <c r="O125" s="1188"/>
      <c r="P125" s="1127">
        <f t="shared" si="59"/>
        <v>0</v>
      </c>
      <c r="Q125" s="1188"/>
      <c r="R125" s="1127">
        <f t="shared" si="60"/>
        <v>0</v>
      </c>
      <c r="S125" s="1028"/>
      <c r="T125" s="1131">
        <f t="shared" si="42"/>
        <v>0</v>
      </c>
      <c r="U125" s="1045"/>
      <c r="V125" s="1045">
        <f t="shared" si="23"/>
        <v>0</v>
      </c>
      <c r="W125" s="1132">
        <f t="shared" si="43"/>
        <v>0</v>
      </c>
      <c r="X125" s="1045">
        <f t="shared" si="61"/>
        <v>0</v>
      </c>
      <c r="Y125" s="1132">
        <f t="shared" si="45"/>
        <v>0</v>
      </c>
      <c r="Z125" s="1045">
        <f t="shared" si="62"/>
        <v>0</v>
      </c>
      <c r="AA125" s="892"/>
      <c r="AB125" s="891"/>
      <c r="AC125" s="485"/>
      <c r="AD125" s="485"/>
      <c r="AE125" s="485"/>
      <c r="AF125" s="485"/>
    </row>
    <row r="126" spans="1:32" s="719" customFormat="1" ht="48">
      <c r="A126" s="1186" t="s">
        <v>1088</v>
      </c>
      <c r="B126" s="1190" t="s">
        <v>3885</v>
      </c>
      <c r="C126" s="995"/>
      <c r="D126" s="1147"/>
      <c r="E126" s="1148"/>
      <c r="F126" s="1127">
        <f t="shared" si="35"/>
        <v>0</v>
      </c>
      <c r="G126" s="1147"/>
      <c r="H126" s="1127">
        <f t="shared" si="55"/>
        <v>0</v>
      </c>
      <c r="I126" s="1147"/>
      <c r="J126" s="1127">
        <f t="shared" si="56"/>
        <v>0</v>
      </c>
      <c r="K126" s="1147"/>
      <c r="L126" s="1127">
        <f t="shared" si="57"/>
        <v>0</v>
      </c>
      <c r="M126" s="1147"/>
      <c r="N126" s="1127">
        <f t="shared" si="58"/>
        <v>0</v>
      </c>
      <c r="O126" s="1147"/>
      <c r="P126" s="1127">
        <f t="shared" si="59"/>
        <v>0</v>
      </c>
      <c r="Q126" s="1147"/>
      <c r="R126" s="1127">
        <f t="shared" si="60"/>
        <v>0</v>
      </c>
      <c r="S126" s="1028"/>
      <c r="T126" s="1131">
        <f t="shared" si="42"/>
        <v>0</v>
      </c>
      <c r="U126" s="1045"/>
      <c r="V126" s="1045">
        <f t="shared" si="23"/>
        <v>0</v>
      </c>
      <c r="W126" s="1132">
        <f t="shared" si="43"/>
        <v>0</v>
      </c>
      <c r="X126" s="1045">
        <f t="shared" si="61"/>
        <v>0</v>
      </c>
      <c r="Y126" s="1132">
        <f t="shared" si="45"/>
        <v>0</v>
      </c>
      <c r="Z126" s="1045">
        <f t="shared" si="62"/>
        <v>0</v>
      </c>
      <c r="AA126" s="891"/>
      <c r="AB126" s="891"/>
      <c r="AC126" s="720"/>
      <c r="AD126" s="720"/>
      <c r="AE126" s="720"/>
      <c r="AF126" s="720"/>
    </row>
    <row r="127" spans="1:32" s="719" customFormat="1">
      <c r="A127" s="1162"/>
      <c r="B127" s="1162" t="s">
        <v>588</v>
      </c>
      <c r="C127" s="995">
        <f>Data!X562</f>
        <v>1411.82</v>
      </c>
      <c r="D127" s="1147" t="s">
        <v>1776</v>
      </c>
      <c r="E127" s="1148">
        <f>detailed!G637</f>
        <v>15.8</v>
      </c>
      <c r="F127" s="1127">
        <f t="shared" si="35"/>
        <v>22306.76</v>
      </c>
      <c r="G127" s="1147">
        <f>ST!G33</f>
        <v>2.2999999999999998</v>
      </c>
      <c r="H127" s="1127">
        <f t="shared" si="55"/>
        <v>3247.19</v>
      </c>
      <c r="I127" s="1147"/>
      <c r="J127" s="1127">
        <f t="shared" si="56"/>
        <v>0</v>
      </c>
      <c r="K127" s="1147"/>
      <c r="L127" s="1127">
        <f t="shared" si="57"/>
        <v>0</v>
      </c>
      <c r="M127" s="1147"/>
      <c r="N127" s="1127">
        <f t="shared" si="58"/>
        <v>0</v>
      </c>
      <c r="O127" s="1147"/>
      <c r="P127" s="1127">
        <f t="shared" si="59"/>
        <v>0</v>
      </c>
      <c r="Q127" s="1147"/>
      <c r="R127" s="1127">
        <f t="shared" si="60"/>
        <v>0</v>
      </c>
      <c r="S127" s="1028"/>
      <c r="T127" s="1131">
        <f t="shared" si="42"/>
        <v>0</v>
      </c>
      <c r="U127" s="1045"/>
      <c r="V127" s="1045">
        <f t="shared" si="23"/>
        <v>0</v>
      </c>
      <c r="W127" s="1132">
        <f t="shared" si="43"/>
        <v>2.2999999999999998</v>
      </c>
      <c r="X127" s="1045">
        <f t="shared" si="61"/>
        <v>3247.19</v>
      </c>
      <c r="Y127" s="1132">
        <f t="shared" si="45"/>
        <v>18.100000000000001</v>
      </c>
      <c r="Z127" s="1045">
        <f t="shared" si="62"/>
        <v>25553.94</v>
      </c>
      <c r="AA127" s="891"/>
      <c r="AB127" s="891"/>
      <c r="AC127" s="720"/>
      <c r="AD127" s="720"/>
      <c r="AE127" s="720"/>
      <c r="AF127" s="720"/>
    </row>
    <row r="128" spans="1:32" s="719" customFormat="1">
      <c r="A128" s="1162"/>
      <c r="B128" s="1162" t="s">
        <v>589</v>
      </c>
      <c r="C128" s="995">
        <f>Data!X564</f>
        <v>1415.99</v>
      </c>
      <c r="D128" s="1147" t="s">
        <v>1776</v>
      </c>
      <c r="E128" s="1148">
        <f>detailed!G640</f>
        <v>0.7</v>
      </c>
      <c r="F128" s="1127">
        <f t="shared" si="35"/>
        <v>991.19</v>
      </c>
      <c r="G128" s="1147"/>
      <c r="H128" s="1127">
        <f t="shared" si="55"/>
        <v>0</v>
      </c>
      <c r="I128" s="1147"/>
      <c r="J128" s="1127">
        <f t="shared" si="56"/>
        <v>0</v>
      </c>
      <c r="K128" s="1147"/>
      <c r="L128" s="1127">
        <f t="shared" si="57"/>
        <v>0</v>
      </c>
      <c r="M128" s="1147"/>
      <c r="N128" s="1127">
        <f t="shared" si="58"/>
        <v>0</v>
      </c>
      <c r="O128" s="1147"/>
      <c r="P128" s="1127">
        <f t="shared" si="59"/>
        <v>0</v>
      </c>
      <c r="Q128" s="1147"/>
      <c r="R128" s="1127">
        <f t="shared" si="60"/>
        <v>0</v>
      </c>
      <c r="S128" s="1028"/>
      <c r="T128" s="1131">
        <f t="shared" si="42"/>
        <v>0</v>
      </c>
      <c r="U128" s="1045"/>
      <c r="V128" s="1045">
        <f t="shared" si="23"/>
        <v>0</v>
      </c>
      <c r="W128" s="1132">
        <f t="shared" si="43"/>
        <v>0</v>
      </c>
      <c r="X128" s="1045">
        <f t="shared" si="61"/>
        <v>0</v>
      </c>
      <c r="Y128" s="1132">
        <f t="shared" si="45"/>
        <v>0.7</v>
      </c>
      <c r="Z128" s="1045">
        <f t="shared" si="62"/>
        <v>991.19</v>
      </c>
      <c r="AA128" s="891"/>
      <c r="AB128" s="891"/>
      <c r="AC128" s="720"/>
      <c r="AD128" s="720"/>
      <c r="AE128" s="720"/>
      <c r="AF128" s="720"/>
    </row>
    <row r="129" spans="1:32" s="719" customFormat="1">
      <c r="A129" s="1162"/>
      <c r="B129" s="1162" t="s">
        <v>1200</v>
      </c>
      <c r="C129" s="995">
        <f>Data!X565</f>
        <v>1424.21</v>
      </c>
      <c r="D129" s="1147" t="s">
        <v>1776</v>
      </c>
      <c r="E129" s="1148">
        <f>detailed!G647</f>
        <v>15.9</v>
      </c>
      <c r="F129" s="1127">
        <f t="shared" si="35"/>
        <v>22644.94</v>
      </c>
      <c r="G129" s="1147"/>
      <c r="H129" s="1127">
        <f t="shared" si="55"/>
        <v>0</v>
      </c>
      <c r="I129" s="1147"/>
      <c r="J129" s="1127">
        <f t="shared" si="56"/>
        <v>0</v>
      </c>
      <c r="K129" s="1147"/>
      <c r="L129" s="1127">
        <f t="shared" si="57"/>
        <v>0</v>
      </c>
      <c r="M129" s="1147"/>
      <c r="N129" s="1127">
        <f t="shared" si="58"/>
        <v>0</v>
      </c>
      <c r="O129" s="1147"/>
      <c r="P129" s="1127">
        <f t="shared" si="59"/>
        <v>0</v>
      </c>
      <c r="Q129" s="1147"/>
      <c r="R129" s="1127">
        <f t="shared" si="60"/>
        <v>0</v>
      </c>
      <c r="S129" s="1028"/>
      <c r="T129" s="1131">
        <f t="shared" si="42"/>
        <v>0</v>
      </c>
      <c r="U129" s="1045"/>
      <c r="V129" s="1045">
        <f t="shared" si="23"/>
        <v>0</v>
      </c>
      <c r="W129" s="1132">
        <f t="shared" si="43"/>
        <v>0</v>
      </c>
      <c r="X129" s="1045">
        <f t="shared" si="61"/>
        <v>0</v>
      </c>
      <c r="Y129" s="1132">
        <f t="shared" si="45"/>
        <v>15.9</v>
      </c>
      <c r="Z129" s="1045">
        <f t="shared" si="62"/>
        <v>22644.94</v>
      </c>
      <c r="AA129" s="891"/>
      <c r="AB129" s="891"/>
      <c r="AC129" s="720"/>
      <c r="AD129" s="720"/>
      <c r="AE129" s="720"/>
      <c r="AF129" s="720"/>
    </row>
    <row r="130" spans="1:32" s="719" customFormat="1">
      <c r="A130" s="1162"/>
      <c r="B130" s="1162" t="s">
        <v>648</v>
      </c>
      <c r="C130" s="995">
        <f>Data!X566</f>
        <v>1432.43</v>
      </c>
      <c r="D130" s="1147" t="s">
        <v>1776</v>
      </c>
      <c r="E130" s="1148"/>
      <c r="F130" s="1127">
        <f t="shared" si="35"/>
        <v>0</v>
      </c>
      <c r="G130" s="1147"/>
      <c r="H130" s="1127">
        <f t="shared" si="55"/>
        <v>0</v>
      </c>
      <c r="I130" s="1147"/>
      <c r="J130" s="1127">
        <f t="shared" si="56"/>
        <v>0</v>
      </c>
      <c r="K130" s="1147"/>
      <c r="L130" s="1127">
        <f t="shared" si="57"/>
        <v>0</v>
      </c>
      <c r="M130" s="1147"/>
      <c r="N130" s="1127">
        <f t="shared" si="58"/>
        <v>0</v>
      </c>
      <c r="O130" s="1147"/>
      <c r="P130" s="1127">
        <f t="shared" si="59"/>
        <v>0</v>
      </c>
      <c r="Q130" s="1147"/>
      <c r="R130" s="1127">
        <f t="shared" si="60"/>
        <v>0</v>
      </c>
      <c r="S130" s="1028"/>
      <c r="T130" s="1131">
        <f t="shared" si="42"/>
        <v>0</v>
      </c>
      <c r="U130" s="1045"/>
      <c r="V130" s="1045">
        <f t="shared" si="23"/>
        <v>0</v>
      </c>
      <c r="W130" s="1132">
        <f t="shared" si="43"/>
        <v>0</v>
      </c>
      <c r="X130" s="1045">
        <f t="shared" si="61"/>
        <v>0</v>
      </c>
      <c r="Y130" s="1132">
        <f t="shared" si="45"/>
        <v>0</v>
      </c>
      <c r="Z130" s="1045">
        <f t="shared" si="62"/>
        <v>0</v>
      </c>
      <c r="AA130" s="891"/>
      <c r="AB130" s="891"/>
      <c r="AC130" s="720"/>
      <c r="AD130" s="720"/>
      <c r="AE130" s="720"/>
      <c r="AF130" s="720"/>
    </row>
    <row r="131" spans="1:32" s="719" customFormat="1">
      <c r="A131" s="1162"/>
      <c r="B131" s="1162" t="s">
        <v>649</v>
      </c>
      <c r="C131" s="995">
        <f>Data!X567</f>
        <v>1440.65</v>
      </c>
      <c r="D131" s="1147" t="s">
        <v>1776</v>
      </c>
      <c r="E131" s="1148"/>
      <c r="F131" s="1127">
        <f t="shared" si="35"/>
        <v>0</v>
      </c>
      <c r="G131" s="1147"/>
      <c r="H131" s="1127">
        <f t="shared" si="55"/>
        <v>0</v>
      </c>
      <c r="I131" s="1147"/>
      <c r="J131" s="1127">
        <f t="shared" si="56"/>
        <v>0</v>
      </c>
      <c r="K131" s="1147"/>
      <c r="L131" s="1127">
        <f t="shared" si="57"/>
        <v>0</v>
      </c>
      <c r="M131" s="1147"/>
      <c r="N131" s="1127">
        <f t="shared" si="58"/>
        <v>0</v>
      </c>
      <c r="O131" s="1147"/>
      <c r="P131" s="1127">
        <f t="shared" si="59"/>
        <v>0</v>
      </c>
      <c r="Q131" s="1147"/>
      <c r="R131" s="1127">
        <f t="shared" si="60"/>
        <v>0</v>
      </c>
      <c r="S131" s="1028"/>
      <c r="T131" s="1131">
        <f t="shared" si="42"/>
        <v>0</v>
      </c>
      <c r="U131" s="1045"/>
      <c r="V131" s="1045">
        <f t="shared" si="23"/>
        <v>0</v>
      </c>
      <c r="W131" s="1132">
        <f t="shared" si="43"/>
        <v>0</v>
      </c>
      <c r="X131" s="1045">
        <f t="shared" si="61"/>
        <v>0</v>
      </c>
      <c r="Y131" s="1132">
        <f t="shared" si="45"/>
        <v>0</v>
      </c>
      <c r="Z131" s="1045">
        <f t="shared" si="62"/>
        <v>0</v>
      </c>
      <c r="AA131" s="891"/>
      <c r="AB131" s="891"/>
      <c r="AC131" s="720"/>
      <c r="AD131" s="720"/>
      <c r="AE131" s="720"/>
      <c r="AF131" s="720"/>
    </row>
    <row r="132" spans="1:32" s="486" customFormat="1">
      <c r="A132" s="1029"/>
      <c r="B132" s="1191" t="s">
        <v>1226</v>
      </c>
      <c r="C132" s="1025">
        <f>Data!X568</f>
        <v>1448.87</v>
      </c>
      <c r="D132" s="1138" t="s">
        <v>1776</v>
      </c>
      <c r="E132" s="1139"/>
      <c r="F132" s="1127">
        <f t="shared" si="35"/>
        <v>0</v>
      </c>
      <c r="G132" s="1138"/>
      <c r="H132" s="1127">
        <f t="shared" si="55"/>
        <v>0</v>
      </c>
      <c r="I132" s="1138"/>
      <c r="J132" s="1127">
        <f t="shared" si="56"/>
        <v>0</v>
      </c>
      <c r="K132" s="1138"/>
      <c r="L132" s="1127">
        <f t="shared" si="57"/>
        <v>0</v>
      </c>
      <c r="M132" s="1138"/>
      <c r="N132" s="1127">
        <f t="shared" si="58"/>
        <v>0</v>
      </c>
      <c r="O132" s="1138"/>
      <c r="P132" s="1127">
        <f t="shared" si="59"/>
        <v>0</v>
      </c>
      <c r="Q132" s="1138"/>
      <c r="R132" s="1127">
        <f t="shared" si="60"/>
        <v>0</v>
      </c>
      <c r="S132" s="1028"/>
      <c r="T132" s="1131">
        <f t="shared" si="42"/>
        <v>0</v>
      </c>
      <c r="U132" s="1045"/>
      <c r="V132" s="1045">
        <f t="shared" si="23"/>
        <v>0</v>
      </c>
      <c r="W132" s="1132">
        <f t="shared" si="43"/>
        <v>0</v>
      </c>
      <c r="X132" s="1045">
        <f t="shared" si="61"/>
        <v>0</v>
      </c>
      <c r="Y132" s="1132">
        <f t="shared" si="45"/>
        <v>0</v>
      </c>
      <c r="Z132" s="1045">
        <f t="shared" si="62"/>
        <v>0</v>
      </c>
      <c r="AA132" s="892"/>
      <c r="AB132" s="891"/>
      <c r="AC132" s="485"/>
      <c r="AD132" s="485"/>
      <c r="AE132" s="485"/>
      <c r="AF132" s="485"/>
    </row>
    <row r="133" spans="1:32" s="718" customFormat="1">
      <c r="A133" s="1193">
        <v>4.0999999999999996</v>
      </c>
      <c r="B133" s="1190" t="s">
        <v>3887</v>
      </c>
      <c r="C133" s="995"/>
      <c r="D133" s="1147"/>
      <c r="E133" s="1148"/>
      <c r="F133" s="1127">
        <f t="shared" si="35"/>
        <v>0</v>
      </c>
      <c r="G133" s="1147"/>
      <c r="H133" s="1127">
        <f t="shared" si="55"/>
        <v>0</v>
      </c>
      <c r="I133" s="1147"/>
      <c r="J133" s="1127">
        <f t="shared" si="56"/>
        <v>0</v>
      </c>
      <c r="K133" s="1147"/>
      <c r="L133" s="1127">
        <f t="shared" si="57"/>
        <v>0</v>
      </c>
      <c r="M133" s="1147"/>
      <c r="N133" s="1127">
        <f t="shared" si="58"/>
        <v>0</v>
      </c>
      <c r="O133" s="1147"/>
      <c r="P133" s="1127">
        <f t="shared" si="59"/>
        <v>0</v>
      </c>
      <c r="Q133" s="1147"/>
      <c r="R133" s="1127">
        <f t="shared" si="60"/>
        <v>0</v>
      </c>
      <c r="S133" s="1028"/>
      <c r="T133" s="1131">
        <f t="shared" ref="T133:T139" si="63">S133*C133</f>
        <v>0</v>
      </c>
      <c r="U133" s="1045"/>
      <c r="V133" s="1045">
        <f t="shared" si="23"/>
        <v>0</v>
      </c>
      <c r="W133" s="1132">
        <f t="shared" si="43"/>
        <v>0</v>
      </c>
      <c r="X133" s="1045">
        <f t="shared" si="61"/>
        <v>0</v>
      </c>
      <c r="Y133" s="1132">
        <f t="shared" si="45"/>
        <v>0</v>
      </c>
      <c r="Z133" s="1045">
        <f t="shared" si="62"/>
        <v>0</v>
      </c>
      <c r="AA133" s="786"/>
      <c r="AB133" s="891"/>
      <c r="AC133" s="717"/>
    </row>
    <row r="134" spans="1:32" s="718" customFormat="1">
      <c r="A134" s="1193"/>
      <c r="B134" s="1162" t="s">
        <v>513</v>
      </c>
      <c r="C134" s="995">
        <f>Data!X721</f>
        <v>7128.87</v>
      </c>
      <c r="D134" s="1147" t="s">
        <v>2070</v>
      </c>
      <c r="E134" s="1148">
        <f>detailed!G203</f>
        <v>129.19999999999999</v>
      </c>
      <c r="F134" s="1127">
        <f t="shared" si="35"/>
        <v>921050</v>
      </c>
      <c r="G134" s="1147">
        <f>ST!G39</f>
        <v>1.9</v>
      </c>
      <c r="H134" s="1127">
        <f t="shared" si="55"/>
        <v>13544.85</v>
      </c>
      <c r="I134" s="1147">
        <f>Sump!G20</f>
        <v>20.5</v>
      </c>
      <c r="J134" s="1127">
        <f t="shared" si="56"/>
        <v>146141.84</v>
      </c>
      <c r="K134" s="1147"/>
      <c r="L134" s="1127">
        <f t="shared" si="57"/>
        <v>0</v>
      </c>
      <c r="M134" s="1147"/>
      <c r="N134" s="1127">
        <f t="shared" si="58"/>
        <v>0</v>
      </c>
      <c r="O134" s="1147"/>
      <c r="P134" s="1127">
        <f t="shared" si="59"/>
        <v>0</v>
      </c>
      <c r="Q134" s="1147"/>
      <c r="R134" s="1127">
        <f t="shared" si="60"/>
        <v>0</v>
      </c>
      <c r="S134" s="1028"/>
      <c r="T134" s="1131">
        <f t="shared" si="63"/>
        <v>0</v>
      </c>
      <c r="U134" s="1045">
        <f>Com.wall!H21</f>
        <v>18.7</v>
      </c>
      <c r="V134" s="1045">
        <f t="shared" ref="V134:V197" si="64">U134*C134</f>
        <v>133309.87</v>
      </c>
      <c r="W134" s="1132">
        <f t="shared" si="43"/>
        <v>41.1</v>
      </c>
      <c r="X134" s="1045">
        <f t="shared" si="61"/>
        <v>292996.56</v>
      </c>
      <c r="Y134" s="1132">
        <f t="shared" si="45"/>
        <v>170.3</v>
      </c>
      <c r="Z134" s="1045">
        <f t="shared" si="62"/>
        <v>1214046.56</v>
      </c>
      <c r="AA134" s="891"/>
      <c r="AB134" s="891"/>
    </row>
    <row r="135" spans="1:32" s="718" customFormat="1">
      <c r="A135" s="1193">
        <v>8.1</v>
      </c>
      <c r="B135" s="1162" t="s">
        <v>2050</v>
      </c>
      <c r="C135" s="995">
        <f>Data!X723</f>
        <v>7232.17</v>
      </c>
      <c r="D135" s="1147" t="s">
        <v>2070</v>
      </c>
      <c r="E135" s="1148">
        <f>detailed!G329</f>
        <v>91.6</v>
      </c>
      <c r="F135" s="1127">
        <f t="shared" si="35"/>
        <v>662466.77</v>
      </c>
      <c r="G135" s="1147"/>
      <c r="H135" s="1127">
        <f t="shared" si="55"/>
        <v>0</v>
      </c>
      <c r="I135" s="1147"/>
      <c r="J135" s="1127">
        <f t="shared" si="56"/>
        <v>0</v>
      </c>
      <c r="K135" s="1147"/>
      <c r="L135" s="1127">
        <f t="shared" si="57"/>
        <v>0</v>
      </c>
      <c r="M135" s="1147"/>
      <c r="N135" s="1127">
        <f t="shared" si="58"/>
        <v>0</v>
      </c>
      <c r="O135" s="1147"/>
      <c r="P135" s="1127">
        <f t="shared" si="59"/>
        <v>0</v>
      </c>
      <c r="Q135" s="1147"/>
      <c r="R135" s="1127">
        <f t="shared" si="60"/>
        <v>0</v>
      </c>
      <c r="S135" s="1028"/>
      <c r="T135" s="1131">
        <f t="shared" si="63"/>
        <v>0</v>
      </c>
      <c r="U135" s="1045">
        <f>Com.wall!H31</f>
        <v>2.5</v>
      </c>
      <c r="V135" s="1045">
        <f t="shared" si="64"/>
        <v>18080.43</v>
      </c>
      <c r="W135" s="1132">
        <f t="shared" si="43"/>
        <v>2.5</v>
      </c>
      <c r="X135" s="1045">
        <f t="shared" si="61"/>
        <v>18080.43</v>
      </c>
      <c r="Y135" s="1132">
        <f t="shared" si="45"/>
        <v>94.1</v>
      </c>
      <c r="Z135" s="1045">
        <f t="shared" si="62"/>
        <v>680547.2</v>
      </c>
      <c r="AA135" s="891"/>
      <c r="AB135" s="891"/>
    </row>
    <row r="136" spans="1:32" s="718" customFormat="1">
      <c r="A136" s="1193"/>
      <c r="B136" s="1162" t="s">
        <v>516</v>
      </c>
      <c r="C136" s="995">
        <f>Data!X724</f>
        <v>7435.67</v>
      </c>
      <c r="D136" s="1147" t="s">
        <v>2070</v>
      </c>
      <c r="E136" s="1148">
        <f>detailed!G387</f>
        <v>109.4</v>
      </c>
      <c r="F136" s="1127">
        <f t="shared" si="35"/>
        <v>813462.3</v>
      </c>
      <c r="G136" s="1147"/>
      <c r="H136" s="1127">
        <f t="shared" si="55"/>
        <v>0</v>
      </c>
      <c r="I136" s="1147"/>
      <c r="J136" s="1127">
        <f t="shared" si="56"/>
        <v>0</v>
      </c>
      <c r="K136" s="1147"/>
      <c r="L136" s="1127">
        <f t="shared" si="57"/>
        <v>0</v>
      </c>
      <c r="M136" s="1147"/>
      <c r="N136" s="1127">
        <f t="shared" si="58"/>
        <v>0</v>
      </c>
      <c r="O136" s="1147"/>
      <c r="P136" s="1127">
        <f t="shared" si="59"/>
        <v>0</v>
      </c>
      <c r="Q136" s="1147"/>
      <c r="R136" s="1127">
        <f t="shared" si="60"/>
        <v>0</v>
      </c>
      <c r="S136" s="1028"/>
      <c r="T136" s="1131">
        <f t="shared" si="63"/>
        <v>0</v>
      </c>
      <c r="U136" s="1045"/>
      <c r="V136" s="1045">
        <f t="shared" si="64"/>
        <v>0</v>
      </c>
      <c r="W136" s="1132">
        <f t="shared" si="43"/>
        <v>0</v>
      </c>
      <c r="X136" s="1045">
        <f t="shared" si="61"/>
        <v>0</v>
      </c>
      <c r="Y136" s="1132">
        <f t="shared" si="45"/>
        <v>109.4</v>
      </c>
      <c r="Z136" s="1045">
        <f t="shared" si="62"/>
        <v>813462.3</v>
      </c>
      <c r="AA136" s="891"/>
      <c r="AB136" s="891"/>
    </row>
    <row r="137" spans="1:32" s="718" customFormat="1">
      <c r="A137" s="1193"/>
      <c r="B137" s="1162" t="s">
        <v>1743</v>
      </c>
      <c r="C137" s="995">
        <f>Data!X725</f>
        <v>7639.17</v>
      </c>
      <c r="D137" s="1147" t="s">
        <v>2070</v>
      </c>
      <c r="E137" s="1148">
        <f>detailed!G389</f>
        <v>109.4</v>
      </c>
      <c r="F137" s="1127">
        <f t="shared" si="35"/>
        <v>835725.2</v>
      </c>
      <c r="G137" s="1147"/>
      <c r="H137" s="1127">
        <f t="shared" si="55"/>
        <v>0</v>
      </c>
      <c r="I137" s="1147"/>
      <c r="J137" s="1127">
        <f t="shared" si="56"/>
        <v>0</v>
      </c>
      <c r="K137" s="1147"/>
      <c r="L137" s="1127">
        <f t="shared" si="57"/>
        <v>0</v>
      </c>
      <c r="M137" s="1147"/>
      <c r="N137" s="1127">
        <f t="shared" si="58"/>
        <v>0</v>
      </c>
      <c r="O137" s="1147"/>
      <c r="P137" s="1127">
        <f t="shared" si="59"/>
        <v>0</v>
      </c>
      <c r="Q137" s="1147"/>
      <c r="R137" s="1127">
        <f t="shared" si="60"/>
        <v>0</v>
      </c>
      <c r="S137" s="1028"/>
      <c r="T137" s="1131">
        <f t="shared" si="63"/>
        <v>0</v>
      </c>
      <c r="U137" s="1045"/>
      <c r="V137" s="1045">
        <f t="shared" si="64"/>
        <v>0</v>
      </c>
      <c r="W137" s="1132">
        <f t="shared" si="43"/>
        <v>0</v>
      </c>
      <c r="X137" s="1045">
        <f t="shared" si="61"/>
        <v>0</v>
      </c>
      <c r="Y137" s="1132">
        <f t="shared" si="45"/>
        <v>109.4</v>
      </c>
      <c r="Z137" s="1045">
        <f t="shared" si="62"/>
        <v>835725.2</v>
      </c>
      <c r="AA137" s="891"/>
      <c r="AB137" s="891"/>
    </row>
    <row r="138" spans="1:32" s="718" customFormat="1">
      <c r="A138" s="1193"/>
      <c r="B138" s="1162" t="s">
        <v>649</v>
      </c>
      <c r="C138" s="995">
        <f>Data!X726</f>
        <v>7842.67</v>
      </c>
      <c r="D138" s="1147" t="s">
        <v>2070</v>
      </c>
      <c r="E138" s="1148">
        <f>detailed!G401</f>
        <v>12.2</v>
      </c>
      <c r="F138" s="1127">
        <f t="shared" si="35"/>
        <v>95680.57</v>
      </c>
      <c r="G138" s="1147"/>
      <c r="H138" s="1127">
        <f t="shared" si="55"/>
        <v>0</v>
      </c>
      <c r="I138" s="1147"/>
      <c r="J138" s="1127">
        <f t="shared" si="56"/>
        <v>0</v>
      </c>
      <c r="K138" s="1147"/>
      <c r="L138" s="1127">
        <f t="shared" si="57"/>
        <v>0</v>
      </c>
      <c r="M138" s="1147"/>
      <c r="N138" s="1127">
        <f t="shared" si="58"/>
        <v>0</v>
      </c>
      <c r="O138" s="1147"/>
      <c r="P138" s="1127">
        <f t="shared" si="59"/>
        <v>0</v>
      </c>
      <c r="Q138" s="1147"/>
      <c r="R138" s="1127">
        <f t="shared" si="60"/>
        <v>0</v>
      </c>
      <c r="S138" s="1028"/>
      <c r="T138" s="1131">
        <f t="shared" si="63"/>
        <v>0</v>
      </c>
      <c r="U138" s="1045"/>
      <c r="V138" s="1045">
        <f t="shared" si="64"/>
        <v>0</v>
      </c>
      <c r="W138" s="1132">
        <f t="shared" si="43"/>
        <v>0</v>
      </c>
      <c r="X138" s="1045">
        <f t="shared" si="61"/>
        <v>0</v>
      </c>
      <c r="Y138" s="1132">
        <f t="shared" si="45"/>
        <v>12.2</v>
      </c>
      <c r="Z138" s="1045">
        <f t="shared" si="62"/>
        <v>95680.57</v>
      </c>
      <c r="AA138" s="891"/>
      <c r="AB138" s="891"/>
    </row>
    <row r="139" spans="1:32" s="718" customFormat="1">
      <c r="A139" s="1194"/>
      <c r="B139" s="1164" t="s">
        <v>3905</v>
      </c>
      <c r="C139" s="1043">
        <f>Data!X727</f>
        <v>8046.17</v>
      </c>
      <c r="D139" s="1147" t="s">
        <v>2070</v>
      </c>
      <c r="E139" s="1148"/>
      <c r="F139" s="1127">
        <f t="shared" si="35"/>
        <v>0</v>
      </c>
      <c r="G139" s="1147"/>
      <c r="H139" s="1127">
        <f t="shared" si="55"/>
        <v>0</v>
      </c>
      <c r="I139" s="1147"/>
      <c r="J139" s="1127">
        <f t="shared" si="56"/>
        <v>0</v>
      </c>
      <c r="K139" s="1147"/>
      <c r="L139" s="1127">
        <f t="shared" si="57"/>
        <v>0</v>
      </c>
      <c r="M139" s="1147"/>
      <c r="N139" s="1127">
        <f t="shared" si="58"/>
        <v>0</v>
      </c>
      <c r="O139" s="1147"/>
      <c r="P139" s="1127">
        <f t="shared" si="59"/>
        <v>0</v>
      </c>
      <c r="Q139" s="1147"/>
      <c r="R139" s="1127">
        <f t="shared" si="60"/>
        <v>0</v>
      </c>
      <c r="S139" s="1028"/>
      <c r="T139" s="1131">
        <f t="shared" si="63"/>
        <v>0</v>
      </c>
      <c r="U139" s="1045"/>
      <c r="V139" s="1045">
        <f t="shared" si="64"/>
        <v>0</v>
      </c>
      <c r="W139" s="1132">
        <f t="shared" si="43"/>
        <v>0</v>
      </c>
      <c r="X139" s="1045">
        <f t="shared" si="61"/>
        <v>0</v>
      </c>
      <c r="Y139" s="1132">
        <f t="shared" si="45"/>
        <v>0</v>
      </c>
      <c r="Z139" s="1045">
        <f t="shared" si="62"/>
        <v>0</v>
      </c>
      <c r="AA139" s="891"/>
      <c r="AB139" s="891"/>
    </row>
    <row r="140" spans="1:32" s="486" customFormat="1">
      <c r="A140" s="1184"/>
      <c r="B140" s="1125" t="s">
        <v>3703</v>
      </c>
      <c r="C140" s="1024">
        <f>Data!K3518</f>
        <v>3082.74</v>
      </c>
      <c r="D140" s="1138" t="s">
        <v>2070</v>
      </c>
      <c r="E140" s="1139"/>
      <c r="F140" s="1127">
        <f t="shared" si="35"/>
        <v>0</v>
      </c>
      <c r="G140" s="1138"/>
      <c r="H140" s="1127">
        <f t="shared" ref="H140:H152" si="65">G140*C140</f>
        <v>0</v>
      </c>
      <c r="I140" s="1138"/>
      <c r="J140" s="1127">
        <f t="shared" ref="J140:J152" si="66">I140*C140</f>
        <v>0</v>
      </c>
      <c r="K140" s="1138"/>
      <c r="L140" s="1127">
        <f t="shared" ref="L140:L152" si="67">K140*C140</f>
        <v>0</v>
      </c>
      <c r="M140" s="1138"/>
      <c r="N140" s="1127">
        <f t="shared" ref="N140:N152" si="68">M140*C140</f>
        <v>0</v>
      </c>
      <c r="O140" s="1138"/>
      <c r="P140" s="1127">
        <f t="shared" ref="P140:P152" si="69">O140*C140</f>
        <v>0</v>
      </c>
      <c r="Q140" s="1138"/>
      <c r="R140" s="1127">
        <f t="shared" ref="R140:R152" si="70">Q140*C140</f>
        <v>0</v>
      </c>
      <c r="S140" s="1028"/>
      <c r="T140" s="1131">
        <f t="shared" ref="T140:T152" si="71">S140*C140</f>
        <v>0</v>
      </c>
      <c r="U140" s="1045"/>
      <c r="V140" s="1045">
        <f t="shared" si="64"/>
        <v>0</v>
      </c>
      <c r="W140" s="1132">
        <f t="shared" si="43"/>
        <v>0</v>
      </c>
      <c r="X140" s="1045">
        <f t="shared" ref="X140:X152" si="72">W140*C140</f>
        <v>0</v>
      </c>
      <c r="Y140" s="1132">
        <f t="shared" si="45"/>
        <v>0</v>
      </c>
      <c r="Z140" s="1045">
        <f t="shared" ref="Z140:Z153" si="73">Y140*C140</f>
        <v>0</v>
      </c>
      <c r="AA140" s="892"/>
      <c r="AB140" s="891"/>
    </row>
    <row r="141" spans="1:32" s="486" customFormat="1" ht="51.75" customHeight="1">
      <c r="A141" s="1184"/>
      <c r="B141" s="1044" t="s">
        <v>4299</v>
      </c>
      <c r="C141" s="1024">
        <f>Data!R157</f>
        <v>156.1</v>
      </c>
      <c r="D141" s="1138" t="s">
        <v>1153</v>
      </c>
      <c r="E141" s="1139"/>
      <c r="F141" s="1127">
        <f t="shared" si="35"/>
        <v>0</v>
      </c>
      <c r="G141" s="1138"/>
      <c r="H141" s="1127">
        <f t="shared" si="65"/>
        <v>0</v>
      </c>
      <c r="I141" s="1138"/>
      <c r="J141" s="1127">
        <f t="shared" si="66"/>
        <v>0</v>
      </c>
      <c r="K141" s="1138"/>
      <c r="L141" s="1127">
        <f t="shared" si="67"/>
        <v>0</v>
      </c>
      <c r="M141" s="1138"/>
      <c r="N141" s="1127">
        <f t="shared" si="68"/>
        <v>0</v>
      </c>
      <c r="O141" s="1138"/>
      <c r="P141" s="1127">
        <f t="shared" si="69"/>
        <v>0</v>
      </c>
      <c r="Q141" s="1138"/>
      <c r="R141" s="1127">
        <f t="shared" si="70"/>
        <v>0</v>
      </c>
      <c r="S141" s="1045"/>
      <c r="T141" s="1131">
        <f t="shared" si="71"/>
        <v>0</v>
      </c>
      <c r="U141" s="1045"/>
      <c r="V141" s="1045">
        <f t="shared" si="64"/>
        <v>0</v>
      </c>
      <c r="W141" s="1132">
        <f t="shared" si="43"/>
        <v>0</v>
      </c>
      <c r="X141" s="1045">
        <f t="shared" si="72"/>
        <v>0</v>
      </c>
      <c r="Y141" s="1132">
        <f t="shared" si="45"/>
        <v>0</v>
      </c>
      <c r="Z141" s="1045">
        <f t="shared" si="73"/>
        <v>0</v>
      </c>
      <c r="AA141" s="892"/>
      <c r="AB141" s="890"/>
    </row>
    <row r="142" spans="1:32">
      <c r="A142" s="1040"/>
      <c r="B142" s="1125" t="s">
        <v>3612</v>
      </c>
      <c r="C142" s="1052">
        <f>Data!K1445</f>
        <v>243.04</v>
      </c>
      <c r="D142" s="1127" t="s">
        <v>2199</v>
      </c>
      <c r="E142" s="1128"/>
      <c r="F142" s="1127">
        <f t="shared" si="35"/>
        <v>0</v>
      </c>
      <c r="G142" s="1127"/>
      <c r="H142" s="1127">
        <f t="shared" si="65"/>
        <v>0</v>
      </c>
      <c r="I142" s="1127">
        <f>Sump!G32</f>
        <v>20.5</v>
      </c>
      <c r="J142" s="1127">
        <f t="shared" si="66"/>
        <v>4982.32</v>
      </c>
      <c r="K142" s="1127"/>
      <c r="L142" s="1127">
        <f t="shared" si="67"/>
        <v>0</v>
      </c>
      <c r="M142" s="1127"/>
      <c r="N142" s="1127">
        <f t="shared" si="68"/>
        <v>0</v>
      </c>
      <c r="O142" s="1127"/>
      <c r="P142" s="1127">
        <f t="shared" si="69"/>
        <v>0</v>
      </c>
      <c r="Q142" s="1127"/>
      <c r="R142" s="1127">
        <f t="shared" si="70"/>
        <v>0</v>
      </c>
      <c r="S142" s="1045"/>
      <c r="T142" s="1131">
        <f t="shared" si="71"/>
        <v>0</v>
      </c>
      <c r="U142" s="1045"/>
      <c r="V142" s="1045">
        <f t="shared" si="64"/>
        <v>0</v>
      </c>
      <c r="W142" s="1132">
        <f t="shared" si="43"/>
        <v>20.5</v>
      </c>
      <c r="X142" s="1045">
        <f t="shared" si="72"/>
        <v>4982.32</v>
      </c>
      <c r="Y142" s="1132">
        <f t="shared" si="45"/>
        <v>20.5</v>
      </c>
      <c r="Z142" s="1045">
        <f t="shared" si="73"/>
        <v>4982.32</v>
      </c>
      <c r="AA142" s="890"/>
      <c r="AB142" s="890"/>
    </row>
    <row r="143" spans="1:32" s="867" customFormat="1">
      <c r="A143" s="1123"/>
      <c r="B143" s="1125" t="s">
        <v>3610</v>
      </c>
      <c r="C143" s="1125">
        <f>Data!R147</f>
        <v>380.24</v>
      </c>
      <c r="D143" s="1125" t="s">
        <v>2070</v>
      </c>
      <c r="E143" s="1195">
        <f>detailed!G73</f>
        <v>292.2</v>
      </c>
      <c r="F143" s="1127">
        <f t="shared" si="35"/>
        <v>111106.13</v>
      </c>
      <c r="G143" s="1125"/>
      <c r="H143" s="1127">
        <f t="shared" si="65"/>
        <v>0</v>
      </c>
      <c r="I143" s="1125"/>
      <c r="J143" s="1127">
        <f t="shared" si="66"/>
        <v>0</v>
      </c>
      <c r="K143" s="1125">
        <f>'Plinth P'!G41</f>
        <v>52.9</v>
      </c>
      <c r="L143" s="1127">
        <f t="shared" si="67"/>
        <v>20114.7</v>
      </c>
      <c r="M143" s="1125"/>
      <c r="N143" s="1127">
        <f t="shared" si="68"/>
        <v>0</v>
      </c>
      <c r="O143" s="1125"/>
      <c r="P143" s="1127">
        <f t="shared" si="69"/>
        <v>0</v>
      </c>
      <c r="Q143" s="1125"/>
      <c r="R143" s="1127">
        <f t="shared" si="70"/>
        <v>0</v>
      </c>
      <c r="S143" s="1045"/>
      <c r="T143" s="1131">
        <f t="shared" si="71"/>
        <v>0</v>
      </c>
      <c r="U143" s="1045"/>
      <c r="V143" s="1045">
        <f t="shared" si="64"/>
        <v>0</v>
      </c>
      <c r="W143" s="1132">
        <f t="shared" si="43"/>
        <v>52.9</v>
      </c>
      <c r="X143" s="1045">
        <f t="shared" si="72"/>
        <v>20114.7</v>
      </c>
      <c r="Y143" s="1132">
        <f t="shared" si="45"/>
        <v>345.1</v>
      </c>
      <c r="Z143" s="1045">
        <f t="shared" si="73"/>
        <v>131220.82</v>
      </c>
      <c r="AA143" s="890"/>
      <c r="AB143" s="890"/>
    </row>
    <row r="144" spans="1:32" s="486" customFormat="1">
      <c r="A144" s="1124"/>
      <c r="B144" s="1196" t="s">
        <v>3691</v>
      </c>
      <c r="C144" s="1197">
        <f>Data!K2451</f>
        <v>680.91</v>
      </c>
      <c r="D144" s="1199" t="s">
        <v>2199</v>
      </c>
      <c r="E144" s="1200"/>
      <c r="F144" s="1127">
        <f t="shared" si="35"/>
        <v>0</v>
      </c>
      <c r="G144" s="1199"/>
      <c r="H144" s="1127">
        <f t="shared" si="65"/>
        <v>0</v>
      </c>
      <c r="I144" s="1199"/>
      <c r="J144" s="1127">
        <f t="shared" si="66"/>
        <v>0</v>
      </c>
      <c r="K144" s="1199"/>
      <c r="L144" s="1127">
        <f t="shared" si="67"/>
        <v>0</v>
      </c>
      <c r="M144" s="1199"/>
      <c r="N144" s="1127">
        <f t="shared" si="68"/>
        <v>0</v>
      </c>
      <c r="O144" s="1199"/>
      <c r="P144" s="1127">
        <f t="shared" si="69"/>
        <v>0</v>
      </c>
      <c r="Q144" s="1199"/>
      <c r="R144" s="1127">
        <f t="shared" si="70"/>
        <v>0</v>
      </c>
      <c r="S144" s="1028"/>
      <c r="T144" s="1131">
        <f t="shared" si="71"/>
        <v>0</v>
      </c>
      <c r="U144" s="1045"/>
      <c r="V144" s="1045">
        <f t="shared" si="64"/>
        <v>0</v>
      </c>
      <c r="W144" s="1132">
        <f t="shared" si="43"/>
        <v>0</v>
      </c>
      <c r="X144" s="1045">
        <f t="shared" si="72"/>
        <v>0</v>
      </c>
      <c r="Y144" s="1132">
        <f t="shared" si="45"/>
        <v>0</v>
      </c>
      <c r="Z144" s="1045">
        <f t="shared" si="73"/>
        <v>0</v>
      </c>
      <c r="AA144" s="892"/>
      <c r="AB144" s="891"/>
    </row>
    <row r="145" spans="1:29" s="486" customFormat="1" ht="45">
      <c r="A145" s="1201">
        <v>3.8</v>
      </c>
      <c r="B145" s="1202" t="s">
        <v>4300</v>
      </c>
      <c r="C145" s="1202">
        <f>Data!R207</f>
        <v>5175.4399999999996</v>
      </c>
      <c r="D145" s="1203" t="s">
        <v>2070</v>
      </c>
      <c r="E145" s="1204"/>
      <c r="F145" s="1127">
        <f t="shared" si="35"/>
        <v>0</v>
      </c>
      <c r="G145" s="1203"/>
      <c r="H145" s="1127">
        <f t="shared" si="65"/>
        <v>0</v>
      </c>
      <c r="I145" s="1203"/>
      <c r="J145" s="1127">
        <f t="shared" si="66"/>
        <v>0</v>
      </c>
      <c r="K145" s="1203"/>
      <c r="L145" s="1127">
        <f t="shared" si="67"/>
        <v>0</v>
      </c>
      <c r="M145" s="1203"/>
      <c r="N145" s="1127">
        <f t="shared" si="68"/>
        <v>0</v>
      </c>
      <c r="O145" s="1203"/>
      <c r="P145" s="1127">
        <f t="shared" si="69"/>
        <v>0</v>
      </c>
      <c r="Q145" s="1203"/>
      <c r="R145" s="1127">
        <f t="shared" si="70"/>
        <v>0</v>
      </c>
      <c r="S145" s="1028"/>
      <c r="T145" s="1131">
        <f t="shared" si="71"/>
        <v>0</v>
      </c>
      <c r="U145" s="1045"/>
      <c r="V145" s="1045">
        <f t="shared" si="64"/>
        <v>0</v>
      </c>
      <c r="W145" s="1132">
        <f t="shared" si="43"/>
        <v>0</v>
      </c>
      <c r="X145" s="1045">
        <f t="shared" si="72"/>
        <v>0</v>
      </c>
      <c r="Y145" s="1132">
        <f t="shared" si="45"/>
        <v>0</v>
      </c>
      <c r="Z145" s="1045">
        <f t="shared" si="73"/>
        <v>0</v>
      </c>
      <c r="AA145" s="892"/>
      <c r="AB145" s="891"/>
    </row>
    <row r="146" spans="1:29" s="486" customFormat="1">
      <c r="A146" s="1205">
        <v>3.3</v>
      </c>
      <c r="B146" s="1202" t="s">
        <v>4637</v>
      </c>
      <c r="C146" s="1202">
        <f>Data!R243</f>
        <v>4490.8999999999996</v>
      </c>
      <c r="D146" s="1206" t="s">
        <v>2070</v>
      </c>
      <c r="E146" s="1207"/>
      <c r="F146" s="1127">
        <f t="shared" si="35"/>
        <v>0</v>
      </c>
      <c r="G146" s="1206"/>
      <c r="H146" s="1127">
        <f t="shared" si="65"/>
        <v>0</v>
      </c>
      <c r="I146" s="1206"/>
      <c r="J146" s="1127">
        <f t="shared" si="66"/>
        <v>0</v>
      </c>
      <c r="K146" s="1206"/>
      <c r="L146" s="1127">
        <f t="shared" si="67"/>
        <v>0</v>
      </c>
      <c r="M146" s="1206"/>
      <c r="N146" s="1127">
        <f t="shared" si="68"/>
        <v>0</v>
      </c>
      <c r="O146" s="1206"/>
      <c r="P146" s="1127">
        <f t="shared" si="69"/>
        <v>0</v>
      </c>
      <c r="Q146" s="1206"/>
      <c r="R146" s="1127">
        <f t="shared" si="70"/>
        <v>0</v>
      </c>
      <c r="S146" s="1028"/>
      <c r="T146" s="1131">
        <f t="shared" si="71"/>
        <v>0</v>
      </c>
      <c r="U146" s="1045"/>
      <c r="V146" s="1045">
        <f t="shared" si="64"/>
        <v>0</v>
      </c>
      <c r="W146" s="1132">
        <f t="shared" si="43"/>
        <v>0</v>
      </c>
      <c r="X146" s="1045">
        <f t="shared" si="72"/>
        <v>0</v>
      </c>
      <c r="Y146" s="1132">
        <f t="shared" si="45"/>
        <v>0</v>
      </c>
      <c r="Z146" s="1045">
        <f t="shared" si="73"/>
        <v>0</v>
      </c>
      <c r="AA146" s="892"/>
      <c r="AB146" s="891"/>
    </row>
    <row r="147" spans="1:29" s="486" customFormat="1" ht="43.5">
      <c r="A147" s="883"/>
      <c r="B147" s="884" t="s">
        <v>3469</v>
      </c>
      <c r="C147" s="885">
        <f>Data!X207</f>
        <v>4812.74</v>
      </c>
      <c r="D147" s="886" t="s">
        <v>2070</v>
      </c>
      <c r="E147" s="886"/>
      <c r="F147" s="1127">
        <f t="shared" si="35"/>
        <v>0</v>
      </c>
      <c r="G147" s="886"/>
      <c r="H147" s="1127">
        <f t="shared" si="65"/>
        <v>0</v>
      </c>
      <c r="I147" s="886"/>
      <c r="J147" s="1127">
        <f t="shared" si="66"/>
        <v>0</v>
      </c>
      <c r="K147" s="886"/>
      <c r="L147" s="1127">
        <f t="shared" si="67"/>
        <v>0</v>
      </c>
      <c r="M147" s="886"/>
      <c r="N147" s="1127">
        <f t="shared" si="68"/>
        <v>0</v>
      </c>
      <c r="O147" s="886"/>
      <c r="P147" s="1127">
        <f t="shared" si="69"/>
        <v>0</v>
      </c>
      <c r="Q147" s="886"/>
      <c r="R147" s="1127">
        <f t="shared" si="70"/>
        <v>0</v>
      </c>
      <c r="S147" s="881"/>
      <c r="T147" s="1131">
        <f t="shared" si="71"/>
        <v>0</v>
      </c>
      <c r="U147" s="882"/>
      <c r="V147" s="783">
        <f t="shared" si="64"/>
        <v>0</v>
      </c>
      <c r="W147" s="1132">
        <f t="shared" si="43"/>
        <v>0</v>
      </c>
      <c r="X147" s="1045">
        <f t="shared" si="72"/>
        <v>0</v>
      </c>
      <c r="Y147" s="1132">
        <f t="shared" si="45"/>
        <v>0</v>
      </c>
      <c r="Z147" s="1045">
        <f t="shared" si="73"/>
        <v>0</v>
      </c>
      <c r="AA147" s="892"/>
      <c r="AB147" s="891"/>
    </row>
    <row r="148" spans="1:29">
      <c r="A148" s="1124">
        <v>18.100000000000001</v>
      </c>
      <c r="B148" s="1159" t="s">
        <v>190</v>
      </c>
      <c r="C148" s="1052"/>
      <c r="D148" s="1127"/>
      <c r="E148" s="1128"/>
      <c r="F148" s="1127">
        <f t="shared" si="35"/>
        <v>0</v>
      </c>
      <c r="G148" s="1127"/>
      <c r="H148" s="1127">
        <f t="shared" si="65"/>
        <v>0</v>
      </c>
      <c r="I148" s="1127"/>
      <c r="J148" s="1127">
        <f t="shared" si="66"/>
        <v>0</v>
      </c>
      <c r="K148" s="1127"/>
      <c r="L148" s="1127">
        <f t="shared" si="67"/>
        <v>0</v>
      </c>
      <c r="M148" s="1127"/>
      <c r="N148" s="1127">
        <f t="shared" si="68"/>
        <v>0</v>
      </c>
      <c r="O148" s="1127"/>
      <c r="P148" s="1127">
        <f t="shared" si="69"/>
        <v>0</v>
      </c>
      <c r="Q148" s="1127"/>
      <c r="R148" s="1127">
        <f t="shared" si="70"/>
        <v>0</v>
      </c>
      <c r="S148" s="1049"/>
      <c r="T148" s="1131">
        <f t="shared" si="71"/>
        <v>0</v>
      </c>
      <c r="U148" s="1045"/>
      <c r="V148" s="1045">
        <f t="shared" si="64"/>
        <v>0</v>
      </c>
      <c r="W148" s="1132">
        <f t="shared" si="43"/>
        <v>0</v>
      </c>
      <c r="X148" s="1045">
        <f t="shared" si="72"/>
        <v>0</v>
      </c>
      <c r="Y148" s="1132">
        <f t="shared" si="45"/>
        <v>0</v>
      </c>
      <c r="Z148" s="1045">
        <f t="shared" si="73"/>
        <v>0</v>
      </c>
      <c r="AA148" s="785"/>
      <c r="AB148" s="890"/>
      <c r="AC148" s="862"/>
    </row>
    <row r="149" spans="1:29" ht="63" customHeight="1">
      <c r="A149" s="1124"/>
      <c r="B149" s="1125" t="s">
        <v>1762</v>
      </c>
      <c r="C149" s="1052">
        <f>ROUND(Data!I2357,2)</f>
        <v>739.38</v>
      </c>
      <c r="D149" s="1127" t="s">
        <v>2199</v>
      </c>
      <c r="E149" s="1128">
        <f>detailed!G737</f>
        <v>566.6</v>
      </c>
      <c r="F149" s="1127">
        <f t="shared" si="35"/>
        <v>418932.71</v>
      </c>
      <c r="G149" s="1127">
        <f>ST!G46</f>
        <v>5</v>
      </c>
      <c r="H149" s="1127">
        <f t="shared" si="65"/>
        <v>3696.9</v>
      </c>
      <c r="I149" s="1127"/>
      <c r="J149" s="1127">
        <f t="shared" si="66"/>
        <v>0</v>
      </c>
      <c r="K149" s="1127"/>
      <c r="L149" s="1127">
        <f t="shared" si="67"/>
        <v>0</v>
      </c>
      <c r="M149" s="1127"/>
      <c r="N149" s="1127">
        <f t="shared" si="68"/>
        <v>0</v>
      </c>
      <c r="O149" s="1127"/>
      <c r="P149" s="1127">
        <f t="shared" si="69"/>
        <v>0</v>
      </c>
      <c r="Q149" s="1127"/>
      <c r="R149" s="1127">
        <f t="shared" si="70"/>
        <v>0</v>
      </c>
      <c r="S149" s="1045"/>
      <c r="T149" s="1131">
        <f t="shared" si="71"/>
        <v>0</v>
      </c>
      <c r="U149" s="1045">
        <f>Com.wall!H85</f>
        <v>121.3</v>
      </c>
      <c r="V149" s="1045">
        <f t="shared" si="64"/>
        <v>89686.79</v>
      </c>
      <c r="W149" s="1132">
        <f t="shared" si="43"/>
        <v>126.3</v>
      </c>
      <c r="X149" s="1045">
        <f t="shared" si="72"/>
        <v>93383.69</v>
      </c>
      <c r="Y149" s="1132">
        <f t="shared" si="45"/>
        <v>692.9</v>
      </c>
      <c r="Z149" s="1045">
        <f t="shared" si="73"/>
        <v>512316.4</v>
      </c>
      <c r="AA149" s="890"/>
      <c r="AB149" s="890"/>
    </row>
    <row r="150" spans="1:29" ht="93.75" customHeight="1">
      <c r="A150" s="1124"/>
      <c r="B150" s="1125" t="s">
        <v>1037</v>
      </c>
      <c r="C150" s="1052">
        <f>ROUND(Data!I2359,2)</f>
        <v>831.23</v>
      </c>
      <c r="D150" s="1127" t="s">
        <v>2199</v>
      </c>
      <c r="E150" s="1128">
        <f>detailed!G844</f>
        <v>2291.6999999999998</v>
      </c>
      <c r="F150" s="1127">
        <f t="shared" si="35"/>
        <v>1904929.79</v>
      </c>
      <c r="G150" s="1127">
        <f>ST!G50</f>
        <v>8.3000000000000007</v>
      </c>
      <c r="H150" s="1127">
        <f t="shared" si="65"/>
        <v>6899.21</v>
      </c>
      <c r="I150" s="1127"/>
      <c r="J150" s="1127">
        <f t="shared" si="66"/>
        <v>0</v>
      </c>
      <c r="K150" s="1127"/>
      <c r="L150" s="1127">
        <f t="shared" si="67"/>
        <v>0</v>
      </c>
      <c r="M150" s="1127"/>
      <c r="N150" s="1127">
        <f t="shared" si="68"/>
        <v>0</v>
      </c>
      <c r="O150" s="1127"/>
      <c r="P150" s="1127">
        <f t="shared" si="69"/>
        <v>0</v>
      </c>
      <c r="Q150" s="1127"/>
      <c r="R150" s="1127">
        <f t="shared" si="70"/>
        <v>0</v>
      </c>
      <c r="S150" s="1045"/>
      <c r="T150" s="1131">
        <f t="shared" si="71"/>
        <v>0</v>
      </c>
      <c r="U150" s="1045"/>
      <c r="V150" s="1045">
        <f t="shared" si="64"/>
        <v>0</v>
      </c>
      <c r="W150" s="1132">
        <f t="shared" si="43"/>
        <v>8.3000000000000007</v>
      </c>
      <c r="X150" s="1045">
        <f t="shared" si="72"/>
        <v>6899.21</v>
      </c>
      <c r="Y150" s="1132">
        <f t="shared" si="45"/>
        <v>2300</v>
      </c>
      <c r="Z150" s="1045">
        <f t="shared" si="73"/>
        <v>1911829</v>
      </c>
      <c r="AA150" s="890"/>
      <c r="AB150" s="890"/>
    </row>
    <row r="151" spans="1:29" ht="63" customHeight="1">
      <c r="A151" s="1125"/>
      <c r="B151" s="1125" t="s">
        <v>1601</v>
      </c>
      <c r="C151" s="1052">
        <f>ROUND(Data!I2361,2)</f>
        <v>997.48</v>
      </c>
      <c r="D151" s="1127" t="s">
        <v>2199</v>
      </c>
      <c r="E151" s="1128">
        <f>detailed!G895</f>
        <v>824.7</v>
      </c>
      <c r="F151" s="1127">
        <f t="shared" si="35"/>
        <v>822621.76</v>
      </c>
      <c r="G151" s="1127"/>
      <c r="H151" s="1127">
        <f t="shared" si="65"/>
        <v>0</v>
      </c>
      <c r="I151" s="1127"/>
      <c r="J151" s="1127">
        <f t="shared" si="66"/>
        <v>0</v>
      </c>
      <c r="K151" s="1127"/>
      <c r="L151" s="1127">
        <f t="shared" si="67"/>
        <v>0</v>
      </c>
      <c r="M151" s="1127"/>
      <c r="N151" s="1127">
        <f t="shared" si="68"/>
        <v>0</v>
      </c>
      <c r="O151" s="1127"/>
      <c r="P151" s="1127">
        <f t="shared" si="69"/>
        <v>0</v>
      </c>
      <c r="Q151" s="1127"/>
      <c r="R151" s="1127">
        <f t="shared" si="70"/>
        <v>0</v>
      </c>
      <c r="S151" s="1045"/>
      <c r="T151" s="1131">
        <f t="shared" si="71"/>
        <v>0</v>
      </c>
      <c r="U151" s="1045">
        <f>Com.wall!H93</f>
        <v>80.8</v>
      </c>
      <c r="V151" s="1045">
        <f t="shared" si="64"/>
        <v>80596.38</v>
      </c>
      <c r="W151" s="1132">
        <f t="shared" si="43"/>
        <v>80.8</v>
      </c>
      <c r="X151" s="1045">
        <f t="shared" si="72"/>
        <v>80596.38</v>
      </c>
      <c r="Y151" s="1132">
        <f t="shared" si="45"/>
        <v>905.5</v>
      </c>
      <c r="Z151" s="1045">
        <f t="shared" si="73"/>
        <v>903218.14</v>
      </c>
      <c r="AA151" s="890"/>
      <c r="AB151" s="890"/>
    </row>
    <row r="152" spans="1:29">
      <c r="A152" s="1040"/>
      <c r="B152" s="1125" t="s">
        <v>3882</v>
      </c>
      <c r="C152" s="1040">
        <f>Data!I2363</f>
        <v>914.35</v>
      </c>
      <c r="D152" s="1127" t="s">
        <v>2199</v>
      </c>
      <c r="E152" s="1128"/>
      <c r="F152" s="1127">
        <f t="shared" si="35"/>
        <v>0</v>
      </c>
      <c r="G152" s="1127"/>
      <c r="H152" s="1127">
        <f t="shared" si="65"/>
        <v>0</v>
      </c>
      <c r="I152" s="1127"/>
      <c r="J152" s="1127">
        <f t="shared" si="66"/>
        <v>0</v>
      </c>
      <c r="K152" s="1127"/>
      <c r="L152" s="1127">
        <f t="shared" si="67"/>
        <v>0</v>
      </c>
      <c r="M152" s="1127"/>
      <c r="N152" s="1127">
        <f t="shared" si="68"/>
        <v>0</v>
      </c>
      <c r="O152" s="1127"/>
      <c r="P152" s="1127">
        <f t="shared" si="69"/>
        <v>0</v>
      </c>
      <c r="Q152" s="1127"/>
      <c r="R152" s="1127">
        <f t="shared" si="70"/>
        <v>0</v>
      </c>
      <c r="S152" s="1045"/>
      <c r="T152" s="1131">
        <f t="shared" si="71"/>
        <v>0</v>
      </c>
      <c r="U152" s="1045"/>
      <c r="V152" s="1045">
        <f t="shared" si="64"/>
        <v>0</v>
      </c>
      <c r="W152" s="1132">
        <f t="shared" si="43"/>
        <v>0</v>
      </c>
      <c r="X152" s="1045">
        <f t="shared" si="72"/>
        <v>0</v>
      </c>
      <c r="Y152" s="1132">
        <f t="shared" si="45"/>
        <v>0</v>
      </c>
      <c r="Z152" s="1045">
        <f t="shared" si="73"/>
        <v>0</v>
      </c>
      <c r="AA152" s="890"/>
      <c r="AB152" s="890"/>
    </row>
    <row r="153" spans="1:29" s="486" customFormat="1">
      <c r="A153" s="790"/>
      <c r="B153" s="788" t="s">
        <v>3705</v>
      </c>
      <c r="C153" s="715">
        <f>C151*2</f>
        <v>1994.96</v>
      </c>
      <c r="D153" s="714" t="s">
        <v>2199</v>
      </c>
      <c r="E153" s="714"/>
      <c r="F153" s="1127">
        <f t="shared" si="35"/>
        <v>0</v>
      </c>
      <c r="G153" s="714"/>
      <c r="H153" s="714"/>
      <c r="I153" s="714"/>
      <c r="J153" s="714"/>
      <c r="K153" s="714"/>
      <c r="L153" s="714"/>
      <c r="M153" s="714"/>
      <c r="N153" s="714"/>
      <c r="O153" s="714"/>
      <c r="P153" s="714"/>
      <c r="Q153" s="714"/>
      <c r="R153" s="714"/>
      <c r="S153" s="784"/>
      <c r="T153" s="865">
        <f t="shared" ref="T153:T173" si="74">S153*C153</f>
        <v>0</v>
      </c>
      <c r="U153" s="783"/>
      <c r="V153" s="783">
        <f t="shared" si="64"/>
        <v>0</v>
      </c>
      <c r="W153" s="1132">
        <f t="shared" si="43"/>
        <v>0</v>
      </c>
      <c r="X153" s="783">
        <f>W153*C153</f>
        <v>0</v>
      </c>
      <c r="Y153" s="1132">
        <f t="shared" si="45"/>
        <v>0</v>
      </c>
      <c r="Z153" s="1045">
        <f t="shared" si="73"/>
        <v>0</v>
      </c>
      <c r="AA153" s="892"/>
      <c r="AB153" s="891"/>
    </row>
    <row r="154" spans="1:29">
      <c r="A154" s="1010"/>
      <c r="B154" s="1125" t="s">
        <v>3708</v>
      </c>
      <c r="C154" s="1052">
        <f>C150*1.5</f>
        <v>1246.8499999999999</v>
      </c>
      <c r="D154" s="1127" t="s">
        <v>2199</v>
      </c>
      <c r="E154" s="1128"/>
      <c r="F154" s="1127">
        <f t="shared" si="35"/>
        <v>0</v>
      </c>
      <c r="G154" s="1127"/>
      <c r="H154" s="1127">
        <f t="shared" ref="H154:H157" si="75">G154*C154</f>
        <v>0</v>
      </c>
      <c r="I154" s="1127">
        <f>Sump!G55</f>
        <v>19.899999999999999</v>
      </c>
      <c r="J154" s="1127">
        <f t="shared" ref="J154:J157" si="76">I154*C154</f>
        <v>24812.32</v>
      </c>
      <c r="K154" s="1127"/>
      <c r="L154" s="1127">
        <f t="shared" ref="L154:L157" si="77">K154*C154</f>
        <v>0</v>
      </c>
      <c r="M154" s="1127"/>
      <c r="N154" s="1127">
        <f t="shared" ref="N154:N157" si="78">M154*C154</f>
        <v>0</v>
      </c>
      <c r="O154" s="1127"/>
      <c r="P154" s="1127">
        <f t="shared" ref="P154:P157" si="79">O154*C154</f>
        <v>0</v>
      </c>
      <c r="Q154" s="1127"/>
      <c r="R154" s="1127">
        <f t="shared" ref="R154:R157" si="80">Q154*C154</f>
        <v>0</v>
      </c>
      <c r="S154" s="1045"/>
      <c r="T154" s="1131">
        <f t="shared" si="74"/>
        <v>0</v>
      </c>
      <c r="U154" s="1045"/>
      <c r="V154" s="1045">
        <f t="shared" si="64"/>
        <v>0</v>
      </c>
      <c r="W154" s="1132">
        <f t="shared" si="43"/>
        <v>19.899999999999999</v>
      </c>
      <c r="X154" s="1045">
        <f t="shared" ref="X154:X157" si="81">W154*C154</f>
        <v>24812.32</v>
      </c>
      <c r="Y154" s="1132">
        <f t="shared" si="45"/>
        <v>19.899999999999999</v>
      </c>
      <c r="Z154" s="1045">
        <f t="shared" ref="Z154:Z157" si="82">Y154*C154</f>
        <v>24812.32</v>
      </c>
      <c r="AA154" s="890"/>
      <c r="AB154" s="890"/>
    </row>
    <row r="155" spans="1:29" s="486" customFormat="1" ht="57" customHeight="1">
      <c r="A155" s="1208"/>
      <c r="B155" s="1175" t="s">
        <v>3529</v>
      </c>
      <c r="C155" s="1176">
        <f>C150*2</f>
        <v>1662.46</v>
      </c>
      <c r="D155" s="1177" t="s">
        <v>2199</v>
      </c>
      <c r="E155" s="1178"/>
      <c r="F155" s="1127">
        <f t="shared" si="35"/>
        <v>0</v>
      </c>
      <c r="G155" s="1177"/>
      <c r="H155" s="1127">
        <f t="shared" si="75"/>
        <v>0</v>
      </c>
      <c r="I155" s="1177"/>
      <c r="J155" s="1127">
        <f t="shared" si="76"/>
        <v>0</v>
      </c>
      <c r="K155" s="1177"/>
      <c r="L155" s="1127">
        <f t="shared" si="77"/>
        <v>0</v>
      </c>
      <c r="M155" s="1177"/>
      <c r="N155" s="1127">
        <f t="shared" si="78"/>
        <v>0</v>
      </c>
      <c r="O155" s="1177"/>
      <c r="P155" s="1127">
        <f t="shared" si="79"/>
        <v>0</v>
      </c>
      <c r="Q155" s="1177"/>
      <c r="R155" s="1127">
        <f t="shared" si="80"/>
        <v>0</v>
      </c>
      <c r="S155" s="1143"/>
      <c r="T155" s="1131">
        <f t="shared" si="74"/>
        <v>0</v>
      </c>
      <c r="U155" s="1144"/>
      <c r="V155" s="1045">
        <f t="shared" si="64"/>
        <v>0</v>
      </c>
      <c r="W155" s="1132">
        <f t="shared" si="43"/>
        <v>0</v>
      </c>
      <c r="X155" s="1045">
        <f t="shared" si="81"/>
        <v>0</v>
      </c>
      <c r="Y155" s="1132">
        <f t="shared" si="45"/>
        <v>0</v>
      </c>
      <c r="Z155" s="1045">
        <f t="shared" si="82"/>
        <v>0</v>
      </c>
      <c r="AA155" s="892"/>
      <c r="AB155" s="891"/>
    </row>
    <row r="156" spans="1:29" ht="82.5" customHeight="1">
      <c r="A156" s="1124">
        <v>21.6</v>
      </c>
      <c r="B156" s="1192" t="s">
        <v>4157</v>
      </c>
      <c r="C156" s="1052"/>
      <c r="D156" s="1127"/>
      <c r="E156" s="1128"/>
      <c r="F156" s="1127">
        <f t="shared" si="35"/>
        <v>0</v>
      </c>
      <c r="G156" s="1127"/>
      <c r="H156" s="1127">
        <f t="shared" si="75"/>
        <v>0</v>
      </c>
      <c r="I156" s="1127"/>
      <c r="J156" s="1127">
        <f t="shared" si="76"/>
        <v>0</v>
      </c>
      <c r="K156" s="1127"/>
      <c r="L156" s="1127">
        <f t="shared" si="77"/>
        <v>0</v>
      </c>
      <c r="M156" s="1127"/>
      <c r="N156" s="1127">
        <f t="shared" si="78"/>
        <v>0</v>
      </c>
      <c r="O156" s="1127"/>
      <c r="P156" s="1127">
        <f t="shared" si="79"/>
        <v>0</v>
      </c>
      <c r="Q156" s="1127"/>
      <c r="R156" s="1127">
        <f t="shared" si="80"/>
        <v>0</v>
      </c>
      <c r="S156" s="1049"/>
      <c r="T156" s="1131">
        <f t="shared" si="74"/>
        <v>0</v>
      </c>
      <c r="U156" s="1045"/>
      <c r="V156" s="1045">
        <f t="shared" si="64"/>
        <v>0</v>
      </c>
      <c r="W156" s="1132">
        <f t="shared" si="43"/>
        <v>0</v>
      </c>
      <c r="X156" s="1045">
        <f t="shared" si="81"/>
        <v>0</v>
      </c>
      <c r="Y156" s="1132">
        <f t="shared" si="45"/>
        <v>0</v>
      </c>
      <c r="Z156" s="1045">
        <f t="shared" si="82"/>
        <v>0</v>
      </c>
      <c r="AA156" s="785"/>
      <c r="AB156" s="890"/>
      <c r="AC156" s="862"/>
    </row>
    <row r="157" spans="1:29">
      <c r="A157" s="1209"/>
      <c r="B157" s="1125" t="s">
        <v>542</v>
      </c>
      <c r="C157" s="1052">
        <f>ROUND(Data!K892,2)</f>
        <v>2442.37</v>
      </c>
      <c r="D157" s="1052" t="s">
        <v>1341</v>
      </c>
      <c r="E157" s="1129"/>
      <c r="F157" s="1127">
        <f t="shared" si="35"/>
        <v>0</v>
      </c>
      <c r="G157" s="1052"/>
      <c r="H157" s="1127">
        <f t="shared" si="75"/>
        <v>0</v>
      </c>
      <c r="I157" s="1052"/>
      <c r="J157" s="1127">
        <f t="shared" si="76"/>
        <v>0</v>
      </c>
      <c r="K157" s="1052"/>
      <c r="L157" s="1127">
        <f t="shared" si="77"/>
        <v>0</v>
      </c>
      <c r="M157" s="1052"/>
      <c r="N157" s="1127">
        <f t="shared" si="78"/>
        <v>0</v>
      </c>
      <c r="O157" s="1052"/>
      <c r="P157" s="1127">
        <f t="shared" si="79"/>
        <v>0</v>
      </c>
      <c r="Q157" s="1052"/>
      <c r="R157" s="1127">
        <f t="shared" si="80"/>
        <v>0</v>
      </c>
      <c r="S157" s="1045"/>
      <c r="T157" s="1131">
        <f t="shared" si="74"/>
        <v>0</v>
      </c>
      <c r="U157" s="1045"/>
      <c r="V157" s="1045">
        <f t="shared" si="64"/>
        <v>0</v>
      </c>
      <c r="W157" s="1132">
        <f t="shared" si="43"/>
        <v>0</v>
      </c>
      <c r="X157" s="1045">
        <f t="shared" si="81"/>
        <v>0</v>
      </c>
      <c r="Y157" s="1132">
        <f t="shared" si="45"/>
        <v>0</v>
      </c>
      <c r="Z157" s="1045">
        <f t="shared" si="82"/>
        <v>0</v>
      </c>
      <c r="AA157" s="890"/>
      <c r="AB157" s="890"/>
    </row>
    <row r="158" spans="1:29" s="486" customFormat="1">
      <c r="A158" s="1209"/>
      <c r="B158" s="1125" t="s">
        <v>1837</v>
      </c>
      <c r="C158" s="1052">
        <f>ROUND(Data!K874,2)</f>
        <v>2462.2399999999998</v>
      </c>
      <c r="D158" s="1052" t="s">
        <v>1341</v>
      </c>
      <c r="E158" s="1129"/>
      <c r="F158" s="1127">
        <f t="shared" si="35"/>
        <v>0</v>
      </c>
      <c r="G158" s="1052"/>
      <c r="H158" s="1127">
        <f t="shared" ref="H158:H162" si="83">G158*C158</f>
        <v>0</v>
      </c>
      <c r="I158" s="1052"/>
      <c r="J158" s="1127">
        <f t="shared" ref="J158:J162" si="84">I158*C158</f>
        <v>0</v>
      </c>
      <c r="K158" s="1052"/>
      <c r="L158" s="1127">
        <f t="shared" ref="L158:L162" si="85">K158*C158</f>
        <v>0</v>
      </c>
      <c r="M158" s="1052"/>
      <c r="N158" s="1127">
        <f t="shared" ref="N158:N162" si="86">M158*C158</f>
        <v>0</v>
      </c>
      <c r="O158" s="1052"/>
      <c r="P158" s="1127">
        <f t="shared" ref="P158:P162" si="87">O158*C158</f>
        <v>0</v>
      </c>
      <c r="Q158" s="1052"/>
      <c r="R158" s="1127">
        <f t="shared" ref="R158:R162" si="88">Q158*C158</f>
        <v>0</v>
      </c>
      <c r="S158" s="1028"/>
      <c r="T158" s="1131">
        <f t="shared" si="74"/>
        <v>0</v>
      </c>
      <c r="U158" s="1045"/>
      <c r="V158" s="1045">
        <f t="shared" si="64"/>
        <v>0</v>
      </c>
      <c r="W158" s="1132">
        <f t="shared" si="43"/>
        <v>0</v>
      </c>
      <c r="X158" s="1045">
        <f t="shared" ref="X158:X162" si="89">W158*C158</f>
        <v>0</v>
      </c>
      <c r="Y158" s="1132">
        <f t="shared" si="45"/>
        <v>0</v>
      </c>
      <c r="Z158" s="1045">
        <f t="shared" ref="Z158:Z162" si="90">Y158*C158</f>
        <v>0</v>
      </c>
      <c r="AA158" s="892"/>
      <c r="AB158" s="891"/>
    </row>
    <row r="159" spans="1:29" s="486" customFormat="1">
      <c r="A159" s="616"/>
      <c r="B159" s="550" t="s">
        <v>3613</v>
      </c>
      <c r="C159" s="548">
        <f>Data!K908</f>
        <v>2408.6799999999998</v>
      </c>
      <c r="D159" s="548" t="s">
        <v>1341</v>
      </c>
      <c r="E159" s="548"/>
      <c r="F159" s="1127">
        <f t="shared" si="35"/>
        <v>0</v>
      </c>
      <c r="G159" s="548"/>
      <c r="H159" s="1127">
        <f t="shared" si="83"/>
        <v>0</v>
      </c>
      <c r="I159" s="548"/>
      <c r="J159" s="1127">
        <f t="shared" si="84"/>
        <v>0</v>
      </c>
      <c r="K159" s="548"/>
      <c r="L159" s="1127">
        <f t="shared" si="85"/>
        <v>0</v>
      </c>
      <c r="M159" s="548"/>
      <c r="N159" s="1127">
        <f t="shared" si="86"/>
        <v>0</v>
      </c>
      <c r="O159" s="548"/>
      <c r="P159" s="1127">
        <f t="shared" si="87"/>
        <v>0</v>
      </c>
      <c r="Q159" s="548"/>
      <c r="R159" s="1127">
        <f t="shared" si="88"/>
        <v>0</v>
      </c>
      <c r="S159" s="784"/>
      <c r="T159" s="1131">
        <f t="shared" si="74"/>
        <v>0</v>
      </c>
      <c r="U159" s="783"/>
      <c r="V159" s="783">
        <f t="shared" si="64"/>
        <v>0</v>
      </c>
      <c r="W159" s="1132">
        <f t="shared" si="43"/>
        <v>0</v>
      </c>
      <c r="X159" s="1045">
        <f t="shared" si="89"/>
        <v>0</v>
      </c>
      <c r="Y159" s="1132">
        <f t="shared" si="45"/>
        <v>0</v>
      </c>
      <c r="Z159" s="1045">
        <f t="shared" si="90"/>
        <v>0</v>
      </c>
      <c r="AA159" s="892"/>
      <c r="AB159" s="891"/>
    </row>
    <row r="160" spans="1:29" s="486" customFormat="1" ht="265.5" customHeight="1">
      <c r="A160" s="617" t="s">
        <v>1638</v>
      </c>
      <c r="B160" s="550" t="s">
        <v>6044</v>
      </c>
      <c r="C160" s="1400">
        <v>4998</v>
      </c>
      <c r="D160" s="1257" t="s">
        <v>6041</v>
      </c>
      <c r="E160" s="1402">
        <f>detailed!G944</f>
        <v>37.799999999999997</v>
      </c>
      <c r="F160" s="1127">
        <f t="shared" si="35"/>
        <v>188924.4</v>
      </c>
      <c r="G160" s="722"/>
      <c r="H160" s="1127">
        <f t="shared" si="83"/>
        <v>0</v>
      </c>
      <c r="I160" s="722"/>
      <c r="J160" s="1127">
        <f t="shared" si="84"/>
        <v>0</v>
      </c>
      <c r="K160" s="722"/>
      <c r="L160" s="1127">
        <f t="shared" si="85"/>
        <v>0</v>
      </c>
      <c r="M160" s="722"/>
      <c r="N160" s="1127">
        <f t="shared" si="86"/>
        <v>0</v>
      </c>
      <c r="O160" s="722"/>
      <c r="P160" s="1127">
        <f t="shared" si="87"/>
        <v>0</v>
      </c>
      <c r="Q160" s="722"/>
      <c r="R160" s="1127">
        <f t="shared" si="88"/>
        <v>0</v>
      </c>
      <c r="S160" s="784"/>
      <c r="T160" s="1131">
        <f t="shared" si="74"/>
        <v>0</v>
      </c>
      <c r="U160" s="783"/>
      <c r="V160" s="783">
        <f t="shared" si="64"/>
        <v>0</v>
      </c>
      <c r="W160" s="1132">
        <f t="shared" si="43"/>
        <v>0</v>
      </c>
      <c r="X160" s="1045">
        <f t="shared" si="89"/>
        <v>0</v>
      </c>
      <c r="Y160" s="1132">
        <f t="shared" si="45"/>
        <v>37.799999999999997</v>
      </c>
      <c r="Z160" s="1045">
        <f t="shared" si="90"/>
        <v>188924.4</v>
      </c>
      <c r="AA160" s="892"/>
      <c r="AB160" s="891"/>
    </row>
    <row r="161" spans="1:28" s="486" customFormat="1" ht="405">
      <c r="A161" s="1184"/>
      <c r="B161" s="1125" t="s">
        <v>6040</v>
      </c>
      <c r="C161" s="1400">
        <v>5888</v>
      </c>
      <c r="D161" s="1257" t="s">
        <v>6041</v>
      </c>
      <c r="E161" s="1258">
        <f>detailed!G951</f>
        <v>9.5</v>
      </c>
      <c r="F161" s="1127">
        <f t="shared" si="35"/>
        <v>55936</v>
      </c>
      <c r="G161" s="1138"/>
      <c r="H161" s="1127">
        <f t="shared" si="83"/>
        <v>0</v>
      </c>
      <c r="I161" s="1138"/>
      <c r="J161" s="1127">
        <f t="shared" si="84"/>
        <v>0</v>
      </c>
      <c r="K161" s="1138"/>
      <c r="L161" s="1127">
        <f t="shared" si="85"/>
        <v>0</v>
      </c>
      <c r="M161" s="1138"/>
      <c r="N161" s="1127">
        <f t="shared" si="86"/>
        <v>0</v>
      </c>
      <c r="O161" s="1138"/>
      <c r="P161" s="1127">
        <f t="shared" si="87"/>
        <v>0</v>
      </c>
      <c r="Q161" s="1138"/>
      <c r="R161" s="1127">
        <f t="shared" si="88"/>
        <v>0</v>
      </c>
      <c r="S161" s="1028"/>
      <c r="T161" s="1131">
        <f t="shared" si="74"/>
        <v>0</v>
      </c>
      <c r="U161" s="1045"/>
      <c r="V161" s="1045">
        <f t="shared" si="64"/>
        <v>0</v>
      </c>
      <c r="W161" s="1132">
        <f t="shared" si="43"/>
        <v>0</v>
      </c>
      <c r="X161" s="1045">
        <f t="shared" si="89"/>
        <v>0</v>
      </c>
      <c r="Y161" s="1132">
        <f t="shared" si="45"/>
        <v>9.5</v>
      </c>
      <c r="Z161" s="1045">
        <f t="shared" si="90"/>
        <v>55936</v>
      </c>
      <c r="AA161" s="892"/>
      <c r="AB161" s="891"/>
    </row>
    <row r="162" spans="1:28" ht="102">
      <c r="A162" s="1210"/>
      <c r="B162" s="1155" t="s">
        <v>1463</v>
      </c>
      <c r="C162" s="1052">
        <f>ROUND(Data!K3117,2)</f>
        <v>4024.1</v>
      </c>
      <c r="D162" s="1127" t="s">
        <v>2199</v>
      </c>
      <c r="E162" s="1128"/>
      <c r="F162" s="1127">
        <f t="shared" si="35"/>
        <v>0</v>
      </c>
      <c r="G162" s="1127"/>
      <c r="H162" s="1127">
        <f t="shared" si="83"/>
        <v>0</v>
      </c>
      <c r="I162" s="1127"/>
      <c r="J162" s="1127">
        <f t="shared" si="84"/>
        <v>0</v>
      </c>
      <c r="K162" s="1127"/>
      <c r="L162" s="1127">
        <f t="shared" si="85"/>
        <v>0</v>
      </c>
      <c r="M162" s="1127"/>
      <c r="N162" s="1127">
        <f t="shared" si="86"/>
        <v>0</v>
      </c>
      <c r="O162" s="1127"/>
      <c r="P162" s="1127">
        <f t="shared" si="87"/>
        <v>0</v>
      </c>
      <c r="Q162" s="1127"/>
      <c r="R162" s="1127">
        <f t="shared" si="88"/>
        <v>0</v>
      </c>
      <c r="S162" s="1045"/>
      <c r="T162" s="1131">
        <f t="shared" si="74"/>
        <v>0</v>
      </c>
      <c r="U162" s="1045"/>
      <c r="V162" s="1045">
        <f t="shared" si="64"/>
        <v>0</v>
      </c>
      <c r="W162" s="1132">
        <f t="shared" si="43"/>
        <v>0</v>
      </c>
      <c r="X162" s="1045">
        <f t="shared" si="89"/>
        <v>0</v>
      </c>
      <c r="Y162" s="1132">
        <f t="shared" si="45"/>
        <v>0</v>
      </c>
      <c r="Z162" s="1045">
        <f t="shared" si="90"/>
        <v>0</v>
      </c>
      <c r="AA162" s="890"/>
      <c r="AB162" s="890"/>
    </row>
    <row r="163" spans="1:28" ht="45">
      <c r="A163" s="1040"/>
      <c r="B163" s="1159" t="s">
        <v>4638</v>
      </c>
      <c r="C163" s="1052"/>
      <c r="D163" s="1127"/>
      <c r="E163" s="1128"/>
      <c r="F163" s="1127">
        <f t="shared" si="35"/>
        <v>0</v>
      </c>
      <c r="G163" s="1127"/>
      <c r="H163" s="1127">
        <f t="shared" ref="H163:H173" si="91">G163*C163</f>
        <v>0</v>
      </c>
      <c r="I163" s="1127"/>
      <c r="J163" s="1127">
        <f t="shared" ref="J163:J173" si="92">I163*C163</f>
        <v>0</v>
      </c>
      <c r="K163" s="1127"/>
      <c r="L163" s="1127">
        <f t="shared" ref="L163:L173" si="93">K163*C163</f>
        <v>0</v>
      </c>
      <c r="M163" s="1127"/>
      <c r="N163" s="1127">
        <f t="shared" ref="N163:N173" si="94">M163*C163</f>
        <v>0</v>
      </c>
      <c r="O163" s="1127"/>
      <c r="P163" s="1127">
        <f t="shared" ref="P163:P173" si="95">O163*C163</f>
        <v>0</v>
      </c>
      <c r="Q163" s="1127"/>
      <c r="R163" s="1127">
        <f t="shared" ref="R163:R173" si="96">Q163*C163</f>
        <v>0</v>
      </c>
      <c r="S163" s="1049"/>
      <c r="T163" s="1131">
        <f t="shared" si="74"/>
        <v>0</v>
      </c>
      <c r="U163" s="1045"/>
      <c r="V163" s="1045">
        <f t="shared" si="64"/>
        <v>0</v>
      </c>
      <c r="W163" s="1132">
        <f t="shared" si="43"/>
        <v>0</v>
      </c>
      <c r="X163" s="1045">
        <f t="shared" ref="X163:X173" si="97">W163*C163</f>
        <v>0</v>
      </c>
      <c r="Y163" s="1132">
        <f t="shared" si="45"/>
        <v>0</v>
      </c>
      <c r="Z163" s="1045">
        <f t="shared" ref="Z163:Z173" si="98">Y163*C163</f>
        <v>0</v>
      </c>
      <c r="AA163" s="890"/>
      <c r="AB163" s="890"/>
    </row>
    <row r="164" spans="1:28" s="718" customFormat="1">
      <c r="A164" s="994"/>
      <c r="B164" s="1162" t="s">
        <v>4295</v>
      </c>
      <c r="C164" s="1034">
        <f>ROUND(Data!K2830,2)</f>
        <v>6399.66</v>
      </c>
      <c r="D164" s="1147" t="s">
        <v>2199</v>
      </c>
      <c r="E164" s="1148">
        <f>detailed!G935</f>
        <v>44.1</v>
      </c>
      <c r="F164" s="1127">
        <f t="shared" si="35"/>
        <v>282225.01</v>
      </c>
      <c r="G164" s="1147"/>
      <c r="H164" s="1127">
        <f t="shared" si="91"/>
        <v>0</v>
      </c>
      <c r="I164" s="1147"/>
      <c r="J164" s="1127">
        <f t="shared" si="92"/>
        <v>0</v>
      </c>
      <c r="K164" s="1147"/>
      <c r="L164" s="1127">
        <f t="shared" si="93"/>
        <v>0</v>
      </c>
      <c r="M164" s="1147"/>
      <c r="N164" s="1127">
        <f t="shared" si="94"/>
        <v>0</v>
      </c>
      <c r="O164" s="1147"/>
      <c r="P164" s="1127">
        <f t="shared" si="95"/>
        <v>0</v>
      </c>
      <c r="Q164" s="1147"/>
      <c r="R164" s="1127">
        <f t="shared" si="96"/>
        <v>0</v>
      </c>
      <c r="S164" s="1028"/>
      <c r="T164" s="1131">
        <f t="shared" si="74"/>
        <v>0</v>
      </c>
      <c r="U164" s="1045"/>
      <c r="V164" s="1045">
        <f t="shared" si="64"/>
        <v>0</v>
      </c>
      <c r="W164" s="1132">
        <f t="shared" si="43"/>
        <v>0</v>
      </c>
      <c r="X164" s="1045">
        <f t="shared" si="97"/>
        <v>0</v>
      </c>
      <c r="Y164" s="1132">
        <f t="shared" si="45"/>
        <v>44.1</v>
      </c>
      <c r="Z164" s="1045">
        <f t="shared" si="98"/>
        <v>282225.01</v>
      </c>
      <c r="AA164" s="891"/>
      <c r="AB164" s="891"/>
    </row>
    <row r="165" spans="1:28" s="486" customFormat="1">
      <c r="A165" s="1211"/>
      <c r="B165" s="1150" t="s">
        <v>3532</v>
      </c>
      <c r="C165" s="1156"/>
      <c r="D165" s="1152"/>
      <c r="E165" s="1153"/>
      <c r="F165" s="1127">
        <f t="shared" si="35"/>
        <v>0</v>
      </c>
      <c r="G165" s="1152"/>
      <c r="H165" s="1127">
        <f t="shared" si="91"/>
        <v>0</v>
      </c>
      <c r="I165" s="1152"/>
      <c r="J165" s="1127">
        <f t="shared" si="92"/>
        <v>0</v>
      </c>
      <c r="K165" s="1152"/>
      <c r="L165" s="1127">
        <f t="shared" si="93"/>
        <v>0</v>
      </c>
      <c r="M165" s="1152"/>
      <c r="N165" s="1127">
        <f t="shared" si="94"/>
        <v>0</v>
      </c>
      <c r="O165" s="1152"/>
      <c r="P165" s="1127">
        <f t="shared" si="95"/>
        <v>0</v>
      </c>
      <c r="Q165" s="1152"/>
      <c r="R165" s="1127">
        <f t="shared" si="96"/>
        <v>0</v>
      </c>
      <c r="S165" s="1028"/>
      <c r="T165" s="1131">
        <f t="shared" si="74"/>
        <v>0</v>
      </c>
      <c r="U165" s="1045"/>
      <c r="V165" s="1045">
        <f t="shared" si="64"/>
        <v>0</v>
      </c>
      <c r="W165" s="1132">
        <f t="shared" si="43"/>
        <v>0</v>
      </c>
      <c r="X165" s="1045">
        <f t="shared" si="97"/>
        <v>0</v>
      </c>
      <c r="Y165" s="1132">
        <f t="shared" si="45"/>
        <v>0</v>
      </c>
      <c r="Z165" s="1045">
        <f t="shared" si="98"/>
        <v>0</v>
      </c>
      <c r="AA165" s="892"/>
      <c r="AB165" s="891"/>
    </row>
    <row r="166" spans="1:28" s="486" customFormat="1">
      <c r="A166" s="1010"/>
      <c r="B166" s="1159" t="s">
        <v>4296</v>
      </c>
      <c r="C166" s="1024"/>
      <c r="D166" s="1138"/>
      <c r="E166" s="1139"/>
      <c r="F166" s="1127">
        <f t="shared" si="35"/>
        <v>0</v>
      </c>
      <c r="G166" s="1138"/>
      <c r="H166" s="1127">
        <f t="shared" si="91"/>
        <v>0</v>
      </c>
      <c r="I166" s="1138"/>
      <c r="J166" s="1127">
        <f t="shared" si="92"/>
        <v>0</v>
      </c>
      <c r="K166" s="1138"/>
      <c r="L166" s="1127">
        <f t="shared" si="93"/>
        <v>0</v>
      </c>
      <c r="M166" s="1138"/>
      <c r="N166" s="1127">
        <f t="shared" si="94"/>
        <v>0</v>
      </c>
      <c r="O166" s="1138"/>
      <c r="P166" s="1127">
        <f t="shared" si="95"/>
        <v>0</v>
      </c>
      <c r="Q166" s="1138"/>
      <c r="R166" s="1127">
        <f t="shared" si="96"/>
        <v>0</v>
      </c>
      <c r="S166" s="1045"/>
      <c r="T166" s="1131">
        <f t="shared" si="74"/>
        <v>0</v>
      </c>
      <c r="U166" s="1045"/>
      <c r="V166" s="1045">
        <f t="shared" si="64"/>
        <v>0</v>
      </c>
      <c r="W166" s="1132">
        <f t="shared" si="43"/>
        <v>0</v>
      </c>
      <c r="X166" s="1045">
        <f t="shared" si="97"/>
        <v>0</v>
      </c>
      <c r="Y166" s="1132">
        <f t="shared" si="45"/>
        <v>0</v>
      </c>
      <c r="Z166" s="1045">
        <f t="shared" si="98"/>
        <v>0</v>
      </c>
      <c r="AA166" s="892"/>
      <c r="AB166" s="890"/>
    </row>
    <row r="167" spans="1:28" s="486" customFormat="1">
      <c r="A167" s="1010"/>
      <c r="B167" s="1125" t="s">
        <v>5652</v>
      </c>
      <c r="C167" s="1024">
        <f>Data!K2650</f>
        <v>5846.33</v>
      </c>
      <c r="D167" s="1138" t="s">
        <v>2199</v>
      </c>
      <c r="E167" s="1139">
        <f>detailed!G928</f>
        <v>15.8</v>
      </c>
      <c r="F167" s="1127">
        <f t="shared" si="35"/>
        <v>92372.01</v>
      </c>
      <c r="G167" s="1138"/>
      <c r="H167" s="1127">
        <f t="shared" si="91"/>
        <v>0</v>
      </c>
      <c r="I167" s="1138"/>
      <c r="J167" s="1127">
        <f t="shared" si="92"/>
        <v>0</v>
      </c>
      <c r="K167" s="1138"/>
      <c r="L167" s="1127">
        <f t="shared" si="93"/>
        <v>0</v>
      </c>
      <c r="M167" s="1138"/>
      <c r="N167" s="1127">
        <f t="shared" si="94"/>
        <v>0</v>
      </c>
      <c r="O167" s="1138"/>
      <c r="P167" s="1127">
        <f t="shared" si="95"/>
        <v>0</v>
      </c>
      <c r="Q167" s="1138"/>
      <c r="R167" s="1127">
        <f t="shared" si="96"/>
        <v>0</v>
      </c>
      <c r="S167" s="1045"/>
      <c r="T167" s="1131">
        <f t="shared" si="74"/>
        <v>0</v>
      </c>
      <c r="U167" s="1045"/>
      <c r="V167" s="1045">
        <f t="shared" si="64"/>
        <v>0</v>
      </c>
      <c r="W167" s="1132">
        <f t="shared" si="43"/>
        <v>0</v>
      </c>
      <c r="X167" s="1045">
        <f t="shared" si="97"/>
        <v>0</v>
      </c>
      <c r="Y167" s="1132">
        <f t="shared" si="45"/>
        <v>15.8</v>
      </c>
      <c r="Z167" s="1045">
        <f t="shared" si="98"/>
        <v>92372.01</v>
      </c>
      <c r="AA167" s="892"/>
      <c r="AB167" s="890"/>
    </row>
    <row r="168" spans="1:28">
      <c r="A168" s="1184" t="s">
        <v>3473</v>
      </c>
      <c r="B168" s="1125" t="s">
        <v>4266</v>
      </c>
      <c r="C168" s="1052">
        <f>Data!C707</f>
        <v>3167</v>
      </c>
      <c r="D168" s="1127" t="s">
        <v>2199</v>
      </c>
      <c r="E168" s="1128">
        <f>detailed!G922</f>
        <v>17.399999999999999</v>
      </c>
      <c r="F168" s="1127">
        <f t="shared" si="35"/>
        <v>55105.8</v>
      </c>
      <c r="G168" s="1127"/>
      <c r="H168" s="1127">
        <f t="shared" si="91"/>
        <v>0</v>
      </c>
      <c r="I168" s="1127"/>
      <c r="J168" s="1127">
        <f t="shared" si="92"/>
        <v>0</v>
      </c>
      <c r="K168" s="1127"/>
      <c r="L168" s="1127">
        <f t="shared" si="93"/>
        <v>0</v>
      </c>
      <c r="M168" s="1127"/>
      <c r="N168" s="1127">
        <f t="shared" si="94"/>
        <v>0</v>
      </c>
      <c r="O168" s="1127"/>
      <c r="P168" s="1127">
        <f t="shared" si="95"/>
        <v>0</v>
      </c>
      <c r="Q168" s="1127"/>
      <c r="R168" s="1127">
        <f t="shared" si="96"/>
        <v>0</v>
      </c>
      <c r="S168" s="1045"/>
      <c r="T168" s="1131">
        <f t="shared" si="74"/>
        <v>0</v>
      </c>
      <c r="U168" s="1045"/>
      <c r="V168" s="1045">
        <f t="shared" si="64"/>
        <v>0</v>
      </c>
      <c r="W168" s="1132">
        <f t="shared" si="43"/>
        <v>0</v>
      </c>
      <c r="X168" s="1045">
        <f t="shared" si="97"/>
        <v>0</v>
      </c>
      <c r="Y168" s="1132">
        <f t="shared" si="45"/>
        <v>17.399999999999999</v>
      </c>
      <c r="Z168" s="1045">
        <f t="shared" si="98"/>
        <v>55105.8</v>
      </c>
      <c r="AA168" s="890"/>
      <c r="AB168" s="890"/>
    </row>
    <row r="169" spans="1:28" s="718" customFormat="1" ht="45">
      <c r="A169" s="1212" t="s">
        <v>664</v>
      </c>
      <c r="B169" s="1162" t="s">
        <v>1639</v>
      </c>
      <c r="C169" s="995">
        <f>ROUND(Data!K1188,2)</f>
        <v>708.1</v>
      </c>
      <c r="D169" s="1147" t="s">
        <v>2199</v>
      </c>
      <c r="E169" s="1148"/>
      <c r="F169" s="1127">
        <f t="shared" ref="F169:F232" si="99">E169*C169</f>
        <v>0</v>
      </c>
      <c r="G169" s="1147"/>
      <c r="H169" s="1127">
        <f t="shared" si="91"/>
        <v>0</v>
      </c>
      <c r="I169" s="1147"/>
      <c r="J169" s="1127">
        <f t="shared" si="92"/>
        <v>0</v>
      </c>
      <c r="K169" s="1147"/>
      <c r="L169" s="1127">
        <f t="shared" si="93"/>
        <v>0</v>
      </c>
      <c r="M169" s="1147"/>
      <c r="N169" s="1127">
        <f t="shared" si="94"/>
        <v>0</v>
      </c>
      <c r="O169" s="1147"/>
      <c r="P169" s="1127">
        <f t="shared" si="95"/>
        <v>0</v>
      </c>
      <c r="Q169" s="1147"/>
      <c r="R169" s="1127">
        <f t="shared" si="96"/>
        <v>0</v>
      </c>
      <c r="S169" s="1028"/>
      <c r="T169" s="1131">
        <f t="shared" si="74"/>
        <v>0</v>
      </c>
      <c r="U169" s="1045"/>
      <c r="V169" s="1045">
        <f t="shared" si="64"/>
        <v>0</v>
      </c>
      <c r="W169" s="1132">
        <f t="shared" ref="W169:W232" si="100">U169+S169+Q169+O169+M169+K169+I169+G169</f>
        <v>0</v>
      </c>
      <c r="X169" s="1045">
        <f t="shared" si="97"/>
        <v>0</v>
      </c>
      <c r="Y169" s="1132">
        <f t="shared" ref="Y169:Y232" si="101">W169+E169</f>
        <v>0</v>
      </c>
      <c r="Z169" s="1045">
        <f t="shared" si="98"/>
        <v>0</v>
      </c>
      <c r="AA169" s="891"/>
      <c r="AB169" s="891"/>
    </row>
    <row r="170" spans="1:28">
      <c r="A170" s="1124">
        <v>29.8</v>
      </c>
      <c r="B170" s="1125" t="s">
        <v>1233</v>
      </c>
      <c r="C170" s="1052">
        <f>ROUND(Data!K1281,2)</f>
        <v>1235.0999999999999</v>
      </c>
      <c r="D170" s="1127" t="s">
        <v>2199</v>
      </c>
      <c r="E170" s="1128">
        <f>detailed!G1114</f>
        <v>146.4</v>
      </c>
      <c r="F170" s="1127">
        <f t="shared" si="99"/>
        <v>180818.64</v>
      </c>
      <c r="G170" s="1127"/>
      <c r="H170" s="1127">
        <f t="shared" si="91"/>
        <v>0</v>
      </c>
      <c r="I170" s="1127"/>
      <c r="J170" s="1127">
        <f t="shared" si="92"/>
        <v>0</v>
      </c>
      <c r="K170" s="1127"/>
      <c r="L170" s="1127">
        <f t="shared" si="93"/>
        <v>0</v>
      </c>
      <c r="M170" s="1127"/>
      <c r="N170" s="1127">
        <f t="shared" si="94"/>
        <v>0</v>
      </c>
      <c r="O170" s="1127"/>
      <c r="P170" s="1127">
        <f t="shared" si="95"/>
        <v>0</v>
      </c>
      <c r="Q170" s="1127"/>
      <c r="R170" s="1127">
        <f t="shared" si="96"/>
        <v>0</v>
      </c>
      <c r="S170" s="1045"/>
      <c r="T170" s="1131">
        <f t="shared" si="74"/>
        <v>0</v>
      </c>
      <c r="U170" s="1045"/>
      <c r="V170" s="1045">
        <f t="shared" si="64"/>
        <v>0</v>
      </c>
      <c r="W170" s="1132">
        <f t="shared" si="100"/>
        <v>0</v>
      </c>
      <c r="X170" s="1045">
        <f t="shared" si="97"/>
        <v>0</v>
      </c>
      <c r="Y170" s="1132">
        <f t="shared" si="101"/>
        <v>146.4</v>
      </c>
      <c r="Z170" s="1045">
        <f t="shared" si="98"/>
        <v>180818.64</v>
      </c>
      <c r="AA170" s="890"/>
      <c r="AB170" s="890"/>
    </row>
    <row r="171" spans="1:28" s="486" customFormat="1">
      <c r="A171" s="787"/>
      <c r="B171" s="788" t="s">
        <v>2092</v>
      </c>
      <c r="C171" s="789">
        <f>ROUND(Data!K1267,2)</f>
        <v>1089.73</v>
      </c>
      <c r="D171" s="714" t="s">
        <v>2199</v>
      </c>
      <c r="E171" s="714"/>
      <c r="F171" s="1127">
        <f t="shared" si="99"/>
        <v>0</v>
      </c>
      <c r="G171" s="714"/>
      <c r="H171" s="1127">
        <f t="shared" si="91"/>
        <v>0</v>
      </c>
      <c r="I171" s="714"/>
      <c r="J171" s="1127">
        <f t="shared" si="92"/>
        <v>0</v>
      </c>
      <c r="K171" s="714"/>
      <c r="L171" s="1127">
        <f t="shared" si="93"/>
        <v>0</v>
      </c>
      <c r="M171" s="714"/>
      <c r="N171" s="1127">
        <f t="shared" si="94"/>
        <v>0</v>
      </c>
      <c r="O171" s="714"/>
      <c r="P171" s="1127">
        <f t="shared" si="95"/>
        <v>0</v>
      </c>
      <c r="Q171" s="714"/>
      <c r="R171" s="1127">
        <f t="shared" si="96"/>
        <v>0</v>
      </c>
      <c r="S171" s="784"/>
      <c r="T171" s="1131">
        <f t="shared" si="74"/>
        <v>0</v>
      </c>
      <c r="U171" s="783"/>
      <c r="V171" s="783">
        <f t="shared" si="64"/>
        <v>0</v>
      </c>
      <c r="W171" s="1132">
        <f t="shared" si="100"/>
        <v>0</v>
      </c>
      <c r="X171" s="1045">
        <f t="shared" si="97"/>
        <v>0</v>
      </c>
      <c r="Y171" s="1132">
        <f t="shared" si="101"/>
        <v>0</v>
      </c>
      <c r="Z171" s="1045">
        <f t="shared" si="98"/>
        <v>0</v>
      </c>
      <c r="AA171" s="892"/>
      <c r="AB171" s="891"/>
    </row>
    <row r="172" spans="1:28" ht="45">
      <c r="A172" s="1124">
        <v>29.9</v>
      </c>
      <c r="B172" s="1125" t="s">
        <v>1643</v>
      </c>
      <c r="C172" s="1052">
        <f>ROUND(Data!K1267,2)</f>
        <v>1089.73</v>
      </c>
      <c r="D172" s="1127" t="s">
        <v>2199</v>
      </c>
      <c r="E172" s="1128">
        <f>detailed!G1083</f>
        <v>178.6</v>
      </c>
      <c r="F172" s="1127">
        <f t="shared" si="99"/>
        <v>194625.78</v>
      </c>
      <c r="G172" s="1127"/>
      <c r="H172" s="1127">
        <f t="shared" si="91"/>
        <v>0</v>
      </c>
      <c r="I172" s="1127"/>
      <c r="J172" s="1127">
        <f t="shared" si="92"/>
        <v>0</v>
      </c>
      <c r="K172" s="1127"/>
      <c r="L172" s="1127">
        <f t="shared" si="93"/>
        <v>0</v>
      </c>
      <c r="M172" s="1127"/>
      <c r="N172" s="1127">
        <f t="shared" si="94"/>
        <v>0</v>
      </c>
      <c r="O172" s="1127"/>
      <c r="P172" s="1127">
        <f t="shared" si="95"/>
        <v>0</v>
      </c>
      <c r="Q172" s="1127"/>
      <c r="R172" s="1127">
        <f t="shared" si="96"/>
        <v>0</v>
      </c>
      <c r="S172" s="1045"/>
      <c r="T172" s="1131">
        <f t="shared" si="74"/>
        <v>0</v>
      </c>
      <c r="U172" s="1045"/>
      <c r="V172" s="1045">
        <f t="shared" si="64"/>
        <v>0</v>
      </c>
      <c r="W172" s="1132">
        <f t="shared" si="100"/>
        <v>0</v>
      </c>
      <c r="X172" s="1045">
        <f t="shared" si="97"/>
        <v>0</v>
      </c>
      <c r="Y172" s="1132">
        <f t="shared" si="101"/>
        <v>178.6</v>
      </c>
      <c r="Z172" s="1045">
        <f t="shared" si="98"/>
        <v>194625.78</v>
      </c>
      <c r="AA172" s="890"/>
      <c r="AB172" s="890"/>
    </row>
    <row r="173" spans="1:28" s="718" customFormat="1">
      <c r="A173" s="1133">
        <v>38.4</v>
      </c>
      <c r="B173" s="1162" t="s">
        <v>1644</v>
      </c>
      <c r="C173" s="1135">
        <f>Data!K2728</f>
        <v>114.39</v>
      </c>
      <c r="D173" s="1136" t="s">
        <v>2199</v>
      </c>
      <c r="E173" s="1137"/>
      <c r="F173" s="1127">
        <f t="shared" si="99"/>
        <v>0</v>
      </c>
      <c r="G173" s="1136"/>
      <c r="H173" s="1127">
        <f t="shared" si="91"/>
        <v>0</v>
      </c>
      <c r="I173" s="1136"/>
      <c r="J173" s="1127">
        <f t="shared" si="92"/>
        <v>0</v>
      </c>
      <c r="K173" s="1136"/>
      <c r="L173" s="1127">
        <f t="shared" si="93"/>
        <v>0</v>
      </c>
      <c r="M173" s="1136"/>
      <c r="N173" s="1127">
        <f t="shared" si="94"/>
        <v>0</v>
      </c>
      <c r="O173" s="1136"/>
      <c r="P173" s="1127">
        <f t="shared" si="95"/>
        <v>0</v>
      </c>
      <c r="Q173" s="1136"/>
      <c r="R173" s="1127">
        <f t="shared" si="96"/>
        <v>0</v>
      </c>
      <c r="S173" s="1028"/>
      <c r="T173" s="1131">
        <f t="shared" si="74"/>
        <v>0</v>
      </c>
      <c r="U173" s="1045"/>
      <c r="V173" s="1045">
        <f t="shared" si="64"/>
        <v>0</v>
      </c>
      <c r="W173" s="1132">
        <f t="shared" si="100"/>
        <v>0</v>
      </c>
      <c r="X173" s="1045">
        <f t="shared" si="97"/>
        <v>0</v>
      </c>
      <c r="Y173" s="1132">
        <f t="shared" si="101"/>
        <v>0</v>
      </c>
      <c r="Z173" s="1045">
        <f t="shared" si="98"/>
        <v>0</v>
      </c>
      <c r="AA173" s="891"/>
      <c r="AB173" s="891"/>
    </row>
    <row r="174" spans="1:28" ht="45">
      <c r="A174" s="1124">
        <v>38.6</v>
      </c>
      <c r="B174" s="1125" t="s">
        <v>1645</v>
      </c>
      <c r="C174" s="1052">
        <f>ROUND(Data!K2719,2)</f>
        <v>53.72</v>
      </c>
      <c r="D174" s="1127" t="s">
        <v>2199</v>
      </c>
      <c r="E174" s="1128"/>
      <c r="F174" s="1127">
        <f t="shared" si="99"/>
        <v>0</v>
      </c>
      <c r="G174" s="1127"/>
      <c r="H174" s="1127">
        <f t="shared" ref="H174:H181" si="102">G174*C174</f>
        <v>0</v>
      </c>
      <c r="I174" s="1127"/>
      <c r="J174" s="1127">
        <f t="shared" ref="J174:J181" si="103">I174*C174</f>
        <v>0</v>
      </c>
      <c r="K174" s="1127"/>
      <c r="L174" s="1127">
        <f t="shared" ref="L174:L181" si="104">K174*C174</f>
        <v>0</v>
      </c>
      <c r="M174" s="1127"/>
      <c r="N174" s="1127">
        <f t="shared" ref="N174:N181" si="105">M174*C174</f>
        <v>0</v>
      </c>
      <c r="O174" s="1127"/>
      <c r="P174" s="1127">
        <f t="shared" ref="P174:P181" si="106">O174*C174</f>
        <v>0</v>
      </c>
      <c r="Q174" s="1127"/>
      <c r="R174" s="1127">
        <f t="shared" ref="R174:R181" si="107">Q174*C174</f>
        <v>0</v>
      </c>
      <c r="S174" s="1045"/>
      <c r="T174" s="1131">
        <f t="shared" ref="T174:T223" si="108">S174*C174</f>
        <v>0</v>
      </c>
      <c r="U174" s="1045"/>
      <c r="V174" s="1045">
        <f t="shared" si="64"/>
        <v>0</v>
      </c>
      <c r="W174" s="1132">
        <f t="shared" si="100"/>
        <v>0</v>
      </c>
      <c r="X174" s="1045">
        <f t="shared" ref="X174:X181" si="109">W174*C174</f>
        <v>0</v>
      </c>
      <c r="Y174" s="1132">
        <f t="shared" si="101"/>
        <v>0</v>
      </c>
      <c r="Z174" s="1045">
        <f t="shared" ref="Z174:Z181" si="110">Y174*C174</f>
        <v>0</v>
      </c>
      <c r="AA174" s="890"/>
      <c r="AB174" s="890"/>
    </row>
    <row r="175" spans="1:28" s="486" customFormat="1" ht="45">
      <c r="A175" s="1149">
        <v>42</v>
      </c>
      <c r="B175" s="1150" t="s">
        <v>5653</v>
      </c>
      <c r="C175" s="1151">
        <f>ROUND(Data!K1585,2)</f>
        <v>79335.5</v>
      </c>
      <c r="D175" s="1152" t="s">
        <v>494</v>
      </c>
      <c r="E175" s="1153"/>
      <c r="F175" s="1127">
        <f t="shared" si="99"/>
        <v>0</v>
      </c>
      <c r="G175" s="1152"/>
      <c r="H175" s="1127">
        <f t="shared" si="102"/>
        <v>0</v>
      </c>
      <c r="I175" s="1152"/>
      <c r="J175" s="1127">
        <f t="shared" si="103"/>
        <v>0</v>
      </c>
      <c r="K175" s="1152"/>
      <c r="L175" s="1127">
        <f t="shared" si="104"/>
        <v>0</v>
      </c>
      <c r="M175" s="1152"/>
      <c r="N175" s="1127">
        <f t="shared" si="105"/>
        <v>0</v>
      </c>
      <c r="O175" s="1152"/>
      <c r="P175" s="1127">
        <f t="shared" si="106"/>
        <v>0</v>
      </c>
      <c r="Q175" s="1152"/>
      <c r="R175" s="1127">
        <f t="shared" si="107"/>
        <v>0</v>
      </c>
      <c r="S175" s="1028"/>
      <c r="T175" s="1131">
        <f t="shared" si="108"/>
        <v>0</v>
      </c>
      <c r="U175" s="1045"/>
      <c r="V175" s="1045">
        <f t="shared" si="64"/>
        <v>0</v>
      </c>
      <c r="W175" s="1132">
        <f t="shared" si="100"/>
        <v>0</v>
      </c>
      <c r="X175" s="1045">
        <f t="shared" si="109"/>
        <v>0</v>
      </c>
      <c r="Y175" s="1132">
        <f t="shared" si="101"/>
        <v>0</v>
      </c>
      <c r="Z175" s="1045">
        <f t="shared" si="110"/>
        <v>0</v>
      </c>
      <c r="AA175" s="892"/>
      <c r="AB175" s="891"/>
    </row>
    <row r="176" spans="1:28" s="718" customFormat="1" ht="67.5">
      <c r="A176" s="1160">
        <v>43</v>
      </c>
      <c r="B176" s="1162" t="s">
        <v>5654</v>
      </c>
      <c r="C176" s="994">
        <f>ROUND(Data!K1611,2)</f>
        <v>77593</v>
      </c>
      <c r="D176" s="1147" t="s">
        <v>494</v>
      </c>
      <c r="E176" s="1148">
        <f>detailed!G1571</f>
        <v>62.73</v>
      </c>
      <c r="F176" s="1127">
        <f t="shared" si="99"/>
        <v>4867408.8899999997</v>
      </c>
      <c r="G176" s="1405">
        <f>ST!G69</f>
        <v>0.19900000000000001</v>
      </c>
      <c r="H176" s="1127">
        <f t="shared" si="102"/>
        <v>15441.01</v>
      </c>
      <c r="I176" s="1147">
        <f>Sump!G41</f>
        <v>2.0499999999999998</v>
      </c>
      <c r="J176" s="1127">
        <f t="shared" si="103"/>
        <v>159065.65</v>
      </c>
      <c r="K176" s="1147"/>
      <c r="L176" s="1127">
        <f t="shared" si="104"/>
        <v>0</v>
      </c>
      <c r="M176" s="1147"/>
      <c r="N176" s="1127">
        <f t="shared" si="105"/>
        <v>0</v>
      </c>
      <c r="O176" s="1147"/>
      <c r="P176" s="1127">
        <f t="shared" si="106"/>
        <v>0</v>
      </c>
      <c r="Q176" s="1147"/>
      <c r="R176" s="1127">
        <f t="shared" si="107"/>
        <v>0</v>
      </c>
      <c r="S176" s="1027"/>
      <c r="T176" s="1131">
        <f t="shared" si="108"/>
        <v>0</v>
      </c>
      <c r="U176" s="1045">
        <f>Com.wall!I115</f>
        <v>2.8</v>
      </c>
      <c r="V176" s="1045">
        <f t="shared" si="64"/>
        <v>217260.4</v>
      </c>
      <c r="W176" s="1132">
        <f t="shared" si="100"/>
        <v>5.0490000000000004</v>
      </c>
      <c r="X176" s="1045">
        <f t="shared" si="109"/>
        <v>391767.06</v>
      </c>
      <c r="Y176" s="1132">
        <f t="shared" si="101"/>
        <v>67.778999999999996</v>
      </c>
      <c r="Z176" s="1045">
        <f t="shared" si="110"/>
        <v>5259175.95</v>
      </c>
      <c r="AA176" s="891"/>
      <c r="AB176" s="891"/>
    </row>
    <row r="177" spans="1:29" s="718" customFormat="1" ht="45">
      <c r="A177" s="1160">
        <v>44.6</v>
      </c>
      <c r="B177" s="1162" t="s">
        <v>5655</v>
      </c>
      <c r="C177" s="995">
        <f>ROUND(Data!K1641,2)</f>
        <v>321.74</v>
      </c>
      <c r="D177" s="1147" t="s">
        <v>794</v>
      </c>
      <c r="E177" s="1148">
        <f>detailed!H1576</f>
        <v>85.7</v>
      </c>
      <c r="F177" s="1127">
        <f t="shared" si="99"/>
        <v>27573.119999999999</v>
      </c>
      <c r="G177" s="1147"/>
      <c r="H177" s="1127">
        <f t="shared" si="102"/>
        <v>0</v>
      </c>
      <c r="I177" s="1147"/>
      <c r="J177" s="1127">
        <f t="shared" si="103"/>
        <v>0</v>
      </c>
      <c r="K177" s="1147"/>
      <c r="L177" s="1127">
        <f t="shared" si="104"/>
        <v>0</v>
      </c>
      <c r="M177" s="1147"/>
      <c r="N177" s="1127">
        <f t="shared" si="105"/>
        <v>0</v>
      </c>
      <c r="O177" s="1147"/>
      <c r="P177" s="1127">
        <f t="shared" si="106"/>
        <v>0</v>
      </c>
      <c r="Q177" s="1147"/>
      <c r="R177" s="1127">
        <f t="shared" si="107"/>
        <v>0</v>
      </c>
      <c r="S177" s="1028"/>
      <c r="T177" s="1131">
        <f t="shared" si="108"/>
        <v>0</v>
      </c>
      <c r="U177" s="1045"/>
      <c r="V177" s="1045">
        <f t="shared" si="64"/>
        <v>0</v>
      </c>
      <c r="W177" s="1132">
        <f t="shared" si="100"/>
        <v>0</v>
      </c>
      <c r="X177" s="1045">
        <f t="shared" si="109"/>
        <v>0</v>
      </c>
      <c r="Y177" s="1132">
        <f t="shared" si="101"/>
        <v>85.7</v>
      </c>
      <c r="Z177" s="1045">
        <f t="shared" si="110"/>
        <v>27573.119999999999</v>
      </c>
      <c r="AA177" s="891"/>
      <c r="AB177" s="891"/>
    </row>
    <row r="178" spans="1:29" s="718" customFormat="1">
      <c r="A178" s="1160">
        <v>50.6</v>
      </c>
      <c r="B178" s="1162" t="s">
        <v>1039</v>
      </c>
      <c r="C178" s="995">
        <f>ROUND(Data!K2395,2)</f>
        <v>366.52</v>
      </c>
      <c r="D178" s="1147" t="s">
        <v>2199</v>
      </c>
      <c r="E178" s="1148"/>
      <c r="F178" s="1127">
        <f t="shared" si="99"/>
        <v>0</v>
      </c>
      <c r="G178" s="1147"/>
      <c r="H178" s="1127">
        <f t="shared" si="102"/>
        <v>0</v>
      </c>
      <c r="I178" s="1147"/>
      <c r="J178" s="1127">
        <f t="shared" si="103"/>
        <v>0</v>
      </c>
      <c r="K178" s="1147">
        <f>'Plinth P'!G37</f>
        <v>60.2</v>
      </c>
      <c r="L178" s="1127">
        <f t="shared" si="104"/>
        <v>22064.5</v>
      </c>
      <c r="M178" s="1147"/>
      <c r="N178" s="1127">
        <f t="shared" si="105"/>
        <v>0</v>
      </c>
      <c r="O178" s="1147"/>
      <c r="P178" s="1127">
        <f t="shared" si="106"/>
        <v>0</v>
      </c>
      <c r="Q178" s="1147"/>
      <c r="R178" s="1127">
        <f t="shared" si="107"/>
        <v>0</v>
      </c>
      <c r="S178" s="1028"/>
      <c r="T178" s="1131">
        <f t="shared" si="108"/>
        <v>0</v>
      </c>
      <c r="U178" s="1045"/>
      <c r="V178" s="1045">
        <f t="shared" si="64"/>
        <v>0</v>
      </c>
      <c r="W178" s="1132">
        <f t="shared" si="100"/>
        <v>60.2</v>
      </c>
      <c r="X178" s="1045">
        <f t="shared" si="109"/>
        <v>22064.5</v>
      </c>
      <c r="Y178" s="1132">
        <f t="shared" si="101"/>
        <v>60.2</v>
      </c>
      <c r="Z178" s="1045">
        <f t="shared" si="110"/>
        <v>22064.5</v>
      </c>
      <c r="AA178" s="891"/>
      <c r="AB178" s="891"/>
    </row>
    <row r="179" spans="1:29" s="718" customFormat="1" ht="45">
      <c r="A179" s="1160">
        <v>52.4</v>
      </c>
      <c r="B179" s="1162" t="s">
        <v>2145</v>
      </c>
      <c r="C179" s="995">
        <f>ROUND(Data!K2770,2)</f>
        <v>205.94</v>
      </c>
      <c r="D179" s="1147" t="s">
        <v>794</v>
      </c>
      <c r="E179" s="1148">
        <f>detailed!H1626</f>
        <v>68</v>
      </c>
      <c r="F179" s="1127">
        <f t="shared" si="99"/>
        <v>14003.92</v>
      </c>
      <c r="G179" s="1147"/>
      <c r="H179" s="1127">
        <f t="shared" si="102"/>
        <v>0</v>
      </c>
      <c r="I179" s="1147"/>
      <c r="J179" s="1127">
        <f t="shared" si="103"/>
        <v>0</v>
      </c>
      <c r="K179" s="1147"/>
      <c r="L179" s="1127">
        <f t="shared" si="104"/>
        <v>0</v>
      </c>
      <c r="M179" s="1147"/>
      <c r="N179" s="1127">
        <f t="shared" si="105"/>
        <v>0</v>
      </c>
      <c r="O179" s="1147"/>
      <c r="P179" s="1127">
        <f t="shared" si="106"/>
        <v>0</v>
      </c>
      <c r="Q179" s="1147"/>
      <c r="R179" s="1127">
        <f t="shared" si="107"/>
        <v>0</v>
      </c>
      <c r="S179" s="1028"/>
      <c r="T179" s="1131">
        <f t="shared" si="108"/>
        <v>0</v>
      </c>
      <c r="U179" s="1045"/>
      <c r="V179" s="1045">
        <f t="shared" si="64"/>
        <v>0</v>
      </c>
      <c r="W179" s="1132">
        <f t="shared" si="100"/>
        <v>0</v>
      </c>
      <c r="X179" s="1045">
        <f t="shared" si="109"/>
        <v>0</v>
      </c>
      <c r="Y179" s="1132">
        <f t="shared" si="101"/>
        <v>68</v>
      </c>
      <c r="Z179" s="1045">
        <f t="shared" si="110"/>
        <v>14003.92</v>
      </c>
      <c r="AA179" s="891"/>
      <c r="AB179" s="891"/>
    </row>
    <row r="180" spans="1:29">
      <c r="A180" s="1124">
        <v>53.4</v>
      </c>
      <c r="B180" s="1125" t="s">
        <v>68</v>
      </c>
      <c r="C180" s="1052">
        <f>Data!K1954</f>
        <v>1846</v>
      </c>
      <c r="D180" s="1127" t="s">
        <v>1341</v>
      </c>
      <c r="E180" s="1128"/>
      <c r="F180" s="1127">
        <f t="shared" si="99"/>
        <v>0</v>
      </c>
      <c r="G180" s="1127"/>
      <c r="H180" s="1127">
        <f t="shared" si="102"/>
        <v>0</v>
      </c>
      <c r="I180" s="1127">
        <f>Sump!H44</f>
        <v>2</v>
      </c>
      <c r="J180" s="1127">
        <f t="shared" si="103"/>
        <v>3692</v>
      </c>
      <c r="K180" s="1127"/>
      <c r="L180" s="1127">
        <f t="shared" si="104"/>
        <v>0</v>
      </c>
      <c r="M180" s="1127"/>
      <c r="N180" s="1127">
        <f t="shared" si="105"/>
        <v>0</v>
      </c>
      <c r="O180" s="1127"/>
      <c r="P180" s="1127">
        <f t="shared" si="106"/>
        <v>0</v>
      </c>
      <c r="Q180" s="1127"/>
      <c r="R180" s="1127">
        <f t="shared" si="107"/>
        <v>0</v>
      </c>
      <c r="S180" s="1045"/>
      <c r="T180" s="1131">
        <f t="shared" si="108"/>
        <v>0</v>
      </c>
      <c r="U180" s="1045"/>
      <c r="V180" s="1045">
        <f t="shared" si="64"/>
        <v>0</v>
      </c>
      <c r="W180" s="1132">
        <f t="shared" si="100"/>
        <v>2</v>
      </c>
      <c r="X180" s="1045">
        <f t="shared" si="109"/>
        <v>3692</v>
      </c>
      <c r="Y180" s="1132">
        <f t="shared" si="101"/>
        <v>2</v>
      </c>
      <c r="Z180" s="1045">
        <f t="shared" si="110"/>
        <v>3692</v>
      </c>
      <c r="AA180" s="890"/>
      <c r="AB180" s="890"/>
    </row>
    <row r="181" spans="1:29" ht="45">
      <c r="A181" s="1124"/>
      <c r="B181" s="1125" t="s">
        <v>4605</v>
      </c>
      <c r="C181" s="1052">
        <f>Data!K3572</f>
        <v>3105.82</v>
      </c>
      <c r="D181" s="1127" t="s">
        <v>1341</v>
      </c>
      <c r="E181" s="1128">
        <f>detailed!H1629</f>
        <v>8</v>
      </c>
      <c r="F181" s="1127">
        <f t="shared" si="99"/>
        <v>24846.560000000001</v>
      </c>
      <c r="G181" s="1127"/>
      <c r="H181" s="1127">
        <f t="shared" si="102"/>
        <v>0</v>
      </c>
      <c r="I181" s="1127"/>
      <c r="J181" s="1127">
        <f t="shared" si="103"/>
        <v>0</v>
      </c>
      <c r="K181" s="1127"/>
      <c r="L181" s="1127">
        <f t="shared" si="104"/>
        <v>0</v>
      </c>
      <c r="M181" s="1127"/>
      <c r="N181" s="1127">
        <f t="shared" si="105"/>
        <v>0</v>
      </c>
      <c r="O181" s="1127"/>
      <c r="P181" s="1127">
        <f t="shared" si="106"/>
        <v>0</v>
      </c>
      <c r="Q181" s="1127"/>
      <c r="R181" s="1127">
        <f t="shared" si="107"/>
        <v>0</v>
      </c>
      <c r="S181" s="1045"/>
      <c r="T181" s="1131">
        <f t="shared" si="108"/>
        <v>0</v>
      </c>
      <c r="U181" s="1045"/>
      <c r="V181" s="1045">
        <f t="shared" si="64"/>
        <v>0</v>
      </c>
      <c r="W181" s="1132">
        <f t="shared" si="100"/>
        <v>0</v>
      </c>
      <c r="X181" s="1045">
        <f t="shared" si="109"/>
        <v>0</v>
      </c>
      <c r="Y181" s="1132">
        <f t="shared" si="101"/>
        <v>8</v>
      </c>
      <c r="Z181" s="1045">
        <f t="shared" si="110"/>
        <v>24846.560000000001</v>
      </c>
      <c r="AA181" s="890"/>
      <c r="AB181" s="890"/>
    </row>
    <row r="182" spans="1:29">
      <c r="A182" s="1124">
        <v>58.3</v>
      </c>
      <c r="B182" s="1159" t="s">
        <v>1234</v>
      </c>
      <c r="C182" s="1052"/>
      <c r="D182" s="1213"/>
      <c r="E182" s="1214"/>
      <c r="F182" s="1127">
        <f t="shared" si="99"/>
        <v>0</v>
      </c>
      <c r="G182" s="1213"/>
      <c r="H182" s="1127">
        <f t="shared" ref="H182:H201" si="111">G182*C182</f>
        <v>0</v>
      </c>
      <c r="I182" s="1213"/>
      <c r="J182" s="1127">
        <f t="shared" ref="J182:J201" si="112">I182*C182</f>
        <v>0</v>
      </c>
      <c r="K182" s="1213"/>
      <c r="L182" s="1127">
        <f t="shared" ref="L182:L201" si="113">K182*C182</f>
        <v>0</v>
      </c>
      <c r="M182" s="1213"/>
      <c r="N182" s="1127">
        <f t="shared" ref="N182:N201" si="114">M182*C182</f>
        <v>0</v>
      </c>
      <c r="O182" s="1213"/>
      <c r="P182" s="1127">
        <f t="shared" ref="P182:P201" si="115">O182*C182</f>
        <v>0</v>
      </c>
      <c r="Q182" s="1213"/>
      <c r="R182" s="1127">
        <f t="shared" ref="R182:R201" si="116">Q182*C182</f>
        <v>0</v>
      </c>
      <c r="S182" s="1049"/>
      <c r="T182" s="1131">
        <f t="shared" si="108"/>
        <v>0</v>
      </c>
      <c r="U182" s="1045"/>
      <c r="V182" s="1045">
        <f t="shared" si="64"/>
        <v>0</v>
      </c>
      <c r="W182" s="1132">
        <f t="shared" si="100"/>
        <v>0</v>
      </c>
      <c r="X182" s="1045">
        <f t="shared" ref="X182:X201" si="117">W182*C182</f>
        <v>0</v>
      </c>
      <c r="Y182" s="1132">
        <f t="shared" si="101"/>
        <v>0</v>
      </c>
      <c r="Z182" s="1045">
        <f t="shared" ref="Z182:Z201" si="118">Y182*C182</f>
        <v>0</v>
      </c>
      <c r="AA182" s="785"/>
      <c r="AB182" s="890"/>
      <c r="AC182" s="862"/>
    </row>
    <row r="183" spans="1:29" ht="48" customHeight="1">
      <c r="A183" s="1124"/>
      <c r="B183" s="1125" t="s">
        <v>35</v>
      </c>
      <c r="C183" s="1052">
        <f>ROUND(Data!K2066,2)</f>
        <v>657.29</v>
      </c>
      <c r="D183" s="1127" t="s">
        <v>794</v>
      </c>
      <c r="E183" s="1128">
        <f>detailed!H1646</f>
        <v>69</v>
      </c>
      <c r="F183" s="1127">
        <f t="shared" si="99"/>
        <v>45353.01</v>
      </c>
      <c r="G183" s="1127"/>
      <c r="H183" s="1127">
        <f t="shared" si="111"/>
        <v>0</v>
      </c>
      <c r="I183" s="1127"/>
      <c r="J183" s="1127">
        <f t="shared" si="112"/>
        <v>0</v>
      </c>
      <c r="K183" s="1127"/>
      <c r="L183" s="1127">
        <f t="shared" si="113"/>
        <v>0</v>
      </c>
      <c r="M183" s="1127"/>
      <c r="N183" s="1127">
        <f t="shared" si="114"/>
        <v>0</v>
      </c>
      <c r="O183" s="1127"/>
      <c r="P183" s="1127">
        <f t="shared" si="115"/>
        <v>0</v>
      </c>
      <c r="Q183" s="1127"/>
      <c r="R183" s="1127">
        <f t="shared" si="116"/>
        <v>0</v>
      </c>
      <c r="S183" s="1045"/>
      <c r="T183" s="1131">
        <f t="shared" si="108"/>
        <v>0</v>
      </c>
      <c r="U183" s="1045"/>
      <c r="V183" s="1045">
        <f t="shared" si="64"/>
        <v>0</v>
      </c>
      <c r="W183" s="1132">
        <f t="shared" si="100"/>
        <v>0</v>
      </c>
      <c r="X183" s="1045">
        <f t="shared" si="117"/>
        <v>0</v>
      </c>
      <c r="Y183" s="1132">
        <f t="shared" si="101"/>
        <v>69</v>
      </c>
      <c r="Z183" s="1045">
        <f t="shared" si="118"/>
        <v>45353.01</v>
      </c>
      <c r="AA183" s="890"/>
      <c r="AB183" s="890"/>
    </row>
    <row r="184" spans="1:29" ht="48" customHeight="1">
      <c r="A184" s="1040"/>
      <c r="B184" s="1125" t="s">
        <v>36</v>
      </c>
      <c r="C184" s="1052">
        <f>ROUND(Data!K2090,2)</f>
        <v>541.41999999999996</v>
      </c>
      <c r="D184" s="1127" t="s">
        <v>794</v>
      </c>
      <c r="E184" s="1128">
        <f>detailed!G1653</f>
        <v>97.8</v>
      </c>
      <c r="F184" s="1127">
        <f t="shared" si="99"/>
        <v>52950.879999999997</v>
      </c>
      <c r="G184" s="1127"/>
      <c r="H184" s="1127">
        <f t="shared" si="111"/>
        <v>0</v>
      </c>
      <c r="I184" s="1127"/>
      <c r="J184" s="1127">
        <f t="shared" si="112"/>
        <v>0</v>
      </c>
      <c r="K184" s="1127"/>
      <c r="L184" s="1127">
        <f t="shared" si="113"/>
        <v>0</v>
      </c>
      <c r="M184" s="1127"/>
      <c r="N184" s="1127">
        <f t="shared" si="114"/>
        <v>0</v>
      </c>
      <c r="O184" s="1127"/>
      <c r="P184" s="1127">
        <f t="shared" si="115"/>
        <v>0</v>
      </c>
      <c r="Q184" s="1127"/>
      <c r="R184" s="1127">
        <f t="shared" si="116"/>
        <v>0</v>
      </c>
      <c r="S184" s="1045"/>
      <c r="T184" s="1131">
        <f t="shared" si="108"/>
        <v>0</v>
      </c>
      <c r="U184" s="1045"/>
      <c r="V184" s="1045">
        <f t="shared" si="64"/>
        <v>0</v>
      </c>
      <c r="W184" s="1132">
        <f t="shared" si="100"/>
        <v>0</v>
      </c>
      <c r="X184" s="1045">
        <f t="shared" si="117"/>
        <v>0</v>
      </c>
      <c r="Y184" s="1132">
        <f t="shared" si="101"/>
        <v>97.8</v>
      </c>
      <c r="Z184" s="1045">
        <f t="shared" si="118"/>
        <v>52950.879999999997</v>
      </c>
      <c r="AA184" s="890"/>
      <c r="AB184" s="890"/>
    </row>
    <row r="185" spans="1:29" ht="67.5">
      <c r="A185" s="1124">
        <v>58.4</v>
      </c>
      <c r="B185" s="1125" t="s">
        <v>816</v>
      </c>
      <c r="C185" s="1052">
        <f>ROUND(Data!K2891,2)</f>
        <v>114.45</v>
      </c>
      <c r="D185" s="1213" t="s">
        <v>794</v>
      </c>
      <c r="E185" s="1214">
        <f>detailed!H1654</f>
        <v>32</v>
      </c>
      <c r="F185" s="1127">
        <f t="shared" si="99"/>
        <v>3662.4</v>
      </c>
      <c r="G185" s="1213"/>
      <c r="H185" s="1127">
        <f t="shared" si="111"/>
        <v>0</v>
      </c>
      <c r="I185" s="1213"/>
      <c r="J185" s="1127">
        <f t="shared" si="112"/>
        <v>0</v>
      </c>
      <c r="K185" s="1213"/>
      <c r="L185" s="1127">
        <f t="shared" si="113"/>
        <v>0</v>
      </c>
      <c r="M185" s="1213"/>
      <c r="N185" s="1127">
        <f t="shared" si="114"/>
        <v>0</v>
      </c>
      <c r="O185" s="1213"/>
      <c r="P185" s="1127">
        <f t="shared" si="115"/>
        <v>0</v>
      </c>
      <c r="Q185" s="1213"/>
      <c r="R185" s="1127">
        <f t="shared" si="116"/>
        <v>0</v>
      </c>
      <c r="S185" s="1045"/>
      <c r="T185" s="1131">
        <f t="shared" si="108"/>
        <v>0</v>
      </c>
      <c r="U185" s="1045"/>
      <c r="V185" s="1045">
        <f t="shared" si="64"/>
        <v>0</v>
      </c>
      <c r="W185" s="1132">
        <f t="shared" si="100"/>
        <v>0</v>
      </c>
      <c r="X185" s="1045">
        <f t="shared" si="117"/>
        <v>0</v>
      </c>
      <c r="Y185" s="1132">
        <f t="shared" si="101"/>
        <v>32</v>
      </c>
      <c r="Z185" s="1045">
        <f t="shared" si="118"/>
        <v>3662.4</v>
      </c>
      <c r="AA185" s="890"/>
      <c r="AB185" s="890"/>
    </row>
    <row r="186" spans="1:29" s="718" customFormat="1" ht="45">
      <c r="A186" s="1160">
        <v>58.5</v>
      </c>
      <c r="B186" s="1162" t="s">
        <v>817</v>
      </c>
      <c r="C186" s="995">
        <f>ROUND(Data!K2101,2)</f>
        <v>450.1</v>
      </c>
      <c r="D186" s="1036" t="s">
        <v>1341</v>
      </c>
      <c r="E186" s="1215"/>
      <c r="F186" s="1127">
        <f t="shared" si="99"/>
        <v>0</v>
      </c>
      <c r="G186" s="1036"/>
      <c r="H186" s="1127">
        <f t="shared" si="111"/>
        <v>0</v>
      </c>
      <c r="I186" s="1036"/>
      <c r="J186" s="1127">
        <f t="shared" si="112"/>
        <v>0</v>
      </c>
      <c r="K186" s="1036"/>
      <c r="L186" s="1127">
        <f t="shared" si="113"/>
        <v>0</v>
      </c>
      <c r="M186" s="1036"/>
      <c r="N186" s="1127">
        <f t="shared" si="114"/>
        <v>0</v>
      </c>
      <c r="O186" s="1036"/>
      <c r="P186" s="1127">
        <f t="shared" si="115"/>
        <v>0</v>
      </c>
      <c r="Q186" s="1036"/>
      <c r="R186" s="1127">
        <f t="shared" si="116"/>
        <v>0</v>
      </c>
      <c r="S186" s="1028"/>
      <c r="T186" s="1131">
        <f t="shared" si="108"/>
        <v>0</v>
      </c>
      <c r="U186" s="1045"/>
      <c r="V186" s="1045">
        <f t="shared" si="64"/>
        <v>0</v>
      </c>
      <c r="W186" s="1132">
        <f t="shared" si="100"/>
        <v>0</v>
      </c>
      <c r="X186" s="1045">
        <f t="shared" si="117"/>
        <v>0</v>
      </c>
      <c r="Y186" s="1132">
        <f t="shared" si="101"/>
        <v>0</v>
      </c>
      <c r="Z186" s="1045">
        <f t="shared" si="118"/>
        <v>0</v>
      </c>
      <c r="AA186" s="891"/>
      <c r="AB186" s="891"/>
    </row>
    <row r="187" spans="1:29" s="718" customFormat="1" ht="67.5">
      <c r="A187" s="1160"/>
      <c r="B187" s="1161" t="s">
        <v>3879</v>
      </c>
      <c r="C187" s="995"/>
      <c r="D187" s="1036"/>
      <c r="E187" s="1215"/>
      <c r="F187" s="1127">
        <f t="shared" si="99"/>
        <v>0</v>
      </c>
      <c r="G187" s="1036"/>
      <c r="H187" s="1127">
        <f t="shared" si="111"/>
        <v>0</v>
      </c>
      <c r="I187" s="1036"/>
      <c r="J187" s="1127">
        <f t="shared" si="112"/>
        <v>0</v>
      </c>
      <c r="K187" s="1036"/>
      <c r="L187" s="1127">
        <f t="shared" si="113"/>
        <v>0</v>
      </c>
      <c r="M187" s="1036"/>
      <c r="N187" s="1127">
        <f t="shared" si="114"/>
        <v>0</v>
      </c>
      <c r="O187" s="1036"/>
      <c r="P187" s="1127">
        <f t="shared" si="115"/>
        <v>0</v>
      </c>
      <c r="Q187" s="1036"/>
      <c r="R187" s="1127">
        <f t="shared" si="116"/>
        <v>0</v>
      </c>
      <c r="S187" s="1028"/>
      <c r="T187" s="1131">
        <f t="shared" si="108"/>
        <v>0</v>
      </c>
      <c r="U187" s="1045"/>
      <c r="V187" s="1045">
        <f t="shared" si="64"/>
        <v>0</v>
      </c>
      <c r="W187" s="1132">
        <f t="shared" si="100"/>
        <v>0</v>
      </c>
      <c r="X187" s="1045">
        <f t="shared" si="117"/>
        <v>0</v>
      </c>
      <c r="Y187" s="1132">
        <f t="shared" si="101"/>
        <v>0</v>
      </c>
      <c r="Z187" s="1045">
        <f t="shared" si="118"/>
        <v>0</v>
      </c>
      <c r="AA187" s="891"/>
      <c r="AB187" s="891"/>
    </row>
    <row r="188" spans="1:29" s="718" customFormat="1">
      <c r="A188" s="1160"/>
      <c r="B188" s="1162" t="s">
        <v>2060</v>
      </c>
      <c r="C188" s="995">
        <f>Data!K2264</f>
        <v>1499.19</v>
      </c>
      <c r="D188" s="1031" t="s">
        <v>1341</v>
      </c>
      <c r="E188" s="1215">
        <f>detailed!H1715</f>
        <v>92</v>
      </c>
      <c r="F188" s="1127">
        <f t="shared" si="99"/>
        <v>137925.48000000001</v>
      </c>
      <c r="G188" s="1031"/>
      <c r="H188" s="1127">
        <f t="shared" si="111"/>
        <v>0</v>
      </c>
      <c r="I188" s="1031"/>
      <c r="J188" s="1127">
        <f t="shared" si="112"/>
        <v>0</v>
      </c>
      <c r="K188" s="1031"/>
      <c r="L188" s="1127">
        <f t="shared" si="113"/>
        <v>0</v>
      </c>
      <c r="M188" s="1031"/>
      <c r="N188" s="1127">
        <f t="shared" si="114"/>
        <v>0</v>
      </c>
      <c r="O188" s="1031"/>
      <c r="P188" s="1127">
        <f t="shared" si="115"/>
        <v>0</v>
      </c>
      <c r="Q188" s="1031"/>
      <c r="R188" s="1127">
        <f t="shared" si="116"/>
        <v>0</v>
      </c>
      <c r="S188" s="1045"/>
      <c r="T188" s="1131">
        <f t="shared" si="108"/>
        <v>0</v>
      </c>
      <c r="U188" s="1045"/>
      <c r="V188" s="1045">
        <f t="shared" si="64"/>
        <v>0</v>
      </c>
      <c r="W188" s="1132">
        <f t="shared" si="100"/>
        <v>0</v>
      </c>
      <c r="X188" s="1045">
        <f t="shared" si="117"/>
        <v>0</v>
      </c>
      <c r="Y188" s="1132">
        <f t="shared" si="101"/>
        <v>92</v>
      </c>
      <c r="Z188" s="1045">
        <f t="shared" si="118"/>
        <v>137925.48000000001</v>
      </c>
      <c r="AA188" s="891"/>
      <c r="AB188" s="891"/>
    </row>
    <row r="189" spans="1:29" s="718" customFormat="1">
      <c r="A189" s="1160"/>
      <c r="B189" s="1162" t="s">
        <v>1223</v>
      </c>
      <c r="C189" s="995">
        <f>Data!K2265</f>
        <v>1503.34</v>
      </c>
      <c r="D189" s="1031" t="s">
        <v>1341</v>
      </c>
      <c r="E189" s="1215">
        <f>detailed!H1754</f>
        <v>132</v>
      </c>
      <c r="F189" s="1127">
        <f t="shared" si="99"/>
        <v>198440.88</v>
      </c>
      <c r="G189" s="1031"/>
      <c r="H189" s="1127">
        <f t="shared" si="111"/>
        <v>0</v>
      </c>
      <c r="I189" s="1031"/>
      <c r="J189" s="1127">
        <f t="shared" si="112"/>
        <v>0</v>
      </c>
      <c r="K189" s="1031"/>
      <c r="L189" s="1127">
        <f t="shared" si="113"/>
        <v>0</v>
      </c>
      <c r="M189" s="1031"/>
      <c r="N189" s="1127">
        <f t="shared" si="114"/>
        <v>0</v>
      </c>
      <c r="O189" s="1031"/>
      <c r="P189" s="1127">
        <f t="shared" si="115"/>
        <v>0</v>
      </c>
      <c r="Q189" s="1031"/>
      <c r="R189" s="1127">
        <f t="shared" si="116"/>
        <v>0</v>
      </c>
      <c r="S189" s="1045"/>
      <c r="T189" s="1131">
        <f t="shared" si="108"/>
        <v>0</v>
      </c>
      <c r="U189" s="1045"/>
      <c r="V189" s="1045">
        <f t="shared" si="64"/>
        <v>0</v>
      </c>
      <c r="W189" s="1132">
        <f t="shared" si="100"/>
        <v>0</v>
      </c>
      <c r="X189" s="1045">
        <f t="shared" si="117"/>
        <v>0</v>
      </c>
      <c r="Y189" s="1132">
        <f t="shared" si="101"/>
        <v>132</v>
      </c>
      <c r="Z189" s="1045">
        <f t="shared" si="118"/>
        <v>198440.88</v>
      </c>
      <c r="AA189" s="891"/>
      <c r="AB189" s="891"/>
    </row>
    <row r="190" spans="1:29" s="718" customFormat="1">
      <c r="A190" s="994"/>
      <c r="B190" s="1162" t="s">
        <v>281</v>
      </c>
      <c r="C190" s="995">
        <f>Data!K2266</f>
        <v>1538.57</v>
      </c>
      <c r="D190" s="1031" t="s">
        <v>1341</v>
      </c>
      <c r="E190" s="1215">
        <f>detailed!H1755</f>
        <v>2</v>
      </c>
      <c r="F190" s="1127">
        <f t="shared" si="99"/>
        <v>3077.14</v>
      </c>
      <c r="G190" s="1031"/>
      <c r="H190" s="1127">
        <f t="shared" si="111"/>
        <v>0</v>
      </c>
      <c r="I190" s="1031"/>
      <c r="J190" s="1127">
        <f t="shared" si="112"/>
        <v>0</v>
      </c>
      <c r="K190" s="1031"/>
      <c r="L190" s="1127">
        <f t="shared" si="113"/>
        <v>0</v>
      </c>
      <c r="M190" s="1031"/>
      <c r="N190" s="1127">
        <f t="shared" si="114"/>
        <v>0</v>
      </c>
      <c r="O190" s="1031"/>
      <c r="P190" s="1127">
        <f t="shared" si="115"/>
        <v>0</v>
      </c>
      <c r="Q190" s="1031"/>
      <c r="R190" s="1127">
        <f t="shared" si="116"/>
        <v>0</v>
      </c>
      <c r="S190" s="1045"/>
      <c r="T190" s="1131">
        <f t="shared" si="108"/>
        <v>0</v>
      </c>
      <c r="U190" s="1045"/>
      <c r="V190" s="1045">
        <f t="shared" si="64"/>
        <v>0</v>
      </c>
      <c r="W190" s="1132">
        <f t="shared" si="100"/>
        <v>0</v>
      </c>
      <c r="X190" s="1045">
        <f t="shared" si="117"/>
        <v>0</v>
      </c>
      <c r="Y190" s="1132">
        <f t="shared" si="101"/>
        <v>2</v>
      </c>
      <c r="Z190" s="1045">
        <f t="shared" si="118"/>
        <v>3077.14</v>
      </c>
      <c r="AA190" s="891"/>
      <c r="AB190" s="891"/>
    </row>
    <row r="191" spans="1:29" s="718" customFormat="1" ht="67.5">
      <c r="A191" s="1160">
        <v>65.099999999999994</v>
      </c>
      <c r="B191" s="1162" t="s">
        <v>5656</v>
      </c>
      <c r="C191" s="995">
        <f>Data!K2267</f>
        <v>1565.4</v>
      </c>
      <c r="D191" s="1031" t="s">
        <v>1341</v>
      </c>
      <c r="E191" s="1215">
        <f>detailed!H1780</f>
        <v>88</v>
      </c>
      <c r="F191" s="1127">
        <f t="shared" si="99"/>
        <v>137755.20000000001</v>
      </c>
      <c r="G191" s="1031"/>
      <c r="H191" s="1127">
        <f t="shared" si="111"/>
        <v>0</v>
      </c>
      <c r="I191" s="1031"/>
      <c r="J191" s="1127">
        <f t="shared" si="112"/>
        <v>0</v>
      </c>
      <c r="K191" s="1031"/>
      <c r="L191" s="1127">
        <f t="shared" si="113"/>
        <v>0</v>
      </c>
      <c r="M191" s="1031"/>
      <c r="N191" s="1127">
        <f t="shared" si="114"/>
        <v>0</v>
      </c>
      <c r="O191" s="1031"/>
      <c r="P191" s="1127">
        <f t="shared" si="115"/>
        <v>0</v>
      </c>
      <c r="Q191" s="1031"/>
      <c r="R191" s="1127">
        <f t="shared" si="116"/>
        <v>0</v>
      </c>
      <c r="S191" s="1045"/>
      <c r="T191" s="1131">
        <f t="shared" si="108"/>
        <v>0</v>
      </c>
      <c r="U191" s="1045"/>
      <c r="V191" s="1045">
        <f t="shared" si="64"/>
        <v>0</v>
      </c>
      <c r="W191" s="1132">
        <f t="shared" si="100"/>
        <v>0</v>
      </c>
      <c r="X191" s="1045">
        <f t="shared" si="117"/>
        <v>0</v>
      </c>
      <c r="Y191" s="1132">
        <f t="shared" si="101"/>
        <v>88</v>
      </c>
      <c r="Z191" s="1045">
        <f t="shared" si="118"/>
        <v>137755.20000000001</v>
      </c>
      <c r="AA191" s="891"/>
      <c r="AB191" s="891"/>
    </row>
    <row r="192" spans="1:29" s="718" customFormat="1" ht="90">
      <c r="A192" s="1160">
        <v>66.099999999999994</v>
      </c>
      <c r="B192" s="1162" t="s">
        <v>5657</v>
      </c>
      <c r="C192" s="995">
        <f>Data!K2268</f>
        <v>2802.09</v>
      </c>
      <c r="D192" s="1031" t="s">
        <v>1341</v>
      </c>
      <c r="E192" s="1215">
        <f>detailed!H1782</f>
        <v>4</v>
      </c>
      <c r="F192" s="1127">
        <f t="shared" si="99"/>
        <v>11208.36</v>
      </c>
      <c r="G192" s="1031"/>
      <c r="H192" s="1127">
        <f t="shared" si="111"/>
        <v>0</v>
      </c>
      <c r="I192" s="1031"/>
      <c r="J192" s="1127">
        <f t="shared" si="112"/>
        <v>0</v>
      </c>
      <c r="K192" s="1031"/>
      <c r="L192" s="1127">
        <f t="shared" si="113"/>
        <v>0</v>
      </c>
      <c r="M192" s="1031"/>
      <c r="N192" s="1127">
        <f t="shared" si="114"/>
        <v>0</v>
      </c>
      <c r="O192" s="1031"/>
      <c r="P192" s="1127">
        <f t="shared" si="115"/>
        <v>0</v>
      </c>
      <c r="Q192" s="1031"/>
      <c r="R192" s="1127">
        <f t="shared" si="116"/>
        <v>0</v>
      </c>
      <c r="S192" s="1045"/>
      <c r="T192" s="1131">
        <f t="shared" si="108"/>
        <v>0</v>
      </c>
      <c r="U192" s="1045"/>
      <c r="V192" s="1045">
        <f t="shared" si="64"/>
        <v>0</v>
      </c>
      <c r="W192" s="1132">
        <f t="shared" si="100"/>
        <v>0</v>
      </c>
      <c r="X192" s="1045">
        <f t="shared" si="117"/>
        <v>0</v>
      </c>
      <c r="Y192" s="1132">
        <f t="shared" si="101"/>
        <v>4</v>
      </c>
      <c r="Z192" s="1045">
        <f t="shared" si="118"/>
        <v>11208.36</v>
      </c>
      <c r="AA192" s="891"/>
      <c r="AB192" s="891"/>
    </row>
    <row r="193" spans="1:28" s="718" customFormat="1" ht="90">
      <c r="A193" s="1160"/>
      <c r="B193" s="1162" t="s">
        <v>5658</v>
      </c>
      <c r="C193" s="995">
        <f>Data!K2269</f>
        <v>764.91</v>
      </c>
      <c r="D193" s="1031" t="s">
        <v>1341</v>
      </c>
      <c r="E193" s="1215">
        <f>detailed!H1807</f>
        <v>37</v>
      </c>
      <c r="F193" s="1127">
        <f t="shared" si="99"/>
        <v>28301.67</v>
      </c>
      <c r="G193" s="1031"/>
      <c r="H193" s="1127">
        <f t="shared" si="111"/>
        <v>0</v>
      </c>
      <c r="I193" s="1031"/>
      <c r="J193" s="1127">
        <f t="shared" si="112"/>
        <v>0</v>
      </c>
      <c r="K193" s="1031"/>
      <c r="L193" s="1127">
        <f t="shared" si="113"/>
        <v>0</v>
      </c>
      <c r="M193" s="1031"/>
      <c r="N193" s="1127">
        <f t="shared" si="114"/>
        <v>0</v>
      </c>
      <c r="O193" s="1031"/>
      <c r="P193" s="1127">
        <f t="shared" si="115"/>
        <v>0</v>
      </c>
      <c r="Q193" s="1031"/>
      <c r="R193" s="1127">
        <f t="shared" si="116"/>
        <v>0</v>
      </c>
      <c r="S193" s="1045"/>
      <c r="T193" s="1131">
        <f t="shared" si="108"/>
        <v>0</v>
      </c>
      <c r="U193" s="1045"/>
      <c r="V193" s="1045">
        <f t="shared" si="64"/>
        <v>0</v>
      </c>
      <c r="W193" s="1132">
        <f t="shared" si="100"/>
        <v>0</v>
      </c>
      <c r="X193" s="1045">
        <f t="shared" si="117"/>
        <v>0</v>
      </c>
      <c r="Y193" s="1132">
        <f t="shared" si="101"/>
        <v>37</v>
      </c>
      <c r="Z193" s="1045">
        <f t="shared" si="118"/>
        <v>28301.67</v>
      </c>
      <c r="AA193" s="891"/>
      <c r="AB193" s="891"/>
    </row>
    <row r="194" spans="1:28" s="718" customFormat="1" ht="90">
      <c r="A194" s="1160">
        <v>68.2</v>
      </c>
      <c r="B194" s="1162" t="s">
        <v>5659</v>
      </c>
      <c r="C194" s="995">
        <f>Data!K2270</f>
        <v>1041.2</v>
      </c>
      <c r="D194" s="1031" t="s">
        <v>1341</v>
      </c>
      <c r="E194" s="1215">
        <f>detailed!H1830</f>
        <v>50</v>
      </c>
      <c r="F194" s="1127">
        <f t="shared" si="99"/>
        <v>52060</v>
      </c>
      <c r="G194" s="1031"/>
      <c r="H194" s="1127">
        <f t="shared" si="111"/>
        <v>0</v>
      </c>
      <c r="I194" s="1031"/>
      <c r="J194" s="1127">
        <f t="shared" si="112"/>
        <v>0</v>
      </c>
      <c r="K194" s="1031"/>
      <c r="L194" s="1127">
        <f t="shared" si="113"/>
        <v>0</v>
      </c>
      <c r="M194" s="1031"/>
      <c r="N194" s="1127">
        <f t="shared" si="114"/>
        <v>0</v>
      </c>
      <c r="O194" s="1031"/>
      <c r="P194" s="1127">
        <f t="shared" si="115"/>
        <v>0</v>
      </c>
      <c r="Q194" s="1031"/>
      <c r="R194" s="1127">
        <f t="shared" si="116"/>
        <v>0</v>
      </c>
      <c r="S194" s="1045"/>
      <c r="T194" s="1131">
        <f t="shared" si="108"/>
        <v>0</v>
      </c>
      <c r="U194" s="1045"/>
      <c r="V194" s="1045">
        <f t="shared" si="64"/>
        <v>0</v>
      </c>
      <c r="W194" s="1132">
        <f t="shared" si="100"/>
        <v>0</v>
      </c>
      <c r="X194" s="1045">
        <f t="shared" si="117"/>
        <v>0</v>
      </c>
      <c r="Y194" s="1132">
        <f t="shared" si="101"/>
        <v>50</v>
      </c>
      <c r="Z194" s="1045">
        <f t="shared" si="118"/>
        <v>52060</v>
      </c>
      <c r="AA194" s="891"/>
      <c r="AB194" s="891"/>
    </row>
    <row r="195" spans="1:28" s="486" customFormat="1" ht="45">
      <c r="A195" s="1124">
        <v>70.5</v>
      </c>
      <c r="B195" s="1125" t="s">
        <v>1255</v>
      </c>
      <c r="C195" s="1216">
        <f>Elec.Data!K3781</f>
        <v>535.49</v>
      </c>
      <c r="D195" s="1217" t="s">
        <v>1341</v>
      </c>
      <c r="E195" s="1218"/>
      <c r="F195" s="1127">
        <f t="shared" si="99"/>
        <v>0</v>
      </c>
      <c r="G195" s="1217"/>
      <c r="H195" s="1127">
        <f t="shared" si="111"/>
        <v>0</v>
      </c>
      <c r="I195" s="1217"/>
      <c r="J195" s="1127">
        <f t="shared" si="112"/>
        <v>0</v>
      </c>
      <c r="K195" s="1217"/>
      <c r="L195" s="1127">
        <f t="shared" si="113"/>
        <v>0</v>
      </c>
      <c r="M195" s="1217"/>
      <c r="N195" s="1127">
        <f t="shared" si="114"/>
        <v>0</v>
      </c>
      <c r="O195" s="1217"/>
      <c r="P195" s="1127">
        <f t="shared" si="115"/>
        <v>0</v>
      </c>
      <c r="Q195" s="1217"/>
      <c r="R195" s="1127">
        <f t="shared" si="116"/>
        <v>0</v>
      </c>
      <c r="S195" s="1028"/>
      <c r="T195" s="1131">
        <f t="shared" si="108"/>
        <v>0</v>
      </c>
      <c r="U195" s="1045"/>
      <c r="V195" s="1045">
        <f t="shared" si="64"/>
        <v>0</v>
      </c>
      <c r="W195" s="1132">
        <f t="shared" si="100"/>
        <v>0</v>
      </c>
      <c r="X195" s="1045">
        <f t="shared" si="117"/>
        <v>0</v>
      </c>
      <c r="Y195" s="1132">
        <f t="shared" si="101"/>
        <v>0</v>
      </c>
      <c r="Z195" s="1045">
        <f t="shared" si="118"/>
        <v>0</v>
      </c>
      <c r="AA195" s="892"/>
      <c r="AB195" s="891"/>
    </row>
    <row r="196" spans="1:28" ht="45">
      <c r="A196" s="1040"/>
      <c r="B196" s="1125" t="s">
        <v>5660</v>
      </c>
      <c r="C196" s="1052">
        <f>ROUND(Data!K3041,2)</f>
        <v>1437.4</v>
      </c>
      <c r="D196" s="1219" t="s">
        <v>1341</v>
      </c>
      <c r="E196" s="1214">
        <f>detailed!H1924</f>
        <v>88</v>
      </c>
      <c r="F196" s="1127">
        <f t="shared" si="99"/>
        <v>126491.2</v>
      </c>
      <c r="G196" s="1219"/>
      <c r="H196" s="1127">
        <f t="shared" si="111"/>
        <v>0</v>
      </c>
      <c r="I196" s="1219"/>
      <c r="J196" s="1127">
        <f t="shared" si="112"/>
        <v>0</v>
      </c>
      <c r="K196" s="1219"/>
      <c r="L196" s="1127">
        <f t="shared" si="113"/>
        <v>0</v>
      </c>
      <c r="M196" s="1219"/>
      <c r="N196" s="1127">
        <f t="shared" si="114"/>
        <v>0</v>
      </c>
      <c r="O196" s="1219"/>
      <c r="P196" s="1127">
        <f t="shared" si="115"/>
        <v>0</v>
      </c>
      <c r="Q196" s="1219"/>
      <c r="R196" s="1127">
        <f t="shared" si="116"/>
        <v>0</v>
      </c>
      <c r="S196" s="1045"/>
      <c r="T196" s="1131">
        <f t="shared" si="108"/>
        <v>0</v>
      </c>
      <c r="U196" s="1045"/>
      <c r="V196" s="1045">
        <f t="shared" si="64"/>
        <v>0</v>
      </c>
      <c r="W196" s="1132">
        <f t="shared" si="100"/>
        <v>0</v>
      </c>
      <c r="X196" s="1045">
        <f t="shared" si="117"/>
        <v>0</v>
      </c>
      <c r="Y196" s="1132">
        <f t="shared" si="101"/>
        <v>88</v>
      </c>
      <c r="Z196" s="1045">
        <f t="shared" si="118"/>
        <v>126491.2</v>
      </c>
      <c r="AA196" s="890"/>
      <c r="AB196" s="890"/>
    </row>
    <row r="197" spans="1:28" ht="87" customHeight="1">
      <c r="A197" s="1040"/>
      <c r="B197" s="1125" t="s">
        <v>3471</v>
      </c>
      <c r="C197" s="1052">
        <f>Data!K2286</f>
        <v>246.68</v>
      </c>
      <c r="D197" s="1213" t="s">
        <v>794</v>
      </c>
      <c r="E197" s="1214">
        <f>detailed!H1929</f>
        <v>270</v>
      </c>
      <c r="F197" s="1127">
        <f t="shared" si="99"/>
        <v>66603.600000000006</v>
      </c>
      <c r="G197" s="1213"/>
      <c r="H197" s="1127">
        <f t="shared" si="111"/>
        <v>0</v>
      </c>
      <c r="I197" s="1213"/>
      <c r="J197" s="1127">
        <f t="shared" si="112"/>
        <v>0</v>
      </c>
      <c r="K197" s="1213"/>
      <c r="L197" s="1127">
        <f t="shared" si="113"/>
        <v>0</v>
      </c>
      <c r="M197" s="1213"/>
      <c r="N197" s="1127">
        <f t="shared" si="114"/>
        <v>0</v>
      </c>
      <c r="O197" s="1213"/>
      <c r="P197" s="1127">
        <f t="shared" si="115"/>
        <v>0</v>
      </c>
      <c r="Q197" s="1213"/>
      <c r="R197" s="1127">
        <f t="shared" si="116"/>
        <v>0</v>
      </c>
      <c r="S197" s="1045"/>
      <c r="T197" s="1131">
        <f t="shared" si="108"/>
        <v>0</v>
      </c>
      <c r="U197" s="1045"/>
      <c r="V197" s="1045">
        <f t="shared" si="64"/>
        <v>0</v>
      </c>
      <c r="W197" s="1132">
        <f t="shared" si="100"/>
        <v>0</v>
      </c>
      <c r="X197" s="1045">
        <f t="shared" si="117"/>
        <v>0</v>
      </c>
      <c r="Y197" s="1132">
        <f t="shared" si="101"/>
        <v>270</v>
      </c>
      <c r="Z197" s="1045">
        <f t="shared" si="118"/>
        <v>66603.600000000006</v>
      </c>
      <c r="AA197" s="890"/>
      <c r="AB197" s="890"/>
    </row>
    <row r="198" spans="1:28" s="486" customFormat="1" ht="84.75" customHeight="1">
      <c r="A198" s="1220">
        <v>77.5</v>
      </c>
      <c r="B198" s="1150" t="s">
        <v>3472</v>
      </c>
      <c r="C198" s="1151">
        <f>ROUND(Data!K2285,2)</f>
        <v>192.58</v>
      </c>
      <c r="D198" s="1221" t="s">
        <v>794</v>
      </c>
      <c r="E198" s="1222"/>
      <c r="F198" s="1127">
        <f t="shared" si="99"/>
        <v>0</v>
      </c>
      <c r="G198" s="1221"/>
      <c r="H198" s="1127">
        <f t="shared" si="111"/>
        <v>0</v>
      </c>
      <c r="I198" s="1221"/>
      <c r="J198" s="1127">
        <f t="shared" si="112"/>
        <v>0</v>
      </c>
      <c r="K198" s="1221"/>
      <c r="L198" s="1127">
        <f t="shared" si="113"/>
        <v>0</v>
      </c>
      <c r="M198" s="1221"/>
      <c r="N198" s="1127">
        <f t="shared" si="114"/>
        <v>0</v>
      </c>
      <c r="O198" s="1221"/>
      <c r="P198" s="1127">
        <f t="shared" si="115"/>
        <v>0</v>
      </c>
      <c r="Q198" s="1221"/>
      <c r="R198" s="1127">
        <f t="shared" si="116"/>
        <v>0</v>
      </c>
      <c r="S198" s="1045"/>
      <c r="T198" s="1131">
        <f t="shared" si="108"/>
        <v>0</v>
      </c>
      <c r="U198" s="1045"/>
      <c r="V198" s="1045">
        <f t="shared" ref="V198:V260" si="119">U198*C198</f>
        <v>0</v>
      </c>
      <c r="W198" s="1132">
        <f t="shared" si="100"/>
        <v>0</v>
      </c>
      <c r="X198" s="1045">
        <f t="shared" si="117"/>
        <v>0</v>
      </c>
      <c r="Y198" s="1132">
        <f t="shared" si="101"/>
        <v>0</v>
      </c>
      <c r="Z198" s="1045">
        <f t="shared" si="118"/>
        <v>0</v>
      </c>
      <c r="AA198" s="892"/>
      <c r="AB198" s="890"/>
    </row>
    <row r="199" spans="1:28" s="486" customFormat="1" ht="84.75" customHeight="1">
      <c r="A199" s="1184"/>
      <c r="B199" s="1125" t="s">
        <v>3512</v>
      </c>
      <c r="C199" s="1040">
        <f>C411</f>
        <v>209.78</v>
      </c>
      <c r="D199" s="1223" t="s">
        <v>794</v>
      </c>
      <c r="E199" s="1128">
        <f>detailed!H1948</f>
        <v>333.5</v>
      </c>
      <c r="F199" s="1127">
        <f t="shared" si="99"/>
        <v>69961.63</v>
      </c>
      <c r="G199" s="1223"/>
      <c r="H199" s="1127">
        <f t="shared" si="111"/>
        <v>0</v>
      </c>
      <c r="I199" s="1223"/>
      <c r="J199" s="1127">
        <f t="shared" si="112"/>
        <v>0</v>
      </c>
      <c r="K199" s="1223"/>
      <c r="L199" s="1127">
        <f t="shared" si="113"/>
        <v>0</v>
      </c>
      <c r="M199" s="1223"/>
      <c r="N199" s="1127">
        <f t="shared" si="114"/>
        <v>0</v>
      </c>
      <c r="O199" s="1223"/>
      <c r="P199" s="1127">
        <f t="shared" si="115"/>
        <v>0</v>
      </c>
      <c r="Q199" s="1223"/>
      <c r="R199" s="1127">
        <f t="shared" si="116"/>
        <v>0</v>
      </c>
      <c r="S199" s="1045"/>
      <c r="T199" s="1131">
        <f t="shared" si="108"/>
        <v>0</v>
      </c>
      <c r="U199" s="1045"/>
      <c r="V199" s="1045">
        <f t="shared" si="119"/>
        <v>0</v>
      </c>
      <c r="W199" s="1132">
        <f t="shared" si="100"/>
        <v>0</v>
      </c>
      <c r="X199" s="1045">
        <f t="shared" si="117"/>
        <v>0</v>
      </c>
      <c r="Y199" s="1132">
        <f t="shared" si="101"/>
        <v>333.5</v>
      </c>
      <c r="Z199" s="1045">
        <f t="shared" si="118"/>
        <v>69961.63</v>
      </c>
      <c r="AA199" s="892"/>
      <c r="AB199" s="890"/>
    </row>
    <row r="200" spans="1:28" ht="84" customHeight="1">
      <c r="A200" s="1184"/>
      <c r="B200" s="1125" t="s">
        <v>5661</v>
      </c>
      <c r="C200" s="1040">
        <f>Elec.Data!K3539</f>
        <v>250.43</v>
      </c>
      <c r="D200" s="1213" t="s">
        <v>794</v>
      </c>
      <c r="E200" s="1214"/>
      <c r="F200" s="1127">
        <f t="shared" si="99"/>
        <v>0</v>
      </c>
      <c r="G200" s="1213"/>
      <c r="H200" s="1127">
        <f t="shared" si="111"/>
        <v>0</v>
      </c>
      <c r="I200" s="1213"/>
      <c r="J200" s="1127">
        <f t="shared" si="112"/>
        <v>0</v>
      </c>
      <c r="K200" s="1213"/>
      <c r="L200" s="1127">
        <f t="shared" si="113"/>
        <v>0</v>
      </c>
      <c r="M200" s="1213"/>
      <c r="N200" s="1127">
        <f t="shared" si="114"/>
        <v>0</v>
      </c>
      <c r="O200" s="1213"/>
      <c r="P200" s="1127">
        <f t="shared" si="115"/>
        <v>0</v>
      </c>
      <c r="Q200" s="1213"/>
      <c r="R200" s="1127">
        <f t="shared" si="116"/>
        <v>0</v>
      </c>
      <c r="S200" s="1045"/>
      <c r="T200" s="1131">
        <f t="shared" si="108"/>
        <v>0</v>
      </c>
      <c r="U200" s="1045"/>
      <c r="V200" s="1045">
        <f t="shared" si="119"/>
        <v>0</v>
      </c>
      <c r="W200" s="1132">
        <f t="shared" si="100"/>
        <v>0</v>
      </c>
      <c r="X200" s="1045">
        <f t="shared" si="117"/>
        <v>0</v>
      </c>
      <c r="Y200" s="1132">
        <f t="shared" si="101"/>
        <v>0</v>
      </c>
      <c r="Z200" s="1045">
        <f t="shared" si="118"/>
        <v>0</v>
      </c>
      <c r="AA200" s="890"/>
      <c r="AB200" s="890"/>
    </row>
    <row r="201" spans="1:28" s="486" customFormat="1" ht="45">
      <c r="A201" s="1184"/>
      <c r="B201" s="1037" t="s">
        <v>3562</v>
      </c>
      <c r="C201" s="1024">
        <f>Elec.Data!R3119</f>
        <v>458</v>
      </c>
      <c r="D201" s="1224" t="s">
        <v>794</v>
      </c>
      <c r="E201" s="1139"/>
      <c r="F201" s="1127">
        <f t="shared" si="99"/>
        <v>0</v>
      </c>
      <c r="G201" s="1224"/>
      <c r="H201" s="1127">
        <f t="shared" si="111"/>
        <v>0</v>
      </c>
      <c r="I201" s="1224"/>
      <c r="J201" s="1127">
        <f t="shared" si="112"/>
        <v>0</v>
      </c>
      <c r="K201" s="1224"/>
      <c r="L201" s="1127">
        <f t="shared" si="113"/>
        <v>0</v>
      </c>
      <c r="M201" s="1224"/>
      <c r="N201" s="1127">
        <f t="shared" si="114"/>
        <v>0</v>
      </c>
      <c r="O201" s="1224"/>
      <c r="P201" s="1127">
        <f t="shared" si="115"/>
        <v>0</v>
      </c>
      <c r="Q201" s="1224"/>
      <c r="R201" s="1127">
        <f t="shared" si="116"/>
        <v>0</v>
      </c>
      <c r="S201" s="1045"/>
      <c r="T201" s="1131">
        <f t="shared" si="108"/>
        <v>0</v>
      </c>
      <c r="U201" s="1045"/>
      <c r="V201" s="1045">
        <f t="shared" si="119"/>
        <v>0</v>
      </c>
      <c r="W201" s="1132">
        <f t="shared" si="100"/>
        <v>0</v>
      </c>
      <c r="X201" s="1045">
        <f t="shared" si="117"/>
        <v>0</v>
      </c>
      <c r="Y201" s="1132">
        <f t="shared" si="101"/>
        <v>0</v>
      </c>
      <c r="Z201" s="1045">
        <f t="shared" si="118"/>
        <v>0</v>
      </c>
      <c r="AA201" s="892"/>
      <c r="AB201" s="890"/>
    </row>
    <row r="202" spans="1:28" s="718" customFormat="1">
      <c r="A202" s="1160">
        <v>112.1</v>
      </c>
      <c r="B202" s="1162" t="s">
        <v>1852</v>
      </c>
      <c r="C202" s="995">
        <f>Data!K3021</f>
        <v>1941.5</v>
      </c>
      <c r="D202" s="1031" t="s">
        <v>1341</v>
      </c>
      <c r="E202" s="1215">
        <f>detailed!H1985</f>
        <v>6</v>
      </c>
      <c r="F202" s="1127">
        <f t="shared" si="99"/>
        <v>11649</v>
      </c>
      <c r="G202" s="1031"/>
      <c r="H202" s="1127">
        <f>G202*C202</f>
        <v>0</v>
      </c>
      <c r="I202" s="1031"/>
      <c r="J202" s="1127">
        <f>I202*C202</f>
        <v>0</v>
      </c>
      <c r="K202" s="1031"/>
      <c r="L202" s="1127">
        <f>K202*C202</f>
        <v>0</v>
      </c>
      <c r="M202" s="1031"/>
      <c r="N202" s="1127">
        <f>M202*C202</f>
        <v>0</v>
      </c>
      <c r="O202" s="1031"/>
      <c r="P202" s="1127">
        <f>O202*C202</f>
        <v>0</v>
      </c>
      <c r="Q202" s="1031"/>
      <c r="R202" s="1127">
        <f>Q202*C202</f>
        <v>0</v>
      </c>
      <c r="S202" s="1028"/>
      <c r="T202" s="1131">
        <f>S202*C202</f>
        <v>0</v>
      </c>
      <c r="U202" s="1045"/>
      <c r="V202" s="1045">
        <f t="shared" si="119"/>
        <v>0</v>
      </c>
      <c r="W202" s="1132">
        <f t="shared" si="100"/>
        <v>0</v>
      </c>
      <c r="X202" s="1045">
        <f>W202*C202</f>
        <v>0</v>
      </c>
      <c r="Y202" s="1132">
        <f t="shared" si="101"/>
        <v>6</v>
      </c>
      <c r="Z202" s="1045">
        <f>Y202*C202</f>
        <v>11649</v>
      </c>
      <c r="AA202" s="891"/>
      <c r="AB202" s="891"/>
    </row>
    <row r="203" spans="1:28" s="486" customFormat="1" ht="45">
      <c r="A203" s="1124">
        <v>44.2</v>
      </c>
      <c r="B203" s="1159" t="s">
        <v>1838</v>
      </c>
      <c r="C203" s="1052"/>
      <c r="D203" s="1219"/>
      <c r="E203" s="1214"/>
      <c r="F203" s="1127">
        <f t="shared" si="99"/>
        <v>0</v>
      </c>
      <c r="G203" s="1219"/>
      <c r="H203" s="1127">
        <f t="shared" ref="H203:H227" si="120">G203*C203</f>
        <v>0</v>
      </c>
      <c r="I203" s="1219"/>
      <c r="J203" s="1127">
        <f t="shared" ref="J203:J227" si="121">I203*C203</f>
        <v>0</v>
      </c>
      <c r="K203" s="1219"/>
      <c r="L203" s="1127">
        <f t="shared" ref="L203:L227" si="122">K203*C203</f>
        <v>0</v>
      </c>
      <c r="M203" s="1219"/>
      <c r="N203" s="1127">
        <f t="shared" ref="N203:N227" si="123">M203*C203</f>
        <v>0</v>
      </c>
      <c r="O203" s="1219"/>
      <c r="P203" s="1127">
        <f t="shared" ref="P203:P227" si="124">O203*C203</f>
        <v>0</v>
      </c>
      <c r="Q203" s="1219"/>
      <c r="R203" s="1127">
        <f t="shared" ref="R203:R227" si="125">Q203*C203</f>
        <v>0</v>
      </c>
      <c r="S203" s="1049"/>
      <c r="T203" s="1131">
        <f t="shared" si="108"/>
        <v>0</v>
      </c>
      <c r="U203" s="1045"/>
      <c r="V203" s="1045">
        <f t="shared" si="119"/>
        <v>0</v>
      </c>
      <c r="W203" s="1132">
        <f t="shared" si="100"/>
        <v>0</v>
      </c>
      <c r="X203" s="1045">
        <f t="shared" ref="X203:X227" si="126">W203*C203</f>
        <v>0</v>
      </c>
      <c r="Y203" s="1132">
        <f t="shared" si="101"/>
        <v>0</v>
      </c>
      <c r="Z203" s="1045">
        <f t="shared" ref="Z203:Z227" si="127">Y203*C203</f>
        <v>0</v>
      </c>
      <c r="AA203" s="892"/>
      <c r="AB203" s="890"/>
    </row>
    <row r="204" spans="1:28" ht="39.75" customHeight="1">
      <c r="A204" s="1124"/>
      <c r="B204" s="1125" t="s">
        <v>4636</v>
      </c>
      <c r="C204" s="1052">
        <f>Data!R2353</f>
        <v>1842.28</v>
      </c>
      <c r="D204" s="1219" t="s">
        <v>1341</v>
      </c>
      <c r="E204" s="1214">
        <f>detailed!H1578</f>
        <v>7</v>
      </c>
      <c r="F204" s="1127">
        <f t="shared" si="99"/>
        <v>12895.96</v>
      </c>
      <c r="G204" s="1219"/>
      <c r="H204" s="1127">
        <f t="shared" si="120"/>
        <v>0</v>
      </c>
      <c r="I204" s="1219"/>
      <c r="J204" s="1127">
        <f t="shared" si="121"/>
        <v>0</v>
      </c>
      <c r="K204" s="1219"/>
      <c r="L204" s="1127">
        <f t="shared" si="122"/>
        <v>0</v>
      </c>
      <c r="M204" s="1219"/>
      <c r="N204" s="1127">
        <f t="shared" si="123"/>
        <v>0</v>
      </c>
      <c r="O204" s="1219"/>
      <c r="P204" s="1127">
        <f t="shared" si="124"/>
        <v>0</v>
      </c>
      <c r="Q204" s="1219"/>
      <c r="R204" s="1127">
        <f t="shared" si="125"/>
        <v>0</v>
      </c>
      <c r="S204" s="1045"/>
      <c r="T204" s="1131">
        <f t="shared" si="108"/>
        <v>0</v>
      </c>
      <c r="U204" s="1045"/>
      <c r="V204" s="1045">
        <f t="shared" si="119"/>
        <v>0</v>
      </c>
      <c r="W204" s="1132">
        <f t="shared" si="100"/>
        <v>0</v>
      </c>
      <c r="X204" s="1045">
        <f t="shared" si="126"/>
        <v>0</v>
      </c>
      <c r="Y204" s="1132">
        <f t="shared" si="101"/>
        <v>7</v>
      </c>
      <c r="Z204" s="1045">
        <f t="shared" si="127"/>
        <v>12895.96</v>
      </c>
      <c r="AA204" s="890"/>
      <c r="AB204" s="890"/>
    </row>
    <row r="205" spans="1:28" ht="39.75" customHeight="1">
      <c r="A205" s="1124"/>
      <c r="B205" s="1125" t="s">
        <v>297</v>
      </c>
      <c r="C205" s="1052">
        <f>Data!R2360</f>
        <v>427.64</v>
      </c>
      <c r="D205" s="1219" t="s">
        <v>794</v>
      </c>
      <c r="E205" s="1214">
        <f>detailed!H1580</f>
        <v>28</v>
      </c>
      <c r="F205" s="1127">
        <f t="shared" si="99"/>
        <v>11973.92</v>
      </c>
      <c r="G205" s="1219"/>
      <c r="H205" s="1127">
        <f t="shared" si="120"/>
        <v>0</v>
      </c>
      <c r="I205" s="1219"/>
      <c r="J205" s="1127">
        <f t="shared" si="121"/>
        <v>0</v>
      </c>
      <c r="K205" s="1219"/>
      <c r="L205" s="1127">
        <f t="shared" si="122"/>
        <v>0</v>
      </c>
      <c r="M205" s="1219"/>
      <c r="N205" s="1127">
        <f t="shared" si="123"/>
        <v>0</v>
      </c>
      <c r="O205" s="1219"/>
      <c r="P205" s="1127">
        <f t="shared" si="124"/>
        <v>0</v>
      </c>
      <c r="Q205" s="1219"/>
      <c r="R205" s="1127">
        <f t="shared" si="125"/>
        <v>0</v>
      </c>
      <c r="S205" s="1045"/>
      <c r="T205" s="1131">
        <f t="shared" si="108"/>
        <v>0</v>
      </c>
      <c r="U205" s="1045"/>
      <c r="V205" s="1045">
        <f t="shared" si="119"/>
        <v>0</v>
      </c>
      <c r="W205" s="1132">
        <f t="shared" si="100"/>
        <v>0</v>
      </c>
      <c r="X205" s="1045">
        <f t="shared" si="126"/>
        <v>0</v>
      </c>
      <c r="Y205" s="1132">
        <f t="shared" si="101"/>
        <v>28</v>
      </c>
      <c r="Z205" s="1045">
        <f t="shared" si="127"/>
        <v>11973.92</v>
      </c>
      <c r="AA205" s="890"/>
      <c r="AB205" s="890"/>
    </row>
    <row r="206" spans="1:28" ht="67.5">
      <c r="A206" s="1149"/>
      <c r="B206" s="1150" t="s">
        <v>4635</v>
      </c>
      <c r="C206" s="1225">
        <f>Data!R2099</f>
        <v>1304.21</v>
      </c>
      <c r="D206" s="1226" t="s">
        <v>1341</v>
      </c>
      <c r="E206" s="1227"/>
      <c r="F206" s="1127">
        <f t="shared" si="99"/>
        <v>0</v>
      </c>
      <c r="G206" s="1226"/>
      <c r="H206" s="1127">
        <f t="shared" si="120"/>
        <v>0</v>
      </c>
      <c r="I206" s="1226"/>
      <c r="J206" s="1127">
        <f t="shared" si="121"/>
        <v>0</v>
      </c>
      <c r="K206" s="1226"/>
      <c r="L206" s="1127">
        <f t="shared" si="122"/>
        <v>0</v>
      </c>
      <c r="M206" s="1226"/>
      <c r="N206" s="1127">
        <f t="shared" si="123"/>
        <v>0</v>
      </c>
      <c r="O206" s="1226"/>
      <c r="P206" s="1127">
        <f t="shared" si="124"/>
        <v>0</v>
      </c>
      <c r="Q206" s="1226"/>
      <c r="R206" s="1127">
        <f t="shared" si="125"/>
        <v>0</v>
      </c>
      <c r="S206" s="1045"/>
      <c r="T206" s="1131">
        <f t="shared" si="108"/>
        <v>0</v>
      </c>
      <c r="U206" s="1045"/>
      <c r="V206" s="1045">
        <f t="shared" si="119"/>
        <v>0</v>
      </c>
      <c r="W206" s="1132">
        <f t="shared" si="100"/>
        <v>0</v>
      </c>
      <c r="X206" s="1045">
        <f t="shared" si="126"/>
        <v>0</v>
      </c>
      <c r="Y206" s="1132">
        <f t="shared" si="101"/>
        <v>0</v>
      </c>
      <c r="Z206" s="1045">
        <f t="shared" si="127"/>
        <v>0</v>
      </c>
      <c r="AA206" s="890"/>
      <c r="AB206" s="890"/>
    </row>
    <row r="207" spans="1:28" s="486" customFormat="1">
      <c r="A207" s="1149">
        <v>257.10000000000002</v>
      </c>
      <c r="B207" s="1150" t="s">
        <v>6047</v>
      </c>
      <c r="C207" s="1156">
        <v>500</v>
      </c>
      <c r="D207" s="1228" t="s">
        <v>1341</v>
      </c>
      <c r="E207" s="1222">
        <f>detailed!H1954</f>
        <v>14</v>
      </c>
      <c r="F207" s="1127">
        <f t="shared" si="99"/>
        <v>7000</v>
      </c>
      <c r="G207" s="1228"/>
      <c r="H207" s="1127">
        <f t="shared" si="120"/>
        <v>0</v>
      </c>
      <c r="I207" s="1228"/>
      <c r="J207" s="1127">
        <f t="shared" si="121"/>
        <v>0</v>
      </c>
      <c r="K207" s="1228"/>
      <c r="L207" s="1127">
        <f t="shared" si="122"/>
        <v>0</v>
      </c>
      <c r="M207" s="1228"/>
      <c r="N207" s="1127">
        <f t="shared" si="123"/>
        <v>0</v>
      </c>
      <c r="O207" s="1228"/>
      <c r="P207" s="1127">
        <f t="shared" si="124"/>
        <v>0</v>
      </c>
      <c r="Q207" s="1228"/>
      <c r="R207" s="1127">
        <f t="shared" si="125"/>
        <v>0</v>
      </c>
      <c r="S207" s="1028"/>
      <c r="T207" s="1131">
        <f t="shared" si="108"/>
        <v>0</v>
      </c>
      <c r="U207" s="1045"/>
      <c r="V207" s="1045">
        <f t="shared" si="119"/>
        <v>0</v>
      </c>
      <c r="W207" s="1132">
        <f t="shared" si="100"/>
        <v>0</v>
      </c>
      <c r="X207" s="1045">
        <f t="shared" si="126"/>
        <v>0</v>
      </c>
      <c r="Y207" s="1132">
        <f t="shared" si="101"/>
        <v>14</v>
      </c>
      <c r="Z207" s="1045">
        <f t="shared" si="127"/>
        <v>7000</v>
      </c>
      <c r="AA207" s="892"/>
      <c r="AB207" s="891"/>
    </row>
    <row r="208" spans="1:28">
      <c r="A208" s="1184">
        <v>344.2</v>
      </c>
      <c r="B208" s="1125" t="s">
        <v>734</v>
      </c>
      <c r="C208" s="1052">
        <f>ROUND(Data!K3017,2)</f>
        <v>379.4</v>
      </c>
      <c r="D208" s="1219" t="s">
        <v>1341</v>
      </c>
      <c r="E208" s="1214">
        <f>detailed!H1987</f>
        <v>9</v>
      </c>
      <c r="F208" s="1127">
        <f t="shared" si="99"/>
        <v>3414.6</v>
      </c>
      <c r="G208" s="1219"/>
      <c r="H208" s="1127">
        <f t="shared" si="120"/>
        <v>0</v>
      </c>
      <c r="I208" s="1219"/>
      <c r="J208" s="1127">
        <f t="shared" si="121"/>
        <v>0</v>
      </c>
      <c r="K208" s="1219"/>
      <c r="L208" s="1127">
        <f t="shared" si="122"/>
        <v>0</v>
      </c>
      <c r="M208" s="1219"/>
      <c r="N208" s="1127">
        <f t="shared" si="123"/>
        <v>0</v>
      </c>
      <c r="O208" s="1219"/>
      <c r="P208" s="1127">
        <f t="shared" si="124"/>
        <v>0</v>
      </c>
      <c r="Q208" s="1219"/>
      <c r="R208" s="1127">
        <f t="shared" si="125"/>
        <v>0</v>
      </c>
      <c r="S208" s="1045"/>
      <c r="T208" s="1131">
        <f t="shared" si="108"/>
        <v>0</v>
      </c>
      <c r="U208" s="1045"/>
      <c r="V208" s="1045">
        <f t="shared" si="119"/>
        <v>0</v>
      </c>
      <c r="W208" s="1132">
        <f t="shared" si="100"/>
        <v>0</v>
      </c>
      <c r="X208" s="1045">
        <f t="shared" si="126"/>
        <v>0</v>
      </c>
      <c r="Y208" s="1132">
        <f t="shared" si="101"/>
        <v>9</v>
      </c>
      <c r="Z208" s="1045">
        <f t="shared" si="127"/>
        <v>3414.6</v>
      </c>
      <c r="AA208" s="890"/>
      <c r="AB208" s="890"/>
    </row>
    <row r="209" spans="1:28" s="718" customFormat="1" ht="48.75" customHeight="1">
      <c r="A209" s="1229">
        <v>383</v>
      </c>
      <c r="B209" s="1164" t="s">
        <v>1569</v>
      </c>
      <c r="C209" s="1042">
        <f>Data!C767</f>
        <v>1000</v>
      </c>
      <c r="D209" s="1165" t="s">
        <v>1341</v>
      </c>
      <c r="E209" s="1166"/>
      <c r="F209" s="1127">
        <f t="shared" si="99"/>
        <v>0</v>
      </c>
      <c r="G209" s="1165"/>
      <c r="H209" s="1127">
        <f t="shared" si="120"/>
        <v>0</v>
      </c>
      <c r="I209" s="1165"/>
      <c r="J209" s="1127">
        <f t="shared" si="121"/>
        <v>0</v>
      </c>
      <c r="K209" s="1165"/>
      <c r="L209" s="1127">
        <f t="shared" si="122"/>
        <v>0</v>
      </c>
      <c r="M209" s="1165"/>
      <c r="N209" s="1127">
        <f t="shared" si="123"/>
        <v>0</v>
      </c>
      <c r="O209" s="1165"/>
      <c r="P209" s="1127">
        <f t="shared" si="124"/>
        <v>0</v>
      </c>
      <c r="Q209" s="1165"/>
      <c r="R209" s="1127">
        <f t="shared" si="125"/>
        <v>0</v>
      </c>
      <c r="S209" s="1028"/>
      <c r="T209" s="1131">
        <f t="shared" si="108"/>
        <v>0</v>
      </c>
      <c r="U209" s="1045"/>
      <c r="V209" s="1045">
        <f t="shared" si="119"/>
        <v>0</v>
      </c>
      <c r="W209" s="1132">
        <f t="shared" si="100"/>
        <v>0</v>
      </c>
      <c r="X209" s="1045">
        <f t="shared" si="126"/>
        <v>0</v>
      </c>
      <c r="Y209" s="1132">
        <f t="shared" si="101"/>
        <v>0</v>
      </c>
      <c r="Z209" s="1045">
        <f t="shared" si="127"/>
        <v>0</v>
      </c>
      <c r="AA209" s="891"/>
      <c r="AB209" s="891"/>
    </row>
    <row r="210" spans="1:28" s="486" customFormat="1" ht="45">
      <c r="A210" s="1124">
        <v>383.1</v>
      </c>
      <c r="B210" s="1125" t="s">
        <v>4945</v>
      </c>
      <c r="C210" s="1025">
        <v>366.6</v>
      </c>
      <c r="D210" s="1030" t="s">
        <v>794</v>
      </c>
      <c r="E210" s="1198">
        <f>detailed!G1990</f>
        <v>126</v>
      </c>
      <c r="F210" s="1127">
        <f t="shared" si="99"/>
        <v>46191.6</v>
      </c>
      <c r="G210" s="1030"/>
      <c r="H210" s="1127">
        <f t="shared" si="120"/>
        <v>0</v>
      </c>
      <c r="I210" s="1030"/>
      <c r="J210" s="1127">
        <f t="shared" si="121"/>
        <v>0</v>
      </c>
      <c r="K210" s="1030"/>
      <c r="L210" s="1127">
        <f t="shared" si="122"/>
        <v>0</v>
      </c>
      <c r="M210" s="1030"/>
      <c r="N210" s="1127">
        <f t="shared" si="123"/>
        <v>0</v>
      </c>
      <c r="O210" s="1030"/>
      <c r="P210" s="1127">
        <f t="shared" si="124"/>
        <v>0</v>
      </c>
      <c r="Q210" s="1030"/>
      <c r="R210" s="1127">
        <f t="shared" si="125"/>
        <v>0</v>
      </c>
      <c r="S210" s="1028"/>
      <c r="T210" s="1131">
        <f t="shared" si="108"/>
        <v>0</v>
      </c>
      <c r="U210" s="1045"/>
      <c r="V210" s="1045">
        <f t="shared" si="119"/>
        <v>0</v>
      </c>
      <c r="W210" s="1132">
        <f t="shared" si="100"/>
        <v>0</v>
      </c>
      <c r="X210" s="1045">
        <f t="shared" si="126"/>
        <v>0</v>
      </c>
      <c r="Y210" s="1132">
        <f t="shared" si="101"/>
        <v>126</v>
      </c>
      <c r="Z210" s="1045">
        <f t="shared" si="127"/>
        <v>46191.6</v>
      </c>
      <c r="AA210" s="892"/>
      <c r="AB210" s="891"/>
    </row>
    <row r="211" spans="1:28" s="486" customFormat="1" ht="45">
      <c r="A211" s="1149"/>
      <c r="B211" s="1150" t="s">
        <v>3524</v>
      </c>
      <c r="C211" s="1156">
        <f>Data!R1915</f>
        <v>290.77999999999997</v>
      </c>
      <c r="D211" s="1228"/>
      <c r="E211" s="1222"/>
      <c r="F211" s="1127">
        <f t="shared" si="99"/>
        <v>0</v>
      </c>
      <c r="G211" s="1228"/>
      <c r="H211" s="1127">
        <f t="shared" si="120"/>
        <v>0</v>
      </c>
      <c r="I211" s="1228"/>
      <c r="J211" s="1127">
        <f t="shared" si="121"/>
        <v>0</v>
      </c>
      <c r="K211" s="1228"/>
      <c r="L211" s="1127">
        <f t="shared" si="122"/>
        <v>0</v>
      </c>
      <c r="M211" s="1228"/>
      <c r="N211" s="1127">
        <f t="shared" si="123"/>
        <v>0</v>
      </c>
      <c r="O211" s="1228"/>
      <c r="P211" s="1127">
        <f t="shared" si="124"/>
        <v>0</v>
      </c>
      <c r="Q211" s="1228"/>
      <c r="R211" s="1127">
        <f t="shared" si="125"/>
        <v>0</v>
      </c>
      <c r="S211" s="1028"/>
      <c r="T211" s="1131">
        <f t="shared" si="108"/>
        <v>0</v>
      </c>
      <c r="U211" s="1045"/>
      <c r="V211" s="1045">
        <f t="shared" si="119"/>
        <v>0</v>
      </c>
      <c r="W211" s="1132">
        <f t="shared" si="100"/>
        <v>0</v>
      </c>
      <c r="X211" s="1045">
        <f t="shared" si="126"/>
        <v>0</v>
      </c>
      <c r="Y211" s="1132">
        <f t="shared" si="101"/>
        <v>0</v>
      </c>
      <c r="Z211" s="1045">
        <f t="shared" si="127"/>
        <v>0</v>
      </c>
      <c r="AA211" s="892"/>
      <c r="AB211" s="891"/>
    </row>
    <row r="212" spans="1:28" s="718" customFormat="1">
      <c r="A212" s="1230">
        <v>384</v>
      </c>
      <c r="B212" s="1162" t="s">
        <v>220</v>
      </c>
      <c r="C212" s="994">
        <f>Data!K3049</f>
        <v>1602.5</v>
      </c>
      <c r="D212" s="1231" t="s">
        <v>1341</v>
      </c>
      <c r="E212" s="1148">
        <v>4</v>
      </c>
      <c r="F212" s="1127">
        <f t="shared" si="99"/>
        <v>6410</v>
      </c>
      <c r="G212" s="1231"/>
      <c r="H212" s="1127">
        <f t="shared" si="120"/>
        <v>0</v>
      </c>
      <c r="I212" s="1231"/>
      <c r="J212" s="1127">
        <f t="shared" si="121"/>
        <v>0</v>
      </c>
      <c r="K212" s="1231"/>
      <c r="L212" s="1127">
        <f t="shared" si="122"/>
        <v>0</v>
      </c>
      <c r="M212" s="1231"/>
      <c r="N212" s="1127">
        <f t="shared" si="123"/>
        <v>0</v>
      </c>
      <c r="O212" s="1231"/>
      <c r="P212" s="1127">
        <f t="shared" si="124"/>
        <v>0</v>
      </c>
      <c r="Q212" s="1231"/>
      <c r="R212" s="1127">
        <f t="shared" si="125"/>
        <v>0</v>
      </c>
      <c r="S212" s="1028"/>
      <c r="T212" s="1131">
        <f t="shared" si="108"/>
        <v>0</v>
      </c>
      <c r="U212" s="1045"/>
      <c r="V212" s="1045">
        <f t="shared" si="119"/>
        <v>0</v>
      </c>
      <c r="W212" s="1132">
        <f t="shared" si="100"/>
        <v>0</v>
      </c>
      <c r="X212" s="1045">
        <f t="shared" si="126"/>
        <v>0</v>
      </c>
      <c r="Y212" s="1132">
        <f t="shared" si="101"/>
        <v>4</v>
      </c>
      <c r="Z212" s="1045">
        <f t="shared" si="127"/>
        <v>6410</v>
      </c>
      <c r="AA212" s="891"/>
      <c r="AB212" s="891"/>
    </row>
    <row r="213" spans="1:28" s="718" customFormat="1" ht="58.5" customHeight="1">
      <c r="A213" s="1160">
        <v>71.2</v>
      </c>
      <c r="B213" s="1162" t="s">
        <v>3468</v>
      </c>
      <c r="C213" s="994">
        <f>Elec.Data!K3210</f>
        <v>2084</v>
      </c>
      <c r="D213" s="1231" t="s">
        <v>1341</v>
      </c>
      <c r="E213" s="1148"/>
      <c r="F213" s="1127">
        <f t="shared" si="99"/>
        <v>0</v>
      </c>
      <c r="G213" s="1231"/>
      <c r="H213" s="1127">
        <f t="shared" si="120"/>
        <v>0</v>
      </c>
      <c r="I213" s="1231"/>
      <c r="J213" s="1127">
        <f t="shared" si="121"/>
        <v>0</v>
      </c>
      <c r="K213" s="1231"/>
      <c r="L213" s="1127">
        <f t="shared" si="122"/>
        <v>0</v>
      </c>
      <c r="M213" s="1231"/>
      <c r="N213" s="1127">
        <f t="shared" si="123"/>
        <v>0</v>
      </c>
      <c r="O213" s="1231"/>
      <c r="P213" s="1127">
        <f t="shared" si="124"/>
        <v>0</v>
      </c>
      <c r="Q213" s="1231"/>
      <c r="R213" s="1127">
        <f t="shared" si="125"/>
        <v>0</v>
      </c>
      <c r="S213" s="1028"/>
      <c r="T213" s="1131">
        <f t="shared" si="108"/>
        <v>0</v>
      </c>
      <c r="U213" s="1045"/>
      <c r="V213" s="1045">
        <f t="shared" si="119"/>
        <v>0</v>
      </c>
      <c r="W213" s="1132">
        <f t="shared" si="100"/>
        <v>0</v>
      </c>
      <c r="X213" s="1045">
        <f t="shared" si="126"/>
        <v>0</v>
      </c>
      <c r="Y213" s="1132">
        <f t="shared" si="101"/>
        <v>0</v>
      </c>
      <c r="Z213" s="1045">
        <f t="shared" si="127"/>
        <v>0</v>
      </c>
      <c r="AA213" s="891"/>
      <c r="AB213" s="891"/>
    </row>
    <row r="214" spans="1:28" s="718" customFormat="1" ht="47.25" customHeight="1">
      <c r="A214" s="1160">
        <v>80.099999999999994</v>
      </c>
      <c r="B214" s="1162" t="s">
        <v>3709</v>
      </c>
      <c r="C214" s="994">
        <f>C393</f>
        <v>1242.21</v>
      </c>
      <c r="D214" s="1231" t="s">
        <v>1341</v>
      </c>
      <c r="E214" s="1148">
        <f>detailed!H1970</f>
        <v>3</v>
      </c>
      <c r="F214" s="1127">
        <f t="shared" si="99"/>
        <v>3726.63</v>
      </c>
      <c r="G214" s="1231"/>
      <c r="H214" s="1127">
        <f t="shared" si="120"/>
        <v>0</v>
      </c>
      <c r="I214" s="1231"/>
      <c r="J214" s="1127">
        <f t="shared" si="121"/>
        <v>0</v>
      </c>
      <c r="K214" s="1231"/>
      <c r="L214" s="1127">
        <f t="shared" si="122"/>
        <v>0</v>
      </c>
      <c r="M214" s="1231"/>
      <c r="N214" s="1127">
        <f t="shared" si="123"/>
        <v>0</v>
      </c>
      <c r="O214" s="1231"/>
      <c r="P214" s="1127">
        <f t="shared" si="124"/>
        <v>0</v>
      </c>
      <c r="Q214" s="1231"/>
      <c r="R214" s="1127">
        <f t="shared" si="125"/>
        <v>0</v>
      </c>
      <c r="S214" s="1028"/>
      <c r="T214" s="1131">
        <f t="shared" si="108"/>
        <v>0</v>
      </c>
      <c r="U214" s="1045"/>
      <c r="V214" s="1045">
        <f t="shared" si="119"/>
        <v>0</v>
      </c>
      <c r="W214" s="1132">
        <f t="shared" si="100"/>
        <v>0</v>
      </c>
      <c r="X214" s="1045">
        <f t="shared" si="126"/>
        <v>0</v>
      </c>
      <c r="Y214" s="1132">
        <f t="shared" si="101"/>
        <v>3</v>
      </c>
      <c r="Z214" s="1045">
        <f t="shared" si="127"/>
        <v>3726.63</v>
      </c>
      <c r="AA214" s="891"/>
      <c r="AB214" s="891"/>
    </row>
    <row r="215" spans="1:28" s="486" customFormat="1">
      <c r="A215" s="1124"/>
      <c r="B215" s="1125" t="s">
        <v>3474</v>
      </c>
      <c r="C215" s="1040">
        <f>Elec.Data!K3419</f>
        <v>778</v>
      </c>
      <c r="D215" s="1223" t="s">
        <v>1341</v>
      </c>
      <c r="E215" s="1128"/>
      <c r="F215" s="1127">
        <f t="shared" si="99"/>
        <v>0</v>
      </c>
      <c r="G215" s="1223"/>
      <c r="H215" s="1127">
        <f t="shared" si="120"/>
        <v>0</v>
      </c>
      <c r="I215" s="1223"/>
      <c r="J215" s="1127">
        <f t="shared" si="121"/>
        <v>0</v>
      </c>
      <c r="K215" s="1223"/>
      <c r="L215" s="1127">
        <f t="shared" si="122"/>
        <v>0</v>
      </c>
      <c r="M215" s="1223"/>
      <c r="N215" s="1127">
        <f t="shared" si="123"/>
        <v>0</v>
      </c>
      <c r="O215" s="1223"/>
      <c r="P215" s="1127">
        <f t="shared" si="124"/>
        <v>0</v>
      </c>
      <c r="Q215" s="1223"/>
      <c r="R215" s="1127">
        <f t="shared" si="125"/>
        <v>0</v>
      </c>
      <c r="S215" s="1045"/>
      <c r="T215" s="1131">
        <f t="shared" si="108"/>
        <v>0</v>
      </c>
      <c r="U215" s="1045"/>
      <c r="V215" s="1045">
        <f t="shared" si="119"/>
        <v>0</v>
      </c>
      <c r="W215" s="1132">
        <f t="shared" si="100"/>
        <v>0</v>
      </c>
      <c r="X215" s="1045">
        <f t="shared" si="126"/>
        <v>0</v>
      </c>
      <c r="Y215" s="1132">
        <f t="shared" si="101"/>
        <v>0</v>
      </c>
      <c r="Z215" s="1045">
        <f t="shared" si="127"/>
        <v>0</v>
      </c>
      <c r="AA215" s="892"/>
      <c r="AB215" s="890"/>
    </row>
    <row r="216" spans="1:28" s="486" customFormat="1">
      <c r="A216" s="1124"/>
      <c r="B216" s="1125" t="s">
        <v>3706</v>
      </c>
      <c r="C216" s="1024">
        <f>Elec.Data!K3400</f>
        <v>508.26</v>
      </c>
      <c r="D216" s="1224" t="s">
        <v>1341</v>
      </c>
      <c r="E216" s="1139"/>
      <c r="F216" s="1127">
        <f t="shared" si="99"/>
        <v>0</v>
      </c>
      <c r="G216" s="1224"/>
      <c r="H216" s="1127">
        <f t="shared" si="120"/>
        <v>0</v>
      </c>
      <c r="I216" s="1224"/>
      <c r="J216" s="1127">
        <f t="shared" si="121"/>
        <v>0</v>
      </c>
      <c r="K216" s="1224"/>
      <c r="L216" s="1127">
        <f t="shared" si="122"/>
        <v>0</v>
      </c>
      <c r="M216" s="1224"/>
      <c r="N216" s="1127">
        <f t="shared" si="123"/>
        <v>0</v>
      </c>
      <c r="O216" s="1224"/>
      <c r="P216" s="1127">
        <f t="shared" si="124"/>
        <v>0</v>
      </c>
      <c r="Q216" s="1224"/>
      <c r="R216" s="1127">
        <f t="shared" si="125"/>
        <v>0</v>
      </c>
      <c r="S216" s="1028"/>
      <c r="T216" s="1131">
        <f t="shared" si="108"/>
        <v>0</v>
      </c>
      <c r="U216" s="1045"/>
      <c r="V216" s="1045">
        <f t="shared" si="119"/>
        <v>0</v>
      </c>
      <c r="W216" s="1132">
        <f t="shared" si="100"/>
        <v>0</v>
      </c>
      <c r="X216" s="1045">
        <f t="shared" si="126"/>
        <v>0</v>
      </c>
      <c r="Y216" s="1132">
        <f t="shared" si="101"/>
        <v>0</v>
      </c>
      <c r="Z216" s="1045">
        <f t="shared" si="127"/>
        <v>0</v>
      </c>
      <c r="AA216" s="892"/>
      <c r="AB216" s="891"/>
    </row>
    <row r="217" spans="1:28">
      <c r="A217" s="1124">
        <v>87.1</v>
      </c>
      <c r="B217" s="1125" t="str">
        <f>B427</f>
        <v>Supplying and delivery of Three phase ELCB/RCCB</v>
      </c>
      <c r="C217" s="1040">
        <f>Elec.Data!K3468</f>
        <v>2971.6</v>
      </c>
      <c r="D217" s="1223" t="s">
        <v>1341</v>
      </c>
      <c r="E217" s="1128"/>
      <c r="F217" s="1127">
        <f t="shared" si="99"/>
        <v>0</v>
      </c>
      <c r="G217" s="1223"/>
      <c r="H217" s="1127">
        <f t="shared" si="120"/>
        <v>0</v>
      </c>
      <c r="I217" s="1223"/>
      <c r="J217" s="1127">
        <f t="shared" si="121"/>
        <v>0</v>
      </c>
      <c r="K217" s="1223"/>
      <c r="L217" s="1127">
        <f t="shared" si="122"/>
        <v>0</v>
      </c>
      <c r="M217" s="1223"/>
      <c r="N217" s="1127">
        <f t="shared" si="123"/>
        <v>0</v>
      </c>
      <c r="O217" s="1223"/>
      <c r="P217" s="1127">
        <f t="shared" si="124"/>
        <v>0</v>
      </c>
      <c r="Q217" s="1223"/>
      <c r="R217" s="1127">
        <f t="shared" si="125"/>
        <v>0</v>
      </c>
      <c r="S217" s="1045"/>
      <c r="T217" s="1131">
        <f t="shared" si="108"/>
        <v>0</v>
      </c>
      <c r="U217" s="1045"/>
      <c r="V217" s="1045">
        <f t="shared" si="119"/>
        <v>0</v>
      </c>
      <c r="W217" s="1132">
        <f t="shared" si="100"/>
        <v>0</v>
      </c>
      <c r="X217" s="1045">
        <f t="shared" si="126"/>
        <v>0</v>
      </c>
      <c r="Y217" s="1132">
        <f t="shared" si="101"/>
        <v>0</v>
      </c>
      <c r="Z217" s="1045">
        <f t="shared" si="127"/>
        <v>0</v>
      </c>
      <c r="AA217" s="890"/>
      <c r="AB217" s="890"/>
    </row>
    <row r="218" spans="1:28" s="486" customFormat="1">
      <c r="A218" s="1124"/>
      <c r="B218" s="1125" t="s">
        <v>3710</v>
      </c>
      <c r="C218" s="1040">
        <f>C430</f>
        <v>165</v>
      </c>
      <c r="D218" s="1223" t="s">
        <v>794</v>
      </c>
      <c r="E218" s="1128"/>
      <c r="F218" s="1127">
        <f t="shared" si="99"/>
        <v>0</v>
      </c>
      <c r="G218" s="1223"/>
      <c r="H218" s="1127">
        <f t="shared" si="120"/>
        <v>0</v>
      </c>
      <c r="I218" s="1223"/>
      <c r="J218" s="1127">
        <f t="shared" si="121"/>
        <v>0</v>
      </c>
      <c r="K218" s="1223"/>
      <c r="L218" s="1127">
        <f t="shared" si="122"/>
        <v>0</v>
      </c>
      <c r="M218" s="1223"/>
      <c r="N218" s="1127">
        <f t="shared" si="123"/>
        <v>0</v>
      </c>
      <c r="O218" s="1223"/>
      <c r="P218" s="1127">
        <f t="shared" si="124"/>
        <v>0</v>
      </c>
      <c r="Q218" s="1223"/>
      <c r="R218" s="1127">
        <f t="shared" si="125"/>
        <v>0</v>
      </c>
      <c r="S218" s="1045"/>
      <c r="T218" s="1131">
        <f t="shared" si="108"/>
        <v>0</v>
      </c>
      <c r="U218" s="1045"/>
      <c r="V218" s="1045">
        <f t="shared" si="119"/>
        <v>0</v>
      </c>
      <c r="W218" s="1132">
        <f t="shared" si="100"/>
        <v>0</v>
      </c>
      <c r="X218" s="1045">
        <f t="shared" si="126"/>
        <v>0</v>
      </c>
      <c r="Y218" s="1132">
        <f t="shared" si="101"/>
        <v>0</v>
      </c>
      <c r="Z218" s="1045">
        <f t="shared" si="127"/>
        <v>0</v>
      </c>
      <c r="AA218" s="892"/>
      <c r="AB218" s="890"/>
    </row>
    <row r="219" spans="1:28" ht="45">
      <c r="A219" s="1124"/>
      <c r="B219" s="1125" t="s">
        <v>4153</v>
      </c>
      <c r="C219" s="1052">
        <f>Data!R1329</f>
        <v>206.91</v>
      </c>
      <c r="D219" s="1223" t="s">
        <v>2199</v>
      </c>
      <c r="E219" s="1128">
        <f>detailed!G1532</f>
        <v>1894.8</v>
      </c>
      <c r="F219" s="1127">
        <f t="shared" si="99"/>
        <v>392053.07</v>
      </c>
      <c r="G219" s="1223"/>
      <c r="H219" s="1127">
        <f t="shared" si="120"/>
        <v>0</v>
      </c>
      <c r="I219" s="1223"/>
      <c r="J219" s="1127">
        <f t="shared" si="121"/>
        <v>0</v>
      </c>
      <c r="K219" s="1223"/>
      <c r="L219" s="1127">
        <f t="shared" si="122"/>
        <v>0</v>
      </c>
      <c r="M219" s="1223"/>
      <c r="N219" s="1127">
        <f t="shared" si="123"/>
        <v>0</v>
      </c>
      <c r="O219" s="1223"/>
      <c r="P219" s="1127">
        <f t="shared" si="124"/>
        <v>0</v>
      </c>
      <c r="Q219" s="1223"/>
      <c r="R219" s="1127">
        <f t="shared" si="125"/>
        <v>0</v>
      </c>
      <c r="S219" s="1045"/>
      <c r="T219" s="1131">
        <f t="shared" si="108"/>
        <v>0</v>
      </c>
      <c r="U219" s="1045">
        <f>Com.wall!H72</f>
        <v>636.9</v>
      </c>
      <c r="V219" s="1045">
        <f t="shared" si="119"/>
        <v>131780.98000000001</v>
      </c>
      <c r="W219" s="1132">
        <f t="shared" si="100"/>
        <v>636.9</v>
      </c>
      <c r="X219" s="1045">
        <f t="shared" si="126"/>
        <v>131780.98000000001</v>
      </c>
      <c r="Y219" s="1132">
        <f t="shared" si="101"/>
        <v>2531.6999999999998</v>
      </c>
      <c r="Z219" s="1045">
        <f t="shared" si="127"/>
        <v>523834.05</v>
      </c>
      <c r="AA219" s="890"/>
      <c r="AB219" s="890"/>
    </row>
    <row r="220" spans="1:28" ht="45">
      <c r="A220" s="1124" t="s">
        <v>4257</v>
      </c>
      <c r="B220" s="1125" t="s">
        <v>3711</v>
      </c>
      <c r="C220" s="1052">
        <f>Data!K3351</f>
        <v>109.44</v>
      </c>
      <c r="D220" s="1223" t="s">
        <v>2199</v>
      </c>
      <c r="E220" s="1128">
        <f>detailed!G1501</f>
        <v>2472.9</v>
      </c>
      <c r="F220" s="1127">
        <f t="shared" si="99"/>
        <v>270634.18</v>
      </c>
      <c r="G220" s="1223"/>
      <c r="H220" s="1127">
        <f t="shared" si="120"/>
        <v>0</v>
      </c>
      <c r="I220" s="1223"/>
      <c r="J220" s="1127">
        <f t="shared" si="121"/>
        <v>0</v>
      </c>
      <c r="K220" s="1223"/>
      <c r="L220" s="1127">
        <f t="shared" si="122"/>
        <v>0</v>
      </c>
      <c r="M220" s="1223"/>
      <c r="N220" s="1127">
        <f t="shared" si="123"/>
        <v>0</v>
      </c>
      <c r="O220" s="1223"/>
      <c r="P220" s="1127">
        <f t="shared" si="124"/>
        <v>0</v>
      </c>
      <c r="Q220" s="1223"/>
      <c r="R220" s="1127">
        <f t="shared" si="125"/>
        <v>0</v>
      </c>
      <c r="S220" s="1045"/>
      <c r="T220" s="1131">
        <f t="shared" si="108"/>
        <v>0</v>
      </c>
      <c r="U220" s="1045"/>
      <c r="V220" s="1045">
        <f t="shared" si="119"/>
        <v>0</v>
      </c>
      <c r="W220" s="1132">
        <f t="shared" si="100"/>
        <v>0</v>
      </c>
      <c r="X220" s="1045">
        <f t="shared" si="126"/>
        <v>0</v>
      </c>
      <c r="Y220" s="1132">
        <f t="shared" si="101"/>
        <v>2472.9</v>
      </c>
      <c r="Z220" s="1045">
        <f t="shared" si="127"/>
        <v>270634.18</v>
      </c>
      <c r="AA220" s="890"/>
      <c r="AB220" s="890"/>
    </row>
    <row r="221" spans="1:28" s="486" customFormat="1" ht="45">
      <c r="A221" s="1149"/>
      <c r="B221" s="1150" t="str">
        <f>B428</f>
        <v>2 x 4 Sqmm Copper PVC insulated unsheathed single core 1 KV grade cable for EB service single phase.</v>
      </c>
      <c r="C221" s="1156">
        <f>C428</f>
        <v>142.29</v>
      </c>
      <c r="D221" s="1232" t="s">
        <v>794</v>
      </c>
      <c r="E221" s="1153"/>
      <c r="F221" s="1127">
        <f t="shared" si="99"/>
        <v>0</v>
      </c>
      <c r="G221" s="1232"/>
      <c r="H221" s="1127">
        <f t="shared" si="120"/>
        <v>0</v>
      </c>
      <c r="I221" s="1232"/>
      <c r="J221" s="1127">
        <f t="shared" si="121"/>
        <v>0</v>
      </c>
      <c r="K221" s="1232"/>
      <c r="L221" s="1127">
        <f t="shared" si="122"/>
        <v>0</v>
      </c>
      <c r="M221" s="1232"/>
      <c r="N221" s="1127">
        <f t="shared" si="123"/>
        <v>0</v>
      </c>
      <c r="O221" s="1232"/>
      <c r="P221" s="1127">
        <f t="shared" si="124"/>
        <v>0</v>
      </c>
      <c r="Q221" s="1232"/>
      <c r="R221" s="1127">
        <f t="shared" si="125"/>
        <v>0</v>
      </c>
      <c r="S221" s="1028"/>
      <c r="T221" s="1131">
        <f t="shared" si="108"/>
        <v>0</v>
      </c>
      <c r="U221" s="1045"/>
      <c r="V221" s="1045">
        <f t="shared" si="119"/>
        <v>0</v>
      </c>
      <c r="W221" s="1132">
        <f t="shared" si="100"/>
        <v>0</v>
      </c>
      <c r="X221" s="1045">
        <f t="shared" si="126"/>
        <v>0</v>
      </c>
      <c r="Y221" s="1132">
        <f t="shared" si="101"/>
        <v>0</v>
      </c>
      <c r="Z221" s="1045">
        <f t="shared" si="127"/>
        <v>0</v>
      </c>
      <c r="AA221" s="892"/>
      <c r="AB221" s="891"/>
    </row>
    <row r="222" spans="1:28" s="486" customFormat="1">
      <c r="A222" s="1124"/>
      <c r="B222" s="1125" t="str">
        <f>B394</f>
        <v>40 mm dia GI pipe "B"class</v>
      </c>
      <c r="C222" s="1155">
        <f>C394</f>
        <v>165</v>
      </c>
      <c r="D222" s="1224" t="s">
        <v>794</v>
      </c>
      <c r="E222" s="1139"/>
      <c r="F222" s="1127">
        <f t="shared" si="99"/>
        <v>0</v>
      </c>
      <c r="G222" s="1224"/>
      <c r="H222" s="1127">
        <f t="shared" si="120"/>
        <v>0</v>
      </c>
      <c r="I222" s="1224"/>
      <c r="J222" s="1127">
        <f t="shared" si="121"/>
        <v>0</v>
      </c>
      <c r="K222" s="1224"/>
      <c r="L222" s="1127">
        <f t="shared" si="122"/>
        <v>0</v>
      </c>
      <c r="M222" s="1224"/>
      <c r="N222" s="1127">
        <f t="shared" si="123"/>
        <v>0</v>
      </c>
      <c r="O222" s="1224"/>
      <c r="P222" s="1127">
        <f t="shared" si="124"/>
        <v>0</v>
      </c>
      <c r="Q222" s="1224"/>
      <c r="R222" s="1127">
        <f t="shared" si="125"/>
        <v>0</v>
      </c>
      <c r="S222" s="1028"/>
      <c r="T222" s="1131">
        <f t="shared" si="108"/>
        <v>0</v>
      </c>
      <c r="U222" s="1045"/>
      <c r="V222" s="1045">
        <f t="shared" si="119"/>
        <v>0</v>
      </c>
      <c r="W222" s="1132">
        <f t="shared" si="100"/>
        <v>0</v>
      </c>
      <c r="X222" s="1045">
        <f t="shared" si="126"/>
        <v>0</v>
      </c>
      <c r="Y222" s="1132">
        <f t="shared" si="101"/>
        <v>0</v>
      </c>
      <c r="Z222" s="1045">
        <f t="shared" si="127"/>
        <v>0</v>
      </c>
      <c r="AA222" s="892"/>
      <c r="AB222" s="891"/>
    </row>
    <row r="223" spans="1:28" s="718" customFormat="1">
      <c r="A223" s="1160">
        <v>448.2</v>
      </c>
      <c r="B223" s="1162" t="s">
        <v>4154</v>
      </c>
      <c r="C223" s="995">
        <f>Data!R3126</f>
        <v>122.25</v>
      </c>
      <c r="D223" s="1231" t="s">
        <v>1341</v>
      </c>
      <c r="E223" s="1148">
        <f>detailed!H1672</f>
        <v>8</v>
      </c>
      <c r="F223" s="1127">
        <f t="shared" si="99"/>
        <v>978</v>
      </c>
      <c r="G223" s="1231"/>
      <c r="H223" s="1127">
        <f t="shared" si="120"/>
        <v>0</v>
      </c>
      <c r="I223" s="1231"/>
      <c r="J223" s="1127">
        <f t="shared" si="121"/>
        <v>0</v>
      </c>
      <c r="K223" s="1231"/>
      <c r="L223" s="1127">
        <f t="shared" si="122"/>
        <v>0</v>
      </c>
      <c r="M223" s="1231"/>
      <c r="N223" s="1127">
        <f t="shared" si="123"/>
        <v>0</v>
      </c>
      <c r="O223" s="1231"/>
      <c r="P223" s="1127">
        <f t="shared" si="124"/>
        <v>0</v>
      </c>
      <c r="Q223" s="1231"/>
      <c r="R223" s="1127">
        <f t="shared" si="125"/>
        <v>0</v>
      </c>
      <c r="S223" s="1028"/>
      <c r="T223" s="1131">
        <f t="shared" si="108"/>
        <v>0</v>
      </c>
      <c r="U223" s="1045"/>
      <c r="V223" s="1045">
        <f t="shared" si="119"/>
        <v>0</v>
      </c>
      <c r="W223" s="1132">
        <f t="shared" si="100"/>
        <v>0</v>
      </c>
      <c r="X223" s="1045">
        <f t="shared" si="126"/>
        <v>0</v>
      </c>
      <c r="Y223" s="1132">
        <f t="shared" si="101"/>
        <v>8</v>
      </c>
      <c r="Z223" s="1045">
        <f t="shared" si="127"/>
        <v>978</v>
      </c>
      <c r="AA223" s="891"/>
      <c r="AB223" s="891"/>
    </row>
    <row r="224" spans="1:28" s="486" customFormat="1" ht="45">
      <c r="A224" s="1149"/>
      <c r="B224" s="1150" t="s">
        <v>5662</v>
      </c>
      <c r="C224" s="1156">
        <f>C378</f>
        <v>1489.39</v>
      </c>
      <c r="D224" s="1228" t="s">
        <v>2199</v>
      </c>
      <c r="E224" s="1222">
        <f>detailed!G1007</f>
        <v>304.89999999999998</v>
      </c>
      <c r="F224" s="1127">
        <f t="shared" si="99"/>
        <v>454115.01</v>
      </c>
      <c r="G224" s="1228"/>
      <c r="H224" s="1127">
        <f t="shared" si="120"/>
        <v>0</v>
      </c>
      <c r="I224" s="1228"/>
      <c r="J224" s="1127">
        <f t="shared" si="121"/>
        <v>0</v>
      </c>
      <c r="K224" s="1228"/>
      <c r="L224" s="1127">
        <f t="shared" si="122"/>
        <v>0</v>
      </c>
      <c r="M224" s="1228"/>
      <c r="N224" s="1127">
        <f t="shared" si="123"/>
        <v>0</v>
      </c>
      <c r="O224" s="1228"/>
      <c r="P224" s="1127">
        <f t="shared" si="124"/>
        <v>0</v>
      </c>
      <c r="Q224" s="1228"/>
      <c r="R224" s="1127">
        <f t="shared" si="125"/>
        <v>0</v>
      </c>
      <c r="S224" s="1045"/>
      <c r="T224" s="1131">
        <f t="shared" ref="T224:T227" si="128">S224*C224</f>
        <v>0</v>
      </c>
      <c r="U224" s="1045"/>
      <c r="V224" s="1045">
        <f t="shared" si="119"/>
        <v>0</v>
      </c>
      <c r="W224" s="1132">
        <f t="shared" si="100"/>
        <v>0</v>
      </c>
      <c r="X224" s="1045">
        <f t="shared" si="126"/>
        <v>0</v>
      </c>
      <c r="Y224" s="1132">
        <f t="shared" si="101"/>
        <v>304.89999999999998</v>
      </c>
      <c r="Z224" s="1045">
        <f t="shared" si="127"/>
        <v>454115.01</v>
      </c>
      <c r="AA224" s="892"/>
      <c r="AB224" s="890"/>
    </row>
    <row r="225" spans="1:28" ht="45">
      <c r="A225" s="1124"/>
      <c r="B225" s="1125" t="s">
        <v>5663</v>
      </c>
      <c r="C225" s="1052">
        <f>Data!R2419</f>
        <v>1298.51</v>
      </c>
      <c r="D225" s="1219" t="s">
        <v>2199</v>
      </c>
      <c r="E225" s="1214">
        <f>detailed!G1545</f>
        <v>134.69999999999999</v>
      </c>
      <c r="F225" s="1127">
        <f t="shared" si="99"/>
        <v>174909.3</v>
      </c>
      <c r="G225" s="1219"/>
      <c r="H225" s="1127">
        <f t="shared" si="120"/>
        <v>0</v>
      </c>
      <c r="I225" s="1219"/>
      <c r="J225" s="1127">
        <f t="shared" si="121"/>
        <v>0</v>
      </c>
      <c r="K225" s="1219"/>
      <c r="L225" s="1127">
        <f t="shared" si="122"/>
        <v>0</v>
      </c>
      <c r="M225" s="1219"/>
      <c r="N225" s="1127">
        <f t="shared" si="123"/>
        <v>0</v>
      </c>
      <c r="O225" s="1219"/>
      <c r="P225" s="1127">
        <f t="shared" si="124"/>
        <v>0</v>
      </c>
      <c r="Q225" s="1219"/>
      <c r="R225" s="1127">
        <f t="shared" si="125"/>
        <v>0</v>
      </c>
      <c r="S225" s="1045"/>
      <c r="T225" s="1131">
        <f t="shared" si="128"/>
        <v>0</v>
      </c>
      <c r="U225" s="1045"/>
      <c r="V225" s="1045">
        <f t="shared" si="119"/>
        <v>0</v>
      </c>
      <c r="W225" s="1132">
        <f t="shared" si="100"/>
        <v>0</v>
      </c>
      <c r="X225" s="1045">
        <f t="shared" si="126"/>
        <v>0</v>
      </c>
      <c r="Y225" s="1132">
        <f t="shared" si="101"/>
        <v>134.69999999999999</v>
      </c>
      <c r="Z225" s="1045">
        <f t="shared" si="127"/>
        <v>174909.3</v>
      </c>
      <c r="AA225" s="890"/>
      <c r="AB225" s="890"/>
    </row>
    <row r="226" spans="1:28" s="486" customFormat="1">
      <c r="A226" s="1149"/>
      <c r="B226" s="1150" t="s">
        <v>4602</v>
      </c>
      <c r="C226" s="1151">
        <f>Data!K2438</f>
        <v>1331.17</v>
      </c>
      <c r="D226" s="1228" t="s">
        <v>222</v>
      </c>
      <c r="E226" s="1222"/>
      <c r="F226" s="1127">
        <f t="shared" si="99"/>
        <v>0</v>
      </c>
      <c r="G226" s="1228"/>
      <c r="H226" s="1127">
        <f t="shared" si="120"/>
        <v>0</v>
      </c>
      <c r="I226" s="1228"/>
      <c r="J226" s="1127">
        <f t="shared" si="121"/>
        <v>0</v>
      </c>
      <c r="K226" s="1228"/>
      <c r="L226" s="1127">
        <f t="shared" si="122"/>
        <v>0</v>
      </c>
      <c r="M226" s="1228"/>
      <c r="N226" s="1127">
        <f t="shared" si="123"/>
        <v>0</v>
      </c>
      <c r="O226" s="1228"/>
      <c r="P226" s="1127">
        <f t="shared" si="124"/>
        <v>0</v>
      </c>
      <c r="Q226" s="1228"/>
      <c r="R226" s="1127">
        <f t="shared" si="125"/>
        <v>0</v>
      </c>
      <c r="S226" s="1045"/>
      <c r="T226" s="1131">
        <f t="shared" si="128"/>
        <v>0</v>
      </c>
      <c r="U226" s="1045"/>
      <c r="V226" s="1045">
        <f t="shared" si="119"/>
        <v>0</v>
      </c>
      <c r="W226" s="1132">
        <f t="shared" si="100"/>
        <v>0</v>
      </c>
      <c r="X226" s="1045">
        <f t="shared" si="126"/>
        <v>0</v>
      </c>
      <c r="Y226" s="1132">
        <f t="shared" si="101"/>
        <v>0</v>
      </c>
      <c r="Z226" s="1045">
        <f t="shared" si="127"/>
        <v>0</v>
      </c>
      <c r="AA226" s="892"/>
      <c r="AB226" s="890"/>
    </row>
    <row r="227" spans="1:28">
      <c r="A227" s="1124"/>
      <c r="B227" s="1125" t="s">
        <v>4444</v>
      </c>
      <c r="C227" s="1040">
        <f>Data!R1275</f>
        <v>1147.69</v>
      </c>
      <c r="D227" s="1219" t="s">
        <v>2199</v>
      </c>
      <c r="E227" s="1214">
        <f>detailed!G1057</f>
        <v>895.5</v>
      </c>
      <c r="F227" s="1127">
        <f t="shared" si="99"/>
        <v>1027756.4</v>
      </c>
      <c r="G227" s="1219"/>
      <c r="H227" s="1127">
        <f t="shared" si="120"/>
        <v>0</v>
      </c>
      <c r="I227" s="1219"/>
      <c r="J227" s="1127">
        <f t="shared" si="121"/>
        <v>0</v>
      </c>
      <c r="K227" s="1219"/>
      <c r="L227" s="1127">
        <f t="shared" si="122"/>
        <v>0</v>
      </c>
      <c r="M227" s="1219"/>
      <c r="N227" s="1127">
        <f t="shared" si="123"/>
        <v>0</v>
      </c>
      <c r="O227" s="1219"/>
      <c r="P227" s="1127">
        <f t="shared" si="124"/>
        <v>0</v>
      </c>
      <c r="Q227" s="1219"/>
      <c r="R227" s="1127">
        <f t="shared" si="125"/>
        <v>0</v>
      </c>
      <c r="S227" s="1045"/>
      <c r="T227" s="1131">
        <f t="shared" si="128"/>
        <v>0</v>
      </c>
      <c r="U227" s="1045"/>
      <c r="V227" s="1045">
        <f t="shared" si="119"/>
        <v>0</v>
      </c>
      <c r="W227" s="1132">
        <f t="shared" si="100"/>
        <v>0</v>
      </c>
      <c r="X227" s="1045">
        <f t="shared" si="126"/>
        <v>0</v>
      </c>
      <c r="Y227" s="1132">
        <f t="shared" si="101"/>
        <v>895.5</v>
      </c>
      <c r="Z227" s="1045">
        <f t="shared" si="127"/>
        <v>1027756.4</v>
      </c>
      <c r="AA227" s="890"/>
      <c r="AB227" s="890"/>
    </row>
    <row r="228" spans="1:28" s="486" customFormat="1">
      <c r="A228" s="1124" t="s">
        <v>4151</v>
      </c>
      <c r="B228" s="1125" t="s">
        <v>3707</v>
      </c>
      <c r="C228" s="1025">
        <f>Data!R1233</f>
        <v>1352.57</v>
      </c>
      <c r="D228" s="1030" t="s">
        <v>2199</v>
      </c>
      <c r="E228" s="1198">
        <f>detailed!G1066</f>
        <v>166.7</v>
      </c>
      <c r="F228" s="1127">
        <f t="shared" si="99"/>
        <v>225473.42</v>
      </c>
      <c r="G228" s="1030"/>
      <c r="H228" s="1127">
        <f t="shared" ref="H228:H231" si="129">G228*C228</f>
        <v>0</v>
      </c>
      <c r="I228" s="1030"/>
      <c r="J228" s="1127">
        <f t="shared" ref="J228:J231" si="130">I228*C228</f>
        <v>0</v>
      </c>
      <c r="K228" s="1030"/>
      <c r="L228" s="1127">
        <f t="shared" ref="L228:L231" si="131">K228*C228</f>
        <v>0</v>
      </c>
      <c r="M228" s="1030"/>
      <c r="N228" s="1127">
        <f t="shared" ref="N228:N231" si="132">M228*C228</f>
        <v>0</v>
      </c>
      <c r="O228" s="1030"/>
      <c r="P228" s="1127">
        <f t="shared" ref="P228:P231" si="133">O228*C228</f>
        <v>0</v>
      </c>
      <c r="Q228" s="1030"/>
      <c r="R228" s="1127">
        <f t="shared" ref="R228:R231" si="134">Q228*C228</f>
        <v>0</v>
      </c>
      <c r="S228" s="1028"/>
      <c r="T228" s="1131">
        <f t="shared" ref="T228:T231" si="135">S228*C228</f>
        <v>0</v>
      </c>
      <c r="U228" s="1045"/>
      <c r="V228" s="1045">
        <f t="shared" si="119"/>
        <v>0</v>
      </c>
      <c r="W228" s="1132">
        <f t="shared" si="100"/>
        <v>0</v>
      </c>
      <c r="X228" s="1045">
        <f t="shared" ref="X228:X231" si="136">W228*C228</f>
        <v>0</v>
      </c>
      <c r="Y228" s="1132">
        <f t="shared" si="101"/>
        <v>166.7</v>
      </c>
      <c r="Z228" s="1045">
        <f t="shared" ref="Z228:Z231" si="137">Y228*C228</f>
        <v>225473.42</v>
      </c>
      <c r="AA228" s="892"/>
      <c r="AB228" s="891"/>
    </row>
    <row r="229" spans="1:28" s="486" customFormat="1">
      <c r="A229" s="1149"/>
      <c r="B229" s="1150" t="s">
        <v>4606</v>
      </c>
      <c r="C229" s="1151">
        <f>Data!R1233</f>
        <v>1352.57</v>
      </c>
      <c r="D229" s="1228" t="s">
        <v>2199</v>
      </c>
      <c r="E229" s="1222"/>
      <c r="F229" s="1127">
        <f t="shared" si="99"/>
        <v>0</v>
      </c>
      <c r="G229" s="1228"/>
      <c r="H229" s="1127">
        <f t="shared" si="129"/>
        <v>0</v>
      </c>
      <c r="I229" s="1228"/>
      <c r="J229" s="1127">
        <f t="shared" si="130"/>
        <v>0</v>
      </c>
      <c r="K229" s="1228"/>
      <c r="L229" s="1127">
        <f t="shared" si="131"/>
        <v>0</v>
      </c>
      <c r="M229" s="1228"/>
      <c r="N229" s="1127">
        <f t="shared" si="132"/>
        <v>0</v>
      </c>
      <c r="O229" s="1228"/>
      <c r="P229" s="1127">
        <f t="shared" si="133"/>
        <v>0</v>
      </c>
      <c r="Q229" s="1228"/>
      <c r="R229" s="1127">
        <f t="shared" si="134"/>
        <v>0</v>
      </c>
      <c r="S229" s="1045"/>
      <c r="T229" s="1131">
        <f t="shared" si="135"/>
        <v>0</v>
      </c>
      <c r="U229" s="1045"/>
      <c r="V229" s="1045">
        <f t="shared" si="119"/>
        <v>0</v>
      </c>
      <c r="W229" s="1132">
        <f t="shared" si="100"/>
        <v>0</v>
      </c>
      <c r="X229" s="1045">
        <f t="shared" si="136"/>
        <v>0</v>
      </c>
      <c r="Y229" s="1132">
        <f t="shared" si="101"/>
        <v>0</v>
      </c>
      <c r="Z229" s="1045">
        <f t="shared" si="137"/>
        <v>0</v>
      </c>
      <c r="AA229" s="892"/>
      <c r="AB229" s="890"/>
    </row>
    <row r="230" spans="1:28" s="486" customFormat="1">
      <c r="A230" s="1124"/>
      <c r="B230" s="1125" t="s">
        <v>3513</v>
      </c>
      <c r="C230" s="1197">
        <v>905</v>
      </c>
      <c r="D230" s="1138" t="s">
        <v>794</v>
      </c>
      <c r="E230" s="1139"/>
      <c r="F230" s="1127">
        <f t="shared" si="99"/>
        <v>0</v>
      </c>
      <c r="G230" s="1138"/>
      <c r="H230" s="1127">
        <f t="shared" si="129"/>
        <v>0</v>
      </c>
      <c r="I230" s="1138"/>
      <c r="J230" s="1127">
        <f t="shared" si="130"/>
        <v>0</v>
      </c>
      <c r="K230" s="1138"/>
      <c r="L230" s="1127">
        <f t="shared" si="131"/>
        <v>0</v>
      </c>
      <c r="M230" s="1138"/>
      <c r="N230" s="1127">
        <f t="shared" si="132"/>
        <v>0</v>
      </c>
      <c r="O230" s="1138"/>
      <c r="P230" s="1127">
        <f t="shared" si="133"/>
        <v>0</v>
      </c>
      <c r="Q230" s="1138"/>
      <c r="R230" s="1127">
        <f t="shared" si="134"/>
        <v>0</v>
      </c>
      <c r="S230" s="1028"/>
      <c r="T230" s="1131">
        <f t="shared" si="135"/>
        <v>0</v>
      </c>
      <c r="U230" s="1045"/>
      <c r="V230" s="1045">
        <f t="shared" si="119"/>
        <v>0</v>
      </c>
      <c r="W230" s="1132">
        <f t="shared" si="100"/>
        <v>0</v>
      </c>
      <c r="X230" s="1045">
        <f t="shared" si="136"/>
        <v>0</v>
      </c>
      <c r="Y230" s="1132">
        <f t="shared" si="101"/>
        <v>0</v>
      </c>
      <c r="Z230" s="1045">
        <f t="shared" si="137"/>
        <v>0</v>
      </c>
      <c r="AA230" s="892"/>
      <c r="AB230" s="891"/>
    </row>
    <row r="231" spans="1:28" s="486" customFormat="1">
      <c r="A231" s="1124"/>
      <c r="B231" s="1125" t="s">
        <v>3536</v>
      </c>
      <c r="C231" s="1197">
        <v>8467.2999999999993</v>
      </c>
      <c r="D231" s="1138" t="s">
        <v>1341</v>
      </c>
      <c r="E231" s="1139"/>
      <c r="F231" s="1127">
        <f t="shared" si="99"/>
        <v>0</v>
      </c>
      <c r="G231" s="1138"/>
      <c r="H231" s="1127">
        <f t="shared" si="129"/>
        <v>0</v>
      </c>
      <c r="I231" s="1138"/>
      <c r="J231" s="1127">
        <f t="shared" si="130"/>
        <v>0</v>
      </c>
      <c r="K231" s="1138"/>
      <c r="L231" s="1127">
        <f t="shared" si="131"/>
        <v>0</v>
      </c>
      <c r="M231" s="1138"/>
      <c r="N231" s="1127">
        <f t="shared" si="132"/>
        <v>0</v>
      </c>
      <c r="O231" s="1138"/>
      <c r="P231" s="1127">
        <f t="shared" si="133"/>
        <v>0</v>
      </c>
      <c r="Q231" s="1138"/>
      <c r="R231" s="1127">
        <f t="shared" si="134"/>
        <v>0</v>
      </c>
      <c r="S231" s="1028"/>
      <c r="T231" s="1131">
        <f t="shared" si="135"/>
        <v>0</v>
      </c>
      <c r="U231" s="1045"/>
      <c r="V231" s="1045">
        <f t="shared" si="119"/>
        <v>0</v>
      </c>
      <c r="W231" s="1132">
        <f t="shared" si="100"/>
        <v>0</v>
      </c>
      <c r="X231" s="1045">
        <f t="shared" si="136"/>
        <v>0</v>
      </c>
      <c r="Y231" s="1132">
        <f t="shared" si="101"/>
        <v>0</v>
      </c>
      <c r="Z231" s="1045">
        <f t="shared" si="137"/>
        <v>0</v>
      </c>
      <c r="AA231" s="892"/>
      <c r="AB231" s="891"/>
    </row>
    <row r="232" spans="1:28" s="486" customFormat="1" ht="45">
      <c r="A232" s="1124"/>
      <c r="B232" s="1125" t="s">
        <v>3514</v>
      </c>
      <c r="C232" s="1025">
        <f>Data!K2356</f>
        <v>30.62</v>
      </c>
      <c r="D232" s="1030" t="s">
        <v>2199</v>
      </c>
      <c r="E232" s="1198"/>
      <c r="F232" s="1127">
        <f t="shared" si="99"/>
        <v>0</v>
      </c>
      <c r="G232" s="1030"/>
      <c r="H232" s="1127">
        <f t="shared" ref="H232:H253" si="138">G232*C232</f>
        <v>0</v>
      </c>
      <c r="I232" s="1030"/>
      <c r="J232" s="1127">
        <f t="shared" ref="J232:J253" si="139">I232*C232</f>
        <v>0</v>
      </c>
      <c r="K232" s="1030"/>
      <c r="L232" s="1127">
        <f t="shared" ref="L232:L253" si="140">K232*C232</f>
        <v>0</v>
      </c>
      <c r="M232" s="1030"/>
      <c r="N232" s="1127">
        <f t="shared" ref="N232:N253" si="141">M232*C232</f>
        <v>0</v>
      </c>
      <c r="O232" s="1030"/>
      <c r="P232" s="1127">
        <f t="shared" ref="P232:P253" si="142">O232*C232</f>
        <v>0</v>
      </c>
      <c r="Q232" s="1030"/>
      <c r="R232" s="1127">
        <f t="shared" ref="R232:R253" si="143">Q232*C232</f>
        <v>0</v>
      </c>
      <c r="S232" s="1028"/>
      <c r="T232" s="1131">
        <f t="shared" ref="T232:T253" si="144">S232*C232</f>
        <v>0</v>
      </c>
      <c r="U232" s="1045"/>
      <c r="V232" s="1045">
        <f t="shared" si="119"/>
        <v>0</v>
      </c>
      <c r="W232" s="1132">
        <f t="shared" si="100"/>
        <v>0</v>
      </c>
      <c r="X232" s="1045">
        <f t="shared" ref="X232:X253" si="145">W232*C232</f>
        <v>0</v>
      </c>
      <c r="Y232" s="1132">
        <f t="shared" si="101"/>
        <v>0</v>
      </c>
      <c r="Z232" s="1045">
        <f t="shared" ref="Z232:Z253" si="146">Y232*C232</f>
        <v>0</v>
      </c>
      <c r="AA232" s="892"/>
      <c r="AB232" s="891"/>
    </row>
    <row r="233" spans="1:28" s="486" customFormat="1" ht="45">
      <c r="A233" s="1124"/>
      <c r="B233" s="1233" t="s">
        <v>3739</v>
      </c>
      <c r="C233" s="1025"/>
      <c r="D233" s="1030"/>
      <c r="E233" s="1198"/>
      <c r="F233" s="1127">
        <f t="shared" ref="F233:F295" si="147">E233*C233</f>
        <v>0</v>
      </c>
      <c r="G233" s="1030"/>
      <c r="H233" s="1127">
        <f t="shared" si="138"/>
        <v>0</v>
      </c>
      <c r="I233" s="1030"/>
      <c r="J233" s="1127">
        <f t="shared" si="139"/>
        <v>0</v>
      </c>
      <c r="K233" s="1030"/>
      <c r="L233" s="1127">
        <f t="shared" si="140"/>
        <v>0</v>
      </c>
      <c r="M233" s="1030"/>
      <c r="N233" s="1127">
        <f t="shared" si="141"/>
        <v>0</v>
      </c>
      <c r="O233" s="1030"/>
      <c r="P233" s="1127">
        <f t="shared" si="142"/>
        <v>0</v>
      </c>
      <c r="Q233" s="1030"/>
      <c r="R233" s="1127">
        <f t="shared" si="143"/>
        <v>0</v>
      </c>
      <c r="S233" s="1049"/>
      <c r="T233" s="1131">
        <f t="shared" si="144"/>
        <v>0</v>
      </c>
      <c r="U233" s="1045"/>
      <c r="V233" s="1045">
        <f t="shared" si="119"/>
        <v>0</v>
      </c>
      <c r="W233" s="1132">
        <f t="shared" ref="W233:W295" si="148">U233+S233+Q233+O233+M233+K233+I233+G233</f>
        <v>0</v>
      </c>
      <c r="X233" s="1045">
        <f t="shared" si="145"/>
        <v>0</v>
      </c>
      <c r="Y233" s="1132">
        <f t="shared" ref="Y233:Y295" si="149">W233+E233</f>
        <v>0</v>
      </c>
      <c r="Z233" s="1045">
        <f t="shared" si="146"/>
        <v>0</v>
      </c>
      <c r="AA233" s="892"/>
      <c r="AB233" s="890"/>
    </row>
    <row r="234" spans="1:28" s="486" customFormat="1">
      <c r="A234" s="1124"/>
      <c r="B234" s="1125" t="s">
        <v>1205</v>
      </c>
      <c r="C234" s="1025">
        <f>Data!AD1200</f>
        <v>1916.74</v>
      </c>
      <c r="D234" s="1030" t="s">
        <v>2199</v>
      </c>
      <c r="E234" s="1198">
        <f>detailed!G653</f>
        <v>6</v>
      </c>
      <c r="F234" s="1127">
        <f t="shared" si="147"/>
        <v>11500.44</v>
      </c>
      <c r="G234" s="1030"/>
      <c r="H234" s="1127">
        <f t="shared" si="138"/>
        <v>0</v>
      </c>
      <c r="I234" s="1030"/>
      <c r="J234" s="1127">
        <f t="shared" si="139"/>
        <v>0</v>
      </c>
      <c r="K234" s="1030"/>
      <c r="L234" s="1127">
        <f t="shared" si="140"/>
        <v>0</v>
      </c>
      <c r="M234" s="1030"/>
      <c r="N234" s="1127">
        <f t="shared" si="141"/>
        <v>0</v>
      </c>
      <c r="O234" s="1030"/>
      <c r="P234" s="1127">
        <f t="shared" si="142"/>
        <v>0</v>
      </c>
      <c r="Q234" s="1030"/>
      <c r="R234" s="1127">
        <f t="shared" si="143"/>
        <v>0</v>
      </c>
      <c r="S234" s="1045"/>
      <c r="T234" s="1131">
        <f t="shared" si="144"/>
        <v>0</v>
      </c>
      <c r="U234" s="1045"/>
      <c r="V234" s="1045">
        <f t="shared" si="119"/>
        <v>0</v>
      </c>
      <c r="W234" s="1132">
        <f t="shared" si="148"/>
        <v>0</v>
      </c>
      <c r="X234" s="1045">
        <f t="shared" si="145"/>
        <v>0</v>
      </c>
      <c r="Y234" s="1132">
        <f t="shared" si="149"/>
        <v>6</v>
      </c>
      <c r="Z234" s="1045">
        <f t="shared" si="146"/>
        <v>11500.44</v>
      </c>
      <c r="AA234" s="892"/>
      <c r="AB234" s="890"/>
    </row>
    <row r="235" spans="1:28" s="486" customFormat="1">
      <c r="A235" s="1149"/>
      <c r="B235" s="1150" t="s">
        <v>1331</v>
      </c>
      <c r="C235" s="1025">
        <f>Data!AD1201</f>
        <v>1920.81</v>
      </c>
      <c r="D235" s="1228" t="s">
        <v>2199</v>
      </c>
      <c r="E235" s="1222">
        <f>detailed!G658</f>
        <v>11.3</v>
      </c>
      <c r="F235" s="1127">
        <f t="shared" si="147"/>
        <v>21705.15</v>
      </c>
      <c r="G235" s="1228"/>
      <c r="H235" s="1127">
        <f t="shared" si="138"/>
        <v>0</v>
      </c>
      <c r="I235" s="1228"/>
      <c r="J235" s="1127">
        <f t="shared" si="139"/>
        <v>0</v>
      </c>
      <c r="K235" s="1228"/>
      <c r="L235" s="1127">
        <f t="shared" si="140"/>
        <v>0</v>
      </c>
      <c r="M235" s="1228"/>
      <c r="N235" s="1127">
        <f t="shared" si="141"/>
        <v>0</v>
      </c>
      <c r="O235" s="1228"/>
      <c r="P235" s="1127">
        <f t="shared" si="142"/>
        <v>0</v>
      </c>
      <c r="Q235" s="1228"/>
      <c r="R235" s="1127">
        <f t="shared" si="143"/>
        <v>0</v>
      </c>
      <c r="S235" s="1028"/>
      <c r="T235" s="1131">
        <f t="shared" si="144"/>
        <v>0</v>
      </c>
      <c r="U235" s="1045"/>
      <c r="V235" s="1045">
        <f t="shared" si="119"/>
        <v>0</v>
      </c>
      <c r="W235" s="1132">
        <f t="shared" si="148"/>
        <v>0</v>
      </c>
      <c r="X235" s="1045">
        <f t="shared" si="145"/>
        <v>0</v>
      </c>
      <c r="Y235" s="1132">
        <f t="shared" si="149"/>
        <v>11.3</v>
      </c>
      <c r="Z235" s="1045">
        <f t="shared" si="146"/>
        <v>21705.15</v>
      </c>
      <c r="AA235" s="892"/>
      <c r="AB235" s="891"/>
    </row>
    <row r="236" spans="1:28" s="486" customFormat="1">
      <c r="A236" s="1124"/>
      <c r="B236" s="1125" t="s">
        <v>1378</v>
      </c>
      <c r="C236" s="1025">
        <f>Data!AD1202</f>
        <v>1924.88</v>
      </c>
      <c r="D236" s="1030" t="s">
        <v>2199</v>
      </c>
      <c r="E236" s="1198">
        <f>detailed!G663</f>
        <v>31.5</v>
      </c>
      <c r="F236" s="1127">
        <f t="shared" si="147"/>
        <v>60633.72</v>
      </c>
      <c r="G236" s="1030"/>
      <c r="H236" s="1127">
        <f t="shared" si="138"/>
        <v>0</v>
      </c>
      <c r="I236" s="1030"/>
      <c r="J236" s="1127">
        <f t="shared" si="139"/>
        <v>0</v>
      </c>
      <c r="K236" s="1030"/>
      <c r="L236" s="1127">
        <f t="shared" si="140"/>
        <v>0</v>
      </c>
      <c r="M236" s="1030"/>
      <c r="N236" s="1127">
        <f t="shared" si="141"/>
        <v>0</v>
      </c>
      <c r="O236" s="1030"/>
      <c r="P236" s="1127">
        <f t="shared" si="142"/>
        <v>0</v>
      </c>
      <c r="Q236" s="1030"/>
      <c r="R236" s="1127">
        <f t="shared" si="143"/>
        <v>0</v>
      </c>
      <c r="S236" s="1028"/>
      <c r="T236" s="1131">
        <f t="shared" si="144"/>
        <v>0</v>
      </c>
      <c r="U236" s="1045"/>
      <c r="V236" s="1045">
        <f t="shared" si="119"/>
        <v>0</v>
      </c>
      <c r="W236" s="1132">
        <f t="shared" si="148"/>
        <v>0</v>
      </c>
      <c r="X236" s="1045">
        <f t="shared" si="145"/>
        <v>0</v>
      </c>
      <c r="Y236" s="1132">
        <f t="shared" si="149"/>
        <v>31.5</v>
      </c>
      <c r="Z236" s="1045">
        <f t="shared" si="146"/>
        <v>60633.72</v>
      </c>
      <c r="AA236" s="892"/>
      <c r="AB236" s="891"/>
    </row>
    <row r="237" spans="1:28" s="486" customFormat="1">
      <c r="A237" s="1124"/>
      <c r="B237" s="1125" t="s">
        <v>1274</v>
      </c>
      <c r="C237" s="1025">
        <f>Data!AD1203</f>
        <v>1928.95</v>
      </c>
      <c r="D237" s="1030" t="s">
        <v>2199</v>
      </c>
      <c r="E237" s="1198"/>
      <c r="F237" s="1127">
        <f t="shared" si="147"/>
        <v>0</v>
      </c>
      <c r="G237" s="1030"/>
      <c r="H237" s="1127">
        <f t="shared" si="138"/>
        <v>0</v>
      </c>
      <c r="I237" s="1030"/>
      <c r="J237" s="1127">
        <f t="shared" si="139"/>
        <v>0</v>
      </c>
      <c r="K237" s="1030"/>
      <c r="L237" s="1127">
        <f t="shared" si="140"/>
        <v>0</v>
      </c>
      <c r="M237" s="1030"/>
      <c r="N237" s="1127">
        <f t="shared" si="141"/>
        <v>0</v>
      </c>
      <c r="O237" s="1030"/>
      <c r="P237" s="1127">
        <f t="shared" si="142"/>
        <v>0</v>
      </c>
      <c r="Q237" s="1030"/>
      <c r="R237" s="1127">
        <f t="shared" si="143"/>
        <v>0</v>
      </c>
      <c r="S237" s="1028"/>
      <c r="T237" s="1131">
        <f t="shared" si="144"/>
        <v>0</v>
      </c>
      <c r="U237" s="1045"/>
      <c r="V237" s="1045">
        <f t="shared" si="119"/>
        <v>0</v>
      </c>
      <c r="W237" s="1132">
        <f t="shared" si="148"/>
        <v>0</v>
      </c>
      <c r="X237" s="1045">
        <f t="shared" si="145"/>
        <v>0</v>
      </c>
      <c r="Y237" s="1132">
        <f t="shared" si="149"/>
        <v>0</v>
      </c>
      <c r="Z237" s="1045">
        <f t="shared" si="146"/>
        <v>0</v>
      </c>
      <c r="AA237" s="892"/>
      <c r="AB237" s="891"/>
    </row>
    <row r="238" spans="1:28" s="486" customFormat="1">
      <c r="A238" s="1124"/>
      <c r="B238" s="1202" t="s">
        <v>5664</v>
      </c>
      <c r="C238" s="1235">
        <f>Data!AG3118</f>
        <v>467</v>
      </c>
      <c r="D238" s="1199" t="s">
        <v>1341</v>
      </c>
      <c r="E238" s="1200">
        <f>detailed!H1634</f>
        <v>17</v>
      </c>
      <c r="F238" s="1127">
        <f t="shared" si="147"/>
        <v>7939</v>
      </c>
      <c r="G238" s="1199"/>
      <c r="H238" s="1127">
        <f t="shared" si="138"/>
        <v>0</v>
      </c>
      <c r="I238" s="1199"/>
      <c r="J238" s="1127">
        <f t="shared" si="139"/>
        <v>0</v>
      </c>
      <c r="K238" s="1199"/>
      <c r="L238" s="1127">
        <f t="shared" si="140"/>
        <v>0</v>
      </c>
      <c r="M238" s="1199"/>
      <c r="N238" s="1127">
        <f t="shared" si="141"/>
        <v>0</v>
      </c>
      <c r="O238" s="1199"/>
      <c r="P238" s="1127">
        <f t="shared" si="142"/>
        <v>0</v>
      </c>
      <c r="Q238" s="1199"/>
      <c r="R238" s="1127">
        <f t="shared" si="143"/>
        <v>0</v>
      </c>
      <c r="S238" s="1045"/>
      <c r="T238" s="1131">
        <f t="shared" si="144"/>
        <v>0</v>
      </c>
      <c r="U238" s="1045"/>
      <c r="V238" s="1045">
        <f t="shared" si="119"/>
        <v>0</v>
      </c>
      <c r="W238" s="1132">
        <f t="shared" si="148"/>
        <v>0</v>
      </c>
      <c r="X238" s="1045">
        <f t="shared" si="145"/>
        <v>0</v>
      </c>
      <c r="Y238" s="1132">
        <f t="shared" si="149"/>
        <v>17</v>
      </c>
      <c r="Z238" s="1045">
        <f t="shared" si="146"/>
        <v>7939</v>
      </c>
      <c r="AA238" s="892"/>
      <c r="AB238" s="890"/>
    </row>
    <row r="239" spans="1:28" s="486" customFormat="1">
      <c r="A239" s="1124"/>
      <c r="B239" s="1202" t="s">
        <v>5665</v>
      </c>
      <c r="C239" s="1235">
        <f>Data!AH3118</f>
        <v>419</v>
      </c>
      <c r="D239" s="1199" t="s">
        <v>1341</v>
      </c>
      <c r="E239" s="1200">
        <f>detailed!H1637</f>
        <v>11</v>
      </c>
      <c r="F239" s="1127">
        <f t="shared" si="147"/>
        <v>4609</v>
      </c>
      <c r="G239" s="1199"/>
      <c r="H239" s="1127">
        <f t="shared" si="138"/>
        <v>0</v>
      </c>
      <c r="I239" s="1199"/>
      <c r="J239" s="1127">
        <f t="shared" si="139"/>
        <v>0</v>
      </c>
      <c r="K239" s="1199"/>
      <c r="L239" s="1127">
        <f t="shared" si="140"/>
        <v>0</v>
      </c>
      <c r="M239" s="1199"/>
      <c r="N239" s="1127">
        <f t="shared" si="141"/>
        <v>0</v>
      </c>
      <c r="O239" s="1199"/>
      <c r="P239" s="1127">
        <f t="shared" si="142"/>
        <v>0</v>
      </c>
      <c r="Q239" s="1199"/>
      <c r="R239" s="1127">
        <f t="shared" si="143"/>
        <v>0</v>
      </c>
      <c r="S239" s="1045"/>
      <c r="T239" s="1131">
        <f t="shared" si="144"/>
        <v>0</v>
      </c>
      <c r="U239" s="1045"/>
      <c r="V239" s="1045">
        <f t="shared" si="119"/>
        <v>0</v>
      </c>
      <c r="W239" s="1132">
        <f t="shared" si="148"/>
        <v>0</v>
      </c>
      <c r="X239" s="1045">
        <f t="shared" si="145"/>
        <v>0</v>
      </c>
      <c r="Y239" s="1132">
        <f t="shared" si="149"/>
        <v>11</v>
      </c>
      <c r="Z239" s="1045">
        <f t="shared" si="146"/>
        <v>4609</v>
      </c>
      <c r="AA239" s="892"/>
      <c r="AB239" s="890"/>
    </row>
    <row r="240" spans="1:28" ht="45">
      <c r="A240" s="1124"/>
      <c r="B240" s="1125" t="s">
        <v>4111</v>
      </c>
      <c r="C240" s="1236">
        <f>Data!X1350</f>
        <v>1529.48</v>
      </c>
      <c r="D240" s="1127" t="s">
        <v>1776</v>
      </c>
      <c r="E240" s="1128"/>
      <c r="F240" s="1127">
        <f t="shared" si="147"/>
        <v>0</v>
      </c>
      <c r="G240" s="1127"/>
      <c r="H240" s="1127">
        <f t="shared" si="138"/>
        <v>0</v>
      </c>
      <c r="I240" s="1127"/>
      <c r="J240" s="1127">
        <f t="shared" si="139"/>
        <v>0</v>
      </c>
      <c r="K240" s="1127"/>
      <c r="L240" s="1127">
        <f t="shared" si="140"/>
        <v>0</v>
      </c>
      <c r="M240" s="1127"/>
      <c r="N240" s="1127">
        <f t="shared" si="141"/>
        <v>0</v>
      </c>
      <c r="O240" s="1127"/>
      <c r="P240" s="1127">
        <f t="shared" si="142"/>
        <v>0</v>
      </c>
      <c r="Q240" s="1127"/>
      <c r="R240" s="1127">
        <f t="shared" si="143"/>
        <v>0</v>
      </c>
      <c r="S240" s="1045"/>
      <c r="T240" s="1131">
        <f t="shared" si="144"/>
        <v>0</v>
      </c>
      <c r="U240" s="1045"/>
      <c r="V240" s="1045">
        <f t="shared" si="119"/>
        <v>0</v>
      </c>
      <c r="W240" s="1132">
        <f t="shared" si="148"/>
        <v>0</v>
      </c>
      <c r="X240" s="1045">
        <f t="shared" si="145"/>
        <v>0</v>
      </c>
      <c r="Y240" s="1132">
        <f t="shared" si="149"/>
        <v>0</v>
      </c>
      <c r="Z240" s="1045">
        <f t="shared" si="146"/>
        <v>0</v>
      </c>
      <c r="AA240" s="890"/>
      <c r="AB240" s="890"/>
    </row>
    <row r="241" spans="1:28" s="486" customFormat="1">
      <c r="A241" s="1174" t="s">
        <v>1279</v>
      </c>
      <c r="B241" s="1175" t="s">
        <v>1351</v>
      </c>
      <c r="C241" s="1176">
        <f>Data!K1800</f>
        <v>1920</v>
      </c>
      <c r="D241" s="1177" t="s">
        <v>1341</v>
      </c>
      <c r="E241" s="1178"/>
      <c r="F241" s="1127">
        <f t="shared" si="147"/>
        <v>0</v>
      </c>
      <c r="G241" s="1177"/>
      <c r="H241" s="1127">
        <f t="shared" si="138"/>
        <v>0</v>
      </c>
      <c r="I241" s="1177"/>
      <c r="J241" s="1127">
        <f t="shared" si="139"/>
        <v>0</v>
      </c>
      <c r="K241" s="1177"/>
      <c r="L241" s="1127">
        <f t="shared" si="140"/>
        <v>0</v>
      </c>
      <c r="M241" s="1177"/>
      <c r="N241" s="1127">
        <f t="shared" si="141"/>
        <v>0</v>
      </c>
      <c r="O241" s="1177"/>
      <c r="P241" s="1127">
        <f t="shared" si="142"/>
        <v>0</v>
      </c>
      <c r="Q241" s="1177"/>
      <c r="R241" s="1127">
        <f t="shared" si="143"/>
        <v>0</v>
      </c>
      <c r="S241" s="1143"/>
      <c r="T241" s="1131">
        <f t="shared" si="144"/>
        <v>0</v>
      </c>
      <c r="U241" s="1144"/>
      <c r="V241" s="1045">
        <f t="shared" si="119"/>
        <v>0</v>
      </c>
      <c r="W241" s="1132">
        <f t="shared" si="148"/>
        <v>0</v>
      </c>
      <c r="X241" s="1045">
        <f t="shared" si="145"/>
        <v>0</v>
      </c>
      <c r="Y241" s="1132">
        <f t="shared" si="149"/>
        <v>0</v>
      </c>
      <c r="Z241" s="1045">
        <f t="shared" si="146"/>
        <v>0</v>
      </c>
      <c r="AA241" s="892"/>
      <c r="AB241" s="891"/>
    </row>
    <row r="242" spans="1:28" ht="45">
      <c r="A242" s="1124"/>
      <c r="B242" s="1159" t="s">
        <v>3721</v>
      </c>
      <c r="C242" s="1040"/>
      <c r="D242" s="1127"/>
      <c r="E242" s="1128"/>
      <c r="F242" s="1127">
        <f t="shared" si="147"/>
        <v>0</v>
      </c>
      <c r="G242" s="1127"/>
      <c r="H242" s="1127">
        <f t="shared" si="138"/>
        <v>0</v>
      </c>
      <c r="I242" s="1127"/>
      <c r="J242" s="1127">
        <f t="shared" si="139"/>
        <v>0</v>
      </c>
      <c r="K242" s="1127"/>
      <c r="L242" s="1127">
        <f t="shared" si="140"/>
        <v>0</v>
      </c>
      <c r="M242" s="1127"/>
      <c r="N242" s="1127">
        <f t="shared" si="141"/>
        <v>0</v>
      </c>
      <c r="O242" s="1127"/>
      <c r="P242" s="1127">
        <f t="shared" si="142"/>
        <v>0</v>
      </c>
      <c r="Q242" s="1127"/>
      <c r="R242" s="1127">
        <f t="shared" si="143"/>
        <v>0</v>
      </c>
      <c r="S242" s="1049"/>
      <c r="T242" s="1131">
        <f t="shared" si="144"/>
        <v>0</v>
      </c>
      <c r="U242" s="1045"/>
      <c r="V242" s="1045">
        <f t="shared" si="119"/>
        <v>0</v>
      </c>
      <c r="W242" s="1132">
        <f t="shared" si="148"/>
        <v>0</v>
      </c>
      <c r="X242" s="1045">
        <f t="shared" si="145"/>
        <v>0</v>
      </c>
      <c r="Y242" s="1132">
        <f t="shared" si="149"/>
        <v>0</v>
      </c>
      <c r="Z242" s="1045">
        <f t="shared" si="146"/>
        <v>0</v>
      </c>
      <c r="AA242" s="890"/>
      <c r="AB242" s="890"/>
    </row>
    <row r="243" spans="1:28" ht="50.25" customHeight="1">
      <c r="A243" s="1124"/>
      <c r="B243" s="1125" t="s">
        <v>3722</v>
      </c>
      <c r="C243" s="1237">
        <f>Data!K3680</f>
        <v>366.07</v>
      </c>
      <c r="D243" s="1127" t="s">
        <v>794</v>
      </c>
      <c r="E243" s="1128">
        <f>detailed!H1663</f>
        <v>60</v>
      </c>
      <c r="F243" s="1127">
        <f t="shared" si="147"/>
        <v>21964.2</v>
      </c>
      <c r="G243" s="1127">
        <f>ST!H81</f>
        <v>12</v>
      </c>
      <c r="H243" s="1127">
        <f t="shared" si="138"/>
        <v>4392.84</v>
      </c>
      <c r="I243" s="1127"/>
      <c r="J243" s="1127">
        <f t="shared" si="139"/>
        <v>0</v>
      </c>
      <c r="K243" s="1127"/>
      <c r="L243" s="1127">
        <f t="shared" si="140"/>
        <v>0</v>
      </c>
      <c r="M243" s="1127"/>
      <c r="N243" s="1127">
        <f t="shared" si="141"/>
        <v>0</v>
      </c>
      <c r="O243" s="1127"/>
      <c r="P243" s="1127">
        <f t="shared" si="142"/>
        <v>0</v>
      </c>
      <c r="Q243" s="1127"/>
      <c r="R243" s="1127">
        <f t="shared" si="143"/>
        <v>0</v>
      </c>
      <c r="S243" s="1028"/>
      <c r="T243" s="1131">
        <f t="shared" si="144"/>
        <v>0</v>
      </c>
      <c r="U243" s="1045"/>
      <c r="V243" s="1045">
        <f t="shared" si="119"/>
        <v>0</v>
      </c>
      <c r="W243" s="1132">
        <f t="shared" si="148"/>
        <v>12</v>
      </c>
      <c r="X243" s="1045">
        <f t="shared" si="145"/>
        <v>4392.84</v>
      </c>
      <c r="Y243" s="1132">
        <f t="shared" si="149"/>
        <v>72</v>
      </c>
      <c r="Z243" s="1045">
        <f t="shared" si="146"/>
        <v>26357.040000000001</v>
      </c>
      <c r="AA243" s="890"/>
      <c r="AB243" s="890"/>
    </row>
    <row r="244" spans="1:28" ht="50.25" customHeight="1">
      <c r="A244" s="1124"/>
      <c r="B244" s="1125" t="s">
        <v>3878</v>
      </c>
      <c r="C244" s="1237">
        <f>Data!K3700</f>
        <v>593.33000000000004</v>
      </c>
      <c r="D244" s="1127" t="s">
        <v>794</v>
      </c>
      <c r="E244" s="1128">
        <f>detailed!H1664</f>
        <v>24</v>
      </c>
      <c r="F244" s="1127">
        <f t="shared" si="147"/>
        <v>14239.92</v>
      </c>
      <c r="G244" s="1127"/>
      <c r="H244" s="1127">
        <f t="shared" si="138"/>
        <v>0</v>
      </c>
      <c r="I244" s="1127"/>
      <c r="J244" s="1127">
        <f t="shared" si="139"/>
        <v>0</v>
      </c>
      <c r="K244" s="1127"/>
      <c r="L244" s="1127">
        <f t="shared" si="140"/>
        <v>0</v>
      </c>
      <c r="M244" s="1127"/>
      <c r="N244" s="1127">
        <f t="shared" si="141"/>
        <v>0</v>
      </c>
      <c r="O244" s="1127"/>
      <c r="P244" s="1127">
        <f t="shared" si="142"/>
        <v>0</v>
      </c>
      <c r="Q244" s="1127"/>
      <c r="R244" s="1127">
        <f t="shared" si="143"/>
        <v>0</v>
      </c>
      <c r="S244" s="1045"/>
      <c r="T244" s="1131">
        <f t="shared" si="144"/>
        <v>0</v>
      </c>
      <c r="U244" s="1045"/>
      <c r="V244" s="1045">
        <f t="shared" si="119"/>
        <v>0</v>
      </c>
      <c r="W244" s="1132">
        <f t="shared" si="148"/>
        <v>0</v>
      </c>
      <c r="X244" s="1045">
        <f t="shared" si="145"/>
        <v>0</v>
      </c>
      <c r="Y244" s="1132">
        <f t="shared" si="149"/>
        <v>24</v>
      </c>
      <c r="Z244" s="1045">
        <f t="shared" si="146"/>
        <v>14239.92</v>
      </c>
      <c r="AA244" s="890"/>
      <c r="AB244" s="890"/>
    </row>
    <row r="245" spans="1:28" s="718" customFormat="1" ht="50.25" customHeight="1">
      <c r="A245" s="1160"/>
      <c r="B245" s="1161" t="s">
        <v>3723</v>
      </c>
      <c r="C245" s="1237"/>
      <c r="D245" s="1147"/>
      <c r="E245" s="1148"/>
      <c r="F245" s="1127">
        <f t="shared" si="147"/>
        <v>0</v>
      </c>
      <c r="G245" s="1147"/>
      <c r="H245" s="1127">
        <f t="shared" si="138"/>
        <v>0</v>
      </c>
      <c r="I245" s="1147"/>
      <c r="J245" s="1127">
        <f t="shared" si="139"/>
        <v>0</v>
      </c>
      <c r="K245" s="1147"/>
      <c r="L245" s="1127">
        <f t="shared" si="140"/>
        <v>0</v>
      </c>
      <c r="M245" s="1147"/>
      <c r="N245" s="1127">
        <f t="shared" si="141"/>
        <v>0</v>
      </c>
      <c r="O245" s="1147"/>
      <c r="P245" s="1127">
        <f t="shared" si="142"/>
        <v>0</v>
      </c>
      <c r="Q245" s="1147"/>
      <c r="R245" s="1127">
        <f t="shared" si="143"/>
        <v>0</v>
      </c>
      <c r="S245" s="1028"/>
      <c r="T245" s="1131">
        <f t="shared" si="144"/>
        <v>0</v>
      </c>
      <c r="U245" s="1045"/>
      <c r="V245" s="1045">
        <f t="shared" si="119"/>
        <v>0</v>
      </c>
      <c r="W245" s="1132">
        <f t="shared" si="148"/>
        <v>0</v>
      </c>
      <c r="X245" s="1045">
        <f t="shared" si="145"/>
        <v>0</v>
      </c>
      <c r="Y245" s="1132">
        <f t="shared" si="149"/>
        <v>0</v>
      </c>
      <c r="Z245" s="1045">
        <f t="shared" si="146"/>
        <v>0</v>
      </c>
      <c r="AA245" s="891"/>
      <c r="AB245" s="891"/>
    </row>
    <row r="246" spans="1:28" s="718" customFormat="1" ht="55.5" customHeight="1">
      <c r="A246" s="1160"/>
      <c r="B246" s="1238" t="s">
        <v>4630</v>
      </c>
      <c r="C246" s="1237">
        <v>156</v>
      </c>
      <c r="D246" s="1147" t="s">
        <v>1341</v>
      </c>
      <c r="E246" s="1148">
        <v>1</v>
      </c>
      <c r="F246" s="1127">
        <f t="shared" si="147"/>
        <v>156</v>
      </c>
      <c r="G246" s="1147"/>
      <c r="H246" s="1127">
        <f t="shared" si="138"/>
        <v>0</v>
      </c>
      <c r="I246" s="1147"/>
      <c r="J246" s="1127">
        <f t="shared" si="139"/>
        <v>0</v>
      </c>
      <c r="K246" s="1147"/>
      <c r="L246" s="1127">
        <f t="shared" si="140"/>
        <v>0</v>
      </c>
      <c r="M246" s="1147"/>
      <c r="N246" s="1127">
        <f t="shared" si="141"/>
        <v>0</v>
      </c>
      <c r="O246" s="1147"/>
      <c r="P246" s="1127">
        <f t="shared" si="142"/>
        <v>0</v>
      </c>
      <c r="Q246" s="1147"/>
      <c r="R246" s="1127">
        <f t="shared" si="143"/>
        <v>0</v>
      </c>
      <c r="S246" s="1028"/>
      <c r="T246" s="1131">
        <f t="shared" si="144"/>
        <v>0</v>
      </c>
      <c r="U246" s="1045"/>
      <c r="V246" s="1045">
        <f t="shared" si="119"/>
        <v>0</v>
      </c>
      <c r="W246" s="1132">
        <f t="shared" si="148"/>
        <v>0</v>
      </c>
      <c r="X246" s="1045">
        <f t="shared" si="145"/>
        <v>0</v>
      </c>
      <c r="Y246" s="1132">
        <f t="shared" si="149"/>
        <v>1</v>
      </c>
      <c r="Z246" s="1045">
        <f t="shared" si="146"/>
        <v>156</v>
      </c>
      <c r="AA246" s="891"/>
      <c r="AB246" s="891"/>
    </row>
    <row r="247" spans="1:28" s="718" customFormat="1" ht="63.75" customHeight="1">
      <c r="A247" s="1239"/>
      <c r="B247" s="1240" t="s">
        <v>4633</v>
      </c>
      <c r="C247" s="1241">
        <v>497</v>
      </c>
      <c r="D247" s="1242" t="s">
        <v>1341</v>
      </c>
      <c r="E247" s="1243">
        <v>1</v>
      </c>
      <c r="F247" s="1127">
        <f t="shared" si="147"/>
        <v>497</v>
      </c>
      <c r="G247" s="1242"/>
      <c r="H247" s="1127">
        <f t="shared" si="138"/>
        <v>0</v>
      </c>
      <c r="I247" s="1242"/>
      <c r="J247" s="1127">
        <f t="shared" si="139"/>
        <v>0</v>
      </c>
      <c r="K247" s="1242"/>
      <c r="L247" s="1127">
        <f t="shared" si="140"/>
        <v>0</v>
      </c>
      <c r="M247" s="1242"/>
      <c r="N247" s="1127">
        <f t="shared" si="141"/>
        <v>0</v>
      </c>
      <c r="O247" s="1242"/>
      <c r="P247" s="1127">
        <f t="shared" si="142"/>
        <v>0</v>
      </c>
      <c r="Q247" s="1242"/>
      <c r="R247" s="1127">
        <f t="shared" si="143"/>
        <v>0</v>
      </c>
      <c r="S247" s="1143"/>
      <c r="T247" s="1131">
        <f t="shared" si="144"/>
        <v>0</v>
      </c>
      <c r="U247" s="1144"/>
      <c r="V247" s="1045">
        <f t="shared" si="119"/>
        <v>0</v>
      </c>
      <c r="W247" s="1132">
        <f t="shared" si="148"/>
        <v>0</v>
      </c>
      <c r="X247" s="1045">
        <f t="shared" si="145"/>
        <v>0</v>
      </c>
      <c r="Y247" s="1132">
        <f t="shared" si="149"/>
        <v>1</v>
      </c>
      <c r="Z247" s="1045">
        <f t="shared" si="146"/>
        <v>497</v>
      </c>
      <c r="AA247" s="891"/>
      <c r="AB247" s="891"/>
    </row>
    <row r="248" spans="1:28" s="718" customFormat="1" ht="55.5" customHeight="1">
      <c r="A248" s="1160"/>
      <c r="B248" s="1161" t="s">
        <v>3724</v>
      </c>
      <c r="C248" s="1237"/>
      <c r="D248" s="1147"/>
      <c r="E248" s="1148"/>
      <c r="F248" s="1127">
        <f t="shared" si="147"/>
        <v>0</v>
      </c>
      <c r="G248" s="1147"/>
      <c r="H248" s="1127">
        <f t="shared" si="138"/>
        <v>0</v>
      </c>
      <c r="I248" s="1147"/>
      <c r="J248" s="1127">
        <f t="shared" si="139"/>
        <v>0</v>
      </c>
      <c r="K248" s="1147"/>
      <c r="L248" s="1127">
        <f t="shared" si="140"/>
        <v>0</v>
      </c>
      <c r="M248" s="1147"/>
      <c r="N248" s="1127">
        <f t="shared" si="141"/>
        <v>0</v>
      </c>
      <c r="O248" s="1147"/>
      <c r="P248" s="1127">
        <f t="shared" si="142"/>
        <v>0</v>
      </c>
      <c r="Q248" s="1147"/>
      <c r="R248" s="1127">
        <f t="shared" si="143"/>
        <v>0</v>
      </c>
      <c r="S248" s="1028"/>
      <c r="T248" s="1131">
        <f t="shared" si="144"/>
        <v>0</v>
      </c>
      <c r="U248" s="1045"/>
      <c r="V248" s="1045">
        <f t="shared" si="119"/>
        <v>0</v>
      </c>
      <c r="W248" s="1132">
        <f t="shared" si="148"/>
        <v>0</v>
      </c>
      <c r="X248" s="1045">
        <f t="shared" si="145"/>
        <v>0</v>
      </c>
      <c r="Y248" s="1132">
        <f t="shared" si="149"/>
        <v>0</v>
      </c>
      <c r="Z248" s="1045">
        <f t="shared" si="146"/>
        <v>0</v>
      </c>
      <c r="AA248" s="891"/>
      <c r="AB248" s="891"/>
    </row>
    <row r="249" spans="1:28" s="718" customFormat="1" ht="55.5" customHeight="1">
      <c r="A249" s="1160"/>
      <c r="B249" s="1162" t="s">
        <v>4631</v>
      </c>
      <c r="C249" s="1237">
        <v>186</v>
      </c>
      <c r="D249" s="1147" t="s">
        <v>1341</v>
      </c>
      <c r="E249" s="1148">
        <v>1</v>
      </c>
      <c r="F249" s="1127">
        <f t="shared" si="147"/>
        <v>186</v>
      </c>
      <c r="G249" s="1147">
        <v>2</v>
      </c>
      <c r="H249" s="1127">
        <f t="shared" si="138"/>
        <v>372</v>
      </c>
      <c r="I249" s="1147"/>
      <c r="J249" s="1127">
        <f t="shared" si="139"/>
        <v>0</v>
      </c>
      <c r="K249" s="1147"/>
      <c r="L249" s="1127">
        <f t="shared" si="140"/>
        <v>0</v>
      </c>
      <c r="M249" s="1147"/>
      <c r="N249" s="1127">
        <f t="shared" si="141"/>
        <v>0</v>
      </c>
      <c r="O249" s="1147"/>
      <c r="P249" s="1127">
        <f t="shared" si="142"/>
        <v>0</v>
      </c>
      <c r="Q249" s="1147"/>
      <c r="R249" s="1127">
        <f t="shared" si="143"/>
        <v>0</v>
      </c>
      <c r="S249" s="1028"/>
      <c r="T249" s="1131">
        <f t="shared" si="144"/>
        <v>0</v>
      </c>
      <c r="U249" s="1045"/>
      <c r="V249" s="1045">
        <f t="shared" si="119"/>
        <v>0</v>
      </c>
      <c r="W249" s="1132">
        <f t="shared" si="148"/>
        <v>2</v>
      </c>
      <c r="X249" s="1045">
        <f t="shared" si="145"/>
        <v>372</v>
      </c>
      <c r="Y249" s="1132">
        <f t="shared" si="149"/>
        <v>3</v>
      </c>
      <c r="Z249" s="1045">
        <f t="shared" si="146"/>
        <v>558</v>
      </c>
      <c r="AA249" s="891"/>
      <c r="AB249" s="891"/>
    </row>
    <row r="250" spans="1:28" s="718" customFormat="1" ht="45">
      <c r="A250" s="1163"/>
      <c r="B250" s="1164" t="s">
        <v>4632</v>
      </c>
      <c r="C250" s="1241">
        <v>328</v>
      </c>
      <c r="D250" s="1244" t="s">
        <v>1341</v>
      </c>
      <c r="E250" s="1245">
        <v>1</v>
      </c>
      <c r="F250" s="1127">
        <f t="shared" si="147"/>
        <v>328</v>
      </c>
      <c r="G250" s="1244"/>
      <c r="H250" s="1127">
        <f t="shared" si="138"/>
        <v>0</v>
      </c>
      <c r="I250" s="1244"/>
      <c r="J250" s="1127">
        <f t="shared" si="139"/>
        <v>0</v>
      </c>
      <c r="K250" s="1244"/>
      <c r="L250" s="1127">
        <f t="shared" si="140"/>
        <v>0</v>
      </c>
      <c r="M250" s="1244"/>
      <c r="N250" s="1127">
        <f t="shared" si="141"/>
        <v>0</v>
      </c>
      <c r="O250" s="1244"/>
      <c r="P250" s="1127">
        <f t="shared" si="142"/>
        <v>0</v>
      </c>
      <c r="Q250" s="1244"/>
      <c r="R250" s="1127">
        <f t="shared" si="143"/>
        <v>0</v>
      </c>
      <c r="S250" s="1028"/>
      <c r="T250" s="1131">
        <f t="shared" si="144"/>
        <v>0</v>
      </c>
      <c r="U250" s="1045"/>
      <c r="V250" s="1045">
        <f t="shared" si="119"/>
        <v>0</v>
      </c>
      <c r="W250" s="1132">
        <f t="shared" si="148"/>
        <v>0</v>
      </c>
      <c r="X250" s="1045">
        <f t="shared" si="145"/>
        <v>0</v>
      </c>
      <c r="Y250" s="1132">
        <f t="shared" si="149"/>
        <v>1</v>
      </c>
      <c r="Z250" s="1045">
        <f t="shared" si="146"/>
        <v>328</v>
      </c>
      <c r="AA250" s="891"/>
      <c r="AB250" s="891"/>
    </row>
    <row r="251" spans="1:28" ht="67.5">
      <c r="A251" s="1124"/>
      <c r="B251" s="1125" t="s">
        <v>5666</v>
      </c>
      <c r="C251" s="1246">
        <f>Data!R1981</f>
        <v>3025.8</v>
      </c>
      <c r="D251" s="1127" t="s">
        <v>1341</v>
      </c>
      <c r="E251" s="1128">
        <f>detailed!H1639</f>
        <v>2</v>
      </c>
      <c r="F251" s="1127">
        <f t="shared" si="147"/>
        <v>6051.6</v>
      </c>
      <c r="G251" s="1127"/>
      <c r="H251" s="1127">
        <f t="shared" si="138"/>
        <v>0</v>
      </c>
      <c r="I251" s="1127"/>
      <c r="J251" s="1127">
        <f t="shared" si="139"/>
        <v>0</v>
      </c>
      <c r="K251" s="1127"/>
      <c r="L251" s="1127">
        <f t="shared" si="140"/>
        <v>0</v>
      </c>
      <c r="M251" s="1127"/>
      <c r="N251" s="1127">
        <f t="shared" si="141"/>
        <v>0</v>
      </c>
      <c r="O251" s="1127"/>
      <c r="P251" s="1127">
        <f t="shared" si="142"/>
        <v>0</v>
      </c>
      <c r="Q251" s="1127"/>
      <c r="R251" s="1127">
        <f t="shared" si="143"/>
        <v>0</v>
      </c>
      <c r="S251" s="1045"/>
      <c r="T251" s="1131">
        <f t="shared" si="144"/>
        <v>0</v>
      </c>
      <c r="U251" s="1045"/>
      <c r="V251" s="1045">
        <f t="shared" si="119"/>
        <v>0</v>
      </c>
      <c r="W251" s="1132">
        <f t="shared" si="148"/>
        <v>0</v>
      </c>
      <c r="X251" s="1045">
        <f t="shared" si="145"/>
        <v>0</v>
      </c>
      <c r="Y251" s="1132">
        <f t="shared" si="149"/>
        <v>2</v>
      </c>
      <c r="Z251" s="1045">
        <f t="shared" si="146"/>
        <v>6051.6</v>
      </c>
      <c r="AA251" s="890"/>
      <c r="AB251" s="890"/>
    </row>
    <row r="252" spans="1:28" ht="67.5">
      <c r="A252" s="1124"/>
      <c r="B252" s="1125" t="s">
        <v>5667</v>
      </c>
      <c r="C252" s="1246">
        <f>Data!R2002</f>
        <v>4676.12</v>
      </c>
      <c r="D252" s="1127" t="s">
        <v>1341</v>
      </c>
      <c r="E252" s="1128">
        <f>detailed!H1641</f>
        <v>4</v>
      </c>
      <c r="F252" s="1127">
        <f t="shared" si="147"/>
        <v>18704.48</v>
      </c>
      <c r="G252" s="1127"/>
      <c r="H252" s="1127">
        <f t="shared" si="138"/>
        <v>0</v>
      </c>
      <c r="I252" s="1127"/>
      <c r="J252" s="1127">
        <f t="shared" si="139"/>
        <v>0</v>
      </c>
      <c r="K252" s="1127"/>
      <c r="L252" s="1127">
        <f t="shared" si="140"/>
        <v>0</v>
      </c>
      <c r="M252" s="1127"/>
      <c r="N252" s="1127">
        <f t="shared" si="141"/>
        <v>0</v>
      </c>
      <c r="O252" s="1127"/>
      <c r="P252" s="1127">
        <f t="shared" si="142"/>
        <v>0</v>
      </c>
      <c r="Q252" s="1127"/>
      <c r="R252" s="1127">
        <f t="shared" si="143"/>
        <v>0</v>
      </c>
      <c r="S252" s="1045"/>
      <c r="T252" s="1131">
        <f t="shared" si="144"/>
        <v>0</v>
      </c>
      <c r="U252" s="1045"/>
      <c r="V252" s="1045">
        <f t="shared" si="119"/>
        <v>0</v>
      </c>
      <c r="W252" s="1132">
        <f t="shared" si="148"/>
        <v>0</v>
      </c>
      <c r="X252" s="1045">
        <f t="shared" si="145"/>
        <v>0</v>
      </c>
      <c r="Y252" s="1132">
        <f t="shared" si="149"/>
        <v>4</v>
      </c>
      <c r="Z252" s="1045">
        <f t="shared" si="146"/>
        <v>18704.48</v>
      </c>
      <c r="AA252" s="890"/>
      <c r="AB252" s="890"/>
    </row>
    <row r="253" spans="1:28" ht="45">
      <c r="A253" s="1124"/>
      <c r="B253" s="1125" t="s">
        <v>5668</v>
      </c>
      <c r="C253" s="1236">
        <f>Data!R2021</f>
        <v>6501.3</v>
      </c>
      <c r="D253" s="1127" t="s">
        <v>1341</v>
      </c>
      <c r="E253" s="1128">
        <f>detailed!H1644</f>
        <v>5</v>
      </c>
      <c r="F253" s="1127">
        <f t="shared" si="147"/>
        <v>32506.5</v>
      </c>
      <c r="G253" s="1127"/>
      <c r="H253" s="1127">
        <f t="shared" si="138"/>
        <v>0</v>
      </c>
      <c r="I253" s="1127"/>
      <c r="J253" s="1127">
        <f t="shared" si="139"/>
        <v>0</v>
      </c>
      <c r="K253" s="1127"/>
      <c r="L253" s="1127">
        <f t="shared" si="140"/>
        <v>0</v>
      </c>
      <c r="M253" s="1127"/>
      <c r="N253" s="1127">
        <f t="shared" si="141"/>
        <v>0</v>
      </c>
      <c r="O253" s="1127"/>
      <c r="P253" s="1127">
        <f t="shared" si="142"/>
        <v>0</v>
      </c>
      <c r="Q253" s="1127"/>
      <c r="R253" s="1127">
        <f t="shared" si="143"/>
        <v>0</v>
      </c>
      <c r="S253" s="1045"/>
      <c r="T253" s="1131">
        <f t="shared" si="144"/>
        <v>0</v>
      </c>
      <c r="U253" s="1045"/>
      <c r="V253" s="1045">
        <f t="shared" si="119"/>
        <v>0</v>
      </c>
      <c r="W253" s="1132">
        <f t="shared" si="148"/>
        <v>0</v>
      </c>
      <c r="X253" s="1045">
        <f t="shared" si="145"/>
        <v>0</v>
      </c>
      <c r="Y253" s="1132">
        <f t="shared" si="149"/>
        <v>5</v>
      </c>
      <c r="Z253" s="1045">
        <f t="shared" si="146"/>
        <v>32506.5</v>
      </c>
      <c r="AA253" s="890"/>
      <c r="AB253" s="890"/>
    </row>
    <row r="254" spans="1:28" s="486" customFormat="1" ht="45">
      <c r="A254" s="1209"/>
      <c r="B254" s="1125" t="s">
        <v>4946</v>
      </c>
      <c r="C254" s="1247">
        <v>134</v>
      </c>
      <c r="D254" s="1138" t="s">
        <v>1341</v>
      </c>
      <c r="E254" s="1139">
        <f>detailed!H1893</f>
        <v>24</v>
      </c>
      <c r="F254" s="1127">
        <f t="shared" si="147"/>
        <v>3216</v>
      </c>
      <c r="G254" s="1138"/>
      <c r="H254" s="1127">
        <f t="shared" ref="H254:H311" si="150">G254*C254</f>
        <v>0</v>
      </c>
      <c r="I254" s="1138"/>
      <c r="J254" s="1127">
        <f t="shared" ref="J254:J311" si="151">I254*C254</f>
        <v>0</v>
      </c>
      <c r="K254" s="1138"/>
      <c r="L254" s="1127">
        <f t="shared" ref="L254:L311" si="152">K254*C254</f>
        <v>0</v>
      </c>
      <c r="M254" s="1138"/>
      <c r="N254" s="1127">
        <f t="shared" ref="N254:N311" si="153">M254*C254</f>
        <v>0</v>
      </c>
      <c r="O254" s="1138"/>
      <c r="P254" s="1127">
        <f t="shared" ref="P254:P311" si="154">O254*C254</f>
        <v>0</v>
      </c>
      <c r="Q254" s="1138"/>
      <c r="R254" s="1127">
        <f t="shared" ref="R254:R311" si="155">Q254*C254</f>
        <v>0</v>
      </c>
      <c r="S254" s="1045"/>
      <c r="T254" s="1131">
        <f t="shared" ref="T254:T300" si="156">S254*C254</f>
        <v>0</v>
      </c>
      <c r="U254" s="1045"/>
      <c r="V254" s="1045">
        <f t="shared" si="119"/>
        <v>0</v>
      </c>
      <c r="W254" s="1132">
        <f t="shared" si="148"/>
        <v>0</v>
      </c>
      <c r="X254" s="1045">
        <f t="shared" ref="X254:X311" si="157">W254*C254</f>
        <v>0</v>
      </c>
      <c r="Y254" s="1132">
        <f t="shared" si="149"/>
        <v>24</v>
      </c>
      <c r="Z254" s="1045">
        <f t="shared" ref="Z254:Z311" si="158">Y254*C254</f>
        <v>3216</v>
      </c>
      <c r="AA254" s="892"/>
      <c r="AB254" s="890"/>
    </row>
    <row r="255" spans="1:28" s="486" customFormat="1" ht="54.95" customHeight="1">
      <c r="A255" s="1209"/>
      <c r="B255" s="1125" t="s">
        <v>4947</v>
      </c>
      <c r="C255" s="1125">
        <v>642</v>
      </c>
      <c r="D255" s="1138" t="s">
        <v>1341</v>
      </c>
      <c r="E255" s="1139">
        <f>detailed!H1889</f>
        <v>132</v>
      </c>
      <c r="F255" s="1127">
        <f t="shared" si="147"/>
        <v>84744</v>
      </c>
      <c r="G255" s="1138"/>
      <c r="H255" s="1127">
        <f t="shared" si="150"/>
        <v>0</v>
      </c>
      <c r="I255" s="1138"/>
      <c r="J255" s="1127">
        <f t="shared" si="151"/>
        <v>0</v>
      </c>
      <c r="K255" s="1138"/>
      <c r="L255" s="1127">
        <f t="shared" si="152"/>
        <v>0</v>
      </c>
      <c r="M255" s="1138"/>
      <c r="N255" s="1127">
        <f t="shared" si="153"/>
        <v>0</v>
      </c>
      <c r="O255" s="1138"/>
      <c r="P255" s="1127">
        <f t="shared" si="154"/>
        <v>0</v>
      </c>
      <c r="Q255" s="1138"/>
      <c r="R255" s="1127">
        <f t="shared" si="155"/>
        <v>0</v>
      </c>
      <c r="S255" s="1045"/>
      <c r="T255" s="1131">
        <f t="shared" si="156"/>
        <v>0</v>
      </c>
      <c r="U255" s="1045"/>
      <c r="V255" s="1045">
        <f t="shared" si="119"/>
        <v>0</v>
      </c>
      <c r="W255" s="1132">
        <f t="shared" si="148"/>
        <v>0</v>
      </c>
      <c r="X255" s="1045">
        <f t="shared" si="157"/>
        <v>0</v>
      </c>
      <c r="Y255" s="1132">
        <f t="shared" si="149"/>
        <v>132</v>
      </c>
      <c r="Z255" s="1045">
        <f t="shared" si="158"/>
        <v>84744</v>
      </c>
      <c r="AA255" s="892"/>
      <c r="AB255" s="890"/>
    </row>
    <row r="256" spans="1:28" s="486" customFormat="1" ht="65.099999999999994" customHeight="1">
      <c r="A256" s="1209"/>
      <c r="B256" s="1125" t="s">
        <v>4607</v>
      </c>
      <c r="C256" s="1125">
        <v>462</v>
      </c>
      <c r="D256" s="1127" t="s">
        <v>1341</v>
      </c>
      <c r="E256" s="1128">
        <f>detailed!H1896</f>
        <v>6</v>
      </c>
      <c r="F256" s="1127">
        <f t="shared" si="147"/>
        <v>2772</v>
      </c>
      <c r="G256" s="1127"/>
      <c r="H256" s="1127">
        <f t="shared" si="150"/>
        <v>0</v>
      </c>
      <c r="I256" s="1127"/>
      <c r="J256" s="1127">
        <f t="shared" si="151"/>
        <v>0</v>
      </c>
      <c r="K256" s="1127"/>
      <c r="L256" s="1127">
        <f t="shared" si="152"/>
        <v>0</v>
      </c>
      <c r="M256" s="1127"/>
      <c r="N256" s="1127">
        <f t="shared" si="153"/>
        <v>0</v>
      </c>
      <c r="O256" s="1127"/>
      <c r="P256" s="1127">
        <f t="shared" si="154"/>
        <v>0</v>
      </c>
      <c r="Q256" s="1127"/>
      <c r="R256" s="1127">
        <f t="shared" si="155"/>
        <v>0</v>
      </c>
      <c r="S256" s="1045"/>
      <c r="T256" s="1131">
        <f t="shared" si="156"/>
        <v>0</v>
      </c>
      <c r="U256" s="1045"/>
      <c r="V256" s="1045">
        <f t="shared" si="119"/>
        <v>0</v>
      </c>
      <c r="W256" s="1132">
        <f t="shared" si="148"/>
        <v>0</v>
      </c>
      <c r="X256" s="1045">
        <f t="shared" si="157"/>
        <v>0</v>
      </c>
      <c r="Y256" s="1132">
        <f t="shared" si="149"/>
        <v>6</v>
      </c>
      <c r="Z256" s="1045">
        <f t="shared" si="158"/>
        <v>2772</v>
      </c>
      <c r="AA256" s="892"/>
      <c r="AB256" s="890"/>
    </row>
    <row r="257" spans="1:29" s="486" customFormat="1" ht="54.95" customHeight="1">
      <c r="A257" s="1209"/>
      <c r="B257" s="1125" t="s">
        <v>4634</v>
      </c>
      <c r="C257" s="1125">
        <v>2991</v>
      </c>
      <c r="D257" s="1127" t="s">
        <v>1341</v>
      </c>
      <c r="E257" s="1128">
        <f>detailed!H1972</f>
        <v>10</v>
      </c>
      <c r="F257" s="1127">
        <f t="shared" si="147"/>
        <v>29910</v>
      </c>
      <c r="G257" s="1127"/>
      <c r="H257" s="1127">
        <f t="shared" si="150"/>
        <v>0</v>
      </c>
      <c r="I257" s="1127"/>
      <c r="J257" s="1127">
        <f t="shared" si="151"/>
        <v>0</v>
      </c>
      <c r="K257" s="1127"/>
      <c r="L257" s="1127">
        <f t="shared" si="152"/>
        <v>0</v>
      </c>
      <c r="M257" s="1127"/>
      <c r="N257" s="1127">
        <f t="shared" si="153"/>
        <v>0</v>
      </c>
      <c r="O257" s="1127"/>
      <c r="P257" s="1127">
        <f t="shared" si="154"/>
        <v>0</v>
      </c>
      <c r="Q257" s="1127"/>
      <c r="R257" s="1127">
        <f t="shared" si="155"/>
        <v>0</v>
      </c>
      <c r="S257" s="1045"/>
      <c r="T257" s="1131">
        <f t="shared" si="156"/>
        <v>0</v>
      </c>
      <c r="U257" s="1045"/>
      <c r="V257" s="1045">
        <f t="shared" si="119"/>
        <v>0</v>
      </c>
      <c r="W257" s="1132">
        <f t="shared" si="148"/>
        <v>0</v>
      </c>
      <c r="X257" s="1045">
        <f t="shared" si="157"/>
        <v>0</v>
      </c>
      <c r="Y257" s="1132">
        <f t="shared" si="149"/>
        <v>10</v>
      </c>
      <c r="Z257" s="1045">
        <f t="shared" si="158"/>
        <v>29910</v>
      </c>
      <c r="AA257" s="892"/>
      <c r="AB257" s="890"/>
    </row>
    <row r="258" spans="1:29" s="486" customFormat="1">
      <c r="A258" s="1209"/>
      <c r="B258" s="1125" t="s">
        <v>5669</v>
      </c>
      <c r="C258" s="1125">
        <v>170</v>
      </c>
      <c r="D258" s="1127" t="str">
        <f>D257</f>
        <v>Each</v>
      </c>
      <c r="E258" s="1128">
        <f>detailed!H1893</f>
        <v>24</v>
      </c>
      <c r="F258" s="1127">
        <f t="shared" si="147"/>
        <v>4080</v>
      </c>
      <c r="G258" s="1127"/>
      <c r="H258" s="1127">
        <f t="shared" si="150"/>
        <v>0</v>
      </c>
      <c r="I258" s="1127"/>
      <c r="J258" s="1127">
        <f t="shared" si="151"/>
        <v>0</v>
      </c>
      <c r="K258" s="1127"/>
      <c r="L258" s="1127">
        <f t="shared" si="152"/>
        <v>0</v>
      </c>
      <c r="M258" s="1127"/>
      <c r="N258" s="1127">
        <f t="shared" si="153"/>
        <v>0</v>
      </c>
      <c r="O258" s="1127"/>
      <c r="P258" s="1127">
        <f t="shared" si="154"/>
        <v>0</v>
      </c>
      <c r="Q258" s="1127"/>
      <c r="R258" s="1127">
        <f t="shared" si="155"/>
        <v>0</v>
      </c>
      <c r="S258" s="1045"/>
      <c r="T258" s="1131">
        <f t="shared" si="156"/>
        <v>0</v>
      </c>
      <c r="U258" s="1045"/>
      <c r="V258" s="1045">
        <f t="shared" si="119"/>
        <v>0</v>
      </c>
      <c r="W258" s="1132">
        <f t="shared" si="148"/>
        <v>0</v>
      </c>
      <c r="X258" s="1045">
        <f t="shared" si="157"/>
        <v>0</v>
      </c>
      <c r="Y258" s="1132">
        <f t="shared" si="149"/>
        <v>24</v>
      </c>
      <c r="Z258" s="1045">
        <f t="shared" si="158"/>
        <v>4080</v>
      </c>
      <c r="AA258" s="892"/>
      <c r="AB258" s="890"/>
    </row>
    <row r="259" spans="1:29" s="486" customFormat="1" ht="45">
      <c r="A259" s="1209"/>
      <c r="B259" s="1162" t="s">
        <v>4271</v>
      </c>
      <c r="C259" s="1248">
        <v>5350</v>
      </c>
      <c r="D259" s="1157" t="s">
        <v>2199</v>
      </c>
      <c r="E259" s="1158"/>
      <c r="F259" s="1127">
        <f t="shared" si="147"/>
        <v>0</v>
      </c>
      <c r="G259" s="1157"/>
      <c r="H259" s="1127">
        <f t="shared" si="150"/>
        <v>0</v>
      </c>
      <c r="I259" s="1157"/>
      <c r="J259" s="1127">
        <f t="shared" si="151"/>
        <v>0</v>
      </c>
      <c r="K259" s="1157"/>
      <c r="L259" s="1127">
        <f t="shared" si="152"/>
        <v>0</v>
      </c>
      <c r="M259" s="1157"/>
      <c r="N259" s="1127">
        <f t="shared" si="153"/>
        <v>0</v>
      </c>
      <c r="O259" s="1157"/>
      <c r="P259" s="1127">
        <f t="shared" si="154"/>
        <v>0</v>
      </c>
      <c r="Q259" s="1157"/>
      <c r="R259" s="1127">
        <f t="shared" si="155"/>
        <v>0</v>
      </c>
      <c r="S259" s="1028"/>
      <c r="T259" s="1131">
        <f t="shared" si="156"/>
        <v>0</v>
      </c>
      <c r="U259" s="1045"/>
      <c r="V259" s="1045">
        <f t="shared" si="119"/>
        <v>0</v>
      </c>
      <c r="W259" s="1132">
        <f t="shared" si="148"/>
        <v>0</v>
      </c>
      <c r="X259" s="1045">
        <f t="shared" si="157"/>
        <v>0</v>
      </c>
      <c r="Y259" s="1132">
        <f t="shared" si="149"/>
        <v>0</v>
      </c>
      <c r="Z259" s="1045">
        <f t="shared" si="158"/>
        <v>0</v>
      </c>
      <c r="AA259" s="892"/>
      <c r="AB259" s="891"/>
    </row>
    <row r="260" spans="1:29" s="486" customFormat="1" ht="57" customHeight="1">
      <c r="A260" s="1249"/>
      <c r="B260" s="1140" t="s">
        <v>4269</v>
      </c>
      <c r="C260" s="1140">
        <f>Data!K3741</f>
        <v>84.17</v>
      </c>
      <c r="D260" s="1141" t="s">
        <v>2199</v>
      </c>
      <c r="E260" s="1142">
        <f>detailed!G1503</f>
        <v>2472.9</v>
      </c>
      <c r="F260" s="1127">
        <f t="shared" si="147"/>
        <v>208143.99</v>
      </c>
      <c r="G260" s="1141"/>
      <c r="H260" s="1127">
        <f t="shared" si="150"/>
        <v>0</v>
      </c>
      <c r="I260" s="1141"/>
      <c r="J260" s="1127">
        <f t="shared" si="151"/>
        <v>0</v>
      </c>
      <c r="K260" s="1141"/>
      <c r="L260" s="1127">
        <f t="shared" si="152"/>
        <v>0</v>
      </c>
      <c r="M260" s="1141"/>
      <c r="N260" s="1127">
        <f t="shared" si="153"/>
        <v>0</v>
      </c>
      <c r="O260" s="1141"/>
      <c r="P260" s="1127">
        <f t="shared" si="154"/>
        <v>0</v>
      </c>
      <c r="Q260" s="1141"/>
      <c r="R260" s="1127">
        <f t="shared" si="155"/>
        <v>0</v>
      </c>
      <c r="S260" s="1143"/>
      <c r="T260" s="1131">
        <f t="shared" si="156"/>
        <v>0</v>
      </c>
      <c r="U260" s="1144"/>
      <c r="V260" s="1045">
        <f t="shared" si="119"/>
        <v>0</v>
      </c>
      <c r="W260" s="1132">
        <f t="shared" si="148"/>
        <v>0</v>
      </c>
      <c r="X260" s="1045">
        <f t="shared" si="157"/>
        <v>0</v>
      </c>
      <c r="Y260" s="1132">
        <f t="shared" si="149"/>
        <v>2472.9</v>
      </c>
      <c r="Z260" s="1045">
        <f t="shared" si="158"/>
        <v>208143.99</v>
      </c>
      <c r="AA260" s="892"/>
      <c r="AB260" s="891"/>
    </row>
    <row r="261" spans="1:29" s="486" customFormat="1" ht="57" customHeight="1">
      <c r="A261" s="1249"/>
      <c r="B261" s="1140" t="s">
        <v>5546</v>
      </c>
      <c r="C261" s="1125">
        <v>55400</v>
      </c>
      <c r="D261" s="1127" t="s">
        <v>1341</v>
      </c>
      <c r="E261" s="1142">
        <f>detailed!H1995</f>
        <v>14</v>
      </c>
      <c r="F261" s="1127">
        <f t="shared" si="147"/>
        <v>775600</v>
      </c>
      <c r="G261" s="1141"/>
      <c r="H261" s="1127">
        <f t="shared" si="150"/>
        <v>0</v>
      </c>
      <c r="I261" s="1141"/>
      <c r="J261" s="1127">
        <f t="shared" si="151"/>
        <v>0</v>
      </c>
      <c r="K261" s="1141"/>
      <c r="L261" s="1127">
        <f t="shared" si="152"/>
        <v>0</v>
      </c>
      <c r="M261" s="1141"/>
      <c r="N261" s="1127">
        <f t="shared" si="153"/>
        <v>0</v>
      </c>
      <c r="O261" s="1141"/>
      <c r="P261" s="1127">
        <f t="shared" si="154"/>
        <v>0</v>
      </c>
      <c r="Q261" s="1250"/>
      <c r="R261" s="1127">
        <f t="shared" si="155"/>
        <v>0</v>
      </c>
      <c r="S261" s="1143"/>
      <c r="T261" s="1131">
        <f t="shared" si="156"/>
        <v>0</v>
      </c>
      <c r="U261" s="1144"/>
      <c r="V261" s="1045"/>
      <c r="W261" s="1132">
        <f t="shared" si="148"/>
        <v>0</v>
      </c>
      <c r="X261" s="1045">
        <f t="shared" si="157"/>
        <v>0</v>
      </c>
      <c r="Y261" s="1132">
        <f t="shared" si="149"/>
        <v>14</v>
      </c>
      <c r="Z261" s="1045">
        <f t="shared" si="158"/>
        <v>775600</v>
      </c>
      <c r="AA261" s="892"/>
      <c r="AB261" s="891"/>
    </row>
    <row r="262" spans="1:29" s="486" customFormat="1" ht="57" customHeight="1">
      <c r="A262" s="1249"/>
      <c r="B262" s="1140" t="s">
        <v>5547</v>
      </c>
      <c r="C262" s="1125">
        <v>4855</v>
      </c>
      <c r="D262" s="1127" t="s">
        <v>1341</v>
      </c>
      <c r="E262" s="1142">
        <f>detailed!H2000</f>
        <v>14</v>
      </c>
      <c r="F262" s="1127">
        <f t="shared" si="147"/>
        <v>67970</v>
      </c>
      <c r="G262" s="1141"/>
      <c r="H262" s="1127">
        <f t="shared" si="150"/>
        <v>0</v>
      </c>
      <c r="I262" s="1141"/>
      <c r="J262" s="1127">
        <f t="shared" si="151"/>
        <v>0</v>
      </c>
      <c r="K262" s="1141"/>
      <c r="L262" s="1127">
        <f t="shared" si="152"/>
        <v>0</v>
      </c>
      <c r="M262" s="1141"/>
      <c r="N262" s="1127">
        <f t="shared" si="153"/>
        <v>0</v>
      </c>
      <c r="O262" s="1141"/>
      <c r="P262" s="1127">
        <f t="shared" si="154"/>
        <v>0</v>
      </c>
      <c r="Q262" s="1250"/>
      <c r="R262" s="1127">
        <f t="shared" si="155"/>
        <v>0</v>
      </c>
      <c r="S262" s="1143"/>
      <c r="T262" s="1131">
        <f t="shared" si="156"/>
        <v>0</v>
      </c>
      <c r="U262" s="1144"/>
      <c r="V262" s="1045"/>
      <c r="W262" s="1132">
        <f t="shared" si="148"/>
        <v>0</v>
      </c>
      <c r="X262" s="1045">
        <f t="shared" si="157"/>
        <v>0</v>
      </c>
      <c r="Y262" s="1132">
        <f t="shared" si="149"/>
        <v>14</v>
      </c>
      <c r="Z262" s="1045">
        <f t="shared" si="158"/>
        <v>67970</v>
      </c>
      <c r="AA262" s="892"/>
      <c r="AB262" s="891"/>
    </row>
    <row r="263" spans="1:29" s="486" customFormat="1" ht="57" customHeight="1">
      <c r="A263" s="1249"/>
      <c r="B263" s="1140" t="s">
        <v>5548</v>
      </c>
      <c r="C263" s="1125">
        <v>1070</v>
      </c>
      <c r="D263" s="1127" t="s">
        <v>1341</v>
      </c>
      <c r="E263" s="1142">
        <f>detailed!H2005</f>
        <v>14</v>
      </c>
      <c r="F263" s="1127">
        <f t="shared" si="147"/>
        <v>14980</v>
      </c>
      <c r="G263" s="1141"/>
      <c r="H263" s="1127">
        <f t="shared" si="150"/>
        <v>0</v>
      </c>
      <c r="I263" s="1141"/>
      <c r="J263" s="1127">
        <f t="shared" si="151"/>
        <v>0</v>
      </c>
      <c r="K263" s="1141"/>
      <c r="L263" s="1127">
        <f t="shared" si="152"/>
        <v>0</v>
      </c>
      <c r="M263" s="1141"/>
      <c r="N263" s="1127">
        <f t="shared" si="153"/>
        <v>0</v>
      </c>
      <c r="O263" s="1141"/>
      <c r="P263" s="1127">
        <f t="shared" si="154"/>
        <v>0</v>
      </c>
      <c r="Q263" s="1250"/>
      <c r="R263" s="1127">
        <f t="shared" si="155"/>
        <v>0</v>
      </c>
      <c r="S263" s="1143"/>
      <c r="T263" s="1131">
        <f t="shared" si="156"/>
        <v>0</v>
      </c>
      <c r="U263" s="1144"/>
      <c r="V263" s="1045"/>
      <c r="W263" s="1132">
        <f t="shared" si="148"/>
        <v>0</v>
      </c>
      <c r="X263" s="1045">
        <f t="shared" si="157"/>
        <v>0</v>
      </c>
      <c r="Y263" s="1132">
        <f t="shared" si="149"/>
        <v>14</v>
      </c>
      <c r="Z263" s="1045">
        <f t="shared" si="158"/>
        <v>14980</v>
      </c>
      <c r="AA263" s="892"/>
      <c r="AB263" s="891"/>
    </row>
    <row r="264" spans="1:29" s="486" customFormat="1" ht="57" customHeight="1">
      <c r="A264" s="1249"/>
      <c r="B264" s="1140" t="s">
        <v>5549</v>
      </c>
      <c r="C264" s="1125">
        <v>1020</v>
      </c>
      <c r="D264" s="1127" t="s">
        <v>794</v>
      </c>
      <c r="E264" s="1142">
        <f>detailed!H2010</f>
        <v>70</v>
      </c>
      <c r="F264" s="1127">
        <f t="shared" si="147"/>
        <v>71400</v>
      </c>
      <c r="G264" s="1141"/>
      <c r="H264" s="1127">
        <f t="shared" si="150"/>
        <v>0</v>
      </c>
      <c r="I264" s="1141"/>
      <c r="J264" s="1127">
        <f t="shared" si="151"/>
        <v>0</v>
      </c>
      <c r="K264" s="1141"/>
      <c r="L264" s="1127">
        <f t="shared" si="152"/>
        <v>0</v>
      </c>
      <c r="M264" s="1141"/>
      <c r="N264" s="1127">
        <f t="shared" si="153"/>
        <v>0</v>
      </c>
      <c r="O264" s="1141"/>
      <c r="P264" s="1127">
        <f t="shared" si="154"/>
        <v>0</v>
      </c>
      <c r="Q264" s="1250"/>
      <c r="R264" s="1127">
        <f t="shared" si="155"/>
        <v>0</v>
      </c>
      <c r="S264" s="1143"/>
      <c r="T264" s="1131">
        <f t="shared" si="156"/>
        <v>0</v>
      </c>
      <c r="U264" s="1144"/>
      <c r="V264" s="1045"/>
      <c r="W264" s="1132">
        <f t="shared" si="148"/>
        <v>0</v>
      </c>
      <c r="X264" s="1045">
        <f t="shared" si="157"/>
        <v>0</v>
      </c>
      <c r="Y264" s="1132">
        <f t="shared" si="149"/>
        <v>70</v>
      </c>
      <c r="Z264" s="1045">
        <f t="shared" si="158"/>
        <v>71400</v>
      </c>
      <c r="AA264" s="892"/>
      <c r="AB264" s="891"/>
    </row>
    <row r="265" spans="1:29" s="486" customFormat="1" ht="57" customHeight="1">
      <c r="A265" s="1249"/>
      <c r="B265" s="1140" t="s">
        <v>5550</v>
      </c>
      <c r="C265" s="1125">
        <v>63</v>
      </c>
      <c r="D265" s="1127" t="s">
        <v>794</v>
      </c>
      <c r="E265" s="1142">
        <f>detailed!H2016</f>
        <v>136</v>
      </c>
      <c r="F265" s="1127">
        <f t="shared" si="147"/>
        <v>8568</v>
      </c>
      <c r="G265" s="1141"/>
      <c r="H265" s="1127">
        <f t="shared" si="150"/>
        <v>0</v>
      </c>
      <c r="I265" s="1141"/>
      <c r="J265" s="1127">
        <f t="shared" si="151"/>
        <v>0</v>
      </c>
      <c r="K265" s="1141"/>
      <c r="L265" s="1127">
        <f t="shared" si="152"/>
        <v>0</v>
      </c>
      <c r="M265" s="1141"/>
      <c r="N265" s="1127">
        <f t="shared" si="153"/>
        <v>0</v>
      </c>
      <c r="O265" s="1141"/>
      <c r="P265" s="1127">
        <f t="shared" si="154"/>
        <v>0</v>
      </c>
      <c r="Q265" s="1250"/>
      <c r="R265" s="1127">
        <f t="shared" si="155"/>
        <v>0</v>
      </c>
      <c r="S265" s="1143"/>
      <c r="T265" s="1131">
        <f t="shared" si="156"/>
        <v>0</v>
      </c>
      <c r="U265" s="1144"/>
      <c r="V265" s="1045"/>
      <c r="W265" s="1132">
        <f t="shared" si="148"/>
        <v>0</v>
      </c>
      <c r="X265" s="1045">
        <f t="shared" si="157"/>
        <v>0</v>
      </c>
      <c r="Y265" s="1132">
        <f t="shared" si="149"/>
        <v>136</v>
      </c>
      <c r="Z265" s="1045">
        <f t="shared" si="158"/>
        <v>8568</v>
      </c>
      <c r="AA265" s="892"/>
      <c r="AB265" s="891"/>
    </row>
    <row r="266" spans="1:29" s="486" customFormat="1" ht="57" customHeight="1">
      <c r="A266" s="1249"/>
      <c r="B266" s="1140" t="s">
        <v>5686</v>
      </c>
      <c r="C266" s="1140">
        <v>700</v>
      </c>
      <c r="D266" s="1141" t="s">
        <v>5687</v>
      </c>
      <c r="E266" s="1142">
        <f>detailed!G2033</f>
        <v>62.9</v>
      </c>
      <c r="F266" s="1127">
        <f t="shared" si="147"/>
        <v>44030</v>
      </c>
      <c r="G266" s="1141"/>
      <c r="H266" s="1127">
        <f t="shared" si="150"/>
        <v>0</v>
      </c>
      <c r="I266" s="1141"/>
      <c r="J266" s="1127">
        <f t="shared" si="151"/>
        <v>0</v>
      </c>
      <c r="K266" s="1141"/>
      <c r="L266" s="1127">
        <f t="shared" si="152"/>
        <v>0</v>
      </c>
      <c r="M266" s="1141"/>
      <c r="N266" s="1127">
        <f t="shared" si="153"/>
        <v>0</v>
      </c>
      <c r="O266" s="1141"/>
      <c r="P266" s="1127">
        <f t="shared" si="154"/>
        <v>0</v>
      </c>
      <c r="Q266" s="1250"/>
      <c r="R266" s="1127">
        <f t="shared" si="155"/>
        <v>0</v>
      </c>
      <c r="S266" s="1143"/>
      <c r="T266" s="1131">
        <f t="shared" si="156"/>
        <v>0</v>
      </c>
      <c r="U266" s="1144"/>
      <c r="V266" s="1045"/>
      <c r="W266" s="1132">
        <f t="shared" si="148"/>
        <v>0</v>
      </c>
      <c r="X266" s="1045">
        <f t="shared" si="157"/>
        <v>0</v>
      </c>
      <c r="Y266" s="1132">
        <f t="shared" si="149"/>
        <v>62.9</v>
      </c>
      <c r="Z266" s="1045">
        <f t="shared" si="158"/>
        <v>44030</v>
      </c>
      <c r="AA266" s="892"/>
      <c r="AB266" s="891"/>
    </row>
    <row r="267" spans="1:29" s="486" customFormat="1" ht="292.5">
      <c r="A267" s="1249"/>
      <c r="B267" s="1140" t="s">
        <v>5688</v>
      </c>
      <c r="C267" s="1431">
        <v>5482</v>
      </c>
      <c r="D267" s="1432" t="s">
        <v>5689</v>
      </c>
      <c r="E267" s="1433">
        <f>detailed!G2038</f>
        <v>68.7</v>
      </c>
      <c r="F267" s="1401">
        <f t="shared" si="147"/>
        <v>376613.4</v>
      </c>
      <c r="G267" s="1432"/>
      <c r="H267" s="1401">
        <f t="shared" si="150"/>
        <v>0</v>
      </c>
      <c r="I267" s="1432"/>
      <c r="J267" s="1401">
        <f t="shared" si="151"/>
        <v>0</v>
      </c>
      <c r="K267" s="1432"/>
      <c r="L267" s="1401">
        <f t="shared" si="152"/>
        <v>0</v>
      </c>
      <c r="M267" s="1432"/>
      <c r="N267" s="1401">
        <f t="shared" si="153"/>
        <v>0</v>
      </c>
      <c r="O267" s="1432"/>
      <c r="P267" s="1401">
        <f t="shared" si="154"/>
        <v>0</v>
      </c>
      <c r="Q267" s="1434"/>
      <c r="R267" s="1401">
        <f t="shared" si="155"/>
        <v>0</v>
      </c>
      <c r="S267" s="1435"/>
      <c r="T267" s="1436">
        <f t="shared" si="156"/>
        <v>0</v>
      </c>
      <c r="U267" s="1437"/>
      <c r="V267" s="1438"/>
      <c r="W267" s="1439">
        <f t="shared" si="148"/>
        <v>0</v>
      </c>
      <c r="X267" s="1438">
        <f t="shared" si="157"/>
        <v>0</v>
      </c>
      <c r="Y267" s="1439">
        <f t="shared" si="149"/>
        <v>68.7</v>
      </c>
      <c r="Z267" s="1438">
        <f t="shared" si="158"/>
        <v>376613.4</v>
      </c>
      <c r="AA267" s="892"/>
      <c r="AB267" s="891"/>
    </row>
    <row r="268" spans="1:29" s="486" customFormat="1" ht="67.5">
      <c r="A268" s="1249"/>
      <c r="B268" s="1428" t="s">
        <v>6070</v>
      </c>
      <c r="C268" s="1140">
        <v>1825000</v>
      </c>
      <c r="D268" s="1141" t="s">
        <v>6071</v>
      </c>
      <c r="E268" s="1142">
        <f>detailed!H2041</f>
        <v>1</v>
      </c>
      <c r="F268" s="1127">
        <f t="shared" si="147"/>
        <v>1825000</v>
      </c>
      <c r="G268" s="1141"/>
      <c r="H268" s="1127">
        <f t="shared" si="150"/>
        <v>0</v>
      </c>
      <c r="I268" s="1141"/>
      <c r="J268" s="1127">
        <f t="shared" si="151"/>
        <v>0</v>
      </c>
      <c r="K268" s="1141"/>
      <c r="L268" s="1127">
        <f t="shared" si="152"/>
        <v>0</v>
      </c>
      <c r="M268" s="1141"/>
      <c r="N268" s="1127">
        <f t="shared" si="153"/>
        <v>0</v>
      </c>
      <c r="O268" s="1141"/>
      <c r="P268" s="1127">
        <f t="shared" si="154"/>
        <v>0</v>
      </c>
      <c r="Q268" s="1250"/>
      <c r="R268" s="1127">
        <f t="shared" si="155"/>
        <v>0</v>
      </c>
      <c r="S268" s="1143"/>
      <c r="T268" s="1131">
        <f t="shared" si="156"/>
        <v>0</v>
      </c>
      <c r="U268" s="1144"/>
      <c r="V268" s="1045"/>
      <c r="W268" s="1132">
        <f t="shared" si="148"/>
        <v>0</v>
      </c>
      <c r="X268" s="1045">
        <f t="shared" si="157"/>
        <v>0</v>
      </c>
      <c r="Y268" s="1132">
        <f t="shared" si="149"/>
        <v>1</v>
      </c>
      <c r="Z268" s="1045">
        <f t="shared" si="158"/>
        <v>1825000</v>
      </c>
      <c r="AA268" s="892"/>
      <c r="AB268" s="891"/>
    </row>
    <row r="269" spans="1:29" s="486" customFormat="1">
      <c r="A269" s="1249"/>
      <c r="B269" s="1251"/>
      <c r="C269" s="1140"/>
      <c r="D269" s="1141"/>
      <c r="E269" s="1142"/>
      <c r="F269" s="1127">
        <f t="shared" si="147"/>
        <v>0</v>
      </c>
      <c r="G269" s="1141"/>
      <c r="H269" s="1127">
        <f t="shared" si="150"/>
        <v>0</v>
      </c>
      <c r="I269" s="1141"/>
      <c r="J269" s="1127">
        <f t="shared" si="151"/>
        <v>0</v>
      </c>
      <c r="K269" s="1141"/>
      <c r="L269" s="1127">
        <f t="shared" si="152"/>
        <v>0</v>
      </c>
      <c r="M269" s="1141"/>
      <c r="N269" s="1127">
        <f t="shared" si="153"/>
        <v>0</v>
      </c>
      <c r="O269" s="1141"/>
      <c r="P269" s="1127">
        <f t="shared" si="154"/>
        <v>0</v>
      </c>
      <c r="Q269" s="1250"/>
      <c r="R269" s="1127">
        <f t="shared" si="155"/>
        <v>0</v>
      </c>
      <c r="S269" s="1143"/>
      <c r="T269" s="1131">
        <f t="shared" si="156"/>
        <v>0</v>
      </c>
      <c r="U269" s="1144"/>
      <c r="V269" s="1045"/>
      <c r="W269" s="1132">
        <f t="shared" si="148"/>
        <v>0</v>
      </c>
      <c r="X269" s="1045">
        <f t="shared" si="157"/>
        <v>0</v>
      </c>
      <c r="Y269" s="1132">
        <f t="shared" si="149"/>
        <v>0</v>
      </c>
      <c r="Z269" s="1045">
        <f t="shared" si="158"/>
        <v>0</v>
      </c>
      <c r="AA269" s="892"/>
      <c r="AB269" s="891"/>
    </row>
    <row r="270" spans="1:29" s="486" customFormat="1">
      <c r="A270" s="1249"/>
      <c r="B270" s="1251"/>
      <c r="C270" s="1140"/>
      <c r="D270" s="1141"/>
      <c r="E270" s="1142"/>
      <c r="F270" s="1127">
        <f t="shared" si="147"/>
        <v>0</v>
      </c>
      <c r="G270" s="1141"/>
      <c r="H270" s="1127">
        <f t="shared" si="150"/>
        <v>0</v>
      </c>
      <c r="I270" s="1141"/>
      <c r="J270" s="1127">
        <f t="shared" si="151"/>
        <v>0</v>
      </c>
      <c r="K270" s="1141"/>
      <c r="L270" s="1127">
        <f t="shared" si="152"/>
        <v>0</v>
      </c>
      <c r="M270" s="1141"/>
      <c r="N270" s="1127">
        <f t="shared" si="153"/>
        <v>0</v>
      </c>
      <c r="O270" s="1141"/>
      <c r="P270" s="1127">
        <f t="shared" si="154"/>
        <v>0</v>
      </c>
      <c r="Q270" s="1250"/>
      <c r="R270" s="1127">
        <f t="shared" si="155"/>
        <v>0</v>
      </c>
      <c r="S270" s="1143"/>
      <c r="T270" s="1131">
        <f t="shared" si="156"/>
        <v>0</v>
      </c>
      <c r="U270" s="1144"/>
      <c r="V270" s="1045"/>
      <c r="W270" s="1132">
        <f t="shared" si="148"/>
        <v>0</v>
      </c>
      <c r="X270" s="1045">
        <f t="shared" si="157"/>
        <v>0</v>
      </c>
      <c r="Y270" s="1132">
        <f t="shared" si="149"/>
        <v>0</v>
      </c>
      <c r="Z270" s="1045">
        <f t="shared" si="158"/>
        <v>0</v>
      </c>
      <c r="AA270" s="892"/>
      <c r="AB270" s="891"/>
    </row>
    <row r="271" spans="1:29" s="486" customFormat="1">
      <c r="A271" s="1014"/>
      <c r="B271" s="1023" t="s">
        <v>5048</v>
      </c>
      <c r="C271" s="1022"/>
      <c r="D271" s="1021"/>
      <c r="E271" s="1021"/>
      <c r="F271" s="1127">
        <f t="shared" si="147"/>
        <v>0</v>
      </c>
      <c r="G271" s="1009"/>
      <c r="H271" s="1127">
        <f t="shared" si="150"/>
        <v>0</v>
      </c>
      <c r="I271" s="996">
        <f t="shared" ref="I271:I332" si="159">G271+E271</f>
        <v>0</v>
      </c>
      <c r="J271" s="1127">
        <f t="shared" si="151"/>
        <v>0</v>
      </c>
      <c r="K271" s="1013"/>
      <c r="L271" s="1127">
        <f t="shared" si="152"/>
        <v>0</v>
      </c>
      <c r="M271" s="995">
        <f t="shared" ref="M271:M332" si="160">K271*C271</f>
        <v>0</v>
      </c>
      <c r="N271" s="1127">
        <f t="shared" si="153"/>
        <v>0</v>
      </c>
      <c r="O271" s="994"/>
      <c r="P271" s="1127">
        <f t="shared" si="154"/>
        <v>0</v>
      </c>
      <c r="Q271" s="1051"/>
      <c r="R271" s="1127">
        <f t="shared" si="155"/>
        <v>0</v>
      </c>
      <c r="S271" s="1012"/>
      <c r="T271" s="1131">
        <f t="shared" si="156"/>
        <v>0</v>
      </c>
      <c r="U271" s="994"/>
      <c r="V271" s="994"/>
      <c r="W271" s="1132">
        <f t="shared" si="148"/>
        <v>0</v>
      </c>
      <c r="X271" s="1045">
        <f t="shared" si="157"/>
        <v>0</v>
      </c>
      <c r="Y271" s="1132">
        <f t="shared" si="149"/>
        <v>0</v>
      </c>
      <c r="Z271" s="1045">
        <f t="shared" si="158"/>
        <v>0</v>
      </c>
      <c r="AA271" s="994">
        <f t="shared" ref="AA271:AA302" si="161">Z271*C271</f>
        <v>0</v>
      </c>
      <c r="AB271" s="1011"/>
      <c r="AC271" s="988">
        <f t="shared" ref="AC271:AC302" si="162">(F271+H271)-J271</f>
        <v>0</v>
      </c>
    </row>
    <row r="272" spans="1:29" s="486" customFormat="1" ht="67.5">
      <c r="A272" s="1014"/>
      <c r="B272" s="1002" t="s">
        <v>5047</v>
      </c>
      <c r="C272" s="1006">
        <v>275</v>
      </c>
      <c r="D272" s="1005" t="s">
        <v>794</v>
      </c>
      <c r="E272" s="1005"/>
      <c r="F272" s="1127">
        <f t="shared" si="147"/>
        <v>0</v>
      </c>
      <c r="G272" s="1009"/>
      <c r="H272" s="1127">
        <f t="shared" si="150"/>
        <v>0</v>
      </c>
      <c r="I272" s="996">
        <f t="shared" si="159"/>
        <v>0</v>
      </c>
      <c r="J272" s="1127">
        <f t="shared" si="151"/>
        <v>0</v>
      </c>
      <c r="K272" s="1013"/>
      <c r="L272" s="1127">
        <f t="shared" si="152"/>
        <v>0</v>
      </c>
      <c r="M272" s="995">
        <f t="shared" si="160"/>
        <v>0</v>
      </c>
      <c r="N272" s="1127">
        <f t="shared" si="153"/>
        <v>0</v>
      </c>
      <c r="O272" s="994"/>
      <c r="P272" s="1127">
        <f t="shared" si="154"/>
        <v>0</v>
      </c>
      <c r="Q272" s="1051">
        <f>'Ex. WS'!H8</f>
        <v>375</v>
      </c>
      <c r="R272" s="1127">
        <f t="shared" si="155"/>
        <v>103125</v>
      </c>
      <c r="S272" s="1012"/>
      <c r="T272" s="1131">
        <f t="shared" si="156"/>
        <v>0</v>
      </c>
      <c r="U272" s="994"/>
      <c r="V272" s="994">
        <f>'[4]Ex. WS'!H245</f>
        <v>0</v>
      </c>
      <c r="W272" s="1132">
        <f t="shared" si="148"/>
        <v>375</v>
      </c>
      <c r="X272" s="1045">
        <f t="shared" si="157"/>
        <v>103125</v>
      </c>
      <c r="Y272" s="1132">
        <f t="shared" si="149"/>
        <v>375</v>
      </c>
      <c r="Z272" s="1045">
        <f t="shared" si="158"/>
        <v>103125</v>
      </c>
      <c r="AA272" s="994">
        <f t="shared" si="161"/>
        <v>28359375</v>
      </c>
      <c r="AB272" s="1011"/>
      <c r="AC272" s="988">
        <f t="shared" si="162"/>
        <v>0</v>
      </c>
    </row>
    <row r="273" spans="1:29" s="486" customFormat="1">
      <c r="A273" s="1014"/>
      <c r="B273" s="992"/>
      <c r="C273" s="1006"/>
      <c r="D273" s="1005"/>
      <c r="E273" s="1005"/>
      <c r="F273" s="1127">
        <f t="shared" si="147"/>
        <v>0</v>
      </c>
      <c r="G273" s="1009"/>
      <c r="H273" s="1127">
        <f t="shared" si="150"/>
        <v>0</v>
      </c>
      <c r="I273" s="996">
        <f t="shared" si="159"/>
        <v>0</v>
      </c>
      <c r="J273" s="1127">
        <f t="shared" si="151"/>
        <v>0</v>
      </c>
      <c r="K273" s="1013"/>
      <c r="L273" s="1127">
        <f t="shared" si="152"/>
        <v>0</v>
      </c>
      <c r="M273" s="995">
        <f t="shared" si="160"/>
        <v>0</v>
      </c>
      <c r="N273" s="1127">
        <f t="shared" si="153"/>
        <v>0</v>
      </c>
      <c r="O273" s="994"/>
      <c r="P273" s="1127">
        <f t="shared" si="154"/>
        <v>0</v>
      </c>
      <c r="Q273" s="1051"/>
      <c r="R273" s="1127">
        <f t="shared" si="155"/>
        <v>0</v>
      </c>
      <c r="S273" s="1012"/>
      <c r="T273" s="1131">
        <f t="shared" si="156"/>
        <v>0</v>
      </c>
      <c r="U273" s="994"/>
      <c r="V273" s="994"/>
      <c r="W273" s="1132">
        <f t="shared" si="148"/>
        <v>0</v>
      </c>
      <c r="X273" s="1045">
        <f t="shared" si="157"/>
        <v>0</v>
      </c>
      <c r="Y273" s="1132">
        <f t="shared" si="149"/>
        <v>0</v>
      </c>
      <c r="Z273" s="1045">
        <f t="shared" si="158"/>
        <v>0</v>
      </c>
      <c r="AA273" s="994">
        <f t="shared" si="161"/>
        <v>0</v>
      </c>
      <c r="AB273" s="1011"/>
      <c r="AC273" s="988">
        <f t="shared" si="162"/>
        <v>0</v>
      </c>
    </row>
    <row r="274" spans="1:29" s="486" customFormat="1" ht="67.5">
      <c r="A274" s="1014"/>
      <c r="B274" s="1002" t="s">
        <v>5046</v>
      </c>
      <c r="C274" s="1015">
        <v>618</v>
      </c>
      <c r="D274" s="1005" t="s">
        <v>794</v>
      </c>
      <c r="E274" s="1005"/>
      <c r="F274" s="1127">
        <f t="shared" si="147"/>
        <v>0</v>
      </c>
      <c r="G274" s="1009"/>
      <c r="H274" s="1127">
        <f t="shared" si="150"/>
        <v>0</v>
      </c>
      <c r="I274" s="996">
        <f t="shared" si="159"/>
        <v>0</v>
      </c>
      <c r="J274" s="1127">
        <f t="shared" si="151"/>
        <v>0</v>
      </c>
      <c r="K274" s="1013"/>
      <c r="L274" s="1127">
        <f t="shared" si="152"/>
        <v>0</v>
      </c>
      <c r="M274" s="995">
        <f t="shared" si="160"/>
        <v>0</v>
      </c>
      <c r="N274" s="1127">
        <f t="shared" si="153"/>
        <v>0</v>
      </c>
      <c r="O274" s="994"/>
      <c r="P274" s="1127">
        <f t="shared" si="154"/>
        <v>0</v>
      </c>
      <c r="Q274" s="1051">
        <f>'Ex. WS'!H11</f>
        <v>30</v>
      </c>
      <c r="R274" s="1127">
        <f t="shared" si="155"/>
        <v>18540</v>
      </c>
      <c r="S274" s="1012"/>
      <c r="T274" s="1131">
        <f t="shared" si="156"/>
        <v>0</v>
      </c>
      <c r="U274" s="994"/>
      <c r="V274" s="994">
        <f>'[4]Ex. WS'!H248</f>
        <v>0</v>
      </c>
      <c r="W274" s="1132">
        <f t="shared" si="148"/>
        <v>30</v>
      </c>
      <c r="X274" s="1045">
        <f t="shared" si="157"/>
        <v>18540</v>
      </c>
      <c r="Y274" s="1132">
        <f t="shared" si="149"/>
        <v>30</v>
      </c>
      <c r="Z274" s="1045">
        <f t="shared" si="158"/>
        <v>18540</v>
      </c>
      <c r="AA274" s="994">
        <f t="shared" si="161"/>
        <v>11457720</v>
      </c>
      <c r="AB274" s="1011"/>
      <c r="AC274" s="988">
        <f t="shared" si="162"/>
        <v>0</v>
      </c>
    </row>
    <row r="275" spans="1:29" s="486" customFormat="1">
      <c r="A275" s="1014"/>
      <c r="B275" s="992"/>
      <c r="C275" s="1006"/>
      <c r="D275" s="1005"/>
      <c r="E275" s="1005"/>
      <c r="F275" s="1127">
        <f t="shared" si="147"/>
        <v>0</v>
      </c>
      <c r="G275" s="1009"/>
      <c r="H275" s="1127">
        <f t="shared" si="150"/>
        <v>0</v>
      </c>
      <c r="I275" s="996">
        <f t="shared" si="159"/>
        <v>0</v>
      </c>
      <c r="J275" s="1127">
        <f t="shared" si="151"/>
        <v>0</v>
      </c>
      <c r="K275" s="1013"/>
      <c r="L275" s="1127">
        <f t="shared" si="152"/>
        <v>0</v>
      </c>
      <c r="M275" s="995">
        <f t="shared" si="160"/>
        <v>0</v>
      </c>
      <c r="N275" s="1127">
        <f t="shared" si="153"/>
        <v>0</v>
      </c>
      <c r="O275" s="994"/>
      <c r="P275" s="1127">
        <f t="shared" si="154"/>
        <v>0</v>
      </c>
      <c r="Q275" s="1051"/>
      <c r="R275" s="1127">
        <f t="shared" si="155"/>
        <v>0</v>
      </c>
      <c r="S275" s="1012"/>
      <c r="T275" s="1131">
        <f t="shared" si="156"/>
        <v>0</v>
      </c>
      <c r="U275" s="994"/>
      <c r="V275" s="994"/>
      <c r="W275" s="1132">
        <f t="shared" si="148"/>
        <v>0</v>
      </c>
      <c r="X275" s="1045">
        <f t="shared" si="157"/>
        <v>0</v>
      </c>
      <c r="Y275" s="1132">
        <f t="shared" si="149"/>
        <v>0</v>
      </c>
      <c r="Z275" s="1045">
        <f t="shared" si="158"/>
        <v>0</v>
      </c>
      <c r="AA275" s="994">
        <f t="shared" si="161"/>
        <v>0</v>
      </c>
      <c r="AB275" s="1011"/>
      <c r="AC275" s="988">
        <f t="shared" si="162"/>
        <v>0</v>
      </c>
    </row>
    <row r="276" spans="1:29" s="486" customFormat="1">
      <c r="A276" s="1014"/>
      <c r="B276" s="1002" t="s">
        <v>5045</v>
      </c>
      <c r="C276" s="1015">
        <v>137.5</v>
      </c>
      <c r="D276" s="1005" t="s">
        <v>1341</v>
      </c>
      <c r="E276" s="1005"/>
      <c r="F276" s="1127">
        <f t="shared" si="147"/>
        <v>0</v>
      </c>
      <c r="G276" s="1009"/>
      <c r="H276" s="1127">
        <f t="shared" si="150"/>
        <v>0</v>
      </c>
      <c r="I276" s="996">
        <f t="shared" si="159"/>
        <v>0</v>
      </c>
      <c r="J276" s="1127">
        <f t="shared" si="151"/>
        <v>0</v>
      </c>
      <c r="K276" s="1013"/>
      <c r="L276" s="1127">
        <f t="shared" si="152"/>
        <v>0</v>
      </c>
      <c r="M276" s="995">
        <f t="shared" si="160"/>
        <v>0</v>
      </c>
      <c r="N276" s="1127">
        <f t="shared" si="153"/>
        <v>0</v>
      </c>
      <c r="O276" s="994"/>
      <c r="P276" s="1127">
        <f t="shared" si="154"/>
        <v>0</v>
      </c>
      <c r="Q276" s="1051">
        <f>'Ex. WS'!H13</f>
        <v>1</v>
      </c>
      <c r="R276" s="1127">
        <f t="shared" si="155"/>
        <v>137.5</v>
      </c>
      <c r="S276" s="1012"/>
      <c r="T276" s="1131">
        <f t="shared" si="156"/>
        <v>0</v>
      </c>
      <c r="U276" s="994"/>
      <c r="V276" s="994">
        <f>'[4]Ex. WS'!H250</f>
        <v>0</v>
      </c>
      <c r="W276" s="1132">
        <f t="shared" si="148"/>
        <v>1</v>
      </c>
      <c r="X276" s="1045">
        <f t="shared" si="157"/>
        <v>137.5</v>
      </c>
      <c r="Y276" s="1132">
        <f t="shared" si="149"/>
        <v>1</v>
      </c>
      <c r="Z276" s="1045">
        <f t="shared" si="158"/>
        <v>137.5</v>
      </c>
      <c r="AA276" s="994">
        <f t="shared" si="161"/>
        <v>18906.25</v>
      </c>
      <c r="AB276" s="1011"/>
      <c r="AC276" s="988">
        <f t="shared" si="162"/>
        <v>0</v>
      </c>
    </row>
    <row r="277" spans="1:29" s="486" customFormat="1">
      <c r="A277" s="1014"/>
      <c r="B277" s="1020"/>
      <c r="C277" s="1005"/>
      <c r="D277" s="1005"/>
      <c r="E277" s="1005"/>
      <c r="F277" s="1127">
        <f t="shared" si="147"/>
        <v>0</v>
      </c>
      <c r="G277" s="1009"/>
      <c r="H277" s="1127">
        <f t="shared" si="150"/>
        <v>0</v>
      </c>
      <c r="I277" s="996">
        <f t="shared" si="159"/>
        <v>0</v>
      </c>
      <c r="J277" s="1127">
        <f t="shared" si="151"/>
        <v>0</v>
      </c>
      <c r="K277" s="1013"/>
      <c r="L277" s="1127">
        <f t="shared" si="152"/>
        <v>0</v>
      </c>
      <c r="M277" s="995">
        <f t="shared" si="160"/>
        <v>0</v>
      </c>
      <c r="N277" s="1127">
        <f t="shared" si="153"/>
        <v>0</v>
      </c>
      <c r="O277" s="994"/>
      <c r="P277" s="1127">
        <f t="shared" si="154"/>
        <v>0</v>
      </c>
      <c r="Q277" s="1051"/>
      <c r="R277" s="1127">
        <f t="shared" si="155"/>
        <v>0</v>
      </c>
      <c r="S277" s="1012"/>
      <c r="T277" s="1131">
        <f t="shared" si="156"/>
        <v>0</v>
      </c>
      <c r="U277" s="994"/>
      <c r="V277" s="994"/>
      <c r="W277" s="1132">
        <f t="shared" si="148"/>
        <v>0</v>
      </c>
      <c r="X277" s="1045">
        <f t="shared" si="157"/>
        <v>0</v>
      </c>
      <c r="Y277" s="1132">
        <f t="shared" si="149"/>
        <v>0</v>
      </c>
      <c r="Z277" s="1045">
        <f t="shared" si="158"/>
        <v>0</v>
      </c>
      <c r="AA277" s="994">
        <f t="shared" si="161"/>
        <v>0</v>
      </c>
      <c r="AB277" s="1011"/>
      <c r="AC277" s="988">
        <f t="shared" si="162"/>
        <v>0</v>
      </c>
    </row>
    <row r="278" spans="1:29" s="486" customFormat="1">
      <c r="A278" s="1014"/>
      <c r="B278" s="1020"/>
      <c r="C278" s="1005"/>
      <c r="D278" s="1005"/>
      <c r="E278" s="1005"/>
      <c r="F278" s="1127">
        <f t="shared" si="147"/>
        <v>0</v>
      </c>
      <c r="G278" s="1009"/>
      <c r="H278" s="1127">
        <f t="shared" si="150"/>
        <v>0</v>
      </c>
      <c r="I278" s="996">
        <f t="shared" si="159"/>
        <v>0</v>
      </c>
      <c r="J278" s="1127">
        <f t="shared" si="151"/>
        <v>0</v>
      </c>
      <c r="K278" s="1013"/>
      <c r="L278" s="1127">
        <f t="shared" si="152"/>
        <v>0</v>
      </c>
      <c r="M278" s="995">
        <f t="shared" si="160"/>
        <v>0</v>
      </c>
      <c r="N278" s="1127">
        <f t="shared" si="153"/>
        <v>0</v>
      </c>
      <c r="O278" s="994"/>
      <c r="P278" s="1127">
        <f t="shared" si="154"/>
        <v>0</v>
      </c>
      <c r="Q278" s="1051"/>
      <c r="R278" s="1127">
        <f t="shared" si="155"/>
        <v>0</v>
      </c>
      <c r="S278" s="1012"/>
      <c r="T278" s="1131">
        <f t="shared" si="156"/>
        <v>0</v>
      </c>
      <c r="U278" s="994"/>
      <c r="V278" s="994"/>
      <c r="W278" s="1132">
        <f t="shared" si="148"/>
        <v>0</v>
      </c>
      <c r="X278" s="1045">
        <f t="shared" si="157"/>
        <v>0</v>
      </c>
      <c r="Y278" s="1132">
        <f t="shared" si="149"/>
        <v>0</v>
      </c>
      <c r="Z278" s="1045">
        <f t="shared" si="158"/>
        <v>0</v>
      </c>
      <c r="AA278" s="994">
        <f t="shared" si="161"/>
        <v>0</v>
      </c>
      <c r="AB278" s="1011"/>
      <c r="AC278" s="988">
        <f t="shared" si="162"/>
        <v>0</v>
      </c>
    </row>
    <row r="279" spans="1:29" s="486" customFormat="1" ht="67.5">
      <c r="A279" s="1014"/>
      <c r="B279" s="1002" t="s">
        <v>5044</v>
      </c>
      <c r="C279" s="1006">
        <v>19309</v>
      </c>
      <c r="D279" s="1005" t="s">
        <v>1375</v>
      </c>
      <c r="E279" s="1005"/>
      <c r="F279" s="1127">
        <f t="shared" si="147"/>
        <v>0</v>
      </c>
      <c r="G279" s="1009"/>
      <c r="H279" s="1127">
        <f t="shared" si="150"/>
        <v>0</v>
      </c>
      <c r="I279" s="996">
        <f t="shared" si="159"/>
        <v>0</v>
      </c>
      <c r="J279" s="1127">
        <f t="shared" si="151"/>
        <v>0</v>
      </c>
      <c r="K279" s="1013"/>
      <c r="L279" s="1127">
        <f t="shared" si="152"/>
        <v>0</v>
      </c>
      <c r="M279" s="995">
        <f t="shared" si="160"/>
        <v>0</v>
      </c>
      <c r="N279" s="1127">
        <f t="shared" si="153"/>
        <v>0</v>
      </c>
      <c r="O279" s="994"/>
      <c r="P279" s="1127">
        <f t="shared" si="154"/>
        <v>0</v>
      </c>
      <c r="Q279" s="1051">
        <f>'Ex. WS'!H19</f>
        <v>2</v>
      </c>
      <c r="R279" s="1127">
        <f t="shared" si="155"/>
        <v>38618</v>
      </c>
      <c r="S279" s="1012"/>
      <c r="T279" s="1131">
        <f t="shared" si="156"/>
        <v>0</v>
      </c>
      <c r="U279" s="994"/>
      <c r="V279" s="994">
        <f>'[4]Ex. WS'!H256</f>
        <v>0</v>
      </c>
      <c r="W279" s="1132">
        <f t="shared" si="148"/>
        <v>2</v>
      </c>
      <c r="X279" s="1045">
        <f t="shared" si="157"/>
        <v>38618</v>
      </c>
      <c r="Y279" s="1132">
        <f t="shared" si="149"/>
        <v>2</v>
      </c>
      <c r="Z279" s="1045">
        <f t="shared" si="158"/>
        <v>38618</v>
      </c>
      <c r="AA279" s="994">
        <f t="shared" si="161"/>
        <v>745674962</v>
      </c>
      <c r="AB279" s="1011"/>
      <c r="AC279" s="988">
        <f t="shared" si="162"/>
        <v>0</v>
      </c>
    </row>
    <row r="280" spans="1:29" s="486" customFormat="1">
      <c r="A280" s="1014"/>
      <c r="B280" s="992"/>
      <c r="C280" s="1006"/>
      <c r="D280" s="1005"/>
      <c r="E280" s="1005"/>
      <c r="F280" s="1127">
        <f t="shared" si="147"/>
        <v>0</v>
      </c>
      <c r="G280" s="1009"/>
      <c r="H280" s="1127">
        <f t="shared" si="150"/>
        <v>0</v>
      </c>
      <c r="I280" s="996">
        <f t="shared" si="159"/>
        <v>0</v>
      </c>
      <c r="J280" s="1127">
        <f t="shared" si="151"/>
        <v>0</v>
      </c>
      <c r="K280" s="1013"/>
      <c r="L280" s="1127">
        <f t="shared" si="152"/>
        <v>0</v>
      </c>
      <c r="M280" s="995">
        <f t="shared" si="160"/>
        <v>0</v>
      </c>
      <c r="N280" s="1127">
        <f t="shared" si="153"/>
        <v>0</v>
      </c>
      <c r="O280" s="994"/>
      <c r="P280" s="1127">
        <f t="shared" si="154"/>
        <v>0</v>
      </c>
      <c r="Q280" s="1051"/>
      <c r="R280" s="1127">
        <f t="shared" si="155"/>
        <v>0</v>
      </c>
      <c r="S280" s="1012"/>
      <c r="T280" s="1131">
        <f t="shared" si="156"/>
        <v>0</v>
      </c>
      <c r="U280" s="994"/>
      <c r="V280" s="994"/>
      <c r="W280" s="1132">
        <f t="shared" si="148"/>
        <v>0</v>
      </c>
      <c r="X280" s="1045">
        <f t="shared" si="157"/>
        <v>0</v>
      </c>
      <c r="Y280" s="1132">
        <f t="shared" si="149"/>
        <v>0</v>
      </c>
      <c r="Z280" s="1045">
        <f t="shared" si="158"/>
        <v>0</v>
      </c>
      <c r="AA280" s="994">
        <f t="shared" si="161"/>
        <v>0</v>
      </c>
      <c r="AB280" s="1011"/>
      <c r="AC280" s="988">
        <f t="shared" si="162"/>
        <v>0</v>
      </c>
    </row>
    <row r="281" spans="1:29" s="486" customFormat="1" ht="45">
      <c r="A281" s="1014"/>
      <c r="B281" s="1019" t="s">
        <v>5043</v>
      </c>
      <c r="C281" s="1006">
        <v>5249</v>
      </c>
      <c r="D281" s="1005" t="s">
        <v>1375</v>
      </c>
      <c r="E281" s="1005"/>
      <c r="F281" s="1127">
        <f t="shared" si="147"/>
        <v>0</v>
      </c>
      <c r="G281" s="1009"/>
      <c r="H281" s="1127">
        <f t="shared" si="150"/>
        <v>0</v>
      </c>
      <c r="I281" s="996">
        <f t="shared" si="159"/>
        <v>0</v>
      </c>
      <c r="J281" s="1127">
        <f t="shared" si="151"/>
        <v>0</v>
      </c>
      <c r="K281" s="1013"/>
      <c r="L281" s="1127">
        <f t="shared" si="152"/>
        <v>0</v>
      </c>
      <c r="M281" s="995">
        <f t="shared" si="160"/>
        <v>0</v>
      </c>
      <c r="N281" s="1127">
        <f t="shared" si="153"/>
        <v>0</v>
      </c>
      <c r="O281" s="994"/>
      <c r="P281" s="1127">
        <f t="shared" si="154"/>
        <v>0</v>
      </c>
      <c r="Q281" s="1051">
        <f>'Ex. WS'!H21</f>
        <v>2</v>
      </c>
      <c r="R281" s="1127">
        <f t="shared" si="155"/>
        <v>10498</v>
      </c>
      <c r="S281" s="1012"/>
      <c r="T281" s="1131">
        <f t="shared" si="156"/>
        <v>0</v>
      </c>
      <c r="U281" s="994"/>
      <c r="V281" s="994">
        <f>'[4]Ex. WS'!H258</f>
        <v>0</v>
      </c>
      <c r="W281" s="1132">
        <f t="shared" si="148"/>
        <v>2</v>
      </c>
      <c r="X281" s="1045">
        <f t="shared" si="157"/>
        <v>10498</v>
      </c>
      <c r="Y281" s="1132">
        <f t="shared" si="149"/>
        <v>2</v>
      </c>
      <c r="Z281" s="1045">
        <f t="shared" si="158"/>
        <v>10498</v>
      </c>
      <c r="AA281" s="994">
        <f t="shared" si="161"/>
        <v>55104002</v>
      </c>
      <c r="AB281" s="1011"/>
      <c r="AC281" s="988">
        <f t="shared" si="162"/>
        <v>0</v>
      </c>
    </row>
    <row r="282" spans="1:29" s="486" customFormat="1">
      <c r="A282" s="1014"/>
      <c r="B282" s="992"/>
      <c r="C282" s="1006"/>
      <c r="D282" s="1005"/>
      <c r="E282" s="1005"/>
      <c r="F282" s="1127">
        <f t="shared" si="147"/>
        <v>0</v>
      </c>
      <c r="G282" s="1009"/>
      <c r="H282" s="1127">
        <f t="shared" si="150"/>
        <v>0</v>
      </c>
      <c r="I282" s="996">
        <f t="shared" si="159"/>
        <v>0</v>
      </c>
      <c r="J282" s="1127">
        <f t="shared" si="151"/>
        <v>0</v>
      </c>
      <c r="K282" s="1013"/>
      <c r="L282" s="1127">
        <f t="shared" si="152"/>
        <v>0</v>
      </c>
      <c r="M282" s="995">
        <f t="shared" si="160"/>
        <v>0</v>
      </c>
      <c r="N282" s="1127">
        <f t="shared" si="153"/>
        <v>0</v>
      </c>
      <c r="O282" s="994"/>
      <c r="P282" s="1127">
        <f t="shared" si="154"/>
        <v>0</v>
      </c>
      <c r="Q282" s="1051"/>
      <c r="R282" s="1127">
        <f t="shared" si="155"/>
        <v>0</v>
      </c>
      <c r="S282" s="1012"/>
      <c r="T282" s="1131">
        <f t="shared" si="156"/>
        <v>0</v>
      </c>
      <c r="U282" s="994"/>
      <c r="V282" s="994"/>
      <c r="W282" s="1132">
        <f t="shared" si="148"/>
        <v>0</v>
      </c>
      <c r="X282" s="1045">
        <f t="shared" si="157"/>
        <v>0</v>
      </c>
      <c r="Y282" s="1132">
        <f t="shared" si="149"/>
        <v>0</v>
      </c>
      <c r="Z282" s="1045">
        <f t="shared" si="158"/>
        <v>0</v>
      </c>
      <c r="AA282" s="994">
        <f t="shared" si="161"/>
        <v>0</v>
      </c>
      <c r="AB282" s="1011"/>
      <c r="AC282" s="988">
        <f t="shared" si="162"/>
        <v>0</v>
      </c>
    </row>
    <row r="283" spans="1:29" s="486" customFormat="1" ht="67.5">
      <c r="A283" s="1014"/>
      <c r="B283" s="1002" t="s">
        <v>5042</v>
      </c>
      <c r="C283" s="1006">
        <v>7391.8</v>
      </c>
      <c r="D283" s="1005" t="s">
        <v>1375</v>
      </c>
      <c r="E283" s="1005"/>
      <c r="F283" s="1127">
        <f t="shared" si="147"/>
        <v>0</v>
      </c>
      <c r="G283" s="1009"/>
      <c r="H283" s="1127">
        <f t="shared" si="150"/>
        <v>0</v>
      </c>
      <c r="I283" s="996">
        <f t="shared" si="159"/>
        <v>0</v>
      </c>
      <c r="J283" s="1127">
        <f t="shared" si="151"/>
        <v>0</v>
      </c>
      <c r="K283" s="1013"/>
      <c r="L283" s="1127">
        <f t="shared" si="152"/>
        <v>0</v>
      </c>
      <c r="M283" s="995">
        <f t="shared" si="160"/>
        <v>0</v>
      </c>
      <c r="N283" s="1127">
        <f t="shared" si="153"/>
        <v>0</v>
      </c>
      <c r="O283" s="994"/>
      <c r="P283" s="1127">
        <f t="shared" si="154"/>
        <v>0</v>
      </c>
      <c r="Q283" s="1051">
        <f>'Ex. WS'!H24</f>
        <v>2</v>
      </c>
      <c r="R283" s="1127">
        <f t="shared" si="155"/>
        <v>14783.6</v>
      </c>
      <c r="S283" s="1012"/>
      <c r="T283" s="1131">
        <f t="shared" si="156"/>
        <v>0</v>
      </c>
      <c r="U283" s="994"/>
      <c r="V283" s="994">
        <f>'[4]Ex. WS'!H261</f>
        <v>0</v>
      </c>
      <c r="W283" s="1132">
        <f t="shared" si="148"/>
        <v>2</v>
      </c>
      <c r="X283" s="1045">
        <f t="shared" si="157"/>
        <v>14783.6</v>
      </c>
      <c r="Y283" s="1132">
        <f t="shared" si="149"/>
        <v>2</v>
      </c>
      <c r="Z283" s="1045">
        <f t="shared" si="158"/>
        <v>14783.6</v>
      </c>
      <c r="AA283" s="994">
        <f t="shared" si="161"/>
        <v>109277414.48</v>
      </c>
      <c r="AB283" s="1011"/>
      <c r="AC283" s="988">
        <f t="shared" si="162"/>
        <v>0</v>
      </c>
    </row>
    <row r="284" spans="1:29" s="486" customFormat="1">
      <c r="A284" s="1014"/>
      <c r="B284" s="992"/>
      <c r="C284" s="1006"/>
      <c r="D284" s="1005"/>
      <c r="E284" s="1005"/>
      <c r="F284" s="1127">
        <f t="shared" si="147"/>
        <v>0</v>
      </c>
      <c r="G284" s="1009"/>
      <c r="H284" s="1127">
        <f t="shared" si="150"/>
        <v>0</v>
      </c>
      <c r="I284" s="996">
        <f t="shared" si="159"/>
        <v>0</v>
      </c>
      <c r="J284" s="1127">
        <f t="shared" si="151"/>
        <v>0</v>
      </c>
      <c r="K284" s="1013"/>
      <c r="L284" s="1127">
        <f t="shared" si="152"/>
        <v>0</v>
      </c>
      <c r="M284" s="995">
        <f t="shared" si="160"/>
        <v>0</v>
      </c>
      <c r="N284" s="1127">
        <f t="shared" si="153"/>
        <v>0</v>
      </c>
      <c r="O284" s="994"/>
      <c r="P284" s="1127">
        <f t="shared" si="154"/>
        <v>0</v>
      </c>
      <c r="Q284" s="1051"/>
      <c r="R284" s="1127">
        <f t="shared" si="155"/>
        <v>0</v>
      </c>
      <c r="S284" s="1012"/>
      <c r="T284" s="1131">
        <f t="shared" si="156"/>
        <v>0</v>
      </c>
      <c r="U284" s="994"/>
      <c r="V284" s="994"/>
      <c r="W284" s="1132">
        <f t="shared" si="148"/>
        <v>0</v>
      </c>
      <c r="X284" s="1045">
        <f t="shared" si="157"/>
        <v>0</v>
      </c>
      <c r="Y284" s="1132">
        <f t="shared" si="149"/>
        <v>0</v>
      </c>
      <c r="Z284" s="1045">
        <f t="shared" si="158"/>
        <v>0</v>
      </c>
      <c r="AA284" s="994">
        <f t="shared" si="161"/>
        <v>0</v>
      </c>
      <c r="AB284" s="1011"/>
      <c r="AC284" s="988">
        <f t="shared" si="162"/>
        <v>0</v>
      </c>
    </row>
    <row r="285" spans="1:29" s="486" customFormat="1" ht="45">
      <c r="A285" s="1014"/>
      <c r="B285" s="1002" t="s">
        <v>5041</v>
      </c>
      <c r="C285" s="1006">
        <v>57424</v>
      </c>
      <c r="D285" s="1018" t="s">
        <v>5038</v>
      </c>
      <c r="E285" s="1018"/>
      <c r="F285" s="1127">
        <f t="shared" si="147"/>
        <v>0</v>
      </c>
      <c r="G285" s="1009"/>
      <c r="H285" s="1127">
        <f t="shared" si="150"/>
        <v>0</v>
      </c>
      <c r="I285" s="996">
        <f t="shared" si="159"/>
        <v>0</v>
      </c>
      <c r="J285" s="1127">
        <f t="shared" si="151"/>
        <v>0</v>
      </c>
      <c r="K285" s="1013"/>
      <c r="L285" s="1127">
        <f t="shared" si="152"/>
        <v>0</v>
      </c>
      <c r="M285" s="995">
        <f t="shared" si="160"/>
        <v>0</v>
      </c>
      <c r="N285" s="1127">
        <f t="shared" si="153"/>
        <v>0</v>
      </c>
      <c r="O285" s="994"/>
      <c r="P285" s="1127">
        <f t="shared" si="154"/>
        <v>0</v>
      </c>
      <c r="Q285" s="1051">
        <f>'Ex. WS'!H26</f>
        <v>1</v>
      </c>
      <c r="R285" s="1127">
        <f t="shared" si="155"/>
        <v>57424</v>
      </c>
      <c r="S285" s="1012"/>
      <c r="T285" s="1131">
        <f t="shared" si="156"/>
        <v>0</v>
      </c>
      <c r="U285" s="994"/>
      <c r="V285" s="994">
        <f>'[4]Ex. WS'!H263</f>
        <v>0</v>
      </c>
      <c r="W285" s="1132">
        <f t="shared" si="148"/>
        <v>1</v>
      </c>
      <c r="X285" s="1045">
        <f t="shared" si="157"/>
        <v>57424</v>
      </c>
      <c r="Y285" s="1132">
        <f t="shared" si="149"/>
        <v>1</v>
      </c>
      <c r="Z285" s="1045">
        <f t="shared" si="158"/>
        <v>57424</v>
      </c>
      <c r="AA285" s="994">
        <f t="shared" si="161"/>
        <v>3297515776</v>
      </c>
      <c r="AB285" s="1011"/>
      <c r="AC285" s="988">
        <f t="shared" si="162"/>
        <v>0</v>
      </c>
    </row>
    <row r="286" spans="1:29" s="486" customFormat="1">
      <c r="A286" s="1014"/>
      <c r="B286" s="992"/>
      <c r="C286" s="1006"/>
      <c r="D286" s="1005"/>
      <c r="E286" s="1005"/>
      <c r="F286" s="1127">
        <f t="shared" si="147"/>
        <v>0</v>
      </c>
      <c r="G286" s="1009"/>
      <c r="H286" s="1127">
        <f t="shared" si="150"/>
        <v>0</v>
      </c>
      <c r="I286" s="996">
        <f t="shared" si="159"/>
        <v>0</v>
      </c>
      <c r="J286" s="1127">
        <f t="shared" si="151"/>
        <v>0</v>
      </c>
      <c r="K286" s="1013"/>
      <c r="L286" s="1127">
        <f t="shared" si="152"/>
        <v>0</v>
      </c>
      <c r="M286" s="995">
        <f t="shared" si="160"/>
        <v>0</v>
      </c>
      <c r="N286" s="1127">
        <f t="shared" si="153"/>
        <v>0</v>
      </c>
      <c r="O286" s="994"/>
      <c r="P286" s="1127">
        <f t="shared" si="154"/>
        <v>0</v>
      </c>
      <c r="Q286" s="1051"/>
      <c r="R286" s="1127">
        <f t="shared" si="155"/>
        <v>0</v>
      </c>
      <c r="S286" s="1012"/>
      <c r="T286" s="1131">
        <f t="shared" si="156"/>
        <v>0</v>
      </c>
      <c r="U286" s="994"/>
      <c r="V286" s="994"/>
      <c r="W286" s="1132">
        <f t="shared" si="148"/>
        <v>0</v>
      </c>
      <c r="X286" s="1045">
        <f t="shared" si="157"/>
        <v>0</v>
      </c>
      <c r="Y286" s="1132">
        <f t="shared" si="149"/>
        <v>0</v>
      </c>
      <c r="Z286" s="1045">
        <f t="shared" si="158"/>
        <v>0</v>
      </c>
      <c r="AA286" s="994">
        <f t="shared" si="161"/>
        <v>0</v>
      </c>
      <c r="AB286" s="1011"/>
      <c r="AC286" s="988">
        <f t="shared" si="162"/>
        <v>0</v>
      </c>
    </row>
    <row r="287" spans="1:29" s="486" customFormat="1" ht="45">
      <c r="A287" s="1014"/>
      <c r="B287" s="1002" t="s">
        <v>5040</v>
      </c>
      <c r="C287" s="1006">
        <v>10051.1</v>
      </c>
      <c r="D287" s="1005" t="s">
        <v>1375</v>
      </c>
      <c r="E287" s="1005"/>
      <c r="F287" s="1127">
        <f t="shared" si="147"/>
        <v>0</v>
      </c>
      <c r="G287" s="1009"/>
      <c r="H287" s="1127">
        <f t="shared" si="150"/>
        <v>0</v>
      </c>
      <c r="I287" s="996">
        <f t="shared" si="159"/>
        <v>0</v>
      </c>
      <c r="J287" s="1127">
        <f t="shared" si="151"/>
        <v>0</v>
      </c>
      <c r="K287" s="1013"/>
      <c r="L287" s="1127">
        <f t="shared" si="152"/>
        <v>0</v>
      </c>
      <c r="M287" s="995">
        <f t="shared" si="160"/>
        <v>0</v>
      </c>
      <c r="N287" s="1127">
        <f t="shared" si="153"/>
        <v>0</v>
      </c>
      <c r="O287" s="994"/>
      <c r="P287" s="1127">
        <f t="shared" si="154"/>
        <v>0</v>
      </c>
      <c r="Q287" s="1051">
        <f>'Ex. WS'!H28</f>
        <v>1</v>
      </c>
      <c r="R287" s="1127">
        <f t="shared" si="155"/>
        <v>10051.1</v>
      </c>
      <c r="S287" s="1012"/>
      <c r="T287" s="1131">
        <f t="shared" si="156"/>
        <v>0</v>
      </c>
      <c r="U287" s="994"/>
      <c r="V287" s="994">
        <f>'[4]Ex. WS'!H267</f>
        <v>0</v>
      </c>
      <c r="W287" s="1132">
        <f t="shared" si="148"/>
        <v>1</v>
      </c>
      <c r="X287" s="1045">
        <f t="shared" si="157"/>
        <v>10051.1</v>
      </c>
      <c r="Y287" s="1132">
        <f t="shared" si="149"/>
        <v>1</v>
      </c>
      <c r="Z287" s="1045">
        <f t="shared" si="158"/>
        <v>10051.1</v>
      </c>
      <c r="AA287" s="994">
        <f t="shared" si="161"/>
        <v>101024611.20999999</v>
      </c>
      <c r="AB287" s="1011"/>
      <c r="AC287" s="988">
        <f t="shared" si="162"/>
        <v>0</v>
      </c>
    </row>
    <row r="288" spans="1:29" s="486" customFormat="1">
      <c r="A288" s="1014"/>
      <c r="B288" s="992"/>
      <c r="C288" s="1006"/>
      <c r="D288" s="1005"/>
      <c r="E288" s="1005"/>
      <c r="F288" s="1127">
        <f t="shared" si="147"/>
        <v>0</v>
      </c>
      <c r="G288" s="1009"/>
      <c r="H288" s="1127">
        <f t="shared" si="150"/>
        <v>0</v>
      </c>
      <c r="I288" s="996">
        <f t="shared" si="159"/>
        <v>0</v>
      </c>
      <c r="J288" s="1127">
        <f t="shared" si="151"/>
        <v>0</v>
      </c>
      <c r="K288" s="1013"/>
      <c r="L288" s="1127">
        <f t="shared" si="152"/>
        <v>0</v>
      </c>
      <c r="M288" s="995">
        <f t="shared" si="160"/>
        <v>0</v>
      </c>
      <c r="N288" s="1127">
        <f t="shared" si="153"/>
        <v>0</v>
      </c>
      <c r="O288" s="994"/>
      <c r="P288" s="1127">
        <f t="shared" si="154"/>
        <v>0</v>
      </c>
      <c r="Q288" s="1051"/>
      <c r="R288" s="1127">
        <f t="shared" si="155"/>
        <v>0</v>
      </c>
      <c r="S288" s="1012"/>
      <c r="T288" s="1131">
        <f t="shared" si="156"/>
        <v>0</v>
      </c>
      <c r="U288" s="994"/>
      <c r="V288" s="994"/>
      <c r="W288" s="1132">
        <f t="shared" si="148"/>
        <v>0</v>
      </c>
      <c r="X288" s="1045">
        <f t="shared" si="157"/>
        <v>0</v>
      </c>
      <c r="Y288" s="1132">
        <f t="shared" si="149"/>
        <v>0</v>
      </c>
      <c r="Z288" s="1045">
        <f t="shared" si="158"/>
        <v>0</v>
      </c>
      <c r="AA288" s="994">
        <f t="shared" si="161"/>
        <v>0</v>
      </c>
      <c r="AB288" s="1011"/>
      <c r="AC288" s="988">
        <f t="shared" si="162"/>
        <v>0</v>
      </c>
    </row>
    <row r="289" spans="1:29" s="486" customFormat="1" ht="45">
      <c r="A289" s="1014"/>
      <c r="B289" s="1002" t="s">
        <v>5039</v>
      </c>
      <c r="C289" s="1006">
        <v>14492</v>
      </c>
      <c r="D289" s="1018" t="s">
        <v>5038</v>
      </c>
      <c r="E289" s="1018"/>
      <c r="F289" s="1127">
        <f t="shared" si="147"/>
        <v>0</v>
      </c>
      <c r="G289" s="1009"/>
      <c r="H289" s="1127">
        <f t="shared" si="150"/>
        <v>0</v>
      </c>
      <c r="I289" s="996">
        <f t="shared" si="159"/>
        <v>0</v>
      </c>
      <c r="J289" s="1127">
        <f t="shared" si="151"/>
        <v>0</v>
      </c>
      <c r="K289" s="1013"/>
      <c r="L289" s="1127">
        <f t="shared" si="152"/>
        <v>0</v>
      </c>
      <c r="M289" s="995">
        <f t="shared" si="160"/>
        <v>0</v>
      </c>
      <c r="N289" s="1127">
        <f t="shared" si="153"/>
        <v>0</v>
      </c>
      <c r="O289" s="994"/>
      <c r="P289" s="1127">
        <f t="shared" si="154"/>
        <v>0</v>
      </c>
      <c r="Q289" s="1051">
        <f>'Ex. WS'!H30</f>
        <v>1</v>
      </c>
      <c r="R289" s="1127">
        <f t="shared" si="155"/>
        <v>14492</v>
      </c>
      <c r="S289" s="1012"/>
      <c r="T289" s="1131">
        <f t="shared" si="156"/>
        <v>0</v>
      </c>
      <c r="U289" s="994"/>
      <c r="V289" s="994">
        <f>'[4]Ex. WS'!H267</f>
        <v>0</v>
      </c>
      <c r="W289" s="1132">
        <f t="shared" si="148"/>
        <v>1</v>
      </c>
      <c r="X289" s="1045">
        <f t="shared" si="157"/>
        <v>14492</v>
      </c>
      <c r="Y289" s="1132">
        <f t="shared" si="149"/>
        <v>1</v>
      </c>
      <c r="Z289" s="1045">
        <f t="shared" si="158"/>
        <v>14492</v>
      </c>
      <c r="AA289" s="994">
        <f t="shared" si="161"/>
        <v>210018064</v>
      </c>
      <c r="AB289" s="1011"/>
      <c r="AC289" s="988">
        <f t="shared" si="162"/>
        <v>0</v>
      </c>
    </row>
    <row r="290" spans="1:29" s="486" customFormat="1">
      <c r="A290" s="1014"/>
      <c r="B290" s="992"/>
      <c r="C290" s="1006"/>
      <c r="D290" s="1005"/>
      <c r="E290" s="1005"/>
      <c r="F290" s="1127">
        <f t="shared" si="147"/>
        <v>0</v>
      </c>
      <c r="G290" s="1009"/>
      <c r="H290" s="1127">
        <f t="shared" si="150"/>
        <v>0</v>
      </c>
      <c r="I290" s="996">
        <f t="shared" si="159"/>
        <v>0</v>
      </c>
      <c r="J290" s="1127">
        <f t="shared" si="151"/>
        <v>0</v>
      </c>
      <c r="K290" s="1013"/>
      <c r="L290" s="1127">
        <f t="shared" si="152"/>
        <v>0</v>
      </c>
      <c r="M290" s="995">
        <f t="shared" si="160"/>
        <v>0</v>
      </c>
      <c r="N290" s="1127">
        <f t="shared" si="153"/>
        <v>0</v>
      </c>
      <c r="O290" s="994"/>
      <c r="P290" s="1127">
        <f t="shared" si="154"/>
        <v>0</v>
      </c>
      <c r="Q290" s="1051"/>
      <c r="R290" s="1127">
        <f t="shared" si="155"/>
        <v>0</v>
      </c>
      <c r="S290" s="1012"/>
      <c r="T290" s="1131">
        <f t="shared" si="156"/>
        <v>0</v>
      </c>
      <c r="U290" s="994"/>
      <c r="V290" s="994"/>
      <c r="W290" s="1132">
        <f t="shared" si="148"/>
        <v>0</v>
      </c>
      <c r="X290" s="1045">
        <f t="shared" si="157"/>
        <v>0</v>
      </c>
      <c r="Y290" s="1132">
        <f t="shared" si="149"/>
        <v>0</v>
      </c>
      <c r="Z290" s="1045">
        <f t="shared" si="158"/>
        <v>0</v>
      </c>
      <c r="AA290" s="994">
        <f t="shared" si="161"/>
        <v>0</v>
      </c>
      <c r="AB290" s="1011"/>
      <c r="AC290" s="988">
        <f t="shared" si="162"/>
        <v>0</v>
      </c>
    </row>
    <row r="291" spans="1:29" s="486" customFormat="1" ht="45">
      <c r="A291" s="1014"/>
      <c r="B291" s="1002" t="s">
        <v>5037</v>
      </c>
      <c r="C291" s="1006">
        <v>186</v>
      </c>
      <c r="D291" s="1005" t="s">
        <v>794</v>
      </c>
      <c r="E291" s="1005"/>
      <c r="F291" s="1127">
        <f t="shared" si="147"/>
        <v>0</v>
      </c>
      <c r="G291" s="1009"/>
      <c r="H291" s="1127">
        <f t="shared" si="150"/>
        <v>0</v>
      </c>
      <c r="I291" s="996">
        <f t="shared" si="159"/>
        <v>0</v>
      </c>
      <c r="J291" s="1127">
        <f t="shared" si="151"/>
        <v>0</v>
      </c>
      <c r="K291" s="1013"/>
      <c r="L291" s="1127">
        <f t="shared" si="152"/>
        <v>0</v>
      </c>
      <c r="M291" s="995">
        <f t="shared" si="160"/>
        <v>0</v>
      </c>
      <c r="N291" s="1127">
        <f t="shared" si="153"/>
        <v>0</v>
      </c>
      <c r="O291" s="994"/>
      <c r="P291" s="1127">
        <f t="shared" si="154"/>
        <v>0</v>
      </c>
      <c r="Q291" s="1051">
        <f>'Ex. WS'!H35</f>
        <v>415</v>
      </c>
      <c r="R291" s="1127">
        <f t="shared" si="155"/>
        <v>77190</v>
      </c>
      <c r="S291" s="1012"/>
      <c r="T291" s="1131">
        <f t="shared" si="156"/>
        <v>0</v>
      </c>
      <c r="U291" s="994"/>
      <c r="V291" s="994">
        <f>'[4]Ex. WS'!H272</f>
        <v>0</v>
      </c>
      <c r="W291" s="1132">
        <f t="shared" si="148"/>
        <v>415</v>
      </c>
      <c r="X291" s="1045">
        <f t="shared" si="157"/>
        <v>77190</v>
      </c>
      <c r="Y291" s="1132">
        <f t="shared" si="149"/>
        <v>415</v>
      </c>
      <c r="Z291" s="1045">
        <f t="shared" si="158"/>
        <v>77190</v>
      </c>
      <c r="AA291" s="994">
        <f t="shared" si="161"/>
        <v>14357340</v>
      </c>
      <c r="AB291" s="1011"/>
      <c r="AC291" s="988">
        <f t="shared" si="162"/>
        <v>0</v>
      </c>
    </row>
    <row r="292" spans="1:29" s="486" customFormat="1">
      <c r="A292" s="1014"/>
      <c r="B292" s="992"/>
      <c r="C292" s="1017"/>
      <c r="D292" s="1005"/>
      <c r="E292" s="1005"/>
      <c r="F292" s="1127">
        <f t="shared" si="147"/>
        <v>0</v>
      </c>
      <c r="G292" s="1009"/>
      <c r="H292" s="1127">
        <f t="shared" si="150"/>
        <v>0</v>
      </c>
      <c r="I292" s="996">
        <f t="shared" si="159"/>
        <v>0</v>
      </c>
      <c r="J292" s="1127">
        <f t="shared" si="151"/>
        <v>0</v>
      </c>
      <c r="K292" s="1013"/>
      <c r="L292" s="1127">
        <f t="shared" si="152"/>
        <v>0</v>
      </c>
      <c r="M292" s="995">
        <f t="shared" si="160"/>
        <v>0</v>
      </c>
      <c r="N292" s="1127">
        <f t="shared" si="153"/>
        <v>0</v>
      </c>
      <c r="O292" s="994"/>
      <c r="P292" s="1127">
        <f t="shared" si="154"/>
        <v>0</v>
      </c>
      <c r="Q292" s="1051"/>
      <c r="R292" s="1127">
        <f t="shared" si="155"/>
        <v>0</v>
      </c>
      <c r="S292" s="1012"/>
      <c r="T292" s="1131">
        <f t="shared" si="156"/>
        <v>0</v>
      </c>
      <c r="U292" s="994"/>
      <c r="V292" s="994"/>
      <c r="W292" s="1132">
        <f t="shared" si="148"/>
        <v>0</v>
      </c>
      <c r="X292" s="1045">
        <f t="shared" si="157"/>
        <v>0</v>
      </c>
      <c r="Y292" s="1132">
        <f t="shared" si="149"/>
        <v>0</v>
      </c>
      <c r="Z292" s="1045">
        <f t="shared" si="158"/>
        <v>0</v>
      </c>
      <c r="AA292" s="994">
        <f t="shared" si="161"/>
        <v>0</v>
      </c>
      <c r="AB292" s="1011"/>
      <c r="AC292" s="988">
        <f t="shared" si="162"/>
        <v>0</v>
      </c>
    </row>
    <row r="293" spans="1:29" s="486" customFormat="1" ht="45">
      <c r="A293" s="1014"/>
      <c r="B293" s="1002" t="s">
        <v>5036</v>
      </c>
      <c r="C293" s="1006">
        <v>141.1</v>
      </c>
      <c r="D293" s="1005" t="s">
        <v>3391</v>
      </c>
      <c r="E293" s="1005"/>
      <c r="F293" s="1127">
        <f t="shared" si="147"/>
        <v>0</v>
      </c>
      <c r="G293" s="1009"/>
      <c r="H293" s="1127">
        <f t="shared" si="150"/>
        <v>0</v>
      </c>
      <c r="I293" s="996">
        <f t="shared" si="159"/>
        <v>0</v>
      </c>
      <c r="J293" s="1127">
        <f t="shared" si="151"/>
        <v>0</v>
      </c>
      <c r="K293" s="1013"/>
      <c r="L293" s="1127">
        <f t="shared" si="152"/>
        <v>0</v>
      </c>
      <c r="M293" s="995">
        <f t="shared" si="160"/>
        <v>0</v>
      </c>
      <c r="N293" s="1127">
        <f t="shared" si="153"/>
        <v>0</v>
      </c>
      <c r="O293" s="994"/>
      <c r="P293" s="1127">
        <f t="shared" si="154"/>
        <v>0</v>
      </c>
      <c r="Q293" s="1051">
        <f>'Ex. WS'!H38</f>
        <v>375</v>
      </c>
      <c r="R293" s="1127">
        <f t="shared" si="155"/>
        <v>52912.5</v>
      </c>
      <c r="S293" s="1012"/>
      <c r="T293" s="1131">
        <f t="shared" si="156"/>
        <v>0</v>
      </c>
      <c r="U293" s="994"/>
      <c r="V293" s="994">
        <f>'[4]Ex. WS'!H275</f>
        <v>0</v>
      </c>
      <c r="W293" s="1132">
        <f t="shared" si="148"/>
        <v>375</v>
      </c>
      <c r="X293" s="1045">
        <f t="shared" si="157"/>
        <v>52912.5</v>
      </c>
      <c r="Y293" s="1132">
        <f t="shared" si="149"/>
        <v>375</v>
      </c>
      <c r="Z293" s="1045">
        <f t="shared" si="158"/>
        <v>52912.5</v>
      </c>
      <c r="AA293" s="994">
        <f t="shared" si="161"/>
        <v>7465953.75</v>
      </c>
      <c r="AB293" s="1011"/>
      <c r="AC293" s="988">
        <f t="shared" si="162"/>
        <v>0</v>
      </c>
    </row>
    <row r="294" spans="1:29" s="486" customFormat="1">
      <c r="A294" s="1014"/>
      <c r="B294" s="992"/>
      <c r="C294" s="1006"/>
      <c r="D294" s="1005"/>
      <c r="E294" s="1005"/>
      <c r="F294" s="1127">
        <f t="shared" si="147"/>
        <v>0</v>
      </c>
      <c r="G294" s="1009"/>
      <c r="H294" s="1127">
        <f t="shared" si="150"/>
        <v>0</v>
      </c>
      <c r="I294" s="996">
        <f t="shared" si="159"/>
        <v>0</v>
      </c>
      <c r="J294" s="1127">
        <f t="shared" si="151"/>
        <v>0</v>
      </c>
      <c r="K294" s="1013"/>
      <c r="L294" s="1127">
        <f t="shared" si="152"/>
        <v>0</v>
      </c>
      <c r="M294" s="995">
        <f t="shared" si="160"/>
        <v>0</v>
      </c>
      <c r="N294" s="1127">
        <f t="shared" si="153"/>
        <v>0</v>
      </c>
      <c r="O294" s="994"/>
      <c r="P294" s="1127">
        <f t="shared" si="154"/>
        <v>0</v>
      </c>
      <c r="Q294" s="1051"/>
      <c r="R294" s="1127">
        <f t="shared" si="155"/>
        <v>0</v>
      </c>
      <c r="S294" s="1012"/>
      <c r="T294" s="1131">
        <f t="shared" si="156"/>
        <v>0</v>
      </c>
      <c r="U294" s="994"/>
      <c r="V294" s="994"/>
      <c r="W294" s="1132">
        <f t="shared" si="148"/>
        <v>0</v>
      </c>
      <c r="X294" s="1045">
        <f t="shared" si="157"/>
        <v>0</v>
      </c>
      <c r="Y294" s="1132">
        <f t="shared" si="149"/>
        <v>0</v>
      </c>
      <c r="Z294" s="1045">
        <f t="shared" si="158"/>
        <v>0</v>
      </c>
      <c r="AA294" s="994">
        <f t="shared" si="161"/>
        <v>0</v>
      </c>
      <c r="AB294" s="1011"/>
      <c r="AC294" s="988">
        <f t="shared" si="162"/>
        <v>0</v>
      </c>
    </row>
    <row r="295" spans="1:29" s="486" customFormat="1" ht="45">
      <c r="A295" s="1014"/>
      <c r="B295" s="1002" t="s">
        <v>5035</v>
      </c>
      <c r="C295" s="1006"/>
      <c r="D295" s="1005"/>
      <c r="E295" s="1005"/>
      <c r="F295" s="1127">
        <f t="shared" si="147"/>
        <v>0</v>
      </c>
      <c r="G295" s="1009"/>
      <c r="H295" s="1127">
        <f t="shared" si="150"/>
        <v>0</v>
      </c>
      <c r="I295" s="996">
        <f t="shared" si="159"/>
        <v>0</v>
      </c>
      <c r="J295" s="1127">
        <f t="shared" si="151"/>
        <v>0</v>
      </c>
      <c r="K295" s="1013"/>
      <c r="L295" s="1127">
        <f t="shared" si="152"/>
        <v>0</v>
      </c>
      <c r="M295" s="995">
        <f t="shared" si="160"/>
        <v>0</v>
      </c>
      <c r="N295" s="1127">
        <f t="shared" si="153"/>
        <v>0</v>
      </c>
      <c r="O295" s="994"/>
      <c r="P295" s="1127">
        <f t="shared" si="154"/>
        <v>0</v>
      </c>
      <c r="Q295" s="1051"/>
      <c r="R295" s="1127">
        <f t="shared" si="155"/>
        <v>0</v>
      </c>
      <c r="S295" s="1012"/>
      <c r="T295" s="1131">
        <f t="shared" si="156"/>
        <v>0</v>
      </c>
      <c r="U295" s="994"/>
      <c r="V295" s="994"/>
      <c r="W295" s="1132">
        <f t="shared" si="148"/>
        <v>0</v>
      </c>
      <c r="X295" s="1045">
        <f t="shared" si="157"/>
        <v>0</v>
      </c>
      <c r="Y295" s="1132">
        <f t="shared" si="149"/>
        <v>0</v>
      </c>
      <c r="Z295" s="1045">
        <f t="shared" si="158"/>
        <v>0</v>
      </c>
      <c r="AA295" s="994">
        <f t="shared" si="161"/>
        <v>0</v>
      </c>
      <c r="AB295" s="1011"/>
      <c r="AC295" s="988">
        <f t="shared" si="162"/>
        <v>0</v>
      </c>
    </row>
    <row r="296" spans="1:29" s="486" customFormat="1">
      <c r="A296" s="1014"/>
      <c r="B296" s="1016" t="s">
        <v>5034</v>
      </c>
      <c r="C296" s="1006">
        <v>128</v>
      </c>
      <c r="D296" s="1005" t="s">
        <v>3391</v>
      </c>
      <c r="E296" s="1005"/>
      <c r="F296" s="1127">
        <f t="shared" ref="F296:F359" si="163">E296*C296</f>
        <v>0</v>
      </c>
      <c r="G296" s="1009"/>
      <c r="H296" s="1127">
        <f t="shared" si="150"/>
        <v>0</v>
      </c>
      <c r="I296" s="996">
        <f t="shared" si="159"/>
        <v>0</v>
      </c>
      <c r="J296" s="1127">
        <f t="shared" si="151"/>
        <v>0</v>
      </c>
      <c r="K296" s="1013"/>
      <c r="L296" s="1127">
        <f t="shared" si="152"/>
        <v>0</v>
      </c>
      <c r="M296" s="995">
        <f t="shared" si="160"/>
        <v>0</v>
      </c>
      <c r="N296" s="1127">
        <f t="shared" si="153"/>
        <v>0</v>
      </c>
      <c r="O296" s="994"/>
      <c r="P296" s="1127">
        <f t="shared" si="154"/>
        <v>0</v>
      </c>
      <c r="Q296" s="1051">
        <f>'Ex. WS'!H43</f>
        <v>15</v>
      </c>
      <c r="R296" s="1127">
        <f t="shared" si="155"/>
        <v>1920</v>
      </c>
      <c r="S296" s="1012"/>
      <c r="T296" s="1131">
        <f t="shared" si="156"/>
        <v>0</v>
      </c>
      <c r="U296" s="994"/>
      <c r="V296" s="994">
        <f>'[4]Ex. WS'!H282</f>
        <v>0</v>
      </c>
      <c r="W296" s="1132">
        <f t="shared" ref="W296:W359" si="164">U296+S296+Q296+O296+M296+K296+I296+G296</f>
        <v>15</v>
      </c>
      <c r="X296" s="1045">
        <f t="shared" si="157"/>
        <v>1920</v>
      </c>
      <c r="Y296" s="1132">
        <f t="shared" ref="Y296:Y359" si="165">W296+E296</f>
        <v>15</v>
      </c>
      <c r="Z296" s="1045">
        <f t="shared" si="158"/>
        <v>1920</v>
      </c>
      <c r="AA296" s="994">
        <f t="shared" si="161"/>
        <v>245760</v>
      </c>
      <c r="AB296" s="1011"/>
      <c r="AC296" s="988">
        <f t="shared" si="162"/>
        <v>0</v>
      </c>
    </row>
    <row r="297" spans="1:29" s="486" customFormat="1">
      <c r="A297" s="1014"/>
      <c r="B297" s="1016" t="s">
        <v>5033</v>
      </c>
      <c r="C297" s="1006">
        <v>163</v>
      </c>
      <c r="D297" s="1005" t="s">
        <v>3391</v>
      </c>
      <c r="E297" s="1005"/>
      <c r="F297" s="1127">
        <f t="shared" si="163"/>
        <v>0</v>
      </c>
      <c r="G297" s="1009"/>
      <c r="H297" s="1127">
        <f t="shared" si="150"/>
        <v>0</v>
      </c>
      <c r="I297" s="996">
        <f t="shared" si="159"/>
        <v>0</v>
      </c>
      <c r="J297" s="1127">
        <f t="shared" si="151"/>
        <v>0</v>
      </c>
      <c r="K297" s="1013"/>
      <c r="L297" s="1127">
        <f t="shared" si="152"/>
        <v>0</v>
      </c>
      <c r="M297" s="995">
        <f t="shared" si="160"/>
        <v>0</v>
      </c>
      <c r="N297" s="1127">
        <f t="shared" si="153"/>
        <v>0</v>
      </c>
      <c r="O297" s="994"/>
      <c r="P297" s="1127">
        <f t="shared" si="154"/>
        <v>0</v>
      </c>
      <c r="Q297" s="1051">
        <f>'Ex. WS'!H45</f>
        <v>5</v>
      </c>
      <c r="R297" s="1127">
        <f t="shared" si="155"/>
        <v>815</v>
      </c>
      <c r="S297" s="1012"/>
      <c r="T297" s="1131">
        <f t="shared" si="156"/>
        <v>0</v>
      </c>
      <c r="U297" s="994"/>
      <c r="V297" s="994">
        <f>'[4]Ex. WS'!H288</f>
        <v>0</v>
      </c>
      <c r="W297" s="1132">
        <f t="shared" si="164"/>
        <v>5</v>
      </c>
      <c r="X297" s="1045">
        <f t="shared" si="157"/>
        <v>815</v>
      </c>
      <c r="Y297" s="1132">
        <f t="shared" si="165"/>
        <v>5</v>
      </c>
      <c r="Z297" s="1045">
        <f t="shared" si="158"/>
        <v>815</v>
      </c>
      <c r="AA297" s="994">
        <f t="shared" si="161"/>
        <v>132845</v>
      </c>
      <c r="AB297" s="1011"/>
      <c r="AC297" s="988">
        <f t="shared" si="162"/>
        <v>0</v>
      </c>
    </row>
    <row r="298" spans="1:29" s="486" customFormat="1">
      <c r="A298" s="1014"/>
      <c r="B298" s="1016" t="s">
        <v>6056</v>
      </c>
      <c r="C298" s="1006">
        <v>209</v>
      </c>
      <c r="D298" s="1005" t="s">
        <v>3391</v>
      </c>
      <c r="E298" s="1005"/>
      <c r="F298" s="1127">
        <f t="shared" si="163"/>
        <v>0</v>
      </c>
      <c r="G298" s="1009"/>
      <c r="H298" s="1127">
        <f t="shared" si="150"/>
        <v>0</v>
      </c>
      <c r="I298" s="996">
        <f t="shared" si="159"/>
        <v>0</v>
      </c>
      <c r="J298" s="1127">
        <f t="shared" si="151"/>
        <v>0</v>
      </c>
      <c r="K298" s="1013"/>
      <c r="L298" s="1127">
        <f t="shared" si="152"/>
        <v>0</v>
      </c>
      <c r="M298" s="995">
        <f t="shared" si="160"/>
        <v>0</v>
      </c>
      <c r="N298" s="1127">
        <f t="shared" si="153"/>
        <v>0</v>
      </c>
      <c r="O298" s="994"/>
      <c r="P298" s="1127">
        <f t="shared" si="154"/>
        <v>0</v>
      </c>
      <c r="Q298" s="1051">
        <f>'Ex. WS'!H51</f>
        <v>16</v>
      </c>
      <c r="R298" s="1127">
        <f t="shared" si="155"/>
        <v>3344</v>
      </c>
      <c r="S298" s="1012"/>
      <c r="T298" s="1131">
        <f t="shared" si="156"/>
        <v>0</v>
      </c>
      <c r="U298" s="994"/>
      <c r="V298" s="994">
        <f>'[4]Ex. WS'!H290</f>
        <v>0</v>
      </c>
      <c r="W298" s="1132">
        <f t="shared" si="164"/>
        <v>16</v>
      </c>
      <c r="X298" s="1045">
        <f t="shared" si="157"/>
        <v>3344</v>
      </c>
      <c r="Y298" s="1132">
        <f t="shared" si="165"/>
        <v>16</v>
      </c>
      <c r="Z298" s="1045">
        <f t="shared" si="158"/>
        <v>3344</v>
      </c>
      <c r="AA298" s="994">
        <f t="shared" si="161"/>
        <v>698896</v>
      </c>
      <c r="AB298" s="1011"/>
      <c r="AC298" s="988">
        <f t="shared" si="162"/>
        <v>0</v>
      </c>
    </row>
    <row r="299" spans="1:29" s="486" customFormat="1">
      <c r="A299" s="1014"/>
      <c r="B299" s="1016"/>
      <c r="C299" s="1006"/>
      <c r="D299" s="1005"/>
      <c r="E299" s="1005"/>
      <c r="F299" s="1127">
        <f t="shared" si="163"/>
        <v>0</v>
      </c>
      <c r="G299" s="1009"/>
      <c r="H299" s="1127">
        <f t="shared" si="150"/>
        <v>0</v>
      </c>
      <c r="I299" s="996">
        <f t="shared" si="159"/>
        <v>0</v>
      </c>
      <c r="J299" s="1127">
        <f t="shared" si="151"/>
        <v>0</v>
      </c>
      <c r="K299" s="1013"/>
      <c r="L299" s="1127">
        <f t="shared" si="152"/>
        <v>0</v>
      </c>
      <c r="M299" s="995">
        <f t="shared" si="160"/>
        <v>0</v>
      </c>
      <c r="N299" s="1127">
        <f t="shared" si="153"/>
        <v>0</v>
      </c>
      <c r="O299" s="994"/>
      <c r="P299" s="1127">
        <f t="shared" si="154"/>
        <v>0</v>
      </c>
      <c r="Q299" s="1051"/>
      <c r="R299" s="1127">
        <f t="shared" si="155"/>
        <v>0</v>
      </c>
      <c r="S299" s="1012"/>
      <c r="T299" s="1131">
        <f t="shared" si="156"/>
        <v>0</v>
      </c>
      <c r="U299" s="994"/>
      <c r="V299" s="994"/>
      <c r="W299" s="1132">
        <f t="shared" si="164"/>
        <v>0</v>
      </c>
      <c r="X299" s="1045">
        <f t="shared" si="157"/>
        <v>0</v>
      </c>
      <c r="Y299" s="1132">
        <f t="shared" si="165"/>
        <v>0</v>
      </c>
      <c r="Z299" s="1045">
        <f t="shared" si="158"/>
        <v>0</v>
      </c>
      <c r="AA299" s="994">
        <f t="shared" si="161"/>
        <v>0</v>
      </c>
      <c r="AB299" s="1011"/>
      <c r="AC299" s="988">
        <f t="shared" si="162"/>
        <v>0</v>
      </c>
    </row>
    <row r="300" spans="1:29" s="486" customFormat="1">
      <c r="A300" s="1014"/>
      <c r="B300" s="1002" t="s">
        <v>5032</v>
      </c>
      <c r="C300" s="1006"/>
      <c r="D300" s="1005"/>
      <c r="E300" s="1005"/>
      <c r="F300" s="1127">
        <f t="shared" si="163"/>
        <v>0</v>
      </c>
      <c r="G300" s="1009"/>
      <c r="H300" s="1127">
        <f t="shared" si="150"/>
        <v>0</v>
      </c>
      <c r="I300" s="996">
        <f t="shared" si="159"/>
        <v>0</v>
      </c>
      <c r="J300" s="1127">
        <f t="shared" si="151"/>
        <v>0</v>
      </c>
      <c r="K300" s="1013"/>
      <c r="L300" s="1127">
        <f t="shared" si="152"/>
        <v>0</v>
      </c>
      <c r="M300" s="995">
        <f t="shared" si="160"/>
        <v>0</v>
      </c>
      <c r="N300" s="1127">
        <f t="shared" si="153"/>
        <v>0</v>
      </c>
      <c r="O300" s="994"/>
      <c r="P300" s="1127">
        <f t="shared" si="154"/>
        <v>0</v>
      </c>
      <c r="Q300" s="1051"/>
      <c r="R300" s="1127">
        <f t="shared" si="155"/>
        <v>0</v>
      </c>
      <c r="S300" s="1012"/>
      <c r="T300" s="1131">
        <f t="shared" si="156"/>
        <v>0</v>
      </c>
      <c r="U300" s="994"/>
      <c r="V300" s="994"/>
      <c r="W300" s="1132">
        <f t="shared" si="164"/>
        <v>0</v>
      </c>
      <c r="X300" s="1045">
        <f t="shared" si="157"/>
        <v>0</v>
      </c>
      <c r="Y300" s="1132">
        <f t="shared" si="165"/>
        <v>0</v>
      </c>
      <c r="Z300" s="1045">
        <f t="shared" si="158"/>
        <v>0</v>
      </c>
      <c r="AA300" s="994">
        <f t="shared" si="161"/>
        <v>0</v>
      </c>
      <c r="AB300" s="1011"/>
      <c r="AC300" s="988">
        <f t="shared" si="162"/>
        <v>0</v>
      </c>
    </row>
    <row r="301" spans="1:29" s="486" customFormat="1">
      <c r="A301" s="1014"/>
      <c r="B301" s="1016" t="s">
        <v>5031</v>
      </c>
      <c r="C301" s="1006">
        <v>144.69999999999999</v>
      </c>
      <c r="D301" s="1005" t="s">
        <v>3391</v>
      </c>
      <c r="E301" s="1005"/>
      <c r="F301" s="1127">
        <f t="shared" si="163"/>
        <v>0</v>
      </c>
      <c r="G301" s="1009"/>
      <c r="H301" s="1127">
        <f t="shared" si="150"/>
        <v>0</v>
      </c>
      <c r="I301" s="996">
        <f t="shared" si="159"/>
        <v>0</v>
      </c>
      <c r="J301" s="1127">
        <f t="shared" si="151"/>
        <v>0</v>
      </c>
      <c r="K301" s="1013"/>
      <c r="L301" s="1127">
        <f t="shared" si="152"/>
        <v>0</v>
      </c>
      <c r="M301" s="995">
        <f t="shared" si="160"/>
        <v>0</v>
      </c>
      <c r="N301" s="1127">
        <f t="shared" si="153"/>
        <v>0</v>
      </c>
      <c r="O301" s="994"/>
      <c r="P301" s="1127">
        <f t="shared" si="154"/>
        <v>0</v>
      </c>
      <c r="Q301" s="1051">
        <f>'Ex. WS'!G57</f>
        <v>95</v>
      </c>
      <c r="R301" s="1127">
        <f t="shared" si="155"/>
        <v>13746.5</v>
      </c>
      <c r="S301" s="1012"/>
      <c r="T301" s="1131">
        <f t="shared" ref="T301:T361" si="166">S301*C301</f>
        <v>0</v>
      </c>
      <c r="U301" s="994"/>
      <c r="V301" s="994">
        <f>'[4]Ex. WS'!G296</f>
        <v>0</v>
      </c>
      <c r="W301" s="1132">
        <f t="shared" si="164"/>
        <v>95</v>
      </c>
      <c r="X301" s="1045">
        <f t="shared" si="157"/>
        <v>13746.5</v>
      </c>
      <c r="Y301" s="1132">
        <f t="shared" si="165"/>
        <v>95</v>
      </c>
      <c r="Z301" s="1045">
        <f t="shared" si="158"/>
        <v>13746.5</v>
      </c>
      <c r="AA301" s="994">
        <f t="shared" si="161"/>
        <v>1989118.55</v>
      </c>
      <c r="AB301" s="1011"/>
      <c r="AC301" s="988">
        <f t="shared" si="162"/>
        <v>0</v>
      </c>
    </row>
    <row r="302" spans="1:29" s="486" customFormat="1">
      <c r="A302" s="1014"/>
      <c r="B302" s="992"/>
      <c r="C302" s="1006"/>
      <c r="D302" s="1005"/>
      <c r="E302" s="1005"/>
      <c r="F302" s="1127">
        <f t="shared" si="163"/>
        <v>0</v>
      </c>
      <c r="G302" s="1009"/>
      <c r="H302" s="1127">
        <f t="shared" si="150"/>
        <v>0</v>
      </c>
      <c r="I302" s="996">
        <f t="shared" si="159"/>
        <v>0</v>
      </c>
      <c r="J302" s="1127">
        <f t="shared" si="151"/>
        <v>0</v>
      </c>
      <c r="K302" s="1013"/>
      <c r="L302" s="1127">
        <f t="shared" si="152"/>
        <v>0</v>
      </c>
      <c r="M302" s="995">
        <f t="shared" si="160"/>
        <v>0</v>
      </c>
      <c r="N302" s="1127">
        <f t="shared" si="153"/>
        <v>0</v>
      </c>
      <c r="O302" s="994"/>
      <c r="P302" s="1127">
        <f t="shared" si="154"/>
        <v>0</v>
      </c>
      <c r="Q302" s="1051"/>
      <c r="R302" s="1127">
        <f t="shared" si="155"/>
        <v>0</v>
      </c>
      <c r="S302" s="1012"/>
      <c r="T302" s="1131">
        <f t="shared" si="166"/>
        <v>0</v>
      </c>
      <c r="U302" s="994"/>
      <c r="V302" s="994"/>
      <c r="W302" s="1132">
        <f t="shared" si="164"/>
        <v>0</v>
      </c>
      <c r="X302" s="1045">
        <f t="shared" si="157"/>
        <v>0</v>
      </c>
      <c r="Y302" s="1132">
        <f t="shared" si="165"/>
        <v>0</v>
      </c>
      <c r="Z302" s="1045">
        <f t="shared" si="158"/>
        <v>0</v>
      </c>
      <c r="AA302" s="994">
        <f t="shared" si="161"/>
        <v>0</v>
      </c>
      <c r="AB302" s="1011"/>
      <c r="AC302" s="988">
        <f t="shared" si="162"/>
        <v>0</v>
      </c>
    </row>
    <row r="303" spans="1:29" s="486" customFormat="1">
      <c r="A303" s="1014"/>
      <c r="B303" s="1002" t="s">
        <v>5030</v>
      </c>
      <c r="C303" s="1006">
        <v>61.7</v>
      </c>
      <c r="D303" s="1005" t="s">
        <v>3391</v>
      </c>
      <c r="E303" s="1005"/>
      <c r="F303" s="1127">
        <f t="shared" si="163"/>
        <v>0</v>
      </c>
      <c r="G303" s="1009"/>
      <c r="H303" s="1127">
        <f t="shared" si="150"/>
        <v>0</v>
      </c>
      <c r="I303" s="996">
        <f t="shared" si="159"/>
        <v>0</v>
      </c>
      <c r="J303" s="1127">
        <f t="shared" si="151"/>
        <v>0</v>
      </c>
      <c r="K303" s="1013"/>
      <c r="L303" s="1127">
        <f t="shared" si="152"/>
        <v>0</v>
      </c>
      <c r="M303" s="995">
        <f t="shared" si="160"/>
        <v>0</v>
      </c>
      <c r="N303" s="1127">
        <f t="shared" si="153"/>
        <v>0</v>
      </c>
      <c r="O303" s="994"/>
      <c r="P303" s="1127">
        <f t="shared" si="154"/>
        <v>0</v>
      </c>
      <c r="Q303" s="1051">
        <f>'Ex. WS'!H60</f>
        <v>15</v>
      </c>
      <c r="R303" s="1127">
        <f t="shared" si="155"/>
        <v>925.5</v>
      </c>
      <c r="S303" s="1012"/>
      <c r="T303" s="1131">
        <f t="shared" si="166"/>
        <v>0</v>
      </c>
      <c r="U303" s="994"/>
      <c r="V303" s="994">
        <f>'[4]Ex. WS'!H299</f>
        <v>0</v>
      </c>
      <c r="W303" s="1132">
        <f t="shared" si="164"/>
        <v>15</v>
      </c>
      <c r="X303" s="1045">
        <f t="shared" si="157"/>
        <v>925.5</v>
      </c>
      <c r="Y303" s="1132">
        <f t="shared" si="165"/>
        <v>15</v>
      </c>
      <c r="Z303" s="1045">
        <f t="shared" si="158"/>
        <v>925.5</v>
      </c>
      <c r="AA303" s="994">
        <f t="shared" ref="AA303:AA334" si="167">Z303*C303</f>
        <v>57103.35</v>
      </c>
      <c r="AB303" s="1011"/>
      <c r="AC303" s="988">
        <f t="shared" ref="AC303:AC334" si="168">(F303+H303)-J303</f>
        <v>0</v>
      </c>
    </row>
    <row r="304" spans="1:29" s="486" customFormat="1">
      <c r="A304" s="1014"/>
      <c r="B304" s="992"/>
      <c r="C304" s="1006"/>
      <c r="D304" s="1005"/>
      <c r="E304" s="1005"/>
      <c r="F304" s="1127">
        <f t="shared" si="163"/>
        <v>0</v>
      </c>
      <c r="G304" s="1009"/>
      <c r="H304" s="1127">
        <f t="shared" si="150"/>
        <v>0</v>
      </c>
      <c r="I304" s="996">
        <f t="shared" si="159"/>
        <v>0</v>
      </c>
      <c r="J304" s="1127">
        <f t="shared" si="151"/>
        <v>0</v>
      </c>
      <c r="K304" s="1013"/>
      <c r="L304" s="1127">
        <f t="shared" si="152"/>
        <v>0</v>
      </c>
      <c r="M304" s="995">
        <f t="shared" si="160"/>
        <v>0</v>
      </c>
      <c r="N304" s="1127">
        <f t="shared" si="153"/>
        <v>0</v>
      </c>
      <c r="O304" s="994"/>
      <c r="P304" s="1127">
        <f t="shared" si="154"/>
        <v>0</v>
      </c>
      <c r="Q304" s="1051"/>
      <c r="R304" s="1127">
        <f t="shared" si="155"/>
        <v>0</v>
      </c>
      <c r="S304" s="1012"/>
      <c r="T304" s="1131">
        <f t="shared" si="166"/>
        <v>0</v>
      </c>
      <c r="U304" s="994"/>
      <c r="V304" s="994"/>
      <c r="W304" s="1132">
        <f t="shared" si="164"/>
        <v>0</v>
      </c>
      <c r="X304" s="1045">
        <f t="shared" si="157"/>
        <v>0</v>
      </c>
      <c r="Y304" s="1132">
        <f t="shared" si="165"/>
        <v>0</v>
      </c>
      <c r="Z304" s="1045">
        <f t="shared" si="158"/>
        <v>0</v>
      </c>
      <c r="AA304" s="994">
        <f t="shared" si="167"/>
        <v>0</v>
      </c>
      <c r="AB304" s="1011"/>
      <c r="AC304" s="988">
        <f t="shared" si="168"/>
        <v>0</v>
      </c>
    </row>
    <row r="305" spans="1:29" s="486" customFormat="1">
      <c r="A305" s="1014"/>
      <c r="B305" s="1002" t="s">
        <v>5029</v>
      </c>
      <c r="C305" s="1006"/>
      <c r="D305" s="1005"/>
      <c r="E305" s="1005"/>
      <c r="F305" s="1127">
        <f t="shared" si="163"/>
        <v>0</v>
      </c>
      <c r="G305" s="1009"/>
      <c r="H305" s="1127">
        <f t="shared" si="150"/>
        <v>0</v>
      </c>
      <c r="I305" s="996">
        <f t="shared" si="159"/>
        <v>0</v>
      </c>
      <c r="J305" s="1127">
        <f t="shared" si="151"/>
        <v>0</v>
      </c>
      <c r="K305" s="1013"/>
      <c r="L305" s="1127">
        <f t="shared" si="152"/>
        <v>0</v>
      </c>
      <c r="M305" s="995">
        <f t="shared" si="160"/>
        <v>0</v>
      </c>
      <c r="N305" s="1127">
        <f t="shared" si="153"/>
        <v>0</v>
      </c>
      <c r="O305" s="994"/>
      <c r="P305" s="1127">
        <f t="shared" si="154"/>
        <v>0</v>
      </c>
      <c r="Q305" s="1051"/>
      <c r="R305" s="1127">
        <f t="shared" si="155"/>
        <v>0</v>
      </c>
      <c r="S305" s="1012"/>
      <c r="T305" s="1131">
        <f t="shared" si="166"/>
        <v>0</v>
      </c>
      <c r="U305" s="994"/>
      <c r="V305" s="994"/>
      <c r="W305" s="1132">
        <f t="shared" si="164"/>
        <v>0</v>
      </c>
      <c r="X305" s="1045">
        <f t="shared" si="157"/>
        <v>0</v>
      </c>
      <c r="Y305" s="1132">
        <f t="shared" si="165"/>
        <v>0</v>
      </c>
      <c r="Z305" s="1045">
        <f t="shared" si="158"/>
        <v>0</v>
      </c>
      <c r="AA305" s="994">
        <f t="shared" si="167"/>
        <v>0</v>
      </c>
      <c r="AB305" s="1011"/>
      <c r="AC305" s="988">
        <f t="shared" si="168"/>
        <v>0</v>
      </c>
    </row>
    <row r="306" spans="1:29" s="486" customFormat="1">
      <c r="A306" s="1014"/>
      <c r="B306" s="1002" t="s">
        <v>5028</v>
      </c>
      <c r="C306" s="1006">
        <v>139.80000000000001</v>
      </c>
      <c r="D306" s="1005" t="s">
        <v>1375</v>
      </c>
      <c r="E306" s="1005"/>
      <c r="F306" s="1127">
        <f t="shared" si="163"/>
        <v>0</v>
      </c>
      <c r="G306" s="1009"/>
      <c r="H306" s="1127">
        <f t="shared" si="150"/>
        <v>0</v>
      </c>
      <c r="I306" s="996">
        <f t="shared" si="159"/>
        <v>0</v>
      </c>
      <c r="J306" s="1127">
        <f t="shared" si="151"/>
        <v>0</v>
      </c>
      <c r="K306" s="1013"/>
      <c r="L306" s="1127">
        <f t="shared" si="152"/>
        <v>0</v>
      </c>
      <c r="M306" s="995">
        <f t="shared" si="160"/>
        <v>0</v>
      </c>
      <c r="N306" s="1127">
        <f t="shared" si="153"/>
        <v>0</v>
      </c>
      <c r="O306" s="994"/>
      <c r="P306" s="1127">
        <f t="shared" si="154"/>
        <v>0</v>
      </c>
      <c r="Q306" s="1051">
        <f>'Ex. WS'!H62</f>
        <v>5</v>
      </c>
      <c r="R306" s="1127">
        <f t="shared" si="155"/>
        <v>699</v>
      </c>
      <c r="S306" s="1012"/>
      <c r="T306" s="1131">
        <f t="shared" si="166"/>
        <v>0</v>
      </c>
      <c r="U306" s="994"/>
      <c r="V306" s="994">
        <f>'[4]Ex. WS'!H301</f>
        <v>0</v>
      </c>
      <c r="W306" s="1132">
        <f t="shared" si="164"/>
        <v>5</v>
      </c>
      <c r="X306" s="1045">
        <f t="shared" si="157"/>
        <v>699</v>
      </c>
      <c r="Y306" s="1132">
        <f t="shared" si="165"/>
        <v>5</v>
      </c>
      <c r="Z306" s="1045">
        <f t="shared" si="158"/>
        <v>699</v>
      </c>
      <c r="AA306" s="994">
        <f t="shared" si="167"/>
        <v>97720.2</v>
      </c>
      <c r="AB306" s="1011"/>
      <c r="AC306" s="988">
        <f t="shared" si="168"/>
        <v>0</v>
      </c>
    </row>
    <row r="307" spans="1:29" s="486" customFormat="1">
      <c r="A307" s="1014"/>
      <c r="B307" s="1002" t="s">
        <v>5027</v>
      </c>
      <c r="C307" s="1006">
        <v>69.8</v>
      </c>
      <c r="D307" s="1005" t="s">
        <v>1375</v>
      </c>
      <c r="E307" s="1005"/>
      <c r="F307" s="1127">
        <f t="shared" si="163"/>
        <v>0</v>
      </c>
      <c r="G307" s="1009"/>
      <c r="H307" s="1127">
        <f t="shared" si="150"/>
        <v>0</v>
      </c>
      <c r="I307" s="996">
        <f t="shared" si="159"/>
        <v>0</v>
      </c>
      <c r="J307" s="1127">
        <f t="shared" si="151"/>
        <v>0</v>
      </c>
      <c r="K307" s="1013"/>
      <c r="L307" s="1127">
        <f t="shared" si="152"/>
        <v>0</v>
      </c>
      <c r="M307" s="995">
        <f t="shared" si="160"/>
        <v>0</v>
      </c>
      <c r="N307" s="1127">
        <f t="shared" si="153"/>
        <v>0</v>
      </c>
      <c r="O307" s="994"/>
      <c r="P307" s="1127">
        <f t="shared" si="154"/>
        <v>0</v>
      </c>
      <c r="Q307" s="1051">
        <f>'Ex. WS'!H63</f>
        <v>6</v>
      </c>
      <c r="R307" s="1127">
        <f t="shared" si="155"/>
        <v>418.8</v>
      </c>
      <c r="S307" s="1012"/>
      <c r="T307" s="1131">
        <f t="shared" si="166"/>
        <v>0</v>
      </c>
      <c r="U307" s="994"/>
      <c r="V307" s="994">
        <f>'[4]Ex. WS'!H302</f>
        <v>0</v>
      </c>
      <c r="W307" s="1132">
        <f t="shared" si="164"/>
        <v>6</v>
      </c>
      <c r="X307" s="1045">
        <f t="shared" si="157"/>
        <v>418.8</v>
      </c>
      <c r="Y307" s="1132">
        <f t="shared" si="165"/>
        <v>6</v>
      </c>
      <c r="Z307" s="1045">
        <f t="shared" si="158"/>
        <v>418.8</v>
      </c>
      <c r="AA307" s="994">
        <f t="shared" si="167"/>
        <v>29232.240000000002</v>
      </c>
      <c r="AB307" s="1011"/>
      <c r="AC307" s="988">
        <f t="shared" si="168"/>
        <v>0</v>
      </c>
    </row>
    <row r="308" spans="1:29" s="486" customFormat="1">
      <c r="A308" s="1014"/>
      <c r="B308" s="1002" t="s">
        <v>5026</v>
      </c>
      <c r="C308" s="1006">
        <v>1229</v>
      </c>
      <c r="D308" s="1005" t="s">
        <v>1375</v>
      </c>
      <c r="E308" s="1005"/>
      <c r="F308" s="1127">
        <f t="shared" si="163"/>
        <v>0</v>
      </c>
      <c r="G308" s="1009"/>
      <c r="H308" s="1127">
        <f t="shared" si="150"/>
        <v>0</v>
      </c>
      <c r="I308" s="996">
        <f t="shared" si="159"/>
        <v>0</v>
      </c>
      <c r="J308" s="1127">
        <f t="shared" si="151"/>
        <v>0</v>
      </c>
      <c r="K308" s="1013"/>
      <c r="L308" s="1127">
        <f t="shared" si="152"/>
        <v>0</v>
      </c>
      <c r="M308" s="995">
        <f t="shared" si="160"/>
        <v>0</v>
      </c>
      <c r="N308" s="1127">
        <f t="shared" si="153"/>
        <v>0</v>
      </c>
      <c r="O308" s="994"/>
      <c r="P308" s="1127">
        <f t="shared" si="154"/>
        <v>0</v>
      </c>
      <c r="Q308" s="1051">
        <f>'Ex. WS'!H64</f>
        <v>3</v>
      </c>
      <c r="R308" s="1127">
        <f t="shared" si="155"/>
        <v>3687</v>
      </c>
      <c r="S308" s="1012"/>
      <c r="T308" s="1131">
        <f t="shared" si="166"/>
        <v>0</v>
      </c>
      <c r="U308" s="994"/>
      <c r="V308" s="994">
        <f>'[4]Ex. WS'!H303</f>
        <v>0</v>
      </c>
      <c r="W308" s="1132">
        <f t="shared" si="164"/>
        <v>3</v>
      </c>
      <c r="X308" s="1045">
        <f t="shared" si="157"/>
        <v>3687</v>
      </c>
      <c r="Y308" s="1132">
        <f t="shared" si="165"/>
        <v>3</v>
      </c>
      <c r="Z308" s="1045">
        <f t="shared" si="158"/>
        <v>3687</v>
      </c>
      <c r="AA308" s="994">
        <f t="shared" si="167"/>
        <v>4531323</v>
      </c>
      <c r="AB308" s="1011"/>
      <c r="AC308" s="988">
        <f t="shared" si="168"/>
        <v>0</v>
      </c>
    </row>
    <row r="309" spans="1:29" s="486" customFormat="1">
      <c r="A309" s="1014"/>
      <c r="B309" s="1002" t="s">
        <v>5025</v>
      </c>
      <c r="C309" s="1015">
        <v>2082</v>
      </c>
      <c r="D309" s="1005" t="s">
        <v>1375</v>
      </c>
      <c r="E309" s="1005"/>
      <c r="F309" s="1127">
        <f t="shared" si="163"/>
        <v>0</v>
      </c>
      <c r="G309" s="1009"/>
      <c r="H309" s="1127">
        <f t="shared" si="150"/>
        <v>0</v>
      </c>
      <c r="I309" s="996">
        <f t="shared" si="159"/>
        <v>0</v>
      </c>
      <c r="J309" s="1127">
        <f t="shared" si="151"/>
        <v>0</v>
      </c>
      <c r="K309" s="1013"/>
      <c r="L309" s="1127">
        <f t="shared" si="152"/>
        <v>0</v>
      </c>
      <c r="M309" s="995">
        <f t="shared" si="160"/>
        <v>0</v>
      </c>
      <c r="N309" s="1127">
        <f t="shared" si="153"/>
        <v>0</v>
      </c>
      <c r="O309" s="994"/>
      <c r="P309" s="1127">
        <f t="shared" si="154"/>
        <v>0</v>
      </c>
      <c r="Q309" s="1051">
        <f>'Ex. WS'!H65</f>
        <v>1</v>
      </c>
      <c r="R309" s="1127">
        <f t="shared" si="155"/>
        <v>2082</v>
      </c>
      <c r="S309" s="1012"/>
      <c r="T309" s="1131">
        <f t="shared" si="166"/>
        <v>0</v>
      </c>
      <c r="U309" s="994"/>
      <c r="V309" s="994">
        <f>'[4]Ex. WS'!H304</f>
        <v>0</v>
      </c>
      <c r="W309" s="1132">
        <f t="shared" si="164"/>
        <v>1</v>
      </c>
      <c r="X309" s="1045">
        <f t="shared" si="157"/>
        <v>2082</v>
      </c>
      <c r="Y309" s="1132">
        <f t="shared" si="165"/>
        <v>1</v>
      </c>
      <c r="Z309" s="1045">
        <f t="shared" si="158"/>
        <v>2082</v>
      </c>
      <c r="AA309" s="994">
        <f t="shared" si="167"/>
        <v>4334724</v>
      </c>
      <c r="AB309" s="1011"/>
      <c r="AC309" s="988">
        <f t="shared" si="168"/>
        <v>0</v>
      </c>
    </row>
    <row r="310" spans="1:29" s="486" customFormat="1">
      <c r="A310" s="1014"/>
      <c r="B310" s="1002" t="s">
        <v>5024</v>
      </c>
      <c r="C310" s="1006">
        <v>266.3</v>
      </c>
      <c r="D310" s="1005" t="s">
        <v>1375</v>
      </c>
      <c r="E310" s="1005"/>
      <c r="F310" s="1127">
        <f t="shared" si="163"/>
        <v>0</v>
      </c>
      <c r="G310" s="1009"/>
      <c r="H310" s="1127">
        <f t="shared" si="150"/>
        <v>0</v>
      </c>
      <c r="I310" s="996">
        <f t="shared" si="159"/>
        <v>0</v>
      </c>
      <c r="J310" s="1127">
        <f t="shared" si="151"/>
        <v>0</v>
      </c>
      <c r="K310" s="1013"/>
      <c r="L310" s="1127">
        <f t="shared" si="152"/>
        <v>0</v>
      </c>
      <c r="M310" s="995">
        <f t="shared" si="160"/>
        <v>0</v>
      </c>
      <c r="N310" s="1127">
        <f t="shared" si="153"/>
        <v>0</v>
      </c>
      <c r="O310" s="994"/>
      <c r="P310" s="1127">
        <f t="shared" si="154"/>
        <v>0</v>
      </c>
      <c r="Q310" s="1051">
        <f>'Ex. WS'!H66</f>
        <v>3</v>
      </c>
      <c r="R310" s="1127">
        <f t="shared" si="155"/>
        <v>798.9</v>
      </c>
      <c r="S310" s="1012"/>
      <c r="T310" s="1131">
        <f t="shared" si="166"/>
        <v>0</v>
      </c>
      <c r="U310" s="994"/>
      <c r="V310" s="994">
        <f>'[4]Ex. WS'!H305</f>
        <v>0</v>
      </c>
      <c r="W310" s="1132">
        <f t="shared" si="164"/>
        <v>3</v>
      </c>
      <c r="X310" s="1045">
        <f t="shared" si="157"/>
        <v>798.9</v>
      </c>
      <c r="Y310" s="1132">
        <f t="shared" si="165"/>
        <v>3</v>
      </c>
      <c r="Z310" s="1045">
        <f t="shared" si="158"/>
        <v>798.9</v>
      </c>
      <c r="AA310" s="994">
        <f t="shared" si="167"/>
        <v>212747.07</v>
      </c>
      <c r="AB310" s="1011"/>
      <c r="AC310" s="988">
        <f t="shared" si="168"/>
        <v>0</v>
      </c>
    </row>
    <row r="311" spans="1:29" s="486" customFormat="1">
      <c r="A311" s="1014"/>
      <c r="B311" s="1002" t="s">
        <v>5023</v>
      </c>
      <c r="C311" s="1006">
        <v>87</v>
      </c>
      <c r="D311" s="1005" t="s">
        <v>1375</v>
      </c>
      <c r="E311" s="1005"/>
      <c r="F311" s="1127">
        <f t="shared" si="163"/>
        <v>0</v>
      </c>
      <c r="G311" s="1009"/>
      <c r="H311" s="1127">
        <f t="shared" si="150"/>
        <v>0</v>
      </c>
      <c r="I311" s="996">
        <f t="shared" si="159"/>
        <v>0</v>
      </c>
      <c r="J311" s="1127">
        <f t="shared" si="151"/>
        <v>0</v>
      </c>
      <c r="K311" s="1013"/>
      <c r="L311" s="1127">
        <f t="shared" si="152"/>
        <v>0</v>
      </c>
      <c r="M311" s="995">
        <f t="shared" si="160"/>
        <v>0</v>
      </c>
      <c r="N311" s="1127">
        <f t="shared" si="153"/>
        <v>0</v>
      </c>
      <c r="O311" s="994"/>
      <c r="P311" s="1127">
        <f t="shared" si="154"/>
        <v>0</v>
      </c>
      <c r="Q311" s="1051">
        <f>'Ex. WS'!H67</f>
        <v>5</v>
      </c>
      <c r="R311" s="1127">
        <f t="shared" si="155"/>
        <v>435</v>
      </c>
      <c r="S311" s="1012"/>
      <c r="T311" s="1131">
        <f t="shared" si="166"/>
        <v>0</v>
      </c>
      <c r="U311" s="994"/>
      <c r="V311" s="994">
        <f>'[4]Ex. WS'!H306</f>
        <v>0</v>
      </c>
      <c r="W311" s="1132">
        <f t="shared" si="164"/>
        <v>5</v>
      </c>
      <c r="X311" s="1045">
        <f t="shared" si="157"/>
        <v>435</v>
      </c>
      <c r="Y311" s="1132">
        <f t="shared" si="165"/>
        <v>5</v>
      </c>
      <c r="Z311" s="1045">
        <f t="shared" si="158"/>
        <v>435</v>
      </c>
      <c r="AA311" s="994">
        <f t="shared" si="167"/>
        <v>37845</v>
      </c>
      <c r="AB311" s="1011"/>
      <c r="AC311" s="988">
        <f t="shared" si="168"/>
        <v>0</v>
      </c>
    </row>
    <row r="312" spans="1:29" s="486" customFormat="1">
      <c r="A312" s="1014"/>
      <c r="B312" s="1002" t="s">
        <v>5022</v>
      </c>
      <c r="C312" s="1006">
        <v>434</v>
      </c>
      <c r="D312" s="1005" t="s">
        <v>1375</v>
      </c>
      <c r="E312" s="1005"/>
      <c r="F312" s="1127">
        <f t="shared" si="163"/>
        <v>0</v>
      </c>
      <c r="G312" s="1009"/>
      <c r="H312" s="1127">
        <f t="shared" ref="H312:H361" si="169">G312*C312</f>
        <v>0</v>
      </c>
      <c r="I312" s="996">
        <f t="shared" si="159"/>
        <v>0</v>
      </c>
      <c r="J312" s="1127">
        <f t="shared" ref="J312:J361" si="170">I312*C312</f>
        <v>0</v>
      </c>
      <c r="K312" s="1013"/>
      <c r="L312" s="1127">
        <f t="shared" ref="L312:L361" si="171">K312*C312</f>
        <v>0</v>
      </c>
      <c r="M312" s="995">
        <f t="shared" si="160"/>
        <v>0</v>
      </c>
      <c r="N312" s="1127">
        <f t="shared" ref="N312:N361" si="172">M312*C312</f>
        <v>0</v>
      </c>
      <c r="O312" s="994"/>
      <c r="P312" s="1127">
        <f t="shared" ref="P312:P361" si="173">O312*C312</f>
        <v>0</v>
      </c>
      <c r="Q312" s="1051">
        <f>'Ex. WS'!H68</f>
        <v>1</v>
      </c>
      <c r="R312" s="1127">
        <f t="shared" ref="R312:R361" si="174">Q312*C312</f>
        <v>434</v>
      </c>
      <c r="S312" s="1012"/>
      <c r="T312" s="1131">
        <f t="shared" si="166"/>
        <v>0</v>
      </c>
      <c r="U312" s="994"/>
      <c r="V312" s="994">
        <f>'[4]Ex. WS'!H307</f>
        <v>0</v>
      </c>
      <c r="W312" s="1132">
        <f t="shared" si="164"/>
        <v>1</v>
      </c>
      <c r="X312" s="1045">
        <f t="shared" ref="X312:X361" si="175">W312*C312</f>
        <v>434</v>
      </c>
      <c r="Y312" s="1132">
        <f t="shared" si="165"/>
        <v>1</v>
      </c>
      <c r="Z312" s="1045">
        <f t="shared" ref="Z312:Z361" si="176">Y312*C312</f>
        <v>434</v>
      </c>
      <c r="AA312" s="994">
        <f t="shared" si="167"/>
        <v>188356</v>
      </c>
      <c r="AB312" s="1011"/>
      <c r="AC312" s="988">
        <f t="shared" si="168"/>
        <v>0</v>
      </c>
    </row>
    <row r="313" spans="1:29" s="486" customFormat="1">
      <c r="A313" s="1014"/>
      <c r="B313" s="1002" t="s">
        <v>5021</v>
      </c>
      <c r="C313" s="1006">
        <v>139.80000000000001</v>
      </c>
      <c r="D313" s="1005" t="s">
        <v>1375</v>
      </c>
      <c r="E313" s="1005"/>
      <c r="F313" s="1127">
        <f t="shared" si="163"/>
        <v>0</v>
      </c>
      <c r="G313" s="1009"/>
      <c r="H313" s="1127">
        <f t="shared" si="169"/>
        <v>0</v>
      </c>
      <c r="I313" s="996">
        <f t="shared" si="159"/>
        <v>0</v>
      </c>
      <c r="J313" s="1127">
        <f t="shared" si="170"/>
        <v>0</v>
      </c>
      <c r="K313" s="1013"/>
      <c r="L313" s="1127">
        <f t="shared" si="171"/>
        <v>0</v>
      </c>
      <c r="M313" s="995">
        <f t="shared" si="160"/>
        <v>0</v>
      </c>
      <c r="N313" s="1127">
        <f t="shared" si="172"/>
        <v>0</v>
      </c>
      <c r="O313" s="994"/>
      <c r="P313" s="1127">
        <f t="shared" si="173"/>
        <v>0</v>
      </c>
      <c r="Q313" s="1051">
        <f>'Ex. WS'!H69</f>
        <v>3</v>
      </c>
      <c r="R313" s="1127">
        <f t="shared" si="174"/>
        <v>419.4</v>
      </c>
      <c r="S313" s="1012"/>
      <c r="T313" s="1131">
        <f t="shared" si="166"/>
        <v>0</v>
      </c>
      <c r="U313" s="994"/>
      <c r="V313" s="994">
        <f>'[4]Ex. WS'!H308</f>
        <v>0</v>
      </c>
      <c r="W313" s="1132">
        <f t="shared" si="164"/>
        <v>3</v>
      </c>
      <c r="X313" s="1045">
        <f t="shared" si="175"/>
        <v>419.4</v>
      </c>
      <c r="Y313" s="1132">
        <f t="shared" si="165"/>
        <v>3</v>
      </c>
      <c r="Z313" s="1045">
        <f t="shared" si="176"/>
        <v>419.4</v>
      </c>
      <c r="AA313" s="994">
        <f t="shared" si="167"/>
        <v>58632.12</v>
      </c>
      <c r="AB313" s="1011"/>
      <c r="AC313" s="988">
        <f t="shared" si="168"/>
        <v>0</v>
      </c>
    </row>
    <row r="314" spans="1:29" s="486" customFormat="1">
      <c r="A314" s="1014"/>
      <c r="B314" s="1002" t="s">
        <v>5020</v>
      </c>
      <c r="C314" s="1006">
        <v>127.5</v>
      </c>
      <c r="D314" s="1005" t="s">
        <v>1375</v>
      </c>
      <c r="E314" s="1005"/>
      <c r="F314" s="1127">
        <f t="shared" si="163"/>
        <v>0</v>
      </c>
      <c r="G314" s="1009"/>
      <c r="H314" s="1127">
        <f t="shared" si="169"/>
        <v>0</v>
      </c>
      <c r="I314" s="996">
        <f t="shared" si="159"/>
        <v>0</v>
      </c>
      <c r="J314" s="1127">
        <f t="shared" si="170"/>
        <v>0</v>
      </c>
      <c r="K314" s="1013"/>
      <c r="L314" s="1127">
        <f t="shared" si="171"/>
        <v>0</v>
      </c>
      <c r="M314" s="995">
        <f t="shared" si="160"/>
        <v>0</v>
      </c>
      <c r="N314" s="1127">
        <f t="shared" si="172"/>
        <v>0</v>
      </c>
      <c r="O314" s="994"/>
      <c r="P314" s="1127">
        <f t="shared" si="173"/>
        <v>0</v>
      </c>
      <c r="Q314" s="1051">
        <f>'Ex. WS'!H70</f>
        <v>2</v>
      </c>
      <c r="R314" s="1127">
        <f t="shared" si="174"/>
        <v>255</v>
      </c>
      <c r="S314" s="1012"/>
      <c r="T314" s="1131">
        <f t="shared" si="166"/>
        <v>0</v>
      </c>
      <c r="U314" s="994"/>
      <c r="V314" s="994">
        <f>'[4]Ex. WS'!H309</f>
        <v>0</v>
      </c>
      <c r="W314" s="1132">
        <f t="shared" si="164"/>
        <v>2</v>
      </c>
      <c r="X314" s="1045">
        <f t="shared" si="175"/>
        <v>255</v>
      </c>
      <c r="Y314" s="1132">
        <f t="shared" si="165"/>
        <v>2</v>
      </c>
      <c r="Z314" s="1045">
        <f t="shared" si="176"/>
        <v>255</v>
      </c>
      <c r="AA314" s="994">
        <f t="shared" si="167"/>
        <v>32512.5</v>
      </c>
      <c r="AB314" s="1011"/>
      <c r="AC314" s="988">
        <f t="shared" si="168"/>
        <v>0</v>
      </c>
    </row>
    <row r="315" spans="1:29" s="486" customFormat="1">
      <c r="A315" s="1014"/>
      <c r="B315" s="1002" t="s">
        <v>5019</v>
      </c>
      <c r="C315" s="1006">
        <v>87</v>
      </c>
      <c r="D315" s="1005" t="s">
        <v>1375</v>
      </c>
      <c r="E315" s="1005"/>
      <c r="F315" s="1127">
        <f t="shared" si="163"/>
        <v>0</v>
      </c>
      <c r="G315" s="1009"/>
      <c r="H315" s="1127">
        <f t="shared" si="169"/>
        <v>0</v>
      </c>
      <c r="I315" s="996">
        <f t="shared" si="159"/>
        <v>0</v>
      </c>
      <c r="J315" s="1127">
        <f t="shared" si="170"/>
        <v>0</v>
      </c>
      <c r="K315" s="1013"/>
      <c r="L315" s="1127">
        <f t="shared" si="171"/>
        <v>0</v>
      </c>
      <c r="M315" s="995">
        <f t="shared" si="160"/>
        <v>0</v>
      </c>
      <c r="N315" s="1127">
        <f t="shared" si="172"/>
        <v>0</v>
      </c>
      <c r="O315" s="994">
        <f>N315*C315</f>
        <v>0</v>
      </c>
      <c r="P315" s="1127">
        <f t="shared" si="173"/>
        <v>0</v>
      </c>
      <c r="Q315" s="1051">
        <f>'Ex. WS'!H71</f>
        <v>2</v>
      </c>
      <c r="R315" s="1127">
        <f t="shared" si="174"/>
        <v>174</v>
      </c>
      <c r="S315" s="1012"/>
      <c r="T315" s="1131">
        <f t="shared" si="166"/>
        <v>0</v>
      </c>
      <c r="U315" s="994"/>
      <c r="V315" s="994">
        <f>'[4]Ex. WS'!H310</f>
        <v>0</v>
      </c>
      <c r="W315" s="1132">
        <f t="shared" si="164"/>
        <v>2</v>
      </c>
      <c r="X315" s="1045">
        <f t="shared" si="175"/>
        <v>174</v>
      </c>
      <c r="Y315" s="1132">
        <f t="shared" si="165"/>
        <v>2</v>
      </c>
      <c r="Z315" s="1045">
        <f t="shared" si="176"/>
        <v>174</v>
      </c>
      <c r="AA315" s="994">
        <f t="shared" si="167"/>
        <v>15138</v>
      </c>
      <c r="AB315" s="1011"/>
      <c r="AC315" s="988">
        <f t="shared" si="168"/>
        <v>0</v>
      </c>
    </row>
    <row r="316" spans="1:29" s="718" customFormat="1">
      <c r="A316" s="1010"/>
      <c r="B316" s="1002" t="s">
        <v>5018</v>
      </c>
      <c r="C316" s="1006">
        <v>58.1</v>
      </c>
      <c r="D316" s="1005" t="s">
        <v>1375</v>
      </c>
      <c r="E316" s="1005"/>
      <c r="F316" s="1127">
        <f t="shared" si="163"/>
        <v>0</v>
      </c>
      <c r="G316" s="1009"/>
      <c r="H316" s="1127">
        <f t="shared" si="169"/>
        <v>0</v>
      </c>
      <c r="I316" s="996">
        <f t="shared" si="159"/>
        <v>0</v>
      </c>
      <c r="J316" s="1127">
        <f t="shared" si="170"/>
        <v>0</v>
      </c>
      <c r="K316" s="1008"/>
      <c r="L316" s="1127">
        <f t="shared" si="171"/>
        <v>0</v>
      </c>
      <c r="M316" s="995">
        <f t="shared" si="160"/>
        <v>0</v>
      </c>
      <c r="N316" s="1127">
        <f t="shared" si="172"/>
        <v>0</v>
      </c>
      <c r="O316" s="993"/>
      <c r="P316" s="1127">
        <f t="shared" si="173"/>
        <v>0</v>
      </c>
      <c r="Q316" s="1051">
        <f>'Ex. WS'!H72</f>
        <v>2</v>
      </c>
      <c r="R316" s="1127">
        <f t="shared" si="174"/>
        <v>116.2</v>
      </c>
      <c r="S316" s="1007"/>
      <c r="T316" s="1131">
        <f t="shared" si="166"/>
        <v>0</v>
      </c>
      <c r="U316" s="993"/>
      <c r="V316" s="994">
        <f>'[4]Ex. WS'!H311</f>
        <v>0</v>
      </c>
      <c r="W316" s="1132">
        <f t="shared" si="164"/>
        <v>2</v>
      </c>
      <c r="X316" s="1045">
        <f t="shared" si="175"/>
        <v>116.2</v>
      </c>
      <c r="Y316" s="1132">
        <f t="shared" si="165"/>
        <v>2</v>
      </c>
      <c r="Z316" s="1045">
        <f t="shared" si="176"/>
        <v>116.2</v>
      </c>
      <c r="AA316" s="994">
        <f t="shared" si="167"/>
        <v>6751.22</v>
      </c>
      <c r="AB316" s="989"/>
      <c r="AC316" s="988">
        <f t="shared" si="168"/>
        <v>0</v>
      </c>
    </row>
    <row r="317" spans="1:29" s="486" customFormat="1">
      <c r="A317" s="1010"/>
      <c r="B317" s="1002" t="s">
        <v>5017</v>
      </c>
      <c r="C317" s="1006">
        <v>28.6</v>
      </c>
      <c r="D317" s="1005" t="s">
        <v>1375</v>
      </c>
      <c r="E317" s="1005"/>
      <c r="F317" s="1127">
        <f t="shared" si="163"/>
        <v>0</v>
      </c>
      <c r="G317" s="1252"/>
      <c r="H317" s="1127">
        <f t="shared" si="169"/>
        <v>0</v>
      </c>
      <c r="I317" s="996">
        <f t="shared" si="159"/>
        <v>0</v>
      </c>
      <c r="J317" s="1127">
        <f t="shared" si="170"/>
        <v>0</v>
      </c>
      <c r="K317" s="1041"/>
      <c r="L317" s="1127">
        <f t="shared" si="171"/>
        <v>0</v>
      </c>
      <c r="M317" s="995">
        <f t="shared" si="160"/>
        <v>0</v>
      </c>
      <c r="N317" s="1127">
        <f t="shared" si="172"/>
        <v>0</v>
      </c>
      <c r="O317" s="994">
        <f t="shared" ref="O317:O325" si="177">N317*C317</f>
        <v>0</v>
      </c>
      <c r="P317" s="1127">
        <f t="shared" si="173"/>
        <v>0</v>
      </c>
      <c r="Q317" s="1051">
        <f>'Ex. WS'!H73</f>
        <v>2</v>
      </c>
      <c r="R317" s="1127">
        <f t="shared" si="174"/>
        <v>57.2</v>
      </c>
      <c r="S317" s="1253"/>
      <c r="T317" s="1131">
        <f t="shared" si="166"/>
        <v>0</v>
      </c>
      <c r="U317" s="994"/>
      <c r="V317" s="994">
        <f>'[4]Ex. WS'!H312</f>
        <v>0</v>
      </c>
      <c r="W317" s="1132">
        <f t="shared" si="164"/>
        <v>2</v>
      </c>
      <c r="X317" s="1045">
        <f t="shared" si="175"/>
        <v>57.2</v>
      </c>
      <c r="Y317" s="1132">
        <f t="shared" si="165"/>
        <v>2</v>
      </c>
      <c r="Z317" s="1045">
        <f t="shared" si="176"/>
        <v>57.2</v>
      </c>
      <c r="AA317" s="994">
        <f t="shared" si="167"/>
        <v>1635.92</v>
      </c>
      <c r="AB317" s="990"/>
      <c r="AC317" s="988">
        <f t="shared" si="168"/>
        <v>0</v>
      </c>
    </row>
    <row r="318" spans="1:29" s="486" customFormat="1">
      <c r="A318" s="1010"/>
      <c r="B318" s="1002"/>
      <c r="C318" s="1006"/>
      <c r="D318" s="1005"/>
      <c r="E318" s="1005"/>
      <c r="F318" s="1127">
        <f t="shared" si="163"/>
        <v>0</v>
      </c>
      <c r="G318" s="1039"/>
      <c r="H318" s="1127">
        <f t="shared" si="169"/>
        <v>0</v>
      </c>
      <c r="I318" s="996">
        <f t="shared" si="159"/>
        <v>0</v>
      </c>
      <c r="J318" s="1127">
        <f t="shared" si="170"/>
        <v>0</v>
      </c>
      <c r="K318" s="1254"/>
      <c r="L318" s="1127">
        <f t="shared" si="171"/>
        <v>0</v>
      </c>
      <c r="M318" s="995">
        <f t="shared" si="160"/>
        <v>0</v>
      </c>
      <c r="N318" s="1127">
        <f t="shared" si="172"/>
        <v>0</v>
      </c>
      <c r="O318" s="994">
        <f t="shared" si="177"/>
        <v>0</v>
      </c>
      <c r="P318" s="1127">
        <f t="shared" si="173"/>
        <v>0</v>
      </c>
      <c r="Q318" s="1255"/>
      <c r="R318" s="1127">
        <f t="shared" si="174"/>
        <v>0</v>
      </c>
      <c r="S318" s="1040"/>
      <c r="T318" s="1131">
        <f t="shared" si="166"/>
        <v>0</v>
      </c>
      <c r="U318" s="994"/>
      <c r="V318" s="994"/>
      <c r="W318" s="1132">
        <f t="shared" si="164"/>
        <v>0</v>
      </c>
      <c r="X318" s="1045">
        <f t="shared" si="175"/>
        <v>0</v>
      </c>
      <c r="Y318" s="1132">
        <f t="shared" si="165"/>
        <v>0</v>
      </c>
      <c r="Z318" s="1045">
        <f t="shared" si="176"/>
        <v>0</v>
      </c>
      <c r="AA318" s="994">
        <f t="shared" si="167"/>
        <v>0</v>
      </c>
      <c r="AB318" s="990"/>
      <c r="AC318" s="988">
        <f t="shared" si="168"/>
        <v>0</v>
      </c>
    </row>
    <row r="319" spans="1:29" s="486" customFormat="1" ht="45">
      <c r="A319" s="1010"/>
      <c r="B319" s="1002" t="s">
        <v>5016</v>
      </c>
      <c r="C319" s="1006">
        <v>81.89</v>
      </c>
      <c r="D319" s="1005" t="s">
        <v>794</v>
      </c>
      <c r="E319" s="1005"/>
      <c r="F319" s="1127">
        <f t="shared" si="163"/>
        <v>0</v>
      </c>
      <c r="G319" s="1039"/>
      <c r="H319" s="1127">
        <f t="shared" si="169"/>
        <v>0</v>
      </c>
      <c r="I319" s="996">
        <f t="shared" si="159"/>
        <v>0</v>
      </c>
      <c r="J319" s="1127">
        <f t="shared" si="170"/>
        <v>0</v>
      </c>
      <c r="K319" s="1254"/>
      <c r="L319" s="1127">
        <f t="shared" si="171"/>
        <v>0</v>
      </c>
      <c r="M319" s="995">
        <f t="shared" si="160"/>
        <v>0</v>
      </c>
      <c r="N319" s="1127">
        <f t="shared" si="172"/>
        <v>0</v>
      </c>
      <c r="O319" s="994">
        <f t="shared" si="177"/>
        <v>0</v>
      </c>
      <c r="P319" s="1127">
        <f t="shared" si="173"/>
        <v>0</v>
      </c>
      <c r="Q319" s="1255">
        <f>'Ex. WS'!H76</f>
        <v>220</v>
      </c>
      <c r="R319" s="1127">
        <f t="shared" si="174"/>
        <v>18015.8</v>
      </c>
      <c r="S319" s="1040"/>
      <c r="T319" s="1131">
        <f t="shared" si="166"/>
        <v>0</v>
      </c>
      <c r="U319" s="994"/>
      <c r="V319" s="994">
        <f>'[4]Ex. WS'!H315</f>
        <v>0</v>
      </c>
      <c r="W319" s="1132">
        <f t="shared" si="164"/>
        <v>220</v>
      </c>
      <c r="X319" s="1045">
        <f t="shared" si="175"/>
        <v>18015.8</v>
      </c>
      <c r="Y319" s="1132">
        <f t="shared" si="165"/>
        <v>220</v>
      </c>
      <c r="Z319" s="1045">
        <f t="shared" si="176"/>
        <v>18015.8</v>
      </c>
      <c r="AA319" s="994">
        <f t="shared" si="167"/>
        <v>1475313.86</v>
      </c>
      <c r="AB319" s="990"/>
      <c r="AC319" s="988">
        <f t="shared" si="168"/>
        <v>0</v>
      </c>
    </row>
    <row r="320" spans="1:29" s="486" customFormat="1">
      <c r="A320" s="1010"/>
      <c r="B320" s="1002"/>
      <c r="C320" s="1006"/>
      <c r="D320" s="1005"/>
      <c r="E320" s="1005"/>
      <c r="F320" s="1127">
        <f t="shared" si="163"/>
        <v>0</v>
      </c>
      <c r="G320" s="1252"/>
      <c r="H320" s="1127">
        <f t="shared" si="169"/>
        <v>0</v>
      </c>
      <c r="I320" s="996">
        <f t="shared" si="159"/>
        <v>0</v>
      </c>
      <c r="J320" s="1127">
        <f t="shared" si="170"/>
        <v>0</v>
      </c>
      <c r="K320" s="1041"/>
      <c r="L320" s="1127">
        <f t="shared" si="171"/>
        <v>0</v>
      </c>
      <c r="M320" s="995">
        <f t="shared" si="160"/>
        <v>0</v>
      </c>
      <c r="N320" s="1127">
        <f t="shared" si="172"/>
        <v>0</v>
      </c>
      <c r="O320" s="994">
        <f t="shared" si="177"/>
        <v>0</v>
      </c>
      <c r="P320" s="1127">
        <f t="shared" si="173"/>
        <v>0</v>
      </c>
      <c r="Q320" s="1255"/>
      <c r="R320" s="1127">
        <f t="shared" si="174"/>
        <v>0</v>
      </c>
      <c r="S320" s="1040"/>
      <c r="T320" s="1131">
        <f t="shared" si="166"/>
        <v>0</v>
      </c>
      <c r="U320" s="994"/>
      <c r="V320" s="994"/>
      <c r="W320" s="1132">
        <f t="shared" si="164"/>
        <v>0</v>
      </c>
      <c r="X320" s="1045">
        <f t="shared" si="175"/>
        <v>0</v>
      </c>
      <c r="Y320" s="1132">
        <f t="shared" si="165"/>
        <v>0</v>
      </c>
      <c r="Z320" s="1045">
        <f t="shared" si="176"/>
        <v>0</v>
      </c>
      <c r="AA320" s="994">
        <f t="shared" si="167"/>
        <v>0</v>
      </c>
      <c r="AB320" s="990"/>
      <c r="AC320" s="988">
        <f t="shared" si="168"/>
        <v>0</v>
      </c>
    </row>
    <row r="321" spans="1:29" s="486" customFormat="1">
      <c r="A321" s="1010"/>
      <c r="B321" s="1004" t="s">
        <v>5015</v>
      </c>
      <c r="C321" s="1003"/>
      <c r="D321" s="992"/>
      <c r="E321" s="992"/>
      <c r="F321" s="1127">
        <f t="shared" si="163"/>
        <v>0</v>
      </c>
      <c r="G321" s="1252"/>
      <c r="H321" s="1127">
        <f t="shared" si="169"/>
        <v>0</v>
      </c>
      <c r="I321" s="996">
        <f t="shared" si="159"/>
        <v>0</v>
      </c>
      <c r="J321" s="1127">
        <f t="shared" si="170"/>
        <v>0</v>
      </c>
      <c r="K321" s="1041"/>
      <c r="L321" s="1127">
        <f t="shared" si="171"/>
        <v>0</v>
      </c>
      <c r="M321" s="995">
        <f t="shared" si="160"/>
        <v>0</v>
      </c>
      <c r="N321" s="1127">
        <f t="shared" si="172"/>
        <v>0</v>
      </c>
      <c r="O321" s="994">
        <f t="shared" si="177"/>
        <v>0</v>
      </c>
      <c r="P321" s="1127">
        <f t="shared" si="173"/>
        <v>0</v>
      </c>
      <c r="Q321" s="1255"/>
      <c r="R321" s="1127">
        <f t="shared" si="174"/>
        <v>0</v>
      </c>
      <c r="S321" s="1040"/>
      <c r="T321" s="1131">
        <f t="shared" si="166"/>
        <v>0</v>
      </c>
      <c r="U321" s="994"/>
      <c r="V321" s="994"/>
      <c r="W321" s="1132">
        <f t="shared" si="164"/>
        <v>0</v>
      </c>
      <c r="X321" s="1045">
        <f t="shared" si="175"/>
        <v>0</v>
      </c>
      <c r="Y321" s="1132">
        <f t="shared" si="165"/>
        <v>0</v>
      </c>
      <c r="Z321" s="1045">
        <f t="shared" si="176"/>
        <v>0</v>
      </c>
      <c r="AA321" s="994">
        <f t="shared" si="167"/>
        <v>0</v>
      </c>
      <c r="AB321" s="990"/>
      <c r="AC321" s="988">
        <f t="shared" si="168"/>
        <v>0</v>
      </c>
    </row>
    <row r="322" spans="1:29" s="486" customFormat="1" ht="45">
      <c r="A322" s="1010"/>
      <c r="B322" s="1002" t="s">
        <v>5014</v>
      </c>
      <c r="C322" s="991">
        <v>3000</v>
      </c>
      <c r="D322" s="991" t="s">
        <v>1341</v>
      </c>
      <c r="E322" s="991"/>
      <c r="F322" s="1127">
        <f t="shared" si="163"/>
        <v>0</v>
      </c>
      <c r="G322" s="1252"/>
      <c r="H322" s="1127">
        <f t="shared" si="169"/>
        <v>0</v>
      </c>
      <c r="I322" s="996">
        <f t="shared" si="159"/>
        <v>0</v>
      </c>
      <c r="J322" s="1127">
        <f t="shared" si="170"/>
        <v>0</v>
      </c>
      <c r="K322" s="1041"/>
      <c r="L322" s="1127">
        <f t="shared" si="171"/>
        <v>0</v>
      </c>
      <c r="M322" s="995">
        <f t="shared" si="160"/>
        <v>0</v>
      </c>
      <c r="N322" s="1127">
        <f t="shared" si="172"/>
        <v>0</v>
      </c>
      <c r="O322" s="994">
        <f t="shared" si="177"/>
        <v>0</v>
      </c>
      <c r="P322" s="1127">
        <f t="shared" si="173"/>
        <v>0</v>
      </c>
      <c r="Q322" s="1255">
        <f>'Ex. WS'!H79</f>
        <v>1</v>
      </c>
      <c r="R322" s="1127">
        <f t="shared" si="174"/>
        <v>3000</v>
      </c>
      <c r="S322" s="1040"/>
      <c r="T322" s="1131">
        <f t="shared" si="166"/>
        <v>0</v>
      </c>
      <c r="U322" s="994"/>
      <c r="V322" s="994">
        <f>'[4]Ex. WS'!H318</f>
        <v>0</v>
      </c>
      <c r="W322" s="1132">
        <f t="shared" si="164"/>
        <v>1</v>
      </c>
      <c r="X322" s="1045">
        <f t="shared" si="175"/>
        <v>3000</v>
      </c>
      <c r="Y322" s="1132">
        <f t="shared" si="165"/>
        <v>1</v>
      </c>
      <c r="Z322" s="1045">
        <f t="shared" si="176"/>
        <v>3000</v>
      </c>
      <c r="AA322" s="994">
        <f t="shared" si="167"/>
        <v>9000000</v>
      </c>
      <c r="AB322" s="990"/>
      <c r="AC322" s="988">
        <f t="shared" si="168"/>
        <v>0</v>
      </c>
    </row>
    <row r="323" spans="1:29" s="486" customFormat="1" ht="45">
      <c r="A323" s="1010"/>
      <c r="B323" s="1002" t="s">
        <v>5013</v>
      </c>
      <c r="C323" s="991"/>
      <c r="D323" s="991"/>
      <c r="E323" s="991"/>
      <c r="F323" s="1127">
        <f t="shared" si="163"/>
        <v>0</v>
      </c>
      <c r="G323" s="1252"/>
      <c r="H323" s="1127">
        <f t="shared" si="169"/>
        <v>0</v>
      </c>
      <c r="I323" s="996">
        <f t="shared" si="159"/>
        <v>0</v>
      </c>
      <c r="J323" s="1127">
        <f t="shared" si="170"/>
        <v>0</v>
      </c>
      <c r="K323" s="1041"/>
      <c r="L323" s="1127">
        <f t="shared" si="171"/>
        <v>0</v>
      </c>
      <c r="M323" s="995">
        <f t="shared" si="160"/>
        <v>0</v>
      </c>
      <c r="N323" s="1127">
        <f t="shared" si="172"/>
        <v>0</v>
      </c>
      <c r="O323" s="994">
        <f t="shared" si="177"/>
        <v>0</v>
      </c>
      <c r="P323" s="1127">
        <f t="shared" si="173"/>
        <v>0</v>
      </c>
      <c r="Q323" s="1255"/>
      <c r="R323" s="1127">
        <f t="shared" si="174"/>
        <v>0</v>
      </c>
      <c r="S323" s="1040"/>
      <c r="T323" s="1131">
        <f t="shared" si="166"/>
        <v>0</v>
      </c>
      <c r="U323" s="994"/>
      <c r="V323" s="994"/>
      <c r="W323" s="1132">
        <f t="shared" si="164"/>
        <v>0</v>
      </c>
      <c r="X323" s="1045">
        <f t="shared" si="175"/>
        <v>0</v>
      </c>
      <c r="Y323" s="1132">
        <f t="shared" si="165"/>
        <v>0</v>
      </c>
      <c r="Z323" s="1045">
        <f t="shared" si="176"/>
        <v>0</v>
      </c>
      <c r="AA323" s="994">
        <f t="shared" si="167"/>
        <v>0</v>
      </c>
      <c r="AB323" s="990"/>
      <c r="AC323" s="988">
        <f t="shared" si="168"/>
        <v>0</v>
      </c>
    </row>
    <row r="324" spans="1:29" s="486" customFormat="1">
      <c r="A324" s="1010"/>
      <c r="B324" s="992" t="s">
        <v>5012</v>
      </c>
      <c r="C324" s="991">
        <v>1092</v>
      </c>
      <c r="D324" s="991" t="s">
        <v>1341</v>
      </c>
      <c r="E324" s="991"/>
      <c r="F324" s="1127">
        <f t="shared" si="163"/>
        <v>0</v>
      </c>
      <c r="G324" s="1252"/>
      <c r="H324" s="1127">
        <f t="shared" si="169"/>
        <v>0</v>
      </c>
      <c r="I324" s="996">
        <f t="shared" si="159"/>
        <v>0</v>
      </c>
      <c r="J324" s="1127">
        <f t="shared" si="170"/>
        <v>0</v>
      </c>
      <c r="K324" s="1041"/>
      <c r="L324" s="1127">
        <f t="shared" si="171"/>
        <v>0</v>
      </c>
      <c r="M324" s="995">
        <f t="shared" si="160"/>
        <v>0</v>
      </c>
      <c r="N324" s="1127">
        <f t="shared" si="172"/>
        <v>0</v>
      </c>
      <c r="O324" s="994">
        <f t="shared" si="177"/>
        <v>0</v>
      </c>
      <c r="P324" s="1127">
        <f t="shared" si="173"/>
        <v>0</v>
      </c>
      <c r="Q324" s="1255">
        <f>'Ex. WS'!H90</f>
        <v>74</v>
      </c>
      <c r="R324" s="1127">
        <f t="shared" si="174"/>
        <v>80808</v>
      </c>
      <c r="S324" s="1040"/>
      <c r="T324" s="1131">
        <f t="shared" si="166"/>
        <v>0</v>
      </c>
      <c r="U324" s="994"/>
      <c r="V324" s="994">
        <f>'[4]Ex. WS'!H329</f>
        <v>0</v>
      </c>
      <c r="W324" s="1132">
        <f t="shared" si="164"/>
        <v>74</v>
      </c>
      <c r="X324" s="1045">
        <f t="shared" si="175"/>
        <v>80808</v>
      </c>
      <c r="Y324" s="1132">
        <f t="shared" si="165"/>
        <v>74</v>
      </c>
      <c r="Z324" s="1045">
        <f t="shared" si="176"/>
        <v>80808</v>
      </c>
      <c r="AA324" s="994">
        <f t="shared" si="167"/>
        <v>88242336</v>
      </c>
      <c r="AB324" s="990"/>
      <c r="AC324" s="988">
        <f t="shared" si="168"/>
        <v>0</v>
      </c>
    </row>
    <row r="325" spans="1:29" s="486" customFormat="1">
      <c r="A325" s="1010"/>
      <c r="B325" s="992" t="s">
        <v>5011</v>
      </c>
      <c r="C325" s="991">
        <v>693</v>
      </c>
      <c r="D325" s="991" t="s">
        <v>1341</v>
      </c>
      <c r="E325" s="991"/>
      <c r="F325" s="1127">
        <f t="shared" si="163"/>
        <v>0</v>
      </c>
      <c r="G325" s="1252"/>
      <c r="H325" s="1127">
        <f t="shared" si="169"/>
        <v>0</v>
      </c>
      <c r="I325" s="996">
        <f t="shared" si="159"/>
        <v>0</v>
      </c>
      <c r="J325" s="1127">
        <f t="shared" si="170"/>
        <v>0</v>
      </c>
      <c r="K325" s="1041"/>
      <c r="L325" s="1127">
        <f t="shared" si="171"/>
        <v>0</v>
      </c>
      <c r="M325" s="995">
        <f t="shared" si="160"/>
        <v>0</v>
      </c>
      <c r="N325" s="1127">
        <f t="shared" si="172"/>
        <v>0</v>
      </c>
      <c r="O325" s="994">
        <f t="shared" si="177"/>
        <v>0</v>
      </c>
      <c r="P325" s="1127">
        <f t="shared" si="173"/>
        <v>0</v>
      </c>
      <c r="Q325" s="1255">
        <f>'Ex. WS'!H97</f>
        <v>40</v>
      </c>
      <c r="R325" s="1127">
        <f t="shared" si="174"/>
        <v>27720</v>
      </c>
      <c r="S325" s="1040"/>
      <c r="T325" s="1131">
        <f t="shared" si="166"/>
        <v>0</v>
      </c>
      <c r="U325" s="994"/>
      <c r="V325" s="994">
        <f>'[4]Ex. WS'!H336</f>
        <v>0</v>
      </c>
      <c r="W325" s="1132">
        <f t="shared" si="164"/>
        <v>40</v>
      </c>
      <c r="X325" s="1045">
        <f t="shared" si="175"/>
        <v>27720</v>
      </c>
      <c r="Y325" s="1132">
        <f t="shared" si="165"/>
        <v>40</v>
      </c>
      <c r="Z325" s="1045">
        <f t="shared" si="176"/>
        <v>27720</v>
      </c>
      <c r="AA325" s="994">
        <f t="shared" si="167"/>
        <v>19209960</v>
      </c>
      <c r="AB325" s="990"/>
      <c r="AC325" s="988">
        <f t="shared" si="168"/>
        <v>0</v>
      </c>
    </row>
    <row r="326" spans="1:29" s="486" customFormat="1">
      <c r="A326" s="1010"/>
      <c r="B326" s="992"/>
      <c r="C326" s="991"/>
      <c r="D326" s="991"/>
      <c r="E326" s="991"/>
      <c r="F326" s="1127">
        <f t="shared" si="163"/>
        <v>0</v>
      </c>
      <c r="G326" s="1252"/>
      <c r="H326" s="1127">
        <f t="shared" si="169"/>
        <v>0</v>
      </c>
      <c r="I326" s="996">
        <f t="shared" si="159"/>
        <v>0</v>
      </c>
      <c r="J326" s="1127">
        <f t="shared" si="170"/>
        <v>0</v>
      </c>
      <c r="K326" s="1041"/>
      <c r="L326" s="1127">
        <f t="shared" si="171"/>
        <v>0</v>
      </c>
      <c r="M326" s="995">
        <f t="shared" si="160"/>
        <v>0</v>
      </c>
      <c r="N326" s="1127">
        <f t="shared" si="172"/>
        <v>0</v>
      </c>
      <c r="O326" s="994"/>
      <c r="P326" s="1127">
        <f t="shared" si="173"/>
        <v>0</v>
      </c>
      <c r="Q326" s="1255"/>
      <c r="R326" s="1127">
        <f t="shared" si="174"/>
        <v>0</v>
      </c>
      <c r="S326" s="1040"/>
      <c r="T326" s="1131">
        <f t="shared" si="166"/>
        <v>0</v>
      </c>
      <c r="U326" s="994"/>
      <c r="V326" s="994"/>
      <c r="W326" s="1132">
        <f t="shared" si="164"/>
        <v>0</v>
      </c>
      <c r="X326" s="1045">
        <f t="shared" si="175"/>
        <v>0</v>
      </c>
      <c r="Y326" s="1132">
        <f t="shared" si="165"/>
        <v>0</v>
      </c>
      <c r="Z326" s="1045">
        <f t="shared" si="176"/>
        <v>0</v>
      </c>
      <c r="AA326" s="994">
        <f t="shared" si="167"/>
        <v>0</v>
      </c>
      <c r="AB326" s="990"/>
      <c r="AC326" s="988">
        <f t="shared" si="168"/>
        <v>0</v>
      </c>
    </row>
    <row r="327" spans="1:29" s="1000" customFormat="1" ht="97.5" customHeight="1">
      <c r="A327" s="1230"/>
      <c r="B327" s="1509" t="s">
        <v>6081</v>
      </c>
      <c r="C327" s="1414">
        <f>'Sub Data'!F96</f>
        <v>43630.559999999998</v>
      </c>
      <c r="D327" s="1414" t="s">
        <v>1341</v>
      </c>
      <c r="E327" s="998"/>
      <c r="F327" s="1127">
        <f t="shared" si="163"/>
        <v>0</v>
      </c>
      <c r="G327" s="1252"/>
      <c r="H327" s="1127">
        <f t="shared" si="169"/>
        <v>0</v>
      </c>
      <c r="I327" s="996">
        <f t="shared" si="159"/>
        <v>0</v>
      </c>
      <c r="J327" s="1127">
        <f t="shared" si="170"/>
        <v>0</v>
      </c>
      <c r="K327" s="1041"/>
      <c r="L327" s="1127">
        <f t="shared" si="171"/>
        <v>0</v>
      </c>
      <c r="M327" s="995">
        <f t="shared" si="160"/>
        <v>0</v>
      </c>
      <c r="N327" s="1127">
        <f t="shared" si="172"/>
        <v>0</v>
      </c>
      <c r="O327" s="994"/>
      <c r="P327" s="1127">
        <f t="shared" si="173"/>
        <v>0</v>
      </c>
      <c r="Q327" s="1255"/>
      <c r="R327" s="1127">
        <f t="shared" si="174"/>
        <v>0</v>
      </c>
      <c r="S327" s="1040">
        <f>'UG cable'!H7</f>
        <v>1</v>
      </c>
      <c r="T327" s="1131">
        <f t="shared" si="166"/>
        <v>43630.559999999998</v>
      </c>
      <c r="U327" s="994"/>
      <c r="V327" s="994"/>
      <c r="W327" s="1132">
        <f t="shared" si="164"/>
        <v>1</v>
      </c>
      <c r="X327" s="1045">
        <f t="shared" si="175"/>
        <v>43630.559999999998</v>
      </c>
      <c r="Y327" s="1132">
        <f t="shared" si="165"/>
        <v>1</v>
      </c>
      <c r="Z327" s="1045">
        <f t="shared" si="176"/>
        <v>43630.559999999998</v>
      </c>
      <c r="AA327" s="994">
        <f t="shared" si="167"/>
        <v>1903625765.9100001</v>
      </c>
      <c r="AB327" s="1001"/>
      <c r="AC327" s="988">
        <f t="shared" si="168"/>
        <v>0</v>
      </c>
    </row>
    <row r="328" spans="1:29" s="1000" customFormat="1" ht="79.5" customHeight="1">
      <c r="A328" s="1230"/>
      <c r="B328" s="1509"/>
      <c r="C328" s="1415"/>
      <c r="D328" s="1415"/>
      <c r="E328" s="999"/>
      <c r="F328" s="1127">
        <f t="shared" si="163"/>
        <v>0</v>
      </c>
      <c r="G328" s="1252"/>
      <c r="H328" s="1127">
        <f t="shared" si="169"/>
        <v>0</v>
      </c>
      <c r="I328" s="996">
        <f t="shared" si="159"/>
        <v>0</v>
      </c>
      <c r="J328" s="1127">
        <f t="shared" si="170"/>
        <v>0</v>
      </c>
      <c r="K328" s="1041"/>
      <c r="L328" s="1127">
        <f t="shared" si="171"/>
        <v>0</v>
      </c>
      <c r="M328" s="995">
        <f t="shared" si="160"/>
        <v>0</v>
      </c>
      <c r="N328" s="1127">
        <f t="shared" si="172"/>
        <v>0</v>
      </c>
      <c r="O328" s="994"/>
      <c r="P328" s="1127">
        <f t="shared" si="173"/>
        <v>0</v>
      </c>
      <c r="Q328" s="1255"/>
      <c r="R328" s="1127">
        <f t="shared" si="174"/>
        <v>0</v>
      </c>
      <c r="S328" s="1040"/>
      <c r="T328" s="1131">
        <f t="shared" si="166"/>
        <v>0</v>
      </c>
      <c r="U328" s="994"/>
      <c r="V328" s="994"/>
      <c r="W328" s="1132">
        <f t="shared" si="164"/>
        <v>0</v>
      </c>
      <c r="X328" s="1045">
        <f t="shared" si="175"/>
        <v>0</v>
      </c>
      <c r="Y328" s="1132">
        <f t="shared" si="165"/>
        <v>0</v>
      </c>
      <c r="Z328" s="1045">
        <f t="shared" si="176"/>
        <v>0</v>
      </c>
      <c r="AA328" s="994">
        <f t="shared" si="167"/>
        <v>0</v>
      </c>
      <c r="AB328" s="1001"/>
      <c r="AC328" s="988">
        <f t="shared" si="168"/>
        <v>0</v>
      </c>
    </row>
    <row r="329" spans="1:29" s="486" customFormat="1" ht="131.25" customHeight="1">
      <c r="A329" s="1230"/>
      <c r="B329" s="1416" t="s">
        <v>5010</v>
      </c>
      <c r="C329" s="1414"/>
      <c r="D329" s="1414"/>
      <c r="E329" s="998"/>
      <c r="F329" s="1127">
        <f t="shared" si="163"/>
        <v>0</v>
      </c>
      <c r="G329" s="1252"/>
      <c r="H329" s="1127">
        <f t="shared" si="169"/>
        <v>0</v>
      </c>
      <c r="I329" s="996">
        <f t="shared" si="159"/>
        <v>0</v>
      </c>
      <c r="J329" s="1127">
        <f t="shared" si="170"/>
        <v>0</v>
      </c>
      <c r="K329" s="1041"/>
      <c r="L329" s="1127">
        <f t="shared" si="171"/>
        <v>0</v>
      </c>
      <c r="M329" s="995">
        <f t="shared" si="160"/>
        <v>0</v>
      </c>
      <c r="N329" s="1127">
        <f t="shared" si="172"/>
        <v>0</v>
      </c>
      <c r="O329" s="994"/>
      <c r="P329" s="1127">
        <f t="shared" si="173"/>
        <v>0</v>
      </c>
      <c r="Q329" s="1255"/>
      <c r="R329" s="1127">
        <f t="shared" si="174"/>
        <v>0</v>
      </c>
      <c r="S329" s="1040"/>
      <c r="T329" s="1131">
        <f t="shared" si="166"/>
        <v>0</v>
      </c>
      <c r="U329" s="994"/>
      <c r="V329" s="994"/>
      <c r="W329" s="1132">
        <f t="shared" si="164"/>
        <v>0</v>
      </c>
      <c r="X329" s="1045">
        <f t="shared" si="175"/>
        <v>0</v>
      </c>
      <c r="Y329" s="1132">
        <f t="shared" si="165"/>
        <v>0</v>
      </c>
      <c r="Z329" s="1045">
        <f t="shared" si="176"/>
        <v>0</v>
      </c>
      <c r="AA329" s="994">
        <f t="shared" si="167"/>
        <v>0</v>
      </c>
      <c r="AB329" s="990"/>
      <c r="AC329" s="988">
        <f t="shared" si="168"/>
        <v>0</v>
      </c>
    </row>
    <row r="330" spans="1:29" s="486" customFormat="1">
      <c r="A330" s="1230"/>
      <c r="B330" s="1510" t="s">
        <v>5009</v>
      </c>
      <c r="C330" s="1414">
        <v>314.7</v>
      </c>
      <c r="D330" s="1414" t="s">
        <v>794</v>
      </c>
      <c r="E330" s="998"/>
      <c r="F330" s="1127">
        <f t="shared" si="163"/>
        <v>0</v>
      </c>
      <c r="G330" s="1252"/>
      <c r="H330" s="1127">
        <f t="shared" si="169"/>
        <v>0</v>
      </c>
      <c r="I330" s="996">
        <f t="shared" si="159"/>
        <v>0</v>
      </c>
      <c r="J330" s="1127">
        <f t="shared" si="170"/>
        <v>0</v>
      </c>
      <c r="K330" s="1041"/>
      <c r="L330" s="1127">
        <f t="shared" si="171"/>
        <v>0</v>
      </c>
      <c r="M330" s="995">
        <f t="shared" si="160"/>
        <v>0</v>
      </c>
      <c r="N330" s="1127">
        <f t="shared" si="172"/>
        <v>0</v>
      </c>
      <c r="O330" s="994"/>
      <c r="P330" s="1127">
        <f t="shared" si="173"/>
        <v>0</v>
      </c>
      <c r="Q330" s="1255"/>
      <c r="R330" s="1127">
        <f t="shared" si="174"/>
        <v>0</v>
      </c>
      <c r="S330" s="1040">
        <f>'UG cable'!H13</f>
        <v>78.5</v>
      </c>
      <c r="T330" s="1131">
        <f t="shared" si="166"/>
        <v>24703.95</v>
      </c>
      <c r="U330" s="994"/>
      <c r="V330" s="994"/>
      <c r="W330" s="1132">
        <f t="shared" si="164"/>
        <v>78.5</v>
      </c>
      <c r="X330" s="1045">
        <f t="shared" si="175"/>
        <v>24703.95</v>
      </c>
      <c r="Y330" s="1132">
        <f t="shared" si="165"/>
        <v>78.5</v>
      </c>
      <c r="Z330" s="1045">
        <f t="shared" si="176"/>
        <v>24703.95</v>
      </c>
      <c r="AA330" s="994">
        <f t="shared" si="167"/>
        <v>7774333.0700000003</v>
      </c>
      <c r="AB330" s="990"/>
      <c r="AC330" s="988">
        <f t="shared" si="168"/>
        <v>0</v>
      </c>
    </row>
    <row r="331" spans="1:29" s="486" customFormat="1" ht="40.5">
      <c r="A331" s="1230"/>
      <c r="B331" s="1510"/>
      <c r="C331" s="1415"/>
      <c r="D331" s="1415" t="s">
        <v>5008</v>
      </c>
      <c r="E331" s="999"/>
      <c r="F331" s="1127">
        <f t="shared" si="163"/>
        <v>0</v>
      </c>
      <c r="G331" s="1252"/>
      <c r="H331" s="1127">
        <f t="shared" si="169"/>
        <v>0</v>
      </c>
      <c r="I331" s="996">
        <f t="shared" si="159"/>
        <v>0</v>
      </c>
      <c r="J331" s="1127">
        <f t="shared" si="170"/>
        <v>0</v>
      </c>
      <c r="K331" s="1041"/>
      <c r="L331" s="1127">
        <f t="shared" si="171"/>
        <v>0</v>
      </c>
      <c r="M331" s="995">
        <f t="shared" si="160"/>
        <v>0</v>
      </c>
      <c r="N331" s="1127">
        <f t="shared" si="172"/>
        <v>0</v>
      </c>
      <c r="O331" s="994"/>
      <c r="P331" s="1127">
        <f t="shared" si="173"/>
        <v>0</v>
      </c>
      <c r="Q331" s="1255"/>
      <c r="R331" s="1127">
        <f t="shared" si="174"/>
        <v>0</v>
      </c>
      <c r="S331" s="1040"/>
      <c r="T331" s="1131">
        <f t="shared" si="166"/>
        <v>0</v>
      </c>
      <c r="U331" s="994"/>
      <c r="V331" s="994"/>
      <c r="W331" s="1132">
        <f t="shared" si="164"/>
        <v>0</v>
      </c>
      <c r="X331" s="1045">
        <f t="shared" si="175"/>
        <v>0</v>
      </c>
      <c r="Y331" s="1132">
        <f t="shared" si="165"/>
        <v>0</v>
      </c>
      <c r="Z331" s="1045">
        <f t="shared" si="176"/>
        <v>0</v>
      </c>
      <c r="AA331" s="994">
        <f t="shared" si="167"/>
        <v>0</v>
      </c>
      <c r="AB331" s="990"/>
      <c r="AC331" s="988">
        <f t="shared" si="168"/>
        <v>0</v>
      </c>
    </row>
    <row r="332" spans="1:29" s="486" customFormat="1">
      <c r="A332" s="1230"/>
      <c r="B332" s="1417"/>
      <c r="C332" s="1415"/>
      <c r="D332" s="1414"/>
      <c r="E332" s="998"/>
      <c r="F332" s="1127">
        <f t="shared" si="163"/>
        <v>0</v>
      </c>
      <c r="G332" s="1252"/>
      <c r="H332" s="1127">
        <f t="shared" si="169"/>
        <v>0</v>
      </c>
      <c r="I332" s="996">
        <f t="shared" si="159"/>
        <v>0</v>
      </c>
      <c r="J332" s="1127">
        <f t="shared" si="170"/>
        <v>0</v>
      </c>
      <c r="K332" s="1041"/>
      <c r="L332" s="1127">
        <f t="shared" si="171"/>
        <v>0</v>
      </c>
      <c r="M332" s="995">
        <f t="shared" si="160"/>
        <v>0</v>
      </c>
      <c r="N332" s="1127">
        <f t="shared" si="172"/>
        <v>0</v>
      </c>
      <c r="O332" s="994"/>
      <c r="P332" s="1127">
        <f t="shared" si="173"/>
        <v>0</v>
      </c>
      <c r="Q332" s="1255"/>
      <c r="R332" s="1127">
        <f t="shared" si="174"/>
        <v>0</v>
      </c>
      <c r="S332" s="1040"/>
      <c r="T332" s="1131">
        <f t="shared" si="166"/>
        <v>0</v>
      </c>
      <c r="U332" s="994"/>
      <c r="V332" s="994"/>
      <c r="W332" s="1132">
        <f t="shared" si="164"/>
        <v>0</v>
      </c>
      <c r="X332" s="1045">
        <f t="shared" si="175"/>
        <v>0</v>
      </c>
      <c r="Y332" s="1132">
        <f t="shared" si="165"/>
        <v>0</v>
      </c>
      <c r="Z332" s="1045">
        <f t="shared" si="176"/>
        <v>0</v>
      </c>
      <c r="AA332" s="994">
        <f t="shared" si="167"/>
        <v>0</v>
      </c>
      <c r="AB332" s="990"/>
      <c r="AC332" s="988">
        <f t="shared" si="168"/>
        <v>0</v>
      </c>
    </row>
    <row r="333" spans="1:29" s="486" customFormat="1" ht="25.5" customHeight="1">
      <c r="A333" s="1230"/>
      <c r="B333" s="1511" t="s">
        <v>5007</v>
      </c>
      <c r="C333" s="1414">
        <v>61.1</v>
      </c>
      <c r="D333" s="1414" t="s">
        <v>1341</v>
      </c>
      <c r="E333" s="999"/>
      <c r="F333" s="1127">
        <f t="shared" si="163"/>
        <v>0</v>
      </c>
      <c r="G333" s="1252"/>
      <c r="H333" s="1127">
        <f t="shared" si="169"/>
        <v>0</v>
      </c>
      <c r="I333" s="996">
        <f t="shared" ref="I333:I361" si="178">G333+E333</f>
        <v>0</v>
      </c>
      <c r="J333" s="1127">
        <f t="shared" si="170"/>
        <v>0</v>
      </c>
      <c r="K333" s="1041"/>
      <c r="L333" s="1127">
        <f t="shared" si="171"/>
        <v>0</v>
      </c>
      <c r="M333" s="995">
        <f t="shared" ref="M333:M361" si="179">K333*C333</f>
        <v>0</v>
      </c>
      <c r="N333" s="1127">
        <f t="shared" si="172"/>
        <v>0</v>
      </c>
      <c r="O333" s="994"/>
      <c r="P333" s="1127">
        <f t="shared" si="173"/>
        <v>0</v>
      </c>
      <c r="Q333" s="1255"/>
      <c r="R333" s="1127">
        <f t="shared" si="174"/>
        <v>0</v>
      </c>
      <c r="S333" s="1040">
        <f>'UG cable'!H16</f>
        <v>2</v>
      </c>
      <c r="T333" s="1131">
        <f t="shared" si="166"/>
        <v>122.2</v>
      </c>
      <c r="U333" s="994"/>
      <c r="V333" s="994"/>
      <c r="W333" s="1132">
        <f t="shared" si="164"/>
        <v>2</v>
      </c>
      <c r="X333" s="1045">
        <f t="shared" si="175"/>
        <v>122.2</v>
      </c>
      <c r="Y333" s="1132">
        <f t="shared" si="165"/>
        <v>2</v>
      </c>
      <c r="Z333" s="1045">
        <f t="shared" si="176"/>
        <v>122.2</v>
      </c>
      <c r="AA333" s="994">
        <f t="shared" si="167"/>
        <v>7466.42</v>
      </c>
      <c r="AB333" s="990"/>
      <c r="AC333" s="988">
        <f t="shared" si="168"/>
        <v>0</v>
      </c>
    </row>
    <row r="334" spans="1:29" s="486" customFormat="1" ht="40.5">
      <c r="A334" s="1230"/>
      <c r="B334" s="1511"/>
      <c r="C334" s="1415"/>
      <c r="D334" s="1415" t="s">
        <v>5006</v>
      </c>
      <c r="E334" s="998"/>
      <c r="F334" s="1127">
        <f t="shared" si="163"/>
        <v>0</v>
      </c>
      <c r="G334" s="1252"/>
      <c r="H334" s="1127">
        <f t="shared" si="169"/>
        <v>0</v>
      </c>
      <c r="I334" s="996">
        <f t="shared" si="178"/>
        <v>0</v>
      </c>
      <c r="J334" s="1127">
        <f t="shared" si="170"/>
        <v>0</v>
      </c>
      <c r="K334" s="1041"/>
      <c r="L334" s="1127">
        <f t="shared" si="171"/>
        <v>0</v>
      </c>
      <c r="M334" s="995">
        <f t="shared" si="179"/>
        <v>0</v>
      </c>
      <c r="N334" s="1127">
        <f t="shared" si="172"/>
        <v>0</v>
      </c>
      <c r="O334" s="994"/>
      <c r="P334" s="1127">
        <f t="shared" si="173"/>
        <v>0</v>
      </c>
      <c r="Q334" s="1255"/>
      <c r="R334" s="1127">
        <f t="shared" si="174"/>
        <v>0</v>
      </c>
      <c r="S334" s="1040"/>
      <c r="T334" s="1131">
        <f t="shared" si="166"/>
        <v>0</v>
      </c>
      <c r="U334" s="994"/>
      <c r="V334" s="994"/>
      <c r="W334" s="1132">
        <f t="shared" si="164"/>
        <v>0</v>
      </c>
      <c r="X334" s="1045">
        <f t="shared" si="175"/>
        <v>0</v>
      </c>
      <c r="Y334" s="1132">
        <f t="shared" si="165"/>
        <v>0</v>
      </c>
      <c r="Z334" s="1045">
        <f t="shared" si="176"/>
        <v>0</v>
      </c>
      <c r="AA334" s="994">
        <f t="shared" si="167"/>
        <v>0</v>
      </c>
      <c r="AB334" s="990"/>
      <c r="AC334" s="988">
        <f t="shared" si="168"/>
        <v>0</v>
      </c>
    </row>
    <row r="335" spans="1:29" s="486" customFormat="1" ht="25.5" customHeight="1">
      <c r="A335" s="1230"/>
      <c r="B335" s="1418"/>
      <c r="C335" s="1415"/>
      <c r="D335" s="1414"/>
      <c r="E335" s="998"/>
      <c r="F335" s="1127">
        <f t="shared" si="163"/>
        <v>0</v>
      </c>
      <c r="G335" s="1252"/>
      <c r="H335" s="1127">
        <f t="shared" si="169"/>
        <v>0</v>
      </c>
      <c r="I335" s="996">
        <f t="shared" si="178"/>
        <v>0</v>
      </c>
      <c r="J335" s="1127">
        <f t="shared" si="170"/>
        <v>0</v>
      </c>
      <c r="K335" s="1041"/>
      <c r="L335" s="1127">
        <f t="shared" si="171"/>
        <v>0</v>
      </c>
      <c r="M335" s="995">
        <f t="shared" si="179"/>
        <v>0</v>
      </c>
      <c r="N335" s="1127">
        <f t="shared" si="172"/>
        <v>0</v>
      </c>
      <c r="O335" s="994"/>
      <c r="P335" s="1127">
        <f t="shared" si="173"/>
        <v>0</v>
      </c>
      <c r="Q335" s="1255"/>
      <c r="R335" s="1127">
        <f t="shared" si="174"/>
        <v>0</v>
      </c>
      <c r="S335" s="1040"/>
      <c r="T335" s="1131">
        <f t="shared" si="166"/>
        <v>0</v>
      </c>
      <c r="U335" s="994"/>
      <c r="V335" s="994"/>
      <c r="W335" s="1132">
        <f t="shared" si="164"/>
        <v>0</v>
      </c>
      <c r="X335" s="1045">
        <f t="shared" si="175"/>
        <v>0</v>
      </c>
      <c r="Y335" s="1132">
        <f t="shared" si="165"/>
        <v>0</v>
      </c>
      <c r="Z335" s="1045">
        <f t="shared" si="176"/>
        <v>0</v>
      </c>
      <c r="AA335" s="994">
        <f t="shared" ref="AA335:AA361" si="180">Z335*C335</f>
        <v>0</v>
      </c>
      <c r="AB335" s="990"/>
      <c r="AC335" s="988">
        <f t="shared" ref="AC335:AC361" si="181">(F335+H335)-J335</f>
        <v>0</v>
      </c>
    </row>
    <row r="336" spans="1:29" s="486" customFormat="1" ht="121.5">
      <c r="A336" s="1230"/>
      <c r="B336" s="1419" t="s">
        <v>3544</v>
      </c>
      <c r="C336" s="1414">
        <v>457.07</v>
      </c>
      <c r="D336" s="1414" t="s">
        <v>794</v>
      </c>
      <c r="E336" s="999"/>
      <c r="F336" s="1127">
        <f t="shared" si="163"/>
        <v>0</v>
      </c>
      <c r="G336" s="1252"/>
      <c r="H336" s="1127">
        <f t="shared" si="169"/>
        <v>0</v>
      </c>
      <c r="I336" s="996">
        <f t="shared" si="178"/>
        <v>0</v>
      </c>
      <c r="J336" s="1127">
        <f t="shared" si="170"/>
        <v>0</v>
      </c>
      <c r="K336" s="1041"/>
      <c r="L336" s="1127">
        <f t="shared" si="171"/>
        <v>0</v>
      </c>
      <c r="M336" s="995">
        <f t="shared" si="179"/>
        <v>0</v>
      </c>
      <c r="N336" s="1127">
        <f t="shared" si="172"/>
        <v>0</v>
      </c>
      <c r="O336" s="994"/>
      <c r="P336" s="1127">
        <f t="shared" si="173"/>
        <v>0</v>
      </c>
      <c r="Q336" s="1255"/>
      <c r="R336" s="1127">
        <f t="shared" si="174"/>
        <v>0</v>
      </c>
      <c r="S336" s="1040">
        <f>'UG cable'!H19</f>
        <v>25</v>
      </c>
      <c r="T336" s="1131">
        <f t="shared" si="166"/>
        <v>11426.75</v>
      </c>
      <c r="U336" s="994"/>
      <c r="V336" s="994"/>
      <c r="W336" s="1132">
        <f t="shared" si="164"/>
        <v>25</v>
      </c>
      <c r="X336" s="1045">
        <f t="shared" si="175"/>
        <v>11426.75</v>
      </c>
      <c r="Y336" s="1132">
        <f t="shared" si="165"/>
        <v>25</v>
      </c>
      <c r="Z336" s="1045">
        <f t="shared" si="176"/>
        <v>11426.75</v>
      </c>
      <c r="AA336" s="994">
        <f t="shared" si="180"/>
        <v>5222824.62</v>
      </c>
      <c r="AB336" s="990"/>
      <c r="AC336" s="988">
        <f t="shared" si="181"/>
        <v>0</v>
      </c>
    </row>
    <row r="337" spans="1:29" s="486" customFormat="1">
      <c r="A337" s="1230"/>
      <c r="B337" s="1419"/>
      <c r="C337" s="1414"/>
      <c r="D337" s="1414"/>
      <c r="E337" s="998"/>
      <c r="F337" s="1127">
        <f t="shared" si="163"/>
        <v>0</v>
      </c>
      <c r="G337" s="1252"/>
      <c r="H337" s="1127">
        <f t="shared" si="169"/>
        <v>0</v>
      </c>
      <c r="I337" s="996">
        <f t="shared" si="178"/>
        <v>0</v>
      </c>
      <c r="J337" s="1127">
        <f t="shared" si="170"/>
        <v>0</v>
      </c>
      <c r="K337" s="1041"/>
      <c r="L337" s="1127">
        <f t="shared" si="171"/>
        <v>0</v>
      </c>
      <c r="M337" s="995">
        <f t="shared" si="179"/>
        <v>0</v>
      </c>
      <c r="N337" s="1127">
        <f t="shared" si="172"/>
        <v>0</v>
      </c>
      <c r="O337" s="994"/>
      <c r="P337" s="1127">
        <f t="shared" si="173"/>
        <v>0</v>
      </c>
      <c r="Q337" s="1255"/>
      <c r="R337" s="1127">
        <f t="shared" si="174"/>
        <v>0</v>
      </c>
      <c r="S337" s="1040"/>
      <c r="T337" s="1131">
        <f t="shared" si="166"/>
        <v>0</v>
      </c>
      <c r="U337" s="994"/>
      <c r="V337" s="994"/>
      <c r="W337" s="1132">
        <f t="shared" si="164"/>
        <v>0</v>
      </c>
      <c r="X337" s="1045">
        <f t="shared" si="175"/>
        <v>0</v>
      </c>
      <c r="Y337" s="1132">
        <f t="shared" si="165"/>
        <v>0</v>
      </c>
      <c r="Z337" s="1045">
        <f t="shared" si="176"/>
        <v>0</v>
      </c>
      <c r="AA337" s="994">
        <f t="shared" si="180"/>
        <v>0</v>
      </c>
      <c r="AB337" s="990"/>
      <c r="AC337" s="988">
        <f t="shared" si="181"/>
        <v>0</v>
      </c>
    </row>
    <row r="338" spans="1:29" s="486" customFormat="1" ht="25.5" customHeight="1">
      <c r="A338" s="1230"/>
      <c r="B338" s="1508" t="s">
        <v>6057</v>
      </c>
      <c r="C338" s="1414">
        <v>232.06</v>
      </c>
      <c r="D338" s="1512" t="s">
        <v>794</v>
      </c>
      <c r="E338" s="998"/>
      <c r="F338" s="1127">
        <f t="shared" si="163"/>
        <v>0</v>
      </c>
      <c r="G338" s="1252"/>
      <c r="H338" s="1127">
        <f t="shared" si="169"/>
        <v>0</v>
      </c>
      <c r="I338" s="996">
        <f t="shared" si="178"/>
        <v>0</v>
      </c>
      <c r="J338" s="1127">
        <f t="shared" si="170"/>
        <v>0</v>
      </c>
      <c r="K338" s="1041"/>
      <c r="L338" s="1127">
        <f t="shared" si="171"/>
        <v>0</v>
      </c>
      <c r="M338" s="995">
        <f t="shared" si="179"/>
        <v>0</v>
      </c>
      <c r="N338" s="1127">
        <f t="shared" si="172"/>
        <v>0</v>
      </c>
      <c r="O338" s="994"/>
      <c r="P338" s="1127">
        <f t="shared" si="173"/>
        <v>0</v>
      </c>
      <c r="Q338" s="1255"/>
      <c r="R338" s="1127">
        <f t="shared" si="174"/>
        <v>0</v>
      </c>
      <c r="S338" s="1040">
        <f>'UG cable'!H23</f>
        <v>70</v>
      </c>
      <c r="T338" s="1131">
        <f t="shared" si="166"/>
        <v>16244.2</v>
      </c>
      <c r="U338" s="994"/>
      <c r="V338" s="994"/>
      <c r="W338" s="1132">
        <f t="shared" si="164"/>
        <v>70</v>
      </c>
      <c r="X338" s="1045">
        <f t="shared" si="175"/>
        <v>16244.2</v>
      </c>
      <c r="Y338" s="1132">
        <f t="shared" si="165"/>
        <v>70</v>
      </c>
      <c r="Z338" s="1045">
        <f t="shared" si="176"/>
        <v>16244.2</v>
      </c>
      <c r="AA338" s="994">
        <f t="shared" si="180"/>
        <v>3769629.05</v>
      </c>
      <c r="AB338" s="990"/>
      <c r="AC338" s="988">
        <f t="shared" si="181"/>
        <v>0</v>
      </c>
    </row>
    <row r="339" spans="1:29" s="486" customFormat="1" ht="63" customHeight="1">
      <c r="A339" s="1230"/>
      <c r="B339" s="1508"/>
      <c r="C339" s="1415"/>
      <c r="D339" s="1512"/>
      <c r="E339" s="999"/>
      <c r="F339" s="1127">
        <f t="shared" si="163"/>
        <v>0</v>
      </c>
      <c r="G339" s="1252"/>
      <c r="H339" s="1127">
        <f t="shared" si="169"/>
        <v>0</v>
      </c>
      <c r="I339" s="996">
        <f t="shared" si="178"/>
        <v>0</v>
      </c>
      <c r="J339" s="1127">
        <f t="shared" si="170"/>
        <v>0</v>
      </c>
      <c r="K339" s="1041"/>
      <c r="L339" s="1127">
        <f t="shared" si="171"/>
        <v>0</v>
      </c>
      <c r="M339" s="995">
        <f t="shared" si="179"/>
        <v>0</v>
      </c>
      <c r="N339" s="1127">
        <f t="shared" si="172"/>
        <v>0</v>
      </c>
      <c r="O339" s="994"/>
      <c r="P339" s="1127">
        <f t="shared" si="173"/>
        <v>0</v>
      </c>
      <c r="Q339" s="1255"/>
      <c r="R339" s="1127">
        <f t="shared" si="174"/>
        <v>0</v>
      </c>
      <c r="S339" s="1040"/>
      <c r="T339" s="1131">
        <f t="shared" si="166"/>
        <v>0</v>
      </c>
      <c r="U339" s="994"/>
      <c r="V339" s="994"/>
      <c r="W339" s="1132">
        <f t="shared" si="164"/>
        <v>0</v>
      </c>
      <c r="X339" s="1045">
        <f t="shared" si="175"/>
        <v>0</v>
      </c>
      <c r="Y339" s="1132">
        <f t="shared" si="165"/>
        <v>0</v>
      </c>
      <c r="Z339" s="1045">
        <f t="shared" si="176"/>
        <v>0</v>
      </c>
      <c r="AA339" s="994">
        <f t="shared" si="180"/>
        <v>0</v>
      </c>
      <c r="AB339" s="990"/>
      <c r="AC339" s="988">
        <f t="shared" si="181"/>
        <v>0</v>
      </c>
    </row>
    <row r="340" spans="1:29" s="486" customFormat="1">
      <c r="A340" s="1230"/>
      <c r="B340" s="1421"/>
      <c r="C340" s="1415"/>
      <c r="D340" s="1415"/>
      <c r="E340" s="998"/>
      <c r="F340" s="1127">
        <f t="shared" si="163"/>
        <v>0</v>
      </c>
      <c r="G340" s="1252"/>
      <c r="H340" s="1127">
        <f t="shared" si="169"/>
        <v>0</v>
      </c>
      <c r="I340" s="996">
        <f t="shared" si="178"/>
        <v>0</v>
      </c>
      <c r="J340" s="1127">
        <f t="shared" si="170"/>
        <v>0</v>
      </c>
      <c r="K340" s="1041"/>
      <c r="L340" s="1127">
        <f t="shared" si="171"/>
        <v>0</v>
      </c>
      <c r="M340" s="995">
        <f t="shared" si="179"/>
        <v>0</v>
      </c>
      <c r="N340" s="1127">
        <f t="shared" si="172"/>
        <v>0</v>
      </c>
      <c r="O340" s="994"/>
      <c r="P340" s="1127">
        <f t="shared" si="173"/>
        <v>0</v>
      </c>
      <c r="Q340" s="1255"/>
      <c r="R340" s="1127">
        <f t="shared" si="174"/>
        <v>0</v>
      </c>
      <c r="S340" s="1040"/>
      <c r="T340" s="1131">
        <f t="shared" si="166"/>
        <v>0</v>
      </c>
      <c r="U340" s="994"/>
      <c r="V340" s="994"/>
      <c r="W340" s="1132">
        <f t="shared" si="164"/>
        <v>0</v>
      </c>
      <c r="X340" s="1045">
        <f t="shared" si="175"/>
        <v>0</v>
      </c>
      <c r="Y340" s="1132">
        <f t="shared" si="165"/>
        <v>0</v>
      </c>
      <c r="Z340" s="1045">
        <f t="shared" si="176"/>
        <v>0</v>
      </c>
      <c r="AA340" s="994">
        <f t="shared" si="180"/>
        <v>0</v>
      </c>
      <c r="AB340" s="990"/>
      <c r="AC340" s="988">
        <f t="shared" si="181"/>
        <v>0</v>
      </c>
    </row>
    <row r="341" spans="1:29" s="486" customFormat="1" ht="25.5" customHeight="1">
      <c r="A341" s="1230"/>
      <c r="B341" s="1508" t="s">
        <v>6058</v>
      </c>
      <c r="C341" s="1414">
        <f>C417</f>
        <v>2084</v>
      </c>
      <c r="D341" s="1513" t="s">
        <v>794</v>
      </c>
      <c r="E341" s="998"/>
      <c r="F341" s="1127">
        <f t="shared" si="163"/>
        <v>0</v>
      </c>
      <c r="G341" s="1252"/>
      <c r="H341" s="1127">
        <f t="shared" si="169"/>
        <v>0</v>
      </c>
      <c r="I341" s="996">
        <f t="shared" si="178"/>
        <v>0</v>
      </c>
      <c r="J341" s="1127">
        <f t="shared" si="170"/>
        <v>0</v>
      </c>
      <c r="K341" s="1041"/>
      <c r="L341" s="1127">
        <f t="shared" si="171"/>
        <v>0</v>
      </c>
      <c r="M341" s="995">
        <f t="shared" si="179"/>
        <v>0</v>
      </c>
      <c r="N341" s="1127">
        <f t="shared" si="172"/>
        <v>0</v>
      </c>
      <c r="O341" s="994"/>
      <c r="P341" s="1127">
        <f t="shared" si="173"/>
        <v>0</v>
      </c>
      <c r="Q341" s="1255"/>
      <c r="R341" s="1127">
        <f t="shared" si="174"/>
        <v>0</v>
      </c>
      <c r="S341" s="1040">
        <f>'UG cable'!H27</f>
        <v>17</v>
      </c>
      <c r="T341" s="1131">
        <f t="shared" si="166"/>
        <v>35428</v>
      </c>
      <c r="U341" s="994"/>
      <c r="V341" s="994"/>
      <c r="W341" s="1132">
        <f t="shared" si="164"/>
        <v>17</v>
      </c>
      <c r="X341" s="1045">
        <f t="shared" si="175"/>
        <v>35428</v>
      </c>
      <c r="Y341" s="1132">
        <f t="shared" si="165"/>
        <v>17</v>
      </c>
      <c r="Z341" s="1045">
        <f t="shared" si="176"/>
        <v>35428</v>
      </c>
      <c r="AA341" s="994">
        <f t="shared" si="180"/>
        <v>73831952</v>
      </c>
      <c r="AB341" s="990"/>
      <c r="AC341" s="988">
        <f t="shared" si="181"/>
        <v>0</v>
      </c>
    </row>
    <row r="342" spans="1:29" s="486" customFormat="1">
      <c r="A342" s="1230"/>
      <c r="B342" s="1508"/>
      <c r="C342" s="1415"/>
      <c r="D342" s="1513"/>
      <c r="E342" s="998"/>
      <c r="F342" s="1127">
        <f t="shared" si="163"/>
        <v>0</v>
      </c>
      <c r="G342" s="1252"/>
      <c r="H342" s="1127">
        <f t="shared" si="169"/>
        <v>0</v>
      </c>
      <c r="I342" s="996">
        <f t="shared" si="178"/>
        <v>0</v>
      </c>
      <c r="J342" s="1127">
        <f t="shared" si="170"/>
        <v>0</v>
      </c>
      <c r="K342" s="1041"/>
      <c r="L342" s="1127">
        <f t="shared" si="171"/>
        <v>0</v>
      </c>
      <c r="M342" s="995">
        <f t="shared" si="179"/>
        <v>0</v>
      </c>
      <c r="N342" s="1127">
        <f t="shared" si="172"/>
        <v>0</v>
      </c>
      <c r="O342" s="994"/>
      <c r="P342" s="1127">
        <f t="shared" si="173"/>
        <v>0</v>
      </c>
      <c r="Q342" s="1255"/>
      <c r="R342" s="1127">
        <f t="shared" si="174"/>
        <v>0</v>
      </c>
      <c r="S342" s="1040"/>
      <c r="T342" s="1131">
        <f t="shared" si="166"/>
        <v>0</v>
      </c>
      <c r="U342" s="994"/>
      <c r="V342" s="994"/>
      <c r="W342" s="1132">
        <f t="shared" si="164"/>
        <v>0</v>
      </c>
      <c r="X342" s="1045">
        <f t="shared" si="175"/>
        <v>0</v>
      </c>
      <c r="Y342" s="1132">
        <f t="shared" si="165"/>
        <v>0</v>
      </c>
      <c r="Z342" s="1045">
        <f t="shared" si="176"/>
        <v>0</v>
      </c>
      <c r="AA342" s="994">
        <f t="shared" si="180"/>
        <v>0</v>
      </c>
      <c r="AB342" s="990"/>
      <c r="AC342" s="988">
        <f t="shared" si="181"/>
        <v>0</v>
      </c>
    </row>
    <row r="343" spans="1:29" s="486" customFormat="1" ht="25.5" customHeight="1">
      <c r="A343" s="1230"/>
      <c r="B343" s="1415"/>
      <c r="C343" s="1415"/>
      <c r="D343" s="1414"/>
      <c r="E343" s="999"/>
      <c r="F343" s="1127">
        <f t="shared" si="163"/>
        <v>0</v>
      </c>
      <c r="G343" s="1252"/>
      <c r="H343" s="1127">
        <f t="shared" si="169"/>
        <v>0</v>
      </c>
      <c r="I343" s="996">
        <f t="shared" si="178"/>
        <v>0</v>
      </c>
      <c r="J343" s="1127">
        <f t="shared" si="170"/>
        <v>0</v>
      </c>
      <c r="K343" s="1041"/>
      <c r="L343" s="1127">
        <f t="shared" si="171"/>
        <v>0</v>
      </c>
      <c r="M343" s="995">
        <f t="shared" si="179"/>
        <v>0</v>
      </c>
      <c r="N343" s="1127">
        <f t="shared" si="172"/>
        <v>0</v>
      </c>
      <c r="O343" s="994"/>
      <c r="P343" s="1127">
        <f t="shared" si="173"/>
        <v>0</v>
      </c>
      <c r="Q343" s="1255"/>
      <c r="R343" s="1127">
        <f t="shared" si="174"/>
        <v>0</v>
      </c>
      <c r="S343" s="1040"/>
      <c r="T343" s="1131">
        <f t="shared" si="166"/>
        <v>0</v>
      </c>
      <c r="U343" s="994"/>
      <c r="V343" s="994"/>
      <c r="W343" s="1132">
        <f t="shared" si="164"/>
        <v>0</v>
      </c>
      <c r="X343" s="1045">
        <f t="shared" si="175"/>
        <v>0</v>
      </c>
      <c r="Y343" s="1132">
        <f t="shared" si="165"/>
        <v>0</v>
      </c>
      <c r="Z343" s="1045">
        <f t="shared" si="176"/>
        <v>0</v>
      </c>
      <c r="AA343" s="994">
        <f t="shared" si="180"/>
        <v>0</v>
      </c>
      <c r="AB343" s="990"/>
      <c r="AC343" s="988">
        <f t="shared" si="181"/>
        <v>0</v>
      </c>
    </row>
    <row r="344" spans="1:29" s="486" customFormat="1" ht="40.5" customHeight="1">
      <c r="A344" s="1230"/>
      <c r="B344" s="1508" t="s">
        <v>5005</v>
      </c>
      <c r="C344" s="1414">
        <v>209</v>
      </c>
      <c r="D344" s="1414" t="s">
        <v>794</v>
      </c>
      <c r="E344" s="999"/>
      <c r="F344" s="1127">
        <f t="shared" si="163"/>
        <v>0</v>
      </c>
      <c r="G344" s="1252"/>
      <c r="H344" s="1127">
        <f t="shared" si="169"/>
        <v>0</v>
      </c>
      <c r="I344" s="996">
        <f t="shared" si="178"/>
        <v>0</v>
      </c>
      <c r="J344" s="1127">
        <f t="shared" si="170"/>
        <v>0</v>
      </c>
      <c r="K344" s="1041"/>
      <c r="L344" s="1127">
        <f t="shared" si="171"/>
        <v>0</v>
      </c>
      <c r="M344" s="995">
        <f t="shared" si="179"/>
        <v>0</v>
      </c>
      <c r="N344" s="1127">
        <f t="shared" si="172"/>
        <v>0</v>
      </c>
      <c r="O344" s="994"/>
      <c r="P344" s="1127">
        <f t="shared" si="173"/>
        <v>0</v>
      </c>
      <c r="Q344" s="1255"/>
      <c r="R344" s="1127">
        <f t="shared" si="174"/>
        <v>0</v>
      </c>
      <c r="S344" s="1040">
        <f>'UG cable'!H31</f>
        <v>76</v>
      </c>
      <c r="T344" s="1131">
        <f t="shared" si="166"/>
        <v>15884</v>
      </c>
      <c r="U344" s="994"/>
      <c r="V344" s="994"/>
      <c r="W344" s="1132">
        <f t="shared" si="164"/>
        <v>76</v>
      </c>
      <c r="X344" s="1045">
        <f t="shared" si="175"/>
        <v>15884</v>
      </c>
      <c r="Y344" s="1132">
        <f t="shared" si="165"/>
        <v>76</v>
      </c>
      <c r="Z344" s="1045">
        <f t="shared" si="176"/>
        <v>15884</v>
      </c>
      <c r="AA344" s="994">
        <f t="shared" si="180"/>
        <v>3319756</v>
      </c>
      <c r="AB344" s="990"/>
      <c r="AC344" s="988">
        <f t="shared" si="181"/>
        <v>0</v>
      </c>
    </row>
    <row r="345" spans="1:29" s="486" customFormat="1" ht="40.5">
      <c r="A345" s="1230"/>
      <c r="B345" s="1508"/>
      <c r="C345" s="1423"/>
      <c r="D345" s="1415" t="s">
        <v>5004</v>
      </c>
      <c r="E345" s="999"/>
      <c r="F345" s="1127">
        <f t="shared" si="163"/>
        <v>0</v>
      </c>
      <c r="G345" s="1252"/>
      <c r="H345" s="1127">
        <f t="shared" si="169"/>
        <v>0</v>
      </c>
      <c r="I345" s="996">
        <f t="shared" si="178"/>
        <v>0</v>
      </c>
      <c r="J345" s="1127">
        <f t="shared" si="170"/>
        <v>0</v>
      </c>
      <c r="K345" s="1041"/>
      <c r="L345" s="1127">
        <f t="shared" si="171"/>
        <v>0</v>
      </c>
      <c r="M345" s="995">
        <f t="shared" si="179"/>
        <v>0</v>
      </c>
      <c r="N345" s="1127">
        <f t="shared" si="172"/>
        <v>0</v>
      </c>
      <c r="O345" s="994"/>
      <c r="P345" s="1127">
        <f t="shared" si="173"/>
        <v>0</v>
      </c>
      <c r="Q345" s="1255"/>
      <c r="R345" s="1127">
        <f t="shared" si="174"/>
        <v>0</v>
      </c>
      <c r="S345" s="1040"/>
      <c r="T345" s="1131">
        <f t="shared" si="166"/>
        <v>0</v>
      </c>
      <c r="U345" s="994"/>
      <c r="V345" s="994"/>
      <c r="W345" s="1132">
        <f t="shared" si="164"/>
        <v>0</v>
      </c>
      <c r="X345" s="1045">
        <f t="shared" si="175"/>
        <v>0</v>
      </c>
      <c r="Y345" s="1132">
        <f t="shared" si="165"/>
        <v>0</v>
      </c>
      <c r="Z345" s="1045">
        <f t="shared" si="176"/>
        <v>0</v>
      </c>
      <c r="AA345" s="994">
        <f t="shared" si="180"/>
        <v>0</v>
      </c>
      <c r="AB345" s="990"/>
      <c r="AC345" s="988">
        <f t="shared" si="181"/>
        <v>0</v>
      </c>
    </row>
    <row r="346" spans="1:29" s="486" customFormat="1" ht="25.5" customHeight="1">
      <c r="A346" s="1230"/>
      <c r="B346" s="1415"/>
      <c r="C346" s="1415"/>
      <c r="D346" s="1414"/>
      <c r="E346" s="998"/>
      <c r="F346" s="1127">
        <f t="shared" si="163"/>
        <v>0</v>
      </c>
      <c r="G346" s="1252"/>
      <c r="H346" s="1127">
        <f t="shared" si="169"/>
        <v>0</v>
      </c>
      <c r="I346" s="996">
        <f t="shared" si="178"/>
        <v>0</v>
      </c>
      <c r="J346" s="1127">
        <f t="shared" si="170"/>
        <v>0</v>
      </c>
      <c r="K346" s="1041"/>
      <c r="L346" s="1127">
        <f t="shared" si="171"/>
        <v>0</v>
      </c>
      <c r="M346" s="995">
        <f t="shared" si="179"/>
        <v>0</v>
      </c>
      <c r="N346" s="1127">
        <f t="shared" si="172"/>
        <v>0</v>
      </c>
      <c r="O346" s="994"/>
      <c r="P346" s="1127">
        <f t="shared" si="173"/>
        <v>0</v>
      </c>
      <c r="Q346" s="1255"/>
      <c r="R346" s="1127">
        <f t="shared" si="174"/>
        <v>0</v>
      </c>
      <c r="S346" s="1040"/>
      <c r="T346" s="1131">
        <f t="shared" si="166"/>
        <v>0</v>
      </c>
      <c r="U346" s="994"/>
      <c r="V346" s="994"/>
      <c r="W346" s="1132">
        <f t="shared" si="164"/>
        <v>0</v>
      </c>
      <c r="X346" s="1045">
        <f t="shared" si="175"/>
        <v>0</v>
      </c>
      <c r="Y346" s="1132">
        <f t="shared" si="165"/>
        <v>0</v>
      </c>
      <c r="Z346" s="1045">
        <f t="shared" si="176"/>
        <v>0</v>
      </c>
      <c r="AA346" s="994">
        <f t="shared" si="180"/>
        <v>0</v>
      </c>
      <c r="AB346" s="990"/>
      <c r="AC346" s="988">
        <f t="shared" si="181"/>
        <v>0</v>
      </c>
    </row>
    <row r="347" spans="1:29" s="486" customFormat="1" ht="40.5">
      <c r="A347" s="1230"/>
      <c r="B347" s="1424" t="s">
        <v>5003</v>
      </c>
      <c r="C347" s="1423"/>
      <c r="D347" s="1415" t="s">
        <v>5002</v>
      </c>
      <c r="E347" s="998"/>
      <c r="F347" s="1127">
        <f t="shared" si="163"/>
        <v>0</v>
      </c>
      <c r="G347" s="1252"/>
      <c r="H347" s="1127">
        <f t="shared" si="169"/>
        <v>0</v>
      </c>
      <c r="I347" s="996">
        <f t="shared" si="178"/>
        <v>0</v>
      </c>
      <c r="J347" s="1127">
        <f t="shared" si="170"/>
        <v>0</v>
      </c>
      <c r="K347" s="1041"/>
      <c r="L347" s="1127">
        <f t="shared" si="171"/>
        <v>0</v>
      </c>
      <c r="M347" s="995">
        <f t="shared" si="179"/>
        <v>0</v>
      </c>
      <c r="N347" s="1127">
        <f t="shared" si="172"/>
        <v>0</v>
      </c>
      <c r="O347" s="994"/>
      <c r="P347" s="1127">
        <f t="shared" si="173"/>
        <v>0</v>
      </c>
      <c r="Q347" s="1255"/>
      <c r="R347" s="1127">
        <f t="shared" si="174"/>
        <v>0</v>
      </c>
      <c r="S347" s="1040"/>
      <c r="T347" s="1131">
        <f t="shared" si="166"/>
        <v>0</v>
      </c>
      <c r="U347" s="994"/>
      <c r="V347" s="994"/>
      <c r="W347" s="1132">
        <f t="shared" si="164"/>
        <v>0</v>
      </c>
      <c r="X347" s="1045">
        <f t="shared" si="175"/>
        <v>0</v>
      </c>
      <c r="Y347" s="1132">
        <f t="shared" si="165"/>
        <v>0</v>
      </c>
      <c r="Z347" s="1045">
        <f t="shared" si="176"/>
        <v>0</v>
      </c>
      <c r="AA347" s="994">
        <f t="shared" si="180"/>
        <v>0</v>
      </c>
      <c r="AB347" s="990"/>
      <c r="AC347" s="988">
        <f t="shared" si="181"/>
        <v>0</v>
      </c>
    </row>
    <row r="348" spans="1:29" s="486" customFormat="1">
      <c r="A348" s="1230"/>
      <c r="B348" s="997" t="s">
        <v>5001</v>
      </c>
      <c r="C348" s="1414">
        <v>116.3</v>
      </c>
      <c r="D348" s="1414" t="s">
        <v>1341</v>
      </c>
      <c r="E348" s="998"/>
      <c r="F348" s="1127">
        <f t="shared" si="163"/>
        <v>0</v>
      </c>
      <c r="G348" s="1252"/>
      <c r="H348" s="1127">
        <f t="shared" si="169"/>
        <v>0</v>
      </c>
      <c r="I348" s="996">
        <f t="shared" si="178"/>
        <v>0</v>
      </c>
      <c r="J348" s="1127">
        <f t="shared" si="170"/>
        <v>0</v>
      </c>
      <c r="K348" s="1041"/>
      <c r="L348" s="1127">
        <f t="shared" si="171"/>
        <v>0</v>
      </c>
      <c r="M348" s="995">
        <f t="shared" si="179"/>
        <v>0</v>
      </c>
      <c r="N348" s="1127">
        <f t="shared" si="172"/>
        <v>0</v>
      </c>
      <c r="O348" s="994"/>
      <c r="P348" s="1127">
        <f t="shared" si="173"/>
        <v>0</v>
      </c>
      <c r="Q348" s="1255"/>
      <c r="R348" s="1127">
        <f t="shared" si="174"/>
        <v>0</v>
      </c>
      <c r="S348" s="1040">
        <f>'UG cable'!H34</f>
        <v>10</v>
      </c>
      <c r="T348" s="1131">
        <f t="shared" si="166"/>
        <v>1163</v>
      </c>
      <c r="U348" s="994"/>
      <c r="V348" s="994"/>
      <c r="W348" s="1132">
        <f t="shared" si="164"/>
        <v>10</v>
      </c>
      <c r="X348" s="1045">
        <f t="shared" si="175"/>
        <v>1163</v>
      </c>
      <c r="Y348" s="1132">
        <f t="shared" si="165"/>
        <v>10</v>
      </c>
      <c r="Z348" s="1045">
        <f t="shared" si="176"/>
        <v>1163</v>
      </c>
      <c r="AA348" s="994">
        <f t="shared" si="180"/>
        <v>135256.9</v>
      </c>
      <c r="AB348" s="990"/>
      <c r="AC348" s="988">
        <f t="shared" si="181"/>
        <v>0</v>
      </c>
    </row>
    <row r="349" spans="1:29" s="486" customFormat="1" ht="25.5" customHeight="1">
      <c r="A349" s="1230"/>
      <c r="B349" s="997" t="s">
        <v>5000</v>
      </c>
      <c r="C349" s="1414">
        <v>69.8</v>
      </c>
      <c r="D349" s="1414" t="s">
        <v>1341</v>
      </c>
      <c r="E349" s="998"/>
      <c r="F349" s="1127">
        <f t="shared" si="163"/>
        <v>0</v>
      </c>
      <c r="G349" s="1252"/>
      <c r="H349" s="1127">
        <f t="shared" si="169"/>
        <v>0</v>
      </c>
      <c r="I349" s="996">
        <f t="shared" si="178"/>
        <v>0</v>
      </c>
      <c r="J349" s="1127">
        <f t="shared" si="170"/>
        <v>0</v>
      </c>
      <c r="K349" s="1041"/>
      <c r="L349" s="1127">
        <f t="shared" si="171"/>
        <v>0</v>
      </c>
      <c r="M349" s="995">
        <f t="shared" si="179"/>
        <v>0</v>
      </c>
      <c r="N349" s="1127">
        <f t="shared" si="172"/>
        <v>0</v>
      </c>
      <c r="O349" s="994"/>
      <c r="P349" s="1127">
        <f t="shared" si="173"/>
        <v>0</v>
      </c>
      <c r="Q349" s="1255"/>
      <c r="R349" s="1127">
        <f t="shared" si="174"/>
        <v>0</v>
      </c>
      <c r="S349" s="1040">
        <f>'UG cable'!H36</f>
        <v>20</v>
      </c>
      <c r="T349" s="1131">
        <f t="shared" si="166"/>
        <v>1396</v>
      </c>
      <c r="U349" s="994"/>
      <c r="V349" s="994"/>
      <c r="W349" s="1132">
        <f t="shared" si="164"/>
        <v>20</v>
      </c>
      <c r="X349" s="1045">
        <f t="shared" si="175"/>
        <v>1396</v>
      </c>
      <c r="Y349" s="1132">
        <f t="shared" si="165"/>
        <v>20</v>
      </c>
      <c r="Z349" s="1045">
        <f t="shared" si="176"/>
        <v>1396</v>
      </c>
      <c r="AA349" s="994">
        <f t="shared" si="180"/>
        <v>97440.8</v>
      </c>
      <c r="AB349" s="990"/>
      <c r="AC349" s="988">
        <f t="shared" si="181"/>
        <v>0</v>
      </c>
    </row>
    <row r="350" spans="1:29" s="486" customFormat="1">
      <c r="A350" s="1230"/>
      <c r="B350" s="997"/>
      <c r="C350" s="1414"/>
      <c r="D350" s="1414"/>
      <c r="E350" s="999"/>
      <c r="F350" s="1127">
        <f t="shared" si="163"/>
        <v>0</v>
      </c>
      <c r="G350" s="1252"/>
      <c r="H350" s="1127">
        <f t="shared" si="169"/>
        <v>0</v>
      </c>
      <c r="I350" s="996">
        <f t="shared" si="178"/>
        <v>0</v>
      </c>
      <c r="J350" s="1127">
        <f t="shared" si="170"/>
        <v>0</v>
      </c>
      <c r="K350" s="1041"/>
      <c r="L350" s="1127">
        <f t="shared" si="171"/>
        <v>0</v>
      </c>
      <c r="M350" s="995">
        <f t="shared" si="179"/>
        <v>0</v>
      </c>
      <c r="N350" s="1127">
        <f t="shared" si="172"/>
        <v>0</v>
      </c>
      <c r="O350" s="994"/>
      <c r="P350" s="1127">
        <f t="shared" si="173"/>
        <v>0</v>
      </c>
      <c r="Q350" s="1255"/>
      <c r="R350" s="1127">
        <f t="shared" si="174"/>
        <v>0</v>
      </c>
      <c r="S350" s="1040"/>
      <c r="T350" s="1131">
        <f t="shared" si="166"/>
        <v>0</v>
      </c>
      <c r="U350" s="994"/>
      <c r="V350" s="994"/>
      <c r="W350" s="1132">
        <f t="shared" si="164"/>
        <v>0</v>
      </c>
      <c r="X350" s="1045">
        <f t="shared" si="175"/>
        <v>0</v>
      </c>
      <c r="Y350" s="1132">
        <f t="shared" si="165"/>
        <v>0</v>
      </c>
      <c r="Z350" s="1045">
        <f t="shared" si="176"/>
        <v>0</v>
      </c>
      <c r="AA350" s="994">
        <f t="shared" si="180"/>
        <v>0</v>
      </c>
      <c r="AB350" s="990"/>
      <c r="AC350" s="988">
        <f t="shared" si="181"/>
        <v>0</v>
      </c>
    </row>
    <row r="351" spans="1:29" s="486" customFormat="1" ht="81">
      <c r="A351" s="1230"/>
      <c r="B351" s="1419" t="s">
        <v>4999</v>
      </c>
      <c r="C351" s="1414">
        <v>3590</v>
      </c>
      <c r="D351" s="1415" t="s">
        <v>4995</v>
      </c>
      <c r="E351" s="998"/>
      <c r="F351" s="1127">
        <f t="shared" si="163"/>
        <v>0</v>
      </c>
      <c r="G351" s="1252"/>
      <c r="H351" s="1127">
        <f t="shared" si="169"/>
        <v>0</v>
      </c>
      <c r="I351" s="996">
        <f t="shared" si="178"/>
        <v>0</v>
      </c>
      <c r="J351" s="1127">
        <f t="shared" si="170"/>
        <v>0</v>
      </c>
      <c r="K351" s="1041"/>
      <c r="L351" s="1127">
        <f t="shared" si="171"/>
        <v>0</v>
      </c>
      <c r="M351" s="995">
        <f t="shared" si="179"/>
        <v>0</v>
      </c>
      <c r="N351" s="1127">
        <f t="shared" si="172"/>
        <v>0</v>
      </c>
      <c r="O351" s="994"/>
      <c r="P351" s="1127">
        <f t="shared" si="173"/>
        <v>0</v>
      </c>
      <c r="Q351" s="1255"/>
      <c r="R351" s="1127">
        <f t="shared" si="174"/>
        <v>0</v>
      </c>
      <c r="S351" s="1040">
        <f>'UG cable'!H39</f>
        <v>3</v>
      </c>
      <c r="T351" s="1131">
        <f t="shared" si="166"/>
        <v>10770</v>
      </c>
      <c r="U351" s="994"/>
      <c r="V351" s="994"/>
      <c r="W351" s="1132">
        <f t="shared" si="164"/>
        <v>3</v>
      </c>
      <c r="X351" s="1045">
        <f t="shared" si="175"/>
        <v>10770</v>
      </c>
      <c r="Y351" s="1132">
        <f t="shared" si="165"/>
        <v>3</v>
      </c>
      <c r="Z351" s="1045">
        <f t="shared" si="176"/>
        <v>10770</v>
      </c>
      <c r="AA351" s="994">
        <f t="shared" si="180"/>
        <v>38664300</v>
      </c>
      <c r="AB351" s="990"/>
      <c r="AC351" s="988">
        <f t="shared" si="181"/>
        <v>0</v>
      </c>
    </row>
    <row r="352" spans="1:29" s="486" customFormat="1" ht="25.5" customHeight="1">
      <c r="A352" s="1230"/>
      <c r="B352" s="1419"/>
      <c r="C352" s="1414"/>
      <c r="D352" s="1415"/>
      <c r="E352" s="998"/>
      <c r="F352" s="1127">
        <f t="shared" si="163"/>
        <v>0</v>
      </c>
      <c r="G352" s="1252"/>
      <c r="H352" s="1127">
        <f t="shared" si="169"/>
        <v>0</v>
      </c>
      <c r="I352" s="996">
        <f t="shared" si="178"/>
        <v>0</v>
      </c>
      <c r="J352" s="1127">
        <f t="shared" si="170"/>
        <v>0</v>
      </c>
      <c r="K352" s="1041"/>
      <c r="L352" s="1127">
        <f t="shared" si="171"/>
        <v>0</v>
      </c>
      <c r="M352" s="995">
        <f t="shared" si="179"/>
        <v>0</v>
      </c>
      <c r="N352" s="1127">
        <f t="shared" si="172"/>
        <v>0</v>
      </c>
      <c r="O352" s="994"/>
      <c r="P352" s="1127">
        <f t="shared" si="173"/>
        <v>0</v>
      </c>
      <c r="Q352" s="1255"/>
      <c r="R352" s="1127">
        <f t="shared" si="174"/>
        <v>0</v>
      </c>
      <c r="S352" s="1040"/>
      <c r="T352" s="1131">
        <f t="shared" si="166"/>
        <v>0</v>
      </c>
      <c r="U352" s="994"/>
      <c r="V352" s="994"/>
      <c r="W352" s="1132">
        <f t="shared" si="164"/>
        <v>0</v>
      </c>
      <c r="X352" s="1045">
        <f t="shared" si="175"/>
        <v>0</v>
      </c>
      <c r="Y352" s="1132">
        <f t="shared" si="165"/>
        <v>0</v>
      </c>
      <c r="Z352" s="1045">
        <f t="shared" si="176"/>
        <v>0</v>
      </c>
      <c r="AA352" s="994">
        <f t="shared" si="180"/>
        <v>0</v>
      </c>
      <c r="AB352" s="990"/>
      <c r="AC352" s="988">
        <f t="shared" si="181"/>
        <v>0</v>
      </c>
    </row>
    <row r="353" spans="1:36" s="486" customFormat="1">
      <c r="A353" s="1230"/>
      <c r="B353" s="1425" t="s">
        <v>4998</v>
      </c>
      <c r="C353" s="1414">
        <f>C351</f>
        <v>3590</v>
      </c>
      <c r="D353" s="1414" t="s">
        <v>1341</v>
      </c>
      <c r="E353" s="999"/>
      <c r="F353" s="1127">
        <f t="shared" si="163"/>
        <v>0</v>
      </c>
      <c r="G353" s="1252"/>
      <c r="H353" s="1127">
        <f t="shared" si="169"/>
        <v>0</v>
      </c>
      <c r="I353" s="996">
        <f t="shared" si="178"/>
        <v>0</v>
      </c>
      <c r="J353" s="1127">
        <f t="shared" si="170"/>
        <v>0</v>
      </c>
      <c r="K353" s="1041"/>
      <c r="L353" s="1127">
        <f t="shared" si="171"/>
        <v>0</v>
      </c>
      <c r="M353" s="995">
        <f t="shared" si="179"/>
        <v>0</v>
      </c>
      <c r="N353" s="1127">
        <f t="shared" si="172"/>
        <v>0</v>
      </c>
      <c r="O353" s="994"/>
      <c r="P353" s="1127">
        <f t="shared" si="173"/>
        <v>0</v>
      </c>
      <c r="Q353" s="1255"/>
      <c r="R353" s="1127">
        <f t="shared" si="174"/>
        <v>0</v>
      </c>
      <c r="S353" s="1040"/>
      <c r="T353" s="1131">
        <f t="shared" si="166"/>
        <v>0</v>
      </c>
      <c r="U353" s="994"/>
      <c r="V353" s="994"/>
      <c r="W353" s="1132">
        <f t="shared" si="164"/>
        <v>0</v>
      </c>
      <c r="X353" s="1045">
        <f t="shared" si="175"/>
        <v>0</v>
      </c>
      <c r="Y353" s="1132">
        <f t="shared" si="165"/>
        <v>0</v>
      </c>
      <c r="Z353" s="1045">
        <f t="shared" si="176"/>
        <v>0</v>
      </c>
      <c r="AA353" s="994">
        <f t="shared" si="180"/>
        <v>0</v>
      </c>
      <c r="AB353" s="990"/>
      <c r="AC353" s="988">
        <f t="shared" si="181"/>
        <v>0</v>
      </c>
    </row>
    <row r="354" spans="1:36" s="486" customFormat="1">
      <c r="A354" s="1230"/>
      <c r="B354" s="1425"/>
      <c r="C354" s="1414"/>
      <c r="D354" s="1414"/>
      <c r="E354" s="998"/>
      <c r="F354" s="1127">
        <f t="shared" si="163"/>
        <v>0</v>
      </c>
      <c r="G354" s="1252"/>
      <c r="H354" s="1127">
        <f t="shared" si="169"/>
        <v>0</v>
      </c>
      <c r="I354" s="996">
        <f t="shared" si="178"/>
        <v>0</v>
      </c>
      <c r="J354" s="1127">
        <f t="shared" si="170"/>
        <v>0</v>
      </c>
      <c r="K354" s="1041"/>
      <c r="L354" s="1127">
        <f t="shared" si="171"/>
        <v>0</v>
      </c>
      <c r="M354" s="995">
        <f t="shared" si="179"/>
        <v>0</v>
      </c>
      <c r="N354" s="1127">
        <f t="shared" si="172"/>
        <v>0</v>
      </c>
      <c r="O354" s="994"/>
      <c r="P354" s="1127">
        <f t="shared" si="173"/>
        <v>0</v>
      </c>
      <c r="Q354" s="1255"/>
      <c r="R354" s="1127">
        <f t="shared" si="174"/>
        <v>0</v>
      </c>
      <c r="S354" s="1040"/>
      <c r="T354" s="1131">
        <f t="shared" si="166"/>
        <v>0</v>
      </c>
      <c r="U354" s="994"/>
      <c r="V354" s="994"/>
      <c r="W354" s="1132">
        <f t="shared" si="164"/>
        <v>0</v>
      </c>
      <c r="X354" s="1045">
        <f t="shared" si="175"/>
        <v>0</v>
      </c>
      <c r="Y354" s="1132">
        <f t="shared" si="165"/>
        <v>0</v>
      </c>
      <c r="Z354" s="1045">
        <f t="shared" si="176"/>
        <v>0</v>
      </c>
      <c r="AA354" s="994">
        <f t="shared" si="180"/>
        <v>0</v>
      </c>
      <c r="AB354" s="990"/>
      <c r="AC354" s="988">
        <f t="shared" si="181"/>
        <v>0</v>
      </c>
    </row>
    <row r="355" spans="1:36" s="486" customFormat="1">
      <c r="A355" s="1230"/>
      <c r="B355" s="1425" t="s">
        <v>4997</v>
      </c>
      <c r="C355" s="1414">
        <v>2745</v>
      </c>
      <c r="D355" s="1414" t="s">
        <v>1341</v>
      </c>
      <c r="E355" s="999"/>
      <c r="F355" s="1127">
        <f t="shared" si="163"/>
        <v>0</v>
      </c>
      <c r="G355" s="1252"/>
      <c r="H355" s="1127">
        <f t="shared" si="169"/>
        <v>0</v>
      </c>
      <c r="I355" s="996">
        <f t="shared" si="178"/>
        <v>0</v>
      </c>
      <c r="J355" s="1127">
        <f t="shared" si="170"/>
        <v>0</v>
      </c>
      <c r="K355" s="1041"/>
      <c r="L355" s="1127">
        <f t="shared" si="171"/>
        <v>0</v>
      </c>
      <c r="M355" s="995">
        <f t="shared" si="179"/>
        <v>0</v>
      </c>
      <c r="N355" s="1127">
        <f t="shared" si="172"/>
        <v>0</v>
      </c>
      <c r="O355" s="994"/>
      <c r="P355" s="1127">
        <f t="shared" si="173"/>
        <v>0</v>
      </c>
      <c r="Q355" s="1255"/>
      <c r="R355" s="1127">
        <f t="shared" si="174"/>
        <v>0</v>
      </c>
      <c r="S355" s="1040">
        <f>'UG cable'!H45</f>
        <v>3</v>
      </c>
      <c r="T355" s="1131">
        <f t="shared" si="166"/>
        <v>8235</v>
      </c>
      <c r="U355" s="994"/>
      <c r="V355" s="994"/>
      <c r="W355" s="1132">
        <f t="shared" si="164"/>
        <v>3</v>
      </c>
      <c r="X355" s="1045">
        <f t="shared" si="175"/>
        <v>8235</v>
      </c>
      <c r="Y355" s="1132">
        <f t="shared" si="165"/>
        <v>3</v>
      </c>
      <c r="Z355" s="1045">
        <f t="shared" si="176"/>
        <v>8235</v>
      </c>
      <c r="AA355" s="994">
        <f t="shared" si="180"/>
        <v>22605075</v>
      </c>
      <c r="AB355" s="990"/>
      <c r="AC355" s="988">
        <f t="shared" si="181"/>
        <v>0</v>
      </c>
    </row>
    <row r="356" spans="1:36" s="486" customFormat="1">
      <c r="A356" s="1230"/>
      <c r="B356" s="1425"/>
      <c r="C356" s="1414"/>
      <c r="D356" s="1414"/>
      <c r="E356" s="998"/>
      <c r="F356" s="1127">
        <f t="shared" si="163"/>
        <v>0</v>
      </c>
      <c r="G356" s="1252"/>
      <c r="H356" s="1127">
        <f t="shared" si="169"/>
        <v>0</v>
      </c>
      <c r="I356" s="996">
        <f t="shared" si="178"/>
        <v>0</v>
      </c>
      <c r="J356" s="1127">
        <f t="shared" si="170"/>
        <v>0</v>
      </c>
      <c r="K356" s="1041"/>
      <c r="L356" s="1127">
        <f t="shared" si="171"/>
        <v>0</v>
      </c>
      <c r="M356" s="995">
        <f t="shared" si="179"/>
        <v>0</v>
      </c>
      <c r="N356" s="1127">
        <f t="shared" si="172"/>
        <v>0</v>
      </c>
      <c r="O356" s="994"/>
      <c r="P356" s="1127">
        <f t="shared" si="173"/>
        <v>0</v>
      </c>
      <c r="Q356" s="1255"/>
      <c r="R356" s="1127">
        <f t="shared" si="174"/>
        <v>0</v>
      </c>
      <c r="S356" s="1040"/>
      <c r="T356" s="1131">
        <f t="shared" si="166"/>
        <v>0</v>
      </c>
      <c r="U356" s="994"/>
      <c r="V356" s="994"/>
      <c r="W356" s="1132">
        <f t="shared" si="164"/>
        <v>0</v>
      </c>
      <c r="X356" s="1045">
        <f t="shared" si="175"/>
        <v>0</v>
      </c>
      <c r="Y356" s="1132">
        <f t="shared" si="165"/>
        <v>0</v>
      </c>
      <c r="Z356" s="1045">
        <f t="shared" si="176"/>
        <v>0</v>
      </c>
      <c r="AA356" s="994">
        <f t="shared" si="180"/>
        <v>0</v>
      </c>
      <c r="AB356" s="990"/>
      <c r="AC356" s="988">
        <f t="shared" si="181"/>
        <v>0</v>
      </c>
    </row>
    <row r="357" spans="1:36" s="486" customFormat="1">
      <c r="A357" s="1230"/>
      <c r="B357" s="1425" t="s">
        <v>4996</v>
      </c>
      <c r="C357" s="1414">
        <v>374</v>
      </c>
      <c r="D357" s="1414" t="s">
        <v>1341</v>
      </c>
      <c r="E357" s="998"/>
      <c r="F357" s="1127">
        <f t="shared" si="163"/>
        <v>0</v>
      </c>
      <c r="G357" s="1252"/>
      <c r="H357" s="1127">
        <f t="shared" si="169"/>
        <v>0</v>
      </c>
      <c r="I357" s="996">
        <f t="shared" si="178"/>
        <v>0</v>
      </c>
      <c r="J357" s="1127">
        <f t="shared" si="170"/>
        <v>0</v>
      </c>
      <c r="K357" s="1041"/>
      <c r="L357" s="1127">
        <f t="shared" si="171"/>
        <v>0</v>
      </c>
      <c r="M357" s="995">
        <f t="shared" si="179"/>
        <v>0</v>
      </c>
      <c r="N357" s="1127">
        <f t="shared" si="172"/>
        <v>0</v>
      </c>
      <c r="O357" s="994"/>
      <c r="P357" s="1127">
        <f t="shared" si="173"/>
        <v>0</v>
      </c>
      <c r="Q357" s="1255"/>
      <c r="R357" s="1127">
        <f t="shared" si="174"/>
        <v>0</v>
      </c>
      <c r="S357" s="1040">
        <f>'UG cable'!H48</f>
        <v>18</v>
      </c>
      <c r="T357" s="1131">
        <f t="shared" si="166"/>
        <v>6732</v>
      </c>
      <c r="U357" s="994"/>
      <c r="V357" s="994"/>
      <c r="W357" s="1132">
        <f t="shared" si="164"/>
        <v>18</v>
      </c>
      <c r="X357" s="1045">
        <f t="shared" si="175"/>
        <v>6732</v>
      </c>
      <c r="Y357" s="1132">
        <f t="shared" si="165"/>
        <v>18</v>
      </c>
      <c r="Z357" s="1045">
        <f t="shared" si="176"/>
        <v>6732</v>
      </c>
      <c r="AA357" s="994">
        <f t="shared" si="180"/>
        <v>2517768</v>
      </c>
      <c r="AB357" s="990"/>
      <c r="AC357" s="988">
        <f t="shared" si="181"/>
        <v>0</v>
      </c>
    </row>
    <row r="358" spans="1:36" s="486" customFormat="1">
      <c r="A358" s="1230"/>
      <c r="B358" s="1425"/>
      <c r="C358" s="1414"/>
      <c r="D358" s="1414"/>
      <c r="E358" s="998"/>
      <c r="F358" s="1127">
        <f t="shared" si="163"/>
        <v>0</v>
      </c>
      <c r="G358" s="1252"/>
      <c r="H358" s="1127">
        <f t="shared" si="169"/>
        <v>0</v>
      </c>
      <c r="I358" s="996">
        <f t="shared" si="178"/>
        <v>0</v>
      </c>
      <c r="J358" s="1127">
        <f t="shared" si="170"/>
        <v>0</v>
      </c>
      <c r="K358" s="1041"/>
      <c r="L358" s="1127">
        <f t="shared" si="171"/>
        <v>0</v>
      </c>
      <c r="M358" s="995">
        <f t="shared" si="179"/>
        <v>0</v>
      </c>
      <c r="N358" s="1127">
        <f t="shared" si="172"/>
        <v>0</v>
      </c>
      <c r="O358" s="994"/>
      <c r="P358" s="1127">
        <f t="shared" si="173"/>
        <v>0</v>
      </c>
      <c r="Q358" s="1255"/>
      <c r="R358" s="1127">
        <f t="shared" si="174"/>
        <v>0</v>
      </c>
      <c r="S358" s="1040"/>
      <c r="T358" s="1131">
        <f t="shared" si="166"/>
        <v>0</v>
      </c>
      <c r="U358" s="994"/>
      <c r="V358" s="994"/>
      <c r="W358" s="1132">
        <f t="shared" si="164"/>
        <v>0</v>
      </c>
      <c r="X358" s="1045">
        <f t="shared" si="175"/>
        <v>0</v>
      </c>
      <c r="Y358" s="1132">
        <f t="shared" si="165"/>
        <v>0</v>
      </c>
      <c r="Z358" s="1045">
        <f t="shared" si="176"/>
        <v>0</v>
      </c>
      <c r="AA358" s="994">
        <f t="shared" si="180"/>
        <v>0</v>
      </c>
      <c r="AB358" s="990"/>
      <c r="AC358" s="988">
        <f t="shared" si="181"/>
        <v>0</v>
      </c>
    </row>
    <row r="359" spans="1:36" s="486" customFormat="1">
      <c r="A359" s="1230"/>
      <c r="B359" s="1426" t="s">
        <v>3468</v>
      </c>
      <c r="C359" s="1414">
        <v>2083.67</v>
      </c>
      <c r="D359" s="1414" t="s">
        <v>1341</v>
      </c>
      <c r="E359" s="998"/>
      <c r="F359" s="1127">
        <f t="shared" si="163"/>
        <v>0</v>
      </c>
      <c r="G359" s="1252"/>
      <c r="H359" s="1127">
        <f t="shared" si="169"/>
        <v>0</v>
      </c>
      <c r="I359" s="996">
        <f t="shared" si="178"/>
        <v>0</v>
      </c>
      <c r="J359" s="1127">
        <f t="shared" si="170"/>
        <v>0</v>
      </c>
      <c r="K359" s="1041"/>
      <c r="L359" s="1127">
        <f t="shared" si="171"/>
        <v>0</v>
      </c>
      <c r="M359" s="995">
        <f t="shared" si="179"/>
        <v>0</v>
      </c>
      <c r="N359" s="1127">
        <f t="shared" si="172"/>
        <v>0</v>
      </c>
      <c r="O359" s="994"/>
      <c r="P359" s="1127">
        <f t="shared" si="173"/>
        <v>0</v>
      </c>
      <c r="Q359" s="1255"/>
      <c r="R359" s="1127">
        <f t="shared" si="174"/>
        <v>0</v>
      </c>
      <c r="S359" s="1040">
        <f>'UG cable'!H51</f>
        <v>1</v>
      </c>
      <c r="T359" s="1131">
        <f t="shared" si="166"/>
        <v>2083.67</v>
      </c>
      <c r="U359" s="994"/>
      <c r="V359" s="994"/>
      <c r="W359" s="1132">
        <f t="shared" si="164"/>
        <v>1</v>
      </c>
      <c r="X359" s="1045">
        <f t="shared" si="175"/>
        <v>2083.67</v>
      </c>
      <c r="Y359" s="1132">
        <f t="shared" si="165"/>
        <v>1</v>
      </c>
      <c r="Z359" s="1045">
        <f t="shared" si="176"/>
        <v>2083.67</v>
      </c>
      <c r="AA359" s="994">
        <f t="shared" si="180"/>
        <v>4341680.67</v>
      </c>
      <c r="AB359" s="990"/>
      <c r="AC359" s="988">
        <f t="shared" si="181"/>
        <v>0</v>
      </c>
    </row>
    <row r="360" spans="1:36" s="486" customFormat="1">
      <c r="A360" s="1230"/>
      <c r="B360" s="1426"/>
      <c r="C360" s="1414"/>
      <c r="D360" s="1414"/>
      <c r="E360" s="998"/>
      <c r="F360" s="1127">
        <f t="shared" ref="F360:F361" si="182">E360*C360</f>
        <v>0</v>
      </c>
      <c r="G360" s="1252"/>
      <c r="H360" s="1127">
        <f t="shared" si="169"/>
        <v>0</v>
      </c>
      <c r="I360" s="996">
        <f t="shared" si="178"/>
        <v>0</v>
      </c>
      <c r="J360" s="1127">
        <f t="shared" si="170"/>
        <v>0</v>
      </c>
      <c r="K360" s="1041"/>
      <c r="L360" s="1127">
        <f t="shared" si="171"/>
        <v>0</v>
      </c>
      <c r="M360" s="995">
        <f t="shared" si="179"/>
        <v>0</v>
      </c>
      <c r="N360" s="1127">
        <f t="shared" si="172"/>
        <v>0</v>
      </c>
      <c r="O360" s="994"/>
      <c r="P360" s="1127">
        <f t="shared" si="173"/>
        <v>0</v>
      </c>
      <c r="Q360" s="1255"/>
      <c r="R360" s="1127">
        <f t="shared" si="174"/>
        <v>0</v>
      </c>
      <c r="S360" s="1040"/>
      <c r="T360" s="1131">
        <f t="shared" si="166"/>
        <v>0</v>
      </c>
      <c r="U360" s="994"/>
      <c r="V360" s="994"/>
      <c r="W360" s="1132">
        <f t="shared" ref="W360:W361" si="183">U360+S360+Q360+O360+M360+K360+I360+G360</f>
        <v>0</v>
      </c>
      <c r="X360" s="1045">
        <f t="shared" si="175"/>
        <v>0</v>
      </c>
      <c r="Y360" s="1132">
        <f t="shared" ref="Y360:Y361" si="184">W360+E360</f>
        <v>0</v>
      </c>
      <c r="Z360" s="1045">
        <f t="shared" si="176"/>
        <v>0</v>
      </c>
      <c r="AA360" s="994">
        <f t="shared" si="180"/>
        <v>0</v>
      </c>
      <c r="AB360" s="990"/>
      <c r="AC360" s="988">
        <f t="shared" si="181"/>
        <v>0</v>
      </c>
    </row>
    <row r="361" spans="1:36" s="486" customFormat="1" ht="40.5">
      <c r="A361" s="1230"/>
      <c r="B361" s="1427" t="s">
        <v>4994</v>
      </c>
      <c r="C361" s="1414">
        <v>885</v>
      </c>
      <c r="D361" s="1415" t="s">
        <v>4993</v>
      </c>
      <c r="E361" s="998"/>
      <c r="F361" s="1127">
        <f t="shared" si="182"/>
        <v>0</v>
      </c>
      <c r="G361" s="1252"/>
      <c r="H361" s="1127">
        <f t="shared" si="169"/>
        <v>0</v>
      </c>
      <c r="I361" s="996">
        <f t="shared" si="178"/>
        <v>0</v>
      </c>
      <c r="J361" s="1127">
        <f t="shared" si="170"/>
        <v>0</v>
      </c>
      <c r="K361" s="1041"/>
      <c r="L361" s="1127">
        <f t="shared" si="171"/>
        <v>0</v>
      </c>
      <c r="M361" s="995">
        <f t="shared" si="179"/>
        <v>0</v>
      </c>
      <c r="N361" s="1127">
        <f t="shared" si="172"/>
        <v>0</v>
      </c>
      <c r="O361" s="994"/>
      <c r="P361" s="1127">
        <f t="shared" si="173"/>
        <v>0</v>
      </c>
      <c r="Q361" s="1255"/>
      <c r="R361" s="1127">
        <f t="shared" si="174"/>
        <v>0</v>
      </c>
      <c r="S361" s="1040">
        <f>'UG cable'!H55</f>
        <v>3</v>
      </c>
      <c r="T361" s="1131">
        <f t="shared" si="166"/>
        <v>2655</v>
      </c>
      <c r="U361" s="994"/>
      <c r="V361" s="994"/>
      <c r="W361" s="1132">
        <f t="shared" si="183"/>
        <v>3</v>
      </c>
      <c r="X361" s="1045">
        <f t="shared" si="175"/>
        <v>2655</v>
      </c>
      <c r="Y361" s="1132">
        <f t="shared" si="184"/>
        <v>3</v>
      </c>
      <c r="Z361" s="1045">
        <f t="shared" si="176"/>
        <v>2655</v>
      </c>
      <c r="AA361" s="994">
        <f t="shared" si="180"/>
        <v>2349675</v>
      </c>
      <c r="AB361" s="990"/>
      <c r="AC361" s="988">
        <f t="shared" si="181"/>
        <v>0</v>
      </c>
    </row>
    <row r="362" spans="1:36">
      <c r="A362" s="1010"/>
      <c r="B362" s="1256" t="s">
        <v>2161</v>
      </c>
      <c r="C362" s="1024">
        <f>ROUND(Data!K1209,2)</f>
        <v>0</v>
      </c>
      <c r="D362" s="1257"/>
      <c r="E362" s="1258"/>
      <c r="F362" s="1257">
        <f>SUM(F6:F361)</f>
        <v>26070798.969999999</v>
      </c>
      <c r="G362" s="1257"/>
      <c r="H362" s="1257">
        <f>SUM(H6:H361)</f>
        <v>183231.24</v>
      </c>
      <c r="I362" s="1257"/>
      <c r="J362" s="1257">
        <f>SUM(J6:J361)</f>
        <v>403834.21</v>
      </c>
      <c r="K362" s="1257"/>
      <c r="L362" s="1257">
        <f>SUM(L6:L361)</f>
        <v>215285.95</v>
      </c>
      <c r="M362" s="1257"/>
      <c r="N362" s="1257">
        <f>SUM(N6:N361)</f>
        <v>1678758.17</v>
      </c>
      <c r="O362" s="1257"/>
      <c r="P362" s="1257">
        <f>SUM(P6:P361)</f>
        <v>177198.21</v>
      </c>
      <c r="Q362" s="1257"/>
      <c r="R362" s="1257">
        <f>SUM(R6:R361)</f>
        <v>557643</v>
      </c>
      <c r="S362" s="1259"/>
      <c r="T362" s="1260">
        <f>SUM(T6:T361)+0.01</f>
        <v>180474.34</v>
      </c>
      <c r="U362" s="1260"/>
      <c r="V362" s="1260">
        <f>SUM(V6:V361)</f>
        <v>1178560.42</v>
      </c>
      <c r="W362" s="1132"/>
      <c r="X362" s="1260">
        <f>SUM(X6:X361)</f>
        <v>4574985.53</v>
      </c>
      <c r="Y362" s="1130" t="s">
        <v>2167</v>
      </c>
      <c r="Z362" s="1260">
        <f>SUM(Z6:Z361)</f>
        <v>30645784.420000002</v>
      </c>
      <c r="AA362" s="893"/>
      <c r="AB362" s="890"/>
      <c r="AD362" s="780"/>
      <c r="AE362" s="618"/>
      <c r="AF362" s="781"/>
      <c r="AG362" s="868"/>
      <c r="AH362" s="782" t="e">
        <f>AG362*#REF!</f>
        <v>#REF!</v>
      </c>
      <c r="AI362" s="861">
        <f>AG362+AE362</f>
        <v>0</v>
      </c>
      <c r="AJ362" s="618" t="e">
        <f>AI362*#REF!</f>
        <v>#REF!</v>
      </c>
    </row>
    <row r="363" spans="1:36" s="486" customFormat="1">
      <c r="A363" s="1261"/>
      <c r="B363" s="1262"/>
      <c r="C363" s="1263"/>
      <c r="D363" s="1264"/>
      <c r="E363" s="1265"/>
      <c r="F363" s="1264"/>
      <c r="G363" s="1264"/>
      <c r="H363" s="1264"/>
      <c r="I363" s="1264"/>
      <c r="J363" s="1264"/>
      <c r="K363" s="1264"/>
      <c r="L363" s="1264"/>
      <c r="M363" s="1264"/>
      <c r="N363" s="1264"/>
      <c r="O363" s="1264"/>
      <c r="P363" s="1264"/>
      <c r="Q363" s="1264"/>
      <c r="R363" s="1264"/>
      <c r="S363" s="1266"/>
      <c r="T363" s="1131">
        <f t="shared" ref="T363:T367" si="185">S363*C363</f>
        <v>0</v>
      </c>
      <c r="U363" s="1234"/>
      <c r="V363" s="1045">
        <f t="shared" ref="V363:V394" si="186">U363*C363</f>
        <v>0</v>
      </c>
      <c r="W363" s="1132" t="e">
        <f>#REF!+U363+#REF!</f>
        <v>#REF!</v>
      </c>
      <c r="X363" s="1045" t="e">
        <f>W363*C363</f>
        <v>#REF!</v>
      </c>
      <c r="Y363" s="1132" t="e">
        <f>W363+S363+#REF!</f>
        <v>#REF!</v>
      </c>
      <c r="Z363" s="1045" t="e">
        <f>Y363*C363</f>
        <v>#REF!</v>
      </c>
      <c r="AA363" s="892"/>
      <c r="AB363" s="891"/>
    </row>
    <row r="364" spans="1:36" s="486" customFormat="1">
      <c r="A364" s="1261"/>
      <c r="B364" s="1267" t="s">
        <v>1977</v>
      </c>
      <c r="C364" s="1268"/>
      <c r="D364" s="1269" t="s">
        <v>1341</v>
      </c>
      <c r="E364" s="1270"/>
      <c r="F364" s="1269"/>
      <c r="G364" s="1269"/>
      <c r="H364" s="1269"/>
      <c r="I364" s="1269"/>
      <c r="J364" s="1269"/>
      <c r="K364" s="1269"/>
      <c r="L364" s="1269"/>
      <c r="M364" s="1269"/>
      <c r="N364" s="1269"/>
      <c r="O364" s="1269"/>
      <c r="P364" s="1269"/>
      <c r="Q364" s="1269"/>
      <c r="R364" s="1269"/>
      <c r="S364" s="1271"/>
      <c r="T364" s="1131">
        <f t="shared" si="185"/>
        <v>0</v>
      </c>
      <c r="U364" s="1045"/>
      <c r="V364" s="1045">
        <f t="shared" si="186"/>
        <v>0</v>
      </c>
      <c r="W364" s="1132" t="e">
        <f>#REF!+U364+#REF!</f>
        <v>#REF!</v>
      </c>
      <c r="X364" s="1045" t="e">
        <f>W364*C364</f>
        <v>#REF!</v>
      </c>
      <c r="Y364" s="1132" t="e">
        <f>W364+S364+#REF!</f>
        <v>#REF!</v>
      </c>
      <c r="Z364" s="1045" t="e">
        <f>Y364*C364</f>
        <v>#REF!</v>
      </c>
      <c r="AA364" s="892"/>
      <c r="AB364" s="891"/>
    </row>
    <row r="365" spans="1:36" s="486" customFormat="1">
      <c r="A365" s="1261"/>
      <c r="B365" s="1267" t="s">
        <v>565</v>
      </c>
      <c r="C365" s="1268"/>
      <c r="D365" s="1269" t="s">
        <v>1341</v>
      </c>
      <c r="E365" s="1270"/>
      <c r="F365" s="1269"/>
      <c r="G365" s="1269"/>
      <c r="H365" s="1269"/>
      <c r="I365" s="1269"/>
      <c r="J365" s="1269"/>
      <c r="K365" s="1269"/>
      <c r="L365" s="1269"/>
      <c r="M365" s="1269"/>
      <c r="N365" s="1269"/>
      <c r="O365" s="1269"/>
      <c r="P365" s="1269"/>
      <c r="Q365" s="1269"/>
      <c r="R365" s="1269"/>
      <c r="S365" s="1271"/>
      <c r="T365" s="1131">
        <f t="shared" si="185"/>
        <v>0</v>
      </c>
      <c r="U365" s="1045"/>
      <c r="V365" s="1045">
        <f t="shared" si="186"/>
        <v>0</v>
      </c>
      <c r="W365" s="1132" t="e">
        <f>#REF!+U365+#REF!</f>
        <v>#REF!</v>
      </c>
      <c r="X365" s="1045" t="e">
        <f>#REF!+V362+#REF!</f>
        <v>#REF!</v>
      </c>
      <c r="Y365" s="1132" t="e">
        <f>W365+S365+#REF!</f>
        <v>#REF!</v>
      </c>
      <c r="Z365" s="1045" t="e">
        <f>Y365*C365</f>
        <v>#REF!</v>
      </c>
      <c r="AA365" s="892"/>
      <c r="AB365" s="891"/>
    </row>
    <row r="366" spans="1:36" s="486" customFormat="1">
      <c r="A366" s="1261"/>
      <c r="B366" s="1267" t="s">
        <v>566</v>
      </c>
      <c r="C366" s="1268">
        <f>Data!K2495</f>
        <v>4366.33</v>
      </c>
      <c r="D366" s="1264" t="s">
        <v>2199</v>
      </c>
      <c r="E366" s="1265"/>
      <c r="F366" s="1264"/>
      <c r="G366" s="1264"/>
      <c r="H366" s="1264"/>
      <c r="I366" s="1264"/>
      <c r="J366" s="1264"/>
      <c r="K366" s="1264"/>
      <c r="L366" s="1264"/>
      <c r="M366" s="1264"/>
      <c r="N366" s="1264"/>
      <c r="O366" s="1264"/>
      <c r="P366" s="1264"/>
      <c r="Q366" s="1264"/>
      <c r="R366" s="1264"/>
      <c r="S366" s="1266"/>
      <c r="T366" s="1131">
        <f t="shared" si="185"/>
        <v>0</v>
      </c>
      <c r="U366" s="1045"/>
      <c r="V366" s="1045">
        <f t="shared" si="186"/>
        <v>0</v>
      </c>
      <c r="W366" s="1132" t="e">
        <f>#REF!+U366+#REF!</f>
        <v>#REF!</v>
      </c>
      <c r="X366" s="1045" t="e">
        <f>X365-X362</f>
        <v>#REF!</v>
      </c>
      <c r="Y366" s="1132" t="e">
        <f>W366+S366+#REF!</f>
        <v>#REF!</v>
      </c>
      <c r="Z366" s="1045" t="e">
        <f>T362+#REF!+X362</f>
        <v>#REF!</v>
      </c>
      <c r="AA366" s="892"/>
      <c r="AB366" s="891"/>
    </row>
    <row r="367" spans="1:36" s="486" customFormat="1">
      <c r="A367" s="1261"/>
      <c r="B367" s="1267" t="s">
        <v>1834</v>
      </c>
      <c r="C367" s="1268">
        <f>Data!K2518</f>
        <v>4626.8100000000004</v>
      </c>
      <c r="D367" s="1264" t="s">
        <v>2199</v>
      </c>
      <c r="E367" s="1265"/>
      <c r="F367" s="1264"/>
      <c r="G367" s="1264"/>
      <c r="H367" s="1264"/>
      <c r="I367" s="1264"/>
      <c r="J367" s="1264"/>
      <c r="K367" s="1264"/>
      <c r="L367" s="1264"/>
      <c r="M367" s="1264"/>
      <c r="N367" s="1264"/>
      <c r="O367" s="1264"/>
      <c r="P367" s="1264"/>
      <c r="Q367" s="1264"/>
      <c r="R367" s="1264"/>
      <c r="S367" s="1266"/>
      <c r="T367" s="1131">
        <f t="shared" si="185"/>
        <v>0</v>
      </c>
      <c r="U367" s="1045"/>
      <c r="V367" s="1045">
        <f t="shared" si="186"/>
        <v>0</v>
      </c>
      <c r="W367" s="1132" t="e">
        <f>#REF!+U367+#REF!</f>
        <v>#REF!</v>
      </c>
      <c r="X367" s="1045" t="e">
        <f t="shared" ref="X367:X398" si="187">W367*C367</f>
        <v>#REF!</v>
      </c>
      <c r="Y367" s="1132" t="e">
        <f>W367+S367+#REF!</f>
        <v>#REF!</v>
      </c>
      <c r="Z367" s="1045" t="e">
        <f>Z366-Z362</f>
        <v>#REF!</v>
      </c>
      <c r="AA367" s="892"/>
      <c r="AB367" s="891"/>
    </row>
    <row r="368" spans="1:36" s="486" customFormat="1">
      <c r="A368" s="1261"/>
      <c r="B368" s="1267" t="s">
        <v>2124</v>
      </c>
      <c r="C368" s="1268">
        <f>Data!R2583</f>
        <v>3984.57</v>
      </c>
      <c r="D368" s="1264" t="s">
        <v>2199</v>
      </c>
      <c r="E368" s="1265"/>
      <c r="F368" s="1264"/>
      <c r="G368" s="1264"/>
      <c r="H368" s="1264"/>
      <c r="I368" s="1264"/>
      <c r="J368" s="1264"/>
      <c r="K368" s="1264"/>
      <c r="L368" s="1264"/>
      <c r="M368" s="1264"/>
      <c r="N368" s="1264"/>
      <c r="O368" s="1264"/>
      <c r="P368" s="1264"/>
      <c r="Q368" s="1264"/>
      <c r="R368" s="1264"/>
      <c r="S368" s="1266"/>
      <c r="T368" s="1131">
        <f t="shared" ref="T368:T431" si="188">S368*C368</f>
        <v>0</v>
      </c>
      <c r="U368" s="1045"/>
      <c r="V368" s="1045">
        <f t="shared" si="186"/>
        <v>0</v>
      </c>
      <c r="W368" s="1132" t="e">
        <f>#REF!+U368+#REF!</f>
        <v>#REF!</v>
      </c>
      <c r="X368" s="1045" t="e">
        <f t="shared" si="187"/>
        <v>#REF!</v>
      </c>
      <c r="Y368" s="1132" t="e">
        <f>W368+S368+#REF!</f>
        <v>#REF!</v>
      </c>
      <c r="Z368" s="1045" t="e">
        <f t="shared" ref="Z368:Z399" si="189">Y368*C368</f>
        <v>#REF!</v>
      </c>
      <c r="AA368" s="892"/>
      <c r="AB368" s="891"/>
    </row>
    <row r="369" spans="1:28" s="486" customFormat="1">
      <c r="A369" s="1261"/>
      <c r="B369" s="1267" t="s">
        <v>2125</v>
      </c>
      <c r="C369" s="1268"/>
      <c r="D369" s="1264" t="s">
        <v>2199</v>
      </c>
      <c r="E369" s="1265"/>
      <c r="F369" s="1264"/>
      <c r="G369" s="1264"/>
      <c r="H369" s="1264"/>
      <c r="I369" s="1264"/>
      <c r="J369" s="1264"/>
      <c r="K369" s="1264"/>
      <c r="L369" s="1264"/>
      <c r="M369" s="1264"/>
      <c r="N369" s="1264"/>
      <c r="O369" s="1264"/>
      <c r="P369" s="1264"/>
      <c r="Q369" s="1264"/>
      <c r="R369" s="1264"/>
      <c r="S369" s="1266"/>
      <c r="T369" s="1131">
        <f t="shared" si="188"/>
        <v>0</v>
      </c>
      <c r="U369" s="1045"/>
      <c r="V369" s="1045">
        <f t="shared" si="186"/>
        <v>0</v>
      </c>
      <c r="W369" s="1132" t="e">
        <f>#REF!+U369+#REF!</f>
        <v>#REF!</v>
      </c>
      <c r="X369" s="1045" t="e">
        <f t="shared" si="187"/>
        <v>#REF!</v>
      </c>
      <c r="Y369" s="1132" t="e">
        <f>W369+S369+#REF!</f>
        <v>#REF!</v>
      </c>
      <c r="Z369" s="1045" t="e">
        <f t="shared" si="189"/>
        <v>#REF!</v>
      </c>
      <c r="AA369" s="892"/>
      <c r="AB369" s="891"/>
    </row>
    <row r="370" spans="1:28" s="486" customFormat="1">
      <c r="A370" s="1261"/>
      <c r="B370" s="1267" t="s">
        <v>2776</v>
      </c>
      <c r="C370" s="1268"/>
      <c r="D370" s="1264" t="s">
        <v>2199</v>
      </c>
      <c r="E370" s="1265"/>
      <c r="F370" s="1264"/>
      <c r="G370" s="1264"/>
      <c r="H370" s="1264"/>
      <c r="I370" s="1264"/>
      <c r="J370" s="1264"/>
      <c r="K370" s="1264"/>
      <c r="L370" s="1264"/>
      <c r="M370" s="1264"/>
      <c r="N370" s="1264"/>
      <c r="O370" s="1264"/>
      <c r="P370" s="1264"/>
      <c r="Q370" s="1264"/>
      <c r="R370" s="1264"/>
      <c r="S370" s="1266"/>
      <c r="T370" s="1131">
        <f t="shared" si="188"/>
        <v>0</v>
      </c>
      <c r="U370" s="1045"/>
      <c r="V370" s="1045">
        <f t="shared" si="186"/>
        <v>0</v>
      </c>
      <c r="W370" s="1132" t="e">
        <f>#REF!+U370+#REF!</f>
        <v>#REF!</v>
      </c>
      <c r="X370" s="1045" t="e">
        <f t="shared" si="187"/>
        <v>#REF!</v>
      </c>
      <c r="Y370" s="1132" t="e">
        <f>W370+S370+#REF!</f>
        <v>#REF!</v>
      </c>
      <c r="Z370" s="1045" t="e">
        <f t="shared" si="189"/>
        <v>#REF!</v>
      </c>
      <c r="AA370" s="892"/>
      <c r="AB370" s="891"/>
    </row>
    <row r="371" spans="1:28" s="486" customFormat="1" ht="45">
      <c r="A371" s="1261"/>
      <c r="B371" s="1267" t="s">
        <v>644</v>
      </c>
      <c r="C371" s="1268"/>
      <c r="D371" s="1264" t="s">
        <v>2199</v>
      </c>
      <c r="E371" s="1265"/>
      <c r="F371" s="1264"/>
      <c r="G371" s="1264"/>
      <c r="H371" s="1264"/>
      <c r="I371" s="1264"/>
      <c r="J371" s="1264"/>
      <c r="K371" s="1264"/>
      <c r="L371" s="1264"/>
      <c r="M371" s="1264"/>
      <c r="N371" s="1264"/>
      <c r="O371" s="1264"/>
      <c r="P371" s="1264"/>
      <c r="Q371" s="1264"/>
      <c r="R371" s="1264"/>
      <c r="S371" s="1266"/>
      <c r="T371" s="1131">
        <f t="shared" si="188"/>
        <v>0</v>
      </c>
      <c r="U371" s="1045"/>
      <c r="V371" s="1045">
        <f t="shared" si="186"/>
        <v>0</v>
      </c>
      <c r="W371" s="1132" t="e">
        <f>#REF!+U371+#REF!</f>
        <v>#REF!</v>
      </c>
      <c r="X371" s="1045" t="e">
        <f t="shared" si="187"/>
        <v>#REF!</v>
      </c>
      <c r="Y371" s="1132" t="e">
        <f>W371+S371+#REF!</f>
        <v>#REF!</v>
      </c>
      <c r="Z371" s="1045" t="e">
        <f t="shared" si="189"/>
        <v>#REF!</v>
      </c>
      <c r="AA371" s="892"/>
      <c r="AB371" s="891"/>
    </row>
    <row r="372" spans="1:28" s="486" customFormat="1" ht="45">
      <c r="A372" s="1261"/>
      <c r="B372" s="1267" t="s">
        <v>647</v>
      </c>
      <c r="C372" s="1268"/>
      <c r="D372" s="1264" t="s">
        <v>2199</v>
      </c>
      <c r="E372" s="1265"/>
      <c r="F372" s="1264"/>
      <c r="G372" s="1264"/>
      <c r="H372" s="1264"/>
      <c r="I372" s="1264"/>
      <c r="J372" s="1264"/>
      <c r="K372" s="1264"/>
      <c r="L372" s="1264"/>
      <c r="M372" s="1264"/>
      <c r="N372" s="1264"/>
      <c r="O372" s="1264"/>
      <c r="P372" s="1264"/>
      <c r="Q372" s="1264"/>
      <c r="R372" s="1264"/>
      <c r="S372" s="1266"/>
      <c r="T372" s="1131">
        <f t="shared" si="188"/>
        <v>0</v>
      </c>
      <c r="U372" s="1045"/>
      <c r="V372" s="1045">
        <f t="shared" si="186"/>
        <v>0</v>
      </c>
      <c r="W372" s="1132" t="e">
        <f>#REF!+U372+#REF!</f>
        <v>#REF!</v>
      </c>
      <c r="X372" s="1045" t="e">
        <f t="shared" si="187"/>
        <v>#REF!</v>
      </c>
      <c r="Y372" s="1132" t="e">
        <f>W372+S372+#REF!</f>
        <v>#REF!</v>
      </c>
      <c r="Z372" s="1045" t="e">
        <f t="shared" si="189"/>
        <v>#REF!</v>
      </c>
      <c r="AA372" s="892"/>
      <c r="AB372" s="891"/>
    </row>
    <row r="373" spans="1:28" s="486" customFormat="1">
      <c r="A373" s="1261"/>
      <c r="B373" s="1267" t="s">
        <v>567</v>
      </c>
      <c r="C373" s="1268">
        <f>8.2*1500</f>
        <v>12300</v>
      </c>
      <c r="D373" s="1264" t="s">
        <v>1341</v>
      </c>
      <c r="E373" s="1265"/>
      <c r="F373" s="1264"/>
      <c r="G373" s="1264"/>
      <c r="H373" s="1264"/>
      <c r="I373" s="1264"/>
      <c r="J373" s="1264"/>
      <c r="K373" s="1264"/>
      <c r="L373" s="1264"/>
      <c r="M373" s="1264"/>
      <c r="N373" s="1264"/>
      <c r="O373" s="1264"/>
      <c r="P373" s="1264"/>
      <c r="Q373" s="1264"/>
      <c r="R373" s="1264"/>
      <c r="S373" s="1266"/>
      <c r="T373" s="1131">
        <f t="shared" si="188"/>
        <v>0</v>
      </c>
      <c r="U373" s="1045"/>
      <c r="V373" s="1045">
        <f t="shared" si="186"/>
        <v>0</v>
      </c>
      <c r="W373" s="1132" t="e">
        <f>#REF!+U373+#REF!</f>
        <v>#REF!</v>
      </c>
      <c r="X373" s="1045" t="e">
        <f t="shared" si="187"/>
        <v>#REF!</v>
      </c>
      <c r="Y373" s="1132" t="e">
        <f>W373+S373+#REF!</f>
        <v>#REF!</v>
      </c>
      <c r="Z373" s="1045" t="e">
        <f t="shared" si="189"/>
        <v>#REF!</v>
      </c>
      <c r="AA373" s="892"/>
      <c r="AB373" s="891"/>
    </row>
    <row r="374" spans="1:28" s="486" customFormat="1">
      <c r="A374" s="1261"/>
      <c r="B374" s="1267" t="s">
        <v>2388</v>
      </c>
      <c r="C374" s="1268">
        <f>Data!K2438</f>
        <v>1331.17</v>
      </c>
      <c r="D374" s="1264" t="s">
        <v>2199</v>
      </c>
      <c r="E374" s="1265"/>
      <c r="F374" s="1264"/>
      <c r="G374" s="1264"/>
      <c r="H374" s="1264"/>
      <c r="I374" s="1264"/>
      <c r="J374" s="1264"/>
      <c r="K374" s="1264"/>
      <c r="L374" s="1264"/>
      <c r="M374" s="1264"/>
      <c r="N374" s="1264"/>
      <c r="O374" s="1264"/>
      <c r="P374" s="1264"/>
      <c r="Q374" s="1264"/>
      <c r="R374" s="1264"/>
      <c r="S374" s="1266"/>
      <c r="T374" s="1131">
        <f t="shared" si="188"/>
        <v>0</v>
      </c>
      <c r="U374" s="1045"/>
      <c r="V374" s="1045">
        <f t="shared" si="186"/>
        <v>0</v>
      </c>
      <c r="W374" s="1132" t="e">
        <f>#REF!+U374+#REF!</f>
        <v>#REF!</v>
      </c>
      <c r="X374" s="1045" t="e">
        <f t="shared" si="187"/>
        <v>#REF!</v>
      </c>
      <c r="Y374" s="1132" t="e">
        <f>W374+S374+#REF!</f>
        <v>#REF!</v>
      </c>
      <c r="Z374" s="1045" t="e">
        <f t="shared" si="189"/>
        <v>#REF!</v>
      </c>
      <c r="AA374" s="892"/>
      <c r="AB374" s="891"/>
    </row>
    <row r="375" spans="1:28" s="486" customFormat="1">
      <c r="A375" s="1261"/>
      <c r="B375" s="1267" t="s">
        <v>568</v>
      </c>
      <c r="C375" s="1268">
        <f>Data!R1233</f>
        <v>1352.57</v>
      </c>
      <c r="D375" s="1264" t="s">
        <v>2199</v>
      </c>
      <c r="E375" s="1265"/>
      <c r="F375" s="1264"/>
      <c r="G375" s="1264"/>
      <c r="H375" s="1264"/>
      <c r="I375" s="1264"/>
      <c r="J375" s="1264"/>
      <c r="K375" s="1264"/>
      <c r="L375" s="1264"/>
      <c r="M375" s="1264"/>
      <c r="N375" s="1264"/>
      <c r="O375" s="1264"/>
      <c r="P375" s="1264"/>
      <c r="Q375" s="1264"/>
      <c r="R375" s="1264"/>
      <c r="S375" s="1266"/>
      <c r="T375" s="1131">
        <f t="shared" si="188"/>
        <v>0</v>
      </c>
      <c r="U375" s="1045"/>
      <c r="V375" s="1045">
        <f t="shared" si="186"/>
        <v>0</v>
      </c>
      <c r="W375" s="1132" t="e">
        <f>#REF!+U375+#REF!</f>
        <v>#REF!</v>
      </c>
      <c r="X375" s="1045" t="e">
        <f t="shared" si="187"/>
        <v>#REF!</v>
      </c>
      <c r="Y375" s="1132" t="e">
        <f>W375+S375+#REF!</f>
        <v>#REF!</v>
      </c>
      <c r="Z375" s="1045" t="e">
        <f t="shared" si="189"/>
        <v>#REF!</v>
      </c>
      <c r="AA375" s="892"/>
      <c r="AB375" s="891"/>
    </row>
    <row r="376" spans="1:28" s="486" customFormat="1">
      <c r="A376" s="1261"/>
      <c r="B376" s="1267" t="s">
        <v>905</v>
      </c>
      <c r="C376" s="1268">
        <f>Data!R1275</f>
        <v>1147.69</v>
      </c>
      <c r="D376" s="1264" t="s">
        <v>2199</v>
      </c>
      <c r="E376" s="1265"/>
      <c r="F376" s="1264"/>
      <c r="G376" s="1264"/>
      <c r="H376" s="1264"/>
      <c r="I376" s="1264"/>
      <c r="J376" s="1264"/>
      <c r="K376" s="1264"/>
      <c r="L376" s="1264"/>
      <c r="M376" s="1264"/>
      <c r="N376" s="1264"/>
      <c r="O376" s="1264"/>
      <c r="P376" s="1264"/>
      <c r="Q376" s="1264"/>
      <c r="R376" s="1264"/>
      <c r="S376" s="1266"/>
      <c r="T376" s="1131">
        <f t="shared" si="188"/>
        <v>0</v>
      </c>
      <c r="U376" s="1045"/>
      <c r="V376" s="1045">
        <f t="shared" si="186"/>
        <v>0</v>
      </c>
      <c r="W376" s="1132" t="e">
        <f>#REF!+U376+#REF!</f>
        <v>#REF!</v>
      </c>
      <c r="X376" s="1045" t="e">
        <f t="shared" si="187"/>
        <v>#REF!</v>
      </c>
      <c r="Y376" s="1132" t="e">
        <f>W376+S376+#REF!</f>
        <v>#REF!</v>
      </c>
      <c r="Z376" s="1045" t="e">
        <f t="shared" si="189"/>
        <v>#REF!</v>
      </c>
      <c r="AA376" s="892"/>
      <c r="AB376" s="891"/>
    </row>
    <row r="377" spans="1:28" s="486" customFormat="1">
      <c r="A377" s="1261"/>
      <c r="B377" s="1267" t="s">
        <v>1130</v>
      </c>
      <c r="C377" s="1268">
        <f>Data!R2445</f>
        <v>1504.42</v>
      </c>
      <c r="D377" s="1264" t="s">
        <v>2199</v>
      </c>
      <c r="E377" s="1265"/>
      <c r="F377" s="1264"/>
      <c r="G377" s="1264"/>
      <c r="H377" s="1264"/>
      <c r="I377" s="1264"/>
      <c r="J377" s="1264"/>
      <c r="K377" s="1264"/>
      <c r="L377" s="1264"/>
      <c r="M377" s="1264"/>
      <c r="N377" s="1264"/>
      <c r="O377" s="1264"/>
      <c r="P377" s="1264"/>
      <c r="Q377" s="1264"/>
      <c r="R377" s="1264"/>
      <c r="S377" s="1266"/>
      <c r="T377" s="1131">
        <f t="shared" si="188"/>
        <v>0</v>
      </c>
      <c r="U377" s="1045"/>
      <c r="V377" s="1045">
        <f t="shared" si="186"/>
        <v>0</v>
      </c>
      <c r="W377" s="1132" t="e">
        <f>#REF!+U377+#REF!</f>
        <v>#REF!</v>
      </c>
      <c r="X377" s="1045" t="e">
        <f t="shared" si="187"/>
        <v>#REF!</v>
      </c>
      <c r="Y377" s="1132" t="e">
        <f>W377+S377+#REF!</f>
        <v>#REF!</v>
      </c>
      <c r="Z377" s="1045" t="e">
        <f t="shared" si="189"/>
        <v>#REF!</v>
      </c>
      <c r="AA377" s="892"/>
      <c r="AB377" s="891"/>
    </row>
    <row r="378" spans="1:28" s="486" customFormat="1">
      <c r="A378" s="1261"/>
      <c r="B378" s="1267" t="s">
        <v>3025</v>
      </c>
      <c r="C378" s="1268">
        <f>Data!AD1260</f>
        <v>1489.39</v>
      </c>
      <c r="D378" s="1264" t="s">
        <v>2199</v>
      </c>
      <c r="E378" s="1265"/>
      <c r="F378" s="1264"/>
      <c r="G378" s="1264"/>
      <c r="H378" s="1264"/>
      <c r="I378" s="1264"/>
      <c r="J378" s="1264"/>
      <c r="K378" s="1264"/>
      <c r="L378" s="1264"/>
      <c r="M378" s="1264"/>
      <c r="N378" s="1264"/>
      <c r="O378" s="1264"/>
      <c r="P378" s="1264"/>
      <c r="Q378" s="1264"/>
      <c r="R378" s="1264"/>
      <c r="S378" s="1266"/>
      <c r="T378" s="1131">
        <f t="shared" si="188"/>
        <v>0</v>
      </c>
      <c r="U378" s="1045"/>
      <c r="V378" s="1045">
        <f t="shared" si="186"/>
        <v>0</v>
      </c>
      <c r="W378" s="1132" t="e">
        <f>#REF!+U378+#REF!</f>
        <v>#REF!</v>
      </c>
      <c r="X378" s="1045" t="e">
        <f t="shared" si="187"/>
        <v>#REF!</v>
      </c>
      <c r="Y378" s="1132" t="e">
        <f>W378+S378+#REF!</f>
        <v>#REF!</v>
      </c>
      <c r="Z378" s="1045" t="e">
        <f t="shared" si="189"/>
        <v>#REF!</v>
      </c>
      <c r="AA378" s="892"/>
      <c r="AB378" s="891"/>
    </row>
    <row r="379" spans="1:28" s="486" customFormat="1">
      <c r="A379" s="1261"/>
      <c r="B379" s="1272" t="s">
        <v>2122</v>
      </c>
      <c r="C379" s="1263">
        <f>Data!K1445</f>
        <v>243.04</v>
      </c>
      <c r="D379" s="1264" t="s">
        <v>2199</v>
      </c>
      <c r="E379" s="1265"/>
      <c r="F379" s="1264"/>
      <c r="G379" s="1264"/>
      <c r="H379" s="1264"/>
      <c r="I379" s="1264"/>
      <c r="J379" s="1264"/>
      <c r="K379" s="1264"/>
      <c r="L379" s="1264"/>
      <c r="M379" s="1264"/>
      <c r="N379" s="1264"/>
      <c r="O379" s="1264"/>
      <c r="P379" s="1264"/>
      <c r="Q379" s="1264"/>
      <c r="R379" s="1264"/>
      <c r="S379" s="1266"/>
      <c r="T379" s="1131">
        <f t="shared" si="188"/>
        <v>0</v>
      </c>
      <c r="U379" s="1045"/>
      <c r="V379" s="1045">
        <f t="shared" si="186"/>
        <v>0</v>
      </c>
      <c r="W379" s="1132" t="e">
        <f>#REF!+U379+#REF!</f>
        <v>#REF!</v>
      </c>
      <c r="X379" s="1045" t="e">
        <f t="shared" si="187"/>
        <v>#REF!</v>
      </c>
      <c r="Y379" s="1132" t="e">
        <f>W379+S379+#REF!</f>
        <v>#REF!</v>
      </c>
      <c r="Z379" s="1045" t="e">
        <f t="shared" si="189"/>
        <v>#REF!</v>
      </c>
      <c r="AA379" s="892"/>
      <c r="AB379" s="891"/>
    </row>
    <row r="380" spans="1:28" s="486" customFormat="1">
      <c r="A380" s="1261"/>
      <c r="B380" s="1272" t="s">
        <v>2123</v>
      </c>
      <c r="C380" s="1263">
        <f>5000*8.2</f>
        <v>41000</v>
      </c>
      <c r="D380" s="1264" t="s">
        <v>1341</v>
      </c>
      <c r="E380" s="1265"/>
      <c r="F380" s="1264"/>
      <c r="G380" s="1264"/>
      <c r="H380" s="1264"/>
      <c r="I380" s="1264"/>
      <c r="J380" s="1264"/>
      <c r="K380" s="1264"/>
      <c r="L380" s="1264"/>
      <c r="M380" s="1264"/>
      <c r="N380" s="1264"/>
      <c r="O380" s="1264"/>
      <c r="P380" s="1264"/>
      <c r="Q380" s="1264"/>
      <c r="R380" s="1264"/>
      <c r="S380" s="1266"/>
      <c r="T380" s="1131">
        <f t="shared" si="188"/>
        <v>0</v>
      </c>
      <c r="U380" s="1045"/>
      <c r="V380" s="1045">
        <f t="shared" si="186"/>
        <v>0</v>
      </c>
      <c r="W380" s="1132" t="e">
        <f>#REF!+U380+#REF!</f>
        <v>#REF!</v>
      </c>
      <c r="X380" s="1045" t="e">
        <f t="shared" si="187"/>
        <v>#REF!</v>
      </c>
      <c r="Y380" s="1132" t="e">
        <f>W380+S380+#REF!</f>
        <v>#REF!</v>
      </c>
      <c r="Z380" s="1045" t="e">
        <f t="shared" si="189"/>
        <v>#REF!</v>
      </c>
      <c r="AA380" s="892"/>
      <c r="AB380" s="891"/>
    </row>
    <row r="381" spans="1:28" s="486" customFormat="1">
      <c r="A381" s="1261"/>
      <c r="B381" s="1272" t="str">
        <f>Data!O2629</f>
        <v>T.W DOOR SHUTTER TWO LEAVES(1200 X 2100 mm ) with Brass Fittings</v>
      </c>
      <c r="C381" s="1263">
        <f>Data!R2657</f>
        <v>6199.77</v>
      </c>
      <c r="D381" s="1264" t="s">
        <v>2199</v>
      </c>
      <c r="E381" s="1265"/>
      <c r="F381" s="1264"/>
      <c r="G381" s="1264"/>
      <c r="H381" s="1264"/>
      <c r="I381" s="1264"/>
      <c r="J381" s="1264"/>
      <c r="K381" s="1264"/>
      <c r="L381" s="1264"/>
      <c r="M381" s="1264"/>
      <c r="N381" s="1264"/>
      <c r="O381" s="1264"/>
      <c r="P381" s="1264"/>
      <c r="Q381" s="1264"/>
      <c r="R381" s="1264"/>
      <c r="S381" s="1266"/>
      <c r="T381" s="1131">
        <f t="shared" si="188"/>
        <v>0</v>
      </c>
      <c r="U381" s="1045"/>
      <c r="V381" s="1045">
        <f t="shared" si="186"/>
        <v>0</v>
      </c>
      <c r="W381" s="1132" t="e">
        <f>#REF!+U381+#REF!</f>
        <v>#REF!</v>
      </c>
      <c r="X381" s="1045" t="e">
        <f t="shared" si="187"/>
        <v>#REF!</v>
      </c>
      <c r="Y381" s="1132" t="e">
        <f>W381+S381+#REF!</f>
        <v>#REF!</v>
      </c>
      <c r="Z381" s="1045" t="e">
        <f t="shared" si="189"/>
        <v>#REF!</v>
      </c>
      <c r="AA381" s="892"/>
      <c r="AB381" s="891"/>
    </row>
    <row r="382" spans="1:28" s="486" customFormat="1">
      <c r="A382" s="1261"/>
      <c r="B382" s="1272" t="s">
        <v>1684</v>
      </c>
      <c r="C382" s="1263">
        <f>Data!R1127</f>
        <v>5040.1899999999996</v>
      </c>
      <c r="D382" s="1264" t="s">
        <v>2199</v>
      </c>
      <c r="E382" s="1265"/>
      <c r="F382" s="1264"/>
      <c r="G382" s="1264"/>
      <c r="H382" s="1264"/>
      <c r="I382" s="1264"/>
      <c r="J382" s="1264"/>
      <c r="K382" s="1264"/>
      <c r="L382" s="1264"/>
      <c r="M382" s="1264"/>
      <c r="N382" s="1264"/>
      <c r="O382" s="1264"/>
      <c r="P382" s="1264"/>
      <c r="Q382" s="1264"/>
      <c r="R382" s="1264"/>
      <c r="S382" s="1266"/>
      <c r="T382" s="1131">
        <f t="shared" si="188"/>
        <v>0</v>
      </c>
      <c r="U382" s="1045"/>
      <c r="V382" s="1045">
        <f t="shared" si="186"/>
        <v>0</v>
      </c>
      <c r="W382" s="1132" t="e">
        <f>#REF!+U382+#REF!</f>
        <v>#REF!</v>
      </c>
      <c r="X382" s="1045" t="e">
        <f t="shared" si="187"/>
        <v>#REF!</v>
      </c>
      <c r="Y382" s="1132" t="e">
        <f>W382+S382+#REF!</f>
        <v>#REF!</v>
      </c>
      <c r="Z382" s="1045" t="e">
        <f t="shared" si="189"/>
        <v>#REF!</v>
      </c>
      <c r="AA382" s="892"/>
      <c r="AB382" s="891"/>
    </row>
    <row r="383" spans="1:28" s="486" customFormat="1">
      <c r="A383" s="1261"/>
      <c r="B383" s="1272" t="s">
        <v>3265</v>
      </c>
      <c r="C383" s="1263">
        <f>Data!R3206</f>
        <v>6182.41</v>
      </c>
      <c r="D383" s="1264" t="s">
        <v>2199</v>
      </c>
      <c r="E383" s="1265"/>
      <c r="F383" s="1264"/>
      <c r="G383" s="1264"/>
      <c r="H383" s="1264"/>
      <c r="I383" s="1264"/>
      <c r="J383" s="1264"/>
      <c r="K383" s="1264"/>
      <c r="L383" s="1264"/>
      <c r="M383" s="1264"/>
      <c r="N383" s="1264"/>
      <c r="O383" s="1264"/>
      <c r="P383" s="1264"/>
      <c r="Q383" s="1264"/>
      <c r="R383" s="1264"/>
      <c r="S383" s="1266"/>
      <c r="T383" s="1131">
        <f t="shared" si="188"/>
        <v>0</v>
      </c>
      <c r="U383" s="1045"/>
      <c r="V383" s="1045">
        <f t="shared" si="186"/>
        <v>0</v>
      </c>
      <c r="W383" s="1132" t="e">
        <f>#REF!+U383+#REF!</f>
        <v>#REF!</v>
      </c>
      <c r="X383" s="1045" t="e">
        <f t="shared" si="187"/>
        <v>#REF!</v>
      </c>
      <c r="Y383" s="1132" t="e">
        <f>W383+S383+#REF!</f>
        <v>#REF!</v>
      </c>
      <c r="Z383" s="1045" t="e">
        <f t="shared" si="189"/>
        <v>#REF!</v>
      </c>
      <c r="AA383" s="892"/>
      <c r="AB383" s="891"/>
    </row>
    <row r="384" spans="1:28" s="486" customFormat="1">
      <c r="A384" s="1261"/>
      <c r="B384" s="1272" t="s">
        <v>3266</v>
      </c>
      <c r="C384" s="1263">
        <f>Data!R3275</f>
        <v>6164.11</v>
      </c>
      <c r="D384" s="1264" t="s">
        <v>2199</v>
      </c>
      <c r="E384" s="1265"/>
      <c r="F384" s="1264"/>
      <c r="G384" s="1264"/>
      <c r="H384" s="1264"/>
      <c r="I384" s="1264"/>
      <c r="J384" s="1264"/>
      <c r="K384" s="1264"/>
      <c r="L384" s="1264"/>
      <c r="M384" s="1264"/>
      <c r="N384" s="1264"/>
      <c r="O384" s="1264"/>
      <c r="P384" s="1264"/>
      <c r="Q384" s="1264"/>
      <c r="R384" s="1264"/>
      <c r="S384" s="1266"/>
      <c r="T384" s="1131">
        <f t="shared" si="188"/>
        <v>0</v>
      </c>
      <c r="U384" s="1045"/>
      <c r="V384" s="1045">
        <f t="shared" si="186"/>
        <v>0</v>
      </c>
      <c r="W384" s="1132" t="e">
        <f>#REF!+U384+#REF!</f>
        <v>#REF!</v>
      </c>
      <c r="X384" s="1045" t="e">
        <f t="shared" si="187"/>
        <v>#REF!</v>
      </c>
      <c r="Y384" s="1132" t="e">
        <f>W384+S384+#REF!</f>
        <v>#REF!</v>
      </c>
      <c r="Z384" s="1045" t="e">
        <f t="shared" si="189"/>
        <v>#REF!</v>
      </c>
      <c r="AA384" s="892"/>
      <c r="AB384" s="891"/>
    </row>
    <row r="385" spans="1:28" s="486" customFormat="1">
      <c r="A385" s="1261"/>
      <c r="B385" s="1272" t="s">
        <v>3267</v>
      </c>
      <c r="C385" s="1263">
        <f>Data!K3334</f>
        <v>4845.1099999999997</v>
      </c>
      <c r="D385" s="1264" t="s">
        <v>2199</v>
      </c>
      <c r="E385" s="1265"/>
      <c r="F385" s="1264"/>
      <c r="G385" s="1264"/>
      <c r="H385" s="1264"/>
      <c r="I385" s="1264"/>
      <c r="J385" s="1264"/>
      <c r="K385" s="1264"/>
      <c r="L385" s="1264"/>
      <c r="M385" s="1264"/>
      <c r="N385" s="1264"/>
      <c r="O385" s="1264"/>
      <c r="P385" s="1264"/>
      <c r="Q385" s="1264"/>
      <c r="R385" s="1264"/>
      <c r="S385" s="1266"/>
      <c r="T385" s="1131">
        <f t="shared" si="188"/>
        <v>0</v>
      </c>
      <c r="U385" s="1045"/>
      <c r="V385" s="1045">
        <f t="shared" si="186"/>
        <v>0</v>
      </c>
      <c r="W385" s="1132" t="e">
        <f>#REF!+U385+#REF!</f>
        <v>#REF!</v>
      </c>
      <c r="X385" s="1045" t="e">
        <f t="shared" si="187"/>
        <v>#REF!</v>
      </c>
      <c r="Y385" s="1132" t="e">
        <f>W385+S385+#REF!</f>
        <v>#REF!</v>
      </c>
      <c r="Z385" s="1045" t="e">
        <f t="shared" si="189"/>
        <v>#REF!</v>
      </c>
      <c r="AA385" s="892"/>
      <c r="AB385" s="891"/>
    </row>
    <row r="386" spans="1:28" s="486" customFormat="1" ht="67.5">
      <c r="A386" s="1261"/>
      <c r="B386" s="1273" t="s">
        <v>5670</v>
      </c>
      <c r="C386" s="1263">
        <f>Data!R3342</f>
        <v>4942.12</v>
      </c>
      <c r="D386" s="1264" t="s">
        <v>2199</v>
      </c>
      <c r="E386" s="1265"/>
      <c r="F386" s="1264"/>
      <c r="G386" s="1264"/>
      <c r="H386" s="1264"/>
      <c r="I386" s="1264"/>
      <c r="J386" s="1264"/>
      <c r="K386" s="1264"/>
      <c r="L386" s="1264"/>
      <c r="M386" s="1264"/>
      <c r="N386" s="1264"/>
      <c r="O386" s="1264"/>
      <c r="P386" s="1264"/>
      <c r="Q386" s="1264"/>
      <c r="R386" s="1264"/>
      <c r="S386" s="1266"/>
      <c r="T386" s="1131">
        <f t="shared" si="188"/>
        <v>0</v>
      </c>
      <c r="U386" s="1045"/>
      <c r="V386" s="1045">
        <f t="shared" si="186"/>
        <v>0</v>
      </c>
      <c r="W386" s="1132" t="e">
        <f>#REF!+U386+#REF!</f>
        <v>#REF!</v>
      </c>
      <c r="X386" s="1045" t="e">
        <f t="shared" si="187"/>
        <v>#REF!</v>
      </c>
      <c r="Y386" s="1132" t="e">
        <f>W386+S386+#REF!</f>
        <v>#REF!</v>
      </c>
      <c r="Z386" s="1045" t="e">
        <f t="shared" si="189"/>
        <v>#REF!</v>
      </c>
      <c r="AA386" s="892"/>
      <c r="AB386" s="891"/>
    </row>
    <row r="387" spans="1:28" s="486" customFormat="1" ht="67.5">
      <c r="A387" s="1261"/>
      <c r="B387" s="1273" t="s">
        <v>5671</v>
      </c>
      <c r="C387" s="1263">
        <f>Data!R3455</f>
        <v>5792.32</v>
      </c>
      <c r="D387" s="1264" t="s">
        <v>2199</v>
      </c>
      <c r="E387" s="1265"/>
      <c r="F387" s="1264"/>
      <c r="G387" s="1264"/>
      <c r="H387" s="1264"/>
      <c r="I387" s="1264"/>
      <c r="J387" s="1264"/>
      <c r="K387" s="1264"/>
      <c r="L387" s="1264"/>
      <c r="M387" s="1264"/>
      <c r="N387" s="1264"/>
      <c r="O387" s="1264"/>
      <c r="P387" s="1264"/>
      <c r="Q387" s="1264"/>
      <c r="R387" s="1264"/>
      <c r="S387" s="1266"/>
      <c r="T387" s="1131">
        <f t="shared" si="188"/>
        <v>0</v>
      </c>
      <c r="U387" s="1045"/>
      <c r="V387" s="1045">
        <f t="shared" si="186"/>
        <v>0</v>
      </c>
      <c r="W387" s="1132" t="e">
        <f>#REF!+U387+#REF!</f>
        <v>#REF!</v>
      </c>
      <c r="X387" s="1045" t="e">
        <f t="shared" si="187"/>
        <v>#REF!</v>
      </c>
      <c r="Y387" s="1132" t="e">
        <f>W387+S387+#REF!</f>
        <v>#REF!</v>
      </c>
      <c r="Z387" s="1045" t="e">
        <f t="shared" si="189"/>
        <v>#REF!</v>
      </c>
      <c r="AA387" s="892"/>
      <c r="AB387" s="891"/>
    </row>
    <row r="388" spans="1:28" s="486" customFormat="1" ht="45">
      <c r="A388" s="1261"/>
      <c r="B388" s="1267" t="s">
        <v>3847</v>
      </c>
      <c r="C388" s="1263">
        <f>Data!K3437</f>
        <v>5051.6899999999996</v>
      </c>
      <c r="D388" s="1264" t="s">
        <v>2199</v>
      </c>
      <c r="E388" s="1265"/>
      <c r="F388" s="1264"/>
      <c r="G388" s="1264"/>
      <c r="H388" s="1264"/>
      <c r="I388" s="1264"/>
      <c r="J388" s="1264"/>
      <c r="K388" s="1264"/>
      <c r="L388" s="1264"/>
      <c r="M388" s="1264"/>
      <c r="N388" s="1264"/>
      <c r="O388" s="1264"/>
      <c r="P388" s="1264"/>
      <c r="Q388" s="1264"/>
      <c r="R388" s="1264"/>
      <c r="S388" s="1266"/>
      <c r="T388" s="1131">
        <f t="shared" si="188"/>
        <v>0</v>
      </c>
      <c r="U388" s="1045"/>
      <c r="V388" s="1045">
        <f t="shared" si="186"/>
        <v>0</v>
      </c>
      <c r="W388" s="1132" t="e">
        <f>#REF!+U388+#REF!</f>
        <v>#REF!</v>
      </c>
      <c r="X388" s="1045" t="e">
        <f t="shared" si="187"/>
        <v>#REF!</v>
      </c>
      <c r="Y388" s="1132" t="e">
        <f>W388+S388+#REF!</f>
        <v>#REF!</v>
      </c>
      <c r="Z388" s="1045" t="e">
        <f t="shared" si="189"/>
        <v>#REF!</v>
      </c>
      <c r="AA388" s="892"/>
      <c r="AB388" s="891"/>
    </row>
    <row r="389" spans="1:28" s="486" customFormat="1">
      <c r="A389" s="1261"/>
      <c r="B389" s="1272" t="s">
        <v>3268</v>
      </c>
      <c r="C389" s="1263">
        <f>Data!R3377</f>
        <v>5522.66</v>
      </c>
      <c r="D389" s="1264" t="s">
        <v>2199</v>
      </c>
      <c r="E389" s="1265"/>
      <c r="F389" s="1264"/>
      <c r="G389" s="1264"/>
      <c r="H389" s="1264"/>
      <c r="I389" s="1264"/>
      <c r="J389" s="1264"/>
      <c r="K389" s="1264"/>
      <c r="L389" s="1264"/>
      <c r="M389" s="1264"/>
      <c r="N389" s="1264"/>
      <c r="O389" s="1264"/>
      <c r="P389" s="1264"/>
      <c r="Q389" s="1264"/>
      <c r="R389" s="1264"/>
      <c r="S389" s="1266"/>
      <c r="T389" s="1131">
        <f t="shared" si="188"/>
        <v>0</v>
      </c>
      <c r="U389" s="1045"/>
      <c r="V389" s="1045">
        <f t="shared" si="186"/>
        <v>0</v>
      </c>
      <c r="W389" s="1132" t="e">
        <f>#REF!+U389+#REF!</f>
        <v>#REF!</v>
      </c>
      <c r="X389" s="1045" t="e">
        <f t="shared" si="187"/>
        <v>#REF!</v>
      </c>
      <c r="Y389" s="1132" t="e">
        <f>W389+S389+#REF!</f>
        <v>#REF!</v>
      </c>
      <c r="Z389" s="1045" t="e">
        <f t="shared" si="189"/>
        <v>#REF!</v>
      </c>
      <c r="AA389" s="892"/>
      <c r="AB389" s="891"/>
    </row>
    <row r="390" spans="1:28" s="486" customFormat="1">
      <c r="A390" s="1261"/>
      <c r="B390" s="1272" t="s">
        <v>3269</v>
      </c>
      <c r="C390" s="1263">
        <f>Data!R3411</f>
        <v>4897.2299999999996</v>
      </c>
      <c r="D390" s="1264" t="s">
        <v>2199</v>
      </c>
      <c r="E390" s="1265"/>
      <c r="F390" s="1264"/>
      <c r="G390" s="1264"/>
      <c r="H390" s="1264"/>
      <c r="I390" s="1264"/>
      <c r="J390" s="1264"/>
      <c r="K390" s="1264"/>
      <c r="L390" s="1264"/>
      <c r="M390" s="1264"/>
      <c r="N390" s="1264"/>
      <c r="O390" s="1264"/>
      <c r="P390" s="1264"/>
      <c r="Q390" s="1264"/>
      <c r="R390" s="1264"/>
      <c r="S390" s="1266"/>
      <c r="T390" s="1131">
        <f t="shared" si="188"/>
        <v>0</v>
      </c>
      <c r="U390" s="1045"/>
      <c r="V390" s="1045">
        <f t="shared" si="186"/>
        <v>0</v>
      </c>
      <c r="W390" s="1132" t="e">
        <f>#REF!+U390+#REF!</f>
        <v>#REF!</v>
      </c>
      <c r="X390" s="1045" t="e">
        <f t="shared" si="187"/>
        <v>#REF!</v>
      </c>
      <c r="Y390" s="1132" t="e">
        <f>W390+S390+#REF!</f>
        <v>#REF!</v>
      </c>
      <c r="Z390" s="1045" t="e">
        <f t="shared" si="189"/>
        <v>#REF!</v>
      </c>
      <c r="AA390" s="892"/>
      <c r="AB390" s="891"/>
    </row>
    <row r="391" spans="1:28" s="486" customFormat="1">
      <c r="A391" s="1261"/>
      <c r="B391" s="1272" t="s">
        <v>3270</v>
      </c>
      <c r="C391" s="1263">
        <f>Data!R3308</f>
        <v>5445.16</v>
      </c>
      <c r="D391" s="1264" t="s">
        <v>2199</v>
      </c>
      <c r="E391" s="1265"/>
      <c r="F391" s="1264"/>
      <c r="G391" s="1264"/>
      <c r="H391" s="1264"/>
      <c r="I391" s="1264"/>
      <c r="J391" s="1264"/>
      <c r="K391" s="1264"/>
      <c r="L391" s="1264"/>
      <c r="M391" s="1264"/>
      <c r="N391" s="1264"/>
      <c r="O391" s="1264"/>
      <c r="P391" s="1264"/>
      <c r="Q391" s="1264"/>
      <c r="R391" s="1264"/>
      <c r="S391" s="1266"/>
      <c r="T391" s="1131">
        <f t="shared" si="188"/>
        <v>0</v>
      </c>
      <c r="U391" s="1045"/>
      <c r="V391" s="1045">
        <f t="shared" si="186"/>
        <v>0</v>
      </c>
      <c r="W391" s="1132" t="e">
        <f>#REF!+U391+#REF!</f>
        <v>#REF!</v>
      </c>
      <c r="X391" s="1045" t="e">
        <f t="shared" si="187"/>
        <v>#REF!</v>
      </c>
      <c r="Y391" s="1132" t="e">
        <f>W391+S391+#REF!</f>
        <v>#REF!</v>
      </c>
      <c r="Z391" s="1045" t="e">
        <f t="shared" si="189"/>
        <v>#REF!</v>
      </c>
      <c r="AA391" s="892"/>
      <c r="AB391" s="891"/>
    </row>
    <row r="392" spans="1:28" s="486" customFormat="1">
      <c r="A392" s="1261"/>
      <c r="B392" s="1272" t="s">
        <v>3271</v>
      </c>
      <c r="C392" s="1263">
        <f>Data!R3342</f>
        <v>4942.12</v>
      </c>
      <c r="D392" s="1264" t="s">
        <v>2199</v>
      </c>
      <c r="E392" s="1265"/>
      <c r="F392" s="1264"/>
      <c r="G392" s="1264"/>
      <c r="H392" s="1264"/>
      <c r="I392" s="1264"/>
      <c r="J392" s="1264"/>
      <c r="K392" s="1264"/>
      <c r="L392" s="1264"/>
      <c r="M392" s="1264"/>
      <c r="N392" s="1264"/>
      <c r="O392" s="1264"/>
      <c r="P392" s="1264"/>
      <c r="Q392" s="1264"/>
      <c r="R392" s="1264"/>
      <c r="S392" s="1266"/>
      <c r="T392" s="1131">
        <f t="shared" si="188"/>
        <v>0</v>
      </c>
      <c r="U392" s="1045"/>
      <c r="V392" s="1045">
        <f t="shared" si="186"/>
        <v>0</v>
      </c>
      <c r="W392" s="1132" t="e">
        <f>#REF!+U392+#REF!</f>
        <v>#REF!</v>
      </c>
      <c r="X392" s="1045" t="e">
        <f t="shared" si="187"/>
        <v>#REF!</v>
      </c>
      <c r="Y392" s="1132" t="e">
        <f>W392+S392+#REF!</f>
        <v>#REF!</v>
      </c>
      <c r="Z392" s="1045" t="e">
        <f t="shared" si="189"/>
        <v>#REF!</v>
      </c>
      <c r="AA392" s="892"/>
      <c r="AB392" s="891"/>
    </row>
    <row r="393" spans="1:28" s="486" customFormat="1">
      <c r="A393" s="1261"/>
      <c r="B393" s="1272" t="s">
        <v>3017</v>
      </c>
      <c r="C393" s="1263">
        <f>Elec.Data!K3481</f>
        <v>1242.21</v>
      </c>
      <c r="D393" s="1264" t="s">
        <v>1341</v>
      </c>
      <c r="E393" s="1265"/>
      <c r="F393" s="1264"/>
      <c r="G393" s="1264"/>
      <c r="H393" s="1264"/>
      <c r="I393" s="1264"/>
      <c r="J393" s="1264"/>
      <c r="K393" s="1264"/>
      <c r="L393" s="1264"/>
      <c r="M393" s="1264"/>
      <c r="N393" s="1264"/>
      <c r="O393" s="1264"/>
      <c r="P393" s="1264"/>
      <c r="Q393" s="1264"/>
      <c r="R393" s="1264"/>
      <c r="S393" s="1266"/>
      <c r="T393" s="1131">
        <f t="shared" si="188"/>
        <v>0</v>
      </c>
      <c r="U393" s="1045"/>
      <c r="V393" s="1045">
        <f t="shared" si="186"/>
        <v>0</v>
      </c>
      <c r="W393" s="1132" t="e">
        <f>#REF!+U393+#REF!</f>
        <v>#REF!</v>
      </c>
      <c r="X393" s="1045" t="e">
        <f t="shared" si="187"/>
        <v>#REF!</v>
      </c>
      <c r="Y393" s="1132" t="e">
        <f>W393+S393+#REF!</f>
        <v>#REF!</v>
      </c>
      <c r="Z393" s="1045" t="e">
        <f t="shared" si="189"/>
        <v>#REF!</v>
      </c>
      <c r="AA393" s="892"/>
      <c r="AB393" s="891"/>
    </row>
    <row r="394" spans="1:28" s="486" customFormat="1">
      <c r="A394" s="1261"/>
      <c r="B394" s="1272" t="s">
        <v>3018</v>
      </c>
      <c r="C394" s="1263">
        <f>Elec.Data!K3547</f>
        <v>165</v>
      </c>
      <c r="D394" s="1264" t="s">
        <v>794</v>
      </c>
      <c r="E394" s="1265"/>
      <c r="F394" s="1264"/>
      <c r="G394" s="1264"/>
      <c r="H394" s="1264"/>
      <c r="I394" s="1264"/>
      <c r="J394" s="1264"/>
      <c r="K394" s="1264"/>
      <c r="L394" s="1264"/>
      <c r="M394" s="1264"/>
      <c r="N394" s="1264"/>
      <c r="O394" s="1264"/>
      <c r="P394" s="1264"/>
      <c r="Q394" s="1264"/>
      <c r="R394" s="1264"/>
      <c r="S394" s="1266"/>
      <c r="T394" s="1131">
        <f t="shared" si="188"/>
        <v>0</v>
      </c>
      <c r="U394" s="1045"/>
      <c r="V394" s="1045">
        <f t="shared" si="186"/>
        <v>0</v>
      </c>
      <c r="W394" s="1132" t="e">
        <f>#REF!+U394+#REF!</f>
        <v>#REF!</v>
      </c>
      <c r="X394" s="1045" t="e">
        <f t="shared" si="187"/>
        <v>#REF!</v>
      </c>
      <c r="Y394" s="1132" t="e">
        <f>W394+S394+#REF!</f>
        <v>#REF!</v>
      </c>
      <c r="Z394" s="1045" t="e">
        <f t="shared" si="189"/>
        <v>#REF!</v>
      </c>
      <c r="AA394" s="892"/>
      <c r="AB394" s="891"/>
    </row>
    <row r="395" spans="1:28" s="486" customFormat="1">
      <c r="A395" s="1261"/>
      <c r="B395" s="1274" t="s">
        <v>2421</v>
      </c>
      <c r="C395" s="1263">
        <f>Elec.Data!K3468</f>
        <v>2971.6</v>
      </c>
      <c r="D395" s="1264" t="s">
        <v>1341</v>
      </c>
      <c r="E395" s="1265"/>
      <c r="F395" s="1264"/>
      <c r="G395" s="1264"/>
      <c r="H395" s="1264"/>
      <c r="I395" s="1264"/>
      <c r="J395" s="1264"/>
      <c r="K395" s="1264"/>
      <c r="L395" s="1264"/>
      <c r="M395" s="1264"/>
      <c r="N395" s="1264"/>
      <c r="O395" s="1264"/>
      <c r="P395" s="1264"/>
      <c r="Q395" s="1264"/>
      <c r="R395" s="1264"/>
      <c r="S395" s="1266"/>
      <c r="T395" s="1131">
        <f t="shared" si="188"/>
        <v>0</v>
      </c>
      <c r="U395" s="1045"/>
      <c r="V395" s="1045">
        <f t="shared" ref="V395:V426" si="190">U395*C395</f>
        <v>0</v>
      </c>
      <c r="W395" s="1132" t="e">
        <f>#REF!+U395+#REF!</f>
        <v>#REF!</v>
      </c>
      <c r="X395" s="1045" t="e">
        <f t="shared" si="187"/>
        <v>#REF!</v>
      </c>
      <c r="Y395" s="1132" t="e">
        <f>W395+S395+#REF!</f>
        <v>#REF!</v>
      </c>
      <c r="Z395" s="1045" t="e">
        <f t="shared" si="189"/>
        <v>#REF!</v>
      </c>
      <c r="AA395" s="892"/>
      <c r="AB395" s="891"/>
    </row>
    <row r="396" spans="1:28" s="486" customFormat="1">
      <c r="A396" s="1261"/>
      <c r="B396" s="1272" t="s">
        <v>3021</v>
      </c>
      <c r="C396" s="1263">
        <f>Data!K2984</f>
        <v>2770.14</v>
      </c>
      <c r="D396" s="1264" t="s">
        <v>2199</v>
      </c>
      <c r="E396" s="1265"/>
      <c r="F396" s="1264"/>
      <c r="G396" s="1264"/>
      <c r="H396" s="1264"/>
      <c r="I396" s="1264"/>
      <c r="J396" s="1264"/>
      <c r="K396" s="1264"/>
      <c r="L396" s="1264"/>
      <c r="M396" s="1264"/>
      <c r="N396" s="1264"/>
      <c r="O396" s="1264"/>
      <c r="P396" s="1264"/>
      <c r="Q396" s="1264"/>
      <c r="R396" s="1264"/>
      <c r="S396" s="1266"/>
      <c r="T396" s="1131">
        <f t="shared" si="188"/>
        <v>0</v>
      </c>
      <c r="U396" s="1045"/>
      <c r="V396" s="1045">
        <f t="shared" si="190"/>
        <v>0</v>
      </c>
      <c r="W396" s="1132" t="e">
        <f>#REF!+U396+#REF!</f>
        <v>#REF!</v>
      </c>
      <c r="X396" s="1045" t="e">
        <f t="shared" si="187"/>
        <v>#REF!</v>
      </c>
      <c r="Y396" s="1132" t="e">
        <f>W396+S396+#REF!</f>
        <v>#REF!</v>
      </c>
      <c r="Z396" s="1045" t="e">
        <f t="shared" si="189"/>
        <v>#REF!</v>
      </c>
      <c r="AA396" s="892"/>
      <c r="AB396" s="891"/>
    </row>
    <row r="397" spans="1:28" s="486" customFormat="1">
      <c r="A397" s="1261"/>
      <c r="B397" s="1272" t="s">
        <v>3019</v>
      </c>
      <c r="C397" s="1263">
        <f>Data!K2848</f>
        <v>2727.59</v>
      </c>
      <c r="D397" s="1264" t="s">
        <v>2199</v>
      </c>
      <c r="E397" s="1265"/>
      <c r="F397" s="1264"/>
      <c r="G397" s="1264"/>
      <c r="H397" s="1264"/>
      <c r="I397" s="1264"/>
      <c r="J397" s="1264"/>
      <c r="K397" s="1264"/>
      <c r="L397" s="1264"/>
      <c r="M397" s="1264"/>
      <c r="N397" s="1264"/>
      <c r="O397" s="1264"/>
      <c r="P397" s="1264"/>
      <c r="Q397" s="1264"/>
      <c r="R397" s="1264"/>
      <c r="S397" s="1266"/>
      <c r="T397" s="1131">
        <f t="shared" si="188"/>
        <v>0</v>
      </c>
      <c r="U397" s="1045"/>
      <c r="V397" s="1045">
        <f t="shared" si="190"/>
        <v>0</v>
      </c>
      <c r="W397" s="1132" t="e">
        <f>#REF!+U397+#REF!</f>
        <v>#REF!</v>
      </c>
      <c r="X397" s="1045" t="e">
        <f t="shared" si="187"/>
        <v>#REF!</v>
      </c>
      <c r="Y397" s="1132" t="e">
        <f>W397+S397+#REF!</f>
        <v>#REF!</v>
      </c>
      <c r="Z397" s="1045" t="e">
        <f t="shared" si="189"/>
        <v>#REF!</v>
      </c>
      <c r="AA397" s="892"/>
      <c r="AB397" s="891"/>
    </row>
    <row r="398" spans="1:28" s="486" customFormat="1">
      <c r="A398" s="1261"/>
      <c r="B398" s="1272" t="s">
        <v>3020</v>
      </c>
      <c r="C398" s="1263">
        <f>Data!R2991</f>
        <v>2653.99</v>
      </c>
      <c r="D398" s="1264" t="s">
        <v>2199</v>
      </c>
      <c r="E398" s="1265"/>
      <c r="F398" s="1264"/>
      <c r="G398" s="1264"/>
      <c r="H398" s="1264"/>
      <c r="I398" s="1264"/>
      <c r="J398" s="1264"/>
      <c r="K398" s="1264"/>
      <c r="L398" s="1264"/>
      <c r="M398" s="1264"/>
      <c r="N398" s="1264"/>
      <c r="O398" s="1264"/>
      <c r="P398" s="1264"/>
      <c r="Q398" s="1264"/>
      <c r="R398" s="1264"/>
      <c r="S398" s="1266"/>
      <c r="T398" s="1131">
        <f t="shared" si="188"/>
        <v>0</v>
      </c>
      <c r="U398" s="1045"/>
      <c r="V398" s="1045">
        <f t="shared" si="190"/>
        <v>0</v>
      </c>
      <c r="W398" s="1132" t="e">
        <f>#REF!+U398+#REF!</f>
        <v>#REF!</v>
      </c>
      <c r="X398" s="1045" t="e">
        <f t="shared" si="187"/>
        <v>#REF!</v>
      </c>
      <c r="Y398" s="1132" t="e">
        <f>W398+S398+#REF!</f>
        <v>#REF!</v>
      </c>
      <c r="Z398" s="1045" t="e">
        <f t="shared" si="189"/>
        <v>#REF!</v>
      </c>
      <c r="AA398" s="892"/>
      <c r="AB398" s="891"/>
    </row>
    <row r="399" spans="1:28" s="486" customFormat="1">
      <c r="A399" s="1261"/>
      <c r="B399" s="1272" t="s">
        <v>3022</v>
      </c>
      <c r="C399" s="1263">
        <f>Data!K3088</f>
        <v>2872.51</v>
      </c>
      <c r="D399" s="1264" t="s">
        <v>2199</v>
      </c>
      <c r="E399" s="1265"/>
      <c r="F399" s="1264"/>
      <c r="G399" s="1264"/>
      <c r="H399" s="1264"/>
      <c r="I399" s="1264"/>
      <c r="J399" s="1264"/>
      <c r="K399" s="1264"/>
      <c r="L399" s="1264"/>
      <c r="M399" s="1264"/>
      <c r="N399" s="1264"/>
      <c r="O399" s="1264"/>
      <c r="P399" s="1264"/>
      <c r="Q399" s="1264"/>
      <c r="R399" s="1264"/>
      <c r="S399" s="1266"/>
      <c r="T399" s="1131">
        <f t="shared" si="188"/>
        <v>0</v>
      </c>
      <c r="U399" s="1045"/>
      <c r="V399" s="1045">
        <f t="shared" si="190"/>
        <v>0</v>
      </c>
      <c r="W399" s="1132" t="e">
        <f>#REF!+U399+#REF!</f>
        <v>#REF!</v>
      </c>
      <c r="X399" s="1045" t="e">
        <f t="shared" ref="X399:X430" si="191">W399*C399</f>
        <v>#REF!</v>
      </c>
      <c r="Y399" s="1132" t="e">
        <f>W399+S399+#REF!</f>
        <v>#REF!</v>
      </c>
      <c r="Z399" s="1045" t="e">
        <f t="shared" si="189"/>
        <v>#REF!</v>
      </c>
      <c r="AA399" s="892"/>
      <c r="AB399" s="891"/>
    </row>
    <row r="400" spans="1:28" s="486" customFormat="1">
      <c r="A400" s="1261"/>
      <c r="B400" s="1272" t="s">
        <v>3023</v>
      </c>
      <c r="C400" s="1263">
        <f>Data!K3069</f>
        <v>2995.3</v>
      </c>
      <c r="D400" s="1264" t="s">
        <v>2199</v>
      </c>
      <c r="E400" s="1265"/>
      <c r="F400" s="1264"/>
      <c r="G400" s="1264"/>
      <c r="H400" s="1264"/>
      <c r="I400" s="1264"/>
      <c r="J400" s="1264"/>
      <c r="K400" s="1264"/>
      <c r="L400" s="1264"/>
      <c r="M400" s="1264"/>
      <c r="N400" s="1264"/>
      <c r="O400" s="1264"/>
      <c r="P400" s="1264"/>
      <c r="Q400" s="1264"/>
      <c r="R400" s="1264"/>
      <c r="S400" s="1266"/>
      <c r="T400" s="1131">
        <f t="shared" si="188"/>
        <v>0</v>
      </c>
      <c r="U400" s="1045"/>
      <c r="V400" s="1045">
        <f t="shared" si="190"/>
        <v>0</v>
      </c>
      <c r="W400" s="1132" t="e">
        <f>#REF!+U400+#REF!</f>
        <v>#REF!</v>
      </c>
      <c r="X400" s="1045" t="e">
        <f t="shared" si="191"/>
        <v>#REF!</v>
      </c>
      <c r="Y400" s="1132" t="e">
        <f>W400+S400+#REF!</f>
        <v>#REF!</v>
      </c>
      <c r="Z400" s="1045" t="e">
        <f t="shared" ref="Z400:Z431" si="192">Y400*C400</f>
        <v>#REF!</v>
      </c>
      <c r="AA400" s="892"/>
      <c r="AB400" s="891"/>
    </row>
    <row r="401" spans="1:28" s="486" customFormat="1">
      <c r="A401" s="1261"/>
      <c r="B401" s="1272" t="s">
        <v>3024</v>
      </c>
      <c r="C401" s="1263">
        <f>Data!R3076</f>
        <v>2817.67</v>
      </c>
      <c r="D401" s="1264" t="s">
        <v>2199</v>
      </c>
      <c r="E401" s="1265"/>
      <c r="F401" s="1264"/>
      <c r="G401" s="1264"/>
      <c r="H401" s="1264"/>
      <c r="I401" s="1264"/>
      <c r="J401" s="1264"/>
      <c r="K401" s="1264"/>
      <c r="L401" s="1264"/>
      <c r="M401" s="1264"/>
      <c r="N401" s="1264"/>
      <c r="O401" s="1264"/>
      <c r="P401" s="1264"/>
      <c r="Q401" s="1264"/>
      <c r="R401" s="1264"/>
      <c r="S401" s="1266"/>
      <c r="T401" s="1131">
        <f t="shared" si="188"/>
        <v>0</v>
      </c>
      <c r="U401" s="1045"/>
      <c r="V401" s="1045">
        <f t="shared" si="190"/>
        <v>0</v>
      </c>
      <c r="W401" s="1132" t="e">
        <f>#REF!+U401+#REF!</f>
        <v>#REF!</v>
      </c>
      <c r="X401" s="1045" t="e">
        <f t="shared" si="191"/>
        <v>#REF!</v>
      </c>
      <c r="Y401" s="1132" t="e">
        <f>W401+S401+#REF!</f>
        <v>#REF!</v>
      </c>
      <c r="Z401" s="1045" t="e">
        <f t="shared" si="192"/>
        <v>#REF!</v>
      </c>
      <c r="AA401" s="892"/>
      <c r="AB401" s="891"/>
    </row>
    <row r="402" spans="1:28" s="486" customFormat="1" ht="45">
      <c r="A402" s="1261"/>
      <c r="B402" s="1275" t="s">
        <v>534</v>
      </c>
      <c r="C402" s="1263">
        <f>Data!K2880</f>
        <v>2112.4699999999998</v>
      </c>
      <c r="D402" s="1264" t="s">
        <v>2199</v>
      </c>
      <c r="E402" s="1265"/>
      <c r="F402" s="1264"/>
      <c r="G402" s="1264"/>
      <c r="H402" s="1264"/>
      <c r="I402" s="1264"/>
      <c r="J402" s="1264"/>
      <c r="K402" s="1264"/>
      <c r="L402" s="1264"/>
      <c r="M402" s="1264"/>
      <c r="N402" s="1264"/>
      <c r="O402" s="1264"/>
      <c r="P402" s="1264"/>
      <c r="Q402" s="1264"/>
      <c r="R402" s="1264"/>
      <c r="S402" s="1266"/>
      <c r="T402" s="1131">
        <f t="shared" si="188"/>
        <v>0</v>
      </c>
      <c r="U402" s="1045"/>
      <c r="V402" s="1045">
        <f t="shared" si="190"/>
        <v>0</v>
      </c>
      <c r="W402" s="1132" t="e">
        <f>#REF!+U402+#REF!</f>
        <v>#REF!</v>
      </c>
      <c r="X402" s="1045" t="e">
        <f t="shared" si="191"/>
        <v>#REF!</v>
      </c>
      <c r="Y402" s="1132" t="e">
        <f>W402+S402+#REF!</f>
        <v>#REF!</v>
      </c>
      <c r="Z402" s="1045" t="e">
        <f t="shared" si="192"/>
        <v>#REF!</v>
      </c>
      <c r="AA402" s="892"/>
      <c r="AB402" s="891"/>
    </row>
    <row r="403" spans="1:28" s="486" customFormat="1">
      <c r="A403" s="1261"/>
      <c r="B403" s="1272" t="s">
        <v>2783</v>
      </c>
      <c r="C403" s="1263">
        <f>Data!K1157</f>
        <v>109.86</v>
      </c>
      <c r="D403" s="1264"/>
      <c r="E403" s="1265"/>
      <c r="F403" s="1264"/>
      <c r="G403" s="1264"/>
      <c r="H403" s="1264"/>
      <c r="I403" s="1264"/>
      <c r="J403" s="1264"/>
      <c r="K403" s="1264"/>
      <c r="L403" s="1264"/>
      <c r="M403" s="1264"/>
      <c r="N403" s="1264"/>
      <c r="O403" s="1264"/>
      <c r="P403" s="1264"/>
      <c r="Q403" s="1264"/>
      <c r="R403" s="1264"/>
      <c r="S403" s="1266"/>
      <c r="T403" s="1131">
        <f t="shared" si="188"/>
        <v>0</v>
      </c>
      <c r="U403" s="1045"/>
      <c r="V403" s="1045">
        <f t="shared" si="190"/>
        <v>0</v>
      </c>
      <c r="W403" s="1132" t="e">
        <f>#REF!+U403+#REF!</f>
        <v>#REF!</v>
      </c>
      <c r="X403" s="1045" t="e">
        <f t="shared" si="191"/>
        <v>#REF!</v>
      </c>
      <c r="Y403" s="1132" t="e">
        <f>W403+S403+#REF!</f>
        <v>#REF!</v>
      </c>
      <c r="Z403" s="1045" t="e">
        <f t="shared" si="192"/>
        <v>#REF!</v>
      </c>
      <c r="AA403" s="892"/>
      <c r="AB403" s="891"/>
    </row>
    <row r="404" spans="1:28" s="486" customFormat="1">
      <c r="A404" s="1261"/>
      <c r="B404" s="1272" t="s">
        <v>2784</v>
      </c>
      <c r="C404" s="1263">
        <f>Data!K1170</f>
        <v>172.13</v>
      </c>
      <c r="D404" s="1264"/>
      <c r="E404" s="1265"/>
      <c r="F404" s="1264"/>
      <c r="G404" s="1264"/>
      <c r="H404" s="1264"/>
      <c r="I404" s="1264"/>
      <c r="J404" s="1264"/>
      <c r="K404" s="1264"/>
      <c r="L404" s="1264"/>
      <c r="M404" s="1264"/>
      <c r="N404" s="1264"/>
      <c r="O404" s="1264"/>
      <c r="P404" s="1264"/>
      <c r="Q404" s="1264"/>
      <c r="R404" s="1264"/>
      <c r="S404" s="1266"/>
      <c r="T404" s="1131">
        <f t="shared" si="188"/>
        <v>0</v>
      </c>
      <c r="U404" s="1045"/>
      <c r="V404" s="1045">
        <f t="shared" si="190"/>
        <v>0</v>
      </c>
      <c r="W404" s="1132" t="e">
        <f>#REF!+U404+#REF!</f>
        <v>#REF!</v>
      </c>
      <c r="X404" s="1045" t="e">
        <f t="shared" si="191"/>
        <v>#REF!</v>
      </c>
      <c r="Y404" s="1132" t="e">
        <f>W404+S404+#REF!</f>
        <v>#REF!</v>
      </c>
      <c r="Z404" s="1045" t="e">
        <f t="shared" si="192"/>
        <v>#REF!</v>
      </c>
      <c r="AA404" s="892"/>
      <c r="AB404" s="891"/>
    </row>
    <row r="405" spans="1:28" s="486" customFormat="1">
      <c r="A405" s="1261"/>
      <c r="B405" s="1272" t="s">
        <v>1621</v>
      </c>
      <c r="C405" s="1263">
        <f>Data!K2451</f>
        <v>680.91</v>
      </c>
      <c r="D405" s="1264"/>
      <c r="E405" s="1265"/>
      <c r="F405" s="1264"/>
      <c r="G405" s="1264"/>
      <c r="H405" s="1264"/>
      <c r="I405" s="1264"/>
      <c r="J405" s="1264"/>
      <c r="K405" s="1264"/>
      <c r="L405" s="1264"/>
      <c r="M405" s="1264"/>
      <c r="N405" s="1264"/>
      <c r="O405" s="1264"/>
      <c r="P405" s="1264"/>
      <c r="Q405" s="1264"/>
      <c r="R405" s="1264"/>
      <c r="S405" s="1266"/>
      <c r="T405" s="1131">
        <f t="shared" si="188"/>
        <v>0</v>
      </c>
      <c r="U405" s="1045"/>
      <c r="V405" s="1045">
        <f t="shared" si="190"/>
        <v>0</v>
      </c>
      <c r="W405" s="1132" t="e">
        <f>#REF!+U405+#REF!</f>
        <v>#REF!</v>
      </c>
      <c r="X405" s="1045" t="e">
        <f t="shared" si="191"/>
        <v>#REF!</v>
      </c>
      <c r="Y405" s="1132" t="e">
        <f>W405+S405+#REF!</f>
        <v>#REF!</v>
      </c>
      <c r="Z405" s="1045" t="e">
        <f t="shared" si="192"/>
        <v>#REF!</v>
      </c>
      <c r="AA405" s="892"/>
      <c r="AB405" s="891"/>
    </row>
    <row r="406" spans="1:28" s="486" customFormat="1">
      <c r="A406" s="1261"/>
      <c r="B406" s="1272" t="s">
        <v>1622</v>
      </c>
      <c r="C406" s="1263">
        <f>Data!K2801</f>
        <v>1497.63</v>
      </c>
      <c r="D406" s="1264"/>
      <c r="E406" s="1265"/>
      <c r="F406" s="1264"/>
      <c r="G406" s="1264"/>
      <c r="H406" s="1264"/>
      <c r="I406" s="1264"/>
      <c r="J406" s="1264"/>
      <c r="K406" s="1264"/>
      <c r="L406" s="1264"/>
      <c r="M406" s="1264"/>
      <c r="N406" s="1264"/>
      <c r="O406" s="1264"/>
      <c r="P406" s="1264"/>
      <c r="Q406" s="1264"/>
      <c r="R406" s="1264"/>
      <c r="S406" s="1266"/>
      <c r="T406" s="1131">
        <f t="shared" si="188"/>
        <v>0</v>
      </c>
      <c r="U406" s="1045"/>
      <c r="V406" s="1045">
        <f t="shared" si="190"/>
        <v>0</v>
      </c>
      <c r="W406" s="1132" t="e">
        <f>#REF!+U406+#REF!</f>
        <v>#REF!</v>
      </c>
      <c r="X406" s="1045" t="e">
        <f t="shared" si="191"/>
        <v>#REF!</v>
      </c>
      <c r="Y406" s="1132" t="e">
        <f>W406+S406+#REF!</f>
        <v>#REF!</v>
      </c>
      <c r="Z406" s="1045" t="e">
        <f t="shared" si="192"/>
        <v>#REF!</v>
      </c>
      <c r="AA406" s="892"/>
      <c r="AB406" s="891"/>
    </row>
    <row r="407" spans="1:28" s="486" customFormat="1" ht="67.5">
      <c r="A407" s="1261"/>
      <c r="B407" s="1275" t="s">
        <v>5672</v>
      </c>
      <c r="C407" s="1263">
        <f>Elec.Data!K3011</f>
        <v>2424.33</v>
      </c>
      <c r="D407" s="1264"/>
      <c r="E407" s="1265"/>
      <c r="F407" s="1264"/>
      <c r="G407" s="1264"/>
      <c r="H407" s="1264"/>
      <c r="I407" s="1264"/>
      <c r="J407" s="1264"/>
      <c r="K407" s="1264"/>
      <c r="L407" s="1264"/>
      <c r="M407" s="1264"/>
      <c r="N407" s="1264"/>
      <c r="O407" s="1264"/>
      <c r="P407" s="1264"/>
      <c r="Q407" s="1264"/>
      <c r="R407" s="1264"/>
      <c r="S407" s="1266"/>
      <c r="T407" s="1131">
        <f t="shared" si="188"/>
        <v>0</v>
      </c>
      <c r="U407" s="1045"/>
      <c r="V407" s="1045">
        <f t="shared" si="190"/>
        <v>0</v>
      </c>
      <c r="W407" s="1132" t="e">
        <f>#REF!+U407+#REF!</f>
        <v>#REF!</v>
      </c>
      <c r="X407" s="1045" t="e">
        <f t="shared" si="191"/>
        <v>#REF!</v>
      </c>
      <c r="Y407" s="1132" t="e">
        <f>W407+S407+#REF!</f>
        <v>#REF!</v>
      </c>
      <c r="Z407" s="1045" t="e">
        <f t="shared" si="192"/>
        <v>#REF!</v>
      </c>
      <c r="AA407" s="892"/>
      <c r="AB407" s="891"/>
    </row>
    <row r="408" spans="1:28" s="486" customFormat="1" ht="67.5">
      <c r="A408" s="1261"/>
      <c r="B408" s="1275" t="s">
        <v>5673</v>
      </c>
      <c r="C408" s="1263">
        <f>Elec.Data!K3023</f>
        <v>2425.48</v>
      </c>
      <c r="D408" s="1264"/>
      <c r="E408" s="1265"/>
      <c r="F408" s="1264"/>
      <c r="G408" s="1264"/>
      <c r="H408" s="1264"/>
      <c r="I408" s="1264"/>
      <c r="J408" s="1264"/>
      <c r="K408" s="1264"/>
      <c r="L408" s="1264"/>
      <c r="M408" s="1264"/>
      <c r="N408" s="1264"/>
      <c r="O408" s="1264"/>
      <c r="P408" s="1264"/>
      <c r="Q408" s="1264"/>
      <c r="R408" s="1264"/>
      <c r="S408" s="1266"/>
      <c r="T408" s="1131">
        <f t="shared" si="188"/>
        <v>0</v>
      </c>
      <c r="U408" s="1045"/>
      <c r="V408" s="1045">
        <f t="shared" si="190"/>
        <v>0</v>
      </c>
      <c r="W408" s="1132" t="e">
        <f>#REF!+U408+#REF!</f>
        <v>#REF!</v>
      </c>
      <c r="X408" s="1045" t="e">
        <f t="shared" si="191"/>
        <v>#REF!</v>
      </c>
      <c r="Y408" s="1132" t="e">
        <f>W408+S408+#REF!</f>
        <v>#REF!</v>
      </c>
      <c r="Z408" s="1045" t="e">
        <f t="shared" si="192"/>
        <v>#REF!</v>
      </c>
      <c r="AA408" s="892"/>
      <c r="AB408" s="891"/>
    </row>
    <row r="409" spans="1:28" s="486" customFormat="1" ht="45">
      <c r="A409" s="1261"/>
      <c r="B409" s="1275" t="s">
        <v>5674</v>
      </c>
      <c r="C409" s="1263">
        <f>Elec.Data!K3044</f>
        <v>2491.5500000000002</v>
      </c>
      <c r="D409" s="1264"/>
      <c r="E409" s="1265"/>
      <c r="F409" s="1264"/>
      <c r="G409" s="1264"/>
      <c r="H409" s="1264"/>
      <c r="I409" s="1264"/>
      <c r="J409" s="1264"/>
      <c r="K409" s="1264"/>
      <c r="L409" s="1264"/>
      <c r="M409" s="1264"/>
      <c r="N409" s="1264"/>
      <c r="O409" s="1264"/>
      <c r="P409" s="1264"/>
      <c r="Q409" s="1264"/>
      <c r="R409" s="1264"/>
      <c r="S409" s="1266"/>
      <c r="T409" s="1131">
        <f t="shared" si="188"/>
        <v>0</v>
      </c>
      <c r="U409" s="1045"/>
      <c r="V409" s="1045">
        <f t="shared" si="190"/>
        <v>0</v>
      </c>
      <c r="W409" s="1132" t="e">
        <f>#REF!+U409+#REF!</f>
        <v>#REF!</v>
      </c>
      <c r="X409" s="1045" t="e">
        <f t="shared" si="191"/>
        <v>#REF!</v>
      </c>
      <c r="Y409" s="1132" t="e">
        <f>W409+S409+#REF!</f>
        <v>#REF!</v>
      </c>
      <c r="Z409" s="1045" t="e">
        <f t="shared" si="192"/>
        <v>#REF!</v>
      </c>
      <c r="AA409" s="892"/>
      <c r="AB409" s="891"/>
    </row>
    <row r="410" spans="1:28" s="486" customFormat="1" ht="45">
      <c r="A410" s="1261"/>
      <c r="B410" s="1275" t="s">
        <v>5675</v>
      </c>
      <c r="C410" s="1263">
        <f>Elec.Data!K3063</f>
        <v>4553.51</v>
      </c>
      <c r="D410" s="1264"/>
      <c r="E410" s="1265"/>
      <c r="F410" s="1264"/>
      <c r="G410" s="1264"/>
      <c r="H410" s="1264"/>
      <c r="I410" s="1264"/>
      <c r="J410" s="1264"/>
      <c r="K410" s="1264"/>
      <c r="L410" s="1264"/>
      <c r="M410" s="1264"/>
      <c r="N410" s="1264"/>
      <c r="O410" s="1264"/>
      <c r="P410" s="1264"/>
      <c r="Q410" s="1264"/>
      <c r="R410" s="1264"/>
      <c r="S410" s="1266"/>
      <c r="T410" s="1131">
        <f t="shared" si="188"/>
        <v>0</v>
      </c>
      <c r="U410" s="1045"/>
      <c r="V410" s="1045">
        <f t="shared" si="190"/>
        <v>0</v>
      </c>
      <c r="W410" s="1132" t="e">
        <f>#REF!+U410+#REF!</f>
        <v>#REF!</v>
      </c>
      <c r="X410" s="1045" t="e">
        <f t="shared" si="191"/>
        <v>#REF!</v>
      </c>
      <c r="Y410" s="1132" t="e">
        <f>W410+S410+#REF!</f>
        <v>#REF!</v>
      </c>
      <c r="Z410" s="1045" t="e">
        <f t="shared" si="192"/>
        <v>#REF!</v>
      </c>
      <c r="AA410" s="892"/>
      <c r="AB410" s="891"/>
    </row>
    <row r="411" spans="1:28" s="486" customFormat="1">
      <c r="A411" s="1261"/>
      <c r="B411" s="1275" t="s">
        <v>2311</v>
      </c>
      <c r="C411" s="1263">
        <f>Elec.Data!K3092</f>
        <v>209.78</v>
      </c>
      <c r="D411" s="1264"/>
      <c r="E411" s="1265"/>
      <c r="F411" s="1264"/>
      <c r="G411" s="1264"/>
      <c r="H411" s="1264"/>
      <c r="I411" s="1264"/>
      <c r="J411" s="1264"/>
      <c r="K411" s="1264"/>
      <c r="L411" s="1264"/>
      <c r="M411" s="1264"/>
      <c r="N411" s="1264"/>
      <c r="O411" s="1264"/>
      <c r="P411" s="1264"/>
      <c r="Q411" s="1264"/>
      <c r="R411" s="1264"/>
      <c r="S411" s="1266"/>
      <c r="T411" s="1131">
        <f t="shared" si="188"/>
        <v>0</v>
      </c>
      <c r="U411" s="1045"/>
      <c r="V411" s="1045">
        <f t="shared" si="190"/>
        <v>0</v>
      </c>
      <c r="W411" s="1132" t="e">
        <f>#REF!+U411+#REF!</f>
        <v>#REF!</v>
      </c>
      <c r="X411" s="1045" t="e">
        <f t="shared" si="191"/>
        <v>#REF!</v>
      </c>
      <c r="Y411" s="1132" t="e">
        <f>W411+S411+#REF!</f>
        <v>#REF!</v>
      </c>
      <c r="Z411" s="1045" t="e">
        <f t="shared" si="192"/>
        <v>#REF!</v>
      </c>
      <c r="AA411" s="892"/>
      <c r="AB411" s="891"/>
    </row>
    <row r="412" spans="1:28" s="486" customFormat="1">
      <c r="A412" s="1261"/>
      <c r="B412" s="1275" t="s">
        <v>2894</v>
      </c>
      <c r="C412" s="1263">
        <f>Elec.Data!K3105</f>
        <v>246.68</v>
      </c>
      <c r="D412" s="1264"/>
      <c r="E412" s="1265"/>
      <c r="F412" s="1264"/>
      <c r="G412" s="1264"/>
      <c r="H412" s="1264"/>
      <c r="I412" s="1264"/>
      <c r="J412" s="1264"/>
      <c r="K412" s="1264"/>
      <c r="L412" s="1264"/>
      <c r="M412" s="1264"/>
      <c r="N412" s="1264"/>
      <c r="O412" s="1264"/>
      <c r="P412" s="1264"/>
      <c r="Q412" s="1264"/>
      <c r="R412" s="1264"/>
      <c r="S412" s="1266"/>
      <c r="T412" s="1131">
        <f t="shared" si="188"/>
        <v>0</v>
      </c>
      <c r="U412" s="1045"/>
      <c r="V412" s="1045">
        <f t="shared" si="190"/>
        <v>0</v>
      </c>
      <c r="W412" s="1132" t="e">
        <f>#REF!+U412+#REF!</f>
        <v>#REF!</v>
      </c>
      <c r="X412" s="1045" t="e">
        <f t="shared" si="191"/>
        <v>#REF!</v>
      </c>
      <c r="Y412" s="1132" t="e">
        <f>W412+S412+#REF!</f>
        <v>#REF!</v>
      </c>
      <c r="Z412" s="1045" t="e">
        <f t="shared" si="192"/>
        <v>#REF!</v>
      </c>
      <c r="AA412" s="892"/>
      <c r="AB412" s="891"/>
    </row>
    <row r="413" spans="1:28" s="486" customFormat="1">
      <c r="A413" s="1261"/>
      <c r="B413" s="1275" t="s">
        <v>2251</v>
      </c>
      <c r="C413" s="1263">
        <f>Elec.Data!K3119</f>
        <v>368.57</v>
      </c>
      <c r="D413" s="1264"/>
      <c r="E413" s="1265"/>
      <c r="F413" s="1264"/>
      <c r="G413" s="1264"/>
      <c r="H413" s="1264"/>
      <c r="I413" s="1264"/>
      <c r="J413" s="1264"/>
      <c r="K413" s="1264"/>
      <c r="L413" s="1264"/>
      <c r="M413" s="1264"/>
      <c r="N413" s="1264"/>
      <c r="O413" s="1264"/>
      <c r="P413" s="1264"/>
      <c r="Q413" s="1264"/>
      <c r="R413" s="1264"/>
      <c r="S413" s="1266"/>
      <c r="T413" s="1131">
        <f t="shared" si="188"/>
        <v>0</v>
      </c>
      <c r="U413" s="1045"/>
      <c r="V413" s="1045">
        <f t="shared" si="190"/>
        <v>0</v>
      </c>
      <c r="W413" s="1132" t="e">
        <f>#REF!+U413+#REF!</f>
        <v>#REF!</v>
      </c>
      <c r="X413" s="1045" t="e">
        <f t="shared" si="191"/>
        <v>#REF!</v>
      </c>
      <c r="Y413" s="1132" t="e">
        <f>W413+S413+#REF!</f>
        <v>#REF!</v>
      </c>
      <c r="Z413" s="1045" t="e">
        <f t="shared" si="192"/>
        <v>#REF!</v>
      </c>
      <c r="AA413" s="892"/>
      <c r="AB413" s="891"/>
    </row>
    <row r="414" spans="1:28" s="486" customFormat="1" ht="67.5">
      <c r="A414" s="1261"/>
      <c r="B414" s="1275" t="s">
        <v>2694</v>
      </c>
      <c r="C414" s="1263">
        <f>Elec.Data!K3173</f>
        <v>1308</v>
      </c>
      <c r="D414" s="1264"/>
      <c r="E414" s="1265"/>
      <c r="F414" s="1264"/>
      <c r="G414" s="1264"/>
      <c r="H414" s="1264"/>
      <c r="I414" s="1264"/>
      <c r="J414" s="1264"/>
      <c r="K414" s="1264"/>
      <c r="L414" s="1264"/>
      <c r="M414" s="1264"/>
      <c r="N414" s="1264"/>
      <c r="O414" s="1264"/>
      <c r="P414" s="1264"/>
      <c r="Q414" s="1264"/>
      <c r="R414" s="1264"/>
      <c r="S414" s="1266"/>
      <c r="T414" s="1131">
        <f t="shared" si="188"/>
        <v>0</v>
      </c>
      <c r="U414" s="1045"/>
      <c r="V414" s="1045">
        <f t="shared" si="190"/>
        <v>0</v>
      </c>
      <c r="W414" s="1132" t="e">
        <f>#REF!+U414+#REF!</f>
        <v>#REF!</v>
      </c>
      <c r="X414" s="1045" t="e">
        <f t="shared" si="191"/>
        <v>#REF!</v>
      </c>
      <c r="Y414" s="1132" t="e">
        <f>W414+S414+#REF!</f>
        <v>#REF!</v>
      </c>
      <c r="Z414" s="1045" t="e">
        <f t="shared" si="192"/>
        <v>#REF!</v>
      </c>
      <c r="AA414" s="892"/>
      <c r="AB414" s="891"/>
    </row>
    <row r="415" spans="1:28" s="486" customFormat="1" ht="90">
      <c r="A415" s="1261"/>
      <c r="B415" s="1275" t="s">
        <v>2321</v>
      </c>
      <c r="C415" s="1263">
        <f>Elec.Data!K3184</f>
        <v>999</v>
      </c>
      <c r="D415" s="1264"/>
      <c r="E415" s="1265"/>
      <c r="F415" s="1264"/>
      <c r="G415" s="1264"/>
      <c r="H415" s="1264"/>
      <c r="I415" s="1264"/>
      <c r="J415" s="1264"/>
      <c r="K415" s="1264"/>
      <c r="L415" s="1264"/>
      <c r="M415" s="1264"/>
      <c r="N415" s="1264"/>
      <c r="O415" s="1264"/>
      <c r="P415" s="1264"/>
      <c r="Q415" s="1264"/>
      <c r="R415" s="1264"/>
      <c r="S415" s="1266"/>
      <c r="T415" s="1131">
        <f t="shared" si="188"/>
        <v>0</v>
      </c>
      <c r="U415" s="1045"/>
      <c r="V415" s="1045">
        <f t="shared" si="190"/>
        <v>0</v>
      </c>
      <c r="W415" s="1132" t="e">
        <f>#REF!+U415+#REF!</f>
        <v>#REF!</v>
      </c>
      <c r="X415" s="1045" t="e">
        <f t="shared" si="191"/>
        <v>#REF!</v>
      </c>
      <c r="Y415" s="1132" t="e">
        <f>W415+S415+#REF!</f>
        <v>#REF!</v>
      </c>
      <c r="Z415" s="1045" t="e">
        <f t="shared" si="192"/>
        <v>#REF!</v>
      </c>
      <c r="AA415" s="892"/>
      <c r="AB415" s="891"/>
    </row>
    <row r="416" spans="1:28" s="486" customFormat="1" ht="67.5">
      <c r="A416" s="1261"/>
      <c r="B416" s="1275" t="s">
        <v>3366</v>
      </c>
      <c r="C416" s="1263">
        <f>Elec.Data!K3195</f>
        <v>1660</v>
      </c>
      <c r="D416" s="1264"/>
      <c r="E416" s="1265"/>
      <c r="F416" s="1264"/>
      <c r="G416" s="1264"/>
      <c r="H416" s="1264"/>
      <c r="I416" s="1264"/>
      <c r="J416" s="1264"/>
      <c r="K416" s="1264"/>
      <c r="L416" s="1264"/>
      <c r="M416" s="1264"/>
      <c r="N416" s="1264"/>
      <c r="O416" s="1264"/>
      <c r="P416" s="1264"/>
      <c r="Q416" s="1264"/>
      <c r="R416" s="1264"/>
      <c r="S416" s="1266"/>
      <c r="T416" s="1131">
        <f t="shared" si="188"/>
        <v>0</v>
      </c>
      <c r="U416" s="1045"/>
      <c r="V416" s="1045">
        <f t="shared" si="190"/>
        <v>0</v>
      </c>
      <c r="W416" s="1132" t="e">
        <f>#REF!+U416+#REF!</f>
        <v>#REF!</v>
      </c>
      <c r="X416" s="1045" t="e">
        <f t="shared" si="191"/>
        <v>#REF!</v>
      </c>
      <c r="Y416" s="1132" t="e">
        <f>W416+S416+#REF!</f>
        <v>#REF!</v>
      </c>
      <c r="Z416" s="1045" t="e">
        <f t="shared" si="192"/>
        <v>#REF!</v>
      </c>
      <c r="AA416" s="892"/>
      <c r="AB416" s="891"/>
    </row>
    <row r="417" spans="1:28" s="486" customFormat="1" ht="67.5">
      <c r="A417" s="1261"/>
      <c r="B417" s="1275" t="s">
        <v>2205</v>
      </c>
      <c r="C417" s="1263">
        <f>Elec.Data!K3210</f>
        <v>2084</v>
      </c>
      <c r="D417" s="1264"/>
      <c r="E417" s="1265"/>
      <c r="F417" s="1264"/>
      <c r="G417" s="1264"/>
      <c r="H417" s="1264"/>
      <c r="I417" s="1264"/>
      <c r="J417" s="1264"/>
      <c r="K417" s="1264"/>
      <c r="L417" s="1264"/>
      <c r="M417" s="1264"/>
      <c r="N417" s="1264"/>
      <c r="O417" s="1264"/>
      <c r="P417" s="1264"/>
      <c r="Q417" s="1264"/>
      <c r="R417" s="1264"/>
      <c r="S417" s="1266"/>
      <c r="T417" s="1131">
        <f t="shared" si="188"/>
        <v>0</v>
      </c>
      <c r="U417" s="1045"/>
      <c r="V417" s="1045">
        <f t="shared" si="190"/>
        <v>0</v>
      </c>
      <c r="W417" s="1132" t="e">
        <f>#REF!+U417+#REF!</f>
        <v>#REF!</v>
      </c>
      <c r="X417" s="1045" t="e">
        <f t="shared" si="191"/>
        <v>#REF!</v>
      </c>
      <c r="Y417" s="1132" t="e">
        <f>W417+S417+#REF!</f>
        <v>#REF!</v>
      </c>
      <c r="Z417" s="1045" t="e">
        <f t="shared" si="192"/>
        <v>#REF!</v>
      </c>
      <c r="AA417" s="892"/>
      <c r="AB417" s="891"/>
    </row>
    <row r="418" spans="1:28" s="486" customFormat="1" ht="90">
      <c r="A418" s="1261"/>
      <c r="B418" s="1275" t="s">
        <v>2507</v>
      </c>
      <c r="C418" s="1263">
        <f>Elec.Data!K3233</f>
        <v>4116.8500000000004</v>
      </c>
      <c r="D418" s="1264"/>
      <c r="E418" s="1265"/>
      <c r="F418" s="1264"/>
      <c r="G418" s="1264"/>
      <c r="H418" s="1264"/>
      <c r="I418" s="1264"/>
      <c r="J418" s="1264"/>
      <c r="K418" s="1264"/>
      <c r="L418" s="1264"/>
      <c r="M418" s="1264"/>
      <c r="N418" s="1264"/>
      <c r="O418" s="1264"/>
      <c r="P418" s="1264"/>
      <c r="Q418" s="1264"/>
      <c r="R418" s="1264"/>
      <c r="S418" s="1266"/>
      <c r="T418" s="1131">
        <f t="shared" si="188"/>
        <v>0</v>
      </c>
      <c r="U418" s="1045"/>
      <c r="V418" s="1045">
        <f t="shared" si="190"/>
        <v>0</v>
      </c>
      <c r="W418" s="1132" t="e">
        <f>#REF!+U418+#REF!</f>
        <v>#REF!</v>
      </c>
      <c r="X418" s="1045" t="e">
        <f t="shared" si="191"/>
        <v>#REF!</v>
      </c>
      <c r="Y418" s="1132" t="e">
        <f>W418+S418+#REF!</f>
        <v>#REF!</v>
      </c>
      <c r="Z418" s="1045" t="e">
        <f t="shared" si="192"/>
        <v>#REF!</v>
      </c>
      <c r="AA418" s="892"/>
      <c r="AB418" s="891"/>
    </row>
    <row r="419" spans="1:28" s="486" customFormat="1" ht="67.5">
      <c r="A419" s="1261"/>
      <c r="B419" s="1275" t="s">
        <v>3072</v>
      </c>
      <c r="C419" s="1263">
        <f>Elec.Data!K3221</f>
        <v>3342.85</v>
      </c>
      <c r="D419" s="1264"/>
      <c r="E419" s="1265"/>
      <c r="F419" s="1264"/>
      <c r="G419" s="1264"/>
      <c r="H419" s="1264"/>
      <c r="I419" s="1264"/>
      <c r="J419" s="1264"/>
      <c r="K419" s="1264"/>
      <c r="L419" s="1264"/>
      <c r="M419" s="1264"/>
      <c r="N419" s="1264"/>
      <c r="O419" s="1264"/>
      <c r="P419" s="1264"/>
      <c r="Q419" s="1264"/>
      <c r="R419" s="1264"/>
      <c r="S419" s="1266"/>
      <c r="T419" s="1131">
        <f t="shared" si="188"/>
        <v>0</v>
      </c>
      <c r="U419" s="1045"/>
      <c r="V419" s="1045">
        <f t="shared" si="190"/>
        <v>0</v>
      </c>
      <c r="W419" s="1132" t="e">
        <f>#REF!+U419+#REF!</f>
        <v>#REF!</v>
      </c>
      <c r="X419" s="1045" t="e">
        <f t="shared" si="191"/>
        <v>#REF!</v>
      </c>
      <c r="Y419" s="1132" t="e">
        <f>W419+S419+#REF!</f>
        <v>#REF!</v>
      </c>
      <c r="Z419" s="1045" t="e">
        <f t="shared" si="192"/>
        <v>#REF!</v>
      </c>
      <c r="AA419" s="892"/>
      <c r="AB419" s="891"/>
    </row>
    <row r="420" spans="1:28" s="486" customFormat="1" ht="45">
      <c r="A420" s="1261"/>
      <c r="B420" s="1275" t="s">
        <v>3286</v>
      </c>
      <c r="C420" s="1263">
        <f>Elec.Data!K3244</f>
        <v>276.51</v>
      </c>
      <c r="D420" s="1264"/>
      <c r="E420" s="1265"/>
      <c r="F420" s="1264"/>
      <c r="G420" s="1264"/>
      <c r="H420" s="1264"/>
      <c r="I420" s="1264"/>
      <c r="J420" s="1264"/>
      <c r="K420" s="1264"/>
      <c r="L420" s="1264"/>
      <c r="M420" s="1264"/>
      <c r="N420" s="1264"/>
      <c r="O420" s="1264"/>
      <c r="P420" s="1264"/>
      <c r="Q420" s="1264"/>
      <c r="R420" s="1264"/>
      <c r="S420" s="1266"/>
      <c r="T420" s="1131">
        <f t="shared" si="188"/>
        <v>0</v>
      </c>
      <c r="U420" s="1045"/>
      <c r="V420" s="1045">
        <f t="shared" si="190"/>
        <v>0</v>
      </c>
      <c r="W420" s="1132" t="e">
        <f>#REF!+U420+#REF!</f>
        <v>#REF!</v>
      </c>
      <c r="X420" s="1045" t="e">
        <f t="shared" si="191"/>
        <v>#REF!</v>
      </c>
      <c r="Y420" s="1132" t="e">
        <f>W420+S420+#REF!</f>
        <v>#REF!</v>
      </c>
      <c r="Z420" s="1045" t="e">
        <f t="shared" si="192"/>
        <v>#REF!</v>
      </c>
      <c r="AA420" s="892"/>
      <c r="AB420" s="891"/>
    </row>
    <row r="421" spans="1:28" s="486" customFormat="1" ht="45">
      <c r="A421" s="1261"/>
      <c r="B421" s="1275" t="s">
        <v>3305</v>
      </c>
      <c r="C421" s="1263">
        <f>Elec.Data!K3262</f>
        <v>464.92</v>
      </c>
      <c r="D421" s="1264"/>
      <c r="E421" s="1265"/>
      <c r="F421" s="1264"/>
      <c r="G421" s="1264"/>
      <c r="H421" s="1264"/>
      <c r="I421" s="1264"/>
      <c r="J421" s="1264"/>
      <c r="K421" s="1264"/>
      <c r="L421" s="1264"/>
      <c r="M421" s="1264"/>
      <c r="N421" s="1264"/>
      <c r="O421" s="1264"/>
      <c r="P421" s="1264"/>
      <c r="Q421" s="1264"/>
      <c r="R421" s="1264"/>
      <c r="S421" s="1266"/>
      <c r="T421" s="1131">
        <f t="shared" si="188"/>
        <v>0</v>
      </c>
      <c r="U421" s="1045"/>
      <c r="V421" s="1045">
        <f t="shared" si="190"/>
        <v>0</v>
      </c>
      <c r="W421" s="1132" t="e">
        <f>#REF!+U421+#REF!</f>
        <v>#REF!</v>
      </c>
      <c r="X421" s="1045" t="e">
        <f t="shared" si="191"/>
        <v>#REF!</v>
      </c>
      <c r="Y421" s="1132" t="e">
        <f>W421+S421+#REF!</f>
        <v>#REF!</v>
      </c>
      <c r="Z421" s="1045" t="e">
        <f t="shared" si="192"/>
        <v>#REF!</v>
      </c>
      <c r="AA421" s="892"/>
      <c r="AB421" s="891"/>
    </row>
    <row r="422" spans="1:28" s="486" customFormat="1" ht="45">
      <c r="A422" s="1261"/>
      <c r="B422" s="1275" t="s">
        <v>2207</v>
      </c>
      <c r="C422" s="1263">
        <f>Elec.Data!K3333</f>
        <v>361.01</v>
      </c>
      <c r="D422" s="1264"/>
      <c r="E422" s="1265"/>
      <c r="F422" s="1264"/>
      <c r="G422" s="1264"/>
      <c r="H422" s="1264"/>
      <c r="I422" s="1264"/>
      <c r="J422" s="1264"/>
      <c r="K422" s="1264"/>
      <c r="L422" s="1264"/>
      <c r="M422" s="1264"/>
      <c r="N422" s="1264"/>
      <c r="O422" s="1264"/>
      <c r="P422" s="1264"/>
      <c r="Q422" s="1264"/>
      <c r="R422" s="1264"/>
      <c r="S422" s="1266"/>
      <c r="T422" s="1131">
        <f t="shared" si="188"/>
        <v>0</v>
      </c>
      <c r="U422" s="1045"/>
      <c r="V422" s="1045">
        <f t="shared" si="190"/>
        <v>0</v>
      </c>
      <c r="W422" s="1132" t="e">
        <f>#REF!+U422+#REF!</f>
        <v>#REF!</v>
      </c>
      <c r="X422" s="1045" t="e">
        <f t="shared" si="191"/>
        <v>#REF!</v>
      </c>
      <c r="Y422" s="1132" t="e">
        <f>W422+S422+#REF!</f>
        <v>#REF!</v>
      </c>
      <c r="Z422" s="1045" t="e">
        <f t="shared" si="192"/>
        <v>#REF!</v>
      </c>
      <c r="AA422" s="892"/>
      <c r="AB422" s="891"/>
    </row>
    <row r="423" spans="1:28" s="486" customFormat="1" ht="45">
      <c r="A423" s="1261"/>
      <c r="B423" s="1275" t="s">
        <v>2208</v>
      </c>
      <c r="C423" s="1263">
        <f>Elec.Data!K3348</f>
        <v>713.6</v>
      </c>
      <c r="D423" s="1264"/>
      <c r="E423" s="1265"/>
      <c r="F423" s="1264"/>
      <c r="G423" s="1264"/>
      <c r="H423" s="1264"/>
      <c r="I423" s="1264"/>
      <c r="J423" s="1264"/>
      <c r="K423" s="1264"/>
      <c r="L423" s="1264"/>
      <c r="M423" s="1264"/>
      <c r="N423" s="1264"/>
      <c r="O423" s="1264"/>
      <c r="P423" s="1264"/>
      <c r="Q423" s="1264"/>
      <c r="R423" s="1264"/>
      <c r="S423" s="1266"/>
      <c r="T423" s="1131">
        <f t="shared" si="188"/>
        <v>0</v>
      </c>
      <c r="U423" s="1045"/>
      <c r="V423" s="1045">
        <f t="shared" si="190"/>
        <v>0</v>
      </c>
      <c r="W423" s="1132" t="e">
        <f>#REF!+U423+#REF!</f>
        <v>#REF!</v>
      </c>
      <c r="X423" s="1045" t="e">
        <f t="shared" si="191"/>
        <v>#REF!</v>
      </c>
      <c r="Y423" s="1132" t="e">
        <f>W423+S423+#REF!</f>
        <v>#REF!</v>
      </c>
      <c r="Z423" s="1045" t="e">
        <f t="shared" si="192"/>
        <v>#REF!</v>
      </c>
      <c r="AA423" s="892"/>
      <c r="AB423" s="891"/>
    </row>
    <row r="424" spans="1:28" s="486" customFormat="1" ht="45">
      <c r="A424" s="1261"/>
      <c r="B424" s="1275" t="s">
        <v>2209</v>
      </c>
      <c r="C424" s="1263">
        <f>Elec.Data!K3366</f>
        <v>449.93</v>
      </c>
      <c r="D424" s="1264"/>
      <c r="E424" s="1265"/>
      <c r="F424" s="1264"/>
      <c r="G424" s="1264"/>
      <c r="H424" s="1264"/>
      <c r="I424" s="1264"/>
      <c r="J424" s="1264"/>
      <c r="K424" s="1264"/>
      <c r="L424" s="1264"/>
      <c r="M424" s="1264"/>
      <c r="N424" s="1264"/>
      <c r="O424" s="1264"/>
      <c r="P424" s="1264"/>
      <c r="Q424" s="1264"/>
      <c r="R424" s="1264"/>
      <c r="S424" s="1266"/>
      <c r="T424" s="1131">
        <f t="shared" si="188"/>
        <v>0</v>
      </c>
      <c r="U424" s="1045"/>
      <c r="V424" s="1045">
        <f t="shared" si="190"/>
        <v>0</v>
      </c>
      <c r="W424" s="1132" t="e">
        <f>#REF!+U424+#REF!</f>
        <v>#REF!</v>
      </c>
      <c r="X424" s="1045" t="e">
        <f t="shared" si="191"/>
        <v>#REF!</v>
      </c>
      <c r="Y424" s="1132" t="e">
        <f>W424+S424+#REF!</f>
        <v>#REF!</v>
      </c>
      <c r="Z424" s="1045" t="e">
        <f t="shared" si="192"/>
        <v>#REF!</v>
      </c>
      <c r="AA424" s="892"/>
      <c r="AB424" s="891"/>
    </row>
    <row r="425" spans="1:28" s="486" customFormat="1" ht="45">
      <c r="A425" s="1261"/>
      <c r="B425" s="1275" t="s">
        <v>2210</v>
      </c>
      <c r="C425" s="1263">
        <f>Elec.Data!K3379</f>
        <v>727.6</v>
      </c>
      <c r="D425" s="1264"/>
      <c r="E425" s="1265"/>
      <c r="F425" s="1264"/>
      <c r="G425" s="1264"/>
      <c r="H425" s="1264"/>
      <c r="I425" s="1264"/>
      <c r="J425" s="1264"/>
      <c r="K425" s="1264"/>
      <c r="L425" s="1264"/>
      <c r="M425" s="1264"/>
      <c r="N425" s="1264"/>
      <c r="O425" s="1264"/>
      <c r="P425" s="1264"/>
      <c r="Q425" s="1264"/>
      <c r="R425" s="1264"/>
      <c r="S425" s="1266"/>
      <c r="T425" s="1131">
        <f t="shared" si="188"/>
        <v>0</v>
      </c>
      <c r="U425" s="1045"/>
      <c r="V425" s="1045">
        <f t="shared" si="190"/>
        <v>0</v>
      </c>
      <c r="W425" s="1132" t="e">
        <f>#REF!+U425+#REF!</f>
        <v>#REF!</v>
      </c>
      <c r="X425" s="1045" t="e">
        <f t="shared" si="191"/>
        <v>#REF!</v>
      </c>
      <c r="Y425" s="1132" t="e">
        <f>W425+S425+#REF!</f>
        <v>#REF!</v>
      </c>
      <c r="Z425" s="1045" t="e">
        <f t="shared" si="192"/>
        <v>#REF!</v>
      </c>
      <c r="AA425" s="892"/>
      <c r="AB425" s="891"/>
    </row>
    <row r="426" spans="1:28" s="486" customFormat="1">
      <c r="A426" s="1261"/>
      <c r="B426" s="1275" t="s">
        <v>2329</v>
      </c>
      <c r="C426" s="1263">
        <f>Elec.Data!K3384</f>
        <v>1754</v>
      </c>
      <c r="D426" s="1264"/>
      <c r="E426" s="1265"/>
      <c r="F426" s="1264"/>
      <c r="G426" s="1264"/>
      <c r="H426" s="1264"/>
      <c r="I426" s="1264"/>
      <c r="J426" s="1264"/>
      <c r="K426" s="1264"/>
      <c r="L426" s="1264"/>
      <c r="M426" s="1264"/>
      <c r="N426" s="1264"/>
      <c r="O426" s="1264"/>
      <c r="P426" s="1264"/>
      <c r="Q426" s="1264"/>
      <c r="R426" s="1264"/>
      <c r="S426" s="1266"/>
      <c r="T426" s="1131">
        <f t="shared" si="188"/>
        <v>0</v>
      </c>
      <c r="U426" s="1045"/>
      <c r="V426" s="1045">
        <f t="shared" si="190"/>
        <v>0</v>
      </c>
      <c r="W426" s="1132" t="e">
        <f>#REF!+U426+#REF!</f>
        <v>#REF!</v>
      </c>
      <c r="X426" s="1045" t="e">
        <f t="shared" si="191"/>
        <v>#REF!</v>
      </c>
      <c r="Y426" s="1132" t="e">
        <f>W426+S426+#REF!</f>
        <v>#REF!</v>
      </c>
      <c r="Z426" s="1045" t="e">
        <f t="shared" si="192"/>
        <v>#REF!</v>
      </c>
      <c r="AA426" s="892"/>
      <c r="AB426" s="891"/>
    </row>
    <row r="427" spans="1:28" s="486" customFormat="1">
      <c r="A427" s="1261"/>
      <c r="B427" s="1275" t="s">
        <v>2317</v>
      </c>
      <c r="C427" s="1263">
        <f>Elec.Data!K3389</f>
        <v>1858</v>
      </c>
      <c r="D427" s="1264"/>
      <c r="E427" s="1265"/>
      <c r="F427" s="1264"/>
      <c r="G427" s="1264"/>
      <c r="H427" s="1264"/>
      <c r="I427" s="1264"/>
      <c r="J427" s="1264"/>
      <c r="K427" s="1264"/>
      <c r="L427" s="1264"/>
      <c r="M427" s="1264"/>
      <c r="N427" s="1264"/>
      <c r="O427" s="1264"/>
      <c r="P427" s="1264"/>
      <c r="Q427" s="1264"/>
      <c r="R427" s="1264"/>
      <c r="S427" s="1266"/>
      <c r="T427" s="1131">
        <f t="shared" si="188"/>
        <v>0</v>
      </c>
      <c r="U427" s="1045"/>
      <c r="V427" s="1045">
        <f t="shared" ref="V427:V458" si="193">U427*C427</f>
        <v>0</v>
      </c>
      <c r="W427" s="1132" t="e">
        <f>#REF!+U427+#REF!</f>
        <v>#REF!</v>
      </c>
      <c r="X427" s="1045" t="e">
        <f t="shared" si="191"/>
        <v>#REF!</v>
      </c>
      <c r="Y427" s="1132" t="e">
        <f>W427+S427+#REF!</f>
        <v>#REF!</v>
      </c>
      <c r="Z427" s="1045" t="e">
        <f t="shared" si="192"/>
        <v>#REF!</v>
      </c>
      <c r="AA427" s="892"/>
      <c r="AB427" s="891"/>
    </row>
    <row r="428" spans="1:28" s="486" customFormat="1" ht="45">
      <c r="A428" s="1261"/>
      <c r="B428" s="1275" t="s">
        <v>5676</v>
      </c>
      <c r="C428" s="1263">
        <f>Elec.Data!K3501</f>
        <v>142.29</v>
      </c>
      <c r="D428" s="1264"/>
      <c r="E428" s="1265"/>
      <c r="F428" s="1264"/>
      <c r="G428" s="1264"/>
      <c r="H428" s="1264"/>
      <c r="I428" s="1264"/>
      <c r="J428" s="1264"/>
      <c r="K428" s="1264"/>
      <c r="L428" s="1264"/>
      <c r="M428" s="1264"/>
      <c r="N428" s="1264"/>
      <c r="O428" s="1264"/>
      <c r="P428" s="1264"/>
      <c r="Q428" s="1264"/>
      <c r="R428" s="1264"/>
      <c r="S428" s="1266"/>
      <c r="T428" s="1131">
        <f t="shared" si="188"/>
        <v>0</v>
      </c>
      <c r="U428" s="1045"/>
      <c r="V428" s="1045">
        <f t="shared" si="193"/>
        <v>0</v>
      </c>
      <c r="W428" s="1132" t="e">
        <f>#REF!+U428+#REF!</f>
        <v>#REF!</v>
      </c>
      <c r="X428" s="1045" t="e">
        <f t="shared" si="191"/>
        <v>#REF!</v>
      </c>
      <c r="Y428" s="1132" t="e">
        <f>W428+S428+#REF!</f>
        <v>#REF!</v>
      </c>
      <c r="Z428" s="1045" t="e">
        <f t="shared" si="192"/>
        <v>#REF!</v>
      </c>
      <c r="AA428" s="892"/>
      <c r="AB428" s="891"/>
    </row>
    <row r="429" spans="1:28" s="486" customFormat="1" ht="45">
      <c r="A429" s="1261"/>
      <c r="B429" s="1275" t="s">
        <v>5677</v>
      </c>
      <c r="C429" s="1263">
        <f>Elec.Data!K3539</f>
        <v>250.43</v>
      </c>
      <c r="D429" s="1264"/>
      <c r="E429" s="1265"/>
      <c r="F429" s="1264"/>
      <c r="G429" s="1264"/>
      <c r="H429" s="1264"/>
      <c r="I429" s="1264"/>
      <c r="J429" s="1264"/>
      <c r="K429" s="1264"/>
      <c r="L429" s="1264"/>
      <c r="M429" s="1264"/>
      <c r="N429" s="1264"/>
      <c r="O429" s="1264"/>
      <c r="P429" s="1264"/>
      <c r="Q429" s="1264"/>
      <c r="R429" s="1264"/>
      <c r="S429" s="1266"/>
      <c r="T429" s="1131">
        <f t="shared" si="188"/>
        <v>0</v>
      </c>
      <c r="U429" s="1045"/>
      <c r="V429" s="1045">
        <f t="shared" si="193"/>
        <v>0</v>
      </c>
      <c r="W429" s="1132" t="e">
        <f>#REF!+U429+#REF!</f>
        <v>#REF!</v>
      </c>
      <c r="X429" s="1045" t="e">
        <f t="shared" si="191"/>
        <v>#REF!</v>
      </c>
      <c r="Y429" s="1132" t="e">
        <f>W429+S429+#REF!</f>
        <v>#REF!</v>
      </c>
      <c r="Z429" s="1045" t="e">
        <f t="shared" si="192"/>
        <v>#REF!</v>
      </c>
      <c r="AA429" s="892"/>
      <c r="AB429" s="891"/>
    </row>
    <row r="430" spans="1:28" s="486" customFormat="1">
      <c r="A430" s="1261"/>
      <c r="B430" s="1275" t="s">
        <v>2211</v>
      </c>
      <c r="C430" s="1263">
        <f>Elec.Data!K3547</f>
        <v>165</v>
      </c>
      <c r="D430" s="1264"/>
      <c r="E430" s="1265"/>
      <c r="F430" s="1264"/>
      <c r="G430" s="1264"/>
      <c r="H430" s="1264"/>
      <c r="I430" s="1264"/>
      <c r="J430" s="1264"/>
      <c r="K430" s="1264"/>
      <c r="L430" s="1264"/>
      <c r="M430" s="1264"/>
      <c r="N430" s="1264"/>
      <c r="O430" s="1264"/>
      <c r="P430" s="1264"/>
      <c r="Q430" s="1264"/>
      <c r="R430" s="1264"/>
      <c r="S430" s="1266"/>
      <c r="T430" s="1131">
        <f t="shared" si="188"/>
        <v>0</v>
      </c>
      <c r="U430" s="1045"/>
      <c r="V430" s="1045">
        <f t="shared" si="193"/>
        <v>0</v>
      </c>
      <c r="W430" s="1132" t="e">
        <f>#REF!+U430+#REF!</f>
        <v>#REF!</v>
      </c>
      <c r="X430" s="1045" t="e">
        <f t="shared" si="191"/>
        <v>#REF!</v>
      </c>
      <c r="Y430" s="1132" t="e">
        <f>W430+S430+#REF!</f>
        <v>#REF!</v>
      </c>
      <c r="Z430" s="1045" t="e">
        <f t="shared" si="192"/>
        <v>#REF!</v>
      </c>
      <c r="AA430" s="892"/>
      <c r="AB430" s="891"/>
    </row>
    <row r="431" spans="1:28" s="486" customFormat="1">
      <c r="A431" s="1261"/>
      <c r="B431" s="1275" t="s">
        <v>2224</v>
      </c>
      <c r="C431" s="1263">
        <f>Elec.Data!K3567</f>
        <v>245.46</v>
      </c>
      <c r="D431" s="1264"/>
      <c r="E431" s="1265"/>
      <c r="F431" s="1264"/>
      <c r="G431" s="1264"/>
      <c r="H431" s="1264"/>
      <c r="I431" s="1264"/>
      <c r="J431" s="1264"/>
      <c r="K431" s="1264"/>
      <c r="L431" s="1264"/>
      <c r="M431" s="1264"/>
      <c r="N431" s="1264"/>
      <c r="O431" s="1264"/>
      <c r="P431" s="1264"/>
      <c r="Q431" s="1264"/>
      <c r="R431" s="1264"/>
      <c r="S431" s="1266"/>
      <c r="T431" s="1131">
        <f t="shared" si="188"/>
        <v>0</v>
      </c>
      <c r="U431" s="1045"/>
      <c r="V431" s="1045">
        <f t="shared" si="193"/>
        <v>0</v>
      </c>
      <c r="W431" s="1132" t="e">
        <f>#REF!+U431+#REF!</f>
        <v>#REF!</v>
      </c>
      <c r="X431" s="1045" t="e">
        <f t="shared" ref="X431:X462" si="194">W431*C431</f>
        <v>#REF!</v>
      </c>
      <c r="Y431" s="1132" t="e">
        <f>W431+S431+#REF!</f>
        <v>#REF!</v>
      </c>
      <c r="Z431" s="1045" t="e">
        <f t="shared" si="192"/>
        <v>#REF!</v>
      </c>
      <c r="AA431" s="892"/>
      <c r="AB431" s="891"/>
    </row>
    <row r="432" spans="1:28" s="486" customFormat="1">
      <c r="A432" s="1261"/>
      <c r="B432" s="1275" t="s">
        <v>3254</v>
      </c>
      <c r="C432" s="1263">
        <f>Elec.Data!K3584</f>
        <v>150.69</v>
      </c>
      <c r="D432" s="1264"/>
      <c r="E432" s="1265"/>
      <c r="F432" s="1264"/>
      <c r="G432" s="1264"/>
      <c r="H432" s="1264"/>
      <c r="I432" s="1264"/>
      <c r="J432" s="1264"/>
      <c r="K432" s="1264"/>
      <c r="L432" s="1264"/>
      <c r="M432" s="1264"/>
      <c r="N432" s="1264"/>
      <c r="O432" s="1264"/>
      <c r="P432" s="1264"/>
      <c r="Q432" s="1264"/>
      <c r="R432" s="1264"/>
      <c r="S432" s="1266"/>
      <c r="T432" s="1131">
        <f t="shared" ref="T432:T491" si="195">S432*C432</f>
        <v>0</v>
      </c>
      <c r="U432" s="1045"/>
      <c r="V432" s="1045">
        <f t="shared" si="193"/>
        <v>0</v>
      </c>
      <c r="W432" s="1132" t="e">
        <f>#REF!+U432+#REF!</f>
        <v>#REF!</v>
      </c>
      <c r="X432" s="1045" t="e">
        <f t="shared" si="194"/>
        <v>#REF!</v>
      </c>
      <c r="Y432" s="1132" t="e">
        <f>W432+S432+#REF!</f>
        <v>#REF!</v>
      </c>
      <c r="Z432" s="1045" t="e">
        <f t="shared" ref="Z432:Z463" si="196">Y432*C432</f>
        <v>#REF!</v>
      </c>
      <c r="AA432" s="892"/>
      <c r="AB432" s="891"/>
    </row>
    <row r="433" spans="1:28" s="486" customFormat="1">
      <c r="A433" s="1261"/>
      <c r="B433" s="1275" t="s">
        <v>2748</v>
      </c>
      <c r="C433" s="1263">
        <f>Elec.Data!K3619</f>
        <v>2092</v>
      </c>
      <c r="D433" s="1264"/>
      <c r="E433" s="1265"/>
      <c r="F433" s="1264"/>
      <c r="G433" s="1264"/>
      <c r="H433" s="1264"/>
      <c r="I433" s="1264"/>
      <c r="J433" s="1264"/>
      <c r="K433" s="1264"/>
      <c r="L433" s="1264"/>
      <c r="M433" s="1264"/>
      <c r="N433" s="1264"/>
      <c r="O433" s="1264"/>
      <c r="P433" s="1264"/>
      <c r="Q433" s="1264"/>
      <c r="R433" s="1264"/>
      <c r="S433" s="1266"/>
      <c r="T433" s="1131">
        <f t="shared" si="195"/>
        <v>0</v>
      </c>
      <c r="U433" s="1045"/>
      <c r="V433" s="1045">
        <f t="shared" si="193"/>
        <v>0</v>
      </c>
      <c r="W433" s="1132" t="e">
        <f>#REF!+U433+#REF!</f>
        <v>#REF!</v>
      </c>
      <c r="X433" s="1045" t="e">
        <f t="shared" si="194"/>
        <v>#REF!</v>
      </c>
      <c r="Y433" s="1132" t="e">
        <f>W433+S433+#REF!</f>
        <v>#REF!</v>
      </c>
      <c r="Z433" s="1045" t="e">
        <f t="shared" si="196"/>
        <v>#REF!</v>
      </c>
      <c r="AA433" s="892"/>
      <c r="AB433" s="891"/>
    </row>
    <row r="434" spans="1:28" s="486" customFormat="1" ht="112.5">
      <c r="A434" s="1261"/>
      <c r="B434" s="1275" t="s">
        <v>3029</v>
      </c>
      <c r="C434" s="1263">
        <f>Elec.Data!K3650</f>
        <v>2207</v>
      </c>
      <c r="D434" s="1264"/>
      <c r="E434" s="1265"/>
      <c r="F434" s="1264"/>
      <c r="G434" s="1264"/>
      <c r="H434" s="1264"/>
      <c r="I434" s="1264"/>
      <c r="J434" s="1264"/>
      <c r="K434" s="1264"/>
      <c r="L434" s="1264"/>
      <c r="M434" s="1264"/>
      <c r="N434" s="1264"/>
      <c r="O434" s="1264"/>
      <c r="P434" s="1264"/>
      <c r="Q434" s="1264"/>
      <c r="R434" s="1264"/>
      <c r="S434" s="1266"/>
      <c r="T434" s="1131">
        <f t="shared" si="195"/>
        <v>0</v>
      </c>
      <c r="U434" s="1045"/>
      <c r="V434" s="1045">
        <f t="shared" si="193"/>
        <v>0</v>
      </c>
      <c r="W434" s="1132" t="e">
        <f>#REF!+U434+#REF!</f>
        <v>#REF!</v>
      </c>
      <c r="X434" s="1045" t="e">
        <f t="shared" si="194"/>
        <v>#REF!</v>
      </c>
      <c r="Y434" s="1132" t="e">
        <f>W434+S434+#REF!</f>
        <v>#REF!</v>
      </c>
      <c r="Z434" s="1045" t="e">
        <f t="shared" si="196"/>
        <v>#REF!</v>
      </c>
      <c r="AA434" s="892"/>
      <c r="AB434" s="891"/>
    </row>
    <row r="435" spans="1:28" s="486" customFormat="1" ht="45">
      <c r="A435" s="1261"/>
      <c r="B435" s="1276" t="s">
        <v>1068</v>
      </c>
      <c r="C435" s="1263">
        <f>Elec.Data!K3676</f>
        <v>5044.38</v>
      </c>
      <c r="D435" s="1264"/>
      <c r="E435" s="1265"/>
      <c r="F435" s="1264"/>
      <c r="G435" s="1264"/>
      <c r="H435" s="1264"/>
      <c r="I435" s="1264"/>
      <c r="J435" s="1264"/>
      <c r="K435" s="1264"/>
      <c r="L435" s="1264"/>
      <c r="M435" s="1264"/>
      <c r="N435" s="1264"/>
      <c r="O435" s="1264"/>
      <c r="P435" s="1264"/>
      <c r="Q435" s="1264"/>
      <c r="R435" s="1264"/>
      <c r="S435" s="1266"/>
      <c r="T435" s="1131">
        <f t="shared" si="195"/>
        <v>0</v>
      </c>
      <c r="U435" s="1045"/>
      <c r="V435" s="1045">
        <f t="shared" si="193"/>
        <v>0</v>
      </c>
      <c r="W435" s="1132" t="e">
        <f>#REF!+U435+#REF!</f>
        <v>#REF!</v>
      </c>
      <c r="X435" s="1045" t="e">
        <f t="shared" si="194"/>
        <v>#REF!</v>
      </c>
      <c r="Y435" s="1132" t="e">
        <f>W435+S435+#REF!</f>
        <v>#REF!</v>
      </c>
      <c r="Z435" s="1045" t="e">
        <f t="shared" si="196"/>
        <v>#REF!</v>
      </c>
      <c r="AA435" s="892"/>
      <c r="AB435" s="891"/>
    </row>
    <row r="436" spans="1:28" s="486" customFormat="1" ht="45">
      <c r="A436" s="1261"/>
      <c r="B436" s="1276" t="s">
        <v>2212</v>
      </c>
      <c r="C436" s="1263">
        <f>Elec.Data!K3695</f>
        <v>89.94</v>
      </c>
      <c r="D436" s="1264"/>
      <c r="E436" s="1265"/>
      <c r="F436" s="1264"/>
      <c r="G436" s="1264"/>
      <c r="H436" s="1264"/>
      <c r="I436" s="1264"/>
      <c r="J436" s="1264"/>
      <c r="K436" s="1264"/>
      <c r="L436" s="1264"/>
      <c r="M436" s="1264"/>
      <c r="N436" s="1264"/>
      <c r="O436" s="1264"/>
      <c r="P436" s="1264"/>
      <c r="Q436" s="1264"/>
      <c r="R436" s="1264"/>
      <c r="S436" s="1266"/>
      <c r="T436" s="1131">
        <f t="shared" si="195"/>
        <v>0</v>
      </c>
      <c r="U436" s="1045"/>
      <c r="V436" s="1045">
        <f t="shared" si="193"/>
        <v>0</v>
      </c>
      <c r="W436" s="1132" t="e">
        <f>#REF!+U436+#REF!</f>
        <v>#REF!</v>
      </c>
      <c r="X436" s="1045" t="e">
        <f t="shared" si="194"/>
        <v>#REF!</v>
      </c>
      <c r="Y436" s="1132" t="e">
        <f>W436+S436+#REF!</f>
        <v>#REF!</v>
      </c>
      <c r="Z436" s="1045" t="e">
        <f t="shared" si="196"/>
        <v>#REF!</v>
      </c>
      <c r="AA436" s="892"/>
      <c r="AB436" s="891"/>
    </row>
    <row r="437" spans="1:28" s="486" customFormat="1">
      <c r="A437" s="1261"/>
      <c r="B437" s="1276" t="s">
        <v>2552</v>
      </c>
      <c r="C437" s="1263">
        <f>Elec.Data!K3702</f>
        <v>54</v>
      </c>
      <c r="D437" s="1264"/>
      <c r="E437" s="1265"/>
      <c r="F437" s="1264"/>
      <c r="G437" s="1264"/>
      <c r="H437" s="1264"/>
      <c r="I437" s="1264"/>
      <c r="J437" s="1264"/>
      <c r="K437" s="1264"/>
      <c r="L437" s="1264"/>
      <c r="M437" s="1264"/>
      <c r="N437" s="1264"/>
      <c r="O437" s="1264"/>
      <c r="P437" s="1264"/>
      <c r="Q437" s="1264"/>
      <c r="R437" s="1264"/>
      <c r="S437" s="1266"/>
      <c r="T437" s="1131">
        <f t="shared" si="195"/>
        <v>0</v>
      </c>
      <c r="U437" s="1045"/>
      <c r="V437" s="1045">
        <f t="shared" si="193"/>
        <v>0</v>
      </c>
      <c r="W437" s="1132" t="e">
        <f>#REF!+U437+#REF!</f>
        <v>#REF!</v>
      </c>
      <c r="X437" s="1045" t="e">
        <f t="shared" si="194"/>
        <v>#REF!</v>
      </c>
      <c r="Y437" s="1132" t="e">
        <f>W437+S437+#REF!</f>
        <v>#REF!</v>
      </c>
      <c r="Z437" s="1045" t="e">
        <f t="shared" si="196"/>
        <v>#REF!</v>
      </c>
      <c r="AA437" s="892"/>
      <c r="AB437" s="891"/>
    </row>
    <row r="438" spans="1:28" s="486" customFormat="1" ht="67.5">
      <c r="A438" s="1261"/>
      <c r="B438" s="1276" t="s">
        <v>2213</v>
      </c>
      <c r="C438" s="1263">
        <f>Elec.Data!K3727</f>
        <v>6840.4</v>
      </c>
      <c r="D438" s="1264"/>
      <c r="E438" s="1265"/>
      <c r="F438" s="1264"/>
      <c r="G438" s="1264"/>
      <c r="H438" s="1264"/>
      <c r="I438" s="1264"/>
      <c r="J438" s="1264"/>
      <c r="K438" s="1264"/>
      <c r="L438" s="1264"/>
      <c r="M438" s="1264"/>
      <c r="N438" s="1264"/>
      <c r="O438" s="1264"/>
      <c r="P438" s="1264"/>
      <c r="Q438" s="1264"/>
      <c r="R438" s="1264"/>
      <c r="S438" s="1266"/>
      <c r="T438" s="1131">
        <f t="shared" si="195"/>
        <v>0</v>
      </c>
      <c r="U438" s="1045"/>
      <c r="V438" s="1045">
        <f t="shared" si="193"/>
        <v>0</v>
      </c>
      <c r="W438" s="1132" t="e">
        <f>#REF!+U438+#REF!</f>
        <v>#REF!</v>
      </c>
      <c r="X438" s="1045" t="e">
        <f t="shared" si="194"/>
        <v>#REF!</v>
      </c>
      <c r="Y438" s="1132" t="e">
        <f>W438+S438+#REF!</f>
        <v>#REF!</v>
      </c>
      <c r="Z438" s="1045" t="e">
        <f t="shared" si="196"/>
        <v>#REF!</v>
      </c>
      <c r="AA438" s="892"/>
      <c r="AB438" s="891"/>
    </row>
    <row r="439" spans="1:28" s="486" customFormat="1">
      <c r="A439" s="1261"/>
      <c r="B439" s="1276" t="s">
        <v>2354</v>
      </c>
      <c r="C439" s="1263">
        <f>Elec.Data!K3774</f>
        <v>582.49</v>
      </c>
      <c r="D439" s="1264"/>
      <c r="E439" s="1265"/>
      <c r="F439" s="1264"/>
      <c r="G439" s="1264"/>
      <c r="H439" s="1264"/>
      <c r="I439" s="1264"/>
      <c r="J439" s="1264"/>
      <c r="K439" s="1264"/>
      <c r="L439" s="1264"/>
      <c r="M439" s="1264"/>
      <c r="N439" s="1264"/>
      <c r="O439" s="1264"/>
      <c r="P439" s="1264"/>
      <c r="Q439" s="1264"/>
      <c r="R439" s="1264"/>
      <c r="S439" s="1266"/>
      <c r="T439" s="1131">
        <f t="shared" si="195"/>
        <v>0</v>
      </c>
      <c r="U439" s="1045"/>
      <c r="V439" s="1045">
        <f t="shared" si="193"/>
        <v>0</v>
      </c>
      <c r="W439" s="1132" t="e">
        <f>#REF!+U439+#REF!</f>
        <v>#REF!</v>
      </c>
      <c r="X439" s="1045" t="e">
        <f t="shared" si="194"/>
        <v>#REF!</v>
      </c>
      <c r="Y439" s="1132" t="e">
        <f>W439+S439+#REF!</f>
        <v>#REF!</v>
      </c>
      <c r="Z439" s="1045" t="e">
        <f t="shared" si="196"/>
        <v>#REF!</v>
      </c>
      <c r="AA439" s="892"/>
      <c r="AB439" s="891"/>
    </row>
    <row r="440" spans="1:28" s="486" customFormat="1" ht="45">
      <c r="A440" s="1261"/>
      <c r="B440" s="1277" t="s">
        <v>5678</v>
      </c>
      <c r="C440" s="1263">
        <f>Elec.Data!K3824</f>
        <v>830.01</v>
      </c>
      <c r="D440" s="1264"/>
      <c r="E440" s="1265"/>
      <c r="F440" s="1264"/>
      <c r="G440" s="1264"/>
      <c r="H440" s="1264"/>
      <c r="I440" s="1264"/>
      <c r="J440" s="1264"/>
      <c r="K440" s="1264"/>
      <c r="L440" s="1264"/>
      <c r="M440" s="1264"/>
      <c r="N440" s="1264"/>
      <c r="O440" s="1264"/>
      <c r="P440" s="1264"/>
      <c r="Q440" s="1264"/>
      <c r="R440" s="1264"/>
      <c r="S440" s="1266"/>
      <c r="T440" s="1131">
        <f t="shared" si="195"/>
        <v>0</v>
      </c>
      <c r="U440" s="1045"/>
      <c r="V440" s="1045">
        <f t="shared" si="193"/>
        <v>0</v>
      </c>
      <c r="W440" s="1132" t="e">
        <f>#REF!+U440+#REF!</f>
        <v>#REF!</v>
      </c>
      <c r="X440" s="1045" t="e">
        <f t="shared" si="194"/>
        <v>#REF!</v>
      </c>
      <c r="Y440" s="1132" t="e">
        <f>W440+S440+#REF!</f>
        <v>#REF!</v>
      </c>
      <c r="Z440" s="1045" t="e">
        <f t="shared" si="196"/>
        <v>#REF!</v>
      </c>
      <c r="AA440" s="892"/>
      <c r="AB440" s="891"/>
    </row>
    <row r="441" spans="1:28" s="486" customFormat="1" ht="45">
      <c r="A441" s="1261"/>
      <c r="B441" s="1276" t="s">
        <v>5679</v>
      </c>
      <c r="C441" s="1263">
        <f>Elec.Data!K3850</f>
        <v>833.16</v>
      </c>
      <c r="D441" s="1264"/>
      <c r="E441" s="1265"/>
      <c r="F441" s="1264"/>
      <c r="G441" s="1264"/>
      <c r="H441" s="1264"/>
      <c r="I441" s="1264"/>
      <c r="J441" s="1264"/>
      <c r="K441" s="1264"/>
      <c r="L441" s="1264"/>
      <c r="M441" s="1264"/>
      <c r="N441" s="1264"/>
      <c r="O441" s="1264"/>
      <c r="P441" s="1264"/>
      <c r="Q441" s="1264"/>
      <c r="R441" s="1264"/>
      <c r="S441" s="1266"/>
      <c r="T441" s="1131">
        <f t="shared" si="195"/>
        <v>0</v>
      </c>
      <c r="U441" s="1045"/>
      <c r="V441" s="1045">
        <f t="shared" si="193"/>
        <v>0</v>
      </c>
      <c r="W441" s="1132" t="e">
        <f>#REF!+U441+#REF!</f>
        <v>#REF!</v>
      </c>
      <c r="X441" s="1045" t="e">
        <f t="shared" si="194"/>
        <v>#REF!</v>
      </c>
      <c r="Y441" s="1132" t="e">
        <f>W441+S441+#REF!</f>
        <v>#REF!</v>
      </c>
      <c r="Z441" s="1045" t="e">
        <f t="shared" si="196"/>
        <v>#REF!</v>
      </c>
      <c r="AA441" s="892"/>
      <c r="AB441" s="891"/>
    </row>
    <row r="442" spans="1:28" s="486" customFormat="1" ht="67.5">
      <c r="A442" s="1261"/>
      <c r="B442" s="1277" t="s">
        <v>5680</v>
      </c>
      <c r="C442" s="1263">
        <f>Elec.Data!K3866</f>
        <v>871.29</v>
      </c>
      <c r="D442" s="1264"/>
      <c r="E442" s="1265"/>
      <c r="F442" s="1264"/>
      <c r="G442" s="1264"/>
      <c r="H442" s="1264"/>
      <c r="I442" s="1264"/>
      <c r="J442" s="1264"/>
      <c r="K442" s="1264"/>
      <c r="L442" s="1264"/>
      <c r="M442" s="1264"/>
      <c r="N442" s="1264"/>
      <c r="O442" s="1264"/>
      <c r="P442" s="1264"/>
      <c r="Q442" s="1264"/>
      <c r="R442" s="1264"/>
      <c r="S442" s="1266"/>
      <c r="T442" s="1131">
        <f t="shared" si="195"/>
        <v>0</v>
      </c>
      <c r="U442" s="1045"/>
      <c r="V442" s="1045">
        <f t="shared" si="193"/>
        <v>0</v>
      </c>
      <c r="W442" s="1132" t="e">
        <f>#REF!+U442+#REF!</f>
        <v>#REF!</v>
      </c>
      <c r="X442" s="1045" t="e">
        <f t="shared" si="194"/>
        <v>#REF!</v>
      </c>
      <c r="Y442" s="1132" t="e">
        <f>W442+S442+#REF!</f>
        <v>#REF!</v>
      </c>
      <c r="Z442" s="1045" t="e">
        <f t="shared" si="196"/>
        <v>#REF!</v>
      </c>
      <c r="AA442" s="892"/>
      <c r="AB442" s="891"/>
    </row>
    <row r="443" spans="1:28" s="486" customFormat="1" ht="45">
      <c r="A443" s="1261"/>
      <c r="B443" s="1277" t="s">
        <v>5681</v>
      </c>
      <c r="C443" s="1263">
        <f>Elec.Data!K3888</f>
        <v>917.36</v>
      </c>
      <c r="D443" s="1264"/>
      <c r="E443" s="1265"/>
      <c r="F443" s="1264"/>
      <c r="G443" s="1264"/>
      <c r="H443" s="1264"/>
      <c r="I443" s="1264"/>
      <c r="J443" s="1264"/>
      <c r="K443" s="1264"/>
      <c r="L443" s="1264"/>
      <c r="M443" s="1264"/>
      <c r="N443" s="1264"/>
      <c r="O443" s="1264"/>
      <c r="P443" s="1264"/>
      <c r="Q443" s="1264"/>
      <c r="R443" s="1264"/>
      <c r="S443" s="1266"/>
      <c r="T443" s="1131">
        <f t="shared" si="195"/>
        <v>0</v>
      </c>
      <c r="U443" s="1045"/>
      <c r="V443" s="1045">
        <f t="shared" si="193"/>
        <v>0</v>
      </c>
      <c r="W443" s="1132" t="e">
        <f>#REF!+U443+#REF!</f>
        <v>#REF!</v>
      </c>
      <c r="X443" s="1045" t="e">
        <f t="shared" si="194"/>
        <v>#REF!</v>
      </c>
      <c r="Y443" s="1132" t="e">
        <f>W443+S443+#REF!</f>
        <v>#REF!</v>
      </c>
      <c r="Z443" s="1045" t="e">
        <f t="shared" si="196"/>
        <v>#REF!</v>
      </c>
      <c r="AA443" s="892"/>
      <c r="AB443" s="891"/>
    </row>
    <row r="444" spans="1:28" s="486" customFormat="1" ht="67.5">
      <c r="A444" s="1261"/>
      <c r="B444" s="1277" t="s">
        <v>5682</v>
      </c>
      <c r="C444" s="1263">
        <f>Elec.Data!K3908</f>
        <v>1963.89</v>
      </c>
      <c r="D444" s="1264"/>
      <c r="E444" s="1265"/>
      <c r="F444" s="1264"/>
      <c r="G444" s="1264"/>
      <c r="H444" s="1264"/>
      <c r="I444" s="1264"/>
      <c r="J444" s="1264"/>
      <c r="K444" s="1264"/>
      <c r="L444" s="1264"/>
      <c r="M444" s="1264"/>
      <c r="N444" s="1264"/>
      <c r="O444" s="1264"/>
      <c r="P444" s="1264"/>
      <c r="Q444" s="1264"/>
      <c r="R444" s="1264"/>
      <c r="S444" s="1266"/>
      <c r="T444" s="1131">
        <f t="shared" si="195"/>
        <v>0</v>
      </c>
      <c r="U444" s="1045"/>
      <c r="V444" s="1045">
        <f t="shared" si="193"/>
        <v>0</v>
      </c>
      <c r="W444" s="1132" t="e">
        <f>#REF!+U444+#REF!</f>
        <v>#REF!</v>
      </c>
      <c r="X444" s="1045" t="e">
        <f t="shared" si="194"/>
        <v>#REF!</v>
      </c>
      <c r="Y444" s="1132" t="e">
        <f>W444+S444+#REF!</f>
        <v>#REF!</v>
      </c>
      <c r="Z444" s="1045" t="e">
        <f t="shared" si="196"/>
        <v>#REF!</v>
      </c>
      <c r="AA444" s="892"/>
      <c r="AB444" s="891"/>
    </row>
    <row r="445" spans="1:28" s="486" customFormat="1" ht="45">
      <c r="A445" s="1261"/>
      <c r="B445" s="1277" t="s">
        <v>5683</v>
      </c>
      <c r="C445" s="1263">
        <f>Elec.Data!K3927</f>
        <v>638.45000000000005</v>
      </c>
      <c r="D445" s="1264"/>
      <c r="E445" s="1265"/>
      <c r="F445" s="1264"/>
      <c r="G445" s="1264"/>
      <c r="H445" s="1264"/>
      <c r="I445" s="1264"/>
      <c r="J445" s="1264"/>
      <c r="K445" s="1264"/>
      <c r="L445" s="1264"/>
      <c r="M445" s="1264"/>
      <c r="N445" s="1264"/>
      <c r="O445" s="1264"/>
      <c r="P445" s="1264"/>
      <c r="Q445" s="1264"/>
      <c r="R445" s="1264"/>
      <c r="S445" s="1266"/>
      <c r="T445" s="1131">
        <f t="shared" si="195"/>
        <v>0</v>
      </c>
      <c r="U445" s="1045"/>
      <c r="V445" s="1045">
        <f t="shared" si="193"/>
        <v>0</v>
      </c>
      <c r="W445" s="1132" t="e">
        <f>#REF!+U445+#REF!</f>
        <v>#REF!</v>
      </c>
      <c r="X445" s="1045" t="e">
        <f t="shared" si="194"/>
        <v>#REF!</v>
      </c>
      <c r="Y445" s="1132" t="e">
        <f>W445+S445+#REF!</f>
        <v>#REF!</v>
      </c>
      <c r="Z445" s="1045" t="e">
        <f t="shared" si="196"/>
        <v>#REF!</v>
      </c>
      <c r="AA445" s="892"/>
      <c r="AB445" s="891"/>
    </row>
    <row r="446" spans="1:28" s="486" customFormat="1" ht="45">
      <c r="A446" s="1261"/>
      <c r="B446" s="1277" t="s">
        <v>5684</v>
      </c>
      <c r="C446" s="1263">
        <f>Elec.Data!K3951</f>
        <v>119.23</v>
      </c>
      <c r="D446" s="1264"/>
      <c r="E446" s="1265"/>
      <c r="F446" s="1264"/>
      <c r="G446" s="1264"/>
      <c r="H446" s="1264"/>
      <c r="I446" s="1264"/>
      <c r="J446" s="1264"/>
      <c r="K446" s="1264"/>
      <c r="L446" s="1264"/>
      <c r="M446" s="1264"/>
      <c r="N446" s="1264"/>
      <c r="O446" s="1264"/>
      <c r="P446" s="1264"/>
      <c r="Q446" s="1264"/>
      <c r="R446" s="1264"/>
      <c r="S446" s="1266"/>
      <c r="T446" s="1131">
        <f t="shared" si="195"/>
        <v>0</v>
      </c>
      <c r="U446" s="1045"/>
      <c r="V446" s="1045">
        <f t="shared" si="193"/>
        <v>0</v>
      </c>
      <c r="W446" s="1132" t="e">
        <f>#REF!+U446+#REF!</f>
        <v>#REF!</v>
      </c>
      <c r="X446" s="1045" t="e">
        <f t="shared" si="194"/>
        <v>#REF!</v>
      </c>
      <c r="Y446" s="1132" t="e">
        <f>W446+S446+#REF!</f>
        <v>#REF!</v>
      </c>
      <c r="Z446" s="1045" t="e">
        <f t="shared" si="196"/>
        <v>#REF!</v>
      </c>
      <c r="AA446" s="892"/>
      <c r="AB446" s="891"/>
    </row>
    <row r="447" spans="1:28" s="486" customFormat="1" ht="45">
      <c r="A447" s="1261"/>
      <c r="B447" s="1276" t="s">
        <v>5685</v>
      </c>
      <c r="C447" s="1263">
        <f>Elec.Data!K3962</f>
        <v>136.43</v>
      </c>
      <c r="D447" s="1264"/>
      <c r="E447" s="1265"/>
      <c r="F447" s="1264"/>
      <c r="G447" s="1264"/>
      <c r="H447" s="1264"/>
      <c r="I447" s="1264"/>
      <c r="J447" s="1264"/>
      <c r="K447" s="1264"/>
      <c r="L447" s="1264"/>
      <c r="M447" s="1264"/>
      <c r="N447" s="1264"/>
      <c r="O447" s="1264"/>
      <c r="P447" s="1264"/>
      <c r="Q447" s="1264"/>
      <c r="R447" s="1264"/>
      <c r="S447" s="1266"/>
      <c r="T447" s="1131">
        <f t="shared" si="195"/>
        <v>0</v>
      </c>
      <c r="U447" s="1045"/>
      <c r="V447" s="1045">
        <f t="shared" si="193"/>
        <v>0</v>
      </c>
      <c r="W447" s="1132" t="e">
        <f>#REF!+U447+#REF!</f>
        <v>#REF!</v>
      </c>
      <c r="X447" s="1045" t="e">
        <f t="shared" si="194"/>
        <v>#REF!</v>
      </c>
      <c r="Y447" s="1132" t="e">
        <f>W447+S447+#REF!</f>
        <v>#REF!</v>
      </c>
      <c r="Z447" s="1045" t="e">
        <f t="shared" si="196"/>
        <v>#REF!</v>
      </c>
      <c r="AA447" s="892"/>
      <c r="AB447" s="891"/>
    </row>
    <row r="448" spans="1:28" s="486" customFormat="1">
      <c r="A448" s="1261"/>
      <c r="B448" s="1276" t="s">
        <v>2831</v>
      </c>
      <c r="C448" s="1263">
        <f>Data!R387</f>
        <v>19.96</v>
      </c>
      <c r="D448" s="1264"/>
      <c r="E448" s="1265"/>
      <c r="F448" s="1264"/>
      <c r="G448" s="1264"/>
      <c r="H448" s="1264"/>
      <c r="I448" s="1264"/>
      <c r="J448" s="1264"/>
      <c r="K448" s="1264"/>
      <c r="L448" s="1264"/>
      <c r="M448" s="1264"/>
      <c r="N448" s="1264"/>
      <c r="O448" s="1264"/>
      <c r="P448" s="1264"/>
      <c r="Q448" s="1264"/>
      <c r="R448" s="1264"/>
      <c r="S448" s="1266"/>
      <c r="T448" s="1131">
        <f t="shared" si="195"/>
        <v>0</v>
      </c>
      <c r="U448" s="1045"/>
      <c r="V448" s="1045">
        <f t="shared" si="193"/>
        <v>0</v>
      </c>
      <c r="W448" s="1132" t="e">
        <f>#REF!+U448+#REF!</f>
        <v>#REF!</v>
      </c>
      <c r="X448" s="1045" t="e">
        <f t="shared" si="194"/>
        <v>#REF!</v>
      </c>
      <c r="Y448" s="1132" t="e">
        <f>W448+S448+#REF!</f>
        <v>#REF!</v>
      </c>
      <c r="Z448" s="1045" t="e">
        <f t="shared" si="196"/>
        <v>#REF!</v>
      </c>
      <c r="AA448" s="892"/>
      <c r="AB448" s="891"/>
    </row>
    <row r="449" spans="1:28" s="486" customFormat="1">
      <c r="A449" s="1261"/>
      <c r="B449" s="1276" t="s">
        <v>522</v>
      </c>
      <c r="C449" s="1263">
        <f>C448+C451</f>
        <v>23.61</v>
      </c>
      <c r="D449" s="1264"/>
      <c r="E449" s="1265"/>
      <c r="F449" s="1264"/>
      <c r="G449" s="1264"/>
      <c r="H449" s="1264"/>
      <c r="I449" s="1264"/>
      <c r="J449" s="1264"/>
      <c r="K449" s="1264"/>
      <c r="L449" s="1264"/>
      <c r="M449" s="1264"/>
      <c r="N449" s="1264"/>
      <c r="O449" s="1264"/>
      <c r="P449" s="1264"/>
      <c r="Q449" s="1264"/>
      <c r="R449" s="1264"/>
      <c r="S449" s="1266"/>
      <c r="T449" s="1131">
        <f t="shared" si="195"/>
        <v>0</v>
      </c>
      <c r="U449" s="1045"/>
      <c r="V449" s="1045">
        <f t="shared" si="193"/>
        <v>0</v>
      </c>
      <c r="W449" s="1132" t="e">
        <f>#REF!+U449+#REF!</f>
        <v>#REF!</v>
      </c>
      <c r="X449" s="1045" t="e">
        <f t="shared" si="194"/>
        <v>#REF!</v>
      </c>
      <c r="Y449" s="1132" t="e">
        <f>W449+S449+#REF!</f>
        <v>#REF!</v>
      </c>
      <c r="Z449" s="1045" t="e">
        <f t="shared" si="196"/>
        <v>#REF!</v>
      </c>
      <c r="AA449" s="892"/>
      <c r="AB449" s="891"/>
    </row>
    <row r="450" spans="1:28" s="486" customFormat="1">
      <c r="A450" s="1261"/>
      <c r="B450" s="1276" t="s">
        <v>2826</v>
      </c>
      <c r="C450" s="1263">
        <f>Data!R401</f>
        <v>29.07</v>
      </c>
      <c r="D450" s="1264"/>
      <c r="E450" s="1265"/>
      <c r="F450" s="1264"/>
      <c r="G450" s="1264"/>
      <c r="H450" s="1264"/>
      <c r="I450" s="1264"/>
      <c r="J450" s="1264"/>
      <c r="K450" s="1264"/>
      <c r="L450" s="1264"/>
      <c r="M450" s="1264"/>
      <c r="N450" s="1264"/>
      <c r="O450" s="1264"/>
      <c r="P450" s="1264"/>
      <c r="Q450" s="1264"/>
      <c r="R450" s="1264"/>
      <c r="S450" s="1266"/>
      <c r="T450" s="1131">
        <f t="shared" si="195"/>
        <v>0</v>
      </c>
      <c r="U450" s="1045"/>
      <c r="V450" s="1045">
        <f t="shared" si="193"/>
        <v>0</v>
      </c>
      <c r="W450" s="1132" t="e">
        <f>#REF!+U450+#REF!</f>
        <v>#REF!</v>
      </c>
      <c r="X450" s="1045" t="e">
        <f t="shared" si="194"/>
        <v>#REF!</v>
      </c>
      <c r="Y450" s="1132" t="e">
        <f>W450+S450+#REF!</f>
        <v>#REF!</v>
      </c>
      <c r="Z450" s="1045" t="e">
        <f t="shared" si="196"/>
        <v>#REF!</v>
      </c>
      <c r="AA450" s="892"/>
      <c r="AB450" s="891"/>
    </row>
    <row r="451" spans="1:28" s="486" customFormat="1">
      <c r="A451" s="1261"/>
      <c r="B451" s="1276" t="s">
        <v>2832</v>
      </c>
      <c r="C451" s="1263">
        <f>Data!I3175</f>
        <v>3.65</v>
      </c>
      <c r="D451" s="1264"/>
      <c r="E451" s="1265"/>
      <c r="F451" s="1264"/>
      <c r="G451" s="1264"/>
      <c r="H451" s="1264"/>
      <c r="I451" s="1264"/>
      <c r="J451" s="1264"/>
      <c r="K451" s="1264"/>
      <c r="L451" s="1264"/>
      <c r="M451" s="1264"/>
      <c r="N451" s="1264"/>
      <c r="O451" s="1264"/>
      <c r="P451" s="1264"/>
      <c r="Q451" s="1264"/>
      <c r="R451" s="1264"/>
      <c r="S451" s="1266"/>
      <c r="T451" s="1131">
        <f t="shared" si="195"/>
        <v>0</v>
      </c>
      <c r="U451" s="1045"/>
      <c r="V451" s="1045">
        <f t="shared" si="193"/>
        <v>0</v>
      </c>
      <c r="W451" s="1132" t="e">
        <f>#REF!+U451+#REF!</f>
        <v>#REF!</v>
      </c>
      <c r="X451" s="1045" t="e">
        <f t="shared" si="194"/>
        <v>#REF!</v>
      </c>
      <c r="Y451" s="1132" t="e">
        <f>W451+S451+#REF!</f>
        <v>#REF!</v>
      </c>
      <c r="Z451" s="1045" t="e">
        <f t="shared" si="196"/>
        <v>#REF!</v>
      </c>
      <c r="AA451" s="892"/>
      <c r="AB451" s="891"/>
    </row>
    <row r="452" spans="1:28" s="486" customFormat="1">
      <c r="A452" s="1261"/>
      <c r="B452" s="1276" t="s">
        <v>2833</v>
      </c>
      <c r="C452" s="1263">
        <f>Data!I3201</f>
        <v>7.9</v>
      </c>
      <c r="D452" s="1264"/>
      <c r="E452" s="1265"/>
      <c r="F452" s="1264"/>
      <c r="G452" s="1264"/>
      <c r="H452" s="1264"/>
      <c r="I452" s="1264"/>
      <c r="J452" s="1264"/>
      <c r="K452" s="1264"/>
      <c r="L452" s="1264"/>
      <c r="M452" s="1264"/>
      <c r="N452" s="1264"/>
      <c r="O452" s="1264"/>
      <c r="P452" s="1264"/>
      <c r="Q452" s="1264"/>
      <c r="R452" s="1264"/>
      <c r="S452" s="1266"/>
      <c r="T452" s="1131">
        <f t="shared" si="195"/>
        <v>0</v>
      </c>
      <c r="U452" s="1045"/>
      <c r="V452" s="1045">
        <f t="shared" si="193"/>
        <v>0</v>
      </c>
      <c r="W452" s="1132" t="e">
        <f>#REF!+U452+#REF!</f>
        <v>#REF!</v>
      </c>
      <c r="X452" s="1045" t="e">
        <f t="shared" si="194"/>
        <v>#REF!</v>
      </c>
      <c r="Y452" s="1132" t="e">
        <f>W452+S452+#REF!</f>
        <v>#REF!</v>
      </c>
      <c r="Z452" s="1045" t="e">
        <f t="shared" si="196"/>
        <v>#REF!</v>
      </c>
      <c r="AA452" s="892"/>
      <c r="AB452" s="891"/>
    </row>
    <row r="453" spans="1:28" s="486" customFormat="1">
      <c r="A453" s="1261"/>
      <c r="B453" s="1276" t="s">
        <v>2834</v>
      </c>
      <c r="C453" s="1263">
        <f>Data!I3215</f>
        <v>8.5</v>
      </c>
      <c r="D453" s="1264"/>
      <c r="E453" s="1265"/>
      <c r="F453" s="1264"/>
      <c r="G453" s="1264"/>
      <c r="H453" s="1264"/>
      <c r="I453" s="1264"/>
      <c r="J453" s="1264"/>
      <c r="K453" s="1264"/>
      <c r="L453" s="1264"/>
      <c r="M453" s="1264"/>
      <c r="N453" s="1264"/>
      <c r="O453" s="1264"/>
      <c r="P453" s="1264"/>
      <c r="Q453" s="1264"/>
      <c r="R453" s="1264"/>
      <c r="S453" s="1266"/>
      <c r="T453" s="1131">
        <f t="shared" si="195"/>
        <v>0</v>
      </c>
      <c r="U453" s="1045"/>
      <c r="V453" s="1045">
        <f t="shared" si="193"/>
        <v>0</v>
      </c>
      <c r="W453" s="1132" t="e">
        <f>#REF!+U453+#REF!</f>
        <v>#REF!</v>
      </c>
      <c r="X453" s="1045" t="e">
        <f t="shared" si="194"/>
        <v>#REF!</v>
      </c>
      <c r="Y453" s="1132" t="e">
        <f>W453+S453+#REF!</f>
        <v>#REF!</v>
      </c>
      <c r="Z453" s="1045" t="e">
        <f t="shared" si="196"/>
        <v>#REF!</v>
      </c>
      <c r="AA453" s="892"/>
      <c r="AB453" s="891"/>
    </row>
    <row r="454" spans="1:28" s="486" customFormat="1">
      <c r="A454" s="1261"/>
      <c r="B454" s="1276" t="s">
        <v>2824</v>
      </c>
      <c r="C454" s="1263">
        <f>Data!K3191</f>
        <v>62.39</v>
      </c>
      <c r="D454" s="1264"/>
      <c r="E454" s="1265"/>
      <c r="F454" s="1264"/>
      <c r="G454" s="1264"/>
      <c r="H454" s="1264"/>
      <c r="I454" s="1264"/>
      <c r="J454" s="1264"/>
      <c r="K454" s="1264"/>
      <c r="L454" s="1264"/>
      <c r="M454" s="1264"/>
      <c r="N454" s="1264"/>
      <c r="O454" s="1264"/>
      <c r="P454" s="1264"/>
      <c r="Q454" s="1264"/>
      <c r="R454" s="1264"/>
      <c r="S454" s="1266"/>
      <c r="T454" s="1131">
        <f t="shared" si="195"/>
        <v>0</v>
      </c>
      <c r="U454" s="1045"/>
      <c r="V454" s="1045">
        <f t="shared" si="193"/>
        <v>0</v>
      </c>
      <c r="W454" s="1132" t="e">
        <f>#REF!+U454+#REF!</f>
        <v>#REF!</v>
      </c>
      <c r="X454" s="1045" t="e">
        <f t="shared" si="194"/>
        <v>#REF!</v>
      </c>
      <c r="Y454" s="1132" t="e">
        <f>W454+S454+#REF!</f>
        <v>#REF!</v>
      </c>
      <c r="Z454" s="1045" t="e">
        <f t="shared" si="196"/>
        <v>#REF!</v>
      </c>
      <c r="AA454" s="892"/>
      <c r="AB454" s="891"/>
    </row>
    <row r="455" spans="1:28" s="486" customFormat="1">
      <c r="A455" s="1261"/>
      <c r="B455" s="1276" t="s">
        <v>2825</v>
      </c>
      <c r="C455" s="1263">
        <f>Data!K3178</f>
        <v>119.16</v>
      </c>
      <c r="D455" s="1264"/>
      <c r="E455" s="1265"/>
      <c r="F455" s="1264"/>
      <c r="G455" s="1264"/>
      <c r="H455" s="1264"/>
      <c r="I455" s="1264"/>
      <c r="J455" s="1264"/>
      <c r="K455" s="1264"/>
      <c r="L455" s="1264"/>
      <c r="M455" s="1264"/>
      <c r="N455" s="1264"/>
      <c r="O455" s="1264"/>
      <c r="P455" s="1264"/>
      <c r="Q455" s="1264"/>
      <c r="R455" s="1264"/>
      <c r="S455" s="1266"/>
      <c r="T455" s="1131">
        <f t="shared" si="195"/>
        <v>0</v>
      </c>
      <c r="U455" s="1045"/>
      <c r="V455" s="1045">
        <f t="shared" si="193"/>
        <v>0</v>
      </c>
      <c r="W455" s="1132" t="e">
        <f>#REF!+U455+#REF!</f>
        <v>#REF!</v>
      </c>
      <c r="X455" s="1045" t="e">
        <f t="shared" si="194"/>
        <v>#REF!</v>
      </c>
      <c r="Y455" s="1132" t="e">
        <f>W455+S455+#REF!</f>
        <v>#REF!</v>
      </c>
      <c r="Z455" s="1045" t="e">
        <f t="shared" si="196"/>
        <v>#REF!</v>
      </c>
      <c r="AA455" s="892"/>
      <c r="AB455" s="891"/>
    </row>
    <row r="456" spans="1:28" s="486" customFormat="1">
      <c r="A456" s="1261"/>
      <c r="B456" s="1261" t="s">
        <v>2827</v>
      </c>
      <c r="C456" s="1263">
        <f>Data!K3205</f>
        <v>81.36</v>
      </c>
      <c r="D456" s="1264"/>
      <c r="E456" s="1265"/>
      <c r="F456" s="1264"/>
      <c r="G456" s="1264"/>
      <c r="H456" s="1264"/>
      <c r="I456" s="1264"/>
      <c r="J456" s="1264"/>
      <c r="K456" s="1264"/>
      <c r="L456" s="1264"/>
      <c r="M456" s="1264"/>
      <c r="N456" s="1264"/>
      <c r="O456" s="1264"/>
      <c r="P456" s="1264"/>
      <c r="Q456" s="1264"/>
      <c r="R456" s="1264"/>
      <c r="S456" s="1266"/>
      <c r="T456" s="1131">
        <f t="shared" si="195"/>
        <v>0</v>
      </c>
      <c r="U456" s="1045"/>
      <c r="V456" s="1045">
        <f t="shared" si="193"/>
        <v>0</v>
      </c>
      <c r="W456" s="1132" t="e">
        <f>#REF!+U456+#REF!</f>
        <v>#REF!</v>
      </c>
      <c r="X456" s="1045" t="e">
        <f t="shared" si="194"/>
        <v>#REF!</v>
      </c>
      <c r="Y456" s="1132" t="e">
        <f>W456+S456+#REF!</f>
        <v>#REF!</v>
      </c>
      <c r="Z456" s="1045" t="e">
        <f t="shared" si="196"/>
        <v>#REF!</v>
      </c>
      <c r="AA456" s="892"/>
      <c r="AB456" s="891"/>
    </row>
    <row r="457" spans="1:28" s="486" customFormat="1">
      <c r="A457" s="1000"/>
      <c r="B457" s="1000" t="s">
        <v>2829</v>
      </c>
      <c r="C457" s="1278">
        <f>Data!K3250</f>
        <v>126.37</v>
      </c>
      <c r="D457" s="1264"/>
      <c r="E457" s="1265"/>
      <c r="F457" s="1264"/>
      <c r="G457" s="1264"/>
      <c r="H457" s="1264"/>
      <c r="I457" s="1264"/>
      <c r="J457" s="1264"/>
      <c r="K457" s="1264"/>
      <c r="L457" s="1264"/>
      <c r="M457" s="1264"/>
      <c r="N457" s="1264"/>
      <c r="O457" s="1264"/>
      <c r="P457" s="1264"/>
      <c r="Q457" s="1264"/>
      <c r="R457" s="1264"/>
      <c r="S457" s="1266"/>
      <c r="T457" s="1131">
        <f t="shared" si="195"/>
        <v>0</v>
      </c>
      <c r="U457" s="1045"/>
      <c r="V457" s="1045">
        <f t="shared" si="193"/>
        <v>0</v>
      </c>
      <c r="W457" s="1132" t="e">
        <f>#REF!+U457+#REF!</f>
        <v>#REF!</v>
      </c>
      <c r="X457" s="1045" t="e">
        <f t="shared" si="194"/>
        <v>#REF!</v>
      </c>
      <c r="Y457" s="1132" t="e">
        <f>W457+S457+#REF!</f>
        <v>#REF!</v>
      </c>
      <c r="Z457" s="1045" t="e">
        <f t="shared" si="196"/>
        <v>#REF!</v>
      </c>
      <c r="AA457" s="892"/>
      <c r="AB457" s="891"/>
    </row>
    <row r="458" spans="1:28" s="486" customFormat="1">
      <c r="A458" s="1000"/>
      <c r="B458" s="1000" t="s">
        <v>2828</v>
      </c>
      <c r="C458" s="1278">
        <f>Data!K3219</f>
        <v>88.47</v>
      </c>
      <c r="D458" s="1264"/>
      <c r="E458" s="1265"/>
      <c r="F458" s="1264"/>
      <c r="G458" s="1264"/>
      <c r="H458" s="1264"/>
      <c r="I458" s="1264"/>
      <c r="J458" s="1264"/>
      <c r="K458" s="1264"/>
      <c r="L458" s="1264"/>
      <c r="M458" s="1264"/>
      <c r="N458" s="1264"/>
      <c r="O458" s="1264"/>
      <c r="P458" s="1264"/>
      <c r="Q458" s="1264"/>
      <c r="R458" s="1264"/>
      <c r="S458" s="1266"/>
      <c r="T458" s="1131">
        <f t="shared" si="195"/>
        <v>0</v>
      </c>
      <c r="U458" s="1045"/>
      <c r="V458" s="1045">
        <f t="shared" si="193"/>
        <v>0</v>
      </c>
      <c r="W458" s="1132" t="e">
        <f>#REF!+U458+#REF!</f>
        <v>#REF!</v>
      </c>
      <c r="X458" s="1045" t="e">
        <f t="shared" si="194"/>
        <v>#REF!</v>
      </c>
      <c r="Y458" s="1132" t="e">
        <f>W458+S458+#REF!</f>
        <v>#REF!</v>
      </c>
      <c r="Z458" s="1045" t="e">
        <f t="shared" si="196"/>
        <v>#REF!</v>
      </c>
      <c r="AA458" s="892"/>
      <c r="AB458" s="891"/>
    </row>
    <row r="459" spans="1:28" s="486" customFormat="1">
      <c r="A459" s="1000"/>
      <c r="B459" s="1000" t="s">
        <v>3700</v>
      </c>
      <c r="C459" s="1278">
        <f>Data!K3234</f>
        <v>144.25</v>
      </c>
      <c r="D459" s="1264"/>
      <c r="E459" s="1265"/>
      <c r="F459" s="1264"/>
      <c r="G459" s="1264"/>
      <c r="H459" s="1264"/>
      <c r="I459" s="1264"/>
      <c r="J459" s="1264"/>
      <c r="K459" s="1264"/>
      <c r="L459" s="1264"/>
      <c r="M459" s="1264"/>
      <c r="N459" s="1264"/>
      <c r="O459" s="1264"/>
      <c r="P459" s="1264"/>
      <c r="Q459" s="1264"/>
      <c r="R459" s="1264"/>
      <c r="S459" s="1266"/>
      <c r="T459" s="1131">
        <f t="shared" si="195"/>
        <v>0</v>
      </c>
      <c r="U459" s="1045"/>
      <c r="V459" s="1045">
        <f t="shared" ref="V459:V487" si="197">U459*C459</f>
        <v>0</v>
      </c>
      <c r="W459" s="1132" t="e">
        <f>#REF!+U459+#REF!</f>
        <v>#REF!</v>
      </c>
      <c r="X459" s="1045" t="e">
        <f t="shared" si="194"/>
        <v>#REF!</v>
      </c>
      <c r="Y459" s="1132" t="e">
        <f>W459+S459+#REF!</f>
        <v>#REF!</v>
      </c>
      <c r="Z459" s="1045" t="e">
        <f t="shared" si="196"/>
        <v>#REF!</v>
      </c>
      <c r="AA459" s="892"/>
      <c r="AB459" s="891"/>
    </row>
    <row r="460" spans="1:28" s="486" customFormat="1">
      <c r="A460" s="1000"/>
      <c r="B460" s="1000" t="s">
        <v>2830</v>
      </c>
      <c r="C460" s="1278">
        <f>Data!K3278</f>
        <v>81.41</v>
      </c>
      <c r="D460" s="1264"/>
      <c r="E460" s="1265"/>
      <c r="F460" s="1264"/>
      <c r="G460" s="1264"/>
      <c r="H460" s="1264"/>
      <c r="I460" s="1264"/>
      <c r="J460" s="1264"/>
      <c r="K460" s="1264"/>
      <c r="L460" s="1264"/>
      <c r="M460" s="1264"/>
      <c r="N460" s="1264"/>
      <c r="O460" s="1264"/>
      <c r="P460" s="1264"/>
      <c r="Q460" s="1264"/>
      <c r="R460" s="1264"/>
      <c r="S460" s="1266"/>
      <c r="T460" s="1131">
        <f t="shared" si="195"/>
        <v>0</v>
      </c>
      <c r="U460" s="1045"/>
      <c r="V460" s="1045">
        <f t="shared" si="197"/>
        <v>0</v>
      </c>
      <c r="W460" s="1132" t="e">
        <f>#REF!+U460+#REF!</f>
        <v>#REF!</v>
      </c>
      <c r="X460" s="1045" t="e">
        <f t="shared" si="194"/>
        <v>#REF!</v>
      </c>
      <c r="Y460" s="1132" t="e">
        <f>W460+S460+#REF!</f>
        <v>#REF!</v>
      </c>
      <c r="Z460" s="1045" t="e">
        <f t="shared" si="196"/>
        <v>#REF!</v>
      </c>
      <c r="AA460" s="892"/>
      <c r="AB460" s="891"/>
    </row>
    <row r="461" spans="1:28" s="486" customFormat="1">
      <c r="A461" s="1000"/>
      <c r="B461" s="1000" t="str">
        <f>Data!H3367</f>
        <v>Plastic Emulsion PAINT one coat for old wall</v>
      </c>
      <c r="C461" s="1278">
        <f>Data!K3374</f>
        <v>75.39</v>
      </c>
      <c r="D461" s="1264"/>
      <c r="E461" s="1265"/>
      <c r="F461" s="1264"/>
      <c r="G461" s="1264"/>
      <c r="H461" s="1264"/>
      <c r="I461" s="1264"/>
      <c r="J461" s="1264"/>
      <c r="K461" s="1264"/>
      <c r="L461" s="1264"/>
      <c r="M461" s="1264"/>
      <c r="N461" s="1264"/>
      <c r="O461" s="1264"/>
      <c r="P461" s="1264"/>
      <c r="Q461" s="1264"/>
      <c r="R461" s="1264"/>
      <c r="S461" s="1266"/>
      <c r="T461" s="1131">
        <f t="shared" si="195"/>
        <v>0</v>
      </c>
      <c r="U461" s="1045"/>
      <c r="V461" s="1045">
        <f t="shared" si="197"/>
        <v>0</v>
      </c>
      <c r="W461" s="1132" t="e">
        <f>#REF!+U461+#REF!</f>
        <v>#REF!</v>
      </c>
      <c r="X461" s="1045" t="e">
        <f t="shared" si="194"/>
        <v>#REF!</v>
      </c>
      <c r="Y461" s="1132" t="e">
        <f>W461+S461+#REF!</f>
        <v>#REF!</v>
      </c>
      <c r="Z461" s="1045" t="e">
        <f t="shared" si="196"/>
        <v>#REF!</v>
      </c>
      <c r="AA461" s="892"/>
      <c r="AB461" s="891"/>
    </row>
    <row r="462" spans="1:28" s="486" customFormat="1">
      <c r="A462" s="1000"/>
      <c r="B462" s="1000" t="str">
        <f>Data!H3354</f>
        <v>Plastic Emulsion PAINT two coat for old wall</v>
      </c>
      <c r="C462" s="1278">
        <f>Data!K3361</f>
        <v>148.26</v>
      </c>
      <c r="D462" s="1264"/>
      <c r="E462" s="1265"/>
      <c r="F462" s="1264"/>
      <c r="G462" s="1264"/>
      <c r="H462" s="1264"/>
      <c r="I462" s="1264"/>
      <c r="J462" s="1264"/>
      <c r="K462" s="1264"/>
      <c r="L462" s="1264"/>
      <c r="M462" s="1264"/>
      <c r="N462" s="1264"/>
      <c r="O462" s="1264"/>
      <c r="P462" s="1264"/>
      <c r="Q462" s="1264"/>
      <c r="R462" s="1264"/>
      <c r="S462" s="1266"/>
      <c r="T462" s="1131">
        <f t="shared" si="195"/>
        <v>0</v>
      </c>
      <c r="U462" s="1045"/>
      <c r="V462" s="1045">
        <f t="shared" si="197"/>
        <v>0</v>
      </c>
      <c r="W462" s="1132" t="e">
        <f>#REF!+U462+#REF!</f>
        <v>#REF!</v>
      </c>
      <c r="X462" s="1045" t="e">
        <f t="shared" si="194"/>
        <v>#REF!</v>
      </c>
      <c r="Y462" s="1132" t="e">
        <f>W462+S462+#REF!</f>
        <v>#REF!</v>
      </c>
      <c r="Z462" s="1045" t="e">
        <f t="shared" si="196"/>
        <v>#REF!</v>
      </c>
      <c r="AA462" s="892"/>
      <c r="AB462" s="891"/>
    </row>
    <row r="463" spans="1:28" s="486" customFormat="1">
      <c r="A463" s="1279"/>
      <c r="B463" s="1000"/>
      <c r="C463" s="1278"/>
      <c r="D463" s="1264"/>
      <c r="E463" s="1265"/>
      <c r="F463" s="1264"/>
      <c r="G463" s="1264"/>
      <c r="H463" s="1264"/>
      <c r="I463" s="1264"/>
      <c r="J463" s="1264"/>
      <c r="K463" s="1264"/>
      <c r="L463" s="1264"/>
      <c r="M463" s="1264"/>
      <c r="N463" s="1264"/>
      <c r="O463" s="1264"/>
      <c r="P463" s="1264"/>
      <c r="Q463" s="1264"/>
      <c r="R463" s="1264"/>
      <c r="S463" s="1266"/>
      <c r="T463" s="1131">
        <f t="shared" si="195"/>
        <v>0</v>
      </c>
      <c r="U463" s="1045"/>
      <c r="V463" s="1045">
        <f t="shared" si="197"/>
        <v>0</v>
      </c>
      <c r="W463" s="1132" t="e">
        <f>#REF!+U463+#REF!</f>
        <v>#REF!</v>
      </c>
      <c r="X463" s="1045" t="e">
        <f t="shared" ref="X463:X471" si="198">W463*C463</f>
        <v>#REF!</v>
      </c>
      <c r="Y463" s="1132" t="e">
        <f>W463+S463+#REF!</f>
        <v>#REF!</v>
      </c>
      <c r="Z463" s="1045" t="e">
        <f t="shared" si="196"/>
        <v>#REF!</v>
      </c>
      <c r="AA463" s="892"/>
      <c r="AB463" s="891"/>
    </row>
    <row r="464" spans="1:28" s="486" customFormat="1">
      <c r="A464" s="1279"/>
      <c r="B464" s="1000"/>
      <c r="C464" s="1278"/>
      <c r="D464" s="1264"/>
      <c r="E464" s="1265"/>
      <c r="F464" s="1264"/>
      <c r="G464" s="1264"/>
      <c r="H464" s="1264"/>
      <c r="I464" s="1264"/>
      <c r="J464" s="1264"/>
      <c r="K464" s="1264"/>
      <c r="L464" s="1264"/>
      <c r="M464" s="1264"/>
      <c r="N464" s="1264"/>
      <c r="O464" s="1264"/>
      <c r="P464" s="1264"/>
      <c r="Q464" s="1264"/>
      <c r="R464" s="1264"/>
      <c r="S464" s="1266"/>
      <c r="T464" s="1131">
        <f t="shared" si="195"/>
        <v>0</v>
      </c>
      <c r="U464" s="1045"/>
      <c r="V464" s="1045">
        <f t="shared" si="197"/>
        <v>0</v>
      </c>
      <c r="W464" s="1132" t="e">
        <f>#REF!+U464+#REF!</f>
        <v>#REF!</v>
      </c>
      <c r="X464" s="1045" t="e">
        <f t="shared" si="198"/>
        <v>#REF!</v>
      </c>
      <c r="Y464" s="1132" t="e">
        <f>W464+S464+#REF!</f>
        <v>#REF!</v>
      </c>
      <c r="Z464" s="1045" t="e">
        <f t="shared" ref="Z464:Z472" si="199">Y464*C464</f>
        <v>#REF!</v>
      </c>
      <c r="AA464" s="892"/>
      <c r="AB464" s="891"/>
    </row>
    <row r="465" spans="1:28" s="486" customFormat="1">
      <c r="A465" s="1279"/>
      <c r="B465" s="1000"/>
      <c r="C465" s="1278"/>
      <c r="D465" s="1264"/>
      <c r="E465" s="1265"/>
      <c r="F465" s="1264"/>
      <c r="G465" s="1264"/>
      <c r="H465" s="1264"/>
      <c r="I465" s="1264"/>
      <c r="J465" s="1264"/>
      <c r="K465" s="1264"/>
      <c r="L465" s="1264"/>
      <c r="M465" s="1264"/>
      <c r="N465" s="1264"/>
      <c r="O465" s="1264"/>
      <c r="P465" s="1264"/>
      <c r="Q465" s="1264"/>
      <c r="R465" s="1264"/>
      <c r="S465" s="1266"/>
      <c r="T465" s="1131">
        <f t="shared" si="195"/>
        <v>0</v>
      </c>
      <c r="U465" s="1045"/>
      <c r="V465" s="1045">
        <f t="shared" si="197"/>
        <v>0</v>
      </c>
      <c r="W465" s="1132" t="e">
        <f>#REF!+U465+#REF!</f>
        <v>#REF!</v>
      </c>
      <c r="X465" s="1045" t="e">
        <f t="shared" si="198"/>
        <v>#REF!</v>
      </c>
      <c r="Y465" s="1132" t="e">
        <f>W465+S465+#REF!</f>
        <v>#REF!</v>
      </c>
      <c r="Z465" s="1045" t="e">
        <f t="shared" si="199"/>
        <v>#REF!</v>
      </c>
      <c r="AA465" s="892"/>
      <c r="AB465" s="891"/>
    </row>
    <row r="466" spans="1:28" s="486" customFormat="1">
      <c r="A466" s="1279"/>
      <c r="B466" s="1000"/>
      <c r="C466" s="1278"/>
      <c r="D466" s="1264"/>
      <c r="E466" s="1265"/>
      <c r="F466" s="1264"/>
      <c r="G466" s="1264"/>
      <c r="H466" s="1264"/>
      <c r="I466" s="1264"/>
      <c r="J466" s="1264"/>
      <c r="K466" s="1264"/>
      <c r="L466" s="1264"/>
      <c r="M466" s="1264"/>
      <c r="N466" s="1264"/>
      <c r="O466" s="1264"/>
      <c r="P466" s="1264"/>
      <c r="Q466" s="1264"/>
      <c r="R466" s="1264"/>
      <c r="S466" s="1266"/>
      <c r="T466" s="1131">
        <f t="shared" si="195"/>
        <v>0</v>
      </c>
      <c r="U466" s="1045"/>
      <c r="V466" s="1045">
        <f t="shared" si="197"/>
        <v>0</v>
      </c>
      <c r="W466" s="1132" t="e">
        <f>#REF!+U466+#REF!</f>
        <v>#REF!</v>
      </c>
      <c r="X466" s="1045" t="e">
        <f t="shared" si="198"/>
        <v>#REF!</v>
      </c>
      <c r="Y466" s="1132" t="e">
        <f>W466+S466+#REF!</f>
        <v>#REF!</v>
      </c>
      <c r="Z466" s="1045" t="e">
        <f t="shared" si="199"/>
        <v>#REF!</v>
      </c>
      <c r="AA466" s="892"/>
      <c r="AB466" s="891"/>
    </row>
    <row r="467" spans="1:28" s="486" customFormat="1">
      <c r="A467" s="1279"/>
      <c r="B467" s="1000"/>
      <c r="C467" s="1278"/>
      <c r="D467" s="1264"/>
      <c r="E467" s="1265"/>
      <c r="F467" s="1264"/>
      <c r="G467" s="1264"/>
      <c r="H467" s="1264"/>
      <c r="I467" s="1264"/>
      <c r="J467" s="1264"/>
      <c r="K467" s="1264"/>
      <c r="L467" s="1264"/>
      <c r="M467" s="1264"/>
      <c r="N467" s="1264"/>
      <c r="O467" s="1264"/>
      <c r="P467" s="1264"/>
      <c r="Q467" s="1264"/>
      <c r="R467" s="1264"/>
      <c r="S467" s="1266"/>
      <c r="T467" s="1131">
        <f t="shared" si="195"/>
        <v>0</v>
      </c>
      <c r="U467" s="1045"/>
      <c r="V467" s="1045">
        <f t="shared" si="197"/>
        <v>0</v>
      </c>
      <c r="W467" s="1132" t="e">
        <f>#REF!+U467+#REF!</f>
        <v>#REF!</v>
      </c>
      <c r="X467" s="1045" t="e">
        <f t="shared" si="198"/>
        <v>#REF!</v>
      </c>
      <c r="Y467" s="1132" t="e">
        <f>W467+S467+#REF!</f>
        <v>#REF!</v>
      </c>
      <c r="Z467" s="1045" t="e">
        <f t="shared" si="199"/>
        <v>#REF!</v>
      </c>
      <c r="AA467" s="892"/>
      <c r="AB467" s="891"/>
    </row>
    <row r="468" spans="1:28" s="486" customFormat="1">
      <c r="A468" s="1279"/>
      <c r="B468" s="1000"/>
      <c r="C468" s="1278"/>
      <c r="D468" s="1264"/>
      <c r="E468" s="1265"/>
      <c r="F468" s="1264"/>
      <c r="G468" s="1264"/>
      <c r="H468" s="1264"/>
      <c r="I468" s="1264"/>
      <c r="J468" s="1264"/>
      <c r="K468" s="1264"/>
      <c r="L468" s="1264"/>
      <c r="M468" s="1264"/>
      <c r="N468" s="1264"/>
      <c r="O468" s="1264"/>
      <c r="P468" s="1264"/>
      <c r="Q468" s="1264"/>
      <c r="R468" s="1264"/>
      <c r="S468" s="1266"/>
      <c r="T468" s="1131">
        <f t="shared" si="195"/>
        <v>0</v>
      </c>
      <c r="U468" s="1045"/>
      <c r="V468" s="1045">
        <f t="shared" si="197"/>
        <v>0</v>
      </c>
      <c r="W468" s="1132" t="e">
        <f>#REF!+U468+#REF!</f>
        <v>#REF!</v>
      </c>
      <c r="X468" s="1045" t="e">
        <f t="shared" si="198"/>
        <v>#REF!</v>
      </c>
      <c r="Y468" s="1132" t="e">
        <f>W468+S468+#REF!</f>
        <v>#REF!</v>
      </c>
      <c r="Z468" s="1045" t="e">
        <f t="shared" si="199"/>
        <v>#REF!</v>
      </c>
      <c r="AA468" s="892"/>
      <c r="AB468" s="891"/>
    </row>
    <row r="469" spans="1:28" s="486" customFormat="1">
      <c r="A469" s="1279"/>
      <c r="B469" s="1000"/>
      <c r="C469" s="1278"/>
      <c r="D469" s="1264"/>
      <c r="E469" s="1265"/>
      <c r="F469" s="1264"/>
      <c r="G469" s="1264"/>
      <c r="H469" s="1264"/>
      <c r="I469" s="1264"/>
      <c r="J469" s="1264"/>
      <c r="K469" s="1264"/>
      <c r="L469" s="1264"/>
      <c r="M469" s="1264"/>
      <c r="N469" s="1264"/>
      <c r="O469" s="1264"/>
      <c r="P469" s="1264"/>
      <c r="Q469" s="1264"/>
      <c r="R469" s="1264"/>
      <c r="S469" s="1266"/>
      <c r="T469" s="1131">
        <f t="shared" si="195"/>
        <v>0</v>
      </c>
      <c r="U469" s="1045"/>
      <c r="V469" s="1045">
        <f t="shared" si="197"/>
        <v>0</v>
      </c>
      <c r="W469" s="1132" t="e">
        <f>#REF!+U469+#REF!</f>
        <v>#REF!</v>
      </c>
      <c r="X469" s="1045" t="e">
        <f t="shared" si="198"/>
        <v>#REF!</v>
      </c>
      <c r="Y469" s="1132" t="e">
        <f>W469+S469+#REF!</f>
        <v>#REF!</v>
      </c>
      <c r="Z469" s="1045" t="e">
        <f t="shared" si="199"/>
        <v>#REF!</v>
      </c>
      <c r="AA469" s="892"/>
      <c r="AB469" s="891"/>
    </row>
    <row r="470" spans="1:28" s="486" customFormat="1">
      <c r="A470" s="1279"/>
      <c r="B470" s="1000"/>
      <c r="C470" s="1278"/>
      <c r="D470" s="1264"/>
      <c r="E470" s="1265"/>
      <c r="F470" s="1264"/>
      <c r="G470" s="1264"/>
      <c r="H470" s="1264"/>
      <c r="I470" s="1264"/>
      <c r="J470" s="1264"/>
      <c r="K470" s="1264"/>
      <c r="L470" s="1264"/>
      <c r="M470" s="1264"/>
      <c r="N470" s="1264"/>
      <c r="O470" s="1264"/>
      <c r="P470" s="1264"/>
      <c r="Q470" s="1264"/>
      <c r="R470" s="1264"/>
      <c r="S470" s="1266"/>
      <c r="T470" s="1131">
        <f t="shared" si="195"/>
        <v>0</v>
      </c>
      <c r="U470" s="1045"/>
      <c r="V470" s="1045">
        <f t="shared" si="197"/>
        <v>0</v>
      </c>
      <c r="W470" s="1132" t="e">
        <f>#REF!+U470+#REF!</f>
        <v>#REF!</v>
      </c>
      <c r="X470" s="1045" t="e">
        <f t="shared" si="198"/>
        <v>#REF!</v>
      </c>
      <c r="Y470" s="1132" t="e">
        <f>W470+S470+#REF!</f>
        <v>#REF!</v>
      </c>
      <c r="Z470" s="1045" t="e">
        <f t="shared" si="199"/>
        <v>#REF!</v>
      </c>
      <c r="AA470" s="892"/>
      <c r="AB470" s="891"/>
    </row>
    <row r="471" spans="1:28">
      <c r="S471" s="1284"/>
      <c r="T471" s="1131">
        <f t="shared" si="195"/>
        <v>0</v>
      </c>
      <c r="U471" s="1045"/>
      <c r="V471" s="1045">
        <f t="shared" si="197"/>
        <v>0</v>
      </c>
      <c r="W471" s="1132" t="e">
        <f>#REF!+U471+#REF!</f>
        <v>#REF!</v>
      </c>
      <c r="X471" s="1045" t="e">
        <f t="shared" si="198"/>
        <v>#REF!</v>
      </c>
      <c r="Y471" s="1132" t="e">
        <f>W471+S471+#REF!</f>
        <v>#REF!</v>
      </c>
      <c r="Z471" s="1045" t="e">
        <f t="shared" si="199"/>
        <v>#REF!</v>
      </c>
      <c r="AA471" s="890"/>
      <c r="AB471" s="890"/>
    </row>
    <row r="472" spans="1:28">
      <c r="S472" s="1284"/>
      <c r="T472" s="1131">
        <f t="shared" si="195"/>
        <v>0</v>
      </c>
      <c r="U472" s="1045"/>
      <c r="V472" s="1045">
        <f t="shared" si="197"/>
        <v>0</v>
      </c>
      <c r="W472" s="1132" t="e">
        <f>#REF!+U472+#REF!</f>
        <v>#REF!</v>
      </c>
      <c r="X472" s="1045"/>
      <c r="Y472" s="1132" t="e">
        <f>W472+S472+#REF!</f>
        <v>#REF!</v>
      </c>
      <c r="Z472" s="1045" t="e">
        <f t="shared" si="199"/>
        <v>#REF!</v>
      </c>
      <c r="AA472" s="890"/>
      <c r="AB472" s="890"/>
    </row>
    <row r="473" spans="1:28">
      <c r="S473" s="1284"/>
      <c r="T473" s="1131">
        <f t="shared" si="195"/>
        <v>0</v>
      </c>
      <c r="U473" s="1045"/>
      <c r="V473" s="1045">
        <f t="shared" si="197"/>
        <v>0</v>
      </c>
      <c r="W473" s="1132" t="e">
        <f>#REF!+U473+#REF!</f>
        <v>#REF!</v>
      </c>
      <c r="X473" s="1045" t="e">
        <f>#REF!+V362+#REF!</f>
        <v>#REF!</v>
      </c>
      <c r="Y473" s="1132" t="e">
        <f>W473+S473+#REF!</f>
        <v>#REF!</v>
      </c>
      <c r="Z473" s="1045" t="e">
        <f>X362+#REF!+T362</f>
        <v>#REF!</v>
      </c>
      <c r="AA473" s="890"/>
      <c r="AB473" s="890"/>
    </row>
    <row r="474" spans="1:28">
      <c r="S474" s="1284"/>
      <c r="T474" s="1131">
        <f t="shared" si="195"/>
        <v>0</v>
      </c>
      <c r="U474" s="1045"/>
      <c r="V474" s="1045">
        <f t="shared" si="197"/>
        <v>0</v>
      </c>
      <c r="W474" s="1132" t="e">
        <f>#REF!+U474+#REF!</f>
        <v>#REF!</v>
      </c>
      <c r="X474" s="1045" t="e">
        <f>X362-X473</f>
        <v>#REF!</v>
      </c>
      <c r="Y474" s="1132" t="e">
        <f>W474+S474+#REF!</f>
        <v>#REF!</v>
      </c>
      <c r="Z474" s="1045" t="e">
        <f>Z362-Z473</f>
        <v>#REF!</v>
      </c>
      <c r="AA474" s="890"/>
      <c r="AB474" s="890"/>
    </row>
    <row r="475" spans="1:28">
      <c r="S475" s="1284"/>
      <c r="T475" s="1131">
        <f t="shared" si="195"/>
        <v>0</v>
      </c>
      <c r="U475" s="1045"/>
      <c r="V475" s="1045">
        <f t="shared" si="197"/>
        <v>0</v>
      </c>
      <c r="W475" s="1132" t="e">
        <f>#REF!+U475+#REF!</f>
        <v>#REF!</v>
      </c>
      <c r="X475" s="1045" t="e">
        <f t="shared" ref="X475:X485" si="200">W475*C475</f>
        <v>#REF!</v>
      </c>
      <c r="Y475" s="1132" t="e">
        <f>W475+S475+#REF!</f>
        <v>#REF!</v>
      </c>
      <c r="Z475" s="1045" t="e">
        <f t="shared" ref="Z475:Z485" si="201">Y475*C475</f>
        <v>#REF!</v>
      </c>
      <c r="AA475" s="890"/>
      <c r="AB475" s="890"/>
    </row>
    <row r="476" spans="1:28">
      <c r="S476" s="1284"/>
      <c r="T476" s="1131">
        <f t="shared" si="195"/>
        <v>0</v>
      </c>
      <c r="U476" s="1045"/>
      <c r="V476" s="1045">
        <f t="shared" si="197"/>
        <v>0</v>
      </c>
      <c r="W476" s="1132" t="e">
        <f>#REF!+U476+#REF!</f>
        <v>#REF!</v>
      </c>
      <c r="X476" s="1045" t="e">
        <f t="shared" si="200"/>
        <v>#REF!</v>
      </c>
      <c r="Y476" s="1132" t="e">
        <f>W476+S476+#REF!</f>
        <v>#REF!</v>
      </c>
      <c r="Z476" s="1045" t="e">
        <f t="shared" si="201"/>
        <v>#REF!</v>
      </c>
      <c r="AA476" s="890"/>
      <c r="AB476" s="890"/>
    </row>
    <row r="477" spans="1:28">
      <c r="S477" s="1284"/>
      <c r="T477" s="1131">
        <f t="shared" si="195"/>
        <v>0</v>
      </c>
      <c r="U477" s="1045"/>
      <c r="V477" s="1045">
        <f t="shared" si="197"/>
        <v>0</v>
      </c>
      <c r="W477" s="1132" t="e">
        <f>#REF!+U477+#REF!</f>
        <v>#REF!</v>
      </c>
      <c r="X477" s="1045" t="e">
        <f t="shared" si="200"/>
        <v>#REF!</v>
      </c>
      <c r="Y477" s="1132" t="e">
        <f>W477+S477+#REF!</f>
        <v>#REF!</v>
      </c>
      <c r="Z477" s="1045" t="e">
        <f t="shared" si="201"/>
        <v>#REF!</v>
      </c>
      <c r="AA477" s="890"/>
      <c r="AB477" s="890"/>
    </row>
    <row r="478" spans="1:28">
      <c r="S478" s="1284"/>
      <c r="T478" s="1131">
        <f t="shared" si="195"/>
        <v>0</v>
      </c>
      <c r="U478" s="1045"/>
      <c r="V478" s="1045">
        <f t="shared" si="197"/>
        <v>0</v>
      </c>
      <c r="W478" s="1132" t="e">
        <f>#REF!+U478+#REF!</f>
        <v>#REF!</v>
      </c>
      <c r="X478" s="1045" t="e">
        <f t="shared" si="200"/>
        <v>#REF!</v>
      </c>
      <c r="Y478" s="1132" t="e">
        <f>W478+S478+#REF!</f>
        <v>#REF!</v>
      </c>
      <c r="Z478" s="1045" t="e">
        <f t="shared" si="201"/>
        <v>#REF!</v>
      </c>
      <c r="AA478" s="890"/>
      <c r="AB478" s="890"/>
    </row>
    <row r="479" spans="1:28">
      <c r="S479" s="1284"/>
      <c r="T479" s="1131">
        <f t="shared" si="195"/>
        <v>0</v>
      </c>
      <c r="U479" s="1045"/>
      <c r="V479" s="1045">
        <f t="shared" si="197"/>
        <v>0</v>
      </c>
      <c r="W479" s="1132" t="e">
        <f>#REF!+U479+#REF!</f>
        <v>#REF!</v>
      </c>
      <c r="X479" s="1045" t="e">
        <f t="shared" si="200"/>
        <v>#REF!</v>
      </c>
      <c r="Y479" s="1132" t="e">
        <f>W479+S479+#REF!</f>
        <v>#REF!</v>
      </c>
      <c r="Z479" s="1045" t="e">
        <f t="shared" si="201"/>
        <v>#REF!</v>
      </c>
      <c r="AA479" s="890"/>
      <c r="AB479" s="890"/>
    </row>
    <row r="480" spans="1:28">
      <c r="S480" s="1284"/>
      <c r="T480" s="1131">
        <f t="shared" si="195"/>
        <v>0</v>
      </c>
      <c r="U480" s="1045"/>
      <c r="V480" s="1045">
        <f t="shared" si="197"/>
        <v>0</v>
      </c>
      <c r="W480" s="1132" t="e">
        <f>#REF!+U480+#REF!</f>
        <v>#REF!</v>
      </c>
      <c r="X480" s="1045" t="e">
        <f t="shared" si="200"/>
        <v>#REF!</v>
      </c>
      <c r="Y480" s="1132" t="e">
        <f>W480+S480+#REF!</f>
        <v>#REF!</v>
      </c>
      <c r="Z480" s="1045" t="e">
        <f t="shared" si="201"/>
        <v>#REF!</v>
      </c>
      <c r="AA480" s="890"/>
      <c r="AB480" s="890"/>
    </row>
    <row r="481" spans="3:28">
      <c r="S481" s="1284"/>
      <c r="T481" s="1131">
        <f t="shared" si="195"/>
        <v>0</v>
      </c>
      <c r="U481" s="1045"/>
      <c r="V481" s="1045">
        <f t="shared" si="197"/>
        <v>0</v>
      </c>
      <c r="W481" s="1132" t="e">
        <f>#REF!+U481+#REF!</f>
        <v>#REF!</v>
      </c>
      <c r="X481" s="1045" t="e">
        <f t="shared" si="200"/>
        <v>#REF!</v>
      </c>
      <c r="Y481" s="1132" t="e">
        <f>W481+S481+#REF!</f>
        <v>#REF!</v>
      </c>
      <c r="Z481" s="1045" t="e">
        <f t="shared" si="201"/>
        <v>#REF!</v>
      </c>
      <c r="AA481" s="890"/>
      <c r="AB481" s="890"/>
    </row>
    <row r="482" spans="3:28">
      <c r="S482" s="1284"/>
      <c r="T482" s="1131">
        <f t="shared" si="195"/>
        <v>0</v>
      </c>
      <c r="U482" s="1045"/>
      <c r="V482" s="1045">
        <f t="shared" si="197"/>
        <v>0</v>
      </c>
      <c r="W482" s="1132" t="e">
        <f>#REF!+U482+#REF!</f>
        <v>#REF!</v>
      </c>
      <c r="X482" s="1045" t="e">
        <f t="shared" si="200"/>
        <v>#REF!</v>
      </c>
      <c r="Y482" s="1132" t="e">
        <f>W482+S482+#REF!</f>
        <v>#REF!</v>
      </c>
      <c r="Z482" s="1045" t="e">
        <f t="shared" si="201"/>
        <v>#REF!</v>
      </c>
      <c r="AA482" s="890"/>
      <c r="AB482" s="890"/>
    </row>
    <row r="483" spans="3:28">
      <c r="C483" s="1280"/>
      <c r="D483" s="1280"/>
      <c r="E483" s="1285"/>
      <c r="F483" s="1280"/>
      <c r="G483" s="1280"/>
      <c r="H483" s="1280"/>
      <c r="I483" s="1280"/>
      <c r="J483" s="1280"/>
      <c r="K483" s="1280"/>
      <c r="L483" s="1280"/>
      <c r="M483" s="1280"/>
      <c r="N483" s="1280"/>
      <c r="O483" s="1280"/>
      <c r="P483" s="1280"/>
      <c r="Q483" s="1280"/>
      <c r="R483" s="1280"/>
      <c r="S483" s="1286"/>
      <c r="T483" s="1131">
        <f t="shared" si="195"/>
        <v>0</v>
      </c>
      <c r="U483" s="1045"/>
      <c r="V483" s="1045">
        <f t="shared" si="197"/>
        <v>0</v>
      </c>
      <c r="W483" s="1132" t="e">
        <f>#REF!+U483+#REF!</f>
        <v>#REF!</v>
      </c>
      <c r="X483" s="1045" t="e">
        <f t="shared" si="200"/>
        <v>#REF!</v>
      </c>
      <c r="Y483" s="1132" t="e">
        <f>W483+S483+#REF!</f>
        <v>#REF!</v>
      </c>
      <c r="Z483" s="1045" t="e">
        <f t="shared" si="201"/>
        <v>#REF!</v>
      </c>
      <c r="AA483" s="893"/>
      <c r="AB483" s="890"/>
    </row>
    <row r="484" spans="3:28">
      <c r="C484" s="1280"/>
      <c r="D484" s="1280"/>
      <c r="E484" s="1285"/>
      <c r="F484" s="1280"/>
      <c r="G484" s="1280"/>
      <c r="H484" s="1280"/>
      <c r="I484" s="1280"/>
      <c r="J484" s="1280"/>
      <c r="K484" s="1280"/>
      <c r="L484" s="1280"/>
      <c r="M484" s="1280"/>
      <c r="N484" s="1280"/>
      <c r="O484" s="1280"/>
      <c r="P484" s="1280"/>
      <c r="Q484" s="1280"/>
      <c r="R484" s="1280"/>
      <c r="S484" s="1286"/>
      <c r="T484" s="1131">
        <f t="shared" si="195"/>
        <v>0</v>
      </c>
      <c r="U484" s="1045"/>
      <c r="V484" s="1045">
        <f t="shared" si="197"/>
        <v>0</v>
      </c>
      <c r="W484" s="1132" t="e">
        <f>#REF!+U484+#REF!</f>
        <v>#REF!</v>
      </c>
      <c r="X484" s="1045" t="e">
        <f t="shared" si="200"/>
        <v>#REF!</v>
      </c>
      <c r="Y484" s="1132" t="e">
        <f>W484+S484+#REF!</f>
        <v>#REF!</v>
      </c>
      <c r="Z484" s="1045" t="e">
        <f t="shared" si="201"/>
        <v>#REF!</v>
      </c>
      <c r="AA484" s="893"/>
      <c r="AB484" s="890"/>
    </row>
    <row r="485" spans="3:28">
      <c r="C485" s="1280"/>
      <c r="D485" s="1280"/>
      <c r="E485" s="1285"/>
      <c r="F485" s="1280"/>
      <c r="G485" s="1280"/>
      <c r="H485" s="1280"/>
      <c r="I485" s="1280"/>
      <c r="J485" s="1280"/>
      <c r="K485" s="1280"/>
      <c r="L485" s="1280"/>
      <c r="M485" s="1280"/>
      <c r="N485" s="1280"/>
      <c r="O485" s="1280"/>
      <c r="P485" s="1280"/>
      <c r="Q485" s="1280"/>
      <c r="R485" s="1280"/>
      <c r="S485" s="1286"/>
      <c r="T485" s="1131">
        <f t="shared" si="195"/>
        <v>0</v>
      </c>
      <c r="U485" s="1045"/>
      <c r="V485" s="1045">
        <f t="shared" si="197"/>
        <v>0</v>
      </c>
      <c r="W485" s="1132" t="e">
        <f>#REF!+U485+#REF!</f>
        <v>#REF!</v>
      </c>
      <c r="X485" s="1045" t="e">
        <f t="shared" si="200"/>
        <v>#REF!</v>
      </c>
      <c r="Y485" s="1132" t="e">
        <f>W485+S485+#REF!</f>
        <v>#REF!</v>
      </c>
      <c r="Z485" s="1045" t="e">
        <f t="shared" si="201"/>
        <v>#REF!</v>
      </c>
      <c r="AA485" s="893"/>
      <c r="AB485" s="890"/>
    </row>
    <row r="486" spans="3:28">
      <c r="C486" s="1280"/>
      <c r="D486" s="1280"/>
      <c r="E486" s="1285"/>
      <c r="F486" s="1280"/>
      <c r="G486" s="1280"/>
      <c r="H486" s="1280"/>
      <c r="I486" s="1280"/>
      <c r="J486" s="1280"/>
      <c r="K486" s="1280"/>
      <c r="L486" s="1280"/>
      <c r="M486" s="1280"/>
      <c r="N486" s="1280"/>
      <c r="O486" s="1280"/>
      <c r="P486" s="1280"/>
      <c r="Q486" s="1280"/>
      <c r="R486" s="1280"/>
      <c r="S486" s="1286"/>
      <c r="T486" s="1131">
        <f t="shared" si="195"/>
        <v>0</v>
      </c>
      <c r="U486" s="1045"/>
      <c r="V486" s="1045">
        <f t="shared" si="197"/>
        <v>0</v>
      </c>
      <c r="W486" s="1132"/>
      <c r="X486" s="1045"/>
      <c r="Y486" s="1132"/>
      <c r="Z486" s="1045"/>
      <c r="AA486" s="893"/>
      <c r="AB486" s="890"/>
    </row>
    <row r="487" spans="3:28">
      <c r="C487" s="1280"/>
      <c r="D487" s="1280"/>
      <c r="E487" s="1285"/>
      <c r="F487" s="1280"/>
      <c r="G487" s="1280"/>
      <c r="H487" s="1280"/>
      <c r="I487" s="1280"/>
      <c r="J487" s="1280"/>
      <c r="K487" s="1280"/>
      <c r="L487" s="1280"/>
      <c r="M487" s="1280"/>
      <c r="N487" s="1280"/>
      <c r="O487" s="1280"/>
      <c r="P487" s="1280"/>
      <c r="Q487" s="1280"/>
      <c r="R487" s="1280"/>
      <c r="S487" s="1286"/>
      <c r="T487" s="1131">
        <f t="shared" si="195"/>
        <v>0</v>
      </c>
      <c r="U487" s="1045"/>
      <c r="V487" s="1045">
        <f t="shared" si="197"/>
        <v>0</v>
      </c>
      <c r="W487" s="1132"/>
      <c r="X487" s="1045"/>
      <c r="Y487" s="1132"/>
      <c r="Z487" s="1045"/>
      <c r="AA487" s="893"/>
      <c r="AB487" s="890"/>
    </row>
    <row r="488" spans="3:28">
      <c r="C488" s="1280"/>
      <c r="D488" s="1280"/>
      <c r="E488" s="1285"/>
      <c r="F488" s="1280"/>
      <c r="G488" s="1280"/>
      <c r="H488" s="1280"/>
      <c r="I488" s="1280"/>
      <c r="J488" s="1280"/>
      <c r="K488" s="1280"/>
      <c r="L488" s="1280"/>
      <c r="M488" s="1280"/>
      <c r="N488" s="1280"/>
      <c r="O488" s="1280"/>
      <c r="P488" s="1280"/>
      <c r="Q488" s="1280"/>
      <c r="R488" s="1280"/>
      <c r="S488" s="1286"/>
      <c r="T488" s="1131">
        <f t="shared" si="195"/>
        <v>0</v>
      </c>
      <c r="U488" s="1045"/>
      <c r="V488" s="1045"/>
      <c r="W488" s="1132"/>
      <c r="X488" s="1045"/>
      <c r="Y488" s="1045"/>
      <c r="Z488" s="1045"/>
      <c r="AA488" s="893"/>
      <c r="AB488" s="890"/>
    </row>
    <row r="489" spans="3:28">
      <c r="C489" s="1280"/>
      <c r="D489" s="1280"/>
      <c r="E489" s="1285"/>
      <c r="F489" s="1280"/>
      <c r="G489" s="1280"/>
      <c r="H489" s="1280"/>
      <c r="I489" s="1280"/>
      <c r="J489" s="1280"/>
      <c r="K489" s="1280"/>
      <c r="L489" s="1280"/>
      <c r="M489" s="1280"/>
      <c r="N489" s="1280"/>
      <c r="O489" s="1280"/>
      <c r="P489" s="1280"/>
      <c r="Q489" s="1280"/>
      <c r="R489" s="1280"/>
      <c r="S489" s="1286"/>
      <c r="T489" s="1131">
        <f t="shared" si="195"/>
        <v>0</v>
      </c>
      <c r="U489" s="1045"/>
      <c r="V489" s="1045"/>
      <c r="W489" s="1132"/>
      <c r="X489" s="1045"/>
      <c r="Y489" s="1045"/>
      <c r="Z489" s="1045"/>
      <c r="AA489" s="893"/>
      <c r="AB489" s="890"/>
    </row>
    <row r="490" spans="3:28">
      <c r="C490" s="1280"/>
      <c r="D490" s="1280"/>
      <c r="E490" s="1285"/>
      <c r="F490" s="1280"/>
      <c r="G490" s="1280"/>
      <c r="H490" s="1280"/>
      <c r="I490" s="1280"/>
      <c r="J490" s="1280"/>
      <c r="K490" s="1280"/>
      <c r="L490" s="1280"/>
      <c r="M490" s="1280"/>
      <c r="N490" s="1280"/>
      <c r="O490" s="1280"/>
      <c r="P490" s="1280"/>
      <c r="Q490" s="1280"/>
      <c r="R490" s="1280"/>
      <c r="S490" s="1286"/>
      <c r="T490" s="1131">
        <f t="shared" si="195"/>
        <v>0</v>
      </c>
      <c r="U490" s="1045"/>
      <c r="V490" s="1045"/>
      <c r="W490" s="1132"/>
      <c r="X490" s="1045"/>
      <c r="Y490" s="1045"/>
      <c r="Z490" s="1045"/>
      <c r="AA490" s="893"/>
      <c r="AB490" s="890"/>
    </row>
    <row r="491" spans="3:28">
      <c r="C491" s="1280"/>
      <c r="D491" s="1280"/>
      <c r="E491" s="1285"/>
      <c r="F491" s="1280"/>
      <c r="G491" s="1280"/>
      <c r="H491" s="1280"/>
      <c r="I491" s="1280"/>
      <c r="J491" s="1280"/>
      <c r="K491" s="1280"/>
      <c r="L491" s="1280"/>
      <c r="M491" s="1280"/>
      <c r="N491" s="1280"/>
      <c r="O491" s="1280"/>
      <c r="P491" s="1280"/>
      <c r="Q491" s="1280"/>
      <c r="R491" s="1280"/>
      <c r="S491" s="1286"/>
      <c r="T491" s="1131">
        <f t="shared" si="195"/>
        <v>0</v>
      </c>
      <c r="U491" s="1045"/>
      <c r="V491" s="1045"/>
      <c r="W491" s="1132"/>
      <c r="X491" s="1045"/>
      <c r="Y491" s="1045"/>
      <c r="Z491" s="1045"/>
      <c r="AA491" s="893"/>
      <c r="AB491" s="890"/>
    </row>
    <row r="492" spans="3:28">
      <c r="C492" s="1280"/>
      <c r="D492" s="1280"/>
      <c r="E492" s="1285"/>
      <c r="F492" s="1280"/>
      <c r="G492" s="1280"/>
      <c r="H492" s="1280"/>
      <c r="I492" s="1280"/>
      <c r="J492" s="1280"/>
      <c r="K492" s="1280"/>
      <c r="L492" s="1280"/>
      <c r="M492" s="1280"/>
      <c r="N492" s="1280"/>
      <c r="O492" s="1280"/>
      <c r="P492" s="1280"/>
      <c r="Q492" s="1280"/>
      <c r="R492" s="1280"/>
      <c r="S492" s="1280"/>
      <c r="T492" s="1131"/>
      <c r="U492" s="1040"/>
      <c r="V492" s="1040"/>
      <c r="W492" s="1287"/>
      <c r="X492" s="1040"/>
      <c r="Y492" s="1045"/>
      <c r="Z492" s="1045"/>
      <c r="AA492" s="552"/>
    </row>
    <row r="493" spans="3:28">
      <c r="C493" s="1280"/>
      <c r="D493" s="1280"/>
      <c r="E493" s="1285"/>
      <c r="F493" s="1280"/>
      <c r="G493" s="1280"/>
      <c r="H493" s="1280"/>
      <c r="I493" s="1280"/>
      <c r="J493" s="1280"/>
      <c r="K493" s="1280"/>
      <c r="L493" s="1280"/>
      <c r="M493" s="1280"/>
      <c r="N493" s="1280"/>
      <c r="O493" s="1280"/>
      <c r="P493" s="1280"/>
      <c r="Q493" s="1280"/>
      <c r="R493" s="1280"/>
      <c r="S493" s="1280"/>
      <c r="T493" s="1131"/>
      <c r="U493" s="1040"/>
      <c r="V493" s="1040"/>
      <c r="W493" s="1287"/>
      <c r="X493" s="1040"/>
      <c r="Y493" s="1045"/>
      <c r="Z493" s="1045"/>
      <c r="AA493" s="552"/>
    </row>
    <row r="494" spans="3:28">
      <c r="C494" s="1280"/>
      <c r="D494" s="1280"/>
      <c r="E494" s="1285"/>
      <c r="F494" s="1280"/>
      <c r="G494" s="1280"/>
      <c r="H494" s="1280"/>
      <c r="I494" s="1280"/>
      <c r="J494" s="1280"/>
      <c r="K494" s="1280"/>
      <c r="L494" s="1280"/>
      <c r="M494" s="1280"/>
      <c r="N494" s="1280"/>
      <c r="O494" s="1280"/>
      <c r="P494" s="1280"/>
      <c r="Q494" s="1280"/>
      <c r="R494" s="1280"/>
      <c r="S494" s="1280"/>
      <c r="T494" s="1280"/>
      <c r="U494" s="1288"/>
      <c r="V494" s="1288"/>
      <c r="W494" s="1289"/>
      <c r="X494" s="1288"/>
      <c r="Y494" s="1280"/>
      <c r="Z494" s="1280"/>
      <c r="AA494" s="552"/>
    </row>
    <row r="495" spans="3:28">
      <c r="C495" s="1280"/>
      <c r="D495" s="1280"/>
      <c r="E495" s="1285"/>
      <c r="F495" s="1280"/>
      <c r="G495" s="1280"/>
      <c r="H495" s="1280"/>
      <c r="I495" s="1280"/>
      <c r="J495" s="1280"/>
      <c r="K495" s="1280"/>
      <c r="L495" s="1280"/>
      <c r="M495" s="1280"/>
      <c r="N495" s="1280"/>
      <c r="O495" s="1280"/>
      <c r="P495" s="1280"/>
      <c r="Q495" s="1280"/>
      <c r="R495" s="1280"/>
      <c r="S495" s="1280"/>
      <c r="T495" s="1280"/>
      <c r="U495" s="1288"/>
      <c r="V495" s="1288"/>
      <c r="W495" s="1289"/>
      <c r="X495" s="1288"/>
      <c r="Y495" s="1280"/>
      <c r="Z495" s="1280"/>
      <c r="AA495" s="552"/>
      <c r="AB495" s="552"/>
    </row>
    <row r="496" spans="3:28">
      <c r="C496" s="1280"/>
      <c r="D496" s="1280"/>
      <c r="E496" s="1285"/>
      <c r="F496" s="1280"/>
      <c r="G496" s="1280"/>
      <c r="H496" s="1280"/>
      <c r="I496" s="1280"/>
      <c r="J496" s="1280"/>
      <c r="K496" s="1280"/>
      <c r="L496" s="1280"/>
      <c r="M496" s="1280"/>
      <c r="N496" s="1280"/>
      <c r="O496" s="1280"/>
      <c r="P496" s="1280"/>
      <c r="Q496" s="1280"/>
      <c r="R496" s="1280"/>
      <c r="S496" s="1280"/>
      <c r="T496" s="1280"/>
      <c r="U496" s="1280"/>
      <c r="V496" s="1280"/>
      <c r="W496" s="1285"/>
      <c r="X496" s="1280"/>
      <c r="Y496" s="1280"/>
      <c r="Z496" s="1280"/>
      <c r="AA496" s="552"/>
      <c r="AB496" s="552"/>
    </row>
    <row r="497" spans="3:28">
      <c r="C497" s="1280"/>
      <c r="D497" s="1280"/>
      <c r="E497" s="1285"/>
      <c r="F497" s="1280"/>
      <c r="G497" s="1280"/>
      <c r="H497" s="1280"/>
      <c r="I497" s="1280"/>
      <c r="J497" s="1280"/>
      <c r="K497" s="1280"/>
      <c r="L497" s="1280"/>
      <c r="M497" s="1280"/>
      <c r="N497" s="1280"/>
      <c r="O497" s="1280"/>
      <c r="P497" s="1280"/>
      <c r="Q497" s="1280"/>
      <c r="R497" s="1280"/>
      <c r="S497" s="1280"/>
      <c r="T497" s="1280"/>
      <c r="U497" s="1280"/>
      <c r="V497" s="1280"/>
      <c r="W497" s="1285"/>
      <c r="X497" s="1280"/>
      <c r="Y497" s="1280"/>
      <c r="Z497" s="1280"/>
      <c r="AA497" s="552"/>
      <c r="AB497" s="552"/>
    </row>
    <row r="498" spans="3:28">
      <c r="C498" s="1280"/>
      <c r="D498" s="1280"/>
      <c r="E498" s="1285"/>
      <c r="F498" s="1280"/>
      <c r="G498" s="1280"/>
      <c r="H498" s="1280"/>
      <c r="I498" s="1280"/>
      <c r="J498" s="1280"/>
      <c r="K498" s="1280"/>
      <c r="L498" s="1280"/>
      <c r="M498" s="1280"/>
      <c r="N498" s="1280"/>
      <c r="O498" s="1280"/>
      <c r="P498" s="1280"/>
      <c r="Q498" s="1280"/>
      <c r="R498" s="1280"/>
      <c r="S498" s="1280"/>
      <c r="T498" s="1280"/>
      <c r="U498" s="1280"/>
      <c r="V498" s="1280"/>
      <c r="W498" s="1285"/>
      <c r="X498" s="1280"/>
      <c r="Y498" s="1280"/>
      <c r="Z498" s="1280"/>
      <c r="AA498" s="552"/>
      <c r="AB498" s="552"/>
    </row>
    <row r="499" spans="3:28">
      <c r="C499" s="1280"/>
      <c r="D499" s="1280"/>
      <c r="E499" s="1285"/>
      <c r="F499" s="1280"/>
      <c r="G499" s="1280"/>
      <c r="H499" s="1280"/>
      <c r="I499" s="1280"/>
      <c r="J499" s="1280"/>
      <c r="K499" s="1280"/>
      <c r="L499" s="1280"/>
      <c r="M499" s="1280"/>
      <c r="N499" s="1280"/>
      <c r="O499" s="1280"/>
      <c r="P499" s="1280"/>
      <c r="Q499" s="1280"/>
      <c r="R499" s="1280"/>
      <c r="S499" s="1280"/>
      <c r="T499" s="1280"/>
      <c r="U499" s="1280"/>
      <c r="V499" s="1280"/>
      <c r="W499" s="1285"/>
      <c r="X499" s="1280"/>
      <c r="Y499" s="1280"/>
      <c r="Z499" s="1280"/>
      <c r="AA499" s="552"/>
      <c r="AB499" s="552"/>
    </row>
    <row r="500" spans="3:28">
      <c r="C500" s="1280"/>
      <c r="D500" s="1280"/>
      <c r="E500" s="1285"/>
      <c r="F500" s="1280"/>
      <c r="G500" s="1280"/>
      <c r="H500" s="1280"/>
      <c r="I500" s="1280"/>
      <c r="J500" s="1280"/>
      <c r="K500" s="1280"/>
      <c r="L500" s="1280"/>
      <c r="M500" s="1280"/>
      <c r="N500" s="1280"/>
      <c r="O500" s="1280"/>
      <c r="P500" s="1280"/>
      <c r="Q500" s="1280"/>
      <c r="R500" s="1280"/>
      <c r="S500" s="1280"/>
      <c r="T500" s="1280"/>
      <c r="U500" s="1280"/>
      <c r="V500" s="1280"/>
      <c r="W500" s="1285"/>
      <c r="X500" s="1280"/>
      <c r="Y500" s="1280"/>
      <c r="Z500" s="1280"/>
      <c r="AA500" s="552"/>
      <c r="AB500" s="552"/>
    </row>
    <row r="501" spans="3:28">
      <c r="C501" s="1280"/>
      <c r="D501" s="1280"/>
      <c r="E501" s="1285"/>
      <c r="F501" s="1280"/>
      <c r="G501" s="1280"/>
      <c r="H501" s="1280"/>
      <c r="I501" s="1280"/>
      <c r="J501" s="1280"/>
      <c r="K501" s="1280"/>
      <c r="L501" s="1280"/>
      <c r="M501" s="1280"/>
      <c r="N501" s="1280"/>
      <c r="O501" s="1280"/>
      <c r="P501" s="1280"/>
      <c r="Q501" s="1280"/>
      <c r="R501" s="1280"/>
      <c r="S501" s="1280"/>
      <c r="T501" s="1280"/>
      <c r="U501" s="1280"/>
      <c r="V501" s="1280"/>
      <c r="W501" s="1285"/>
      <c r="X501" s="1280"/>
      <c r="Y501" s="1280"/>
      <c r="Z501" s="1280"/>
      <c r="AA501" s="552"/>
      <c r="AB501" s="552"/>
    </row>
  </sheetData>
  <autoFilter ref="A4:AJ470">
    <filterColumn colId="4"/>
    <filterColumn colId="5"/>
    <filterColumn colId="6"/>
    <filterColumn colId="7"/>
    <filterColumn colId="8"/>
    <filterColumn colId="9"/>
    <filterColumn colId="10"/>
    <filterColumn colId="11"/>
    <filterColumn colId="12"/>
    <filterColumn colId="13"/>
    <filterColumn colId="14"/>
    <filterColumn colId="15"/>
    <filterColumn colId="16"/>
    <filterColumn colId="17"/>
    <filterColumn colId="24">
      <customFilters and="1">
        <customFilter operator="notEqual" val=" "/>
      </customFilters>
    </filterColumn>
  </autoFilter>
  <mergeCells count="24">
    <mergeCell ref="S2:T2"/>
    <mergeCell ref="A1:Z1"/>
    <mergeCell ref="A2:A3"/>
    <mergeCell ref="B2:B3"/>
    <mergeCell ref="C2:C3"/>
    <mergeCell ref="D2:D3"/>
    <mergeCell ref="Y2:Z2"/>
    <mergeCell ref="W2:X2"/>
    <mergeCell ref="U2:V2"/>
    <mergeCell ref="E2:F2"/>
    <mergeCell ref="O2:P2"/>
    <mergeCell ref="Q2:R2"/>
    <mergeCell ref="G2:H2"/>
    <mergeCell ref="I2:J2"/>
    <mergeCell ref="B344:B345"/>
    <mergeCell ref="B338:B339"/>
    <mergeCell ref="M2:N2"/>
    <mergeCell ref="K2:L2"/>
    <mergeCell ref="B333:B334"/>
    <mergeCell ref="D338:D339"/>
    <mergeCell ref="B341:B342"/>
    <mergeCell ref="D341:D342"/>
    <mergeCell ref="B327:B328"/>
    <mergeCell ref="B330:B331"/>
  </mergeCells>
  <printOptions horizontalCentered="1"/>
  <pageMargins left="0.23622047244094491" right="0.19685039370078741" top="0.6692913385826772" bottom="0.55118110236220474" header="0.27559055118110237" footer="0.27559055118110237"/>
  <pageSetup paperSize="8" scale="40" orientation="landscape" r:id="rId1"/>
  <headerFooter alignWithMargins="0">
    <oddHeader>&amp;R&amp;P</oddHeader>
  </headerFooter>
  <drawing r:id="rId2"/>
</worksheet>
</file>

<file path=xl/worksheets/sheet11.xml><?xml version="1.0" encoding="utf-8"?>
<worksheet xmlns="http://schemas.openxmlformats.org/spreadsheetml/2006/main" xmlns:r="http://schemas.openxmlformats.org/officeDocument/2006/relationships">
  <sheetPr>
    <tabColor rgb="FFFFFF00"/>
  </sheetPr>
  <dimension ref="A1:O2078"/>
  <sheetViews>
    <sheetView tabSelected="1" view="pageBreakPreview" zoomScaleSheetLayoutView="100" workbookViewId="0">
      <selection activeCell="B2001" sqref="B2001"/>
    </sheetView>
  </sheetViews>
  <sheetFormatPr defaultRowHeight="15.75"/>
  <cols>
    <col min="1" max="1" width="5.77734375" style="1091" customWidth="1"/>
    <col min="2" max="2" width="31.109375" style="1085" customWidth="1"/>
    <col min="3" max="4" width="5.88671875" style="1091" customWidth="1"/>
    <col min="5" max="5" width="8.6640625" style="1091" customWidth="1"/>
    <col min="6" max="6" width="8.88671875" style="1091"/>
    <col min="7" max="7" width="8" style="1091" customWidth="1"/>
    <col min="8" max="8" width="8.88671875" style="1091"/>
    <col min="257" max="257" width="6.44140625" bestFit="1" customWidth="1"/>
    <col min="258" max="258" width="30.77734375" customWidth="1"/>
    <col min="259" max="260" width="5.88671875" customWidth="1"/>
    <col min="261" max="261" width="10" customWidth="1"/>
    <col min="513" max="513" width="6.44140625" bestFit="1" customWidth="1"/>
    <col min="514" max="514" width="30.77734375" customWidth="1"/>
    <col min="515" max="516" width="5.88671875" customWidth="1"/>
    <col min="517" max="517" width="10" customWidth="1"/>
    <col min="769" max="769" width="6.44140625" bestFit="1" customWidth="1"/>
    <col min="770" max="770" width="30.77734375" customWidth="1"/>
    <col min="771" max="772" width="5.88671875" customWidth="1"/>
    <col min="773" max="773" width="10" customWidth="1"/>
    <col min="1025" max="1025" width="6.44140625" bestFit="1" customWidth="1"/>
    <col min="1026" max="1026" width="30.77734375" customWidth="1"/>
    <col min="1027" max="1028" width="5.88671875" customWidth="1"/>
    <col min="1029" max="1029" width="10" customWidth="1"/>
    <col min="1281" max="1281" width="6.44140625" bestFit="1" customWidth="1"/>
    <col min="1282" max="1282" width="30.77734375" customWidth="1"/>
    <col min="1283" max="1284" width="5.88671875" customWidth="1"/>
    <col min="1285" max="1285" width="10" customWidth="1"/>
    <col min="1537" max="1537" width="6.44140625" bestFit="1" customWidth="1"/>
    <col min="1538" max="1538" width="30.77734375" customWidth="1"/>
    <col min="1539" max="1540" width="5.88671875" customWidth="1"/>
    <col min="1541" max="1541" width="10" customWidth="1"/>
    <col min="1793" max="1793" width="6.44140625" bestFit="1" customWidth="1"/>
    <col min="1794" max="1794" width="30.77734375" customWidth="1"/>
    <col min="1795" max="1796" width="5.88671875" customWidth="1"/>
    <col min="1797" max="1797" width="10" customWidth="1"/>
    <col min="2049" max="2049" width="6.44140625" bestFit="1" customWidth="1"/>
    <col min="2050" max="2050" width="30.77734375" customWidth="1"/>
    <col min="2051" max="2052" width="5.88671875" customWidth="1"/>
    <col min="2053" max="2053" width="10" customWidth="1"/>
    <col min="2305" max="2305" width="6.44140625" bestFit="1" customWidth="1"/>
    <col min="2306" max="2306" width="30.77734375" customWidth="1"/>
    <col min="2307" max="2308" width="5.88671875" customWidth="1"/>
    <col min="2309" max="2309" width="10" customWidth="1"/>
    <col min="2561" max="2561" width="6.44140625" bestFit="1" customWidth="1"/>
    <col min="2562" max="2562" width="30.77734375" customWidth="1"/>
    <col min="2563" max="2564" width="5.88671875" customWidth="1"/>
    <col min="2565" max="2565" width="10" customWidth="1"/>
    <col min="2817" max="2817" width="6.44140625" bestFit="1" customWidth="1"/>
    <col min="2818" max="2818" width="30.77734375" customWidth="1"/>
    <col min="2819" max="2820" width="5.88671875" customWidth="1"/>
    <col min="2821" max="2821" width="10" customWidth="1"/>
    <col min="3073" max="3073" width="6.44140625" bestFit="1" customWidth="1"/>
    <col min="3074" max="3074" width="30.77734375" customWidth="1"/>
    <col min="3075" max="3076" width="5.88671875" customWidth="1"/>
    <col min="3077" max="3077" width="10" customWidth="1"/>
    <col min="3329" max="3329" width="6.44140625" bestFit="1" customWidth="1"/>
    <col min="3330" max="3330" width="30.77734375" customWidth="1"/>
    <col min="3331" max="3332" width="5.88671875" customWidth="1"/>
    <col min="3333" max="3333" width="10" customWidth="1"/>
    <col min="3585" max="3585" width="6.44140625" bestFit="1" customWidth="1"/>
    <col min="3586" max="3586" width="30.77734375" customWidth="1"/>
    <col min="3587" max="3588" width="5.88671875" customWidth="1"/>
    <col min="3589" max="3589" width="10" customWidth="1"/>
    <col min="3841" max="3841" width="6.44140625" bestFit="1" customWidth="1"/>
    <col min="3842" max="3842" width="30.77734375" customWidth="1"/>
    <col min="3843" max="3844" width="5.88671875" customWidth="1"/>
    <col min="3845" max="3845" width="10" customWidth="1"/>
    <col min="4097" max="4097" width="6.44140625" bestFit="1" customWidth="1"/>
    <col min="4098" max="4098" width="30.77734375" customWidth="1"/>
    <col min="4099" max="4100" width="5.88671875" customWidth="1"/>
    <col min="4101" max="4101" width="10" customWidth="1"/>
    <col min="4353" max="4353" width="6.44140625" bestFit="1" customWidth="1"/>
    <col min="4354" max="4354" width="30.77734375" customWidth="1"/>
    <col min="4355" max="4356" width="5.88671875" customWidth="1"/>
    <col min="4357" max="4357" width="10" customWidth="1"/>
    <col min="4609" max="4609" width="6.44140625" bestFit="1" customWidth="1"/>
    <col min="4610" max="4610" width="30.77734375" customWidth="1"/>
    <col min="4611" max="4612" width="5.88671875" customWidth="1"/>
    <col min="4613" max="4613" width="10" customWidth="1"/>
    <col min="4865" max="4865" width="6.44140625" bestFit="1" customWidth="1"/>
    <col min="4866" max="4866" width="30.77734375" customWidth="1"/>
    <col min="4867" max="4868" width="5.88671875" customWidth="1"/>
    <col min="4869" max="4869" width="10" customWidth="1"/>
    <col min="5121" max="5121" width="6.44140625" bestFit="1" customWidth="1"/>
    <col min="5122" max="5122" width="30.77734375" customWidth="1"/>
    <col min="5123" max="5124" width="5.88671875" customWidth="1"/>
    <col min="5125" max="5125" width="10" customWidth="1"/>
    <col min="5377" max="5377" width="6.44140625" bestFit="1" customWidth="1"/>
    <col min="5378" max="5378" width="30.77734375" customWidth="1"/>
    <col min="5379" max="5380" width="5.88671875" customWidth="1"/>
    <col min="5381" max="5381" width="10" customWidth="1"/>
    <col min="5633" max="5633" width="6.44140625" bestFit="1" customWidth="1"/>
    <col min="5634" max="5634" width="30.77734375" customWidth="1"/>
    <col min="5635" max="5636" width="5.88671875" customWidth="1"/>
    <col min="5637" max="5637" width="10" customWidth="1"/>
    <col min="5889" max="5889" width="6.44140625" bestFit="1" customWidth="1"/>
    <col min="5890" max="5890" width="30.77734375" customWidth="1"/>
    <col min="5891" max="5892" width="5.88671875" customWidth="1"/>
    <col min="5893" max="5893" width="10" customWidth="1"/>
    <col min="6145" max="6145" width="6.44140625" bestFit="1" customWidth="1"/>
    <col min="6146" max="6146" width="30.77734375" customWidth="1"/>
    <col min="6147" max="6148" width="5.88671875" customWidth="1"/>
    <col min="6149" max="6149" width="10" customWidth="1"/>
    <col min="6401" max="6401" width="6.44140625" bestFit="1" customWidth="1"/>
    <col min="6402" max="6402" width="30.77734375" customWidth="1"/>
    <col min="6403" max="6404" width="5.88671875" customWidth="1"/>
    <col min="6405" max="6405" width="10" customWidth="1"/>
    <col min="6657" max="6657" width="6.44140625" bestFit="1" customWidth="1"/>
    <col min="6658" max="6658" width="30.77734375" customWidth="1"/>
    <col min="6659" max="6660" width="5.88671875" customWidth="1"/>
    <col min="6661" max="6661" width="10" customWidth="1"/>
    <col min="6913" max="6913" width="6.44140625" bestFit="1" customWidth="1"/>
    <col min="6914" max="6914" width="30.77734375" customWidth="1"/>
    <col min="6915" max="6916" width="5.88671875" customWidth="1"/>
    <col min="6917" max="6917" width="10" customWidth="1"/>
    <col min="7169" max="7169" width="6.44140625" bestFit="1" customWidth="1"/>
    <col min="7170" max="7170" width="30.77734375" customWidth="1"/>
    <col min="7171" max="7172" width="5.88671875" customWidth="1"/>
    <col min="7173" max="7173" width="10" customWidth="1"/>
    <col min="7425" max="7425" width="6.44140625" bestFit="1" customWidth="1"/>
    <col min="7426" max="7426" width="30.77734375" customWidth="1"/>
    <col min="7427" max="7428" width="5.88671875" customWidth="1"/>
    <col min="7429" max="7429" width="10" customWidth="1"/>
    <col min="7681" max="7681" width="6.44140625" bestFit="1" customWidth="1"/>
    <col min="7682" max="7682" width="30.77734375" customWidth="1"/>
    <col min="7683" max="7684" width="5.88671875" customWidth="1"/>
    <col min="7685" max="7685" width="10" customWidth="1"/>
    <col min="7937" max="7937" width="6.44140625" bestFit="1" customWidth="1"/>
    <col min="7938" max="7938" width="30.77734375" customWidth="1"/>
    <col min="7939" max="7940" width="5.88671875" customWidth="1"/>
    <col min="7941" max="7941" width="10" customWidth="1"/>
    <col min="8193" max="8193" width="6.44140625" bestFit="1" customWidth="1"/>
    <col min="8194" max="8194" width="30.77734375" customWidth="1"/>
    <col min="8195" max="8196" width="5.88671875" customWidth="1"/>
    <col min="8197" max="8197" width="10" customWidth="1"/>
    <col min="8449" max="8449" width="6.44140625" bestFit="1" customWidth="1"/>
    <col min="8450" max="8450" width="30.77734375" customWidth="1"/>
    <col min="8451" max="8452" width="5.88671875" customWidth="1"/>
    <col min="8453" max="8453" width="10" customWidth="1"/>
    <col min="8705" max="8705" width="6.44140625" bestFit="1" customWidth="1"/>
    <col min="8706" max="8706" width="30.77734375" customWidth="1"/>
    <col min="8707" max="8708" width="5.88671875" customWidth="1"/>
    <col min="8709" max="8709" width="10" customWidth="1"/>
    <col min="8961" max="8961" width="6.44140625" bestFit="1" customWidth="1"/>
    <col min="8962" max="8962" width="30.77734375" customWidth="1"/>
    <col min="8963" max="8964" width="5.88671875" customWidth="1"/>
    <col min="8965" max="8965" width="10" customWidth="1"/>
    <col min="9217" max="9217" width="6.44140625" bestFit="1" customWidth="1"/>
    <col min="9218" max="9218" width="30.77734375" customWidth="1"/>
    <col min="9219" max="9220" width="5.88671875" customWidth="1"/>
    <col min="9221" max="9221" width="10" customWidth="1"/>
    <col min="9473" max="9473" width="6.44140625" bestFit="1" customWidth="1"/>
    <col min="9474" max="9474" width="30.77734375" customWidth="1"/>
    <col min="9475" max="9476" width="5.88671875" customWidth="1"/>
    <col min="9477" max="9477" width="10" customWidth="1"/>
    <col min="9729" max="9729" width="6.44140625" bestFit="1" customWidth="1"/>
    <col min="9730" max="9730" width="30.77734375" customWidth="1"/>
    <col min="9731" max="9732" width="5.88671875" customWidth="1"/>
    <col min="9733" max="9733" width="10" customWidth="1"/>
    <col min="9985" max="9985" width="6.44140625" bestFit="1" customWidth="1"/>
    <col min="9986" max="9986" width="30.77734375" customWidth="1"/>
    <col min="9987" max="9988" width="5.88671875" customWidth="1"/>
    <col min="9989" max="9989" width="10" customWidth="1"/>
    <col min="10241" max="10241" width="6.44140625" bestFit="1" customWidth="1"/>
    <col min="10242" max="10242" width="30.77734375" customWidth="1"/>
    <col min="10243" max="10244" width="5.88671875" customWidth="1"/>
    <col min="10245" max="10245" width="10" customWidth="1"/>
    <col min="10497" max="10497" width="6.44140625" bestFit="1" customWidth="1"/>
    <col min="10498" max="10498" width="30.77734375" customWidth="1"/>
    <col min="10499" max="10500" width="5.88671875" customWidth="1"/>
    <col min="10501" max="10501" width="10" customWidth="1"/>
    <col min="10753" max="10753" width="6.44140625" bestFit="1" customWidth="1"/>
    <col min="10754" max="10754" width="30.77734375" customWidth="1"/>
    <col min="10755" max="10756" width="5.88671875" customWidth="1"/>
    <col min="10757" max="10757" width="10" customWidth="1"/>
    <col min="11009" max="11009" width="6.44140625" bestFit="1" customWidth="1"/>
    <col min="11010" max="11010" width="30.77734375" customWidth="1"/>
    <col min="11011" max="11012" width="5.88671875" customWidth="1"/>
    <col min="11013" max="11013" width="10" customWidth="1"/>
    <col min="11265" max="11265" width="6.44140625" bestFit="1" customWidth="1"/>
    <col min="11266" max="11266" width="30.77734375" customWidth="1"/>
    <col min="11267" max="11268" width="5.88671875" customWidth="1"/>
    <col min="11269" max="11269" width="10" customWidth="1"/>
    <col min="11521" max="11521" width="6.44140625" bestFit="1" customWidth="1"/>
    <col min="11522" max="11522" width="30.77734375" customWidth="1"/>
    <col min="11523" max="11524" width="5.88671875" customWidth="1"/>
    <col min="11525" max="11525" width="10" customWidth="1"/>
    <col min="11777" max="11777" width="6.44140625" bestFit="1" customWidth="1"/>
    <col min="11778" max="11778" width="30.77734375" customWidth="1"/>
    <col min="11779" max="11780" width="5.88671875" customWidth="1"/>
    <col min="11781" max="11781" width="10" customWidth="1"/>
    <col min="12033" max="12033" width="6.44140625" bestFit="1" customWidth="1"/>
    <col min="12034" max="12034" width="30.77734375" customWidth="1"/>
    <col min="12035" max="12036" width="5.88671875" customWidth="1"/>
    <col min="12037" max="12037" width="10" customWidth="1"/>
    <col min="12289" max="12289" width="6.44140625" bestFit="1" customWidth="1"/>
    <col min="12290" max="12290" width="30.77734375" customWidth="1"/>
    <col min="12291" max="12292" width="5.88671875" customWidth="1"/>
    <col min="12293" max="12293" width="10" customWidth="1"/>
    <col min="12545" max="12545" width="6.44140625" bestFit="1" customWidth="1"/>
    <col min="12546" max="12546" width="30.77734375" customWidth="1"/>
    <col min="12547" max="12548" width="5.88671875" customWidth="1"/>
    <col min="12549" max="12549" width="10" customWidth="1"/>
    <col min="12801" max="12801" width="6.44140625" bestFit="1" customWidth="1"/>
    <col min="12802" max="12802" width="30.77734375" customWidth="1"/>
    <col min="12803" max="12804" width="5.88671875" customWidth="1"/>
    <col min="12805" max="12805" width="10" customWidth="1"/>
    <col min="13057" max="13057" width="6.44140625" bestFit="1" customWidth="1"/>
    <col min="13058" max="13058" width="30.77734375" customWidth="1"/>
    <col min="13059" max="13060" width="5.88671875" customWidth="1"/>
    <col min="13061" max="13061" width="10" customWidth="1"/>
    <col min="13313" max="13313" width="6.44140625" bestFit="1" customWidth="1"/>
    <col min="13314" max="13314" width="30.77734375" customWidth="1"/>
    <col min="13315" max="13316" width="5.88671875" customWidth="1"/>
    <col min="13317" max="13317" width="10" customWidth="1"/>
    <col min="13569" max="13569" width="6.44140625" bestFit="1" customWidth="1"/>
    <col min="13570" max="13570" width="30.77734375" customWidth="1"/>
    <col min="13571" max="13572" width="5.88671875" customWidth="1"/>
    <col min="13573" max="13573" width="10" customWidth="1"/>
    <col min="13825" max="13825" width="6.44140625" bestFit="1" customWidth="1"/>
    <col min="13826" max="13826" width="30.77734375" customWidth="1"/>
    <col min="13827" max="13828" width="5.88671875" customWidth="1"/>
    <col min="13829" max="13829" width="10" customWidth="1"/>
    <col min="14081" max="14081" width="6.44140625" bestFit="1" customWidth="1"/>
    <col min="14082" max="14082" width="30.77734375" customWidth="1"/>
    <col min="14083" max="14084" width="5.88671875" customWidth="1"/>
    <col min="14085" max="14085" width="10" customWidth="1"/>
    <col min="14337" max="14337" width="6.44140625" bestFit="1" customWidth="1"/>
    <col min="14338" max="14338" width="30.77734375" customWidth="1"/>
    <col min="14339" max="14340" width="5.88671875" customWidth="1"/>
    <col min="14341" max="14341" width="10" customWidth="1"/>
    <col min="14593" max="14593" width="6.44140625" bestFit="1" customWidth="1"/>
    <col min="14594" max="14594" width="30.77734375" customWidth="1"/>
    <col min="14595" max="14596" width="5.88671875" customWidth="1"/>
    <col min="14597" max="14597" width="10" customWidth="1"/>
    <col min="14849" max="14849" width="6.44140625" bestFit="1" customWidth="1"/>
    <col min="14850" max="14850" width="30.77734375" customWidth="1"/>
    <col min="14851" max="14852" width="5.88671875" customWidth="1"/>
    <col min="14853" max="14853" width="10" customWidth="1"/>
    <col min="15105" max="15105" width="6.44140625" bestFit="1" customWidth="1"/>
    <col min="15106" max="15106" width="30.77734375" customWidth="1"/>
    <col min="15107" max="15108" width="5.88671875" customWidth="1"/>
    <col min="15109" max="15109" width="10" customWidth="1"/>
    <col min="15361" max="15361" width="6.44140625" bestFit="1" customWidth="1"/>
    <col min="15362" max="15362" width="30.77734375" customWidth="1"/>
    <col min="15363" max="15364" width="5.88671875" customWidth="1"/>
    <col min="15365" max="15365" width="10" customWidth="1"/>
    <col min="15617" max="15617" width="6.44140625" bestFit="1" customWidth="1"/>
    <col min="15618" max="15618" width="30.77734375" customWidth="1"/>
    <col min="15619" max="15620" width="5.88671875" customWidth="1"/>
    <col min="15621" max="15621" width="10" customWidth="1"/>
    <col min="15873" max="15873" width="6.44140625" bestFit="1" customWidth="1"/>
    <col min="15874" max="15874" width="30.77734375" customWidth="1"/>
    <col min="15875" max="15876" width="5.88671875" customWidth="1"/>
    <col min="15877" max="15877" width="10" customWidth="1"/>
    <col min="16129" max="16129" width="6.44140625" bestFit="1" customWidth="1"/>
    <col min="16130" max="16130" width="30.77734375" customWidth="1"/>
    <col min="16131" max="16132" width="5.88671875" customWidth="1"/>
    <col min="16133" max="16133" width="10" customWidth="1"/>
  </cols>
  <sheetData>
    <row r="1" spans="1:8" ht="36.75" customHeight="1">
      <c r="A1" s="1514" t="s">
        <v>5059</v>
      </c>
      <c r="B1" s="1515"/>
      <c r="C1" s="1515"/>
      <c r="D1" s="1515"/>
      <c r="E1" s="1515"/>
      <c r="F1" s="1515"/>
      <c r="G1" s="1515"/>
      <c r="H1" s="1516"/>
    </row>
    <row r="2" spans="1:8" ht="20.25" customHeight="1">
      <c r="A2" s="1517" t="s">
        <v>5060</v>
      </c>
      <c r="B2" s="1518"/>
      <c r="C2" s="1518"/>
      <c r="D2" s="1518"/>
      <c r="E2" s="1518"/>
      <c r="F2" s="1518"/>
      <c r="G2" s="1518"/>
      <c r="H2" s="1519"/>
    </row>
    <row r="3" spans="1:8" ht="23.25" customHeight="1">
      <c r="A3" s="1520" t="s">
        <v>4957</v>
      </c>
      <c r="B3" s="1521"/>
      <c r="C3" s="1521"/>
      <c r="D3" s="1521"/>
      <c r="E3" s="1521"/>
      <c r="F3" s="1521"/>
      <c r="G3" s="1521"/>
      <c r="H3" s="1522"/>
    </row>
    <row r="4" spans="1:8" ht="27.75" customHeight="1">
      <c r="A4" s="1056" t="s">
        <v>662</v>
      </c>
      <c r="B4" s="1057" t="s">
        <v>5061</v>
      </c>
      <c r="C4" s="1523" t="s">
        <v>1807</v>
      </c>
      <c r="D4" s="1524"/>
      <c r="E4" s="1058" t="s">
        <v>4982</v>
      </c>
      <c r="F4" s="1058" t="s">
        <v>1500</v>
      </c>
      <c r="G4" s="1058" t="s">
        <v>4983</v>
      </c>
      <c r="H4" s="1058" t="s">
        <v>1532</v>
      </c>
    </row>
    <row r="5" spans="1:8" ht="20.25" customHeight="1">
      <c r="A5" s="1059">
        <v>1.1000000000000001</v>
      </c>
      <c r="B5" s="1060" t="s">
        <v>5062</v>
      </c>
      <c r="C5" s="1061"/>
      <c r="D5" s="1061"/>
      <c r="E5" s="1062"/>
      <c r="F5" s="1062"/>
      <c r="G5" s="1062"/>
      <c r="H5" s="1063"/>
    </row>
    <row r="6" spans="1:8">
      <c r="A6" s="1059"/>
      <c r="B6" s="1064" t="s">
        <v>5063</v>
      </c>
      <c r="C6" s="1061"/>
      <c r="D6" s="1061"/>
      <c r="E6" s="1062"/>
      <c r="F6" s="1062"/>
      <c r="G6" s="1062"/>
      <c r="H6" s="1063"/>
    </row>
    <row r="7" spans="1:8">
      <c r="A7" s="1059"/>
      <c r="B7" s="1065" t="s">
        <v>5064</v>
      </c>
      <c r="C7" s="1066">
        <v>1</v>
      </c>
      <c r="D7" s="1066">
        <v>3</v>
      </c>
      <c r="E7" s="1062">
        <v>1.5</v>
      </c>
      <c r="F7" s="1062">
        <v>1.5</v>
      </c>
      <c r="G7" s="1062">
        <v>1.8</v>
      </c>
      <c r="H7" s="1062">
        <f t="shared" ref="H7:H13" si="0">PRODUCT(C7:G7)</f>
        <v>12.15</v>
      </c>
    </row>
    <row r="8" spans="1:8">
      <c r="A8" s="1059"/>
      <c r="B8" s="1065" t="s">
        <v>5065</v>
      </c>
      <c r="C8" s="1066">
        <v>1</v>
      </c>
      <c r="D8" s="1066">
        <v>4</v>
      </c>
      <c r="E8" s="1062">
        <v>1.3</v>
      </c>
      <c r="F8" s="1062">
        <v>1.3</v>
      </c>
      <c r="G8" s="1062">
        <v>1.8</v>
      </c>
      <c r="H8" s="1062">
        <f t="shared" si="0"/>
        <v>12.17</v>
      </c>
    </row>
    <row r="9" spans="1:8">
      <c r="A9" s="1059"/>
      <c r="B9" s="1065" t="s">
        <v>5066</v>
      </c>
      <c r="C9" s="1066">
        <v>1</v>
      </c>
      <c r="D9" s="1066">
        <v>13</v>
      </c>
      <c r="E9" s="1062">
        <v>1.65</v>
      </c>
      <c r="F9" s="1062">
        <v>1.65</v>
      </c>
      <c r="G9" s="1062">
        <v>1.8</v>
      </c>
      <c r="H9" s="1062">
        <f t="shared" si="0"/>
        <v>63.71</v>
      </c>
    </row>
    <row r="10" spans="1:8">
      <c r="A10" s="1059"/>
      <c r="B10" s="1065" t="s">
        <v>5067</v>
      </c>
      <c r="C10" s="1066">
        <v>1</v>
      </c>
      <c r="D10" s="1066">
        <v>11</v>
      </c>
      <c r="E10" s="1062">
        <v>1.95</v>
      </c>
      <c r="F10" s="1062">
        <v>1.95</v>
      </c>
      <c r="G10" s="1062">
        <v>1.8</v>
      </c>
      <c r="H10" s="1062">
        <f t="shared" si="0"/>
        <v>75.290000000000006</v>
      </c>
    </row>
    <row r="11" spans="1:8">
      <c r="A11" s="1059"/>
      <c r="B11" s="1065" t="s">
        <v>5068</v>
      </c>
      <c r="C11" s="1066">
        <v>1</v>
      </c>
      <c r="D11" s="1066">
        <v>6</v>
      </c>
      <c r="E11" s="1062">
        <v>2.1</v>
      </c>
      <c r="F11" s="1062">
        <v>2.1</v>
      </c>
      <c r="G11" s="1062">
        <v>1.8</v>
      </c>
      <c r="H11" s="1062">
        <f t="shared" si="0"/>
        <v>47.63</v>
      </c>
    </row>
    <row r="12" spans="1:8">
      <c r="A12" s="1059"/>
      <c r="B12" s="1065" t="s">
        <v>5069</v>
      </c>
      <c r="C12" s="1066">
        <v>1</v>
      </c>
      <c r="D12" s="1066">
        <v>12</v>
      </c>
      <c r="E12" s="1062">
        <v>2.4</v>
      </c>
      <c r="F12" s="1062">
        <v>2.4</v>
      </c>
      <c r="G12" s="1062">
        <v>1.8</v>
      </c>
      <c r="H12" s="1062">
        <f t="shared" si="0"/>
        <v>124.42</v>
      </c>
    </row>
    <row r="13" spans="1:8">
      <c r="A13" s="1059"/>
      <c r="B13" s="1065" t="s">
        <v>5070</v>
      </c>
      <c r="C13" s="1066">
        <v>1</v>
      </c>
      <c r="D13" s="1066">
        <v>1</v>
      </c>
      <c r="E13" s="1062">
        <v>3.6</v>
      </c>
      <c r="F13" s="1062">
        <v>3.6</v>
      </c>
      <c r="G13" s="1062">
        <v>1.8</v>
      </c>
      <c r="H13" s="1062">
        <f t="shared" si="0"/>
        <v>23.33</v>
      </c>
    </row>
    <row r="14" spans="1:8">
      <c r="A14" s="1059"/>
      <c r="B14" s="1067" t="s">
        <v>5071</v>
      </c>
      <c r="C14" s="1066"/>
      <c r="D14" s="1066"/>
      <c r="E14" s="1066"/>
      <c r="F14" s="1066"/>
      <c r="G14" s="1066"/>
      <c r="H14" s="1062"/>
    </row>
    <row r="15" spans="1:8">
      <c r="A15" s="1065"/>
      <c r="B15" s="1069" t="s">
        <v>5990</v>
      </c>
      <c r="C15" s="1066">
        <v>1</v>
      </c>
      <c r="D15" s="1066">
        <v>1</v>
      </c>
      <c r="E15" s="1068">
        <v>47.24</v>
      </c>
      <c r="F15" s="1066">
        <v>0.45</v>
      </c>
      <c r="G15" s="1062">
        <v>0.65</v>
      </c>
      <c r="H15" s="1062">
        <f t="shared" ref="H15:H41" si="1">PRODUCT(C15:G15)</f>
        <v>13.82</v>
      </c>
    </row>
    <row r="16" spans="1:8">
      <c r="A16" s="1065"/>
      <c r="B16" s="1069" t="s">
        <v>6002</v>
      </c>
      <c r="C16" s="1066">
        <v>1</v>
      </c>
      <c r="D16" s="1066">
        <v>1</v>
      </c>
      <c r="E16" s="1068">
        <v>69.16</v>
      </c>
      <c r="F16" s="1066">
        <v>0.45</v>
      </c>
      <c r="G16" s="1062">
        <v>0.65</v>
      </c>
      <c r="H16" s="1062">
        <f t="shared" si="1"/>
        <v>20.23</v>
      </c>
    </row>
    <row r="17" spans="1:8">
      <c r="A17" s="1065"/>
      <c r="B17" s="1069" t="s">
        <v>5991</v>
      </c>
      <c r="C17" s="1066">
        <v>1</v>
      </c>
      <c r="D17" s="1066">
        <v>8</v>
      </c>
      <c r="E17" s="1068">
        <v>4.38</v>
      </c>
      <c r="F17" s="1066">
        <v>0.45</v>
      </c>
      <c r="G17" s="1062">
        <v>0.65</v>
      </c>
      <c r="H17" s="1062">
        <f t="shared" si="1"/>
        <v>10.25</v>
      </c>
    </row>
    <row r="18" spans="1:8">
      <c r="A18" s="1065"/>
      <c r="B18" s="1069" t="s">
        <v>5992</v>
      </c>
      <c r="C18" s="1066">
        <v>1</v>
      </c>
      <c r="D18" s="1066">
        <v>1</v>
      </c>
      <c r="E18" s="1068">
        <v>13.11</v>
      </c>
      <c r="F18" s="1066">
        <v>0.45</v>
      </c>
      <c r="G18" s="1062">
        <v>0.65</v>
      </c>
      <c r="H18" s="1062">
        <f t="shared" si="1"/>
        <v>3.83</v>
      </c>
    </row>
    <row r="19" spans="1:8">
      <c r="A19" s="1065"/>
      <c r="B19" s="1069" t="s">
        <v>5993</v>
      </c>
      <c r="C19" s="1066">
        <v>1</v>
      </c>
      <c r="D19" s="1066">
        <v>1</v>
      </c>
      <c r="E19" s="1068">
        <v>4.95</v>
      </c>
      <c r="F19" s="1066">
        <v>0.45</v>
      </c>
      <c r="G19" s="1062">
        <v>0.65</v>
      </c>
      <c r="H19" s="1062">
        <f t="shared" si="1"/>
        <v>1.45</v>
      </c>
    </row>
    <row r="20" spans="1:8">
      <c r="A20" s="1065"/>
      <c r="B20" s="1069" t="s">
        <v>5994</v>
      </c>
      <c r="C20" s="1066">
        <v>1</v>
      </c>
      <c r="D20" s="1066">
        <v>2</v>
      </c>
      <c r="E20" s="1068">
        <v>1.94</v>
      </c>
      <c r="F20" s="1066">
        <v>0.45</v>
      </c>
      <c r="G20" s="1062">
        <v>0.65</v>
      </c>
      <c r="H20" s="1062">
        <f t="shared" si="1"/>
        <v>1.1299999999999999</v>
      </c>
    </row>
    <row r="21" spans="1:8">
      <c r="A21" s="1065"/>
      <c r="B21" s="1069" t="s">
        <v>5995</v>
      </c>
      <c r="C21" s="1066">
        <v>1</v>
      </c>
      <c r="D21" s="1066">
        <v>5</v>
      </c>
      <c r="E21" s="1068">
        <v>9.2100000000000009</v>
      </c>
      <c r="F21" s="1066">
        <v>0.45</v>
      </c>
      <c r="G21" s="1062">
        <v>0.65</v>
      </c>
      <c r="H21" s="1062">
        <f t="shared" si="1"/>
        <v>13.47</v>
      </c>
    </row>
    <row r="22" spans="1:8">
      <c r="A22" s="1065"/>
      <c r="B22" s="1069" t="s">
        <v>6109</v>
      </c>
      <c r="C22" s="1066">
        <v>1</v>
      </c>
      <c r="D22" s="1066">
        <v>2</v>
      </c>
      <c r="E22" s="1068">
        <v>3.62</v>
      </c>
      <c r="F22" s="1066">
        <v>0.45</v>
      </c>
      <c r="G22" s="1062">
        <v>0.65</v>
      </c>
      <c r="H22" s="1062">
        <f t="shared" si="1"/>
        <v>2.12</v>
      </c>
    </row>
    <row r="23" spans="1:8">
      <c r="A23" s="1065"/>
      <c r="B23" s="1069" t="s">
        <v>6109</v>
      </c>
      <c r="C23" s="1066">
        <v>1</v>
      </c>
      <c r="D23" s="1066">
        <v>2</v>
      </c>
      <c r="E23" s="1068">
        <v>3.73</v>
      </c>
      <c r="F23" s="1066">
        <v>0.45</v>
      </c>
      <c r="G23" s="1062">
        <v>0.65</v>
      </c>
      <c r="H23" s="1062">
        <f t="shared" si="1"/>
        <v>2.1800000000000002</v>
      </c>
    </row>
    <row r="24" spans="1:8">
      <c r="A24" s="1065"/>
      <c r="B24" s="1069" t="s">
        <v>6109</v>
      </c>
      <c r="C24" s="1066">
        <v>1</v>
      </c>
      <c r="D24" s="1066">
        <v>2</v>
      </c>
      <c r="E24" s="1068">
        <v>3.68</v>
      </c>
      <c r="F24" s="1066">
        <v>0.45</v>
      </c>
      <c r="G24" s="1062">
        <v>0.65</v>
      </c>
      <c r="H24" s="1062">
        <f t="shared" si="1"/>
        <v>2.15</v>
      </c>
    </row>
    <row r="25" spans="1:8">
      <c r="A25" s="1065"/>
      <c r="B25" s="1069" t="s">
        <v>6109</v>
      </c>
      <c r="C25" s="1066">
        <v>1</v>
      </c>
      <c r="D25" s="1066">
        <v>2</v>
      </c>
      <c r="E25" s="1068">
        <v>3.86</v>
      </c>
      <c r="F25" s="1066">
        <v>0.45</v>
      </c>
      <c r="G25" s="1062">
        <v>0.65</v>
      </c>
      <c r="H25" s="1062">
        <f t="shared" si="1"/>
        <v>2.2599999999999998</v>
      </c>
    </row>
    <row r="26" spans="1:8">
      <c r="A26" s="1065"/>
      <c r="B26" s="1069" t="s">
        <v>6109</v>
      </c>
      <c r="C26" s="1066">
        <v>1</v>
      </c>
      <c r="D26" s="1066">
        <v>2</v>
      </c>
      <c r="E26" s="1068">
        <v>4.68</v>
      </c>
      <c r="F26" s="1066">
        <v>0.45</v>
      </c>
      <c r="G26" s="1062">
        <v>0.65</v>
      </c>
      <c r="H26" s="1062">
        <f t="shared" si="1"/>
        <v>2.74</v>
      </c>
    </row>
    <row r="27" spans="1:8">
      <c r="A27" s="1065"/>
      <c r="B27" s="1069" t="s">
        <v>6109</v>
      </c>
      <c r="C27" s="1066">
        <v>1</v>
      </c>
      <c r="D27" s="1066">
        <v>2</v>
      </c>
      <c r="E27" s="1068">
        <v>3.77</v>
      </c>
      <c r="F27" s="1066">
        <v>0.45</v>
      </c>
      <c r="G27" s="1062">
        <v>0.65</v>
      </c>
      <c r="H27" s="1062">
        <f t="shared" si="1"/>
        <v>2.21</v>
      </c>
    </row>
    <row r="28" spans="1:8">
      <c r="A28" s="1065"/>
      <c r="B28" s="1069" t="s">
        <v>5997</v>
      </c>
      <c r="C28" s="1066">
        <v>1</v>
      </c>
      <c r="D28" s="1066">
        <v>2</v>
      </c>
      <c r="E28" s="1068">
        <v>1.8</v>
      </c>
      <c r="F28" s="1066">
        <v>0.45</v>
      </c>
      <c r="G28" s="1062">
        <v>0.65</v>
      </c>
      <c r="H28" s="1062">
        <f t="shared" si="1"/>
        <v>1.05</v>
      </c>
    </row>
    <row r="29" spans="1:8">
      <c r="A29" s="1065"/>
      <c r="B29" s="1069" t="s">
        <v>6003</v>
      </c>
      <c r="C29" s="1066">
        <v>1</v>
      </c>
      <c r="D29" s="1066">
        <v>1</v>
      </c>
      <c r="E29" s="1068">
        <v>3.66</v>
      </c>
      <c r="F29" s="1066">
        <v>0.45</v>
      </c>
      <c r="G29" s="1062">
        <v>0.65</v>
      </c>
      <c r="H29" s="1062">
        <f t="shared" si="1"/>
        <v>1.07</v>
      </c>
    </row>
    <row r="30" spans="1:8">
      <c r="A30" s="1065"/>
      <c r="B30" s="1069" t="s">
        <v>6004</v>
      </c>
      <c r="C30" s="1066">
        <v>1</v>
      </c>
      <c r="D30" s="1066">
        <v>2</v>
      </c>
      <c r="E30" s="1068">
        <v>4.7</v>
      </c>
      <c r="F30" s="1066">
        <v>0.45</v>
      </c>
      <c r="G30" s="1062">
        <v>0.65</v>
      </c>
      <c r="H30" s="1062">
        <f t="shared" si="1"/>
        <v>2.75</v>
      </c>
    </row>
    <row r="31" spans="1:8">
      <c r="A31" s="1065"/>
      <c r="B31" s="1069" t="s">
        <v>6004</v>
      </c>
      <c r="C31" s="1066">
        <v>1</v>
      </c>
      <c r="D31" s="1066">
        <v>1</v>
      </c>
      <c r="E31" s="1068">
        <v>3.66</v>
      </c>
      <c r="F31" s="1066">
        <v>0.45</v>
      </c>
      <c r="G31" s="1062">
        <v>0.65</v>
      </c>
      <c r="H31" s="1062">
        <f t="shared" si="1"/>
        <v>1.07</v>
      </c>
    </row>
    <row r="32" spans="1:8">
      <c r="A32" s="1065"/>
      <c r="B32" s="1069" t="s">
        <v>6004</v>
      </c>
      <c r="C32" s="1066">
        <v>1</v>
      </c>
      <c r="D32" s="1066">
        <v>1</v>
      </c>
      <c r="E32" s="1068">
        <v>3.6</v>
      </c>
      <c r="F32" s="1066">
        <v>0.45</v>
      </c>
      <c r="G32" s="1062">
        <v>0.65</v>
      </c>
      <c r="H32" s="1062">
        <f t="shared" si="1"/>
        <v>1.05</v>
      </c>
    </row>
    <row r="33" spans="1:8">
      <c r="A33" s="1065"/>
      <c r="B33" s="1069" t="s">
        <v>5998</v>
      </c>
      <c r="C33" s="1066">
        <v>1</v>
      </c>
      <c r="D33" s="1066">
        <v>1</v>
      </c>
      <c r="E33" s="1068">
        <v>8.4700000000000006</v>
      </c>
      <c r="F33" s="1066">
        <v>0.45</v>
      </c>
      <c r="G33" s="1062">
        <v>0.65</v>
      </c>
      <c r="H33" s="1062">
        <f t="shared" si="1"/>
        <v>2.48</v>
      </c>
    </row>
    <row r="34" spans="1:8">
      <c r="A34" s="1065"/>
      <c r="B34" s="1069" t="s">
        <v>5999</v>
      </c>
      <c r="C34" s="1066">
        <v>1</v>
      </c>
      <c r="D34" s="1066">
        <v>2</v>
      </c>
      <c r="E34" s="1068">
        <v>7.26</v>
      </c>
      <c r="F34" s="1066">
        <v>0.45</v>
      </c>
      <c r="G34" s="1062">
        <v>0.65</v>
      </c>
      <c r="H34" s="1062">
        <f t="shared" si="1"/>
        <v>4.25</v>
      </c>
    </row>
    <row r="35" spans="1:8">
      <c r="A35" s="1065"/>
      <c r="B35" s="1069" t="s">
        <v>5998</v>
      </c>
      <c r="C35" s="1066">
        <v>1</v>
      </c>
      <c r="D35" s="1066">
        <v>1</v>
      </c>
      <c r="E35" s="1068">
        <v>11.77</v>
      </c>
      <c r="F35" s="1066">
        <v>0.45</v>
      </c>
      <c r="G35" s="1062">
        <v>0.65</v>
      </c>
      <c r="H35" s="1062">
        <f t="shared" si="1"/>
        <v>3.44</v>
      </c>
    </row>
    <row r="36" spans="1:8">
      <c r="A36" s="1065"/>
      <c r="B36" s="1069" t="s">
        <v>6000</v>
      </c>
      <c r="C36" s="1066">
        <v>1</v>
      </c>
      <c r="D36" s="1066">
        <v>1</v>
      </c>
      <c r="E36" s="1068">
        <v>8.14</v>
      </c>
      <c r="F36" s="1066">
        <v>0.45</v>
      </c>
      <c r="G36" s="1062">
        <v>0.65</v>
      </c>
      <c r="H36" s="1062">
        <f t="shared" si="1"/>
        <v>2.38</v>
      </c>
    </row>
    <row r="37" spans="1:8">
      <c r="A37" s="1065"/>
      <c r="B37" s="1069" t="s">
        <v>6001</v>
      </c>
      <c r="C37" s="1066">
        <v>1</v>
      </c>
      <c r="D37" s="1066">
        <v>1</v>
      </c>
      <c r="E37" s="1068">
        <v>2.1</v>
      </c>
      <c r="F37" s="1066">
        <v>0.45</v>
      </c>
      <c r="G37" s="1062">
        <v>0.65</v>
      </c>
      <c r="H37" s="1062">
        <f t="shared" si="1"/>
        <v>0.61</v>
      </c>
    </row>
    <row r="38" spans="1:8">
      <c r="A38" s="1065"/>
      <c r="B38" s="1069" t="s">
        <v>6001</v>
      </c>
      <c r="C38" s="1066">
        <v>1</v>
      </c>
      <c r="D38" s="1066">
        <v>1</v>
      </c>
      <c r="E38" s="1068">
        <v>4</v>
      </c>
      <c r="F38" s="1066">
        <v>0.45</v>
      </c>
      <c r="G38" s="1062">
        <v>0.65</v>
      </c>
      <c r="H38" s="1062">
        <f t="shared" si="1"/>
        <v>1.17</v>
      </c>
    </row>
    <row r="39" spans="1:8">
      <c r="A39" s="1065"/>
      <c r="B39" s="1082"/>
      <c r="C39" s="1066">
        <v>1</v>
      </c>
      <c r="D39" s="1066">
        <v>1</v>
      </c>
      <c r="E39" s="1068">
        <v>4.82</v>
      </c>
      <c r="F39" s="1066">
        <v>0.45</v>
      </c>
      <c r="G39" s="1062">
        <v>0.65</v>
      </c>
      <c r="H39" s="1062">
        <f t="shared" si="1"/>
        <v>1.41</v>
      </c>
    </row>
    <row r="40" spans="1:8">
      <c r="A40" s="1065"/>
      <c r="B40" s="1069" t="s">
        <v>5081</v>
      </c>
      <c r="C40" s="1066">
        <v>1</v>
      </c>
      <c r="D40" s="1066">
        <v>1</v>
      </c>
      <c r="E40" s="1062">
        <v>13.12</v>
      </c>
      <c r="F40" s="1066">
        <v>0.45</v>
      </c>
      <c r="G40" s="1062">
        <v>0.65</v>
      </c>
      <c r="H40" s="1062">
        <f t="shared" si="1"/>
        <v>3.84</v>
      </c>
    </row>
    <row r="41" spans="1:8">
      <c r="A41" s="1059"/>
      <c r="B41" s="1069" t="s">
        <v>5082</v>
      </c>
      <c r="C41" s="1066">
        <v>1</v>
      </c>
      <c r="D41" s="1066">
        <v>14</v>
      </c>
      <c r="E41" s="1062">
        <v>1.4</v>
      </c>
      <c r="F41" s="1066">
        <v>1.4</v>
      </c>
      <c r="G41" s="1062">
        <v>1</v>
      </c>
      <c r="H41" s="1062">
        <f t="shared" si="1"/>
        <v>27.44</v>
      </c>
    </row>
    <row r="42" spans="1:8">
      <c r="A42" s="1059"/>
      <c r="B42" s="1067" t="s">
        <v>5083</v>
      </c>
      <c r="C42" s="1066"/>
      <c r="D42" s="1066"/>
      <c r="E42" s="1066"/>
      <c r="F42" s="1066"/>
      <c r="G42" s="1062"/>
      <c r="H42" s="1062"/>
    </row>
    <row r="43" spans="1:8">
      <c r="A43" s="1059"/>
      <c r="B43" s="1065" t="s">
        <v>5064</v>
      </c>
      <c r="C43" s="1066">
        <v>-1</v>
      </c>
      <c r="D43" s="1066">
        <v>3</v>
      </c>
      <c r="E43" s="1062">
        <v>1.5</v>
      </c>
      <c r="F43" s="1066">
        <v>0.45</v>
      </c>
      <c r="G43" s="1062">
        <v>0.65</v>
      </c>
      <c r="H43" s="1062">
        <f t="shared" ref="H43:H44" si="2">PRODUCT(C43:G43)</f>
        <v>-1.32</v>
      </c>
    </row>
    <row r="44" spans="1:8">
      <c r="A44" s="1059"/>
      <c r="B44" s="1065" t="s">
        <v>5065</v>
      </c>
      <c r="C44" s="1066">
        <v>-1</v>
      </c>
      <c r="D44" s="1066">
        <v>4</v>
      </c>
      <c r="E44" s="1062">
        <v>1.3</v>
      </c>
      <c r="F44" s="1066">
        <v>0.45</v>
      </c>
      <c r="G44" s="1062">
        <v>0.65</v>
      </c>
      <c r="H44" s="1062">
        <f t="shared" si="2"/>
        <v>-1.52</v>
      </c>
    </row>
    <row r="45" spans="1:8">
      <c r="A45" s="1059"/>
      <c r="B45" s="1065" t="s">
        <v>5066</v>
      </c>
      <c r="C45" s="1066">
        <v>-1</v>
      </c>
      <c r="D45" s="1066">
        <v>13</v>
      </c>
      <c r="E45" s="1062">
        <v>1.65</v>
      </c>
      <c r="F45" s="1066">
        <v>0.45</v>
      </c>
      <c r="G45" s="1062">
        <v>0.65</v>
      </c>
      <c r="H45" s="1062">
        <f>PRODUCT(C45:G45)</f>
        <v>-6.27</v>
      </c>
    </row>
    <row r="46" spans="1:8">
      <c r="A46" s="1059"/>
      <c r="B46" s="1065" t="s">
        <v>5067</v>
      </c>
      <c r="C46" s="1066">
        <v>-1</v>
      </c>
      <c r="D46" s="1066">
        <v>11</v>
      </c>
      <c r="E46" s="1062">
        <v>1.95</v>
      </c>
      <c r="F46" s="1066">
        <v>0.45</v>
      </c>
      <c r="G46" s="1062">
        <v>0.65</v>
      </c>
      <c r="H46" s="1062">
        <f>PRODUCT(C46:G46)</f>
        <v>-6.27</v>
      </c>
    </row>
    <row r="47" spans="1:8">
      <c r="A47" s="1059"/>
      <c r="B47" s="1065" t="s">
        <v>5068</v>
      </c>
      <c r="C47" s="1066">
        <v>-1</v>
      </c>
      <c r="D47" s="1066">
        <v>6</v>
      </c>
      <c r="E47" s="1062">
        <v>2.1</v>
      </c>
      <c r="F47" s="1066">
        <v>0.45</v>
      </c>
      <c r="G47" s="1062">
        <v>0.65</v>
      </c>
      <c r="H47" s="1062">
        <f>PRODUCT(C47:G47)</f>
        <v>-3.69</v>
      </c>
    </row>
    <row r="48" spans="1:8">
      <c r="A48" s="1059"/>
      <c r="B48" s="1065" t="s">
        <v>5069</v>
      </c>
      <c r="C48" s="1066">
        <v>-1</v>
      </c>
      <c r="D48" s="1066">
        <v>12</v>
      </c>
      <c r="E48" s="1062">
        <v>2.4</v>
      </c>
      <c r="F48" s="1066">
        <v>0.45</v>
      </c>
      <c r="G48" s="1062">
        <v>0.65</v>
      </c>
      <c r="H48" s="1062">
        <f>PRODUCT(C48:G48)</f>
        <v>-8.42</v>
      </c>
    </row>
    <row r="49" spans="1:8">
      <c r="A49" s="1059"/>
      <c r="B49" s="1065" t="s">
        <v>5070</v>
      </c>
      <c r="C49" s="1066">
        <v>-1</v>
      </c>
      <c r="D49" s="1066">
        <v>1</v>
      </c>
      <c r="E49" s="1062">
        <v>3.6</v>
      </c>
      <c r="F49" s="1066">
        <v>0.45</v>
      </c>
      <c r="G49" s="1062">
        <v>0.65</v>
      </c>
      <c r="H49" s="1062">
        <f>PRODUCT(C49:G49)</f>
        <v>-1.05</v>
      </c>
    </row>
    <row r="50" spans="1:8">
      <c r="A50" s="1059"/>
      <c r="B50" s="1065"/>
      <c r="C50" s="1066"/>
      <c r="D50" s="1066"/>
      <c r="E50" s="1062"/>
      <c r="F50" s="1066"/>
      <c r="G50" s="1062"/>
      <c r="H50" s="1062">
        <f>SUM(H7:H49)</f>
        <v>462.01</v>
      </c>
    </row>
    <row r="51" spans="1:8">
      <c r="A51" s="1059"/>
      <c r="B51" s="1065"/>
      <c r="C51" s="1066"/>
      <c r="D51" s="1066"/>
      <c r="E51" s="1062"/>
      <c r="F51" s="1072" t="s">
        <v>4121</v>
      </c>
      <c r="G51" s="1073">
        <f>ROUNDUP(H50,1)</f>
        <v>462.1</v>
      </c>
      <c r="H51" s="1074" t="s">
        <v>5084</v>
      </c>
    </row>
    <row r="52" spans="1:8">
      <c r="A52" s="1059"/>
      <c r="B52" s="1064"/>
      <c r="C52" s="1061"/>
      <c r="D52" s="1061"/>
      <c r="E52" s="1062"/>
      <c r="F52" s="1062"/>
      <c r="G52" s="1062"/>
      <c r="H52" s="1063"/>
    </row>
    <row r="53" spans="1:8">
      <c r="A53" s="1059">
        <v>2.1</v>
      </c>
      <c r="B53" s="1075" t="s">
        <v>5085</v>
      </c>
      <c r="C53" s="1061"/>
      <c r="D53" s="1061"/>
      <c r="E53" s="1062"/>
      <c r="F53" s="1072"/>
      <c r="G53" s="1073"/>
      <c r="H53" s="1074"/>
    </row>
    <row r="54" spans="1:8">
      <c r="A54" s="1059"/>
      <c r="B54" s="1076" t="s">
        <v>5086</v>
      </c>
      <c r="C54" s="1061">
        <v>1</v>
      </c>
      <c r="D54" s="1061">
        <v>1</v>
      </c>
      <c r="E54" s="1062">
        <v>6.93</v>
      </c>
      <c r="F54" s="1062">
        <v>13.72</v>
      </c>
      <c r="G54" s="1068">
        <v>0.15</v>
      </c>
      <c r="H54" s="1063">
        <f t="shared" ref="H54:H60" si="3">PRODUCT(C54:G54)</f>
        <v>14.26</v>
      </c>
    </row>
    <row r="55" spans="1:8">
      <c r="A55" s="1059"/>
      <c r="B55" s="1076" t="s">
        <v>5087</v>
      </c>
      <c r="C55" s="1061">
        <v>1</v>
      </c>
      <c r="D55" s="1061">
        <v>0.5</v>
      </c>
      <c r="E55" s="1062">
        <v>4.57</v>
      </c>
      <c r="F55" s="1062">
        <v>3.73</v>
      </c>
      <c r="G55" s="1068">
        <v>0.15</v>
      </c>
      <c r="H55" s="1063">
        <f t="shared" si="3"/>
        <v>1.28</v>
      </c>
    </row>
    <row r="56" spans="1:8" ht="18.75" customHeight="1">
      <c r="A56" s="1059"/>
      <c r="B56" s="1076" t="s">
        <v>5088</v>
      </c>
      <c r="C56" s="1066">
        <v>1</v>
      </c>
      <c r="D56" s="1066">
        <v>1</v>
      </c>
      <c r="E56" s="1062">
        <v>24.46</v>
      </c>
      <c r="F56" s="1062">
        <v>9.2200000000000006</v>
      </c>
      <c r="G56" s="1068">
        <v>0.15</v>
      </c>
      <c r="H56" s="1063">
        <f t="shared" si="3"/>
        <v>33.83</v>
      </c>
    </row>
    <row r="57" spans="1:8" ht="17.25">
      <c r="A57" s="1059"/>
      <c r="B57" s="1076" t="s">
        <v>5089</v>
      </c>
      <c r="C57" s="1061">
        <v>1</v>
      </c>
      <c r="D57" s="1061">
        <v>0.25</v>
      </c>
      <c r="E57" s="1068">
        <v>3.14</v>
      </c>
      <c r="F57" s="1062" t="s">
        <v>5090</v>
      </c>
      <c r="G57" s="1068">
        <v>0.15</v>
      </c>
      <c r="H57" s="1063">
        <v>10.09</v>
      </c>
    </row>
    <row r="58" spans="1:8">
      <c r="A58" s="1059"/>
      <c r="B58" s="1076" t="s">
        <v>5091</v>
      </c>
      <c r="C58" s="1061">
        <v>1</v>
      </c>
      <c r="D58" s="1061">
        <v>1</v>
      </c>
      <c r="E58" s="1068">
        <v>6.82</v>
      </c>
      <c r="F58" s="1068">
        <v>1.83</v>
      </c>
      <c r="G58" s="1068">
        <v>0.15</v>
      </c>
      <c r="H58" s="1063">
        <f t="shared" si="3"/>
        <v>1.87</v>
      </c>
    </row>
    <row r="59" spans="1:8">
      <c r="A59" s="1059"/>
      <c r="B59" s="1076" t="s">
        <v>5092</v>
      </c>
      <c r="C59" s="1061">
        <v>1</v>
      </c>
      <c r="D59" s="1061">
        <v>1</v>
      </c>
      <c r="E59" s="1068">
        <v>8.76</v>
      </c>
      <c r="F59" s="1068">
        <v>1.83</v>
      </c>
      <c r="G59" s="1068">
        <v>0.15</v>
      </c>
      <c r="H59" s="1063">
        <f t="shared" si="3"/>
        <v>2.4</v>
      </c>
    </row>
    <row r="60" spans="1:8">
      <c r="A60" s="1059"/>
      <c r="B60" s="1076" t="s">
        <v>5093</v>
      </c>
      <c r="C60" s="1061">
        <v>1</v>
      </c>
      <c r="D60" s="1061">
        <v>1</v>
      </c>
      <c r="E60" s="1062">
        <v>2.44</v>
      </c>
      <c r="F60" s="1062">
        <v>3.66</v>
      </c>
      <c r="G60" s="1068">
        <v>0.15</v>
      </c>
      <c r="H60" s="1063">
        <f t="shared" si="3"/>
        <v>1.34</v>
      </c>
    </row>
    <row r="61" spans="1:8">
      <c r="A61" s="1059"/>
      <c r="B61" s="1064"/>
      <c r="C61" s="1061"/>
      <c r="D61" s="1061"/>
      <c r="E61" s="1062"/>
      <c r="F61" s="1062"/>
      <c r="G61" s="1058"/>
      <c r="H61" s="1077">
        <f>SUM(H54:H60)</f>
        <v>65.069999999999993</v>
      </c>
    </row>
    <row r="62" spans="1:8">
      <c r="A62" s="1059"/>
      <c r="B62" s="1076"/>
      <c r="C62" s="1061"/>
      <c r="D62" s="1061"/>
      <c r="E62" s="1062"/>
      <c r="F62" s="1072" t="s">
        <v>4121</v>
      </c>
      <c r="G62" s="1073">
        <f>ROUNDUP(H61,1)</f>
        <v>65.099999999999994</v>
      </c>
      <c r="H62" s="1074" t="s">
        <v>5084</v>
      </c>
    </row>
    <row r="63" spans="1:8" s="1079" customFormat="1">
      <c r="A63" s="1078" t="s">
        <v>5094</v>
      </c>
      <c r="B63" s="1078" t="s">
        <v>5095</v>
      </c>
      <c r="C63" s="1078"/>
      <c r="D63" s="1078"/>
      <c r="E63" s="1078"/>
      <c r="F63" s="1078"/>
      <c r="G63" s="1078"/>
      <c r="H63" s="1078"/>
    </row>
    <row r="64" spans="1:8" s="1079" customFormat="1">
      <c r="A64" s="1078"/>
      <c r="B64" s="1076" t="s">
        <v>5086</v>
      </c>
      <c r="C64" s="1061">
        <v>1</v>
      </c>
      <c r="D64" s="1061">
        <v>1</v>
      </c>
      <c r="E64" s="1062">
        <v>6.93</v>
      </c>
      <c r="F64" s="1062">
        <v>13.72</v>
      </c>
      <c r="G64" s="1080">
        <v>0.92500000000000004</v>
      </c>
      <c r="H64" s="1078">
        <f t="shared" ref="H64:H70" si="4">PRODUCT(C64:G64)</f>
        <v>87.95</v>
      </c>
    </row>
    <row r="65" spans="1:8" s="1079" customFormat="1">
      <c r="A65" s="1078"/>
      <c r="B65" s="1076" t="s">
        <v>5087</v>
      </c>
      <c r="C65" s="1061">
        <v>1</v>
      </c>
      <c r="D65" s="1061">
        <v>0.5</v>
      </c>
      <c r="E65" s="1062">
        <v>4.57</v>
      </c>
      <c r="F65" s="1062">
        <v>3.73</v>
      </c>
      <c r="G65" s="1080">
        <v>0.92500000000000004</v>
      </c>
      <c r="H65" s="1078">
        <f t="shared" si="4"/>
        <v>7.88</v>
      </c>
    </row>
    <row r="66" spans="1:8" s="1079" customFormat="1" ht="29.25">
      <c r="A66" s="1078"/>
      <c r="B66" s="1076" t="s">
        <v>5088</v>
      </c>
      <c r="C66" s="1066">
        <v>1</v>
      </c>
      <c r="D66" s="1066">
        <v>1</v>
      </c>
      <c r="E66" s="1062">
        <v>24.46</v>
      </c>
      <c r="F66" s="1062">
        <v>9.2200000000000006</v>
      </c>
      <c r="G66" s="1080">
        <v>0.92500000000000004</v>
      </c>
      <c r="H66" s="1078">
        <f t="shared" si="4"/>
        <v>208.61</v>
      </c>
    </row>
    <row r="67" spans="1:8" s="1079" customFormat="1" ht="17.25">
      <c r="A67" s="1078"/>
      <c r="B67" s="1076" t="s">
        <v>5089</v>
      </c>
      <c r="C67" s="1061">
        <v>1</v>
      </c>
      <c r="D67" s="1061">
        <v>0.25</v>
      </c>
      <c r="E67" s="1068">
        <v>3.14</v>
      </c>
      <c r="F67" s="1062" t="s">
        <v>5090</v>
      </c>
      <c r="G67" s="1080">
        <v>0.92500000000000004</v>
      </c>
      <c r="H67" s="1078">
        <v>62.26</v>
      </c>
    </row>
    <row r="68" spans="1:8" s="1079" customFormat="1">
      <c r="A68" s="1078"/>
      <c r="B68" s="1076" t="s">
        <v>5091</v>
      </c>
      <c r="C68" s="1061">
        <v>1</v>
      </c>
      <c r="D68" s="1061">
        <v>1</v>
      </c>
      <c r="E68" s="1068">
        <v>6.82</v>
      </c>
      <c r="F68" s="1068">
        <v>1.83</v>
      </c>
      <c r="G68" s="1080">
        <v>0.92500000000000004</v>
      </c>
      <c r="H68" s="1078">
        <f t="shared" si="4"/>
        <v>11.54</v>
      </c>
    </row>
    <row r="69" spans="1:8" s="1079" customFormat="1">
      <c r="A69" s="1078"/>
      <c r="B69" s="1076" t="s">
        <v>5092</v>
      </c>
      <c r="C69" s="1061">
        <v>1</v>
      </c>
      <c r="D69" s="1061">
        <v>1</v>
      </c>
      <c r="E69" s="1068">
        <v>8.76</v>
      </c>
      <c r="F69" s="1068">
        <v>1.83</v>
      </c>
      <c r="G69" s="1080">
        <v>0.92500000000000004</v>
      </c>
      <c r="H69" s="1078">
        <f t="shared" si="4"/>
        <v>14.83</v>
      </c>
    </row>
    <row r="70" spans="1:8" s="1079" customFormat="1">
      <c r="A70" s="1078"/>
      <c r="B70" s="1076" t="s">
        <v>5093</v>
      </c>
      <c r="C70" s="1061">
        <v>1</v>
      </c>
      <c r="D70" s="1061">
        <v>1</v>
      </c>
      <c r="E70" s="1062">
        <v>2.44</v>
      </c>
      <c r="F70" s="1062">
        <v>3.66</v>
      </c>
      <c r="G70" s="1080">
        <v>0.92500000000000004</v>
      </c>
      <c r="H70" s="1078">
        <f t="shared" si="4"/>
        <v>8.26</v>
      </c>
    </row>
    <row r="71" spans="1:8" s="1079" customFormat="1">
      <c r="A71" s="1078"/>
      <c r="B71" s="1076" t="s">
        <v>6072</v>
      </c>
      <c r="C71" s="1061"/>
      <c r="D71" s="1061"/>
      <c r="E71" s="1062"/>
      <c r="F71" s="1062"/>
      <c r="G71" s="1080"/>
      <c r="H71" s="1078">
        <f>-H612</f>
        <v>-109.2</v>
      </c>
    </row>
    <row r="72" spans="1:8" s="1079" customFormat="1">
      <c r="A72" s="1078"/>
      <c r="B72" s="1078"/>
      <c r="C72" s="1078"/>
      <c r="D72" s="1078"/>
      <c r="E72" s="1078"/>
      <c r="F72" s="1078"/>
      <c r="G72" s="1078"/>
      <c r="H72" s="1078">
        <f>SUM(H64:H71)</f>
        <v>292.13</v>
      </c>
    </row>
    <row r="73" spans="1:8" s="1079" customFormat="1">
      <c r="A73" s="1078"/>
      <c r="B73" s="1078"/>
      <c r="C73" s="1078"/>
      <c r="D73" s="1078"/>
      <c r="E73" s="1078"/>
      <c r="F73" s="1081" t="s">
        <v>4121</v>
      </c>
      <c r="G73" s="1081">
        <f>ROUNDUP(H72,1)</f>
        <v>292.2</v>
      </c>
      <c r="H73" s="1081" t="s">
        <v>2070</v>
      </c>
    </row>
    <row r="74" spans="1:8">
      <c r="A74" s="1059">
        <v>3.1</v>
      </c>
      <c r="B74" s="1075" t="s">
        <v>5096</v>
      </c>
      <c r="C74" s="1061"/>
      <c r="D74" s="1061"/>
      <c r="E74" s="1062"/>
      <c r="F74" s="1072"/>
      <c r="G74" s="1073"/>
      <c r="H74" s="1074"/>
    </row>
    <row r="75" spans="1:8">
      <c r="A75" s="1056"/>
      <c r="B75" s="1067" t="s">
        <v>5097</v>
      </c>
      <c r="C75" s="1066"/>
      <c r="D75" s="1066"/>
      <c r="E75" s="1066"/>
      <c r="F75" s="1066"/>
      <c r="G75" s="1066"/>
      <c r="H75" s="1062"/>
    </row>
    <row r="76" spans="1:8">
      <c r="A76" s="1065"/>
      <c r="B76" s="1065" t="s">
        <v>5064</v>
      </c>
      <c r="C76" s="1066">
        <v>1</v>
      </c>
      <c r="D76" s="1066">
        <v>3</v>
      </c>
      <c r="E76" s="1062">
        <v>1.5</v>
      </c>
      <c r="F76" s="1062">
        <v>1.5</v>
      </c>
      <c r="G76" s="1062">
        <v>0.1</v>
      </c>
      <c r="H76" s="1062">
        <f t="shared" ref="H76:H82" si="5">PRODUCT(C76:G76)</f>
        <v>0.68</v>
      </c>
    </row>
    <row r="77" spans="1:8">
      <c r="A77" s="1065"/>
      <c r="B77" s="1065" t="s">
        <v>5065</v>
      </c>
      <c r="C77" s="1066">
        <v>1</v>
      </c>
      <c r="D77" s="1066">
        <v>4</v>
      </c>
      <c r="E77" s="1062">
        <v>1.3</v>
      </c>
      <c r="F77" s="1062">
        <v>1.3</v>
      </c>
      <c r="G77" s="1062">
        <v>0.1</v>
      </c>
      <c r="H77" s="1062">
        <f t="shared" si="5"/>
        <v>0.68</v>
      </c>
    </row>
    <row r="78" spans="1:8">
      <c r="A78" s="1065"/>
      <c r="B78" s="1065" t="s">
        <v>5066</v>
      </c>
      <c r="C78" s="1066">
        <v>1</v>
      </c>
      <c r="D78" s="1066">
        <v>13</v>
      </c>
      <c r="E78" s="1062">
        <v>1.65</v>
      </c>
      <c r="F78" s="1062">
        <v>1.65</v>
      </c>
      <c r="G78" s="1062">
        <v>0.1</v>
      </c>
      <c r="H78" s="1062">
        <f t="shared" si="5"/>
        <v>3.54</v>
      </c>
    </row>
    <row r="79" spans="1:8">
      <c r="A79" s="1065"/>
      <c r="B79" s="1065" t="s">
        <v>5067</v>
      </c>
      <c r="C79" s="1066">
        <v>1</v>
      </c>
      <c r="D79" s="1066">
        <v>11</v>
      </c>
      <c r="E79" s="1062">
        <v>1.95</v>
      </c>
      <c r="F79" s="1062">
        <v>1.95</v>
      </c>
      <c r="G79" s="1062">
        <v>0.1</v>
      </c>
      <c r="H79" s="1062">
        <f t="shared" si="5"/>
        <v>4.18</v>
      </c>
    </row>
    <row r="80" spans="1:8">
      <c r="A80" s="1065"/>
      <c r="B80" s="1065" t="s">
        <v>5068</v>
      </c>
      <c r="C80" s="1066">
        <v>1</v>
      </c>
      <c r="D80" s="1066">
        <v>6</v>
      </c>
      <c r="E80" s="1062">
        <v>2.1</v>
      </c>
      <c r="F80" s="1062">
        <v>2.1</v>
      </c>
      <c r="G80" s="1062">
        <v>0.1</v>
      </c>
      <c r="H80" s="1062">
        <f t="shared" si="5"/>
        <v>2.65</v>
      </c>
    </row>
    <row r="81" spans="1:8">
      <c r="A81" s="1065"/>
      <c r="B81" s="1065" t="s">
        <v>5069</v>
      </c>
      <c r="C81" s="1066">
        <v>1</v>
      </c>
      <c r="D81" s="1066">
        <v>12</v>
      </c>
      <c r="E81" s="1062">
        <v>2.4</v>
      </c>
      <c r="F81" s="1062">
        <v>2.4</v>
      </c>
      <c r="G81" s="1062">
        <v>0.1</v>
      </c>
      <c r="H81" s="1062">
        <f t="shared" si="5"/>
        <v>6.91</v>
      </c>
    </row>
    <row r="82" spans="1:8">
      <c r="A82" s="1065"/>
      <c r="B82" s="1065" t="s">
        <v>5070</v>
      </c>
      <c r="C82" s="1066">
        <v>1</v>
      </c>
      <c r="D82" s="1066">
        <v>1</v>
      </c>
      <c r="E82" s="1062">
        <v>3.6</v>
      </c>
      <c r="F82" s="1062">
        <v>3.6</v>
      </c>
      <c r="G82" s="1062">
        <v>0.1</v>
      </c>
      <c r="H82" s="1062">
        <f t="shared" si="5"/>
        <v>1.3</v>
      </c>
    </row>
    <row r="83" spans="1:8">
      <c r="A83" s="1059"/>
      <c r="B83" s="1067" t="s">
        <v>5071</v>
      </c>
      <c r="C83" s="1066"/>
      <c r="D83" s="1066"/>
      <c r="E83" s="1066"/>
      <c r="F83" s="1066"/>
      <c r="G83" s="1066"/>
      <c r="H83" s="1062"/>
    </row>
    <row r="84" spans="1:8">
      <c r="A84" s="1065"/>
      <c r="B84" s="1069" t="s">
        <v>5990</v>
      </c>
      <c r="C84" s="1066">
        <v>1</v>
      </c>
      <c r="D84" s="1066">
        <v>1</v>
      </c>
      <c r="E84" s="1068">
        <v>47.24</v>
      </c>
      <c r="F84" s="1066">
        <v>0.23</v>
      </c>
      <c r="G84" s="1062">
        <v>0.1</v>
      </c>
      <c r="H84" s="1062">
        <f t="shared" ref="H84:H109" si="6">PRODUCT(C84:G84)</f>
        <v>1.0900000000000001</v>
      </c>
    </row>
    <row r="85" spans="1:8">
      <c r="A85" s="1065"/>
      <c r="B85" s="1069" t="s">
        <v>6002</v>
      </c>
      <c r="C85" s="1066">
        <v>1</v>
      </c>
      <c r="D85" s="1066">
        <v>1</v>
      </c>
      <c r="E85" s="1068">
        <v>69.16</v>
      </c>
      <c r="F85" s="1066">
        <v>0.23</v>
      </c>
      <c r="G85" s="1062">
        <v>0.1</v>
      </c>
      <c r="H85" s="1062">
        <f t="shared" si="6"/>
        <v>1.59</v>
      </c>
    </row>
    <row r="86" spans="1:8">
      <c r="A86" s="1065"/>
      <c r="B86" s="1069" t="s">
        <v>5991</v>
      </c>
      <c r="C86" s="1066">
        <v>1</v>
      </c>
      <c r="D86" s="1066">
        <v>8</v>
      </c>
      <c r="E86" s="1068">
        <v>4.38</v>
      </c>
      <c r="F86" s="1066">
        <v>0.23</v>
      </c>
      <c r="G86" s="1062">
        <v>0.1</v>
      </c>
      <c r="H86" s="1062">
        <f t="shared" si="6"/>
        <v>0.81</v>
      </c>
    </row>
    <row r="87" spans="1:8">
      <c r="A87" s="1065"/>
      <c r="B87" s="1069" t="s">
        <v>5992</v>
      </c>
      <c r="C87" s="1066">
        <v>1</v>
      </c>
      <c r="D87" s="1066">
        <v>1</v>
      </c>
      <c r="E87" s="1068">
        <v>13.11</v>
      </c>
      <c r="F87" s="1066">
        <v>0.23</v>
      </c>
      <c r="G87" s="1062">
        <v>0.1</v>
      </c>
      <c r="H87" s="1062">
        <f t="shared" si="6"/>
        <v>0.3</v>
      </c>
    </row>
    <row r="88" spans="1:8">
      <c r="A88" s="1065"/>
      <c r="B88" s="1069" t="s">
        <v>5993</v>
      </c>
      <c r="C88" s="1066">
        <v>1</v>
      </c>
      <c r="D88" s="1066">
        <v>1</v>
      </c>
      <c r="E88" s="1068">
        <v>4.95</v>
      </c>
      <c r="F88" s="1066">
        <v>0.23</v>
      </c>
      <c r="G88" s="1062">
        <v>0.1</v>
      </c>
      <c r="H88" s="1062">
        <f t="shared" si="6"/>
        <v>0.11</v>
      </c>
    </row>
    <row r="89" spans="1:8">
      <c r="A89" s="1065"/>
      <c r="B89" s="1069" t="s">
        <v>5994</v>
      </c>
      <c r="C89" s="1066">
        <v>1</v>
      </c>
      <c r="D89" s="1066">
        <v>2</v>
      </c>
      <c r="E89" s="1068">
        <v>1.94</v>
      </c>
      <c r="F89" s="1066">
        <v>0.23</v>
      </c>
      <c r="G89" s="1062">
        <v>0.1</v>
      </c>
      <c r="H89" s="1062">
        <f t="shared" si="6"/>
        <v>0.09</v>
      </c>
    </row>
    <row r="90" spans="1:8">
      <c r="A90" s="1065"/>
      <c r="B90" s="1069" t="s">
        <v>5995</v>
      </c>
      <c r="C90" s="1066">
        <v>1</v>
      </c>
      <c r="D90" s="1066">
        <v>5</v>
      </c>
      <c r="E90" s="1068">
        <v>9.2100000000000009</v>
      </c>
      <c r="F90" s="1066">
        <v>0.23</v>
      </c>
      <c r="G90" s="1062">
        <v>0.1</v>
      </c>
      <c r="H90" s="1062">
        <f t="shared" si="6"/>
        <v>1.06</v>
      </c>
    </row>
    <row r="91" spans="1:8">
      <c r="A91" s="1065"/>
      <c r="B91" s="1069" t="s">
        <v>5996</v>
      </c>
      <c r="C91" s="1066">
        <v>1</v>
      </c>
      <c r="D91" s="1066">
        <v>2</v>
      </c>
      <c r="E91" s="1068">
        <v>3.62</v>
      </c>
      <c r="F91" s="1066">
        <v>0.23</v>
      </c>
      <c r="G91" s="1062">
        <v>0.1</v>
      </c>
      <c r="H91" s="1062">
        <f t="shared" si="6"/>
        <v>0.17</v>
      </c>
    </row>
    <row r="92" spans="1:8">
      <c r="A92" s="1065"/>
      <c r="B92" s="1069" t="s">
        <v>5996</v>
      </c>
      <c r="C92" s="1066">
        <v>1</v>
      </c>
      <c r="D92" s="1066">
        <v>2</v>
      </c>
      <c r="E92" s="1068">
        <v>3.73</v>
      </c>
      <c r="F92" s="1066">
        <v>0.23</v>
      </c>
      <c r="G92" s="1062">
        <v>0.1</v>
      </c>
      <c r="H92" s="1062">
        <f t="shared" si="6"/>
        <v>0.17</v>
      </c>
    </row>
    <row r="93" spans="1:8">
      <c r="A93" s="1065"/>
      <c r="B93" s="1069" t="s">
        <v>5996</v>
      </c>
      <c r="C93" s="1066">
        <v>1</v>
      </c>
      <c r="D93" s="1066">
        <v>2</v>
      </c>
      <c r="E93" s="1068">
        <v>3.68</v>
      </c>
      <c r="F93" s="1066">
        <v>0.23</v>
      </c>
      <c r="G93" s="1062">
        <v>0.1</v>
      </c>
      <c r="H93" s="1062">
        <f t="shared" si="6"/>
        <v>0.17</v>
      </c>
    </row>
    <row r="94" spans="1:8">
      <c r="A94" s="1065"/>
      <c r="B94" s="1069" t="s">
        <v>5996</v>
      </c>
      <c r="C94" s="1066">
        <v>1</v>
      </c>
      <c r="D94" s="1066">
        <v>2</v>
      </c>
      <c r="E94" s="1068">
        <v>3.86</v>
      </c>
      <c r="F94" s="1066">
        <v>0.23</v>
      </c>
      <c r="G94" s="1062">
        <v>0.1</v>
      </c>
      <c r="H94" s="1062">
        <f t="shared" si="6"/>
        <v>0.18</v>
      </c>
    </row>
    <row r="95" spans="1:8">
      <c r="A95" s="1065"/>
      <c r="B95" s="1069" t="s">
        <v>5996</v>
      </c>
      <c r="C95" s="1066">
        <v>1</v>
      </c>
      <c r="D95" s="1066">
        <v>2</v>
      </c>
      <c r="E95" s="1068">
        <v>4.68</v>
      </c>
      <c r="F95" s="1066">
        <v>0.23</v>
      </c>
      <c r="G95" s="1062">
        <v>0.1</v>
      </c>
      <c r="H95" s="1062">
        <f t="shared" si="6"/>
        <v>0.22</v>
      </c>
    </row>
    <row r="96" spans="1:8">
      <c r="A96" s="1065"/>
      <c r="B96" s="1069" t="s">
        <v>5996</v>
      </c>
      <c r="C96" s="1066">
        <v>1</v>
      </c>
      <c r="D96" s="1066">
        <v>2</v>
      </c>
      <c r="E96" s="1068">
        <v>3.77</v>
      </c>
      <c r="F96" s="1066">
        <v>0.23</v>
      </c>
      <c r="G96" s="1062">
        <v>0.1</v>
      </c>
      <c r="H96" s="1062">
        <f t="shared" si="6"/>
        <v>0.17</v>
      </c>
    </row>
    <row r="97" spans="1:8">
      <c r="A97" s="1065"/>
      <c r="B97" s="1069" t="s">
        <v>5997</v>
      </c>
      <c r="C97" s="1066">
        <v>1</v>
      </c>
      <c r="D97" s="1066">
        <v>2</v>
      </c>
      <c r="E97" s="1068">
        <v>1.8</v>
      </c>
      <c r="F97" s="1066">
        <v>0.23</v>
      </c>
      <c r="G97" s="1062">
        <v>0.1</v>
      </c>
      <c r="H97" s="1062">
        <f t="shared" si="6"/>
        <v>0.08</v>
      </c>
    </row>
    <row r="98" spans="1:8">
      <c r="A98" s="1065"/>
      <c r="B98" s="1069" t="s">
        <v>6003</v>
      </c>
      <c r="C98" s="1066">
        <v>1</v>
      </c>
      <c r="D98" s="1066">
        <v>1</v>
      </c>
      <c r="E98" s="1068">
        <v>3.66</v>
      </c>
      <c r="F98" s="1066">
        <v>0.23</v>
      </c>
      <c r="G98" s="1062">
        <v>0.1</v>
      </c>
      <c r="H98" s="1062">
        <f t="shared" si="6"/>
        <v>0.08</v>
      </c>
    </row>
    <row r="99" spans="1:8">
      <c r="A99" s="1065"/>
      <c r="B99" s="1069" t="s">
        <v>6004</v>
      </c>
      <c r="C99" s="1066">
        <v>1</v>
      </c>
      <c r="D99" s="1066">
        <v>2</v>
      </c>
      <c r="E99" s="1068">
        <v>4.7</v>
      </c>
      <c r="F99" s="1066">
        <v>0.23</v>
      </c>
      <c r="G99" s="1062">
        <v>0.1</v>
      </c>
      <c r="H99" s="1062">
        <f t="shared" si="6"/>
        <v>0.22</v>
      </c>
    </row>
    <row r="100" spans="1:8">
      <c r="A100" s="1065"/>
      <c r="B100" s="1069" t="s">
        <v>6004</v>
      </c>
      <c r="C100" s="1066">
        <v>1</v>
      </c>
      <c r="D100" s="1066">
        <v>1</v>
      </c>
      <c r="E100" s="1068">
        <v>3.66</v>
      </c>
      <c r="F100" s="1066">
        <v>0.23</v>
      </c>
      <c r="G100" s="1062">
        <v>0.1</v>
      </c>
      <c r="H100" s="1062">
        <f t="shared" si="6"/>
        <v>0.08</v>
      </c>
    </row>
    <row r="101" spans="1:8">
      <c r="A101" s="1065"/>
      <c r="B101" s="1069" t="s">
        <v>6004</v>
      </c>
      <c r="C101" s="1066">
        <v>1</v>
      </c>
      <c r="D101" s="1066">
        <v>1</v>
      </c>
      <c r="E101" s="1068">
        <v>3.6</v>
      </c>
      <c r="F101" s="1066">
        <v>0.23</v>
      </c>
      <c r="G101" s="1062">
        <v>0.1</v>
      </c>
      <c r="H101" s="1062">
        <f t="shared" si="6"/>
        <v>0.08</v>
      </c>
    </row>
    <row r="102" spans="1:8">
      <c r="A102" s="1065"/>
      <c r="B102" s="1069" t="s">
        <v>5998</v>
      </c>
      <c r="C102" s="1066">
        <v>1</v>
      </c>
      <c r="D102" s="1066">
        <v>1</v>
      </c>
      <c r="E102" s="1068">
        <v>8.4700000000000006</v>
      </c>
      <c r="F102" s="1066">
        <v>0.23</v>
      </c>
      <c r="G102" s="1062">
        <v>0.1</v>
      </c>
      <c r="H102" s="1062">
        <f t="shared" si="6"/>
        <v>0.19</v>
      </c>
    </row>
    <row r="103" spans="1:8">
      <c r="A103" s="1065"/>
      <c r="B103" s="1069" t="s">
        <v>5999</v>
      </c>
      <c r="C103" s="1066">
        <v>1</v>
      </c>
      <c r="D103" s="1066">
        <v>2</v>
      </c>
      <c r="E103" s="1068">
        <v>7.26</v>
      </c>
      <c r="F103" s="1066">
        <v>0.23</v>
      </c>
      <c r="G103" s="1062">
        <v>0.1</v>
      </c>
      <c r="H103" s="1062">
        <f t="shared" si="6"/>
        <v>0.33</v>
      </c>
    </row>
    <row r="104" spans="1:8">
      <c r="A104" s="1065"/>
      <c r="B104" s="1069" t="s">
        <v>5998</v>
      </c>
      <c r="C104" s="1066">
        <v>1</v>
      </c>
      <c r="D104" s="1066">
        <v>1</v>
      </c>
      <c r="E104" s="1068">
        <v>11.77</v>
      </c>
      <c r="F104" s="1066">
        <v>0.23</v>
      </c>
      <c r="G104" s="1062">
        <v>0.1</v>
      </c>
      <c r="H104" s="1062">
        <f t="shared" si="6"/>
        <v>0.27</v>
      </c>
    </row>
    <row r="105" spans="1:8">
      <c r="A105" s="1065"/>
      <c r="B105" s="1069" t="s">
        <v>6000</v>
      </c>
      <c r="C105" s="1066">
        <v>1</v>
      </c>
      <c r="D105" s="1066">
        <v>1</v>
      </c>
      <c r="E105" s="1068">
        <v>8.14</v>
      </c>
      <c r="F105" s="1066">
        <v>0.23</v>
      </c>
      <c r="G105" s="1062">
        <v>0.1</v>
      </c>
      <c r="H105" s="1062">
        <f t="shared" si="6"/>
        <v>0.19</v>
      </c>
    </row>
    <row r="106" spans="1:8">
      <c r="A106" s="1065"/>
      <c r="B106" s="1069" t="s">
        <v>6001</v>
      </c>
      <c r="C106" s="1066">
        <v>1</v>
      </c>
      <c r="D106" s="1066">
        <v>1</v>
      </c>
      <c r="E106" s="1068">
        <v>2.1</v>
      </c>
      <c r="F106" s="1066">
        <v>0.23</v>
      </c>
      <c r="G106" s="1062">
        <v>0.1</v>
      </c>
      <c r="H106" s="1062">
        <f t="shared" si="6"/>
        <v>0.05</v>
      </c>
    </row>
    <row r="107" spans="1:8">
      <c r="A107" s="1065"/>
      <c r="B107" s="1069" t="s">
        <v>6001</v>
      </c>
      <c r="C107" s="1066">
        <v>1</v>
      </c>
      <c r="D107" s="1066">
        <v>1</v>
      </c>
      <c r="E107" s="1068">
        <v>4</v>
      </c>
      <c r="F107" s="1066">
        <v>0.23</v>
      </c>
      <c r="G107" s="1062">
        <v>0.1</v>
      </c>
      <c r="H107" s="1062">
        <f t="shared" si="6"/>
        <v>0.09</v>
      </c>
    </row>
    <row r="108" spans="1:8">
      <c r="A108" s="1065"/>
      <c r="B108" s="1082"/>
      <c r="C108" s="1066">
        <v>1</v>
      </c>
      <c r="D108" s="1066">
        <v>1</v>
      </c>
      <c r="E108" s="1068">
        <v>4.82</v>
      </c>
      <c r="F108" s="1066">
        <v>0.23</v>
      </c>
      <c r="G108" s="1062">
        <v>0.1</v>
      </c>
      <c r="H108" s="1062">
        <f t="shared" si="6"/>
        <v>0.11</v>
      </c>
    </row>
    <row r="109" spans="1:8">
      <c r="A109" s="1065"/>
      <c r="B109" s="1069" t="s">
        <v>5081</v>
      </c>
      <c r="C109" s="1066">
        <v>1</v>
      </c>
      <c r="D109" s="1066">
        <v>1</v>
      </c>
      <c r="E109" s="1062">
        <v>13.12</v>
      </c>
      <c r="F109" s="1066">
        <v>0.23</v>
      </c>
      <c r="G109" s="1062">
        <v>0.1</v>
      </c>
      <c r="H109" s="1062">
        <f t="shared" si="6"/>
        <v>0.3</v>
      </c>
    </row>
    <row r="110" spans="1:8">
      <c r="A110" s="1059"/>
      <c r="B110" s="1069" t="s">
        <v>5082</v>
      </c>
      <c r="C110" s="1066">
        <v>1</v>
      </c>
      <c r="D110" s="1066">
        <v>14</v>
      </c>
      <c r="E110" s="1062">
        <v>1.4</v>
      </c>
      <c r="F110" s="1066">
        <v>1.4</v>
      </c>
      <c r="G110" s="1062">
        <v>0.1</v>
      </c>
      <c r="H110" s="1062">
        <f t="shared" ref="H110:H113" si="7">PRODUCT(C110:G110)</f>
        <v>2.74</v>
      </c>
    </row>
    <row r="111" spans="1:8">
      <c r="A111" s="1059"/>
      <c r="B111" s="1067" t="s">
        <v>5083</v>
      </c>
      <c r="C111" s="1066"/>
      <c r="D111" s="1066"/>
      <c r="E111" s="1062"/>
      <c r="F111" s="1066"/>
      <c r="G111" s="1062"/>
      <c r="H111" s="1062">
        <f t="shared" si="7"/>
        <v>0</v>
      </c>
    </row>
    <row r="112" spans="1:8">
      <c r="A112" s="1065"/>
      <c r="B112" s="1065" t="s">
        <v>5100</v>
      </c>
      <c r="C112" s="1066">
        <v>-1</v>
      </c>
      <c r="D112" s="1066">
        <v>14</v>
      </c>
      <c r="E112" s="1066">
        <v>0.23</v>
      </c>
      <c r="F112" s="1062">
        <v>0.38</v>
      </c>
      <c r="G112" s="1062">
        <v>0.1</v>
      </c>
      <c r="H112" s="1062">
        <f t="shared" si="7"/>
        <v>-0.12</v>
      </c>
    </row>
    <row r="113" spans="1:8">
      <c r="A113" s="1065"/>
      <c r="B113" s="1065" t="s">
        <v>5101</v>
      </c>
      <c r="C113" s="1066">
        <v>-1</v>
      </c>
      <c r="D113" s="1066">
        <v>16</v>
      </c>
      <c r="E113" s="1066">
        <v>0.23</v>
      </c>
      <c r="F113" s="1062">
        <v>0.45</v>
      </c>
      <c r="G113" s="1062">
        <v>0.1</v>
      </c>
      <c r="H113" s="1062">
        <f t="shared" si="7"/>
        <v>-0.17</v>
      </c>
    </row>
    <row r="114" spans="1:8">
      <c r="A114" s="1065"/>
      <c r="B114" s="1065" t="s">
        <v>5102</v>
      </c>
      <c r="C114" s="1066">
        <v>-1</v>
      </c>
      <c r="D114" s="1066">
        <v>7</v>
      </c>
      <c r="E114" s="1066">
        <v>0.23</v>
      </c>
      <c r="F114" s="1062">
        <v>0.45</v>
      </c>
      <c r="G114" s="1062">
        <v>0.1</v>
      </c>
      <c r="H114" s="1062">
        <f>PRODUCT(C114:G114)</f>
        <v>-7.0000000000000007E-2</v>
      </c>
    </row>
    <row r="115" spans="1:8">
      <c r="A115" s="1065"/>
      <c r="B115" s="1065" t="s">
        <v>5103</v>
      </c>
      <c r="C115" s="1066">
        <v>-1</v>
      </c>
      <c r="D115" s="1066">
        <v>12</v>
      </c>
      <c r="E115" s="1066">
        <v>0.3</v>
      </c>
      <c r="F115" s="1062">
        <v>0.45</v>
      </c>
      <c r="G115" s="1062">
        <v>0.1</v>
      </c>
      <c r="H115" s="1062">
        <f>PRODUCT(C115:G115)</f>
        <v>-0.16</v>
      </c>
    </row>
    <row r="116" spans="1:8">
      <c r="A116" s="1065"/>
      <c r="B116" s="1065" t="s">
        <v>5117</v>
      </c>
      <c r="C116" s="1066">
        <v>-1</v>
      </c>
      <c r="D116" s="1066">
        <v>4</v>
      </c>
      <c r="E116" s="1066">
        <v>0.23</v>
      </c>
      <c r="F116" s="1062">
        <v>0.38</v>
      </c>
      <c r="G116" s="1062">
        <v>0.1</v>
      </c>
      <c r="H116" s="1062">
        <f>PRODUCT(C116:G116)</f>
        <v>-0.03</v>
      </c>
    </row>
    <row r="117" spans="1:8">
      <c r="A117" s="1059"/>
      <c r="B117" s="1065"/>
      <c r="C117" s="1066"/>
      <c r="D117" s="1066"/>
      <c r="E117" s="1066"/>
      <c r="F117" s="1062"/>
      <c r="G117" s="1062"/>
      <c r="H117" s="1062">
        <f>SUM(H76:H116)</f>
        <v>30.33</v>
      </c>
    </row>
    <row r="118" spans="1:8">
      <c r="C118" s="1066"/>
      <c r="D118" s="1066"/>
      <c r="E118" s="1066"/>
      <c r="F118" s="1072" t="s">
        <v>4121</v>
      </c>
      <c r="G118" s="1089">
        <f>ROUNDUP(H117,1)</f>
        <v>30.4</v>
      </c>
      <c r="H118" s="1074" t="s">
        <v>5084</v>
      </c>
    </row>
    <row r="119" spans="1:8">
      <c r="A119" s="1056"/>
      <c r="B119" s="1082"/>
      <c r="C119" s="1066"/>
      <c r="D119" s="1066"/>
      <c r="E119" s="1066"/>
      <c r="F119" s="1072"/>
      <c r="G119" s="1089"/>
      <c r="H119" s="1074"/>
    </row>
    <row r="120" spans="1:8" ht="29.25">
      <c r="A120" s="1056">
        <v>4.0999999999999996</v>
      </c>
      <c r="B120" s="1082" t="s">
        <v>5105</v>
      </c>
      <c r="C120" s="1066"/>
      <c r="D120" s="1066"/>
      <c r="E120" s="1066"/>
      <c r="F120" s="1072"/>
      <c r="G120" s="1089"/>
      <c r="H120" s="1074"/>
    </row>
    <row r="121" spans="1:8">
      <c r="A121" s="1065"/>
      <c r="B121" s="1067" t="s">
        <v>5097</v>
      </c>
      <c r="C121" s="1066"/>
      <c r="D121" s="1066"/>
      <c r="E121" s="1066"/>
      <c r="F121" s="1066"/>
      <c r="G121" s="1066"/>
      <c r="H121" s="1062"/>
    </row>
    <row r="122" spans="1:8">
      <c r="A122" s="1065"/>
      <c r="B122" s="1065" t="s">
        <v>5064</v>
      </c>
      <c r="C122" s="1066">
        <v>1</v>
      </c>
      <c r="D122" s="1066">
        <v>3</v>
      </c>
      <c r="E122" s="1062">
        <v>1.2</v>
      </c>
      <c r="F122" s="1062">
        <v>1.2</v>
      </c>
      <c r="G122" s="1062">
        <v>0.3</v>
      </c>
      <c r="H122" s="1062">
        <f>PRODUCT(C122:G122)</f>
        <v>1.3</v>
      </c>
    </row>
    <row r="123" spans="1:8">
      <c r="A123" s="1065"/>
      <c r="B123" s="1065" t="s">
        <v>5065</v>
      </c>
      <c r="C123" s="1066">
        <v>1</v>
      </c>
      <c r="D123" s="1066">
        <v>4</v>
      </c>
      <c r="E123" s="1062">
        <v>1</v>
      </c>
      <c r="F123" s="1062">
        <v>1</v>
      </c>
      <c r="G123" s="1062">
        <v>0.3</v>
      </c>
      <c r="H123" s="1062">
        <f t="shared" ref="H123:H128" si="8">PRODUCT(C123:G123)</f>
        <v>1.2</v>
      </c>
    </row>
    <row r="124" spans="1:8">
      <c r="A124" s="1065"/>
      <c r="B124" s="1065" t="s">
        <v>5066</v>
      </c>
      <c r="C124" s="1066">
        <v>1</v>
      </c>
      <c r="D124" s="1066">
        <v>13</v>
      </c>
      <c r="E124" s="1062">
        <v>1.35</v>
      </c>
      <c r="F124" s="1062">
        <v>1.35</v>
      </c>
      <c r="G124" s="1068">
        <v>0.375</v>
      </c>
      <c r="H124" s="1062">
        <f t="shared" si="8"/>
        <v>8.8800000000000008</v>
      </c>
    </row>
    <row r="125" spans="1:8">
      <c r="A125" s="1065"/>
      <c r="B125" s="1065" t="s">
        <v>5067</v>
      </c>
      <c r="C125" s="1066">
        <v>1</v>
      </c>
      <c r="D125" s="1066">
        <v>11</v>
      </c>
      <c r="E125" s="1062">
        <v>1.65</v>
      </c>
      <c r="F125" s="1062">
        <v>1.65</v>
      </c>
      <c r="G125" s="1062">
        <v>0.45</v>
      </c>
      <c r="H125" s="1062">
        <f t="shared" si="8"/>
        <v>13.48</v>
      </c>
    </row>
    <row r="126" spans="1:8">
      <c r="A126" s="1065"/>
      <c r="B126" s="1065" t="s">
        <v>5068</v>
      </c>
      <c r="C126" s="1066">
        <v>1</v>
      </c>
      <c r="D126" s="1066">
        <v>6</v>
      </c>
      <c r="E126" s="1062">
        <v>1.8</v>
      </c>
      <c r="F126" s="1062">
        <v>1.8</v>
      </c>
      <c r="G126" s="1068">
        <v>0.52500000000000002</v>
      </c>
      <c r="H126" s="1062">
        <f t="shared" si="8"/>
        <v>10.210000000000001</v>
      </c>
    </row>
    <row r="127" spans="1:8">
      <c r="A127" s="1065"/>
      <c r="B127" s="1065" t="s">
        <v>5069</v>
      </c>
      <c r="C127" s="1066">
        <v>1</v>
      </c>
      <c r="D127" s="1066">
        <v>12</v>
      </c>
      <c r="E127" s="1062">
        <v>2.1</v>
      </c>
      <c r="F127" s="1062">
        <v>2.1</v>
      </c>
      <c r="G127" s="1062">
        <v>0.6</v>
      </c>
      <c r="H127" s="1062">
        <f t="shared" si="8"/>
        <v>31.75</v>
      </c>
    </row>
    <row r="128" spans="1:8">
      <c r="A128" s="1065"/>
      <c r="B128" s="1065" t="s">
        <v>5070</v>
      </c>
      <c r="C128" s="1066">
        <v>1</v>
      </c>
      <c r="D128" s="1066">
        <v>1</v>
      </c>
      <c r="E128" s="1062">
        <v>3.3</v>
      </c>
      <c r="F128" s="1062">
        <v>3.3</v>
      </c>
      <c r="G128" s="1062">
        <v>0.45</v>
      </c>
      <c r="H128" s="1062">
        <f t="shared" si="8"/>
        <v>4.9000000000000004</v>
      </c>
    </row>
    <row r="129" spans="1:8">
      <c r="A129" s="1065"/>
      <c r="B129" s="1067" t="s">
        <v>5106</v>
      </c>
      <c r="C129" s="1066"/>
      <c r="D129" s="1066"/>
      <c r="E129" s="1066"/>
      <c r="F129" s="1066"/>
      <c r="G129" s="1066"/>
      <c r="H129" s="1062"/>
    </row>
    <row r="130" spans="1:8">
      <c r="A130" s="1065"/>
      <c r="B130" s="1065" t="s">
        <v>5107</v>
      </c>
      <c r="C130" s="1066">
        <v>1</v>
      </c>
      <c r="D130" s="1066">
        <v>3</v>
      </c>
      <c r="E130" s="1066">
        <v>0.23</v>
      </c>
      <c r="F130" s="1062">
        <v>0.38</v>
      </c>
      <c r="G130" s="1068">
        <v>1</v>
      </c>
      <c r="H130" s="1062">
        <f t="shared" ref="H130:H165" si="9">PRODUCT(C130:G130)</f>
        <v>0.26</v>
      </c>
    </row>
    <row r="131" spans="1:8">
      <c r="A131" s="1065"/>
      <c r="B131" s="1065" t="s">
        <v>5108</v>
      </c>
      <c r="C131" s="1066">
        <v>1</v>
      </c>
      <c r="D131" s="1066">
        <v>7</v>
      </c>
      <c r="E131" s="1066">
        <v>0.23</v>
      </c>
      <c r="F131" s="1062">
        <v>0.38</v>
      </c>
      <c r="G131" s="1068">
        <v>0.92500000000000004</v>
      </c>
      <c r="H131" s="1062">
        <f t="shared" si="9"/>
        <v>0.56999999999999995</v>
      </c>
    </row>
    <row r="132" spans="1:8">
      <c r="A132" s="1065"/>
      <c r="B132" s="1065" t="s">
        <v>5109</v>
      </c>
      <c r="C132" s="1066">
        <v>1</v>
      </c>
      <c r="D132" s="1066">
        <v>6</v>
      </c>
      <c r="E132" s="1066">
        <v>0.23</v>
      </c>
      <c r="F132" s="1062">
        <v>0.45</v>
      </c>
      <c r="G132" s="1068">
        <v>0.92500000000000004</v>
      </c>
      <c r="H132" s="1062">
        <f t="shared" si="9"/>
        <v>0.56999999999999995</v>
      </c>
    </row>
    <row r="133" spans="1:8">
      <c r="A133" s="1065"/>
      <c r="B133" s="1065" t="s">
        <v>5110</v>
      </c>
      <c r="C133" s="1066">
        <v>1</v>
      </c>
      <c r="D133" s="1066">
        <v>1</v>
      </c>
      <c r="E133" s="1066">
        <v>0.23</v>
      </c>
      <c r="F133" s="1062">
        <v>0.38</v>
      </c>
      <c r="G133" s="1068">
        <v>0.85</v>
      </c>
      <c r="H133" s="1062">
        <f t="shared" si="9"/>
        <v>7.0000000000000007E-2</v>
      </c>
    </row>
    <row r="134" spans="1:8">
      <c r="A134" s="1065"/>
      <c r="B134" s="1065" t="s">
        <v>5111</v>
      </c>
      <c r="C134" s="1066">
        <v>1</v>
      </c>
      <c r="D134" s="1066">
        <v>10</v>
      </c>
      <c r="E134" s="1066">
        <v>0.23</v>
      </c>
      <c r="F134" s="1062">
        <v>0.45</v>
      </c>
      <c r="G134" s="1068">
        <v>0.85</v>
      </c>
      <c r="H134" s="1062">
        <f t="shared" si="9"/>
        <v>0.88</v>
      </c>
    </row>
    <row r="135" spans="1:8">
      <c r="A135" s="1065"/>
      <c r="B135" s="1065" t="s">
        <v>5112</v>
      </c>
      <c r="C135" s="1066">
        <v>1</v>
      </c>
      <c r="D135" s="1066">
        <v>6</v>
      </c>
      <c r="E135" s="1066">
        <v>0.23</v>
      </c>
      <c r="F135" s="1062">
        <v>0.45</v>
      </c>
      <c r="G135" s="1068">
        <v>0.77500000000000002</v>
      </c>
      <c r="H135" s="1062">
        <f t="shared" si="9"/>
        <v>0.48</v>
      </c>
    </row>
    <row r="136" spans="1:8">
      <c r="A136" s="1065"/>
      <c r="B136" s="1065" t="s">
        <v>5113</v>
      </c>
      <c r="C136" s="1066">
        <v>1</v>
      </c>
      <c r="D136" s="1066">
        <v>12</v>
      </c>
      <c r="E136" s="1062">
        <v>0.3</v>
      </c>
      <c r="F136" s="1062">
        <v>0.45</v>
      </c>
      <c r="G136" s="1068">
        <v>0.7</v>
      </c>
      <c r="H136" s="1062">
        <f t="shared" si="9"/>
        <v>1.1299999999999999</v>
      </c>
    </row>
    <row r="137" spans="1:8">
      <c r="A137" s="1065"/>
      <c r="B137" s="1065" t="s">
        <v>5114</v>
      </c>
      <c r="C137" s="1066">
        <v>1</v>
      </c>
      <c r="D137" s="1066">
        <v>3</v>
      </c>
      <c r="E137" s="1066">
        <v>0.23</v>
      </c>
      <c r="F137" s="1062">
        <v>0.38</v>
      </c>
      <c r="G137" s="1068">
        <v>0.85</v>
      </c>
      <c r="H137" s="1062">
        <f t="shared" si="9"/>
        <v>0.22</v>
      </c>
    </row>
    <row r="138" spans="1:8">
      <c r="A138" s="1065"/>
      <c r="B138" s="1065" t="s">
        <v>5115</v>
      </c>
      <c r="C138" s="1066">
        <v>1</v>
      </c>
      <c r="D138" s="1066">
        <v>1</v>
      </c>
      <c r="E138" s="1066">
        <v>0.23</v>
      </c>
      <c r="F138" s="1062">
        <v>0.45</v>
      </c>
      <c r="G138" s="1068">
        <v>0.85</v>
      </c>
      <c r="H138" s="1062">
        <f t="shared" si="9"/>
        <v>0.09</v>
      </c>
    </row>
    <row r="139" spans="1:8">
      <c r="A139" s="1065"/>
      <c r="B139" s="1065" t="s">
        <v>5104</v>
      </c>
      <c r="C139" s="1066">
        <v>1</v>
      </c>
      <c r="D139" s="1066">
        <v>4</v>
      </c>
      <c r="E139" s="1066">
        <v>0.23</v>
      </c>
      <c r="F139" s="1062">
        <v>0.38</v>
      </c>
      <c r="G139" s="1068">
        <v>1</v>
      </c>
      <c r="H139" s="1062">
        <f t="shared" si="9"/>
        <v>0.35</v>
      </c>
    </row>
    <row r="140" spans="1:8">
      <c r="A140" s="1065"/>
      <c r="B140" s="1082" t="s">
        <v>5071</v>
      </c>
      <c r="C140" s="1066"/>
      <c r="D140" s="1066"/>
      <c r="E140" s="1068"/>
      <c r="F140" s="1066"/>
      <c r="G140" s="1066"/>
      <c r="H140" s="1062"/>
    </row>
    <row r="141" spans="1:8">
      <c r="A141" s="1065"/>
      <c r="B141" s="1069" t="s">
        <v>5990</v>
      </c>
      <c r="C141" s="1066">
        <v>1</v>
      </c>
      <c r="D141" s="1066">
        <v>1</v>
      </c>
      <c r="E141" s="1068">
        <v>47.24</v>
      </c>
      <c r="F141" s="1066">
        <v>0.23</v>
      </c>
      <c r="G141" s="1062">
        <v>0.4</v>
      </c>
      <c r="H141" s="1062">
        <f t="shared" si="9"/>
        <v>4.3499999999999996</v>
      </c>
    </row>
    <row r="142" spans="1:8">
      <c r="A142" s="1065"/>
      <c r="B142" s="1069" t="s">
        <v>6002</v>
      </c>
      <c r="C142" s="1066">
        <v>1</v>
      </c>
      <c r="D142" s="1066">
        <v>1</v>
      </c>
      <c r="E142" s="1068">
        <v>69.16</v>
      </c>
      <c r="F142" s="1066">
        <v>0.23</v>
      </c>
      <c r="G142" s="1062">
        <v>0.4</v>
      </c>
      <c r="H142" s="1062">
        <f t="shared" si="9"/>
        <v>6.36</v>
      </c>
    </row>
    <row r="143" spans="1:8">
      <c r="A143" s="1065"/>
      <c r="B143" s="1069" t="s">
        <v>5991</v>
      </c>
      <c r="C143" s="1066">
        <v>1</v>
      </c>
      <c r="D143" s="1066">
        <v>8</v>
      </c>
      <c r="E143" s="1068">
        <v>4.38</v>
      </c>
      <c r="F143" s="1066">
        <v>0.23</v>
      </c>
      <c r="G143" s="1062">
        <v>0.4</v>
      </c>
      <c r="H143" s="1062">
        <f t="shared" si="9"/>
        <v>3.22</v>
      </c>
    </row>
    <row r="144" spans="1:8">
      <c r="A144" s="1065"/>
      <c r="B144" s="1069" t="s">
        <v>5992</v>
      </c>
      <c r="C144" s="1066">
        <v>1</v>
      </c>
      <c r="D144" s="1066">
        <v>1</v>
      </c>
      <c r="E144" s="1068">
        <v>13.11</v>
      </c>
      <c r="F144" s="1066">
        <v>0.23</v>
      </c>
      <c r="G144" s="1062">
        <v>0.4</v>
      </c>
      <c r="H144" s="1062">
        <f t="shared" si="9"/>
        <v>1.21</v>
      </c>
    </row>
    <row r="145" spans="1:8">
      <c r="A145" s="1065"/>
      <c r="B145" s="1069" t="s">
        <v>5993</v>
      </c>
      <c r="C145" s="1066">
        <v>1</v>
      </c>
      <c r="D145" s="1066">
        <v>1</v>
      </c>
      <c r="E145" s="1068">
        <v>4.95</v>
      </c>
      <c r="F145" s="1066">
        <v>0.23</v>
      </c>
      <c r="G145" s="1062">
        <v>0.4</v>
      </c>
      <c r="H145" s="1062">
        <f t="shared" si="9"/>
        <v>0.46</v>
      </c>
    </row>
    <row r="146" spans="1:8">
      <c r="A146" s="1065"/>
      <c r="B146" s="1069" t="s">
        <v>5994</v>
      </c>
      <c r="C146" s="1066">
        <v>1</v>
      </c>
      <c r="D146" s="1066">
        <v>2</v>
      </c>
      <c r="E146" s="1068">
        <v>1.94</v>
      </c>
      <c r="F146" s="1066">
        <v>0.23</v>
      </c>
      <c r="G146" s="1062">
        <v>0.4</v>
      </c>
      <c r="H146" s="1062">
        <f t="shared" si="9"/>
        <v>0.36</v>
      </c>
    </row>
    <row r="147" spans="1:8">
      <c r="A147" s="1065"/>
      <c r="B147" s="1069" t="s">
        <v>5995</v>
      </c>
      <c r="C147" s="1066">
        <v>1</v>
      </c>
      <c r="D147" s="1066">
        <v>5</v>
      </c>
      <c r="E147" s="1068">
        <v>9.2100000000000009</v>
      </c>
      <c r="F147" s="1066">
        <v>0.23</v>
      </c>
      <c r="G147" s="1062">
        <v>0.4</v>
      </c>
      <c r="H147" s="1062">
        <f t="shared" si="9"/>
        <v>4.24</v>
      </c>
    </row>
    <row r="148" spans="1:8">
      <c r="A148" s="1065"/>
      <c r="B148" s="1069" t="s">
        <v>5996</v>
      </c>
      <c r="C148" s="1066">
        <v>1</v>
      </c>
      <c r="D148" s="1066">
        <v>2</v>
      </c>
      <c r="E148" s="1068">
        <v>3.62</v>
      </c>
      <c r="F148" s="1066">
        <v>0.23</v>
      </c>
      <c r="G148" s="1062">
        <v>0.4</v>
      </c>
      <c r="H148" s="1062">
        <f t="shared" si="9"/>
        <v>0.67</v>
      </c>
    </row>
    <row r="149" spans="1:8">
      <c r="A149" s="1065"/>
      <c r="B149" s="1069" t="s">
        <v>5996</v>
      </c>
      <c r="C149" s="1066">
        <v>1</v>
      </c>
      <c r="D149" s="1066">
        <v>2</v>
      </c>
      <c r="E149" s="1068">
        <v>3.73</v>
      </c>
      <c r="F149" s="1066">
        <v>0.23</v>
      </c>
      <c r="G149" s="1062">
        <v>0.4</v>
      </c>
      <c r="H149" s="1062">
        <f t="shared" si="9"/>
        <v>0.69</v>
      </c>
    </row>
    <row r="150" spans="1:8">
      <c r="A150" s="1065"/>
      <c r="B150" s="1069" t="s">
        <v>5996</v>
      </c>
      <c r="C150" s="1066">
        <v>1</v>
      </c>
      <c r="D150" s="1066">
        <v>2</v>
      </c>
      <c r="E150" s="1068">
        <v>3.68</v>
      </c>
      <c r="F150" s="1066">
        <v>0.23</v>
      </c>
      <c r="G150" s="1062">
        <v>0.4</v>
      </c>
      <c r="H150" s="1062">
        <f t="shared" si="9"/>
        <v>0.68</v>
      </c>
    </row>
    <row r="151" spans="1:8">
      <c r="A151" s="1065"/>
      <c r="B151" s="1069" t="s">
        <v>5996</v>
      </c>
      <c r="C151" s="1066">
        <v>1</v>
      </c>
      <c r="D151" s="1066">
        <v>2</v>
      </c>
      <c r="E151" s="1068">
        <v>3.86</v>
      </c>
      <c r="F151" s="1066">
        <v>0.23</v>
      </c>
      <c r="G151" s="1062">
        <v>0.4</v>
      </c>
      <c r="H151" s="1062">
        <f t="shared" si="9"/>
        <v>0.71</v>
      </c>
    </row>
    <row r="152" spans="1:8">
      <c r="A152" s="1065"/>
      <c r="B152" s="1069" t="s">
        <v>5996</v>
      </c>
      <c r="C152" s="1066">
        <v>1</v>
      </c>
      <c r="D152" s="1066">
        <v>2</v>
      </c>
      <c r="E152" s="1068">
        <v>4.68</v>
      </c>
      <c r="F152" s="1066">
        <v>0.23</v>
      </c>
      <c r="G152" s="1062">
        <v>0.4</v>
      </c>
      <c r="H152" s="1062">
        <f t="shared" si="9"/>
        <v>0.86</v>
      </c>
    </row>
    <row r="153" spans="1:8">
      <c r="A153" s="1065"/>
      <c r="B153" s="1069" t="s">
        <v>5996</v>
      </c>
      <c r="C153" s="1066">
        <v>1</v>
      </c>
      <c r="D153" s="1066">
        <v>2</v>
      </c>
      <c r="E153" s="1068">
        <v>3.77</v>
      </c>
      <c r="F153" s="1066">
        <v>0.23</v>
      </c>
      <c r="G153" s="1062">
        <v>0.4</v>
      </c>
      <c r="H153" s="1062">
        <f t="shared" si="9"/>
        <v>0.69</v>
      </c>
    </row>
    <row r="154" spans="1:8">
      <c r="A154" s="1065"/>
      <c r="B154" s="1069" t="s">
        <v>5997</v>
      </c>
      <c r="C154" s="1066">
        <v>1</v>
      </c>
      <c r="D154" s="1066">
        <v>2</v>
      </c>
      <c r="E154" s="1068">
        <v>1.8</v>
      </c>
      <c r="F154" s="1066">
        <v>0.23</v>
      </c>
      <c r="G154" s="1062">
        <v>0.4</v>
      </c>
      <c r="H154" s="1062">
        <f t="shared" si="9"/>
        <v>0.33</v>
      </c>
    </row>
    <row r="155" spans="1:8">
      <c r="A155" s="1065"/>
      <c r="B155" s="1069" t="s">
        <v>6003</v>
      </c>
      <c r="C155" s="1066">
        <v>1</v>
      </c>
      <c r="D155" s="1066">
        <v>1</v>
      </c>
      <c r="E155" s="1068">
        <v>3.66</v>
      </c>
      <c r="F155" s="1066">
        <v>0.23</v>
      </c>
      <c r="G155" s="1062">
        <v>0.4</v>
      </c>
      <c r="H155" s="1062">
        <f t="shared" si="9"/>
        <v>0.34</v>
      </c>
    </row>
    <row r="156" spans="1:8">
      <c r="A156" s="1065"/>
      <c r="B156" s="1069" t="s">
        <v>6004</v>
      </c>
      <c r="C156" s="1066">
        <v>1</v>
      </c>
      <c r="D156" s="1066">
        <v>2</v>
      </c>
      <c r="E156" s="1068">
        <v>4.7</v>
      </c>
      <c r="F156" s="1066">
        <v>0.23</v>
      </c>
      <c r="G156" s="1062">
        <v>0.4</v>
      </c>
      <c r="H156" s="1062">
        <f t="shared" si="9"/>
        <v>0.86</v>
      </c>
    </row>
    <row r="157" spans="1:8">
      <c r="A157" s="1065"/>
      <c r="B157" s="1069" t="s">
        <v>6004</v>
      </c>
      <c r="C157" s="1066">
        <v>1</v>
      </c>
      <c r="D157" s="1066">
        <v>1</v>
      </c>
      <c r="E157" s="1068">
        <v>3.66</v>
      </c>
      <c r="F157" s="1066">
        <v>0.23</v>
      </c>
      <c r="G157" s="1062">
        <v>0.4</v>
      </c>
      <c r="H157" s="1062">
        <f t="shared" si="9"/>
        <v>0.34</v>
      </c>
    </row>
    <row r="158" spans="1:8">
      <c r="A158" s="1065"/>
      <c r="B158" s="1069" t="s">
        <v>6004</v>
      </c>
      <c r="C158" s="1066">
        <v>1</v>
      </c>
      <c r="D158" s="1066">
        <v>1</v>
      </c>
      <c r="E158" s="1068">
        <v>3.6</v>
      </c>
      <c r="F158" s="1066">
        <v>0.23</v>
      </c>
      <c r="G158" s="1062">
        <v>0.4</v>
      </c>
      <c r="H158" s="1062">
        <f t="shared" si="9"/>
        <v>0.33</v>
      </c>
    </row>
    <row r="159" spans="1:8">
      <c r="A159" s="1065"/>
      <c r="B159" s="1069" t="s">
        <v>5998</v>
      </c>
      <c r="C159" s="1066">
        <v>1</v>
      </c>
      <c r="D159" s="1066">
        <v>1</v>
      </c>
      <c r="E159" s="1068">
        <v>8.4700000000000006</v>
      </c>
      <c r="F159" s="1066">
        <v>0.23</v>
      </c>
      <c r="G159" s="1062">
        <v>0.4</v>
      </c>
      <c r="H159" s="1062">
        <f t="shared" si="9"/>
        <v>0.78</v>
      </c>
    </row>
    <row r="160" spans="1:8">
      <c r="A160" s="1065"/>
      <c r="B160" s="1069" t="s">
        <v>5999</v>
      </c>
      <c r="C160" s="1066">
        <v>1</v>
      </c>
      <c r="D160" s="1066">
        <v>2</v>
      </c>
      <c r="E160" s="1068">
        <v>7.26</v>
      </c>
      <c r="F160" s="1066">
        <v>0.23</v>
      </c>
      <c r="G160" s="1062">
        <v>0.4</v>
      </c>
      <c r="H160" s="1062">
        <f t="shared" si="9"/>
        <v>1.34</v>
      </c>
    </row>
    <row r="161" spans="1:8">
      <c r="A161" s="1065"/>
      <c r="B161" s="1069" t="s">
        <v>5998</v>
      </c>
      <c r="C161" s="1066">
        <v>1</v>
      </c>
      <c r="D161" s="1066">
        <v>1</v>
      </c>
      <c r="E161" s="1068">
        <v>11.77</v>
      </c>
      <c r="F161" s="1066">
        <v>0.23</v>
      </c>
      <c r="G161" s="1062">
        <v>0.4</v>
      </c>
      <c r="H161" s="1062">
        <f t="shared" si="9"/>
        <v>1.08</v>
      </c>
    </row>
    <row r="162" spans="1:8">
      <c r="A162" s="1065"/>
      <c r="B162" s="1069" t="s">
        <v>6000</v>
      </c>
      <c r="C162" s="1066">
        <v>1</v>
      </c>
      <c r="D162" s="1066">
        <v>1</v>
      </c>
      <c r="E162" s="1068">
        <v>8.14</v>
      </c>
      <c r="F162" s="1066">
        <v>0.23</v>
      </c>
      <c r="G162" s="1062">
        <v>0.4</v>
      </c>
      <c r="H162" s="1062">
        <f t="shared" si="9"/>
        <v>0.75</v>
      </c>
    </row>
    <row r="163" spans="1:8">
      <c r="A163" s="1065"/>
      <c r="B163" s="1069" t="s">
        <v>6001</v>
      </c>
      <c r="C163" s="1066">
        <v>1</v>
      </c>
      <c r="D163" s="1066">
        <v>1</v>
      </c>
      <c r="E163" s="1068">
        <v>2.1</v>
      </c>
      <c r="F163" s="1066">
        <v>0.23</v>
      </c>
      <c r="G163" s="1062">
        <v>0.4</v>
      </c>
      <c r="H163" s="1062">
        <f t="shared" si="9"/>
        <v>0.19</v>
      </c>
    </row>
    <row r="164" spans="1:8">
      <c r="A164" s="1065"/>
      <c r="B164" s="1069" t="s">
        <v>6001</v>
      </c>
      <c r="C164" s="1066">
        <v>1</v>
      </c>
      <c r="D164" s="1066">
        <v>1</v>
      </c>
      <c r="E164" s="1068">
        <v>4</v>
      </c>
      <c r="F164" s="1066">
        <v>0.23</v>
      </c>
      <c r="G164" s="1062">
        <v>0.4</v>
      </c>
      <c r="H164" s="1062">
        <f t="shared" si="9"/>
        <v>0.37</v>
      </c>
    </row>
    <row r="165" spans="1:8">
      <c r="A165" s="1065"/>
      <c r="B165" s="1082"/>
      <c r="C165" s="1066">
        <v>1</v>
      </c>
      <c r="D165" s="1066">
        <v>1</v>
      </c>
      <c r="E165" s="1068">
        <v>4.82</v>
      </c>
      <c r="F165" s="1066">
        <v>0.23</v>
      </c>
      <c r="G165" s="1062">
        <v>0.4</v>
      </c>
      <c r="H165" s="1062">
        <f t="shared" si="9"/>
        <v>0.44</v>
      </c>
    </row>
    <row r="166" spans="1:8">
      <c r="A166" s="1065"/>
      <c r="B166" s="1069" t="s">
        <v>5081</v>
      </c>
      <c r="C166" s="1066">
        <v>1</v>
      </c>
      <c r="D166" s="1066">
        <v>1</v>
      </c>
      <c r="E166" s="1062">
        <v>13.12</v>
      </c>
      <c r="F166" s="1066">
        <v>0.23</v>
      </c>
      <c r="G166" s="1062">
        <v>0.4</v>
      </c>
      <c r="H166" s="1062">
        <f t="shared" ref="H166:H169" si="10">PRODUCT(C166:G166)</f>
        <v>1.21</v>
      </c>
    </row>
    <row r="167" spans="1:8" ht="29.25">
      <c r="A167" s="1065"/>
      <c r="B167" s="1082" t="s">
        <v>5116</v>
      </c>
      <c r="C167" s="1066"/>
      <c r="D167" s="1066"/>
      <c r="E167" s="1062"/>
      <c r="F167" s="1066"/>
      <c r="G167" s="1062"/>
      <c r="H167" s="1062">
        <f t="shared" si="10"/>
        <v>0</v>
      </c>
    </row>
    <row r="168" spans="1:8">
      <c r="A168" s="1065"/>
      <c r="B168" s="1065" t="s">
        <v>5100</v>
      </c>
      <c r="C168" s="1066">
        <v>1</v>
      </c>
      <c r="D168" s="1066">
        <v>14</v>
      </c>
      <c r="E168" s="1066">
        <v>0.23</v>
      </c>
      <c r="F168" s="1062">
        <v>0.38</v>
      </c>
      <c r="G168" s="1062">
        <v>1</v>
      </c>
      <c r="H168" s="1062">
        <f t="shared" si="10"/>
        <v>1.22</v>
      </c>
    </row>
    <row r="169" spans="1:8">
      <c r="A169" s="1065"/>
      <c r="B169" s="1065" t="s">
        <v>5101</v>
      </c>
      <c r="C169" s="1066">
        <v>1</v>
      </c>
      <c r="D169" s="1066">
        <v>16</v>
      </c>
      <c r="E169" s="1066">
        <v>0.23</v>
      </c>
      <c r="F169" s="1062">
        <v>0.45</v>
      </c>
      <c r="G169" s="1062">
        <v>1</v>
      </c>
      <c r="H169" s="1062">
        <f t="shared" si="10"/>
        <v>1.66</v>
      </c>
    </row>
    <row r="170" spans="1:8">
      <c r="A170" s="1065"/>
      <c r="B170" s="1065" t="s">
        <v>5102</v>
      </c>
      <c r="C170" s="1066">
        <v>1</v>
      </c>
      <c r="D170" s="1066">
        <v>7</v>
      </c>
      <c r="E170" s="1066">
        <v>0.23</v>
      </c>
      <c r="F170" s="1062">
        <v>0.45</v>
      </c>
      <c r="G170" s="1062">
        <v>1</v>
      </c>
      <c r="H170" s="1062">
        <f>PRODUCT(C170:G170)</f>
        <v>0.72</v>
      </c>
    </row>
    <row r="171" spans="1:8">
      <c r="A171" s="1065"/>
      <c r="B171" s="1065" t="s">
        <v>5103</v>
      </c>
      <c r="C171" s="1066">
        <v>1</v>
      </c>
      <c r="D171" s="1066">
        <v>12</v>
      </c>
      <c r="E171" s="1066">
        <v>0.3</v>
      </c>
      <c r="F171" s="1062">
        <v>0.45</v>
      </c>
      <c r="G171" s="1062">
        <v>1</v>
      </c>
      <c r="H171" s="1062">
        <f>PRODUCT(C171:G171)</f>
        <v>1.62</v>
      </c>
    </row>
    <row r="172" spans="1:8">
      <c r="A172" s="1065"/>
      <c r="B172" s="1065" t="s">
        <v>5117</v>
      </c>
      <c r="C172" s="1066">
        <v>1</v>
      </c>
      <c r="D172" s="1066">
        <v>4</v>
      </c>
      <c r="E172" s="1066">
        <v>0.23</v>
      </c>
      <c r="F172" s="1062">
        <v>0.38</v>
      </c>
      <c r="G172" s="1062">
        <v>1</v>
      </c>
      <c r="H172" s="1062">
        <f>PRODUCT(C172:G172)</f>
        <v>0.35</v>
      </c>
    </row>
    <row r="173" spans="1:8">
      <c r="A173" s="1065"/>
      <c r="B173" s="1082" t="s">
        <v>5118</v>
      </c>
      <c r="C173" s="1066"/>
      <c r="D173" s="1066"/>
      <c r="E173" s="1068"/>
      <c r="F173" s="1066"/>
      <c r="G173" s="1066"/>
      <c r="H173" s="1062"/>
    </row>
    <row r="174" spans="1:8">
      <c r="A174" s="1065"/>
      <c r="B174" s="1069" t="s">
        <v>5990</v>
      </c>
      <c r="C174" s="1066">
        <v>1</v>
      </c>
      <c r="D174" s="1066">
        <v>1</v>
      </c>
      <c r="E174" s="1068">
        <v>47.24</v>
      </c>
      <c r="F174" s="1066">
        <v>0.23</v>
      </c>
      <c r="G174" s="1062">
        <v>0.15</v>
      </c>
      <c r="H174" s="1062">
        <f t="shared" ref="H174:H200" si="11">PRODUCT(C174:G174)</f>
        <v>1.63</v>
      </c>
    </row>
    <row r="175" spans="1:8">
      <c r="A175" s="1065"/>
      <c r="B175" s="1069" t="s">
        <v>6002</v>
      </c>
      <c r="C175" s="1066">
        <v>1</v>
      </c>
      <c r="D175" s="1066">
        <v>1</v>
      </c>
      <c r="E175" s="1068">
        <v>69.16</v>
      </c>
      <c r="F175" s="1066">
        <v>0.23</v>
      </c>
      <c r="G175" s="1062">
        <v>0.15</v>
      </c>
      <c r="H175" s="1062">
        <f t="shared" si="11"/>
        <v>2.39</v>
      </c>
    </row>
    <row r="176" spans="1:8">
      <c r="A176" s="1065"/>
      <c r="B176" s="1069" t="s">
        <v>5991</v>
      </c>
      <c r="C176" s="1066">
        <v>1</v>
      </c>
      <c r="D176" s="1066">
        <v>8</v>
      </c>
      <c r="E176" s="1068">
        <v>4.38</v>
      </c>
      <c r="F176" s="1066">
        <v>0.23</v>
      </c>
      <c r="G176" s="1062">
        <v>0.15</v>
      </c>
      <c r="H176" s="1062">
        <f t="shared" si="11"/>
        <v>1.21</v>
      </c>
    </row>
    <row r="177" spans="1:8">
      <c r="A177" s="1065"/>
      <c r="B177" s="1069" t="s">
        <v>5992</v>
      </c>
      <c r="C177" s="1066">
        <v>1</v>
      </c>
      <c r="D177" s="1066">
        <v>1</v>
      </c>
      <c r="E177" s="1068">
        <v>13.11</v>
      </c>
      <c r="F177" s="1066">
        <v>0.23</v>
      </c>
      <c r="G177" s="1062">
        <v>0.15</v>
      </c>
      <c r="H177" s="1062">
        <f t="shared" si="11"/>
        <v>0.45</v>
      </c>
    </row>
    <row r="178" spans="1:8">
      <c r="A178" s="1065"/>
      <c r="B178" s="1069" t="s">
        <v>5993</v>
      </c>
      <c r="C178" s="1066">
        <v>1</v>
      </c>
      <c r="D178" s="1066">
        <v>1</v>
      </c>
      <c r="E178" s="1068">
        <v>4.95</v>
      </c>
      <c r="F178" s="1066">
        <v>0.23</v>
      </c>
      <c r="G178" s="1062">
        <v>0.15</v>
      </c>
      <c r="H178" s="1062">
        <f t="shared" si="11"/>
        <v>0.17</v>
      </c>
    </row>
    <row r="179" spans="1:8">
      <c r="A179" s="1065"/>
      <c r="B179" s="1069" t="s">
        <v>5994</v>
      </c>
      <c r="C179" s="1066">
        <v>1</v>
      </c>
      <c r="D179" s="1066">
        <v>2</v>
      </c>
      <c r="E179" s="1068">
        <v>1.94</v>
      </c>
      <c r="F179" s="1066">
        <v>0.23</v>
      </c>
      <c r="G179" s="1062">
        <v>0.15</v>
      </c>
      <c r="H179" s="1062">
        <f t="shared" si="11"/>
        <v>0.13</v>
      </c>
    </row>
    <row r="180" spans="1:8">
      <c r="A180" s="1065"/>
      <c r="B180" s="1069" t="s">
        <v>5995</v>
      </c>
      <c r="C180" s="1066">
        <v>1</v>
      </c>
      <c r="D180" s="1066">
        <v>5</v>
      </c>
      <c r="E180" s="1068">
        <v>9.2100000000000009</v>
      </c>
      <c r="F180" s="1066">
        <v>0.23</v>
      </c>
      <c r="G180" s="1062">
        <v>0.15</v>
      </c>
      <c r="H180" s="1062">
        <f t="shared" si="11"/>
        <v>1.59</v>
      </c>
    </row>
    <row r="181" spans="1:8">
      <c r="A181" s="1065"/>
      <c r="B181" s="1069" t="s">
        <v>5996</v>
      </c>
      <c r="C181" s="1066">
        <v>1</v>
      </c>
      <c r="D181" s="1066">
        <v>2</v>
      </c>
      <c r="E181" s="1068">
        <v>3.62</v>
      </c>
      <c r="F181" s="1066">
        <v>0.23</v>
      </c>
      <c r="G181" s="1062">
        <v>0.15</v>
      </c>
      <c r="H181" s="1062">
        <f t="shared" si="11"/>
        <v>0.25</v>
      </c>
    </row>
    <row r="182" spans="1:8">
      <c r="A182" s="1065"/>
      <c r="B182" s="1069" t="s">
        <v>5996</v>
      </c>
      <c r="C182" s="1066">
        <v>1</v>
      </c>
      <c r="D182" s="1066">
        <v>2</v>
      </c>
      <c r="E182" s="1068">
        <v>3.73</v>
      </c>
      <c r="F182" s="1066">
        <v>0.23</v>
      </c>
      <c r="G182" s="1062">
        <v>0.15</v>
      </c>
      <c r="H182" s="1062">
        <f t="shared" si="11"/>
        <v>0.26</v>
      </c>
    </row>
    <row r="183" spans="1:8">
      <c r="A183" s="1065"/>
      <c r="B183" s="1069" t="s">
        <v>5996</v>
      </c>
      <c r="C183" s="1066">
        <v>1</v>
      </c>
      <c r="D183" s="1066">
        <v>2</v>
      </c>
      <c r="E183" s="1068">
        <v>3.68</v>
      </c>
      <c r="F183" s="1066">
        <v>0.23</v>
      </c>
      <c r="G183" s="1062">
        <v>0.15</v>
      </c>
      <c r="H183" s="1062">
        <f t="shared" si="11"/>
        <v>0.25</v>
      </c>
    </row>
    <row r="184" spans="1:8">
      <c r="A184" s="1065"/>
      <c r="B184" s="1069" t="s">
        <v>5996</v>
      </c>
      <c r="C184" s="1066">
        <v>1</v>
      </c>
      <c r="D184" s="1066">
        <v>2</v>
      </c>
      <c r="E184" s="1068">
        <v>3.86</v>
      </c>
      <c r="F184" s="1066">
        <v>0.23</v>
      </c>
      <c r="G184" s="1062">
        <v>0.15</v>
      </c>
      <c r="H184" s="1062">
        <f t="shared" si="11"/>
        <v>0.27</v>
      </c>
    </row>
    <row r="185" spans="1:8">
      <c r="A185" s="1065"/>
      <c r="B185" s="1069" t="s">
        <v>5996</v>
      </c>
      <c r="C185" s="1066">
        <v>1</v>
      </c>
      <c r="D185" s="1066">
        <v>2</v>
      </c>
      <c r="E185" s="1068">
        <v>4.68</v>
      </c>
      <c r="F185" s="1066">
        <v>0.23</v>
      </c>
      <c r="G185" s="1062">
        <v>0.15</v>
      </c>
      <c r="H185" s="1062">
        <f t="shared" si="11"/>
        <v>0.32</v>
      </c>
    </row>
    <row r="186" spans="1:8">
      <c r="A186" s="1065"/>
      <c r="B186" s="1069" t="s">
        <v>5996</v>
      </c>
      <c r="C186" s="1066">
        <v>1</v>
      </c>
      <c r="D186" s="1066">
        <v>2</v>
      </c>
      <c r="E186" s="1068">
        <v>3.77</v>
      </c>
      <c r="F186" s="1066">
        <v>0.23</v>
      </c>
      <c r="G186" s="1062">
        <v>0.15</v>
      </c>
      <c r="H186" s="1062">
        <f t="shared" si="11"/>
        <v>0.26</v>
      </c>
    </row>
    <row r="187" spans="1:8">
      <c r="A187" s="1065"/>
      <c r="B187" s="1069" t="s">
        <v>5997</v>
      </c>
      <c r="C187" s="1066">
        <v>1</v>
      </c>
      <c r="D187" s="1066">
        <v>2</v>
      </c>
      <c r="E187" s="1068">
        <v>1.8</v>
      </c>
      <c r="F187" s="1066">
        <v>0.23</v>
      </c>
      <c r="G187" s="1062">
        <v>0.15</v>
      </c>
      <c r="H187" s="1062">
        <f t="shared" si="11"/>
        <v>0.12</v>
      </c>
    </row>
    <row r="188" spans="1:8">
      <c r="A188" s="1065"/>
      <c r="B188" s="1069" t="s">
        <v>6003</v>
      </c>
      <c r="C188" s="1066">
        <v>1</v>
      </c>
      <c r="D188" s="1066">
        <v>1</v>
      </c>
      <c r="E188" s="1068">
        <v>3.66</v>
      </c>
      <c r="F188" s="1066">
        <v>0.23</v>
      </c>
      <c r="G188" s="1062">
        <v>0.15</v>
      </c>
      <c r="H188" s="1062">
        <f t="shared" si="11"/>
        <v>0.13</v>
      </c>
    </row>
    <row r="189" spans="1:8">
      <c r="A189" s="1065"/>
      <c r="B189" s="1069" t="s">
        <v>6004</v>
      </c>
      <c r="C189" s="1066">
        <v>1</v>
      </c>
      <c r="D189" s="1066">
        <v>2</v>
      </c>
      <c r="E189" s="1068">
        <v>4.7</v>
      </c>
      <c r="F189" s="1066">
        <v>0.23</v>
      </c>
      <c r="G189" s="1062">
        <v>0.15</v>
      </c>
      <c r="H189" s="1062">
        <f t="shared" si="11"/>
        <v>0.32</v>
      </c>
    </row>
    <row r="190" spans="1:8">
      <c r="A190" s="1065"/>
      <c r="B190" s="1069" t="s">
        <v>6004</v>
      </c>
      <c r="C190" s="1066">
        <v>1</v>
      </c>
      <c r="D190" s="1066">
        <v>1</v>
      </c>
      <c r="E190" s="1068">
        <v>3.66</v>
      </c>
      <c r="F190" s="1066">
        <v>0.23</v>
      </c>
      <c r="G190" s="1062">
        <v>0.15</v>
      </c>
      <c r="H190" s="1062">
        <f t="shared" si="11"/>
        <v>0.13</v>
      </c>
    </row>
    <row r="191" spans="1:8">
      <c r="A191" s="1065"/>
      <c r="B191" s="1069" t="s">
        <v>6004</v>
      </c>
      <c r="C191" s="1066">
        <v>1</v>
      </c>
      <c r="D191" s="1066">
        <v>1</v>
      </c>
      <c r="E191" s="1068">
        <v>3.6</v>
      </c>
      <c r="F191" s="1066">
        <v>0.23</v>
      </c>
      <c r="G191" s="1062">
        <v>0.15</v>
      </c>
      <c r="H191" s="1062">
        <f t="shared" si="11"/>
        <v>0.12</v>
      </c>
    </row>
    <row r="192" spans="1:8">
      <c r="A192" s="1065"/>
      <c r="B192" s="1069" t="s">
        <v>5998</v>
      </c>
      <c r="C192" s="1066">
        <v>1</v>
      </c>
      <c r="D192" s="1066">
        <v>1</v>
      </c>
      <c r="E192" s="1068">
        <v>8.4700000000000006</v>
      </c>
      <c r="F192" s="1066">
        <v>0.23</v>
      </c>
      <c r="G192" s="1062">
        <v>0.15</v>
      </c>
      <c r="H192" s="1062">
        <f t="shared" si="11"/>
        <v>0.28999999999999998</v>
      </c>
    </row>
    <row r="193" spans="1:8">
      <c r="A193" s="1065"/>
      <c r="B193" s="1069" t="s">
        <v>5999</v>
      </c>
      <c r="C193" s="1066">
        <v>1</v>
      </c>
      <c r="D193" s="1066">
        <v>2</v>
      </c>
      <c r="E193" s="1068">
        <v>7.26</v>
      </c>
      <c r="F193" s="1066">
        <v>0.23</v>
      </c>
      <c r="G193" s="1062">
        <v>0.15</v>
      </c>
      <c r="H193" s="1062">
        <f t="shared" si="11"/>
        <v>0.5</v>
      </c>
    </row>
    <row r="194" spans="1:8">
      <c r="A194" s="1065"/>
      <c r="B194" s="1069" t="s">
        <v>5998</v>
      </c>
      <c r="C194" s="1066">
        <v>1</v>
      </c>
      <c r="D194" s="1066">
        <v>1</v>
      </c>
      <c r="E194" s="1068">
        <v>11.77</v>
      </c>
      <c r="F194" s="1066">
        <v>0.23</v>
      </c>
      <c r="G194" s="1062">
        <v>0.15</v>
      </c>
      <c r="H194" s="1062">
        <f t="shared" si="11"/>
        <v>0.41</v>
      </c>
    </row>
    <row r="195" spans="1:8">
      <c r="A195" s="1065"/>
      <c r="B195" s="1069" t="s">
        <v>6000</v>
      </c>
      <c r="C195" s="1066">
        <v>1</v>
      </c>
      <c r="D195" s="1066">
        <v>1</v>
      </c>
      <c r="E195" s="1068">
        <v>8.14</v>
      </c>
      <c r="F195" s="1066">
        <v>0.23</v>
      </c>
      <c r="G195" s="1062">
        <v>0.15</v>
      </c>
      <c r="H195" s="1062">
        <f t="shared" si="11"/>
        <v>0.28000000000000003</v>
      </c>
    </row>
    <row r="196" spans="1:8">
      <c r="A196" s="1065"/>
      <c r="B196" s="1069" t="s">
        <v>6001</v>
      </c>
      <c r="C196" s="1066">
        <v>1</v>
      </c>
      <c r="D196" s="1066">
        <v>1</v>
      </c>
      <c r="E196" s="1068">
        <v>2.1</v>
      </c>
      <c r="F196" s="1066">
        <v>0.23</v>
      </c>
      <c r="G196" s="1062">
        <v>0.15</v>
      </c>
      <c r="H196" s="1062">
        <f t="shared" si="11"/>
        <v>7.0000000000000007E-2</v>
      </c>
    </row>
    <row r="197" spans="1:8">
      <c r="A197" s="1065"/>
      <c r="B197" s="1069" t="s">
        <v>6001</v>
      </c>
      <c r="C197" s="1066">
        <v>1</v>
      </c>
      <c r="D197" s="1066">
        <v>1</v>
      </c>
      <c r="E197" s="1068">
        <v>4</v>
      </c>
      <c r="F197" s="1066">
        <v>0.23</v>
      </c>
      <c r="G197" s="1062">
        <v>0.15</v>
      </c>
      <c r="H197" s="1062">
        <f t="shared" si="11"/>
        <v>0.14000000000000001</v>
      </c>
    </row>
    <row r="198" spans="1:8">
      <c r="A198" s="1065"/>
      <c r="B198" s="1082"/>
      <c r="C198" s="1066">
        <v>1</v>
      </c>
      <c r="D198" s="1066">
        <v>1</v>
      </c>
      <c r="E198" s="1068">
        <v>4.82</v>
      </c>
      <c r="F198" s="1066">
        <v>0.23</v>
      </c>
      <c r="G198" s="1062">
        <v>0.15</v>
      </c>
      <c r="H198" s="1062">
        <f t="shared" si="11"/>
        <v>0.17</v>
      </c>
    </row>
    <row r="199" spans="1:8">
      <c r="A199" s="1065"/>
      <c r="B199" s="1069" t="s">
        <v>5081</v>
      </c>
      <c r="C199" s="1066">
        <v>1</v>
      </c>
      <c r="D199" s="1066">
        <v>1</v>
      </c>
      <c r="E199" s="1062">
        <v>13.12</v>
      </c>
      <c r="F199" s="1066">
        <v>0.23</v>
      </c>
      <c r="G199" s="1062">
        <v>0.15</v>
      </c>
      <c r="H199" s="1062">
        <f t="shared" si="11"/>
        <v>0.45</v>
      </c>
    </row>
    <row r="200" spans="1:8" ht="19.5" customHeight="1">
      <c r="A200" s="1065"/>
      <c r="B200" s="1069" t="s">
        <v>5124</v>
      </c>
      <c r="C200" s="1066">
        <v>1</v>
      </c>
      <c r="D200" s="1066">
        <v>1</v>
      </c>
      <c r="E200" s="1062">
        <v>8.23</v>
      </c>
      <c r="F200" s="1066">
        <v>0.23</v>
      </c>
      <c r="G200" s="1062">
        <v>1</v>
      </c>
      <c r="H200" s="1062">
        <f t="shared" si="11"/>
        <v>1.89</v>
      </c>
    </row>
    <row r="201" spans="1:8">
      <c r="A201" s="1065"/>
      <c r="B201" s="1069" t="s">
        <v>5132</v>
      </c>
      <c r="C201" s="1066">
        <v>1</v>
      </c>
      <c r="D201" s="1066">
        <v>1</v>
      </c>
      <c r="E201" s="1062">
        <v>2.59</v>
      </c>
      <c r="F201" s="1066">
        <v>0.23</v>
      </c>
      <c r="G201" s="1062">
        <v>0.23</v>
      </c>
      <c r="H201" s="1062">
        <f>PRODUCT(C201:G201)</f>
        <v>0.14000000000000001</v>
      </c>
    </row>
    <row r="202" spans="1:8">
      <c r="A202" s="1065"/>
      <c r="B202" s="1065"/>
      <c r="C202" s="1065"/>
      <c r="D202" s="1065"/>
      <c r="E202" s="1065"/>
      <c r="F202" s="1065"/>
      <c r="G202" s="1065"/>
      <c r="H202" s="1084">
        <f>SUM(H122:H201)</f>
        <v>129.11000000000001</v>
      </c>
    </row>
    <row r="203" spans="1:8">
      <c r="A203" s="1059"/>
      <c r="B203" s="1076"/>
      <c r="C203" s="1061"/>
      <c r="D203" s="1061"/>
      <c r="E203" s="1062"/>
      <c r="F203" s="1072" t="s">
        <v>4121</v>
      </c>
      <c r="G203" s="1073">
        <f>ROUNDUP(H202,1)</f>
        <v>129.19999999999999</v>
      </c>
      <c r="H203" s="1074" t="s">
        <v>5084</v>
      </c>
    </row>
    <row r="204" spans="1:8" ht="29.25">
      <c r="A204" s="1059">
        <v>6.5</v>
      </c>
      <c r="B204" s="1082" t="s">
        <v>6123</v>
      </c>
      <c r="C204" s="1061"/>
      <c r="D204" s="1061"/>
      <c r="E204" s="1062"/>
      <c r="F204" s="1062"/>
      <c r="G204" s="1058"/>
      <c r="H204" s="1077"/>
    </row>
    <row r="205" spans="1:8">
      <c r="A205" s="1065"/>
      <c r="B205" s="1069" t="s">
        <v>5990</v>
      </c>
      <c r="C205" s="1066">
        <v>1</v>
      </c>
      <c r="D205" s="1066">
        <v>1</v>
      </c>
      <c r="E205" s="1068">
        <v>47.24</v>
      </c>
      <c r="F205" s="1066">
        <v>0.23</v>
      </c>
      <c r="G205" s="1062">
        <v>0.88</v>
      </c>
      <c r="H205" s="1062">
        <f t="shared" ref="H205:H230" si="12">PRODUCT(C205:G205)</f>
        <v>9.56</v>
      </c>
    </row>
    <row r="206" spans="1:8">
      <c r="A206" s="1065"/>
      <c r="B206" s="1069" t="s">
        <v>6002</v>
      </c>
      <c r="C206" s="1066">
        <v>1</v>
      </c>
      <c r="D206" s="1066">
        <v>1</v>
      </c>
      <c r="E206" s="1068">
        <v>69.16</v>
      </c>
      <c r="F206" s="1066">
        <v>0.23</v>
      </c>
      <c r="G206" s="1062">
        <v>0.88</v>
      </c>
      <c r="H206" s="1062">
        <f t="shared" si="12"/>
        <v>14</v>
      </c>
    </row>
    <row r="207" spans="1:8">
      <c r="A207" s="1065"/>
      <c r="B207" s="1069" t="s">
        <v>5991</v>
      </c>
      <c r="C207" s="1066">
        <v>1</v>
      </c>
      <c r="D207" s="1066">
        <v>8</v>
      </c>
      <c r="E207" s="1068">
        <v>4.38</v>
      </c>
      <c r="F207" s="1066">
        <v>0.23</v>
      </c>
      <c r="G207" s="1062">
        <v>0.88</v>
      </c>
      <c r="H207" s="1062">
        <f t="shared" si="12"/>
        <v>7.09</v>
      </c>
    </row>
    <row r="208" spans="1:8">
      <c r="A208" s="1065"/>
      <c r="B208" s="1069" t="s">
        <v>5992</v>
      </c>
      <c r="C208" s="1066">
        <v>1</v>
      </c>
      <c r="D208" s="1066">
        <v>1</v>
      </c>
      <c r="E208" s="1068">
        <v>13.11</v>
      </c>
      <c r="F208" s="1066">
        <v>0.23</v>
      </c>
      <c r="G208" s="1062">
        <v>0.88</v>
      </c>
      <c r="H208" s="1062">
        <f t="shared" si="12"/>
        <v>2.65</v>
      </c>
    </row>
    <row r="209" spans="1:8">
      <c r="A209" s="1065"/>
      <c r="B209" s="1069" t="s">
        <v>5993</v>
      </c>
      <c r="C209" s="1066">
        <v>1</v>
      </c>
      <c r="D209" s="1066">
        <v>1</v>
      </c>
      <c r="E209" s="1068">
        <v>4.95</v>
      </c>
      <c r="F209" s="1066">
        <v>0.23</v>
      </c>
      <c r="G209" s="1062">
        <v>0.88</v>
      </c>
      <c r="H209" s="1062">
        <f t="shared" si="12"/>
        <v>1</v>
      </c>
    </row>
    <row r="210" spans="1:8">
      <c r="A210" s="1065"/>
      <c r="B210" s="1069" t="s">
        <v>5994</v>
      </c>
      <c r="C210" s="1066">
        <v>1</v>
      </c>
      <c r="D210" s="1066">
        <v>2</v>
      </c>
      <c r="E210" s="1068">
        <v>1.94</v>
      </c>
      <c r="F210" s="1066">
        <v>0.23</v>
      </c>
      <c r="G210" s="1062">
        <v>0.88</v>
      </c>
      <c r="H210" s="1062">
        <f t="shared" si="12"/>
        <v>0.79</v>
      </c>
    </row>
    <row r="211" spans="1:8">
      <c r="A211" s="1065"/>
      <c r="B211" s="1069" t="s">
        <v>5995</v>
      </c>
      <c r="C211" s="1066">
        <v>1</v>
      </c>
      <c r="D211" s="1066">
        <v>5</v>
      </c>
      <c r="E211" s="1068">
        <v>9.2100000000000009</v>
      </c>
      <c r="F211" s="1066">
        <v>0.23</v>
      </c>
      <c r="G211" s="1062">
        <v>0.88</v>
      </c>
      <c r="H211" s="1062">
        <f t="shared" si="12"/>
        <v>9.32</v>
      </c>
    </row>
    <row r="212" spans="1:8">
      <c r="A212" s="1065"/>
      <c r="B212" s="1069" t="s">
        <v>5996</v>
      </c>
      <c r="C212" s="1066">
        <v>1</v>
      </c>
      <c r="D212" s="1066">
        <v>2</v>
      </c>
      <c r="E212" s="1068">
        <v>3.62</v>
      </c>
      <c r="F212" s="1066">
        <v>0.23</v>
      </c>
      <c r="G212" s="1062">
        <v>0.88</v>
      </c>
      <c r="H212" s="1062">
        <f t="shared" si="12"/>
        <v>1.47</v>
      </c>
    </row>
    <row r="213" spans="1:8">
      <c r="A213" s="1065"/>
      <c r="B213" s="1069" t="s">
        <v>5996</v>
      </c>
      <c r="C213" s="1066">
        <v>1</v>
      </c>
      <c r="D213" s="1066">
        <v>2</v>
      </c>
      <c r="E213" s="1068">
        <v>3.73</v>
      </c>
      <c r="F213" s="1066">
        <v>0.23</v>
      </c>
      <c r="G213" s="1062">
        <v>0.88</v>
      </c>
      <c r="H213" s="1062">
        <f t="shared" si="12"/>
        <v>1.51</v>
      </c>
    </row>
    <row r="214" spans="1:8">
      <c r="A214" s="1065"/>
      <c r="B214" s="1069" t="s">
        <v>5996</v>
      </c>
      <c r="C214" s="1066">
        <v>1</v>
      </c>
      <c r="D214" s="1066">
        <v>2</v>
      </c>
      <c r="E214" s="1068">
        <v>3.68</v>
      </c>
      <c r="F214" s="1066">
        <v>0.23</v>
      </c>
      <c r="G214" s="1062">
        <v>0.88</v>
      </c>
      <c r="H214" s="1062">
        <f t="shared" si="12"/>
        <v>1.49</v>
      </c>
    </row>
    <row r="215" spans="1:8">
      <c r="A215" s="1065"/>
      <c r="B215" s="1069" t="s">
        <v>5996</v>
      </c>
      <c r="C215" s="1066">
        <v>1</v>
      </c>
      <c r="D215" s="1066">
        <v>2</v>
      </c>
      <c r="E215" s="1068">
        <v>3.86</v>
      </c>
      <c r="F215" s="1066">
        <v>0.23</v>
      </c>
      <c r="G215" s="1062">
        <v>0.88</v>
      </c>
      <c r="H215" s="1062">
        <f t="shared" si="12"/>
        <v>1.56</v>
      </c>
    </row>
    <row r="216" spans="1:8">
      <c r="A216" s="1065"/>
      <c r="B216" s="1069" t="s">
        <v>5996</v>
      </c>
      <c r="C216" s="1066">
        <v>1</v>
      </c>
      <c r="D216" s="1066">
        <v>2</v>
      </c>
      <c r="E216" s="1068">
        <v>4.68</v>
      </c>
      <c r="F216" s="1066">
        <v>0.23</v>
      </c>
      <c r="G216" s="1062">
        <v>0.88</v>
      </c>
      <c r="H216" s="1062">
        <f t="shared" si="12"/>
        <v>1.89</v>
      </c>
    </row>
    <row r="217" spans="1:8">
      <c r="A217" s="1065"/>
      <c r="B217" s="1069" t="s">
        <v>5996</v>
      </c>
      <c r="C217" s="1066">
        <v>1</v>
      </c>
      <c r="D217" s="1066">
        <v>2</v>
      </c>
      <c r="E217" s="1068">
        <v>3.77</v>
      </c>
      <c r="F217" s="1066">
        <v>0.23</v>
      </c>
      <c r="G217" s="1062">
        <v>0.88</v>
      </c>
      <c r="H217" s="1062">
        <f t="shared" si="12"/>
        <v>1.53</v>
      </c>
    </row>
    <row r="218" spans="1:8">
      <c r="A218" s="1065"/>
      <c r="B218" s="1069" t="s">
        <v>5997</v>
      </c>
      <c r="C218" s="1066">
        <v>1</v>
      </c>
      <c r="D218" s="1066">
        <v>2</v>
      </c>
      <c r="E218" s="1068">
        <v>1.8</v>
      </c>
      <c r="F218" s="1066">
        <v>0.23</v>
      </c>
      <c r="G218" s="1062">
        <v>0.88</v>
      </c>
      <c r="H218" s="1062">
        <f t="shared" si="12"/>
        <v>0.73</v>
      </c>
    </row>
    <row r="219" spans="1:8">
      <c r="A219" s="1065"/>
      <c r="B219" s="1069" t="s">
        <v>6003</v>
      </c>
      <c r="C219" s="1066">
        <v>1</v>
      </c>
      <c r="D219" s="1066">
        <v>1</v>
      </c>
      <c r="E219" s="1068">
        <v>3.66</v>
      </c>
      <c r="F219" s="1066">
        <v>0.23</v>
      </c>
      <c r="G219" s="1062">
        <v>0.88</v>
      </c>
      <c r="H219" s="1062">
        <f t="shared" si="12"/>
        <v>0.74</v>
      </c>
    </row>
    <row r="220" spans="1:8">
      <c r="A220" s="1065"/>
      <c r="B220" s="1069" t="s">
        <v>6004</v>
      </c>
      <c r="C220" s="1066">
        <v>1</v>
      </c>
      <c r="D220" s="1066">
        <v>2</v>
      </c>
      <c r="E220" s="1068">
        <v>4.7</v>
      </c>
      <c r="F220" s="1066">
        <v>0.23</v>
      </c>
      <c r="G220" s="1062">
        <v>0.88</v>
      </c>
      <c r="H220" s="1062">
        <f t="shared" si="12"/>
        <v>1.9</v>
      </c>
    </row>
    <row r="221" spans="1:8">
      <c r="A221" s="1065"/>
      <c r="B221" s="1069" t="s">
        <v>6004</v>
      </c>
      <c r="C221" s="1066">
        <v>1</v>
      </c>
      <c r="D221" s="1066">
        <v>1</v>
      </c>
      <c r="E221" s="1068">
        <v>3.66</v>
      </c>
      <c r="F221" s="1066">
        <v>0.23</v>
      </c>
      <c r="G221" s="1062">
        <v>0.88</v>
      </c>
      <c r="H221" s="1062">
        <f t="shared" si="12"/>
        <v>0.74</v>
      </c>
    </row>
    <row r="222" spans="1:8">
      <c r="A222" s="1065"/>
      <c r="B222" s="1069" t="s">
        <v>6004</v>
      </c>
      <c r="C222" s="1066">
        <v>1</v>
      </c>
      <c r="D222" s="1066">
        <v>1</v>
      </c>
      <c r="E222" s="1068">
        <v>3.6</v>
      </c>
      <c r="F222" s="1066">
        <v>0.23</v>
      </c>
      <c r="G222" s="1062">
        <v>0.88</v>
      </c>
      <c r="H222" s="1062">
        <f t="shared" si="12"/>
        <v>0.73</v>
      </c>
    </row>
    <row r="223" spans="1:8">
      <c r="A223" s="1065"/>
      <c r="B223" s="1069" t="s">
        <v>5998</v>
      </c>
      <c r="C223" s="1066">
        <v>1</v>
      </c>
      <c r="D223" s="1066">
        <v>1</v>
      </c>
      <c r="E223" s="1068">
        <v>8.4700000000000006</v>
      </c>
      <c r="F223" s="1066">
        <v>0.23</v>
      </c>
      <c r="G223" s="1062">
        <v>0.88</v>
      </c>
      <c r="H223" s="1062">
        <f t="shared" si="12"/>
        <v>1.71</v>
      </c>
    </row>
    <row r="224" spans="1:8">
      <c r="A224" s="1065"/>
      <c r="B224" s="1069" t="s">
        <v>5999</v>
      </c>
      <c r="C224" s="1066">
        <v>1</v>
      </c>
      <c r="D224" s="1066">
        <v>2</v>
      </c>
      <c r="E224" s="1068">
        <v>7.26</v>
      </c>
      <c r="F224" s="1066">
        <v>0.23</v>
      </c>
      <c r="G224" s="1062">
        <v>0.88</v>
      </c>
      <c r="H224" s="1062">
        <f t="shared" si="12"/>
        <v>2.94</v>
      </c>
    </row>
    <row r="225" spans="1:8">
      <c r="A225" s="1065"/>
      <c r="B225" s="1069" t="s">
        <v>5998</v>
      </c>
      <c r="C225" s="1066">
        <v>1</v>
      </c>
      <c r="D225" s="1066">
        <v>1</v>
      </c>
      <c r="E225" s="1068">
        <v>11.77</v>
      </c>
      <c r="F225" s="1066">
        <v>0.23</v>
      </c>
      <c r="G225" s="1062">
        <v>0.88</v>
      </c>
      <c r="H225" s="1062">
        <f t="shared" si="12"/>
        <v>2.38</v>
      </c>
    </row>
    <row r="226" spans="1:8">
      <c r="A226" s="1065"/>
      <c r="B226" s="1069" t="s">
        <v>6000</v>
      </c>
      <c r="C226" s="1066">
        <v>1</v>
      </c>
      <c r="D226" s="1066">
        <v>1</v>
      </c>
      <c r="E226" s="1068">
        <v>8.14</v>
      </c>
      <c r="F226" s="1066">
        <v>0.23</v>
      </c>
      <c r="G226" s="1062">
        <v>0.88</v>
      </c>
      <c r="H226" s="1062">
        <f t="shared" si="12"/>
        <v>1.65</v>
      </c>
    </row>
    <row r="227" spans="1:8">
      <c r="A227" s="1065"/>
      <c r="B227" s="1069" t="s">
        <v>6001</v>
      </c>
      <c r="C227" s="1066">
        <v>1</v>
      </c>
      <c r="D227" s="1066">
        <v>1</v>
      </c>
      <c r="E227" s="1068">
        <v>2.1</v>
      </c>
      <c r="F227" s="1066">
        <v>0.23</v>
      </c>
      <c r="G227" s="1062">
        <v>0.88</v>
      </c>
      <c r="H227" s="1062">
        <f t="shared" si="12"/>
        <v>0.43</v>
      </c>
    </row>
    <row r="228" spans="1:8">
      <c r="A228" s="1065"/>
      <c r="B228" s="1069" t="s">
        <v>6001</v>
      </c>
      <c r="C228" s="1066">
        <v>1</v>
      </c>
      <c r="D228" s="1066">
        <v>1</v>
      </c>
      <c r="E228" s="1068">
        <v>4</v>
      </c>
      <c r="F228" s="1066">
        <v>0.23</v>
      </c>
      <c r="G228" s="1062">
        <v>0.88</v>
      </c>
      <c r="H228" s="1062">
        <f t="shared" si="12"/>
        <v>0.81</v>
      </c>
    </row>
    <row r="229" spans="1:8">
      <c r="A229" s="1065"/>
      <c r="B229" s="1082"/>
      <c r="C229" s="1066">
        <v>1</v>
      </c>
      <c r="D229" s="1066">
        <v>1</v>
      </c>
      <c r="E229" s="1068">
        <v>4.82</v>
      </c>
      <c r="F229" s="1066">
        <v>0.23</v>
      </c>
      <c r="G229" s="1062">
        <v>0.88</v>
      </c>
      <c r="H229" s="1062">
        <f t="shared" si="12"/>
        <v>0.98</v>
      </c>
    </row>
    <row r="230" spans="1:8">
      <c r="A230" s="1065"/>
      <c r="B230" s="1069" t="s">
        <v>5081</v>
      </c>
      <c r="C230" s="1066">
        <v>1</v>
      </c>
      <c r="D230" s="1066">
        <v>1</v>
      </c>
      <c r="E230" s="1062">
        <v>13.12</v>
      </c>
      <c r="F230" s="1066">
        <v>0.23</v>
      </c>
      <c r="G230" s="1062">
        <v>0.88</v>
      </c>
      <c r="H230" s="1062">
        <f t="shared" si="12"/>
        <v>2.66</v>
      </c>
    </row>
    <row r="231" spans="1:8">
      <c r="A231" s="1059"/>
      <c r="B231" s="1069" t="s">
        <v>5124</v>
      </c>
      <c r="C231" s="1066">
        <v>1</v>
      </c>
      <c r="D231" s="1066">
        <v>1</v>
      </c>
      <c r="E231" s="1062">
        <v>8.23</v>
      </c>
      <c r="F231" s="1066">
        <v>0.23</v>
      </c>
      <c r="G231" s="1062">
        <v>0.88</v>
      </c>
      <c r="H231" s="1062">
        <f t="shared" ref="H231:H241" si="13">PRODUCT(C231:G231)</f>
        <v>1.67</v>
      </c>
    </row>
    <row r="232" spans="1:8">
      <c r="A232" s="1059"/>
      <c r="B232" s="1069" t="s">
        <v>5133</v>
      </c>
      <c r="C232" s="1066">
        <v>1</v>
      </c>
      <c r="D232" s="1066">
        <v>1</v>
      </c>
      <c r="E232" s="1062">
        <v>16.079999999999998</v>
      </c>
      <c r="F232" s="1066">
        <v>0.45</v>
      </c>
      <c r="G232" s="1062">
        <v>0.15</v>
      </c>
      <c r="H232" s="1062">
        <f t="shared" si="13"/>
        <v>1.0900000000000001</v>
      </c>
    </row>
    <row r="233" spans="1:8">
      <c r="A233" s="1059"/>
      <c r="B233" s="1069" t="s">
        <v>5134</v>
      </c>
      <c r="C233" s="1066">
        <v>1</v>
      </c>
      <c r="D233" s="1066">
        <v>1</v>
      </c>
      <c r="E233" s="1062">
        <v>16.079999999999998</v>
      </c>
      <c r="F233" s="1062">
        <v>0.3</v>
      </c>
      <c r="G233" s="1062">
        <v>0.15</v>
      </c>
      <c r="H233" s="1062">
        <f t="shared" si="13"/>
        <v>0.72</v>
      </c>
    </row>
    <row r="234" spans="1:8">
      <c r="A234" s="1059"/>
      <c r="B234" s="1069" t="s">
        <v>5135</v>
      </c>
      <c r="C234" s="1066">
        <v>1</v>
      </c>
      <c r="D234" s="1066">
        <v>1</v>
      </c>
      <c r="E234" s="1062">
        <v>16.079999999999998</v>
      </c>
      <c r="F234" s="1066">
        <v>0.15</v>
      </c>
      <c r="G234" s="1062">
        <v>0.15</v>
      </c>
      <c r="H234" s="1062">
        <f t="shared" si="13"/>
        <v>0.36</v>
      </c>
    </row>
    <row r="235" spans="1:8">
      <c r="A235" s="1059"/>
      <c r="B235" s="1085" t="s">
        <v>5136</v>
      </c>
      <c r="C235" s="1066">
        <v>1</v>
      </c>
      <c r="D235" s="1066">
        <v>1</v>
      </c>
      <c r="E235" s="1062">
        <v>1.46</v>
      </c>
      <c r="F235" s="1066">
        <v>0.3</v>
      </c>
      <c r="G235" s="1062">
        <v>0.15</v>
      </c>
      <c r="H235" s="1062">
        <f t="shared" si="13"/>
        <v>7.0000000000000007E-2</v>
      </c>
    </row>
    <row r="236" spans="1:8">
      <c r="A236" s="1059"/>
      <c r="B236" s="1082" t="s">
        <v>5137</v>
      </c>
      <c r="C236" s="1066"/>
      <c r="D236" s="1066"/>
      <c r="E236" s="1062"/>
      <c r="F236" s="1066"/>
      <c r="G236" s="1062"/>
      <c r="H236" s="1062">
        <f t="shared" si="13"/>
        <v>0</v>
      </c>
    </row>
    <row r="237" spans="1:8">
      <c r="A237" s="1059"/>
      <c r="B237" s="1065" t="s">
        <v>5100</v>
      </c>
      <c r="C237" s="1066">
        <v>-1</v>
      </c>
      <c r="D237" s="1066">
        <v>14</v>
      </c>
      <c r="E237" s="1066">
        <v>0.23</v>
      </c>
      <c r="F237" s="1062">
        <v>0.38</v>
      </c>
      <c r="G237" s="1062">
        <v>1</v>
      </c>
      <c r="H237" s="1062">
        <f t="shared" si="13"/>
        <v>-1.22</v>
      </c>
    </row>
    <row r="238" spans="1:8">
      <c r="A238" s="1059"/>
      <c r="B238" s="1065" t="s">
        <v>5101</v>
      </c>
      <c r="C238" s="1066">
        <v>-1</v>
      </c>
      <c r="D238" s="1066">
        <v>16</v>
      </c>
      <c r="E238" s="1066">
        <v>0.23</v>
      </c>
      <c r="F238" s="1062">
        <v>0.45</v>
      </c>
      <c r="G238" s="1062">
        <v>1</v>
      </c>
      <c r="H238" s="1062">
        <f t="shared" si="13"/>
        <v>-1.66</v>
      </c>
    </row>
    <row r="239" spans="1:8">
      <c r="A239" s="1059"/>
      <c r="B239" s="1065" t="s">
        <v>5102</v>
      </c>
      <c r="C239" s="1066">
        <v>-1</v>
      </c>
      <c r="D239" s="1066">
        <v>7</v>
      </c>
      <c r="E239" s="1066">
        <v>0.23</v>
      </c>
      <c r="F239" s="1062">
        <v>0.45</v>
      </c>
      <c r="G239" s="1062">
        <v>1</v>
      </c>
      <c r="H239" s="1062">
        <f t="shared" si="13"/>
        <v>-0.72</v>
      </c>
    </row>
    <row r="240" spans="1:8">
      <c r="A240" s="1059"/>
      <c r="B240" s="1065" t="s">
        <v>5103</v>
      </c>
      <c r="C240" s="1066">
        <v>-1</v>
      </c>
      <c r="D240" s="1066">
        <v>12</v>
      </c>
      <c r="E240" s="1066">
        <v>0.3</v>
      </c>
      <c r="F240" s="1062">
        <v>0.45</v>
      </c>
      <c r="G240" s="1062">
        <v>1</v>
      </c>
      <c r="H240" s="1062">
        <f t="shared" si="13"/>
        <v>-1.62</v>
      </c>
    </row>
    <row r="241" spans="1:8">
      <c r="A241" s="1059"/>
      <c r="B241" s="1065" t="s">
        <v>5117</v>
      </c>
      <c r="C241" s="1066">
        <v>-1</v>
      </c>
      <c r="D241" s="1066">
        <v>4</v>
      </c>
      <c r="E241" s="1066">
        <v>0.23</v>
      </c>
      <c r="F241" s="1062">
        <v>0.38</v>
      </c>
      <c r="G241" s="1062">
        <v>1</v>
      </c>
      <c r="H241" s="1062">
        <f t="shared" si="13"/>
        <v>-0.35</v>
      </c>
    </row>
    <row r="242" spans="1:8">
      <c r="A242" s="1059"/>
      <c r="B242" s="1082" t="s">
        <v>5138</v>
      </c>
      <c r="C242" s="1066"/>
      <c r="D242" s="1066"/>
      <c r="E242" s="1066"/>
      <c r="F242" s="1066"/>
      <c r="G242" s="1066"/>
      <c r="H242" s="1062"/>
    </row>
    <row r="243" spans="1:8">
      <c r="A243" s="1065"/>
      <c r="B243" s="1069" t="s">
        <v>5990</v>
      </c>
      <c r="C243" s="1066">
        <v>1</v>
      </c>
      <c r="D243" s="1066">
        <v>1</v>
      </c>
      <c r="E243" s="1068">
        <v>47.24</v>
      </c>
      <c r="F243" s="1066">
        <v>0.23</v>
      </c>
      <c r="G243" s="1062">
        <v>0.12</v>
      </c>
      <c r="H243" s="1062">
        <f t="shared" ref="H243:H269" si="14">PRODUCT(C243:G243)</f>
        <v>1.3</v>
      </c>
    </row>
    <row r="244" spans="1:8">
      <c r="A244" s="1065"/>
      <c r="B244" s="1069" t="s">
        <v>6002</v>
      </c>
      <c r="C244" s="1066">
        <v>1</v>
      </c>
      <c r="D244" s="1066">
        <v>1</v>
      </c>
      <c r="E244" s="1068">
        <v>69.16</v>
      </c>
      <c r="F244" s="1066">
        <v>0.23</v>
      </c>
      <c r="G244" s="1062">
        <v>0.12</v>
      </c>
      <c r="H244" s="1062">
        <f t="shared" si="14"/>
        <v>1.91</v>
      </c>
    </row>
    <row r="245" spans="1:8">
      <c r="A245" s="1065"/>
      <c r="B245" s="1069" t="s">
        <v>5991</v>
      </c>
      <c r="C245" s="1066">
        <v>1</v>
      </c>
      <c r="D245" s="1066">
        <v>8</v>
      </c>
      <c r="E245" s="1068">
        <v>4.38</v>
      </c>
      <c r="F245" s="1066">
        <v>0.23</v>
      </c>
      <c r="G245" s="1062">
        <v>0.12</v>
      </c>
      <c r="H245" s="1062">
        <f t="shared" si="14"/>
        <v>0.97</v>
      </c>
    </row>
    <row r="246" spans="1:8">
      <c r="A246" s="1065"/>
      <c r="B246" s="1069" t="s">
        <v>5992</v>
      </c>
      <c r="C246" s="1066">
        <v>1</v>
      </c>
      <c r="D246" s="1066">
        <v>1</v>
      </c>
      <c r="E246" s="1068">
        <v>13.11</v>
      </c>
      <c r="F246" s="1066">
        <v>0.23</v>
      </c>
      <c r="G246" s="1062">
        <v>0.12</v>
      </c>
      <c r="H246" s="1062">
        <f t="shared" si="14"/>
        <v>0.36</v>
      </c>
    </row>
    <row r="247" spans="1:8">
      <c r="A247" s="1065"/>
      <c r="B247" s="1069" t="s">
        <v>5993</v>
      </c>
      <c r="C247" s="1066">
        <v>1</v>
      </c>
      <c r="D247" s="1066">
        <v>1</v>
      </c>
      <c r="E247" s="1068">
        <v>4.95</v>
      </c>
      <c r="F247" s="1066">
        <v>0.23</v>
      </c>
      <c r="G247" s="1062">
        <v>0.12</v>
      </c>
      <c r="H247" s="1062">
        <f t="shared" si="14"/>
        <v>0.14000000000000001</v>
      </c>
    </row>
    <row r="248" spans="1:8">
      <c r="A248" s="1065"/>
      <c r="B248" s="1069" t="s">
        <v>5994</v>
      </c>
      <c r="C248" s="1066">
        <v>1</v>
      </c>
      <c r="D248" s="1066">
        <v>2</v>
      </c>
      <c r="E248" s="1068">
        <v>1.94</v>
      </c>
      <c r="F248" s="1066">
        <v>0.23</v>
      </c>
      <c r="G248" s="1062">
        <v>0.12</v>
      </c>
      <c r="H248" s="1062">
        <f t="shared" si="14"/>
        <v>0.11</v>
      </c>
    </row>
    <row r="249" spans="1:8">
      <c r="A249" s="1065"/>
      <c r="B249" s="1069" t="s">
        <v>5995</v>
      </c>
      <c r="C249" s="1066">
        <v>1</v>
      </c>
      <c r="D249" s="1066">
        <v>5</v>
      </c>
      <c r="E249" s="1068">
        <v>9.2100000000000009</v>
      </c>
      <c r="F249" s="1066">
        <v>0.23</v>
      </c>
      <c r="G249" s="1062">
        <v>0.12</v>
      </c>
      <c r="H249" s="1062">
        <f t="shared" si="14"/>
        <v>1.27</v>
      </c>
    </row>
    <row r="250" spans="1:8">
      <c r="A250" s="1065"/>
      <c r="B250" s="1069" t="s">
        <v>5996</v>
      </c>
      <c r="C250" s="1066">
        <v>1</v>
      </c>
      <c r="D250" s="1066">
        <v>2</v>
      </c>
      <c r="E250" s="1068">
        <v>3.62</v>
      </c>
      <c r="F250" s="1066">
        <v>0.23</v>
      </c>
      <c r="G250" s="1062">
        <v>0.12</v>
      </c>
      <c r="H250" s="1062">
        <f t="shared" si="14"/>
        <v>0.2</v>
      </c>
    </row>
    <row r="251" spans="1:8">
      <c r="A251" s="1065"/>
      <c r="B251" s="1069" t="s">
        <v>5996</v>
      </c>
      <c r="C251" s="1066">
        <v>1</v>
      </c>
      <c r="D251" s="1066">
        <v>2</v>
      </c>
      <c r="E251" s="1068">
        <v>3.73</v>
      </c>
      <c r="F251" s="1066">
        <v>0.23</v>
      </c>
      <c r="G251" s="1062">
        <v>0.12</v>
      </c>
      <c r="H251" s="1062">
        <f t="shared" si="14"/>
        <v>0.21</v>
      </c>
    </row>
    <row r="252" spans="1:8">
      <c r="A252" s="1065"/>
      <c r="B252" s="1069" t="s">
        <v>5996</v>
      </c>
      <c r="C252" s="1066">
        <v>1</v>
      </c>
      <c r="D252" s="1066">
        <v>2</v>
      </c>
      <c r="E252" s="1068">
        <v>3.68</v>
      </c>
      <c r="F252" s="1066">
        <v>0.23</v>
      </c>
      <c r="G252" s="1062">
        <v>0.12</v>
      </c>
      <c r="H252" s="1062">
        <f t="shared" si="14"/>
        <v>0.2</v>
      </c>
    </row>
    <row r="253" spans="1:8">
      <c r="A253" s="1065"/>
      <c r="B253" s="1069" t="s">
        <v>5996</v>
      </c>
      <c r="C253" s="1066">
        <v>1</v>
      </c>
      <c r="D253" s="1066">
        <v>2</v>
      </c>
      <c r="E253" s="1068">
        <v>3.86</v>
      </c>
      <c r="F253" s="1066">
        <v>0.23</v>
      </c>
      <c r="G253" s="1062">
        <v>0.12</v>
      </c>
      <c r="H253" s="1062">
        <f t="shared" si="14"/>
        <v>0.21</v>
      </c>
    </row>
    <row r="254" spans="1:8">
      <c r="A254" s="1065"/>
      <c r="B254" s="1069" t="s">
        <v>5996</v>
      </c>
      <c r="C254" s="1066">
        <v>1</v>
      </c>
      <c r="D254" s="1066">
        <v>2</v>
      </c>
      <c r="E254" s="1068">
        <v>4.68</v>
      </c>
      <c r="F254" s="1066">
        <v>0.23</v>
      </c>
      <c r="G254" s="1062">
        <v>0.12</v>
      </c>
      <c r="H254" s="1062">
        <f t="shared" si="14"/>
        <v>0.26</v>
      </c>
    </row>
    <row r="255" spans="1:8">
      <c r="A255" s="1065"/>
      <c r="B255" s="1069" t="s">
        <v>5996</v>
      </c>
      <c r="C255" s="1066">
        <v>1</v>
      </c>
      <c r="D255" s="1066">
        <v>2</v>
      </c>
      <c r="E255" s="1068">
        <v>3.77</v>
      </c>
      <c r="F255" s="1066">
        <v>0.23</v>
      </c>
      <c r="G255" s="1062">
        <v>0.12</v>
      </c>
      <c r="H255" s="1062">
        <f t="shared" si="14"/>
        <v>0.21</v>
      </c>
    </row>
    <row r="256" spans="1:8">
      <c r="A256" s="1065"/>
      <c r="B256" s="1069" t="s">
        <v>5997</v>
      </c>
      <c r="C256" s="1066">
        <v>1</v>
      </c>
      <c r="D256" s="1066">
        <v>2</v>
      </c>
      <c r="E256" s="1068">
        <v>1.8</v>
      </c>
      <c r="F256" s="1066">
        <v>0.23</v>
      </c>
      <c r="G256" s="1062">
        <v>0.12</v>
      </c>
      <c r="H256" s="1062">
        <f t="shared" si="14"/>
        <v>0.1</v>
      </c>
    </row>
    <row r="257" spans="1:15">
      <c r="A257" s="1065"/>
      <c r="B257" s="1069" t="s">
        <v>6003</v>
      </c>
      <c r="C257" s="1066">
        <v>1</v>
      </c>
      <c r="D257" s="1066">
        <v>1</v>
      </c>
      <c r="E257" s="1068">
        <v>3.66</v>
      </c>
      <c r="F257" s="1066">
        <v>0.23</v>
      </c>
      <c r="G257" s="1062">
        <v>0.12</v>
      </c>
      <c r="H257" s="1062">
        <f t="shared" si="14"/>
        <v>0.1</v>
      </c>
    </row>
    <row r="258" spans="1:15">
      <c r="A258" s="1065"/>
      <c r="B258" s="1069" t="s">
        <v>6004</v>
      </c>
      <c r="C258" s="1066">
        <v>1</v>
      </c>
      <c r="D258" s="1066">
        <v>2</v>
      </c>
      <c r="E258" s="1068">
        <v>4.7</v>
      </c>
      <c r="F258" s="1066">
        <v>0.23</v>
      </c>
      <c r="G258" s="1062">
        <v>0.12</v>
      </c>
      <c r="H258" s="1062">
        <f t="shared" si="14"/>
        <v>0.26</v>
      </c>
    </row>
    <row r="259" spans="1:15">
      <c r="A259" s="1065"/>
      <c r="B259" s="1069" t="s">
        <v>6004</v>
      </c>
      <c r="C259" s="1066">
        <v>1</v>
      </c>
      <c r="D259" s="1066">
        <v>1</v>
      </c>
      <c r="E259" s="1068">
        <v>3.66</v>
      </c>
      <c r="F259" s="1066">
        <v>0.23</v>
      </c>
      <c r="G259" s="1062">
        <v>0.12</v>
      </c>
      <c r="H259" s="1062">
        <f t="shared" si="14"/>
        <v>0.1</v>
      </c>
    </row>
    <row r="260" spans="1:15">
      <c r="A260" s="1065"/>
      <c r="B260" s="1069" t="s">
        <v>6004</v>
      </c>
      <c r="C260" s="1066">
        <v>1</v>
      </c>
      <c r="D260" s="1066">
        <v>1</v>
      </c>
      <c r="E260" s="1068">
        <v>3.6</v>
      </c>
      <c r="F260" s="1066">
        <v>0.23</v>
      </c>
      <c r="G260" s="1062">
        <v>0.12</v>
      </c>
      <c r="H260" s="1062">
        <f t="shared" si="14"/>
        <v>0.1</v>
      </c>
    </row>
    <row r="261" spans="1:15">
      <c r="A261" s="1065"/>
      <c r="B261" s="1069" t="s">
        <v>5998</v>
      </c>
      <c r="C261" s="1066">
        <v>1</v>
      </c>
      <c r="D261" s="1066">
        <v>1</v>
      </c>
      <c r="E261" s="1068">
        <v>8.4700000000000006</v>
      </c>
      <c r="F261" s="1066">
        <v>0.23</v>
      </c>
      <c r="G261" s="1062">
        <v>0.12</v>
      </c>
      <c r="H261" s="1062">
        <f t="shared" si="14"/>
        <v>0.23</v>
      </c>
    </row>
    <row r="262" spans="1:15">
      <c r="A262" s="1065"/>
      <c r="B262" s="1069" t="s">
        <v>5999</v>
      </c>
      <c r="C262" s="1066">
        <v>1</v>
      </c>
      <c r="D262" s="1066">
        <v>2</v>
      </c>
      <c r="E262" s="1068">
        <v>7.26</v>
      </c>
      <c r="F262" s="1066">
        <v>0.23</v>
      </c>
      <c r="G262" s="1062">
        <v>0.12</v>
      </c>
      <c r="H262" s="1062">
        <f t="shared" si="14"/>
        <v>0.4</v>
      </c>
    </row>
    <row r="263" spans="1:15">
      <c r="A263" s="1065"/>
      <c r="B263" s="1069" t="s">
        <v>5998</v>
      </c>
      <c r="C263" s="1066">
        <v>1</v>
      </c>
      <c r="D263" s="1066">
        <v>1</v>
      </c>
      <c r="E263" s="1068">
        <v>11.77</v>
      </c>
      <c r="F263" s="1066">
        <v>0.23</v>
      </c>
      <c r="G263" s="1062">
        <v>0.12</v>
      </c>
      <c r="H263" s="1062">
        <f t="shared" si="14"/>
        <v>0.32</v>
      </c>
    </row>
    <row r="264" spans="1:15">
      <c r="A264" s="1065"/>
      <c r="B264" s="1069" t="s">
        <v>6000</v>
      </c>
      <c r="C264" s="1066">
        <v>1</v>
      </c>
      <c r="D264" s="1066">
        <v>1</v>
      </c>
      <c r="E264" s="1068">
        <v>8.14</v>
      </c>
      <c r="F264" s="1066">
        <v>0.23</v>
      </c>
      <c r="G264" s="1062">
        <v>0.12</v>
      </c>
      <c r="H264" s="1062">
        <f t="shared" si="14"/>
        <v>0.22</v>
      </c>
    </row>
    <row r="265" spans="1:15">
      <c r="A265" s="1065"/>
      <c r="B265" s="1069" t="s">
        <v>6001</v>
      </c>
      <c r="C265" s="1066">
        <v>1</v>
      </c>
      <c r="D265" s="1066">
        <v>1</v>
      </c>
      <c r="E265" s="1068">
        <v>2.1</v>
      </c>
      <c r="F265" s="1066">
        <v>0.23</v>
      </c>
      <c r="G265" s="1062">
        <v>0.12</v>
      </c>
      <c r="H265" s="1062">
        <f t="shared" si="14"/>
        <v>0.06</v>
      </c>
    </row>
    <row r="266" spans="1:15">
      <c r="A266" s="1065"/>
      <c r="B266" s="1069" t="s">
        <v>6001</v>
      </c>
      <c r="C266" s="1066">
        <v>1</v>
      </c>
      <c r="D266" s="1066">
        <v>1</v>
      </c>
      <c r="E266" s="1068">
        <v>4</v>
      </c>
      <c r="F266" s="1066">
        <v>0.23</v>
      </c>
      <c r="G266" s="1062">
        <v>0.12</v>
      </c>
      <c r="H266" s="1062">
        <f t="shared" si="14"/>
        <v>0.11</v>
      </c>
    </row>
    <row r="267" spans="1:15">
      <c r="A267" s="1065"/>
      <c r="B267" s="1082"/>
      <c r="C267" s="1066">
        <v>1</v>
      </c>
      <c r="D267" s="1066">
        <v>1</v>
      </c>
      <c r="E267" s="1068">
        <v>4.82</v>
      </c>
      <c r="F267" s="1066">
        <v>0.23</v>
      </c>
      <c r="G267" s="1062">
        <v>0.12</v>
      </c>
      <c r="H267" s="1062">
        <f t="shared" si="14"/>
        <v>0.13</v>
      </c>
    </row>
    <row r="268" spans="1:15">
      <c r="A268" s="1065"/>
      <c r="B268" s="1069" t="s">
        <v>5081</v>
      </c>
      <c r="C268" s="1066">
        <v>1</v>
      </c>
      <c r="D268" s="1066">
        <v>1</v>
      </c>
      <c r="E268" s="1062">
        <v>13.12</v>
      </c>
      <c r="F268" s="1066">
        <v>0.23</v>
      </c>
      <c r="G268" s="1062">
        <v>0.12</v>
      </c>
      <c r="H268" s="1062">
        <f t="shared" si="14"/>
        <v>0.36</v>
      </c>
    </row>
    <row r="269" spans="1:15">
      <c r="A269" s="1059"/>
      <c r="B269" s="1069" t="s">
        <v>5124</v>
      </c>
      <c r="C269" s="1066">
        <v>1</v>
      </c>
      <c r="D269" s="1066">
        <v>1</v>
      </c>
      <c r="E269" s="1062">
        <v>8.23</v>
      </c>
      <c r="F269" s="1066">
        <v>0.23</v>
      </c>
      <c r="G269" s="1062">
        <v>0.12</v>
      </c>
      <c r="H269" s="1062">
        <f t="shared" si="14"/>
        <v>0.23</v>
      </c>
    </row>
    <row r="270" spans="1:15">
      <c r="A270" s="1059"/>
      <c r="B270" s="1082" t="s">
        <v>5139</v>
      </c>
      <c r="C270" s="1066">
        <v>1</v>
      </c>
      <c r="D270" s="1066">
        <v>14</v>
      </c>
      <c r="E270" s="1062">
        <v>3.32</v>
      </c>
      <c r="F270" s="1066">
        <v>0.23</v>
      </c>
      <c r="G270" s="1062">
        <v>0.9</v>
      </c>
      <c r="H270" s="1062">
        <f>PRODUCT(C270:G270)</f>
        <v>9.6199999999999992</v>
      </c>
    </row>
    <row r="271" spans="1:15">
      <c r="A271" s="1059"/>
      <c r="B271" s="1065"/>
      <c r="C271" s="1066"/>
      <c r="D271" s="1066"/>
      <c r="E271" s="1066"/>
      <c r="F271" s="1066"/>
      <c r="G271" s="1066"/>
      <c r="H271" s="1062">
        <f>SUM(H205:H270)</f>
        <v>90.29</v>
      </c>
      <c r="J271">
        <v>2</v>
      </c>
      <c r="K271">
        <v>0.79</v>
      </c>
      <c r="L271">
        <v>0.6</v>
      </c>
      <c r="M271">
        <v>0.6</v>
      </c>
      <c r="N271">
        <v>2.0499999999999998</v>
      </c>
      <c r="O271" s="1086">
        <f>PRODUCT(J271:N271)</f>
        <v>1.17</v>
      </c>
    </row>
    <row r="272" spans="1:15">
      <c r="A272" s="1059">
        <v>8.1</v>
      </c>
      <c r="B272" s="1067" t="s">
        <v>5140</v>
      </c>
      <c r="C272" s="1061"/>
      <c r="D272" s="1061"/>
      <c r="E272" s="1062"/>
      <c r="F272" s="1072" t="s">
        <v>4121</v>
      </c>
      <c r="G272" s="1073">
        <f>ROUNDUP(H271,1)</f>
        <v>90.3</v>
      </c>
      <c r="H272" s="1074" t="s">
        <v>5084</v>
      </c>
    </row>
    <row r="273" spans="1:8">
      <c r="A273" s="1059"/>
      <c r="B273" s="1075" t="s">
        <v>5141</v>
      </c>
      <c r="C273" s="1061"/>
      <c r="D273" s="1061"/>
      <c r="E273" s="1062"/>
      <c r="F273" s="1062"/>
      <c r="G273" s="1062"/>
      <c r="H273" s="1063"/>
    </row>
    <row r="274" spans="1:8">
      <c r="A274" s="1059"/>
      <c r="B274" s="1067" t="s">
        <v>5142</v>
      </c>
      <c r="C274" s="1066"/>
      <c r="D274" s="1066"/>
      <c r="E274" s="1066"/>
      <c r="F274" s="1066"/>
      <c r="G274" s="1066"/>
      <c r="H274" s="1062"/>
    </row>
    <row r="275" spans="1:8">
      <c r="A275" s="1059"/>
      <c r="B275" s="1065" t="s">
        <v>5100</v>
      </c>
      <c r="C275" s="1066">
        <v>1</v>
      </c>
      <c r="D275" s="1066">
        <v>14</v>
      </c>
      <c r="E275" s="1066">
        <v>0.23</v>
      </c>
      <c r="F275" s="1062">
        <v>0.38</v>
      </c>
      <c r="G275" s="1062">
        <v>3.18</v>
      </c>
      <c r="H275" s="1062">
        <f>PRODUCT(C275:G275)</f>
        <v>3.89</v>
      </c>
    </row>
    <row r="276" spans="1:8">
      <c r="A276" s="1059"/>
      <c r="B276" s="1065" t="s">
        <v>5101</v>
      </c>
      <c r="C276" s="1066">
        <v>1</v>
      </c>
      <c r="D276" s="1066">
        <v>16</v>
      </c>
      <c r="E276" s="1066">
        <v>0.23</v>
      </c>
      <c r="F276" s="1062">
        <v>0.45</v>
      </c>
      <c r="G276" s="1062">
        <v>3.18</v>
      </c>
      <c r="H276" s="1062">
        <f>PRODUCT(C276:G276)</f>
        <v>5.27</v>
      </c>
    </row>
    <row r="277" spans="1:8">
      <c r="A277" s="1059"/>
      <c r="B277" s="1065" t="s">
        <v>5102</v>
      </c>
      <c r="C277" s="1066">
        <v>1</v>
      </c>
      <c r="D277" s="1066">
        <v>7</v>
      </c>
      <c r="E277" s="1066">
        <v>0.23</v>
      </c>
      <c r="F277" s="1062">
        <v>0.45</v>
      </c>
      <c r="G277" s="1062">
        <v>3.18</v>
      </c>
      <c r="H277" s="1062">
        <f>PRODUCT(C277:G277)</f>
        <v>2.2999999999999998</v>
      </c>
    </row>
    <row r="278" spans="1:8">
      <c r="A278" s="1059"/>
      <c r="B278" s="1065" t="s">
        <v>5103</v>
      </c>
      <c r="C278" s="1066">
        <v>1</v>
      </c>
      <c r="D278" s="1066">
        <v>12</v>
      </c>
      <c r="E278" s="1066">
        <v>0.3</v>
      </c>
      <c r="F278" s="1062">
        <v>0.45</v>
      </c>
      <c r="G278" s="1062">
        <v>3.18</v>
      </c>
      <c r="H278" s="1062">
        <f>PRODUCT(C278:G278)</f>
        <v>5.15</v>
      </c>
    </row>
    <row r="279" spans="1:8">
      <c r="A279" s="1059"/>
      <c r="B279" s="1065" t="s">
        <v>5117</v>
      </c>
      <c r="C279" s="1066">
        <v>1</v>
      </c>
      <c r="D279" s="1066">
        <v>4</v>
      </c>
      <c r="E279" s="1066">
        <v>0.23</v>
      </c>
      <c r="F279" s="1062">
        <v>0.38</v>
      </c>
      <c r="G279" s="1062">
        <v>3.18</v>
      </c>
      <c r="H279" s="1062">
        <f>PRODUCT(C279:G279)</f>
        <v>1.1100000000000001</v>
      </c>
    </row>
    <row r="280" spans="1:8">
      <c r="A280" s="1059"/>
      <c r="B280" s="1067" t="s">
        <v>5143</v>
      </c>
      <c r="C280" s="1066"/>
      <c r="D280" s="1066"/>
      <c r="E280" s="1066"/>
      <c r="F280" s="1066"/>
      <c r="G280" s="1066"/>
      <c r="H280" s="1062"/>
    </row>
    <row r="281" spans="1:8">
      <c r="A281" s="1059"/>
      <c r="B281" s="1065" t="s">
        <v>5144</v>
      </c>
      <c r="C281" s="1066">
        <v>1</v>
      </c>
      <c r="D281" s="1066">
        <v>1</v>
      </c>
      <c r="E281" s="1062">
        <v>2.59</v>
      </c>
      <c r="F281" s="1066">
        <v>4.22</v>
      </c>
      <c r="G281" s="1066">
        <v>0.125</v>
      </c>
      <c r="H281" s="1062">
        <f t="shared" ref="H281:H324" si="15">PRODUCT(C281:G281)</f>
        <v>1.37</v>
      </c>
    </row>
    <row r="282" spans="1:8">
      <c r="A282" s="1059"/>
      <c r="B282" s="1065" t="s">
        <v>5145</v>
      </c>
      <c r="C282" s="1066">
        <v>1</v>
      </c>
      <c r="D282" s="1066">
        <v>2</v>
      </c>
      <c r="E282" s="1062">
        <v>1.83</v>
      </c>
      <c r="F282" s="1066">
        <v>3.83</v>
      </c>
      <c r="G282" s="1066">
        <v>0.125</v>
      </c>
      <c r="H282" s="1062">
        <f t="shared" si="15"/>
        <v>1.75</v>
      </c>
    </row>
    <row r="283" spans="1:8">
      <c r="A283" s="1059"/>
      <c r="B283" s="1065" t="s">
        <v>5146</v>
      </c>
      <c r="C283" s="1066">
        <v>1</v>
      </c>
      <c r="D283" s="1066">
        <v>1</v>
      </c>
      <c r="E283" s="1062">
        <v>14</v>
      </c>
      <c r="F283" s="1062">
        <v>1.75</v>
      </c>
      <c r="G283" s="1066">
        <v>0.125</v>
      </c>
      <c r="H283" s="1062">
        <f t="shared" si="15"/>
        <v>3.06</v>
      </c>
    </row>
    <row r="284" spans="1:8">
      <c r="A284" s="1059"/>
      <c r="B284" s="1065" t="s">
        <v>5147</v>
      </c>
      <c r="C284" s="1066">
        <v>1</v>
      </c>
      <c r="D284" s="1066">
        <v>14</v>
      </c>
      <c r="E284" s="1062">
        <v>2.59</v>
      </c>
      <c r="F284" s="1066">
        <v>0.3</v>
      </c>
      <c r="G284" s="1066">
        <v>0.15</v>
      </c>
      <c r="H284" s="1062">
        <f t="shared" si="15"/>
        <v>1.63</v>
      </c>
    </row>
    <row r="285" spans="1:8">
      <c r="A285" s="1059"/>
      <c r="B285" s="1065" t="s">
        <v>5148</v>
      </c>
      <c r="C285" s="1066">
        <v>2</v>
      </c>
      <c r="D285" s="1066">
        <v>7</v>
      </c>
      <c r="E285" s="1062">
        <v>1.83</v>
      </c>
      <c r="F285" s="1066">
        <v>0.3</v>
      </c>
      <c r="G285" s="1066">
        <v>0.15</v>
      </c>
      <c r="H285" s="1062">
        <f t="shared" si="15"/>
        <v>1.1499999999999999</v>
      </c>
    </row>
    <row r="286" spans="1:8">
      <c r="A286" s="1059"/>
      <c r="B286" s="1067" t="s">
        <v>5149</v>
      </c>
      <c r="C286" s="1066"/>
      <c r="D286" s="1066"/>
      <c r="E286" s="1066"/>
      <c r="F286" s="1066"/>
      <c r="G286" s="1066"/>
      <c r="H286" s="1062">
        <f t="shared" si="15"/>
        <v>0</v>
      </c>
    </row>
    <row r="287" spans="1:8">
      <c r="A287" s="1059"/>
      <c r="B287" s="1065" t="s">
        <v>5150</v>
      </c>
      <c r="C287" s="1066">
        <v>1</v>
      </c>
      <c r="D287" s="1066">
        <v>10</v>
      </c>
      <c r="E287" s="1066">
        <v>1.46</v>
      </c>
      <c r="F287" s="1066">
        <v>0.23</v>
      </c>
      <c r="G287" s="1066">
        <v>0.15</v>
      </c>
      <c r="H287" s="1062">
        <f t="shared" si="15"/>
        <v>0.5</v>
      </c>
    </row>
    <row r="288" spans="1:8">
      <c r="A288" s="1059"/>
      <c r="B288" s="1065" t="s">
        <v>5151</v>
      </c>
      <c r="C288" s="1066">
        <v>1</v>
      </c>
      <c r="D288" s="1066">
        <v>10</v>
      </c>
      <c r="E288" s="1066">
        <v>1.96</v>
      </c>
      <c r="F288" s="1066">
        <v>0.23</v>
      </c>
      <c r="G288" s="1066">
        <v>0.15</v>
      </c>
      <c r="H288" s="1062">
        <f t="shared" si="15"/>
        <v>0.68</v>
      </c>
    </row>
    <row r="289" spans="1:8">
      <c r="A289" s="1059"/>
      <c r="B289" s="1065" t="s">
        <v>5152</v>
      </c>
      <c r="C289" s="1066">
        <v>1</v>
      </c>
      <c r="D289" s="1066">
        <v>4</v>
      </c>
      <c r="E289" s="1066">
        <v>1.36</v>
      </c>
      <c r="F289" s="1066">
        <v>0.23</v>
      </c>
      <c r="G289" s="1066">
        <v>0.15</v>
      </c>
      <c r="H289" s="1062">
        <f t="shared" si="15"/>
        <v>0.19</v>
      </c>
    </row>
    <row r="290" spans="1:8">
      <c r="A290" s="1059"/>
      <c r="B290" s="1065" t="s">
        <v>5153</v>
      </c>
      <c r="C290" s="1066">
        <v>1</v>
      </c>
      <c r="D290" s="1066">
        <v>10</v>
      </c>
      <c r="E290" s="1066">
        <v>1.96</v>
      </c>
      <c r="F290" s="1066">
        <v>0.6</v>
      </c>
      <c r="G290" s="1066">
        <v>0.06</v>
      </c>
      <c r="H290" s="1062">
        <f t="shared" si="15"/>
        <v>0.71</v>
      </c>
    </row>
    <row r="291" spans="1:8">
      <c r="A291" s="1059"/>
      <c r="B291" s="1067" t="s">
        <v>5154</v>
      </c>
      <c r="C291" s="1066"/>
      <c r="D291" s="1066"/>
      <c r="E291" s="1066"/>
      <c r="F291" s="1066"/>
      <c r="G291" s="1066"/>
      <c r="H291" s="1062">
        <f t="shared" si="15"/>
        <v>0</v>
      </c>
    </row>
    <row r="292" spans="1:8">
      <c r="A292" s="1059"/>
      <c r="B292" s="1065" t="s">
        <v>5098</v>
      </c>
      <c r="C292" s="1066">
        <v>1</v>
      </c>
      <c r="D292" s="1066">
        <v>3</v>
      </c>
      <c r="E292" s="1066">
        <v>14</v>
      </c>
      <c r="F292" s="1066">
        <v>0.23</v>
      </c>
      <c r="G292" s="1066">
        <v>0.26</v>
      </c>
      <c r="H292" s="1062">
        <f t="shared" si="15"/>
        <v>2.5099999999999998</v>
      </c>
    </row>
    <row r="293" spans="1:8">
      <c r="A293" s="1059"/>
      <c r="B293" s="1065" t="s">
        <v>5099</v>
      </c>
      <c r="C293" s="1066">
        <v>1</v>
      </c>
      <c r="D293" s="1066">
        <v>4</v>
      </c>
      <c r="E293" s="1062">
        <v>4.5</v>
      </c>
      <c r="F293" s="1066">
        <v>0.23</v>
      </c>
      <c r="G293" s="1066">
        <v>0.26</v>
      </c>
      <c r="H293" s="1062">
        <f t="shared" si="15"/>
        <v>1.08</v>
      </c>
    </row>
    <row r="294" spans="1:8">
      <c r="A294" s="1059"/>
      <c r="B294" s="1065"/>
      <c r="C294" s="1066">
        <v>1</v>
      </c>
      <c r="D294" s="1066">
        <v>4</v>
      </c>
      <c r="E294" s="1068">
        <v>4.2699999999999996</v>
      </c>
      <c r="F294" s="1066">
        <v>0.23</v>
      </c>
      <c r="G294" s="1066">
        <v>0.26</v>
      </c>
      <c r="H294" s="1062">
        <f t="shared" si="15"/>
        <v>1.02</v>
      </c>
    </row>
    <row r="295" spans="1:8">
      <c r="A295" s="1059"/>
      <c r="B295" s="1065" t="s">
        <v>5155</v>
      </c>
      <c r="C295" s="1066">
        <v>1</v>
      </c>
      <c r="D295" s="1066">
        <v>1</v>
      </c>
      <c r="E295" s="1068">
        <v>9.4499999999999993</v>
      </c>
      <c r="F295" s="1066">
        <v>0.3</v>
      </c>
      <c r="G295" s="1066">
        <v>0.41</v>
      </c>
      <c r="H295" s="1062">
        <f t="shared" si="15"/>
        <v>1.1599999999999999</v>
      </c>
    </row>
    <row r="296" spans="1:8">
      <c r="A296" s="1059"/>
      <c r="B296" s="1065" t="s">
        <v>5156</v>
      </c>
      <c r="C296" s="1066">
        <v>1</v>
      </c>
      <c r="D296" s="1066">
        <v>1</v>
      </c>
      <c r="E296" s="1068">
        <v>9.4499999999999993</v>
      </c>
      <c r="F296" s="1066">
        <v>0.23</v>
      </c>
      <c r="G296" s="1066">
        <v>0.33</v>
      </c>
      <c r="H296" s="1062">
        <f t="shared" si="15"/>
        <v>0.72</v>
      </c>
    </row>
    <row r="297" spans="1:8" ht="29.25">
      <c r="A297" s="1059"/>
      <c r="B297" s="1069" t="s">
        <v>5072</v>
      </c>
      <c r="C297" s="1066">
        <v>1</v>
      </c>
      <c r="D297" s="1066">
        <v>3</v>
      </c>
      <c r="E297" s="1062">
        <v>24.92</v>
      </c>
      <c r="F297" s="1066">
        <v>0.23</v>
      </c>
      <c r="G297" s="1066">
        <v>0.26</v>
      </c>
      <c r="H297" s="1062">
        <f t="shared" si="15"/>
        <v>4.47</v>
      </c>
    </row>
    <row r="298" spans="1:8">
      <c r="A298" s="1059"/>
      <c r="B298" s="1069"/>
      <c r="C298" s="1070">
        <v>1</v>
      </c>
      <c r="D298" s="1070">
        <v>1</v>
      </c>
      <c r="E298" s="1071">
        <v>20.12</v>
      </c>
      <c r="F298" s="1066">
        <v>0.23</v>
      </c>
      <c r="G298" s="1066">
        <v>0.26</v>
      </c>
      <c r="H298" s="1062">
        <f t="shared" si="15"/>
        <v>1.2</v>
      </c>
    </row>
    <row r="299" spans="1:8">
      <c r="A299" s="1059"/>
      <c r="B299" s="1069" t="s">
        <v>5073</v>
      </c>
      <c r="C299" s="1066">
        <v>1</v>
      </c>
      <c r="D299" s="1066">
        <v>3</v>
      </c>
      <c r="E299" s="1062">
        <v>9.2200000000000006</v>
      </c>
      <c r="F299" s="1066">
        <v>0.23</v>
      </c>
      <c r="G299" s="1066">
        <v>0.26</v>
      </c>
      <c r="H299" s="1062">
        <f t="shared" si="15"/>
        <v>1.65</v>
      </c>
    </row>
    <row r="300" spans="1:8">
      <c r="A300" s="1059"/>
      <c r="B300" s="1069" t="s">
        <v>5157</v>
      </c>
      <c r="C300" s="1066">
        <v>1</v>
      </c>
      <c r="D300" s="1066">
        <v>3</v>
      </c>
      <c r="E300" s="1062">
        <v>9.2200000000000006</v>
      </c>
      <c r="F300" s="1066">
        <v>0.23</v>
      </c>
      <c r="G300" s="1066">
        <v>0.33</v>
      </c>
      <c r="H300" s="1062">
        <f t="shared" si="15"/>
        <v>2.1</v>
      </c>
    </row>
    <row r="301" spans="1:8">
      <c r="A301" s="1059"/>
      <c r="B301" s="1069" t="s">
        <v>5158</v>
      </c>
      <c r="C301" s="1066">
        <v>1</v>
      </c>
      <c r="D301" s="1066">
        <v>1</v>
      </c>
      <c r="E301" s="1062">
        <v>4.75</v>
      </c>
      <c r="F301" s="1066">
        <v>0.23</v>
      </c>
      <c r="G301" s="1066">
        <v>0.33</v>
      </c>
      <c r="H301" s="1062">
        <f t="shared" si="15"/>
        <v>0.36</v>
      </c>
    </row>
    <row r="302" spans="1:8">
      <c r="A302" s="1059"/>
      <c r="B302" s="1069" t="s">
        <v>5074</v>
      </c>
      <c r="C302" s="1066">
        <v>1</v>
      </c>
      <c r="D302" s="1066">
        <v>2</v>
      </c>
      <c r="E302" s="1068">
        <v>5.6</v>
      </c>
      <c r="F302" s="1066">
        <v>0.23</v>
      </c>
      <c r="G302" s="1066">
        <v>0.26</v>
      </c>
      <c r="H302" s="1062">
        <f t="shared" si="15"/>
        <v>0.67</v>
      </c>
    </row>
    <row r="303" spans="1:8">
      <c r="A303" s="1059"/>
      <c r="B303" s="1069" t="s">
        <v>5075</v>
      </c>
      <c r="C303" s="1066">
        <v>1</v>
      </c>
      <c r="D303" s="1066">
        <v>3</v>
      </c>
      <c r="E303" s="1068">
        <v>2.13</v>
      </c>
      <c r="F303" s="1066">
        <v>0.23</v>
      </c>
      <c r="G303" s="1066">
        <v>0.26</v>
      </c>
      <c r="H303" s="1062">
        <f t="shared" si="15"/>
        <v>0.38</v>
      </c>
    </row>
    <row r="304" spans="1:8">
      <c r="A304" s="1059"/>
      <c r="B304" s="1069" t="s">
        <v>5076</v>
      </c>
      <c r="C304" s="1066">
        <v>1</v>
      </c>
      <c r="D304" s="1066">
        <v>1</v>
      </c>
      <c r="E304" s="1068">
        <v>12.68</v>
      </c>
      <c r="F304" s="1066">
        <v>0.23</v>
      </c>
      <c r="G304" s="1066">
        <v>0.26</v>
      </c>
      <c r="H304" s="1062">
        <f t="shared" si="15"/>
        <v>0.76</v>
      </c>
    </row>
    <row r="305" spans="1:8">
      <c r="A305" s="1059"/>
      <c r="B305" s="1069" t="s">
        <v>5077</v>
      </c>
      <c r="C305" s="1066">
        <v>1</v>
      </c>
      <c r="D305" s="1066">
        <v>1</v>
      </c>
      <c r="E305" s="1062">
        <v>15.35</v>
      </c>
      <c r="F305" s="1066">
        <v>0.23</v>
      </c>
      <c r="G305" s="1066">
        <v>0.26</v>
      </c>
      <c r="H305" s="1062">
        <f t="shared" si="15"/>
        <v>0.92</v>
      </c>
    </row>
    <row r="306" spans="1:8">
      <c r="A306" s="1059"/>
      <c r="B306" s="1069" t="s">
        <v>5078</v>
      </c>
      <c r="C306" s="1066">
        <v>1</v>
      </c>
      <c r="D306" s="1066">
        <v>1</v>
      </c>
      <c r="E306" s="1062">
        <v>3.51</v>
      </c>
      <c r="F306" s="1066">
        <v>0.23</v>
      </c>
      <c r="G306" s="1066">
        <v>0.26</v>
      </c>
      <c r="H306" s="1062">
        <f t="shared" si="15"/>
        <v>0.21</v>
      </c>
    </row>
    <row r="307" spans="1:8">
      <c r="A307" s="1059"/>
      <c r="B307" s="1069" t="s">
        <v>5079</v>
      </c>
      <c r="C307" s="1066">
        <v>1</v>
      </c>
      <c r="D307" s="1066">
        <v>2</v>
      </c>
      <c r="E307" s="1062">
        <v>3.66</v>
      </c>
      <c r="F307" s="1066">
        <v>0.23</v>
      </c>
      <c r="G307" s="1066">
        <v>0.26</v>
      </c>
      <c r="H307" s="1062">
        <f t="shared" si="15"/>
        <v>0.44</v>
      </c>
    </row>
    <row r="308" spans="1:8">
      <c r="A308" s="1059"/>
      <c r="B308" s="1069" t="s">
        <v>5080</v>
      </c>
      <c r="C308" s="1066">
        <v>1</v>
      </c>
      <c r="D308" s="1066">
        <v>2</v>
      </c>
      <c r="E308" s="1062">
        <v>4.72</v>
      </c>
      <c r="F308" s="1066">
        <v>0.23</v>
      </c>
      <c r="G308" s="1066">
        <v>0.26</v>
      </c>
      <c r="H308" s="1062">
        <f t="shared" si="15"/>
        <v>0.56000000000000005</v>
      </c>
    </row>
    <row r="309" spans="1:8">
      <c r="A309" s="1059"/>
      <c r="B309" s="1069" t="s">
        <v>5159</v>
      </c>
      <c r="C309" s="1066">
        <v>1</v>
      </c>
      <c r="D309" s="1066">
        <v>1</v>
      </c>
      <c r="E309" s="1062">
        <v>8.89</v>
      </c>
      <c r="F309" s="1066">
        <v>0.23</v>
      </c>
      <c r="G309" s="1066">
        <v>0.33</v>
      </c>
      <c r="H309" s="1062">
        <f t="shared" si="15"/>
        <v>0.67</v>
      </c>
    </row>
    <row r="310" spans="1:8">
      <c r="A310" s="1059"/>
      <c r="B310" s="1069" t="s">
        <v>5081</v>
      </c>
      <c r="C310" s="1066">
        <v>1</v>
      </c>
      <c r="D310" s="1066">
        <v>1</v>
      </c>
      <c r="E310" s="1062">
        <v>13.12</v>
      </c>
      <c r="F310" s="1066">
        <v>0.23</v>
      </c>
      <c r="G310" s="1066">
        <v>0.26</v>
      </c>
      <c r="H310" s="1062">
        <f t="shared" si="15"/>
        <v>0.78</v>
      </c>
    </row>
    <row r="311" spans="1:8">
      <c r="A311" s="1059"/>
      <c r="B311" s="1065" t="s">
        <v>5160</v>
      </c>
      <c r="C311" s="1066">
        <v>1</v>
      </c>
      <c r="D311" s="1066">
        <v>10</v>
      </c>
      <c r="E311" s="1066">
        <v>1.46</v>
      </c>
      <c r="F311" s="1062">
        <v>0.6</v>
      </c>
      <c r="G311" s="1062">
        <v>0.1</v>
      </c>
      <c r="H311" s="1062">
        <f t="shared" si="15"/>
        <v>0.88</v>
      </c>
    </row>
    <row r="312" spans="1:8">
      <c r="A312" s="1059"/>
      <c r="B312" s="1065" t="s">
        <v>5161</v>
      </c>
      <c r="C312" s="1066">
        <v>1</v>
      </c>
      <c r="D312" s="1066">
        <v>1</v>
      </c>
      <c r="E312" s="1066">
        <v>2.2799999999999998</v>
      </c>
      <c r="F312" s="1062">
        <v>0.6</v>
      </c>
      <c r="G312" s="1066">
        <v>0.06</v>
      </c>
      <c r="H312" s="1062">
        <f t="shared" si="15"/>
        <v>0.08</v>
      </c>
    </row>
    <row r="313" spans="1:8">
      <c r="A313" s="1059"/>
      <c r="B313" s="1067" t="s">
        <v>5162</v>
      </c>
      <c r="C313" s="1066"/>
      <c r="D313" s="1066"/>
      <c r="E313" s="1066"/>
      <c r="F313" s="1066"/>
      <c r="G313" s="1066"/>
      <c r="H313" s="1062"/>
    </row>
    <row r="314" spans="1:8">
      <c r="A314" s="1059"/>
      <c r="B314" s="1065" t="s">
        <v>5163</v>
      </c>
      <c r="C314" s="1066">
        <v>1</v>
      </c>
      <c r="D314" s="1066">
        <v>1</v>
      </c>
      <c r="E314" s="1066">
        <v>9.4499999999999993</v>
      </c>
      <c r="F314" s="1066">
        <v>14</v>
      </c>
      <c r="G314" s="1066">
        <v>0.12</v>
      </c>
      <c r="H314" s="1062">
        <f t="shared" si="15"/>
        <v>15.88</v>
      </c>
    </row>
    <row r="315" spans="1:8">
      <c r="A315" s="1059"/>
      <c r="B315" s="1065" t="s">
        <v>5164</v>
      </c>
      <c r="C315" s="1066">
        <v>1</v>
      </c>
      <c r="D315" s="1066">
        <v>1</v>
      </c>
      <c r="E315" s="1066">
        <v>24.92</v>
      </c>
      <c r="F315" s="1066">
        <v>9.68</v>
      </c>
      <c r="G315" s="1066">
        <v>0.12</v>
      </c>
      <c r="H315" s="1062">
        <f t="shared" si="15"/>
        <v>28.95</v>
      </c>
    </row>
    <row r="316" spans="1:8" ht="17.25">
      <c r="A316" s="1059"/>
      <c r="B316" s="1065" t="s">
        <v>5165</v>
      </c>
      <c r="C316" s="1066">
        <v>1</v>
      </c>
      <c r="D316" s="1066">
        <v>0.25</v>
      </c>
      <c r="E316" s="1066">
        <v>3.14</v>
      </c>
      <c r="F316" s="1066" t="s">
        <v>5166</v>
      </c>
      <c r="G316" s="1066">
        <v>0.12</v>
      </c>
      <c r="H316" s="1062">
        <v>8.83</v>
      </c>
    </row>
    <row r="317" spans="1:8">
      <c r="A317" s="1059"/>
      <c r="B317" s="1065" t="s">
        <v>5167</v>
      </c>
      <c r="C317" s="1066">
        <v>1</v>
      </c>
      <c r="D317" s="1066">
        <v>1</v>
      </c>
      <c r="E317" s="1066">
        <v>2.9</v>
      </c>
      <c r="F317" s="1066">
        <v>4.12</v>
      </c>
      <c r="G317" s="1066">
        <v>0.12</v>
      </c>
      <c r="H317" s="1062">
        <f t="shared" si="15"/>
        <v>1.43</v>
      </c>
    </row>
    <row r="318" spans="1:8">
      <c r="A318" s="1059"/>
      <c r="B318" s="1065" t="s">
        <v>5168</v>
      </c>
      <c r="C318" s="1066">
        <v>1</v>
      </c>
      <c r="D318" s="1066">
        <v>1</v>
      </c>
      <c r="E318" s="1066">
        <v>9.1199999999999992</v>
      </c>
      <c r="F318" s="1066">
        <v>3.88</v>
      </c>
      <c r="G318" s="1066">
        <v>0.12</v>
      </c>
      <c r="H318" s="1062">
        <f t="shared" si="15"/>
        <v>4.25</v>
      </c>
    </row>
    <row r="319" spans="1:8">
      <c r="A319" s="1059"/>
      <c r="B319" s="1065" t="s">
        <v>5169</v>
      </c>
      <c r="C319" s="1066">
        <v>1</v>
      </c>
      <c r="D319" s="1066">
        <v>1</v>
      </c>
      <c r="E319" s="1066">
        <v>8.74</v>
      </c>
      <c r="F319" s="1066">
        <v>3.88</v>
      </c>
      <c r="G319" s="1066">
        <v>0.12</v>
      </c>
      <c r="H319" s="1062">
        <f t="shared" si="15"/>
        <v>4.07</v>
      </c>
    </row>
    <row r="320" spans="1:8">
      <c r="A320" s="1059"/>
      <c r="B320" s="1067" t="s">
        <v>5083</v>
      </c>
      <c r="C320" s="1066"/>
      <c r="D320" s="1066"/>
      <c r="E320" s="1066"/>
      <c r="F320" s="1066"/>
      <c r="G320" s="1066"/>
      <c r="H320" s="1062"/>
    </row>
    <row r="321" spans="1:8">
      <c r="A321" s="1059"/>
      <c r="B321" s="1065" t="s">
        <v>5144</v>
      </c>
      <c r="C321" s="1066">
        <v>-1</v>
      </c>
      <c r="D321" s="1066">
        <v>1</v>
      </c>
      <c r="E321" s="1062">
        <v>2.59</v>
      </c>
      <c r="F321" s="1066">
        <v>4.22</v>
      </c>
      <c r="G321" s="1062">
        <v>0.12</v>
      </c>
      <c r="H321" s="1062">
        <f t="shared" si="15"/>
        <v>-1.31</v>
      </c>
    </row>
    <row r="322" spans="1:8">
      <c r="A322" s="1059"/>
      <c r="B322" s="1065" t="s">
        <v>5145</v>
      </c>
      <c r="C322" s="1066">
        <v>-1</v>
      </c>
      <c r="D322" s="1066">
        <v>2</v>
      </c>
      <c r="E322" s="1062">
        <v>1.83</v>
      </c>
      <c r="F322" s="1066">
        <v>3.83</v>
      </c>
      <c r="G322" s="1062">
        <v>0.12</v>
      </c>
      <c r="H322" s="1062">
        <f t="shared" si="15"/>
        <v>-1.68</v>
      </c>
    </row>
    <row r="323" spans="1:8">
      <c r="A323" s="1059"/>
      <c r="B323" s="1065" t="s">
        <v>5146</v>
      </c>
      <c r="C323" s="1066">
        <v>-1</v>
      </c>
      <c r="D323" s="1066">
        <v>1</v>
      </c>
      <c r="E323" s="1062">
        <v>14</v>
      </c>
      <c r="F323" s="1062">
        <v>1.75</v>
      </c>
      <c r="G323" s="1062">
        <v>0.12</v>
      </c>
      <c r="H323" s="1062">
        <f t="shared" si="15"/>
        <v>-2.94</v>
      </c>
    </row>
    <row r="324" spans="1:8">
      <c r="A324" s="1059"/>
      <c r="B324" s="1065" t="s">
        <v>5170</v>
      </c>
      <c r="C324" s="1066">
        <v>1</v>
      </c>
      <c r="D324" s="1066">
        <v>1</v>
      </c>
      <c r="E324" s="1066">
        <v>9.1199999999999992</v>
      </c>
      <c r="F324" s="1066">
        <v>0.05</v>
      </c>
      <c r="G324" s="1066">
        <v>0.45</v>
      </c>
      <c r="H324" s="1062">
        <f t="shared" si="15"/>
        <v>0.21</v>
      </c>
    </row>
    <row r="325" spans="1:8">
      <c r="A325" s="1059"/>
      <c r="B325" s="1067" t="s">
        <v>5171</v>
      </c>
      <c r="C325" s="1066"/>
      <c r="D325" s="1066"/>
      <c r="E325" s="1066"/>
      <c r="F325" s="1066"/>
      <c r="G325" s="1066"/>
      <c r="H325" s="1062"/>
    </row>
    <row r="326" spans="1:8">
      <c r="A326" s="1059"/>
      <c r="B326" s="1065" t="s">
        <v>4986</v>
      </c>
      <c r="C326" s="1066">
        <v>1</v>
      </c>
      <c r="D326" s="1066">
        <v>7</v>
      </c>
      <c r="E326" s="1066">
        <v>1.96</v>
      </c>
      <c r="F326" s="1066">
        <v>0.23</v>
      </c>
      <c r="G326" s="1066">
        <v>0.05</v>
      </c>
      <c r="H326" s="1062">
        <f>PRODUCT(C326:G326)</f>
        <v>0.16</v>
      </c>
    </row>
    <row r="327" spans="1:8">
      <c r="A327" s="1059"/>
      <c r="B327" s="1065" t="s">
        <v>5172</v>
      </c>
      <c r="C327" s="1066">
        <v>1</v>
      </c>
      <c r="D327" s="1066">
        <v>3</v>
      </c>
      <c r="E327" s="1066">
        <v>1.66</v>
      </c>
      <c r="F327" s="1066">
        <v>0.23</v>
      </c>
      <c r="G327" s="1066">
        <v>0.05</v>
      </c>
      <c r="H327" s="1062">
        <f>PRODUCT(C327:G327)</f>
        <v>0.06</v>
      </c>
    </row>
    <row r="328" spans="1:8">
      <c r="A328" s="1059"/>
      <c r="B328" s="1065"/>
      <c r="C328" s="1066"/>
      <c r="D328" s="1066"/>
      <c r="E328" s="1066"/>
      <c r="F328" s="1062"/>
      <c r="G328" s="1062"/>
      <c r="H328" s="1062">
        <f>SUM(H280:H327)</f>
        <v>91.57</v>
      </c>
    </row>
    <row r="329" spans="1:8">
      <c r="A329" s="1059"/>
      <c r="B329" s="1065"/>
      <c r="C329" s="1065"/>
      <c r="D329" s="1065"/>
      <c r="E329" s="1087"/>
      <c r="F329" s="1072" t="s">
        <v>4121</v>
      </c>
      <c r="G329" s="1073">
        <f>ROUNDUP(H328,1)</f>
        <v>91.6</v>
      </c>
      <c r="H329" s="1074" t="s">
        <v>5084</v>
      </c>
    </row>
    <row r="330" spans="1:8">
      <c r="A330" s="1059"/>
      <c r="B330" s="1067" t="s">
        <v>5173</v>
      </c>
      <c r="C330" s="1061"/>
      <c r="D330" s="1061"/>
      <c r="E330" s="1062"/>
      <c r="F330" s="1062"/>
      <c r="G330" s="1062"/>
      <c r="H330" s="1077"/>
    </row>
    <row r="331" spans="1:8">
      <c r="A331" s="1059"/>
      <c r="B331" s="1067" t="s">
        <v>5142</v>
      </c>
      <c r="C331" s="1066"/>
      <c r="D331" s="1066"/>
      <c r="E331" s="1066"/>
      <c r="F331" s="1066"/>
      <c r="G331" s="1066"/>
      <c r="H331" s="1062"/>
    </row>
    <row r="332" spans="1:8">
      <c r="A332" s="1059"/>
      <c r="B332" s="1065" t="s">
        <v>5100</v>
      </c>
      <c r="C332" s="1066">
        <v>1</v>
      </c>
      <c r="D332" s="1066">
        <v>14</v>
      </c>
      <c r="E332" s="1066">
        <v>0.23</v>
      </c>
      <c r="F332" s="1062">
        <v>0.38</v>
      </c>
      <c r="G332" s="1062">
        <v>3.18</v>
      </c>
      <c r="H332" s="1062">
        <f>PRODUCT(C332:G332)</f>
        <v>3.89</v>
      </c>
    </row>
    <row r="333" spans="1:8">
      <c r="A333" s="1059"/>
      <c r="B333" s="1065" t="s">
        <v>5101</v>
      </c>
      <c r="C333" s="1066">
        <v>1</v>
      </c>
      <c r="D333" s="1066">
        <v>16</v>
      </c>
      <c r="E333" s="1066">
        <v>0.23</v>
      </c>
      <c r="F333" s="1062">
        <v>0.45</v>
      </c>
      <c r="G333" s="1062">
        <v>3.18</v>
      </c>
      <c r="H333" s="1062">
        <f>PRODUCT(C333:G333)</f>
        <v>5.27</v>
      </c>
    </row>
    <row r="334" spans="1:8">
      <c r="A334" s="1059"/>
      <c r="B334" s="1065" t="s">
        <v>5102</v>
      </c>
      <c r="C334" s="1066">
        <v>1</v>
      </c>
      <c r="D334" s="1066">
        <v>7</v>
      </c>
      <c r="E334" s="1066">
        <v>0.23</v>
      </c>
      <c r="F334" s="1062">
        <v>0.45</v>
      </c>
      <c r="G334" s="1062">
        <v>3.18</v>
      </c>
      <c r="H334" s="1062">
        <f>PRODUCT(C334:G334)</f>
        <v>2.2999999999999998</v>
      </c>
    </row>
    <row r="335" spans="1:8">
      <c r="A335" s="1059"/>
      <c r="B335" s="1065" t="s">
        <v>5103</v>
      </c>
      <c r="C335" s="1066">
        <v>1</v>
      </c>
      <c r="D335" s="1066">
        <v>12</v>
      </c>
      <c r="E335" s="1066">
        <v>0.3</v>
      </c>
      <c r="F335" s="1062">
        <v>0.45</v>
      </c>
      <c r="G335" s="1062">
        <v>3.18</v>
      </c>
      <c r="H335" s="1062">
        <f>PRODUCT(C335:G335)</f>
        <v>5.15</v>
      </c>
    </row>
    <row r="336" spans="1:8">
      <c r="A336" s="1059"/>
      <c r="B336" s="1067" t="s">
        <v>5143</v>
      </c>
      <c r="C336" s="1066"/>
      <c r="D336" s="1066"/>
      <c r="E336" s="1066"/>
      <c r="F336" s="1066"/>
      <c r="G336" s="1066"/>
      <c r="H336" s="1062"/>
    </row>
    <row r="337" spans="1:8">
      <c r="A337" s="1059"/>
      <c r="B337" s="1065" t="s">
        <v>5144</v>
      </c>
      <c r="C337" s="1066">
        <v>1</v>
      </c>
      <c r="D337" s="1066">
        <v>1</v>
      </c>
      <c r="E337" s="1062">
        <v>2.59</v>
      </c>
      <c r="F337" s="1066">
        <v>4.22</v>
      </c>
      <c r="G337" s="1066">
        <v>0.125</v>
      </c>
      <c r="H337" s="1062">
        <f>PRODUCT(C337:G337)</f>
        <v>1.37</v>
      </c>
    </row>
    <row r="338" spans="1:8">
      <c r="A338" s="1059"/>
      <c r="B338" s="1065" t="s">
        <v>5145</v>
      </c>
      <c r="C338" s="1066">
        <v>1</v>
      </c>
      <c r="D338" s="1066">
        <v>2</v>
      </c>
      <c r="E338" s="1062">
        <v>1.83</v>
      </c>
      <c r="F338" s="1066">
        <v>3.83</v>
      </c>
      <c r="G338" s="1066">
        <v>0.125</v>
      </c>
      <c r="H338" s="1062">
        <f>PRODUCT(C338:G338)</f>
        <v>1.75</v>
      </c>
    </row>
    <row r="339" spans="1:8">
      <c r="A339" s="1059"/>
      <c r="B339" s="1065" t="s">
        <v>5146</v>
      </c>
      <c r="C339" s="1066">
        <v>1</v>
      </c>
      <c r="D339" s="1066">
        <v>1</v>
      </c>
      <c r="E339" s="1062">
        <v>14</v>
      </c>
      <c r="F339" s="1062">
        <v>1.75</v>
      </c>
      <c r="G339" s="1066">
        <v>0.125</v>
      </c>
      <c r="H339" s="1062">
        <f>PRODUCT(C339:G339)</f>
        <v>3.06</v>
      </c>
    </row>
    <row r="340" spans="1:8">
      <c r="A340" s="1059"/>
      <c r="B340" s="1065" t="s">
        <v>5147</v>
      </c>
      <c r="C340" s="1066">
        <v>1</v>
      </c>
      <c r="D340" s="1066">
        <v>14</v>
      </c>
      <c r="E340" s="1062">
        <v>2.59</v>
      </c>
      <c r="F340" s="1066">
        <v>0.3</v>
      </c>
      <c r="G340" s="1066">
        <v>0.15</v>
      </c>
      <c r="H340" s="1062">
        <f>PRODUCT(C340:G340)</f>
        <v>1.63</v>
      </c>
    </row>
    <row r="341" spans="1:8">
      <c r="A341" s="1059"/>
      <c r="B341" s="1065" t="s">
        <v>5148</v>
      </c>
      <c r="C341" s="1066">
        <v>2</v>
      </c>
      <c r="D341" s="1066">
        <v>7</v>
      </c>
      <c r="E341" s="1062">
        <v>1.83</v>
      </c>
      <c r="F341" s="1066">
        <v>0.3</v>
      </c>
      <c r="G341" s="1066">
        <v>0.15</v>
      </c>
      <c r="H341" s="1062">
        <f>PRODUCT(C341:G341)</f>
        <v>1.1499999999999999</v>
      </c>
    </row>
    <row r="342" spans="1:8">
      <c r="A342" s="1059"/>
      <c r="B342" s="1067" t="s">
        <v>5149</v>
      </c>
      <c r="C342" s="1066"/>
      <c r="D342" s="1066"/>
      <c r="E342" s="1066"/>
      <c r="F342" s="1066"/>
      <c r="G342" s="1066"/>
      <c r="H342" s="1062">
        <f t="shared" ref="H342:H369" si="16">PRODUCT(C342:G342)</f>
        <v>0</v>
      </c>
    </row>
    <row r="343" spans="1:8">
      <c r="A343" s="1059"/>
      <c r="B343" s="1065" t="s">
        <v>5150</v>
      </c>
      <c r="C343" s="1066">
        <v>1</v>
      </c>
      <c r="D343" s="1066">
        <v>15</v>
      </c>
      <c r="E343" s="1066">
        <v>1.46</v>
      </c>
      <c r="F343" s="1066">
        <v>0.23</v>
      </c>
      <c r="G343" s="1066">
        <v>0.15</v>
      </c>
      <c r="H343" s="1062">
        <f t="shared" si="16"/>
        <v>0.76</v>
      </c>
    </row>
    <row r="344" spans="1:8">
      <c r="A344" s="1059"/>
      <c r="B344" s="1065" t="s">
        <v>5174</v>
      </c>
      <c r="C344" s="1066">
        <v>1</v>
      </c>
      <c r="D344" s="1066">
        <v>5</v>
      </c>
      <c r="E344" s="1066">
        <v>1.36</v>
      </c>
      <c r="F344" s="1066">
        <v>0.115</v>
      </c>
      <c r="G344" s="1066">
        <v>0.23</v>
      </c>
      <c r="H344" s="1062">
        <f t="shared" si="16"/>
        <v>0.18</v>
      </c>
    </row>
    <row r="345" spans="1:8">
      <c r="A345" s="1059"/>
      <c r="B345" s="1065" t="s">
        <v>5151</v>
      </c>
      <c r="C345" s="1066">
        <v>1</v>
      </c>
      <c r="D345" s="1066">
        <v>13</v>
      </c>
      <c r="E345" s="1066">
        <v>1.96</v>
      </c>
      <c r="F345" s="1066">
        <v>0.23</v>
      </c>
      <c r="G345" s="1066">
        <v>0.15</v>
      </c>
      <c r="H345" s="1062">
        <f t="shared" si="16"/>
        <v>0.88</v>
      </c>
    </row>
    <row r="346" spans="1:8">
      <c r="A346" s="1059"/>
      <c r="B346" s="1065" t="s">
        <v>5152</v>
      </c>
      <c r="C346" s="1066">
        <v>1</v>
      </c>
      <c r="D346" s="1066">
        <v>6</v>
      </c>
      <c r="E346" s="1066">
        <v>1.36</v>
      </c>
      <c r="F346" s="1066">
        <v>0.23</v>
      </c>
      <c r="G346" s="1066">
        <v>0.15</v>
      </c>
      <c r="H346" s="1062">
        <f t="shared" si="16"/>
        <v>0.28000000000000003</v>
      </c>
    </row>
    <row r="347" spans="1:8">
      <c r="A347" s="1059"/>
      <c r="B347" s="1065" t="s">
        <v>5175</v>
      </c>
      <c r="C347" s="1066">
        <v>1</v>
      </c>
      <c r="D347" s="1066">
        <v>13</v>
      </c>
      <c r="E347" s="1066">
        <v>1.96</v>
      </c>
      <c r="F347" s="1066">
        <v>0.6</v>
      </c>
      <c r="G347" s="1066">
        <v>0.06</v>
      </c>
      <c r="H347" s="1062">
        <f t="shared" si="16"/>
        <v>0.92</v>
      </c>
    </row>
    <row r="348" spans="1:8">
      <c r="A348" s="1059"/>
      <c r="B348" s="1067" t="s">
        <v>5154</v>
      </c>
      <c r="C348" s="1066"/>
      <c r="D348" s="1066"/>
      <c r="E348" s="1066"/>
      <c r="F348" s="1066"/>
      <c r="G348" s="1066"/>
      <c r="H348" s="1062">
        <f t="shared" si="16"/>
        <v>0</v>
      </c>
    </row>
    <row r="349" spans="1:8">
      <c r="A349" s="1059"/>
      <c r="B349" s="1065" t="s">
        <v>5176</v>
      </c>
      <c r="C349" s="1066">
        <v>1</v>
      </c>
      <c r="D349" s="1066">
        <v>2</v>
      </c>
      <c r="E349" s="1066">
        <v>14</v>
      </c>
      <c r="F349" s="1066">
        <v>0.23</v>
      </c>
      <c r="G349" s="1066">
        <v>0.33</v>
      </c>
      <c r="H349" s="1062">
        <f t="shared" si="16"/>
        <v>2.13</v>
      </c>
    </row>
    <row r="350" spans="1:8">
      <c r="A350" s="1059"/>
      <c r="B350" s="1065" t="s">
        <v>5177</v>
      </c>
      <c r="C350" s="1066">
        <v>1</v>
      </c>
      <c r="D350" s="1066">
        <v>3</v>
      </c>
      <c r="E350" s="1062">
        <v>4.5</v>
      </c>
      <c r="F350" s="1066">
        <v>0.23</v>
      </c>
      <c r="G350" s="1066">
        <v>0.26</v>
      </c>
      <c r="H350" s="1062">
        <f t="shared" si="16"/>
        <v>0.81</v>
      </c>
    </row>
    <row r="351" spans="1:8">
      <c r="A351" s="1059"/>
      <c r="B351" s="1065"/>
      <c r="C351" s="1066">
        <v>1</v>
      </c>
      <c r="D351" s="1066">
        <v>3</v>
      </c>
      <c r="E351" s="1068">
        <v>4.2699999999999996</v>
      </c>
      <c r="F351" s="1066">
        <v>0.23</v>
      </c>
      <c r="G351" s="1066">
        <v>0.26</v>
      </c>
      <c r="H351" s="1062">
        <f t="shared" si="16"/>
        <v>0.77</v>
      </c>
    </row>
    <row r="352" spans="1:8">
      <c r="A352" s="1059"/>
      <c r="B352" s="1065" t="s">
        <v>5178</v>
      </c>
      <c r="C352" s="1066">
        <v>1</v>
      </c>
      <c r="D352" s="1066">
        <v>2</v>
      </c>
      <c r="E352" s="1068">
        <v>9.4499999999999993</v>
      </c>
      <c r="F352" s="1066">
        <v>0.3</v>
      </c>
      <c r="G352" s="1066">
        <v>0.33</v>
      </c>
      <c r="H352" s="1062">
        <f t="shared" si="16"/>
        <v>1.87</v>
      </c>
    </row>
    <row r="353" spans="1:8">
      <c r="A353" s="1059"/>
      <c r="B353" s="1065" t="s">
        <v>5179</v>
      </c>
      <c r="C353" s="1066">
        <v>1</v>
      </c>
      <c r="D353" s="1066">
        <v>1</v>
      </c>
      <c r="E353" s="1068">
        <v>9.4499999999999993</v>
      </c>
      <c r="F353" s="1066">
        <v>0.23</v>
      </c>
      <c r="G353" s="1066">
        <v>0.33</v>
      </c>
      <c r="H353" s="1062">
        <f t="shared" si="16"/>
        <v>0.72</v>
      </c>
    </row>
    <row r="354" spans="1:8">
      <c r="A354" s="1059"/>
      <c r="B354" s="1069" t="s">
        <v>5180</v>
      </c>
      <c r="C354" s="1066">
        <v>1</v>
      </c>
      <c r="D354" s="1066">
        <v>2</v>
      </c>
      <c r="E354" s="1062">
        <v>24.92</v>
      </c>
      <c r="F354" s="1066">
        <v>0.23</v>
      </c>
      <c r="G354" s="1066">
        <v>0.33</v>
      </c>
      <c r="H354" s="1062">
        <f t="shared" si="16"/>
        <v>3.78</v>
      </c>
    </row>
    <row r="355" spans="1:8">
      <c r="A355" s="1059"/>
      <c r="B355" s="1069"/>
      <c r="C355" s="1070">
        <v>1</v>
      </c>
      <c r="D355" s="1070">
        <v>1</v>
      </c>
      <c r="E355" s="1071">
        <v>12.96</v>
      </c>
      <c r="F355" s="1066">
        <v>0.23</v>
      </c>
      <c r="G355" s="1066">
        <v>0.26</v>
      </c>
      <c r="H355" s="1062">
        <f t="shared" si="16"/>
        <v>0.78</v>
      </c>
    </row>
    <row r="356" spans="1:8">
      <c r="A356" s="1059"/>
      <c r="B356" s="1069" t="s">
        <v>5073</v>
      </c>
      <c r="C356" s="1066">
        <v>1</v>
      </c>
      <c r="D356" s="1066">
        <v>6</v>
      </c>
      <c r="E356" s="1062">
        <v>9.2200000000000006</v>
      </c>
      <c r="F356" s="1066">
        <v>0.23</v>
      </c>
      <c r="G356" s="1066">
        <v>0.33</v>
      </c>
      <c r="H356" s="1062">
        <f t="shared" si="16"/>
        <v>4.2</v>
      </c>
    </row>
    <row r="357" spans="1:8">
      <c r="A357" s="1059"/>
      <c r="B357" s="1069" t="s">
        <v>5181</v>
      </c>
      <c r="C357" s="1066">
        <v>1</v>
      </c>
      <c r="D357" s="1066">
        <v>4</v>
      </c>
      <c r="E357" s="1062">
        <v>3.55</v>
      </c>
      <c r="F357" s="1066">
        <v>0.23</v>
      </c>
      <c r="G357" s="1066">
        <v>0.26</v>
      </c>
      <c r="H357" s="1062">
        <f t="shared" si="16"/>
        <v>0.85</v>
      </c>
    </row>
    <row r="358" spans="1:8">
      <c r="A358" s="1059"/>
      <c r="B358" s="1069" t="s">
        <v>5182</v>
      </c>
      <c r="C358" s="1066">
        <v>1</v>
      </c>
      <c r="D358" s="1066">
        <v>2</v>
      </c>
      <c r="E358" s="1062">
        <v>4.75</v>
      </c>
      <c r="F358" s="1066">
        <v>0.23</v>
      </c>
      <c r="G358" s="1066">
        <v>0.33</v>
      </c>
      <c r="H358" s="1062">
        <f t="shared" si="16"/>
        <v>0.72</v>
      </c>
    </row>
    <row r="359" spans="1:8">
      <c r="A359" s="1059"/>
      <c r="B359" s="1069" t="s">
        <v>5074</v>
      </c>
      <c r="C359" s="1066">
        <v>1</v>
      </c>
      <c r="D359" s="1066">
        <v>2</v>
      </c>
      <c r="E359" s="1068">
        <v>5.6</v>
      </c>
      <c r="F359" s="1066">
        <v>0.23</v>
      </c>
      <c r="G359" s="1066">
        <v>0.26</v>
      </c>
      <c r="H359" s="1062">
        <f t="shared" si="16"/>
        <v>0.67</v>
      </c>
    </row>
    <row r="360" spans="1:8">
      <c r="A360" s="1059"/>
      <c r="B360" s="1069" t="s">
        <v>5075</v>
      </c>
      <c r="C360" s="1066">
        <v>1</v>
      </c>
      <c r="D360" s="1066">
        <v>3</v>
      </c>
      <c r="E360" s="1068">
        <v>2.13</v>
      </c>
      <c r="F360" s="1066">
        <v>0.23</v>
      </c>
      <c r="G360" s="1066">
        <v>0.26</v>
      </c>
      <c r="H360" s="1062">
        <f t="shared" si="16"/>
        <v>0.38</v>
      </c>
    </row>
    <row r="361" spans="1:8">
      <c r="A361" s="1059"/>
      <c r="B361" s="1069" t="s">
        <v>5076</v>
      </c>
      <c r="C361" s="1066">
        <v>1</v>
      </c>
      <c r="D361" s="1066">
        <v>1</v>
      </c>
      <c r="E361" s="1068">
        <v>12.68</v>
      </c>
      <c r="F361" s="1066">
        <v>0.23</v>
      </c>
      <c r="G361" s="1066">
        <v>0.26</v>
      </c>
      <c r="H361" s="1062">
        <f t="shared" si="16"/>
        <v>0.76</v>
      </c>
    </row>
    <row r="362" spans="1:8">
      <c r="A362" s="1059"/>
      <c r="B362" s="1069" t="s">
        <v>5183</v>
      </c>
      <c r="C362" s="1066">
        <v>1</v>
      </c>
      <c r="D362" s="1066">
        <v>1</v>
      </c>
      <c r="E362" s="1062">
        <v>15.35</v>
      </c>
      <c r="F362" s="1066">
        <v>0.23</v>
      </c>
      <c r="G362" s="1066">
        <v>0.33</v>
      </c>
      <c r="H362" s="1062">
        <f t="shared" si="16"/>
        <v>1.17</v>
      </c>
    </row>
    <row r="363" spans="1:8">
      <c r="A363" s="1059"/>
      <c r="B363" s="1069" t="s">
        <v>5078</v>
      </c>
      <c r="C363" s="1066">
        <v>1</v>
      </c>
      <c r="D363" s="1066">
        <v>1</v>
      </c>
      <c r="E363" s="1062">
        <v>3.51</v>
      </c>
      <c r="F363" s="1066">
        <v>0.23</v>
      </c>
      <c r="G363" s="1066">
        <v>0.26</v>
      </c>
      <c r="H363" s="1062">
        <f t="shared" si="16"/>
        <v>0.21</v>
      </c>
    </row>
    <row r="364" spans="1:8">
      <c r="A364" s="1059"/>
      <c r="B364" s="1069" t="s">
        <v>5079</v>
      </c>
      <c r="C364" s="1066">
        <v>1</v>
      </c>
      <c r="D364" s="1066">
        <v>2</v>
      </c>
      <c r="E364" s="1062">
        <v>3.66</v>
      </c>
      <c r="F364" s="1066">
        <v>0.23</v>
      </c>
      <c r="G364" s="1066">
        <v>0.33</v>
      </c>
      <c r="H364" s="1062">
        <f t="shared" si="16"/>
        <v>0.56000000000000005</v>
      </c>
    </row>
    <row r="365" spans="1:8">
      <c r="A365" s="1059"/>
      <c r="B365" s="1069" t="s">
        <v>5080</v>
      </c>
      <c r="C365" s="1066">
        <v>1</v>
      </c>
      <c r="D365" s="1066">
        <v>2</v>
      </c>
      <c r="E365" s="1062">
        <v>4.72</v>
      </c>
      <c r="F365" s="1066">
        <v>0.23</v>
      </c>
      <c r="G365" s="1066">
        <v>0.33</v>
      </c>
      <c r="H365" s="1062">
        <f t="shared" si="16"/>
        <v>0.72</v>
      </c>
    </row>
    <row r="366" spans="1:8">
      <c r="A366" s="1059"/>
      <c r="B366" s="1069" t="s">
        <v>5184</v>
      </c>
      <c r="C366" s="1066">
        <v>1</v>
      </c>
      <c r="D366" s="1066">
        <v>1</v>
      </c>
      <c r="E366" s="1062">
        <v>8.89</v>
      </c>
      <c r="F366" s="1066">
        <v>0.23</v>
      </c>
      <c r="G366" s="1066">
        <v>0.33</v>
      </c>
      <c r="H366" s="1062">
        <f t="shared" si="16"/>
        <v>0.67</v>
      </c>
    </row>
    <row r="367" spans="1:8">
      <c r="A367" s="1059"/>
      <c r="B367" s="1069" t="s">
        <v>5185</v>
      </c>
      <c r="C367" s="1066">
        <v>1</v>
      </c>
      <c r="D367" s="1066">
        <v>1</v>
      </c>
      <c r="E367" s="1062">
        <v>2.14</v>
      </c>
      <c r="F367" s="1066">
        <v>0.23</v>
      </c>
      <c r="G367" s="1066">
        <v>0.33</v>
      </c>
      <c r="H367" s="1062">
        <f t="shared" si="16"/>
        <v>0.16</v>
      </c>
    </row>
    <row r="368" spans="1:8">
      <c r="A368" s="1059"/>
      <c r="B368" s="1065" t="s">
        <v>5160</v>
      </c>
      <c r="C368" s="1066">
        <v>1</v>
      </c>
      <c r="D368" s="1066">
        <v>13</v>
      </c>
      <c r="E368" s="1066">
        <v>1.96</v>
      </c>
      <c r="F368" s="1062">
        <v>0.6</v>
      </c>
      <c r="G368" s="1062">
        <v>0.1</v>
      </c>
      <c r="H368" s="1062">
        <f t="shared" si="16"/>
        <v>1.53</v>
      </c>
    </row>
    <row r="369" spans="1:8">
      <c r="A369" s="1059"/>
      <c r="B369" s="1065" t="s">
        <v>5186</v>
      </c>
      <c r="C369" s="1066">
        <v>1</v>
      </c>
      <c r="D369" s="1066">
        <v>2</v>
      </c>
      <c r="E369" s="1066">
        <v>3.66</v>
      </c>
      <c r="F369" s="1062">
        <v>0.6</v>
      </c>
      <c r="G369" s="1066">
        <v>0.06</v>
      </c>
      <c r="H369" s="1062">
        <f t="shared" si="16"/>
        <v>0.26</v>
      </c>
    </row>
    <row r="370" spans="1:8">
      <c r="A370" s="1059"/>
      <c r="B370" s="1065" t="s">
        <v>5187</v>
      </c>
      <c r="C370" s="1066">
        <v>1</v>
      </c>
      <c r="D370" s="1066">
        <v>1</v>
      </c>
      <c r="E370" s="1066">
        <v>7.08</v>
      </c>
      <c r="F370" s="1062">
        <v>0.6</v>
      </c>
      <c r="G370" s="1066">
        <v>0.06</v>
      </c>
      <c r="H370" s="1062">
        <f>PRODUCT(C370:G370)</f>
        <v>0.25</v>
      </c>
    </row>
    <row r="371" spans="1:8">
      <c r="A371" s="1059"/>
      <c r="B371" s="1065" t="s">
        <v>5188</v>
      </c>
      <c r="C371" s="1066">
        <v>1</v>
      </c>
      <c r="D371" s="1066">
        <v>1</v>
      </c>
      <c r="E371" s="1066">
        <v>3.08</v>
      </c>
      <c r="F371" s="1062">
        <v>0.6</v>
      </c>
      <c r="G371" s="1066">
        <v>0.06</v>
      </c>
      <c r="H371" s="1062">
        <f>PRODUCT(C371:G371)</f>
        <v>0.11</v>
      </c>
    </row>
    <row r="372" spans="1:8">
      <c r="A372" s="1059"/>
      <c r="B372" s="1065" t="s">
        <v>5189</v>
      </c>
      <c r="C372" s="1061">
        <v>1</v>
      </c>
      <c r="D372" s="1061">
        <v>3</v>
      </c>
      <c r="E372" s="1062">
        <v>1</v>
      </c>
      <c r="F372" s="1062">
        <v>0.6</v>
      </c>
      <c r="G372" s="1062">
        <v>0.06</v>
      </c>
      <c r="H372" s="1088">
        <f>PRODUCT(C372:G372)</f>
        <v>0.11</v>
      </c>
    </row>
    <row r="373" spans="1:8">
      <c r="A373" s="1059"/>
      <c r="B373" s="1067" t="s">
        <v>5190</v>
      </c>
      <c r="C373" s="1066"/>
      <c r="D373" s="1066"/>
      <c r="E373" s="1066"/>
      <c r="F373" s="1066"/>
      <c r="G373" s="1066"/>
      <c r="H373" s="1062"/>
    </row>
    <row r="374" spans="1:8">
      <c r="A374" s="1059"/>
      <c r="B374" s="1065" t="s">
        <v>5176</v>
      </c>
      <c r="C374" s="1066">
        <v>1</v>
      </c>
      <c r="D374" s="1066">
        <v>1</v>
      </c>
      <c r="E374" s="1066">
        <v>9.4499999999999993</v>
      </c>
      <c r="F374" s="1066">
        <v>14</v>
      </c>
      <c r="G374" s="1066">
        <v>0.12</v>
      </c>
      <c r="H374" s="1062">
        <f>PRODUCT(C374:G374)</f>
        <v>15.88</v>
      </c>
    </row>
    <row r="375" spans="1:8">
      <c r="A375" s="1059"/>
      <c r="B375" s="1065" t="s">
        <v>5180</v>
      </c>
      <c r="C375" s="1066">
        <v>1</v>
      </c>
      <c r="D375" s="1066">
        <v>1</v>
      </c>
      <c r="E375" s="1066">
        <v>24.92</v>
      </c>
      <c r="F375" s="1066">
        <v>9.68</v>
      </c>
      <c r="G375" s="1066">
        <v>0.12</v>
      </c>
      <c r="H375" s="1062">
        <f>PRODUCT(C375:G375)</f>
        <v>28.95</v>
      </c>
    </row>
    <row r="376" spans="1:8" ht="17.25">
      <c r="A376" s="1059"/>
      <c r="B376" s="1065" t="s">
        <v>5165</v>
      </c>
      <c r="C376" s="1066">
        <v>1</v>
      </c>
      <c r="D376" s="1066">
        <v>0.25</v>
      </c>
      <c r="E376" s="1066">
        <v>3.14</v>
      </c>
      <c r="F376" s="1066" t="s">
        <v>5166</v>
      </c>
      <c r="G376" s="1066">
        <v>0.12</v>
      </c>
      <c r="H376" s="1062">
        <v>8.83</v>
      </c>
    </row>
    <row r="377" spans="1:8">
      <c r="A377" s="1059"/>
      <c r="B377" s="1065" t="s">
        <v>5191</v>
      </c>
      <c r="C377" s="1066">
        <v>1</v>
      </c>
      <c r="D377" s="1066">
        <v>1</v>
      </c>
      <c r="E377" s="1066">
        <v>9.1199999999999992</v>
      </c>
      <c r="F377" s="1066">
        <v>3.88</v>
      </c>
      <c r="G377" s="1066">
        <v>0.12</v>
      </c>
      <c r="H377" s="1062">
        <f>PRODUCT(C377:G377)</f>
        <v>4.25</v>
      </c>
    </row>
    <row r="378" spans="1:8">
      <c r="A378" s="1059"/>
      <c r="B378" s="1065" t="s">
        <v>5191</v>
      </c>
      <c r="C378" s="1066">
        <v>1</v>
      </c>
      <c r="D378" s="1066">
        <v>1</v>
      </c>
      <c r="E378" s="1066">
        <v>8.74</v>
      </c>
      <c r="F378" s="1066">
        <v>3.88</v>
      </c>
      <c r="G378" s="1066">
        <v>0.12</v>
      </c>
      <c r="H378" s="1062">
        <f>PRODUCT(C378:G378)</f>
        <v>4.07</v>
      </c>
    </row>
    <row r="379" spans="1:8">
      <c r="A379" s="1059"/>
      <c r="B379" s="1067" t="s">
        <v>5083</v>
      </c>
      <c r="C379" s="1066"/>
      <c r="D379" s="1066"/>
      <c r="E379" s="1066"/>
      <c r="F379" s="1066"/>
      <c r="G379" s="1066"/>
      <c r="H379" s="1062"/>
    </row>
    <row r="380" spans="1:8">
      <c r="A380" s="1059"/>
      <c r="B380" s="1065" t="s">
        <v>5144</v>
      </c>
      <c r="C380" s="1066">
        <v>-1</v>
      </c>
      <c r="D380" s="1066">
        <v>1</v>
      </c>
      <c r="E380" s="1062">
        <v>2.59</v>
      </c>
      <c r="F380" s="1066">
        <v>4.22</v>
      </c>
      <c r="G380" s="1062">
        <v>0.12</v>
      </c>
      <c r="H380" s="1062">
        <f>PRODUCT(C380:G380)</f>
        <v>-1.31</v>
      </c>
    </row>
    <row r="381" spans="1:8">
      <c r="A381" s="1059"/>
      <c r="B381" s="1065" t="s">
        <v>5145</v>
      </c>
      <c r="C381" s="1066">
        <v>-1</v>
      </c>
      <c r="D381" s="1066">
        <v>2</v>
      </c>
      <c r="E381" s="1062">
        <v>1.83</v>
      </c>
      <c r="F381" s="1066">
        <v>3.83</v>
      </c>
      <c r="G381" s="1062">
        <v>0.12</v>
      </c>
      <c r="H381" s="1062">
        <f>PRODUCT(C381:G381)</f>
        <v>-1.68</v>
      </c>
    </row>
    <row r="382" spans="1:8">
      <c r="A382" s="1059"/>
      <c r="B382" s="1065" t="s">
        <v>5146</v>
      </c>
      <c r="C382" s="1066">
        <v>-1</v>
      </c>
      <c r="D382" s="1066">
        <v>1</v>
      </c>
      <c r="E382" s="1062">
        <v>14</v>
      </c>
      <c r="F382" s="1062">
        <v>1.75</v>
      </c>
      <c r="G382" s="1062">
        <v>0.12</v>
      </c>
      <c r="H382" s="1062">
        <f>PRODUCT(C382:G382)</f>
        <v>-2.94</v>
      </c>
    </row>
    <row r="383" spans="1:8">
      <c r="A383" s="1059"/>
      <c r="B383" s="1065" t="s">
        <v>5170</v>
      </c>
      <c r="C383" s="1066">
        <v>1</v>
      </c>
      <c r="D383" s="1066">
        <v>1</v>
      </c>
      <c r="E383" s="1066">
        <v>9.1199999999999992</v>
      </c>
      <c r="F383" s="1066">
        <v>0.05</v>
      </c>
      <c r="G383" s="1066">
        <v>0.45</v>
      </c>
      <c r="H383" s="1062">
        <f>PRODUCT(C383:G383)</f>
        <v>0.21</v>
      </c>
    </row>
    <row r="384" spans="1:8">
      <c r="A384" s="1059"/>
      <c r="B384" s="1067" t="s">
        <v>5171</v>
      </c>
      <c r="C384" s="1066"/>
      <c r="D384" s="1066"/>
      <c r="E384" s="1066"/>
      <c r="F384" s="1066"/>
      <c r="G384" s="1066"/>
      <c r="H384" s="1062"/>
    </row>
    <row r="385" spans="1:8">
      <c r="A385" s="1059"/>
      <c r="B385" s="1065" t="s">
        <v>4986</v>
      </c>
      <c r="C385" s="1066">
        <v>1</v>
      </c>
      <c r="D385" s="1066">
        <v>13</v>
      </c>
      <c r="E385" s="1066">
        <v>1.96</v>
      </c>
      <c r="F385" s="1066">
        <v>0.23</v>
      </c>
      <c r="G385" s="1066">
        <v>0.05</v>
      </c>
      <c r="H385" s="1062">
        <f>PRODUCT(C385:G385)</f>
        <v>0.28999999999999998</v>
      </c>
    </row>
    <row r="386" spans="1:8">
      <c r="A386" s="1059"/>
      <c r="B386" s="1065"/>
      <c r="C386" s="1066"/>
      <c r="D386" s="1066"/>
      <c r="E386" s="1066"/>
      <c r="F386" s="1066"/>
      <c r="G386" s="1066"/>
      <c r="H386" s="1062">
        <f>+SUM(H332:H385)</f>
        <v>109.33</v>
      </c>
    </row>
    <row r="387" spans="1:8">
      <c r="A387" s="1059"/>
      <c r="B387" s="1067" t="s">
        <v>5192</v>
      </c>
      <c r="C387" s="1065"/>
      <c r="D387" s="1065"/>
      <c r="E387" s="1087"/>
      <c r="F387" s="1072" t="s">
        <v>4121</v>
      </c>
      <c r="G387" s="1089">
        <f>ROUNDUP(H386,1)</f>
        <v>109.4</v>
      </c>
      <c r="H387" s="1074" t="s">
        <v>5084</v>
      </c>
    </row>
    <row r="388" spans="1:8">
      <c r="A388" s="1059"/>
      <c r="B388" s="1065" t="s">
        <v>5193</v>
      </c>
      <c r="C388" s="1065"/>
      <c r="D388" s="1065"/>
      <c r="E388" s="1087"/>
      <c r="F388" s="1087"/>
      <c r="G388" s="1087"/>
      <c r="H388" s="1087">
        <f>H386</f>
        <v>109.33</v>
      </c>
    </row>
    <row r="389" spans="1:8">
      <c r="A389" s="1059"/>
      <c r="B389" s="1065"/>
      <c r="C389" s="1065"/>
      <c r="D389" s="1065"/>
      <c r="E389" s="1087"/>
      <c r="F389" s="1072" t="s">
        <v>4121</v>
      </c>
      <c r="G389" s="1089">
        <f>ROUNDUP(H388,1)</f>
        <v>109.4</v>
      </c>
      <c r="H389" s="1074" t="s">
        <v>5084</v>
      </c>
    </row>
    <row r="390" spans="1:8">
      <c r="A390" s="1059"/>
      <c r="B390" s="1067" t="s">
        <v>5194</v>
      </c>
      <c r="C390" s="1065"/>
      <c r="D390" s="1065"/>
      <c r="E390" s="1087"/>
      <c r="F390" s="1087"/>
      <c r="G390" s="1087"/>
      <c r="H390" s="1087"/>
    </row>
    <row r="391" spans="1:8">
      <c r="A391" s="1059"/>
      <c r="B391" s="1065" t="s">
        <v>5195</v>
      </c>
      <c r="C391" s="1065">
        <v>1</v>
      </c>
      <c r="D391" s="1065">
        <v>10</v>
      </c>
      <c r="E391" s="1087">
        <v>0.23</v>
      </c>
      <c r="F391" s="1087">
        <v>0.38</v>
      </c>
      <c r="G391" s="1087">
        <v>3.18</v>
      </c>
      <c r="H391" s="1087">
        <f>PRODUCT(C391:G391)</f>
        <v>2.78</v>
      </c>
    </row>
    <row r="392" spans="1:8">
      <c r="A392" s="1059"/>
      <c r="B392" s="1065" t="s">
        <v>5073</v>
      </c>
      <c r="C392" s="1065">
        <v>1</v>
      </c>
      <c r="D392" s="1065">
        <v>4</v>
      </c>
      <c r="E392" s="1087">
        <v>6.1</v>
      </c>
      <c r="F392" s="1087">
        <v>0.23</v>
      </c>
      <c r="G392" s="1087">
        <v>0.38</v>
      </c>
      <c r="H392" s="1087">
        <f t="shared" ref="H392:H399" si="17">PRODUCT(C392:G392)</f>
        <v>2.13</v>
      </c>
    </row>
    <row r="393" spans="1:8">
      <c r="A393" s="1059"/>
      <c r="B393" s="1065" t="s">
        <v>5196</v>
      </c>
      <c r="C393" s="1065">
        <v>1</v>
      </c>
      <c r="D393" s="1065">
        <v>1</v>
      </c>
      <c r="E393" s="1087">
        <v>7.63</v>
      </c>
      <c r="F393" s="1087">
        <v>0.23</v>
      </c>
      <c r="G393" s="1087">
        <v>0.38</v>
      </c>
      <c r="H393" s="1087">
        <f t="shared" si="17"/>
        <v>0.67</v>
      </c>
    </row>
    <row r="394" spans="1:8">
      <c r="A394" s="1059"/>
      <c r="B394" s="1065" t="s">
        <v>5197</v>
      </c>
      <c r="C394" s="1065">
        <v>1</v>
      </c>
      <c r="D394" s="1065">
        <v>1</v>
      </c>
      <c r="E394" s="1087">
        <v>6.91</v>
      </c>
      <c r="F394" s="1087">
        <v>0.23</v>
      </c>
      <c r="G394" s="1087">
        <v>0.38</v>
      </c>
      <c r="H394" s="1087">
        <f t="shared" si="17"/>
        <v>0.6</v>
      </c>
    </row>
    <row r="395" spans="1:8">
      <c r="A395" s="1059"/>
      <c r="B395" s="1065"/>
      <c r="C395" s="1065">
        <v>1</v>
      </c>
      <c r="D395" s="1065">
        <v>1</v>
      </c>
      <c r="E395" s="1087">
        <v>4.4400000000000004</v>
      </c>
      <c r="F395" s="1087">
        <v>0.23</v>
      </c>
      <c r="G395" s="1087">
        <v>0.38</v>
      </c>
      <c r="H395" s="1087">
        <f t="shared" si="17"/>
        <v>0.39</v>
      </c>
    </row>
    <row r="396" spans="1:8">
      <c r="A396" s="1059"/>
      <c r="B396" s="1065" t="s">
        <v>5198</v>
      </c>
      <c r="C396" s="1065">
        <v>1</v>
      </c>
      <c r="D396" s="1065">
        <v>1</v>
      </c>
      <c r="E396" s="1087">
        <v>6.03</v>
      </c>
      <c r="F396" s="1087">
        <v>6.01</v>
      </c>
      <c r="G396" s="1087">
        <v>0.12</v>
      </c>
      <c r="H396" s="1087">
        <f t="shared" si="17"/>
        <v>4.3499999999999996</v>
      </c>
    </row>
    <row r="397" spans="1:8">
      <c r="A397" s="1059"/>
      <c r="B397" s="1065" t="s">
        <v>5199</v>
      </c>
      <c r="C397" s="1065">
        <v>1</v>
      </c>
      <c r="D397" s="1065">
        <v>1</v>
      </c>
      <c r="E397" s="1087">
        <v>2.91</v>
      </c>
      <c r="F397" s="1087">
        <v>0.23</v>
      </c>
      <c r="G397" s="1087">
        <v>0.1</v>
      </c>
      <c r="H397" s="1087">
        <f t="shared" si="17"/>
        <v>7.0000000000000007E-2</v>
      </c>
    </row>
    <row r="398" spans="1:8">
      <c r="A398" s="1059"/>
      <c r="B398" s="1065" t="s">
        <v>5200</v>
      </c>
      <c r="C398" s="1065">
        <v>1</v>
      </c>
      <c r="D398" s="1065">
        <v>1</v>
      </c>
      <c r="E398" s="1087">
        <v>2.91</v>
      </c>
      <c r="F398" s="1087">
        <v>1.96</v>
      </c>
      <c r="G398" s="1087">
        <v>0.2</v>
      </c>
      <c r="H398" s="1087">
        <f t="shared" si="17"/>
        <v>1.1399999999999999</v>
      </c>
    </row>
    <row r="399" spans="1:8">
      <c r="A399" s="1059"/>
      <c r="B399" s="1065" t="s">
        <v>5201</v>
      </c>
      <c r="C399" s="1065">
        <v>1</v>
      </c>
      <c r="D399" s="1065">
        <v>1</v>
      </c>
      <c r="E399" s="1087">
        <v>1.36</v>
      </c>
      <c r="F399" s="1087">
        <v>0.3</v>
      </c>
      <c r="G399" s="1087">
        <v>0.125</v>
      </c>
      <c r="H399" s="1087">
        <f t="shared" si="17"/>
        <v>0.05</v>
      </c>
    </row>
    <row r="400" spans="1:8">
      <c r="A400" s="1059"/>
      <c r="B400" s="1065"/>
      <c r="C400" s="1065"/>
      <c r="D400" s="1065"/>
      <c r="E400" s="1087"/>
      <c r="F400" s="1087"/>
      <c r="G400" s="1087"/>
      <c r="H400" s="1087">
        <f>SUM(H391:H399)</f>
        <v>12.18</v>
      </c>
    </row>
    <row r="401" spans="1:8">
      <c r="A401" s="1059"/>
      <c r="B401" s="1065"/>
      <c r="C401" s="1065"/>
      <c r="D401" s="1065"/>
      <c r="E401" s="1087"/>
      <c r="F401" s="1072" t="s">
        <v>4121</v>
      </c>
      <c r="G401" s="1073">
        <f>ROUNDUP(H400,1)</f>
        <v>12.2</v>
      </c>
      <c r="H401" s="1074" t="s">
        <v>5084</v>
      </c>
    </row>
    <row r="402" spans="1:8">
      <c r="A402" s="1059">
        <v>9.5</v>
      </c>
      <c r="B402" s="1067" t="s">
        <v>5202</v>
      </c>
      <c r="C402" s="1061"/>
      <c r="D402" s="1061"/>
      <c r="E402" s="1062"/>
      <c r="F402" s="1062"/>
      <c r="G402" s="1062"/>
      <c r="H402" s="1063"/>
    </row>
    <row r="403" spans="1:8">
      <c r="A403" s="1059"/>
      <c r="B403" s="1067" t="s">
        <v>5203</v>
      </c>
      <c r="C403" s="1061"/>
      <c r="D403" s="1061"/>
      <c r="E403" s="1062"/>
      <c r="F403" s="1062"/>
      <c r="G403" s="1062"/>
      <c r="H403" s="1063"/>
    </row>
    <row r="404" spans="1:8">
      <c r="A404" s="1059"/>
      <c r="B404" s="1065" t="s">
        <v>5119</v>
      </c>
      <c r="C404" s="1066">
        <v>1</v>
      </c>
      <c r="D404" s="1066">
        <v>1</v>
      </c>
      <c r="E404" s="1066">
        <v>31.84</v>
      </c>
      <c r="F404" s="1066">
        <v>0.23</v>
      </c>
      <c r="G404" s="1062">
        <v>2.92</v>
      </c>
      <c r="H404" s="1087">
        <f t="shared" ref="H404:H431" si="18">PRODUCT(C404:G404)</f>
        <v>21.38</v>
      </c>
    </row>
    <row r="405" spans="1:8">
      <c r="A405" s="1059"/>
      <c r="B405" s="1065" t="s">
        <v>5120</v>
      </c>
      <c r="C405" s="1066">
        <v>1</v>
      </c>
      <c r="D405" s="1066">
        <v>1</v>
      </c>
      <c r="E405" s="1062">
        <v>22.56</v>
      </c>
      <c r="F405" s="1066">
        <v>0.23</v>
      </c>
      <c r="G405" s="1062">
        <v>2.92</v>
      </c>
      <c r="H405" s="1087">
        <f t="shared" si="18"/>
        <v>15.15</v>
      </c>
    </row>
    <row r="406" spans="1:8">
      <c r="A406" s="1059"/>
      <c r="B406" s="1065" t="s">
        <v>5204</v>
      </c>
      <c r="C406" s="1066">
        <v>-1</v>
      </c>
      <c r="D406" s="1066">
        <v>1</v>
      </c>
      <c r="E406" s="1062">
        <v>3.73</v>
      </c>
      <c r="F406" s="1066">
        <v>0.23</v>
      </c>
      <c r="G406" s="1062">
        <v>2.92</v>
      </c>
      <c r="H406" s="1087">
        <f t="shared" si="18"/>
        <v>-2.5099999999999998</v>
      </c>
    </row>
    <row r="407" spans="1:8">
      <c r="A407" s="1059"/>
      <c r="B407" s="1065" t="s">
        <v>5121</v>
      </c>
      <c r="C407" s="1066">
        <v>1</v>
      </c>
      <c r="D407" s="1066">
        <v>1</v>
      </c>
      <c r="E407" s="1068">
        <v>3.73</v>
      </c>
      <c r="F407" s="1066">
        <v>0.23</v>
      </c>
      <c r="G407" s="1062">
        <v>2.92</v>
      </c>
      <c r="H407" s="1087">
        <f t="shared" si="18"/>
        <v>2.5099999999999998</v>
      </c>
    </row>
    <row r="408" spans="1:8">
      <c r="A408" s="1059"/>
      <c r="B408" s="1069" t="s">
        <v>5122</v>
      </c>
      <c r="C408" s="1066">
        <v>1</v>
      </c>
      <c r="D408" s="1066">
        <v>2</v>
      </c>
      <c r="E408" s="1068">
        <v>1.94</v>
      </c>
      <c r="F408" s="1066">
        <v>0.23</v>
      </c>
      <c r="G408" s="1062">
        <v>2.92</v>
      </c>
      <c r="H408" s="1087">
        <f t="shared" si="18"/>
        <v>2.61</v>
      </c>
    </row>
    <row r="409" spans="1:8">
      <c r="A409" s="1059"/>
      <c r="B409" s="1069" t="s">
        <v>5123</v>
      </c>
      <c r="C409" s="1070">
        <v>1</v>
      </c>
      <c r="D409" s="1070">
        <v>1</v>
      </c>
      <c r="E409" s="1083">
        <v>9.67</v>
      </c>
      <c r="F409" s="1066">
        <v>0.23</v>
      </c>
      <c r="G409" s="1062">
        <v>2.92</v>
      </c>
      <c r="H409" s="1087">
        <f t="shared" si="18"/>
        <v>6.49</v>
      </c>
    </row>
    <row r="410" spans="1:8">
      <c r="A410" s="1059"/>
      <c r="B410" s="1069" t="s">
        <v>5077</v>
      </c>
      <c r="C410" s="1066">
        <v>2</v>
      </c>
      <c r="D410" s="1066">
        <v>1</v>
      </c>
      <c r="E410" s="1062">
        <v>15.35</v>
      </c>
      <c r="F410" s="1066">
        <v>0.23</v>
      </c>
      <c r="G410" s="1062">
        <v>2.92</v>
      </c>
      <c r="H410" s="1087">
        <f t="shared" si="18"/>
        <v>20.62</v>
      </c>
    </row>
    <row r="411" spans="1:8">
      <c r="A411" s="1059"/>
      <c r="B411" s="1069" t="s">
        <v>5205</v>
      </c>
      <c r="C411" s="1066">
        <v>1</v>
      </c>
      <c r="D411" s="1066">
        <v>1</v>
      </c>
      <c r="E411" s="1062">
        <v>6.82</v>
      </c>
      <c r="F411" s="1066">
        <v>0.23</v>
      </c>
      <c r="G411" s="1062">
        <v>2.92</v>
      </c>
      <c r="H411" s="1087">
        <f t="shared" si="18"/>
        <v>4.58</v>
      </c>
    </row>
    <row r="412" spans="1:8">
      <c r="A412" s="1059"/>
      <c r="B412" s="1069" t="s">
        <v>5206</v>
      </c>
      <c r="C412" s="1066">
        <v>1</v>
      </c>
      <c r="D412" s="1066">
        <v>1</v>
      </c>
      <c r="E412" s="1062">
        <v>8.23</v>
      </c>
      <c r="F412" s="1066">
        <v>0.23</v>
      </c>
      <c r="G412" s="1062">
        <v>2.92</v>
      </c>
      <c r="H412" s="1087">
        <f t="shared" si="18"/>
        <v>5.53</v>
      </c>
    </row>
    <row r="413" spans="1:8">
      <c r="A413" s="1059"/>
      <c r="B413" s="1069" t="s">
        <v>5125</v>
      </c>
      <c r="C413" s="1066">
        <v>1</v>
      </c>
      <c r="D413" s="1066">
        <v>1</v>
      </c>
      <c r="E413" s="1062">
        <v>2.73</v>
      </c>
      <c r="F413" s="1066">
        <v>0.23</v>
      </c>
      <c r="G413" s="1062">
        <v>2.92</v>
      </c>
      <c r="H413" s="1087">
        <f t="shared" si="18"/>
        <v>1.83</v>
      </c>
    </row>
    <row r="414" spans="1:8">
      <c r="A414" s="1059"/>
      <c r="B414" s="1069" t="s">
        <v>5126</v>
      </c>
      <c r="C414" s="1066">
        <v>1</v>
      </c>
      <c r="D414" s="1066">
        <v>1</v>
      </c>
      <c r="E414" s="1062">
        <v>6.62</v>
      </c>
      <c r="F414" s="1066">
        <v>0.23</v>
      </c>
      <c r="G414" s="1062">
        <v>2.92</v>
      </c>
      <c r="H414" s="1087">
        <f t="shared" si="18"/>
        <v>4.45</v>
      </c>
    </row>
    <row r="415" spans="1:8">
      <c r="A415" s="1059"/>
      <c r="B415" s="1069" t="s">
        <v>5127</v>
      </c>
      <c r="C415" s="1066">
        <v>1</v>
      </c>
      <c r="D415" s="1066">
        <v>1</v>
      </c>
      <c r="E415" s="1062">
        <v>1.75</v>
      </c>
      <c r="F415" s="1066">
        <v>0.23</v>
      </c>
      <c r="G415" s="1062">
        <v>2.92</v>
      </c>
      <c r="H415" s="1087">
        <f t="shared" si="18"/>
        <v>1.18</v>
      </c>
    </row>
    <row r="416" spans="1:8">
      <c r="A416" s="1059"/>
      <c r="B416" s="1069" t="s">
        <v>5128</v>
      </c>
      <c r="C416" s="1066">
        <v>1</v>
      </c>
      <c r="D416" s="1066">
        <v>1</v>
      </c>
      <c r="E416" s="1062">
        <v>11.28</v>
      </c>
      <c r="F416" s="1066">
        <v>0.23</v>
      </c>
      <c r="G416" s="1062">
        <v>2.92</v>
      </c>
      <c r="H416" s="1087">
        <f t="shared" si="18"/>
        <v>7.58</v>
      </c>
    </row>
    <row r="417" spans="1:8">
      <c r="A417" s="1059"/>
      <c r="B417" s="1069" t="s">
        <v>5129</v>
      </c>
      <c r="C417" s="1066">
        <v>1</v>
      </c>
      <c r="D417" s="1066">
        <v>1</v>
      </c>
      <c r="E417" s="1062">
        <v>13.87</v>
      </c>
      <c r="F417" s="1066">
        <v>0.23</v>
      </c>
      <c r="G417" s="1062">
        <v>2.92</v>
      </c>
      <c r="H417" s="1087">
        <f t="shared" si="18"/>
        <v>9.32</v>
      </c>
    </row>
    <row r="418" spans="1:8">
      <c r="A418" s="1059"/>
      <c r="B418" s="1069" t="s">
        <v>5130</v>
      </c>
      <c r="C418" s="1066">
        <v>1</v>
      </c>
      <c r="D418" s="1066">
        <v>1</v>
      </c>
      <c r="E418" s="1062">
        <v>13.11</v>
      </c>
      <c r="F418" s="1066">
        <v>0.23</v>
      </c>
      <c r="G418" s="1062">
        <v>2.92</v>
      </c>
      <c r="H418" s="1087">
        <f t="shared" si="18"/>
        <v>8.8000000000000007</v>
      </c>
    </row>
    <row r="419" spans="1:8">
      <c r="A419" s="1059"/>
      <c r="B419" s="1069" t="s">
        <v>5131</v>
      </c>
      <c r="C419" s="1066">
        <v>1</v>
      </c>
      <c r="D419" s="1066">
        <v>1</v>
      </c>
      <c r="E419" s="1062">
        <v>12</v>
      </c>
      <c r="F419" s="1066">
        <v>0.23</v>
      </c>
      <c r="G419" s="1062">
        <v>2.92</v>
      </c>
      <c r="H419" s="1087">
        <f t="shared" si="18"/>
        <v>8.06</v>
      </c>
    </row>
    <row r="420" spans="1:8">
      <c r="A420" s="1059"/>
      <c r="B420" s="1065" t="s">
        <v>5207</v>
      </c>
      <c r="C420" s="1066">
        <v>-1</v>
      </c>
      <c r="D420" s="1066">
        <v>2</v>
      </c>
      <c r="E420" s="1062">
        <v>1.2</v>
      </c>
      <c r="F420" s="1062">
        <v>0.23</v>
      </c>
      <c r="G420" s="1062">
        <v>2.1</v>
      </c>
      <c r="H420" s="1087">
        <f t="shared" si="18"/>
        <v>-1.1599999999999999</v>
      </c>
    </row>
    <row r="421" spans="1:8">
      <c r="A421" s="1059"/>
      <c r="B421" s="1065" t="s">
        <v>5208</v>
      </c>
      <c r="C421" s="1066">
        <v>-1</v>
      </c>
      <c r="D421" s="1066">
        <v>6</v>
      </c>
      <c r="E421" s="1062">
        <v>0.9</v>
      </c>
      <c r="F421" s="1062">
        <v>0.23</v>
      </c>
      <c r="G421" s="1062">
        <v>2.1</v>
      </c>
      <c r="H421" s="1087">
        <f t="shared" si="18"/>
        <v>-2.61</v>
      </c>
    </row>
    <row r="422" spans="1:8">
      <c r="A422" s="1059"/>
      <c r="B422" s="1065" t="s">
        <v>5209</v>
      </c>
      <c r="C422" s="1066">
        <v>1</v>
      </c>
      <c r="D422" s="1066">
        <v>-1</v>
      </c>
      <c r="E422" s="1062">
        <v>1.5</v>
      </c>
      <c r="F422" s="1062">
        <v>0.23</v>
      </c>
      <c r="G422" s="1062">
        <v>2.1</v>
      </c>
      <c r="H422" s="1087">
        <f t="shared" si="18"/>
        <v>-0.72</v>
      </c>
    </row>
    <row r="423" spans="1:8">
      <c r="A423" s="1059"/>
      <c r="B423" s="1065" t="s">
        <v>5210</v>
      </c>
      <c r="C423" s="1066">
        <v>-1</v>
      </c>
      <c r="D423" s="1066">
        <v>7</v>
      </c>
      <c r="E423" s="1062">
        <v>1.5</v>
      </c>
      <c r="F423" s="1062">
        <v>0.23</v>
      </c>
      <c r="G423" s="1062">
        <v>1.35</v>
      </c>
      <c r="H423" s="1087">
        <f t="shared" si="18"/>
        <v>-3.26</v>
      </c>
    </row>
    <row r="424" spans="1:8">
      <c r="A424" s="1059"/>
      <c r="B424" s="1065" t="s">
        <v>5211</v>
      </c>
      <c r="C424" s="1061">
        <v>-1</v>
      </c>
      <c r="D424" s="1061">
        <v>3</v>
      </c>
      <c r="E424" s="1062">
        <v>1.2</v>
      </c>
      <c r="F424" s="1062">
        <v>0.23</v>
      </c>
      <c r="G424" s="1062">
        <v>2.1</v>
      </c>
      <c r="H424" s="1063">
        <f t="shared" si="18"/>
        <v>-1.74</v>
      </c>
    </row>
    <row r="425" spans="1:8">
      <c r="A425" s="1059"/>
      <c r="B425" s="1065" t="s">
        <v>5212</v>
      </c>
      <c r="C425" s="1061">
        <v>-1</v>
      </c>
      <c r="D425" s="1061">
        <v>4</v>
      </c>
      <c r="E425" s="1062">
        <v>0.9</v>
      </c>
      <c r="F425" s="1062">
        <v>0.23</v>
      </c>
      <c r="G425" s="1062">
        <v>0.6</v>
      </c>
      <c r="H425" s="1063">
        <f t="shared" si="18"/>
        <v>-0.5</v>
      </c>
    </row>
    <row r="426" spans="1:8">
      <c r="A426" s="1059"/>
      <c r="B426" s="1067" t="s">
        <v>5213</v>
      </c>
      <c r="C426" s="1061"/>
      <c r="D426" s="1061"/>
      <c r="E426" s="1062"/>
      <c r="F426" s="1062"/>
      <c r="G426" s="1062"/>
      <c r="H426" s="1063">
        <f t="shared" si="18"/>
        <v>0</v>
      </c>
    </row>
    <row r="427" spans="1:8">
      <c r="A427" s="1059"/>
      <c r="B427" s="1065" t="s">
        <v>5214</v>
      </c>
      <c r="C427" s="1066">
        <v>-1</v>
      </c>
      <c r="D427" s="1066">
        <v>10</v>
      </c>
      <c r="E427" s="1066">
        <v>1.46</v>
      </c>
      <c r="F427" s="1066">
        <v>0.23</v>
      </c>
      <c r="G427" s="1066">
        <v>0.15</v>
      </c>
      <c r="H427" s="1063">
        <f t="shared" si="18"/>
        <v>-0.5</v>
      </c>
    </row>
    <row r="428" spans="1:8">
      <c r="A428" s="1059"/>
      <c r="B428" s="1065" t="s">
        <v>5151</v>
      </c>
      <c r="C428" s="1066">
        <v>-1</v>
      </c>
      <c r="D428" s="1066">
        <v>7</v>
      </c>
      <c r="E428" s="1066">
        <v>1.96</v>
      </c>
      <c r="F428" s="1066">
        <v>0.23</v>
      </c>
      <c r="G428" s="1066">
        <v>0.15</v>
      </c>
      <c r="H428" s="1063">
        <f t="shared" si="18"/>
        <v>-0.47</v>
      </c>
    </row>
    <row r="429" spans="1:8">
      <c r="A429" s="1059"/>
      <c r="B429" s="1065" t="s">
        <v>5211</v>
      </c>
      <c r="C429" s="1066">
        <v>-1</v>
      </c>
      <c r="D429" s="1066">
        <v>3</v>
      </c>
      <c r="E429" s="1066">
        <v>1.66</v>
      </c>
      <c r="F429" s="1066">
        <v>0.23</v>
      </c>
      <c r="G429" s="1066">
        <v>0.15</v>
      </c>
      <c r="H429" s="1063">
        <f t="shared" si="18"/>
        <v>-0.17</v>
      </c>
    </row>
    <row r="430" spans="1:8">
      <c r="A430" s="1059"/>
      <c r="B430" s="1065" t="s">
        <v>5152</v>
      </c>
      <c r="C430" s="1066">
        <v>-1</v>
      </c>
      <c r="D430" s="1066">
        <v>4</v>
      </c>
      <c r="E430" s="1066">
        <v>1.36</v>
      </c>
      <c r="F430" s="1066">
        <v>0.23</v>
      </c>
      <c r="G430" s="1066">
        <v>0.15</v>
      </c>
      <c r="H430" s="1063">
        <f t="shared" si="18"/>
        <v>-0.19</v>
      </c>
    </row>
    <row r="431" spans="1:8">
      <c r="A431" s="1059"/>
      <c r="B431" s="1090" t="s">
        <v>5215</v>
      </c>
      <c r="H431" s="1063">
        <f t="shared" si="18"/>
        <v>0</v>
      </c>
    </row>
    <row r="432" spans="1:8">
      <c r="A432" s="1059"/>
      <c r="B432" s="1065" t="s">
        <v>4986</v>
      </c>
      <c r="C432" s="1066">
        <v>-1</v>
      </c>
      <c r="D432" s="1066">
        <v>7</v>
      </c>
      <c r="E432" s="1066">
        <v>1.96</v>
      </c>
      <c r="F432" s="1066">
        <v>0.23</v>
      </c>
      <c r="G432" s="1066">
        <v>0.05</v>
      </c>
      <c r="H432" s="1062">
        <f>PRODUCT(C432:G432)</f>
        <v>-0.16</v>
      </c>
    </row>
    <row r="433" spans="1:8">
      <c r="A433" s="1059"/>
      <c r="B433" s="1065" t="s">
        <v>5172</v>
      </c>
      <c r="C433" s="1066">
        <v>-1</v>
      </c>
      <c r="D433" s="1066">
        <v>3</v>
      </c>
      <c r="E433" s="1066">
        <v>1.66</v>
      </c>
      <c r="F433" s="1066">
        <v>0.23</v>
      </c>
      <c r="G433" s="1066">
        <v>0.05</v>
      </c>
      <c r="H433" s="1062">
        <f>PRODUCT(C433:G433)</f>
        <v>-0.06</v>
      </c>
    </row>
    <row r="434" spans="1:8">
      <c r="A434" s="1059"/>
      <c r="B434" s="1065" t="s">
        <v>5216</v>
      </c>
      <c r="C434" s="1066">
        <v>-1</v>
      </c>
      <c r="D434" s="1061">
        <v>46</v>
      </c>
      <c r="E434" s="1062">
        <v>0.23</v>
      </c>
      <c r="F434" s="1062">
        <v>0.38</v>
      </c>
      <c r="G434" s="1087">
        <v>2.92</v>
      </c>
      <c r="H434" s="1087">
        <f>PRODUCT(C434:G434)</f>
        <v>-11.74</v>
      </c>
    </row>
    <row r="435" spans="1:8">
      <c r="A435" s="1059"/>
      <c r="B435" s="1065"/>
      <c r="C435" s="1065"/>
      <c r="D435" s="1065"/>
      <c r="E435" s="1087"/>
      <c r="F435" s="1087"/>
      <c r="G435" s="1087"/>
      <c r="H435" s="1087">
        <f>SUM(H402:H434)</f>
        <v>94.3</v>
      </c>
    </row>
    <row r="436" spans="1:8">
      <c r="A436" s="1059"/>
      <c r="B436" s="1065"/>
      <c r="C436" s="1065"/>
      <c r="D436" s="1065"/>
      <c r="E436" s="1087"/>
      <c r="F436" s="1072" t="s">
        <v>4121</v>
      </c>
      <c r="G436" s="1073">
        <f>ROUNDUP(H435,1)</f>
        <v>94.3</v>
      </c>
      <c r="H436" s="1074" t="s">
        <v>5084</v>
      </c>
    </row>
    <row r="437" spans="1:8">
      <c r="A437" s="1059"/>
      <c r="B437" s="1067" t="s">
        <v>5217</v>
      </c>
      <c r="C437" s="1061"/>
      <c r="D437" s="1061"/>
      <c r="E437" s="1062"/>
      <c r="F437" s="1062"/>
      <c r="G437" s="1062"/>
      <c r="H437" s="1063"/>
    </row>
    <row r="438" spans="1:8">
      <c r="A438" s="1059"/>
      <c r="B438" s="1065" t="s">
        <v>5218</v>
      </c>
      <c r="C438" s="1061">
        <v>1</v>
      </c>
      <c r="D438" s="1061">
        <v>1</v>
      </c>
      <c r="E438" s="1062">
        <v>46.02</v>
      </c>
      <c r="F438" s="1066">
        <v>0.23</v>
      </c>
      <c r="G438" s="1062">
        <v>2.92</v>
      </c>
      <c r="H438" s="1087">
        <f t="shared" ref="H438:H453" si="19">PRODUCT(C438:G438)</f>
        <v>30.91</v>
      </c>
    </row>
    <row r="439" spans="1:8">
      <c r="A439" s="1059"/>
      <c r="B439" s="1065" t="s">
        <v>5219</v>
      </c>
      <c r="C439" s="1061">
        <v>1</v>
      </c>
      <c r="D439" s="1061">
        <v>1</v>
      </c>
      <c r="E439" s="1062">
        <v>13.56</v>
      </c>
      <c r="F439" s="1066">
        <v>0.23</v>
      </c>
      <c r="G439" s="1062">
        <v>2.92</v>
      </c>
      <c r="H439" s="1087">
        <f t="shared" si="19"/>
        <v>9.11</v>
      </c>
    </row>
    <row r="440" spans="1:8">
      <c r="A440" s="1059"/>
      <c r="B440" s="1065" t="s">
        <v>5204</v>
      </c>
      <c r="C440" s="1061">
        <v>-1</v>
      </c>
      <c r="D440" s="1061">
        <v>1</v>
      </c>
      <c r="E440" s="1062">
        <v>4.2</v>
      </c>
      <c r="F440" s="1066">
        <v>0.23</v>
      </c>
      <c r="G440" s="1062">
        <v>2.92</v>
      </c>
      <c r="H440" s="1087">
        <f t="shared" si="19"/>
        <v>-2.82</v>
      </c>
    </row>
    <row r="441" spans="1:8">
      <c r="A441" s="1059"/>
      <c r="B441" s="1065" t="s">
        <v>5220</v>
      </c>
      <c r="C441" s="1061">
        <v>1</v>
      </c>
      <c r="D441" s="1061">
        <v>1</v>
      </c>
      <c r="E441" s="1062">
        <v>4.5</v>
      </c>
      <c r="F441" s="1066">
        <v>0.23</v>
      </c>
      <c r="G441" s="1062">
        <v>2.92</v>
      </c>
      <c r="H441" s="1087">
        <f t="shared" si="19"/>
        <v>3.02</v>
      </c>
    </row>
    <row r="442" spans="1:8">
      <c r="A442" s="1059"/>
      <c r="B442" s="1065" t="s">
        <v>5221</v>
      </c>
      <c r="C442" s="1061">
        <v>1</v>
      </c>
      <c r="D442" s="1061">
        <v>2</v>
      </c>
      <c r="E442" s="1062">
        <v>4.2699999999999996</v>
      </c>
      <c r="F442" s="1066">
        <v>0.23</v>
      </c>
      <c r="G442" s="1062">
        <v>2.92</v>
      </c>
      <c r="H442" s="1087">
        <f t="shared" si="19"/>
        <v>5.74</v>
      </c>
    </row>
    <row r="443" spans="1:8">
      <c r="A443" s="1059"/>
      <c r="B443" s="1065" t="s">
        <v>5191</v>
      </c>
      <c r="C443" s="1061">
        <v>1</v>
      </c>
      <c r="D443" s="1061">
        <v>1</v>
      </c>
      <c r="E443" s="1062">
        <v>8.89</v>
      </c>
      <c r="F443" s="1066">
        <v>0.23</v>
      </c>
      <c r="G443" s="1062">
        <v>0.9</v>
      </c>
      <c r="H443" s="1087">
        <f t="shared" si="19"/>
        <v>1.84</v>
      </c>
    </row>
    <row r="444" spans="1:8">
      <c r="A444" s="1059"/>
      <c r="B444" s="1065" t="s">
        <v>5222</v>
      </c>
      <c r="C444" s="1061">
        <v>1</v>
      </c>
      <c r="D444" s="1061">
        <v>1</v>
      </c>
      <c r="E444" s="1062">
        <v>68.239999999999995</v>
      </c>
      <c r="F444" s="1062">
        <v>0.23</v>
      </c>
      <c r="G444" s="1062">
        <v>2.92</v>
      </c>
      <c r="H444" s="1087">
        <f t="shared" si="19"/>
        <v>45.83</v>
      </c>
    </row>
    <row r="445" spans="1:8">
      <c r="A445" s="1059"/>
      <c r="B445" s="1065" t="s">
        <v>5223</v>
      </c>
      <c r="C445" s="1061">
        <v>-1</v>
      </c>
      <c r="D445" s="1061">
        <v>1</v>
      </c>
      <c r="E445" s="1062">
        <v>2.87</v>
      </c>
      <c r="F445" s="1062">
        <v>0.23</v>
      </c>
      <c r="G445" s="1062">
        <v>2.92</v>
      </c>
      <c r="H445" s="1087">
        <f t="shared" si="19"/>
        <v>-1.93</v>
      </c>
    </row>
    <row r="446" spans="1:8">
      <c r="A446" s="1059"/>
      <c r="B446" s="1069" t="s">
        <v>5206</v>
      </c>
      <c r="C446" s="1066">
        <v>1</v>
      </c>
      <c r="D446" s="1066">
        <v>1</v>
      </c>
      <c r="E446" s="1062">
        <v>8.23</v>
      </c>
      <c r="F446" s="1066">
        <v>0.23</v>
      </c>
      <c r="G446" s="1062">
        <v>2.92</v>
      </c>
      <c r="H446" s="1087">
        <f t="shared" si="19"/>
        <v>5.53</v>
      </c>
    </row>
    <row r="447" spans="1:8">
      <c r="A447" s="1059"/>
      <c r="B447" s="1065" t="s">
        <v>5224</v>
      </c>
      <c r="C447" s="1061">
        <v>1</v>
      </c>
      <c r="D447" s="1061">
        <v>1</v>
      </c>
      <c r="E447" s="1062">
        <v>3.66</v>
      </c>
      <c r="F447" s="1066">
        <v>0.23</v>
      </c>
      <c r="G447" s="1062">
        <v>2.92</v>
      </c>
      <c r="H447" s="1087">
        <f t="shared" si="19"/>
        <v>2.46</v>
      </c>
    </row>
    <row r="448" spans="1:8">
      <c r="A448" s="1059"/>
      <c r="B448" s="1065" t="s">
        <v>5225</v>
      </c>
      <c r="C448" s="1061">
        <v>1</v>
      </c>
      <c r="D448" s="1061">
        <v>2</v>
      </c>
      <c r="E448" s="1062">
        <v>3.66</v>
      </c>
      <c r="F448" s="1066">
        <v>0.23</v>
      </c>
      <c r="G448" s="1062">
        <v>2.92</v>
      </c>
      <c r="H448" s="1087">
        <f t="shared" si="19"/>
        <v>4.92</v>
      </c>
    </row>
    <row r="449" spans="1:8">
      <c r="A449" s="1059"/>
      <c r="B449" s="1069" t="s">
        <v>5123</v>
      </c>
      <c r="C449" s="1070">
        <v>1</v>
      </c>
      <c r="D449" s="1070">
        <v>1</v>
      </c>
      <c r="E449" s="1083">
        <v>15.35</v>
      </c>
      <c r="F449" s="1066">
        <v>0.23</v>
      </c>
      <c r="G449" s="1062">
        <v>2.92</v>
      </c>
      <c r="H449" s="1087">
        <f t="shared" si="19"/>
        <v>10.31</v>
      </c>
    </row>
    <row r="450" spans="1:8">
      <c r="A450" s="1059"/>
      <c r="B450" s="1069" t="s">
        <v>5226</v>
      </c>
      <c r="C450" s="1070">
        <v>-1</v>
      </c>
      <c r="D450" s="1070">
        <v>13</v>
      </c>
      <c r="E450" s="1083">
        <v>0.9</v>
      </c>
      <c r="F450" s="1066">
        <v>0.23</v>
      </c>
      <c r="G450" s="1062">
        <v>2.1</v>
      </c>
      <c r="H450" s="1087">
        <f t="shared" si="19"/>
        <v>-5.65</v>
      </c>
    </row>
    <row r="451" spans="1:8">
      <c r="A451" s="1059"/>
      <c r="B451" s="1065" t="s">
        <v>5210</v>
      </c>
      <c r="C451" s="1066">
        <v>-1</v>
      </c>
      <c r="D451" s="1066">
        <v>15</v>
      </c>
      <c r="E451" s="1062">
        <v>1.5</v>
      </c>
      <c r="F451" s="1062">
        <v>0.23</v>
      </c>
      <c r="G451" s="1062">
        <v>1.35</v>
      </c>
      <c r="H451" s="1087">
        <f t="shared" si="19"/>
        <v>-6.99</v>
      </c>
    </row>
    <row r="452" spans="1:8">
      <c r="A452" s="1059"/>
      <c r="B452" s="1065" t="s">
        <v>5211</v>
      </c>
      <c r="C452" s="1061">
        <v>-1</v>
      </c>
      <c r="D452" s="1061">
        <v>3</v>
      </c>
      <c r="E452" s="1062">
        <v>1.2</v>
      </c>
      <c r="F452" s="1062">
        <v>0.23</v>
      </c>
      <c r="G452" s="1062">
        <v>2.1</v>
      </c>
      <c r="H452" s="1063">
        <f t="shared" si="19"/>
        <v>-1.74</v>
      </c>
    </row>
    <row r="453" spans="1:8">
      <c r="A453" s="1059"/>
      <c r="B453" s="1065" t="s">
        <v>5212</v>
      </c>
      <c r="C453" s="1061">
        <v>-1</v>
      </c>
      <c r="D453" s="1061">
        <v>6</v>
      </c>
      <c r="E453" s="1062">
        <v>0.9</v>
      </c>
      <c r="F453" s="1062">
        <v>0.23</v>
      </c>
      <c r="G453" s="1062">
        <v>0.6</v>
      </c>
      <c r="H453" s="1063">
        <f t="shared" si="19"/>
        <v>-0.75</v>
      </c>
    </row>
    <row r="454" spans="1:8">
      <c r="A454" s="1059"/>
      <c r="B454" s="1067" t="s">
        <v>5149</v>
      </c>
      <c r="C454" s="1061"/>
      <c r="D454" s="1066"/>
      <c r="E454" s="1066"/>
      <c r="F454" s="1066"/>
      <c r="G454" s="1066"/>
      <c r="H454" s="1062"/>
    </row>
    <row r="455" spans="1:8">
      <c r="A455" s="1059"/>
      <c r="B455" s="1065" t="s">
        <v>5214</v>
      </c>
      <c r="C455" s="1061">
        <v>-1</v>
      </c>
      <c r="D455" s="1066">
        <v>13</v>
      </c>
      <c r="E455" s="1066">
        <v>1.46</v>
      </c>
      <c r="F455" s="1066">
        <v>0.23</v>
      </c>
      <c r="G455" s="1066">
        <v>0.15</v>
      </c>
      <c r="H455" s="1062">
        <f>PRODUCT(C455:G455)</f>
        <v>-0.65</v>
      </c>
    </row>
    <row r="456" spans="1:8">
      <c r="A456" s="1059"/>
      <c r="B456" s="1065" t="s">
        <v>5151</v>
      </c>
      <c r="C456" s="1061">
        <v>-1</v>
      </c>
      <c r="D456" s="1066">
        <v>15</v>
      </c>
      <c r="E456" s="1066">
        <v>1.96</v>
      </c>
      <c r="F456" s="1066">
        <v>0.23</v>
      </c>
      <c r="G456" s="1066">
        <v>0.15</v>
      </c>
      <c r="H456" s="1062">
        <f>PRODUCT(C456:G456)</f>
        <v>-1.01</v>
      </c>
    </row>
    <row r="457" spans="1:8">
      <c r="A457" s="1059"/>
      <c r="B457" s="1065" t="s">
        <v>5211</v>
      </c>
      <c r="C457" s="1061">
        <v>-1</v>
      </c>
      <c r="D457" s="1061">
        <v>3</v>
      </c>
      <c r="E457" s="1066">
        <v>1.66</v>
      </c>
      <c r="F457" s="1066">
        <v>0.23</v>
      </c>
      <c r="G457" s="1066">
        <v>0.15</v>
      </c>
      <c r="H457" s="1062">
        <f>PRODUCT(C457:G457)</f>
        <v>-0.17</v>
      </c>
    </row>
    <row r="458" spans="1:8">
      <c r="A458" s="1059"/>
      <c r="B458" s="1065" t="s">
        <v>5152</v>
      </c>
      <c r="C458" s="1061">
        <v>-1</v>
      </c>
      <c r="D458" s="1066">
        <v>6</v>
      </c>
      <c r="E458" s="1066">
        <v>1.36</v>
      </c>
      <c r="F458" s="1066">
        <v>0.23</v>
      </c>
      <c r="G458" s="1066">
        <v>0.15</v>
      </c>
      <c r="H458" s="1062">
        <f>PRODUCT(C458:G458)</f>
        <v>-0.28000000000000003</v>
      </c>
    </row>
    <row r="459" spans="1:8">
      <c r="A459" s="1059"/>
      <c r="B459" s="1067" t="s">
        <v>5171</v>
      </c>
      <c r="C459" s="1061"/>
      <c r="D459" s="1066"/>
      <c r="E459" s="1066"/>
      <c r="F459" s="1066"/>
      <c r="G459" s="1066"/>
      <c r="H459" s="1062"/>
    </row>
    <row r="460" spans="1:8">
      <c r="A460" s="1059"/>
      <c r="B460" s="1065" t="s">
        <v>4986</v>
      </c>
      <c r="C460" s="1061">
        <v>-1</v>
      </c>
      <c r="D460" s="1066">
        <v>15</v>
      </c>
      <c r="E460" s="1066">
        <v>1.96</v>
      </c>
      <c r="F460" s="1066">
        <v>0.23</v>
      </c>
      <c r="G460" s="1066">
        <v>0.05</v>
      </c>
      <c r="H460" s="1062">
        <f>PRODUCT(C460:G460)</f>
        <v>-0.34</v>
      </c>
    </row>
    <row r="461" spans="1:8">
      <c r="A461" s="1059"/>
      <c r="B461" s="1065" t="s">
        <v>5211</v>
      </c>
      <c r="C461" s="1061">
        <v>-1</v>
      </c>
      <c r="D461" s="1061">
        <v>3</v>
      </c>
      <c r="E461" s="1066">
        <v>1.66</v>
      </c>
      <c r="F461" s="1066">
        <v>0.23</v>
      </c>
      <c r="G461" s="1066">
        <v>0.05</v>
      </c>
      <c r="H461" s="1062">
        <f>PRODUCT(C461:G461)</f>
        <v>-0.06</v>
      </c>
    </row>
    <row r="462" spans="1:8">
      <c r="A462" s="1059"/>
      <c r="H462" s="1092">
        <f>+SUM(H438:H461)</f>
        <v>97.28</v>
      </c>
    </row>
    <row r="463" spans="1:8">
      <c r="A463" s="1059"/>
      <c r="F463" s="1072" t="s">
        <v>4121</v>
      </c>
      <c r="G463" s="1073">
        <f>ROUNDUP(H462,1)</f>
        <v>97.3</v>
      </c>
      <c r="H463" s="1074" t="s">
        <v>5084</v>
      </c>
    </row>
    <row r="464" spans="1:8">
      <c r="A464" s="1059"/>
      <c r="B464" s="1067" t="s">
        <v>5192</v>
      </c>
      <c r="C464" s="1065"/>
      <c r="D464" s="1065"/>
      <c r="E464" s="1087"/>
    </row>
    <row r="465" spans="1:8">
      <c r="A465" s="1059"/>
      <c r="B465" s="1065" t="s">
        <v>5227</v>
      </c>
      <c r="C465" s="1061">
        <v>1</v>
      </c>
      <c r="D465" s="1061">
        <v>1</v>
      </c>
      <c r="E465" s="1062">
        <v>46.02</v>
      </c>
      <c r="F465" s="1066">
        <v>0.23</v>
      </c>
      <c r="G465" s="1062">
        <v>2.92</v>
      </c>
      <c r="H465" s="1087">
        <f t="shared" ref="H465:H474" si="20">PRODUCT(C465:G465)</f>
        <v>30.91</v>
      </c>
    </row>
    <row r="466" spans="1:8">
      <c r="A466" s="1059"/>
      <c r="B466" s="1065" t="s">
        <v>5228</v>
      </c>
      <c r="C466" s="1061">
        <v>1</v>
      </c>
      <c r="D466" s="1061">
        <v>1</v>
      </c>
      <c r="E466" s="1062">
        <v>9</v>
      </c>
      <c r="F466" s="1066">
        <v>0.23</v>
      </c>
      <c r="G466" s="1062">
        <v>2.92</v>
      </c>
      <c r="H466" s="1087">
        <f t="shared" si="20"/>
        <v>6.04</v>
      </c>
    </row>
    <row r="467" spans="1:8">
      <c r="A467" s="1059"/>
      <c r="B467" s="1065" t="s">
        <v>5229</v>
      </c>
      <c r="C467" s="1061">
        <v>1</v>
      </c>
      <c r="D467" s="1061">
        <v>1</v>
      </c>
      <c r="E467" s="1062">
        <v>3.09</v>
      </c>
      <c r="F467" s="1066">
        <v>0.23</v>
      </c>
      <c r="G467" s="1062">
        <v>2.92</v>
      </c>
      <c r="H467" s="1087">
        <f>PRODUCT(C467:G467)</f>
        <v>2.08</v>
      </c>
    </row>
    <row r="468" spans="1:8">
      <c r="A468" s="1059"/>
      <c r="B468" s="1065" t="s">
        <v>5204</v>
      </c>
      <c r="C468" s="1061">
        <v>-1</v>
      </c>
      <c r="D468" s="1061">
        <v>1</v>
      </c>
      <c r="E468" s="1062">
        <v>4.2</v>
      </c>
      <c r="F468" s="1066">
        <v>0.23</v>
      </c>
      <c r="G468" s="1062">
        <v>2.92</v>
      </c>
      <c r="H468" s="1087">
        <f>PRODUCT(C468:G468)</f>
        <v>-2.82</v>
      </c>
    </row>
    <row r="469" spans="1:8">
      <c r="A469" s="1059"/>
      <c r="B469" s="1065" t="s">
        <v>5230</v>
      </c>
      <c r="C469" s="1061">
        <v>1</v>
      </c>
      <c r="D469" s="1061">
        <v>1</v>
      </c>
      <c r="E469" s="1062">
        <v>8.89</v>
      </c>
      <c r="F469" s="1066">
        <v>0.23</v>
      </c>
      <c r="G469" s="1062">
        <v>0.9</v>
      </c>
      <c r="H469" s="1087">
        <f t="shared" si="20"/>
        <v>1.84</v>
      </c>
    </row>
    <row r="470" spans="1:8">
      <c r="A470" s="1059"/>
      <c r="B470" s="1065" t="s">
        <v>5231</v>
      </c>
      <c r="C470" s="1061">
        <v>1</v>
      </c>
      <c r="D470" s="1061">
        <v>1</v>
      </c>
      <c r="E470" s="1062">
        <v>68.239999999999995</v>
      </c>
      <c r="F470" s="1062">
        <v>0.23</v>
      </c>
      <c r="G470" s="1062">
        <v>2.92</v>
      </c>
      <c r="H470" s="1087">
        <f t="shared" si="20"/>
        <v>45.83</v>
      </c>
    </row>
    <row r="471" spans="1:8">
      <c r="A471" s="1059"/>
      <c r="B471" s="1065" t="s">
        <v>5223</v>
      </c>
      <c r="C471" s="1061">
        <v>-1</v>
      </c>
      <c r="D471" s="1061">
        <v>1</v>
      </c>
      <c r="E471" s="1062">
        <v>2.87</v>
      </c>
      <c r="F471" s="1062">
        <v>0.23</v>
      </c>
      <c r="G471" s="1062">
        <v>2.92</v>
      </c>
      <c r="H471" s="1087">
        <f t="shared" si="20"/>
        <v>-1.93</v>
      </c>
    </row>
    <row r="472" spans="1:8">
      <c r="A472" s="1059"/>
      <c r="B472" s="1069" t="s">
        <v>5206</v>
      </c>
      <c r="C472" s="1066">
        <v>1</v>
      </c>
      <c r="D472" s="1066">
        <v>1</v>
      </c>
      <c r="E472" s="1062">
        <v>8.23</v>
      </c>
      <c r="F472" s="1066">
        <v>0.23</v>
      </c>
      <c r="G472" s="1062">
        <v>2.92</v>
      </c>
      <c r="H472" s="1087">
        <f t="shared" si="20"/>
        <v>5.53</v>
      </c>
    </row>
    <row r="473" spans="1:8">
      <c r="A473" s="1059"/>
      <c r="B473" s="1069" t="s">
        <v>5123</v>
      </c>
      <c r="C473" s="1070">
        <v>1</v>
      </c>
      <c r="D473" s="1070">
        <v>1</v>
      </c>
      <c r="E473" s="1083">
        <v>15.35</v>
      </c>
      <c r="F473" s="1066">
        <v>0.23</v>
      </c>
      <c r="G473" s="1062">
        <v>2.92</v>
      </c>
      <c r="H473" s="1087">
        <f t="shared" si="20"/>
        <v>10.31</v>
      </c>
    </row>
    <row r="474" spans="1:8">
      <c r="A474" s="1059"/>
      <c r="B474" s="1069" t="s">
        <v>5226</v>
      </c>
      <c r="C474" s="1070">
        <v>-1</v>
      </c>
      <c r="D474" s="1070">
        <v>5</v>
      </c>
      <c r="E474" s="1083">
        <v>0.9</v>
      </c>
      <c r="F474" s="1066">
        <v>0.23</v>
      </c>
      <c r="G474" s="1062">
        <v>2.1</v>
      </c>
      <c r="H474" s="1087">
        <f t="shared" si="20"/>
        <v>-2.17</v>
      </c>
    </row>
    <row r="475" spans="1:8">
      <c r="A475" s="1059"/>
      <c r="B475" s="1069" t="s">
        <v>5232</v>
      </c>
      <c r="C475" s="1070">
        <v>-1</v>
      </c>
      <c r="D475" s="1070">
        <v>1</v>
      </c>
      <c r="E475" s="1083">
        <v>1.2</v>
      </c>
      <c r="F475" s="1066">
        <v>0.23</v>
      </c>
      <c r="G475" s="1062">
        <v>2.1</v>
      </c>
      <c r="H475" s="1087">
        <f>PRODUCT(C475:G475)</f>
        <v>-0.57999999999999996</v>
      </c>
    </row>
    <row r="476" spans="1:8">
      <c r="A476" s="1059"/>
      <c r="B476" s="1065" t="s">
        <v>5210</v>
      </c>
      <c r="C476" s="1066">
        <v>-1</v>
      </c>
      <c r="D476" s="1066">
        <v>15</v>
      </c>
      <c r="E476" s="1062">
        <v>1.5</v>
      </c>
      <c r="F476" s="1062">
        <v>0.23</v>
      </c>
      <c r="G476" s="1062">
        <v>1.35</v>
      </c>
      <c r="H476" s="1087">
        <f>PRODUCT(C476:G476)</f>
        <v>-6.99</v>
      </c>
    </row>
    <row r="477" spans="1:8">
      <c r="A477" s="1059"/>
      <c r="B477" s="1065" t="s">
        <v>5211</v>
      </c>
      <c r="C477" s="1061">
        <v>-1</v>
      </c>
      <c r="D477" s="1061">
        <v>3</v>
      </c>
      <c r="E477" s="1062">
        <v>1.2</v>
      </c>
      <c r="F477" s="1062">
        <v>0.23</v>
      </c>
      <c r="G477" s="1062">
        <v>2.1</v>
      </c>
      <c r="H477" s="1063">
        <f>PRODUCT(C477:G477)</f>
        <v>-1.74</v>
      </c>
    </row>
    <row r="478" spans="1:8">
      <c r="A478" s="1059"/>
      <c r="B478" s="1065" t="s">
        <v>5212</v>
      </c>
      <c r="C478" s="1061">
        <v>-1</v>
      </c>
      <c r="D478" s="1061">
        <v>5</v>
      </c>
      <c r="E478" s="1062">
        <v>0.9</v>
      </c>
      <c r="F478" s="1062">
        <v>0.23</v>
      </c>
      <c r="G478" s="1062">
        <v>0.6</v>
      </c>
      <c r="H478" s="1063">
        <f>PRODUCT(C478:G478)</f>
        <v>-0.62</v>
      </c>
    </row>
    <row r="479" spans="1:8">
      <c r="A479" s="1059"/>
      <c r="B479" s="1067" t="s">
        <v>5149</v>
      </c>
      <c r="C479" s="1066"/>
      <c r="D479" s="1066"/>
      <c r="E479" s="1066"/>
      <c r="F479" s="1066"/>
      <c r="G479" s="1066"/>
      <c r="H479" s="1062"/>
    </row>
    <row r="480" spans="1:8">
      <c r="A480" s="1059"/>
      <c r="B480" s="1065" t="s">
        <v>5150</v>
      </c>
      <c r="C480" s="1066">
        <v>-1</v>
      </c>
      <c r="D480" s="1066">
        <v>5</v>
      </c>
      <c r="E480" s="1066">
        <v>1.46</v>
      </c>
      <c r="F480" s="1066">
        <v>0.23</v>
      </c>
      <c r="G480" s="1066">
        <v>0.15</v>
      </c>
      <c r="H480" s="1062">
        <f>PRODUCT(C480:G480)</f>
        <v>-0.25</v>
      </c>
    </row>
    <row r="481" spans="1:8">
      <c r="A481" s="1059"/>
      <c r="B481" s="1065" t="s">
        <v>5151</v>
      </c>
      <c r="C481" s="1066">
        <v>-1</v>
      </c>
      <c r="D481" s="1066">
        <v>15</v>
      </c>
      <c r="E481" s="1066">
        <v>1.96</v>
      </c>
      <c r="F481" s="1066">
        <v>0.23</v>
      </c>
      <c r="G481" s="1066">
        <v>0.15</v>
      </c>
      <c r="H481" s="1062">
        <f>PRODUCT(C481:G481)</f>
        <v>-1.01</v>
      </c>
    </row>
    <row r="482" spans="1:8">
      <c r="A482" s="1059"/>
      <c r="B482" s="1065" t="s">
        <v>5211</v>
      </c>
      <c r="C482" s="1066">
        <v>-1</v>
      </c>
      <c r="D482" s="1061">
        <v>3</v>
      </c>
      <c r="E482" s="1062">
        <v>1.2</v>
      </c>
      <c r="F482" s="1066">
        <v>0.23</v>
      </c>
      <c r="G482" s="1066">
        <v>0.15</v>
      </c>
      <c r="H482" s="1062">
        <f>PRODUCT(C482:G482)</f>
        <v>-0.12</v>
      </c>
    </row>
    <row r="483" spans="1:8">
      <c r="A483" s="1059"/>
      <c r="B483" s="1065" t="s">
        <v>5152</v>
      </c>
      <c r="C483" s="1066">
        <v>-1</v>
      </c>
      <c r="D483" s="1066">
        <v>5</v>
      </c>
      <c r="E483" s="1066">
        <v>1.36</v>
      </c>
      <c r="F483" s="1066">
        <v>0.23</v>
      </c>
      <c r="G483" s="1066">
        <v>0.15</v>
      </c>
      <c r="H483" s="1062">
        <f>PRODUCT(C483:G483)</f>
        <v>-0.23</v>
      </c>
    </row>
    <row r="484" spans="1:8">
      <c r="A484" s="1059"/>
      <c r="B484" s="1067" t="s">
        <v>5171</v>
      </c>
      <c r="C484" s="1061"/>
      <c r="D484" s="1066"/>
      <c r="E484" s="1066"/>
      <c r="F484" s="1066"/>
      <c r="G484" s="1066"/>
      <c r="H484" s="1062"/>
    </row>
    <row r="485" spans="1:8">
      <c r="A485" s="1059"/>
      <c r="B485" s="1065" t="s">
        <v>4986</v>
      </c>
      <c r="C485" s="1061">
        <v>-1</v>
      </c>
      <c r="D485" s="1066">
        <v>15</v>
      </c>
      <c r="E485" s="1066">
        <v>1.96</v>
      </c>
      <c r="F485" s="1066">
        <v>0.23</v>
      </c>
      <c r="G485" s="1066">
        <v>0.05</v>
      </c>
      <c r="H485" s="1062">
        <f>PRODUCT(C485:G485)</f>
        <v>-0.34</v>
      </c>
    </row>
    <row r="486" spans="1:8">
      <c r="A486" s="1059"/>
      <c r="B486" s="1065" t="s">
        <v>5211</v>
      </c>
      <c r="C486" s="1061">
        <v>-1</v>
      </c>
      <c r="D486" s="1061">
        <v>3</v>
      </c>
      <c r="E486" s="1066">
        <v>1.66</v>
      </c>
      <c r="F486" s="1066">
        <v>0.23</v>
      </c>
      <c r="G486" s="1066">
        <v>0.05</v>
      </c>
      <c r="H486" s="1062">
        <f>PRODUCT(C486:G486)</f>
        <v>-0.06</v>
      </c>
    </row>
    <row r="487" spans="1:8">
      <c r="A487" s="1059"/>
      <c r="B487" s="1067"/>
      <c r="C487" s="1065"/>
      <c r="D487" s="1065"/>
      <c r="E487" s="1087"/>
      <c r="H487" s="1092">
        <f>+SUM(H465:H486)</f>
        <v>83.68</v>
      </c>
    </row>
    <row r="488" spans="1:8">
      <c r="A488" s="1059"/>
      <c r="B488" s="1067"/>
      <c r="C488" s="1065"/>
      <c r="D488" s="1065"/>
      <c r="E488" s="1087"/>
      <c r="F488" s="1072" t="s">
        <v>4121</v>
      </c>
      <c r="G488" s="1073">
        <f>ROUNDUP(H487,1)</f>
        <v>83.7</v>
      </c>
      <c r="H488" s="1074" t="s">
        <v>5084</v>
      </c>
    </row>
    <row r="489" spans="1:8">
      <c r="A489" s="1059"/>
      <c r="B489" s="1067" t="s">
        <v>5233</v>
      </c>
      <c r="C489" s="1065"/>
      <c r="D489" s="1065"/>
      <c r="E489" s="1087"/>
    </row>
    <row r="490" spans="1:8">
      <c r="A490" s="1059"/>
      <c r="B490" s="1065" t="s">
        <v>5234</v>
      </c>
      <c r="C490" s="1065">
        <v>1</v>
      </c>
      <c r="D490" s="1065">
        <v>1</v>
      </c>
      <c r="E490" s="1087">
        <v>16.170000000000002</v>
      </c>
      <c r="F490" s="1091">
        <v>0.23</v>
      </c>
      <c r="G490" s="1091">
        <v>2.92</v>
      </c>
      <c r="H490" s="1093">
        <f t="shared" ref="H490:H496" si="21">PRODUCT(C490:G490)</f>
        <v>10.86</v>
      </c>
    </row>
    <row r="491" spans="1:8">
      <c r="A491" s="1059"/>
      <c r="B491" s="1065" t="s">
        <v>5196</v>
      </c>
      <c r="C491" s="1065">
        <v>1</v>
      </c>
      <c r="D491" s="1065">
        <v>1</v>
      </c>
      <c r="E491" s="1087">
        <v>7.63</v>
      </c>
      <c r="F491" s="1087">
        <v>0.23</v>
      </c>
      <c r="G491" s="1091">
        <v>2.92</v>
      </c>
      <c r="H491" s="1093">
        <f t="shared" si="21"/>
        <v>5.12</v>
      </c>
    </row>
    <row r="492" spans="1:8">
      <c r="A492" s="1059"/>
      <c r="B492" s="1065" t="s">
        <v>5235</v>
      </c>
      <c r="C492" s="1065">
        <v>1</v>
      </c>
      <c r="D492" s="1065">
        <v>-1</v>
      </c>
      <c r="E492" s="1087">
        <v>0.9</v>
      </c>
      <c r="F492" s="1087">
        <v>0.23</v>
      </c>
      <c r="G492" s="1087">
        <v>2.1</v>
      </c>
      <c r="H492" s="1093">
        <f t="shared" si="21"/>
        <v>-0.43</v>
      </c>
    </row>
    <row r="493" spans="1:8">
      <c r="A493" s="1059"/>
      <c r="B493" s="1065" t="s">
        <v>5236</v>
      </c>
      <c r="C493" s="1065">
        <v>-1</v>
      </c>
      <c r="D493" s="1065">
        <v>6</v>
      </c>
      <c r="E493" s="1087">
        <v>0.38</v>
      </c>
      <c r="F493" s="1087">
        <v>0.23</v>
      </c>
      <c r="G493" s="1087">
        <v>2.92</v>
      </c>
      <c r="H493" s="1093">
        <f t="shared" si="21"/>
        <v>-1.53</v>
      </c>
    </row>
    <row r="494" spans="1:8">
      <c r="A494" s="1059"/>
      <c r="B494" s="1065" t="s">
        <v>5237</v>
      </c>
      <c r="C494" s="1065">
        <v>1</v>
      </c>
      <c r="D494" s="1065">
        <v>2</v>
      </c>
      <c r="E494" s="1087">
        <v>1.5</v>
      </c>
      <c r="F494" s="1087">
        <v>0.23</v>
      </c>
      <c r="G494" s="1087">
        <v>0.9</v>
      </c>
      <c r="H494" s="1093">
        <f t="shared" si="21"/>
        <v>0.62</v>
      </c>
    </row>
    <row r="495" spans="1:8">
      <c r="A495" s="1059"/>
      <c r="B495" s="1065" t="s">
        <v>5237</v>
      </c>
      <c r="C495" s="1065">
        <v>1</v>
      </c>
      <c r="D495" s="1065">
        <v>1</v>
      </c>
      <c r="E495" s="1087">
        <v>2.4500000000000002</v>
      </c>
      <c r="F495" s="1087">
        <v>0.23</v>
      </c>
      <c r="G495" s="1087">
        <v>0.9</v>
      </c>
      <c r="H495" s="1093">
        <f t="shared" si="21"/>
        <v>0.51</v>
      </c>
    </row>
    <row r="496" spans="1:8">
      <c r="A496" s="1059"/>
      <c r="B496" s="1065" t="s">
        <v>5238</v>
      </c>
      <c r="C496" s="1065">
        <v>1</v>
      </c>
      <c r="D496" s="1065">
        <v>40</v>
      </c>
      <c r="E496" s="1087">
        <v>0.23</v>
      </c>
      <c r="F496" s="1087">
        <v>0.23</v>
      </c>
      <c r="G496" s="1087">
        <v>1.2</v>
      </c>
      <c r="H496" s="1093">
        <f t="shared" si="21"/>
        <v>2.54</v>
      </c>
    </row>
    <row r="497" spans="1:8">
      <c r="A497" s="1059"/>
      <c r="B497" s="1065"/>
      <c r="C497" s="1065"/>
      <c r="D497" s="1065"/>
      <c r="E497" s="1087"/>
      <c r="F497" s="1087"/>
      <c r="G497" s="1087"/>
      <c r="H497" s="1093">
        <f>+SUM(H490:H496)</f>
        <v>17.690000000000001</v>
      </c>
    </row>
    <row r="498" spans="1:8">
      <c r="A498" s="1059"/>
      <c r="B498" s="1067"/>
      <c r="C498" s="1061"/>
      <c r="D498" s="1061"/>
      <c r="E498" s="1062"/>
      <c r="F498" s="1072" t="s">
        <v>4121</v>
      </c>
      <c r="G498" s="1073">
        <f>ROUNDUP(H497,1)</f>
        <v>17.7</v>
      </c>
      <c r="H498" s="1074" t="s">
        <v>5084</v>
      </c>
    </row>
    <row r="499" spans="1:8">
      <c r="A499" s="1067">
        <v>10.5</v>
      </c>
      <c r="B499" s="1067" t="s">
        <v>5239</v>
      </c>
      <c r="C499" s="1065"/>
      <c r="D499" s="1065"/>
      <c r="E499" s="1087"/>
      <c r="F499" s="1087"/>
      <c r="G499" s="1087"/>
      <c r="H499" s="1087"/>
    </row>
    <row r="500" spans="1:8">
      <c r="A500" s="1067"/>
      <c r="B500" s="1067" t="s">
        <v>5240</v>
      </c>
      <c r="C500" s="1065"/>
      <c r="D500" s="1065"/>
      <c r="E500" s="1087"/>
      <c r="F500" s="1087"/>
      <c r="G500" s="1087"/>
      <c r="H500" s="1087"/>
    </row>
    <row r="501" spans="1:8">
      <c r="A501" s="1065"/>
      <c r="B501" s="1065" t="s">
        <v>5241</v>
      </c>
      <c r="C501" s="1065">
        <v>1</v>
      </c>
      <c r="D501" s="1065">
        <v>1</v>
      </c>
      <c r="E501" s="1087">
        <v>1.94</v>
      </c>
      <c r="F501" s="1087"/>
      <c r="G501" s="1087">
        <v>3.18</v>
      </c>
      <c r="H501" s="1087">
        <f>PRODUCT(C501:G501)</f>
        <v>6.17</v>
      </c>
    </row>
    <row r="502" spans="1:8">
      <c r="A502" s="1065"/>
      <c r="B502" s="1065" t="s">
        <v>5242</v>
      </c>
      <c r="C502" s="1065">
        <v>1</v>
      </c>
      <c r="D502" s="1065">
        <v>1</v>
      </c>
      <c r="E502" s="1087">
        <v>4.88</v>
      </c>
      <c r="F502" s="1087"/>
      <c r="G502" s="1087">
        <v>3.18</v>
      </c>
      <c r="H502" s="1087">
        <f>PRODUCT(C502:G502)</f>
        <v>15.52</v>
      </c>
    </row>
    <row r="503" spans="1:8">
      <c r="A503" s="1065"/>
      <c r="B503" s="1065" t="s">
        <v>5243</v>
      </c>
      <c r="C503" s="1065">
        <v>-1</v>
      </c>
      <c r="D503" s="1065">
        <v>1</v>
      </c>
      <c r="E503" s="1087">
        <v>0.75</v>
      </c>
      <c r="F503" s="1087"/>
      <c r="G503" s="1087">
        <v>2.1</v>
      </c>
      <c r="H503" s="1087">
        <f>PRODUCT(C503:G503)</f>
        <v>-1.58</v>
      </c>
    </row>
    <row r="504" spans="1:8">
      <c r="A504" s="1065"/>
      <c r="B504" s="1065"/>
      <c r="C504" s="1065"/>
      <c r="D504" s="1065"/>
      <c r="E504" s="1087"/>
      <c r="F504" s="1087"/>
      <c r="G504" s="1087"/>
      <c r="H504" s="1087">
        <f>SUM(H501:H503)</f>
        <v>20.11</v>
      </c>
    </row>
    <row r="505" spans="1:8">
      <c r="A505" s="1065"/>
      <c r="B505" s="1065"/>
      <c r="C505" s="1065"/>
      <c r="D505" s="1065"/>
      <c r="E505" s="1087"/>
      <c r="F505" s="1072" t="s">
        <v>4121</v>
      </c>
      <c r="G505" s="1073">
        <f>ROUNDUP(H504,1)</f>
        <v>20.2</v>
      </c>
      <c r="H505" s="1074" t="s">
        <v>5084</v>
      </c>
    </row>
    <row r="506" spans="1:8">
      <c r="A506" s="1059"/>
      <c r="B506" s="1067" t="s">
        <v>5217</v>
      </c>
      <c r="C506" s="1061"/>
      <c r="D506" s="1061"/>
      <c r="E506" s="1062"/>
      <c r="F506" s="1062"/>
      <c r="G506" s="1062"/>
      <c r="H506" s="1063"/>
    </row>
    <row r="507" spans="1:8">
      <c r="A507" s="1059"/>
      <c r="B507" s="1065" t="s">
        <v>5244</v>
      </c>
      <c r="C507" s="1065">
        <v>1</v>
      </c>
      <c r="D507" s="1065">
        <v>1</v>
      </c>
      <c r="E507" s="1087">
        <v>3.66</v>
      </c>
      <c r="F507" s="1087"/>
      <c r="G507" s="1087">
        <v>3.18</v>
      </c>
      <c r="H507" s="1087">
        <f t="shared" ref="H507:H523" si="22">PRODUCT(C507:G507)</f>
        <v>11.64</v>
      </c>
    </row>
    <row r="508" spans="1:8">
      <c r="A508" s="1059"/>
      <c r="B508" s="1065" t="s">
        <v>5245</v>
      </c>
      <c r="C508" s="1065">
        <v>1</v>
      </c>
      <c r="D508" s="1065">
        <v>2</v>
      </c>
      <c r="E508" s="1087">
        <v>3.66</v>
      </c>
      <c r="F508" s="1087"/>
      <c r="G508" s="1087">
        <v>3.18</v>
      </c>
      <c r="H508" s="1087">
        <f t="shared" si="22"/>
        <v>23.28</v>
      </c>
    </row>
    <row r="509" spans="1:8">
      <c r="A509" s="1059"/>
      <c r="B509" s="1065" t="s">
        <v>5246</v>
      </c>
      <c r="C509" s="1065">
        <v>-1</v>
      </c>
      <c r="D509" s="1065">
        <v>1</v>
      </c>
      <c r="E509" s="1087">
        <v>0.9</v>
      </c>
      <c r="F509" s="1087"/>
      <c r="G509" s="1087">
        <v>2.1</v>
      </c>
      <c r="H509" s="1087">
        <f t="shared" si="22"/>
        <v>-1.89</v>
      </c>
    </row>
    <row r="510" spans="1:8">
      <c r="A510" s="1059"/>
      <c r="B510" s="1065" t="s">
        <v>5247</v>
      </c>
      <c r="C510" s="1065">
        <v>1</v>
      </c>
      <c r="D510" s="1065">
        <v>1</v>
      </c>
      <c r="E510" s="1087">
        <v>2.5499999999999998</v>
      </c>
      <c r="F510" s="1087"/>
      <c r="G510" s="1087">
        <v>3.18</v>
      </c>
      <c r="H510" s="1087">
        <f t="shared" si="22"/>
        <v>8.11</v>
      </c>
    </row>
    <row r="511" spans="1:8">
      <c r="A511" s="1059"/>
      <c r="B511" s="1065" t="s">
        <v>5248</v>
      </c>
      <c r="C511" s="1065">
        <v>1</v>
      </c>
      <c r="D511" s="1065">
        <v>1</v>
      </c>
      <c r="E511" s="1087">
        <v>1.22</v>
      </c>
      <c r="F511" s="1087"/>
      <c r="G511" s="1087">
        <v>3.18</v>
      </c>
      <c r="H511" s="1087">
        <f t="shared" si="22"/>
        <v>3.88</v>
      </c>
    </row>
    <row r="512" spans="1:8">
      <c r="A512" s="1059"/>
      <c r="B512" s="1065" t="s">
        <v>5243</v>
      </c>
      <c r="C512" s="1065">
        <v>-1</v>
      </c>
      <c r="D512" s="1065">
        <v>2</v>
      </c>
      <c r="E512" s="1087">
        <v>0.75</v>
      </c>
      <c r="F512" s="1087"/>
      <c r="G512" s="1087">
        <v>2.1</v>
      </c>
      <c r="H512" s="1087">
        <f t="shared" si="22"/>
        <v>-3.15</v>
      </c>
    </row>
    <row r="513" spans="1:8">
      <c r="A513" s="1059"/>
      <c r="B513" s="1065" t="s">
        <v>5249</v>
      </c>
      <c r="C513" s="1065">
        <v>1</v>
      </c>
      <c r="D513" s="1065">
        <v>2</v>
      </c>
      <c r="E513" s="1087">
        <v>1.67</v>
      </c>
      <c r="F513" s="1087"/>
      <c r="G513" s="1087">
        <v>3.18</v>
      </c>
      <c r="H513" s="1087">
        <f t="shared" si="22"/>
        <v>10.62</v>
      </c>
    </row>
    <row r="514" spans="1:8">
      <c r="A514" s="1059"/>
      <c r="B514" s="1065" t="s">
        <v>5243</v>
      </c>
      <c r="C514" s="1065">
        <v>-1</v>
      </c>
      <c r="D514" s="1065">
        <v>1</v>
      </c>
      <c r="E514" s="1087">
        <v>0.75</v>
      </c>
      <c r="F514" s="1087"/>
      <c r="G514" s="1087">
        <v>2.1</v>
      </c>
      <c r="H514" s="1087">
        <f t="shared" si="22"/>
        <v>-1.58</v>
      </c>
    </row>
    <row r="515" spans="1:8">
      <c r="A515" s="1059"/>
      <c r="B515" s="1065" t="s">
        <v>5250</v>
      </c>
      <c r="C515" s="1065">
        <v>1</v>
      </c>
      <c r="D515" s="1065">
        <v>1</v>
      </c>
      <c r="E515" s="1087">
        <v>19.66</v>
      </c>
      <c r="F515" s="1087"/>
      <c r="G515" s="1087">
        <v>3.18</v>
      </c>
      <c r="H515" s="1087">
        <f t="shared" si="22"/>
        <v>62.52</v>
      </c>
    </row>
    <row r="516" spans="1:8">
      <c r="A516" s="1059"/>
      <c r="B516" s="1065" t="s">
        <v>5246</v>
      </c>
      <c r="C516" s="1065">
        <v>-1</v>
      </c>
      <c r="D516" s="1065">
        <v>3</v>
      </c>
      <c r="E516" s="1087">
        <v>0.9</v>
      </c>
      <c r="F516" s="1087"/>
      <c r="G516" s="1087">
        <v>2.1</v>
      </c>
      <c r="H516" s="1087">
        <f t="shared" si="22"/>
        <v>-5.67</v>
      </c>
    </row>
    <row r="517" spans="1:8">
      <c r="A517" s="1059"/>
      <c r="B517" s="1065" t="s">
        <v>5251</v>
      </c>
      <c r="C517" s="1065">
        <v>1</v>
      </c>
      <c r="D517" s="1065">
        <v>1</v>
      </c>
      <c r="E517" s="1087">
        <v>20.48</v>
      </c>
      <c r="F517" s="1087"/>
      <c r="G517" s="1087">
        <v>3.18</v>
      </c>
      <c r="H517" s="1087">
        <f t="shared" si="22"/>
        <v>65.13</v>
      </c>
    </row>
    <row r="518" spans="1:8">
      <c r="A518" s="1059"/>
      <c r="B518" s="1065" t="s">
        <v>5252</v>
      </c>
      <c r="C518" s="1065">
        <v>-1</v>
      </c>
      <c r="D518" s="1065">
        <v>5</v>
      </c>
      <c r="E518" s="1087">
        <v>0.9</v>
      </c>
      <c r="F518" s="1087"/>
      <c r="G518" s="1087">
        <v>2.1</v>
      </c>
      <c r="H518" s="1087">
        <f t="shared" si="22"/>
        <v>-9.4499999999999993</v>
      </c>
    </row>
    <row r="519" spans="1:8">
      <c r="A519" s="1059"/>
      <c r="B519" s="1065" t="s">
        <v>5253</v>
      </c>
      <c r="C519" s="1065">
        <v>1</v>
      </c>
      <c r="D519" s="1065">
        <v>1</v>
      </c>
      <c r="E519" s="1087">
        <v>4.2699999999999996</v>
      </c>
      <c r="F519" s="1087"/>
      <c r="G519" s="1087">
        <v>3.18</v>
      </c>
      <c r="H519" s="1087">
        <f t="shared" si="22"/>
        <v>13.58</v>
      </c>
    </row>
    <row r="520" spans="1:8">
      <c r="A520" s="1059"/>
      <c r="B520" s="1065" t="s">
        <v>5254</v>
      </c>
      <c r="C520" s="1065">
        <v>1</v>
      </c>
      <c r="D520" s="1065">
        <v>1</v>
      </c>
      <c r="E520" s="1087">
        <v>4.2699999999999996</v>
      </c>
      <c r="F520" s="1087"/>
      <c r="G520" s="1087">
        <v>3.18</v>
      </c>
      <c r="H520" s="1087">
        <f t="shared" si="22"/>
        <v>13.58</v>
      </c>
    </row>
    <row r="521" spans="1:8">
      <c r="A521" s="1059"/>
      <c r="B521" s="1065" t="s">
        <v>5255</v>
      </c>
      <c r="C521" s="1065">
        <v>1</v>
      </c>
      <c r="D521" s="1065">
        <v>2</v>
      </c>
      <c r="E521" s="1087">
        <v>1.2</v>
      </c>
      <c r="F521" s="1087"/>
      <c r="G521" s="1087">
        <v>3.18</v>
      </c>
      <c r="H521" s="1087">
        <f t="shared" si="22"/>
        <v>7.63</v>
      </c>
    </row>
    <row r="522" spans="1:8">
      <c r="A522" s="1059"/>
      <c r="B522" s="1065" t="s">
        <v>5243</v>
      </c>
      <c r="C522" s="1065">
        <v>-1</v>
      </c>
      <c r="D522" s="1065">
        <v>2</v>
      </c>
      <c r="E522" s="1087">
        <v>0.75</v>
      </c>
      <c r="F522" s="1087"/>
      <c r="G522" s="1087">
        <v>2.1</v>
      </c>
      <c r="H522" s="1087">
        <f t="shared" si="22"/>
        <v>-3.15</v>
      </c>
    </row>
    <row r="523" spans="1:8">
      <c r="A523" s="1059"/>
      <c r="B523" s="1065" t="s">
        <v>5246</v>
      </c>
      <c r="C523" s="1065">
        <v>-1</v>
      </c>
      <c r="D523" s="1065">
        <v>1</v>
      </c>
      <c r="E523" s="1087">
        <v>0.9</v>
      </c>
      <c r="F523" s="1087"/>
      <c r="G523" s="1087">
        <v>2.1</v>
      </c>
      <c r="H523" s="1087">
        <f t="shared" si="22"/>
        <v>-1.89</v>
      </c>
    </row>
    <row r="524" spans="1:8">
      <c r="A524" s="1059"/>
      <c r="B524" s="1065"/>
      <c r="C524" s="1065"/>
      <c r="D524" s="1065"/>
      <c r="E524" s="1087"/>
      <c r="F524" s="1087"/>
      <c r="G524" s="1087"/>
      <c r="H524" s="1094">
        <f>+SUM(H507:H523)</f>
        <v>193.19</v>
      </c>
    </row>
    <row r="525" spans="1:8">
      <c r="A525" s="1059"/>
      <c r="B525" s="1065"/>
      <c r="C525" s="1065"/>
      <c r="D525" s="1065"/>
      <c r="E525" s="1087"/>
      <c r="F525" s="1072" t="s">
        <v>4121</v>
      </c>
      <c r="G525" s="1073">
        <f>ROUNDUP(H524,1)</f>
        <v>193.2</v>
      </c>
      <c r="H525" s="1074" t="s">
        <v>2199</v>
      </c>
    </row>
    <row r="526" spans="1:8">
      <c r="A526" s="1059"/>
      <c r="B526" s="1067" t="s">
        <v>5256</v>
      </c>
      <c r="C526" s="1065"/>
      <c r="D526" s="1065"/>
      <c r="E526" s="1087"/>
      <c r="F526" s="1087"/>
      <c r="G526" s="1087"/>
      <c r="H526" s="1087"/>
    </row>
    <row r="527" spans="1:8">
      <c r="A527" s="1059"/>
      <c r="B527" s="1065" t="s">
        <v>5254</v>
      </c>
      <c r="C527" s="1065">
        <v>1</v>
      </c>
      <c r="D527" s="1065">
        <v>1</v>
      </c>
      <c r="E527" s="1087">
        <v>4.2699999999999996</v>
      </c>
      <c r="F527" s="1087"/>
      <c r="G527" s="1087">
        <v>3.18</v>
      </c>
      <c r="H527" s="1087">
        <f>PRODUCT(C527:G527)</f>
        <v>13.58</v>
      </c>
    </row>
    <row r="528" spans="1:8">
      <c r="A528" s="1059"/>
      <c r="B528" s="1065" t="s">
        <v>5255</v>
      </c>
      <c r="C528" s="1065">
        <v>1</v>
      </c>
      <c r="D528" s="1065">
        <v>2</v>
      </c>
      <c r="E528" s="1087">
        <v>1.2</v>
      </c>
      <c r="F528" s="1087"/>
      <c r="G528" s="1087">
        <v>3.18</v>
      </c>
      <c r="H528" s="1087">
        <f t="shared" ref="H528:H535" si="23">PRODUCT(C528:G528)</f>
        <v>7.63</v>
      </c>
    </row>
    <row r="529" spans="1:8">
      <c r="A529" s="1059"/>
      <c r="B529" s="1065" t="s">
        <v>5243</v>
      </c>
      <c r="C529" s="1065">
        <v>-1</v>
      </c>
      <c r="D529" s="1065">
        <v>2</v>
      </c>
      <c r="E529" s="1087">
        <v>0.75</v>
      </c>
      <c r="F529" s="1087"/>
      <c r="G529" s="1087">
        <v>2.1</v>
      </c>
      <c r="H529" s="1087">
        <f t="shared" si="23"/>
        <v>-3.15</v>
      </c>
    </row>
    <row r="530" spans="1:8">
      <c r="A530" s="1059"/>
      <c r="B530" s="1065" t="s">
        <v>5246</v>
      </c>
      <c r="C530" s="1065">
        <v>-1</v>
      </c>
      <c r="D530" s="1065">
        <v>1</v>
      </c>
      <c r="E530" s="1087">
        <v>0.9</v>
      </c>
      <c r="F530" s="1087"/>
      <c r="G530" s="1087">
        <v>2.1</v>
      </c>
      <c r="H530" s="1087">
        <f t="shared" si="23"/>
        <v>-1.89</v>
      </c>
    </row>
    <row r="531" spans="1:8">
      <c r="A531" s="1059"/>
      <c r="B531" s="1065" t="s">
        <v>5257</v>
      </c>
      <c r="C531" s="1065">
        <v>1</v>
      </c>
      <c r="D531" s="1065">
        <v>1</v>
      </c>
      <c r="E531" s="1087">
        <v>11.39</v>
      </c>
      <c r="F531" s="1087"/>
      <c r="G531" s="1087">
        <v>3.18</v>
      </c>
      <c r="H531" s="1087">
        <f t="shared" si="23"/>
        <v>36.22</v>
      </c>
    </row>
    <row r="532" spans="1:8">
      <c r="A532" s="1059"/>
      <c r="B532" s="1065" t="s">
        <v>5258</v>
      </c>
      <c r="C532" s="1065">
        <v>1</v>
      </c>
      <c r="D532" s="1065">
        <v>4</v>
      </c>
      <c r="E532" s="1087">
        <v>3.66</v>
      </c>
      <c r="F532" s="1087"/>
      <c r="G532" s="1087">
        <v>3.18</v>
      </c>
      <c r="H532" s="1087">
        <f t="shared" si="23"/>
        <v>46.56</v>
      </c>
    </row>
    <row r="533" spans="1:8">
      <c r="A533" s="1059"/>
      <c r="B533" s="1065" t="s">
        <v>5259</v>
      </c>
      <c r="C533" s="1065">
        <v>-1</v>
      </c>
      <c r="D533" s="1065">
        <v>4</v>
      </c>
      <c r="E533" s="1087">
        <v>0.9</v>
      </c>
      <c r="F533" s="1087"/>
      <c r="G533" s="1087">
        <v>2.1</v>
      </c>
      <c r="H533" s="1087">
        <f t="shared" si="23"/>
        <v>-7.56</v>
      </c>
    </row>
    <row r="534" spans="1:8">
      <c r="A534" s="1059"/>
      <c r="B534" s="1065" t="s">
        <v>5241</v>
      </c>
      <c r="C534" s="1065">
        <v>1</v>
      </c>
      <c r="D534" s="1065">
        <v>1</v>
      </c>
      <c r="E534" s="1087">
        <v>2.5499999999999998</v>
      </c>
      <c r="F534" s="1087"/>
      <c r="G534" s="1087">
        <v>3.18</v>
      </c>
      <c r="H534" s="1087">
        <f t="shared" si="23"/>
        <v>8.11</v>
      </c>
    </row>
    <row r="535" spans="1:8">
      <c r="A535" s="1059"/>
      <c r="B535" s="1065"/>
      <c r="C535" s="1065">
        <v>1</v>
      </c>
      <c r="D535" s="1065">
        <v>1</v>
      </c>
      <c r="E535" s="1087">
        <v>1.2</v>
      </c>
      <c r="F535" s="1087"/>
      <c r="G535" s="1087">
        <v>3.18</v>
      </c>
      <c r="H535" s="1087">
        <f t="shared" si="23"/>
        <v>3.82</v>
      </c>
    </row>
    <row r="536" spans="1:8">
      <c r="A536" s="1059"/>
      <c r="B536" s="1065" t="s">
        <v>5243</v>
      </c>
      <c r="C536" s="1065">
        <v>-1</v>
      </c>
      <c r="D536" s="1065">
        <v>2</v>
      </c>
      <c r="E536" s="1087">
        <v>0.75</v>
      </c>
      <c r="F536" s="1087"/>
      <c r="G536" s="1087">
        <v>2.1</v>
      </c>
      <c r="H536" s="1087">
        <f>PRODUCT(C536:G536)</f>
        <v>-3.15</v>
      </c>
    </row>
    <row r="537" spans="1:8">
      <c r="A537" s="1059"/>
      <c r="B537" s="1065"/>
      <c r="C537" s="1065"/>
      <c r="D537" s="1065"/>
      <c r="E537" s="1087"/>
      <c r="F537" s="1087"/>
      <c r="G537" s="1087"/>
      <c r="H537" s="1094">
        <f>+SUM(H527:H536)</f>
        <v>100.17</v>
      </c>
    </row>
    <row r="538" spans="1:8">
      <c r="A538" s="1059"/>
      <c r="B538" s="1065"/>
      <c r="C538" s="1065"/>
      <c r="D538" s="1065"/>
      <c r="E538" s="1087"/>
      <c r="F538" s="1072" t="s">
        <v>4121</v>
      </c>
      <c r="G538" s="1073">
        <f>ROUNDUP(H537,1)</f>
        <v>100.2</v>
      </c>
      <c r="H538" s="1074" t="s">
        <v>2199</v>
      </c>
    </row>
    <row r="539" spans="1:8">
      <c r="A539" s="1059"/>
      <c r="B539" s="1067" t="s">
        <v>5233</v>
      </c>
      <c r="C539" s="1065"/>
      <c r="D539" s="1065"/>
      <c r="E539" s="1087"/>
      <c r="F539" s="1087"/>
      <c r="G539" s="1087"/>
      <c r="H539" s="1087"/>
    </row>
    <row r="540" spans="1:8">
      <c r="A540" s="1059"/>
      <c r="B540" s="1065" t="s">
        <v>5260</v>
      </c>
      <c r="C540" s="1065">
        <v>1</v>
      </c>
      <c r="D540" s="1065">
        <v>1</v>
      </c>
      <c r="E540" s="1087">
        <v>112.3</v>
      </c>
      <c r="F540" s="1087"/>
      <c r="G540" s="1087">
        <v>1.2</v>
      </c>
      <c r="H540" s="1087">
        <f>PRODUCT(C540:G540)</f>
        <v>134.76</v>
      </c>
    </row>
    <row r="541" spans="1:8">
      <c r="A541" s="1059"/>
      <c r="B541" s="1065" t="s">
        <v>5261</v>
      </c>
      <c r="C541" s="1065">
        <v>-1</v>
      </c>
      <c r="D541" s="1065">
        <v>40</v>
      </c>
      <c r="E541" s="1087">
        <v>0.23</v>
      </c>
      <c r="F541" s="1087"/>
      <c r="G541" s="1087">
        <v>1.2</v>
      </c>
      <c r="H541" s="1087">
        <f>PRODUCT(C541:G541)</f>
        <v>-11.04</v>
      </c>
    </row>
    <row r="542" spans="1:8">
      <c r="A542" s="1059"/>
      <c r="B542" s="1065" t="s">
        <v>5262</v>
      </c>
      <c r="C542" s="1065"/>
      <c r="D542" s="1065"/>
      <c r="E542" s="1087"/>
      <c r="F542" s="1087"/>
      <c r="G542" s="1087"/>
      <c r="H542" s="1087"/>
    </row>
    <row r="543" spans="1:8">
      <c r="A543" s="1059"/>
      <c r="B543" s="1065"/>
      <c r="C543" s="1065"/>
      <c r="D543" s="1065"/>
      <c r="E543" s="1087"/>
      <c r="F543" s="1087"/>
      <c r="G543" s="1087"/>
      <c r="H543" s="1087">
        <f>+SUM(H540:H542)</f>
        <v>123.72</v>
      </c>
    </row>
    <row r="544" spans="1:8">
      <c r="A544" s="1059"/>
      <c r="B544" s="1065"/>
      <c r="C544" s="1065"/>
      <c r="D544" s="1065"/>
      <c r="E544" s="1087"/>
      <c r="F544" s="1072" t="s">
        <v>4121</v>
      </c>
      <c r="G544" s="1073">
        <f>ROUNDUP(H543,1)</f>
        <v>123.8</v>
      </c>
      <c r="H544" s="1074" t="s">
        <v>2199</v>
      </c>
    </row>
    <row r="545" spans="1:8" ht="29.25">
      <c r="A545" s="1059">
        <v>11.5</v>
      </c>
      <c r="B545" s="1075" t="s">
        <v>5263</v>
      </c>
      <c r="C545" s="1061"/>
      <c r="D545" s="1061"/>
      <c r="E545" s="1062"/>
      <c r="F545" s="1062"/>
      <c r="G545" s="1062"/>
      <c r="H545" s="1063"/>
    </row>
    <row r="546" spans="1:8">
      <c r="A546" s="1059"/>
      <c r="B546" s="1075" t="s">
        <v>5141</v>
      </c>
      <c r="C546" s="1061"/>
      <c r="D546" s="1061"/>
      <c r="E546" s="1062"/>
      <c r="F546" s="1062"/>
      <c r="G546" s="1062"/>
      <c r="H546" s="1063"/>
    </row>
    <row r="547" spans="1:8">
      <c r="A547" s="1059"/>
      <c r="B547" s="1065" t="s">
        <v>5167</v>
      </c>
      <c r="C547" s="1066">
        <v>1</v>
      </c>
      <c r="D547" s="1066">
        <v>3</v>
      </c>
      <c r="E547" s="1062">
        <v>0.6</v>
      </c>
      <c r="F547" s="1087"/>
      <c r="G547" s="1087">
        <v>2.1</v>
      </c>
      <c r="H547" s="1087">
        <f>PRODUCT(C547:G547)</f>
        <v>3.78</v>
      </c>
    </row>
    <row r="548" spans="1:8">
      <c r="A548" s="1059"/>
      <c r="B548" s="1065" t="s">
        <v>5264</v>
      </c>
      <c r="C548" s="1066">
        <v>1</v>
      </c>
      <c r="D548" s="1066">
        <v>3</v>
      </c>
      <c r="E548" s="1062">
        <v>0.6</v>
      </c>
      <c r="F548" s="1087"/>
      <c r="G548" s="1087">
        <v>2.1</v>
      </c>
      <c r="H548" s="1087">
        <f>PRODUCT(C548:G548)</f>
        <v>3.78</v>
      </c>
    </row>
    <row r="549" spans="1:8">
      <c r="A549" s="1059"/>
      <c r="B549" s="1065"/>
      <c r="C549" s="1065"/>
      <c r="D549" s="1065"/>
      <c r="E549" s="1087"/>
      <c r="F549" s="1087"/>
      <c r="G549" s="1087"/>
      <c r="H549" s="1094">
        <f>SUM(H547:H548)</f>
        <v>7.56</v>
      </c>
    </row>
    <row r="550" spans="1:8">
      <c r="A550" s="1059" t="s">
        <v>5265</v>
      </c>
      <c r="B550" s="1075" t="s">
        <v>5266</v>
      </c>
      <c r="C550" s="1061"/>
      <c r="D550" s="1061"/>
      <c r="E550" s="1062"/>
      <c r="F550" s="1072" t="s">
        <v>4121</v>
      </c>
      <c r="G550" s="1089">
        <f>ROUNDUP(H549,1)</f>
        <v>7.6</v>
      </c>
      <c r="H550" s="1074" t="s">
        <v>2199</v>
      </c>
    </row>
    <row r="551" spans="1:8">
      <c r="A551" s="1059"/>
      <c r="B551" s="1076" t="s">
        <v>5267</v>
      </c>
      <c r="C551" s="1061">
        <v>2</v>
      </c>
      <c r="D551" s="1061">
        <v>3</v>
      </c>
      <c r="E551" s="1062">
        <v>0.45</v>
      </c>
      <c r="F551" s="1072"/>
      <c r="G551" s="1109">
        <v>2.1</v>
      </c>
      <c r="H551" s="1087">
        <f>PRODUCT(C551:G551)</f>
        <v>5.67</v>
      </c>
    </row>
    <row r="552" spans="1:8">
      <c r="A552" s="1059"/>
      <c r="B552" s="1076" t="s">
        <v>5268</v>
      </c>
      <c r="C552" s="1061">
        <v>1</v>
      </c>
      <c r="D552" s="1061">
        <v>3</v>
      </c>
      <c r="E552" s="1062">
        <v>0.45</v>
      </c>
      <c r="F552" s="1072"/>
      <c r="G552" s="1109">
        <v>2.1</v>
      </c>
      <c r="H552" s="1087">
        <f>PRODUCT(C552:G552)</f>
        <v>2.84</v>
      </c>
    </row>
    <row r="553" spans="1:8">
      <c r="A553" s="1059"/>
      <c r="B553" s="1076" t="s">
        <v>5269</v>
      </c>
      <c r="C553" s="1061">
        <v>1</v>
      </c>
      <c r="D553" s="1061">
        <v>4</v>
      </c>
      <c r="E553" s="1062">
        <v>0.45</v>
      </c>
      <c r="F553" s="1072"/>
      <c r="G553" s="1109">
        <v>2.1</v>
      </c>
      <c r="H553" s="1087">
        <f>PRODUCT(C553:G553)</f>
        <v>3.78</v>
      </c>
    </row>
    <row r="554" spans="1:8">
      <c r="A554" s="1059"/>
      <c r="B554" s="1076" t="s">
        <v>5270</v>
      </c>
      <c r="C554" s="1061">
        <v>2</v>
      </c>
      <c r="D554" s="1061">
        <v>2</v>
      </c>
      <c r="E554" s="1062">
        <v>0.6</v>
      </c>
      <c r="F554" s="1072"/>
      <c r="G554" s="1109">
        <v>1</v>
      </c>
      <c r="H554" s="1087">
        <f>PRODUCT(C554:G554)</f>
        <v>2.4</v>
      </c>
    </row>
    <row r="555" spans="1:8">
      <c r="A555" s="1059"/>
      <c r="B555" s="1076" t="s">
        <v>5271</v>
      </c>
      <c r="C555" s="1061">
        <v>2</v>
      </c>
      <c r="D555" s="1061">
        <v>4</v>
      </c>
      <c r="E555" s="1062">
        <v>0.45</v>
      </c>
      <c r="F555" s="1072"/>
      <c r="G555" s="1109">
        <v>2.1</v>
      </c>
      <c r="H555" s="1087">
        <f>PRODUCT(C555:G555)</f>
        <v>7.56</v>
      </c>
    </row>
    <row r="556" spans="1:8">
      <c r="A556" s="1059"/>
      <c r="B556" s="1076"/>
      <c r="C556" s="1061"/>
      <c r="D556" s="1061"/>
      <c r="E556" s="1062"/>
      <c r="F556" s="1062"/>
      <c r="G556" s="1062"/>
      <c r="H556" s="1077">
        <f>+SUM(H551:H555)</f>
        <v>22.25</v>
      </c>
    </row>
    <row r="557" spans="1:8">
      <c r="A557" s="1059"/>
      <c r="B557" s="1076"/>
      <c r="C557" s="1061"/>
      <c r="D557" s="1061"/>
      <c r="E557" s="1062"/>
      <c r="F557" s="1095" t="s">
        <v>4121</v>
      </c>
      <c r="G557" s="1096">
        <f>ROUNDUP(H556,1)</f>
        <v>22.3</v>
      </c>
      <c r="H557" s="1097" t="s">
        <v>2199</v>
      </c>
    </row>
    <row r="558" spans="1:8">
      <c r="A558" s="1059"/>
      <c r="B558" s="1075" t="s">
        <v>5272</v>
      </c>
      <c r="C558" s="1061"/>
      <c r="D558" s="1061"/>
      <c r="E558" s="1062"/>
      <c r="F558" s="1095"/>
      <c r="G558" s="1096"/>
      <c r="H558" s="1097"/>
    </row>
    <row r="559" spans="1:8">
      <c r="A559" s="1059"/>
      <c r="B559" s="1076" t="s">
        <v>5227</v>
      </c>
      <c r="C559" s="1061">
        <v>1</v>
      </c>
      <c r="D559" s="1061">
        <v>8</v>
      </c>
      <c r="E559" s="1062">
        <v>0.6</v>
      </c>
      <c r="F559" s="1095"/>
      <c r="G559" s="1098">
        <v>2.1</v>
      </c>
      <c r="H559" s="1087">
        <f>PRODUCT(C559:G559)</f>
        <v>10.08</v>
      </c>
    </row>
    <row r="560" spans="1:8">
      <c r="A560" s="1059"/>
      <c r="B560" s="1076" t="s">
        <v>5273</v>
      </c>
      <c r="C560" s="1061">
        <v>1</v>
      </c>
      <c r="D560" s="1061">
        <v>8</v>
      </c>
      <c r="E560" s="1062">
        <v>0.6</v>
      </c>
      <c r="F560" s="1095"/>
      <c r="G560" s="1098">
        <v>2.1</v>
      </c>
      <c r="H560" s="1087">
        <f>PRODUCT(C560:G560)</f>
        <v>10.08</v>
      </c>
    </row>
    <row r="561" spans="1:8">
      <c r="A561" s="1059"/>
      <c r="B561" s="1076" t="s">
        <v>5274</v>
      </c>
      <c r="C561" s="1061">
        <v>1</v>
      </c>
      <c r="D561" s="1061">
        <v>4</v>
      </c>
      <c r="E561" s="1062">
        <v>0.6</v>
      </c>
      <c r="F561" s="1095"/>
      <c r="G561" s="1098">
        <v>2.1</v>
      </c>
      <c r="H561" s="1087">
        <f>PRODUCT(C561:G561)</f>
        <v>5.04</v>
      </c>
    </row>
    <row r="562" spans="1:8">
      <c r="A562" s="1059"/>
      <c r="B562" s="1076"/>
      <c r="C562" s="1061"/>
      <c r="D562" s="1061"/>
      <c r="E562" s="1062"/>
      <c r="F562" s="1095"/>
      <c r="G562" s="1098"/>
      <c r="H562" s="1097">
        <f>+SUM(H559:H561)</f>
        <v>25.2</v>
      </c>
    </row>
    <row r="563" spans="1:8">
      <c r="A563" s="1059"/>
      <c r="B563" s="1076"/>
      <c r="C563" s="1061"/>
      <c r="D563" s="1061"/>
      <c r="E563" s="1062"/>
      <c r="F563" s="1095" t="s">
        <v>4121</v>
      </c>
      <c r="G563" s="1096">
        <f>ROUNDUP(H562,1)</f>
        <v>25.2</v>
      </c>
      <c r="H563" s="1097" t="s">
        <v>2199</v>
      </c>
    </row>
    <row r="564" spans="1:8">
      <c r="A564" s="1059"/>
      <c r="B564" s="1076"/>
      <c r="C564" s="1061"/>
      <c r="D564" s="1061"/>
      <c r="E564" s="1062"/>
      <c r="F564" s="1095"/>
      <c r="G564" s="1096"/>
      <c r="H564" s="1097"/>
    </row>
    <row r="565" spans="1:8">
      <c r="A565" s="1059">
        <v>13.1</v>
      </c>
      <c r="B565" s="1076" t="s">
        <v>1025</v>
      </c>
      <c r="C565" s="1061"/>
      <c r="D565" s="1061"/>
      <c r="E565" s="1062"/>
      <c r="F565" s="1095"/>
      <c r="G565" s="1096"/>
      <c r="H565" s="1097"/>
    </row>
    <row r="566" spans="1:8">
      <c r="A566" s="1065"/>
      <c r="B566" s="1067" t="s">
        <v>5097</v>
      </c>
      <c r="C566" s="1066"/>
      <c r="D566" s="1066"/>
      <c r="E566" s="1066"/>
      <c r="F566" s="1066"/>
      <c r="G566" s="1066"/>
      <c r="H566" s="1062"/>
    </row>
    <row r="567" spans="1:8">
      <c r="A567" s="1065"/>
      <c r="B567" s="1065" t="s">
        <v>5064</v>
      </c>
      <c r="C567" s="1066">
        <v>1</v>
      </c>
      <c r="D567" s="1066">
        <v>3</v>
      </c>
      <c r="E567" s="1062">
        <v>1.2</v>
      </c>
      <c r="F567" s="1062">
        <v>1.2</v>
      </c>
      <c r="G567" s="1062">
        <v>0.3</v>
      </c>
      <c r="H567" s="1062">
        <f>PRODUCT(C567:G567)</f>
        <v>1.3</v>
      </c>
    </row>
    <row r="568" spans="1:8">
      <c r="A568" s="1065"/>
      <c r="B568" s="1065" t="s">
        <v>5065</v>
      </c>
      <c r="C568" s="1066">
        <v>1</v>
      </c>
      <c r="D568" s="1066">
        <v>4</v>
      </c>
      <c r="E568" s="1062">
        <v>1</v>
      </c>
      <c r="F568" s="1062">
        <v>1</v>
      </c>
      <c r="G568" s="1062">
        <v>0.3</v>
      </c>
      <c r="H568" s="1062">
        <f t="shared" ref="H568:H573" si="24">PRODUCT(C568:G568)</f>
        <v>1.2</v>
      </c>
    </row>
    <row r="569" spans="1:8">
      <c r="A569" s="1065"/>
      <c r="B569" s="1065" t="s">
        <v>5066</v>
      </c>
      <c r="C569" s="1066">
        <v>1</v>
      </c>
      <c r="D569" s="1066">
        <v>13</v>
      </c>
      <c r="E569" s="1062">
        <v>1.35</v>
      </c>
      <c r="F569" s="1062">
        <v>1.35</v>
      </c>
      <c r="G569" s="1068">
        <v>0.375</v>
      </c>
      <c r="H569" s="1062">
        <f t="shared" si="24"/>
        <v>8.8800000000000008</v>
      </c>
    </row>
    <row r="570" spans="1:8">
      <c r="A570" s="1065"/>
      <c r="B570" s="1065" t="s">
        <v>5067</v>
      </c>
      <c r="C570" s="1066">
        <v>1</v>
      </c>
      <c r="D570" s="1066">
        <v>11</v>
      </c>
      <c r="E570" s="1062">
        <v>1.65</v>
      </c>
      <c r="F570" s="1062">
        <v>1.65</v>
      </c>
      <c r="G570" s="1062">
        <v>0.45</v>
      </c>
      <c r="H570" s="1062">
        <f t="shared" si="24"/>
        <v>13.48</v>
      </c>
    </row>
    <row r="571" spans="1:8">
      <c r="A571" s="1065"/>
      <c r="B571" s="1065" t="s">
        <v>5068</v>
      </c>
      <c r="C571" s="1066">
        <v>1</v>
      </c>
      <c r="D571" s="1066">
        <v>6</v>
      </c>
      <c r="E571" s="1062">
        <v>1.8</v>
      </c>
      <c r="F571" s="1062">
        <v>1.8</v>
      </c>
      <c r="G571" s="1068">
        <v>0.52500000000000002</v>
      </c>
      <c r="H571" s="1062">
        <f t="shared" si="24"/>
        <v>10.210000000000001</v>
      </c>
    </row>
    <row r="572" spans="1:8">
      <c r="A572" s="1065"/>
      <c r="B572" s="1065" t="s">
        <v>5069</v>
      </c>
      <c r="C572" s="1066">
        <v>1</v>
      </c>
      <c r="D572" s="1066">
        <v>12</v>
      </c>
      <c r="E572" s="1062">
        <v>2.1</v>
      </c>
      <c r="F572" s="1062">
        <v>2.1</v>
      </c>
      <c r="G572" s="1062">
        <v>0.6</v>
      </c>
      <c r="H572" s="1062">
        <f t="shared" si="24"/>
        <v>31.75</v>
      </c>
    </row>
    <row r="573" spans="1:8">
      <c r="A573" s="1065"/>
      <c r="B573" s="1065" t="s">
        <v>5070</v>
      </c>
      <c r="C573" s="1066">
        <v>1</v>
      </c>
      <c r="D573" s="1066">
        <v>1</v>
      </c>
      <c r="E573" s="1062">
        <v>3.3</v>
      </c>
      <c r="F573" s="1062">
        <v>3.3</v>
      </c>
      <c r="G573" s="1062">
        <v>0.45</v>
      </c>
      <c r="H573" s="1062">
        <f t="shared" si="24"/>
        <v>4.9000000000000004</v>
      </c>
    </row>
    <row r="574" spans="1:8">
      <c r="A574" s="1065"/>
      <c r="B574" s="1067" t="s">
        <v>5106</v>
      </c>
      <c r="C574" s="1066"/>
      <c r="D574" s="1066"/>
      <c r="E574" s="1066"/>
      <c r="F574" s="1066"/>
      <c r="G574" s="1066"/>
      <c r="H574" s="1062"/>
    </row>
    <row r="575" spans="1:8">
      <c r="A575" s="1065"/>
      <c r="B575" s="1065" t="s">
        <v>5107</v>
      </c>
      <c r="C575" s="1066">
        <v>1</v>
      </c>
      <c r="D575" s="1066">
        <v>3</v>
      </c>
      <c r="E575" s="1066">
        <v>0.23</v>
      </c>
      <c r="F575" s="1062">
        <v>0.38</v>
      </c>
      <c r="G575" s="1068">
        <v>1</v>
      </c>
      <c r="H575" s="1062">
        <f t="shared" ref="H575:H584" si="25">PRODUCT(C575:G575)</f>
        <v>0.26</v>
      </c>
    </row>
    <row r="576" spans="1:8">
      <c r="A576" s="1065"/>
      <c r="B576" s="1065" t="s">
        <v>5108</v>
      </c>
      <c r="C576" s="1066">
        <v>1</v>
      </c>
      <c r="D576" s="1066">
        <v>7</v>
      </c>
      <c r="E576" s="1066">
        <v>0.23</v>
      </c>
      <c r="F576" s="1062">
        <v>0.38</v>
      </c>
      <c r="G576" s="1068">
        <v>0.92500000000000004</v>
      </c>
      <c r="H576" s="1062">
        <f t="shared" si="25"/>
        <v>0.56999999999999995</v>
      </c>
    </row>
    <row r="577" spans="1:8">
      <c r="A577" s="1065"/>
      <c r="B577" s="1065" t="s">
        <v>5109</v>
      </c>
      <c r="C577" s="1066">
        <v>1</v>
      </c>
      <c r="D577" s="1066">
        <v>6</v>
      </c>
      <c r="E577" s="1066">
        <v>0.23</v>
      </c>
      <c r="F577" s="1062">
        <v>0.45</v>
      </c>
      <c r="G577" s="1068">
        <v>0.92500000000000004</v>
      </c>
      <c r="H577" s="1062">
        <f t="shared" si="25"/>
        <v>0.56999999999999995</v>
      </c>
    </row>
    <row r="578" spans="1:8">
      <c r="A578" s="1065"/>
      <c r="B578" s="1065" t="s">
        <v>5110</v>
      </c>
      <c r="C578" s="1066">
        <v>1</v>
      </c>
      <c r="D578" s="1066">
        <v>1</v>
      </c>
      <c r="E578" s="1066">
        <v>0.23</v>
      </c>
      <c r="F578" s="1062">
        <v>0.38</v>
      </c>
      <c r="G578" s="1068">
        <v>0.85</v>
      </c>
      <c r="H578" s="1062">
        <f t="shared" si="25"/>
        <v>7.0000000000000007E-2</v>
      </c>
    </row>
    <row r="579" spans="1:8">
      <c r="A579" s="1065"/>
      <c r="B579" s="1065" t="s">
        <v>5111</v>
      </c>
      <c r="C579" s="1066">
        <v>1</v>
      </c>
      <c r="D579" s="1066">
        <v>10</v>
      </c>
      <c r="E579" s="1066">
        <v>0.23</v>
      </c>
      <c r="F579" s="1062">
        <v>0.45</v>
      </c>
      <c r="G579" s="1068">
        <v>0.85</v>
      </c>
      <c r="H579" s="1062">
        <f t="shared" si="25"/>
        <v>0.88</v>
      </c>
    </row>
    <row r="580" spans="1:8">
      <c r="A580" s="1065"/>
      <c r="B580" s="1065" t="s">
        <v>5112</v>
      </c>
      <c r="C580" s="1066">
        <v>1</v>
      </c>
      <c r="D580" s="1066">
        <v>6</v>
      </c>
      <c r="E580" s="1066">
        <v>0.23</v>
      </c>
      <c r="F580" s="1062">
        <v>0.45</v>
      </c>
      <c r="G580" s="1068">
        <v>0.77500000000000002</v>
      </c>
      <c r="H580" s="1062">
        <f t="shared" si="25"/>
        <v>0.48</v>
      </c>
    </row>
    <row r="581" spans="1:8">
      <c r="A581" s="1065"/>
      <c r="B581" s="1065" t="s">
        <v>5113</v>
      </c>
      <c r="C581" s="1066">
        <v>1</v>
      </c>
      <c r="D581" s="1066">
        <v>12</v>
      </c>
      <c r="E581" s="1062">
        <v>0.3</v>
      </c>
      <c r="F581" s="1062">
        <v>0.45</v>
      </c>
      <c r="G581" s="1068">
        <v>0.7</v>
      </c>
      <c r="H581" s="1062">
        <f t="shared" si="25"/>
        <v>1.1299999999999999</v>
      </c>
    </row>
    <row r="582" spans="1:8">
      <c r="A582" s="1065"/>
      <c r="B582" s="1065" t="s">
        <v>5114</v>
      </c>
      <c r="C582" s="1066">
        <v>1</v>
      </c>
      <c r="D582" s="1066">
        <v>3</v>
      </c>
      <c r="E582" s="1066">
        <v>0.23</v>
      </c>
      <c r="F582" s="1062">
        <v>0.38</v>
      </c>
      <c r="G582" s="1068">
        <v>0.85</v>
      </c>
      <c r="H582" s="1062">
        <f t="shared" si="25"/>
        <v>0.22</v>
      </c>
    </row>
    <row r="583" spans="1:8">
      <c r="A583" s="1065"/>
      <c r="B583" s="1065" t="s">
        <v>5115</v>
      </c>
      <c r="C583" s="1066">
        <v>1</v>
      </c>
      <c r="D583" s="1066">
        <v>1</v>
      </c>
      <c r="E583" s="1066">
        <v>0.23</v>
      </c>
      <c r="F583" s="1062">
        <v>0.45</v>
      </c>
      <c r="G583" s="1068">
        <v>0.85</v>
      </c>
      <c r="H583" s="1062">
        <f t="shared" si="25"/>
        <v>0.09</v>
      </c>
    </row>
    <row r="584" spans="1:8">
      <c r="A584" s="1065"/>
      <c r="B584" s="1065" t="s">
        <v>5104</v>
      </c>
      <c r="C584" s="1066">
        <v>1</v>
      </c>
      <c r="D584" s="1066">
        <v>4</v>
      </c>
      <c r="E584" s="1066">
        <v>0.23</v>
      </c>
      <c r="F584" s="1062">
        <v>0.38</v>
      </c>
      <c r="G584" s="1068">
        <v>1</v>
      </c>
      <c r="H584" s="1062">
        <f t="shared" si="25"/>
        <v>0.35</v>
      </c>
    </row>
    <row r="585" spans="1:8">
      <c r="A585" s="1065"/>
      <c r="B585" s="1082" t="s">
        <v>5071</v>
      </c>
      <c r="C585" s="1066"/>
      <c r="D585" s="1066"/>
      <c r="E585" s="1068"/>
      <c r="F585" s="1066"/>
      <c r="G585" s="1066"/>
      <c r="H585" s="1062"/>
    </row>
    <row r="586" spans="1:8">
      <c r="A586" s="1065"/>
      <c r="B586" s="1069" t="s">
        <v>5990</v>
      </c>
      <c r="C586" s="1066">
        <v>1</v>
      </c>
      <c r="D586" s="1066">
        <v>1</v>
      </c>
      <c r="E586" s="1068">
        <v>47.24</v>
      </c>
      <c r="F586" s="1066">
        <v>0.23</v>
      </c>
      <c r="G586" s="1062">
        <v>0.4</v>
      </c>
      <c r="H586" s="1062">
        <f t="shared" ref="H586:H611" si="26">PRODUCT(C586:G586)</f>
        <v>4.3499999999999996</v>
      </c>
    </row>
    <row r="587" spans="1:8">
      <c r="A587" s="1065"/>
      <c r="B587" s="1069" t="s">
        <v>6002</v>
      </c>
      <c r="C587" s="1066">
        <v>1</v>
      </c>
      <c r="D587" s="1066">
        <v>1</v>
      </c>
      <c r="E587" s="1068">
        <v>69.16</v>
      </c>
      <c r="F587" s="1066">
        <v>0.23</v>
      </c>
      <c r="G587" s="1062">
        <v>0.4</v>
      </c>
      <c r="H587" s="1062">
        <f t="shared" si="26"/>
        <v>6.36</v>
      </c>
    </row>
    <row r="588" spans="1:8">
      <c r="A588" s="1065"/>
      <c r="B588" s="1069" t="s">
        <v>5991</v>
      </c>
      <c r="C588" s="1066">
        <v>1</v>
      </c>
      <c r="D588" s="1066">
        <v>8</v>
      </c>
      <c r="E588" s="1068">
        <v>4.38</v>
      </c>
      <c r="F588" s="1066">
        <v>0.23</v>
      </c>
      <c r="G588" s="1062">
        <v>0.4</v>
      </c>
      <c r="H588" s="1062">
        <f t="shared" si="26"/>
        <v>3.22</v>
      </c>
    </row>
    <row r="589" spans="1:8">
      <c r="A589" s="1065"/>
      <c r="B589" s="1069" t="s">
        <v>5992</v>
      </c>
      <c r="C589" s="1066">
        <v>1</v>
      </c>
      <c r="D589" s="1066">
        <v>1</v>
      </c>
      <c r="E589" s="1068">
        <v>13.11</v>
      </c>
      <c r="F589" s="1066">
        <v>0.23</v>
      </c>
      <c r="G589" s="1062">
        <v>0.4</v>
      </c>
      <c r="H589" s="1062">
        <f t="shared" si="26"/>
        <v>1.21</v>
      </c>
    </row>
    <row r="590" spans="1:8">
      <c r="A590" s="1065"/>
      <c r="B590" s="1069" t="s">
        <v>5993</v>
      </c>
      <c r="C590" s="1066">
        <v>1</v>
      </c>
      <c r="D590" s="1066">
        <v>1</v>
      </c>
      <c r="E590" s="1068">
        <v>4.95</v>
      </c>
      <c r="F590" s="1066">
        <v>0.23</v>
      </c>
      <c r="G590" s="1062">
        <v>0.4</v>
      </c>
      <c r="H590" s="1062">
        <f t="shared" si="26"/>
        <v>0.46</v>
      </c>
    </row>
    <row r="591" spans="1:8">
      <c r="A591" s="1065"/>
      <c r="B591" s="1069" t="s">
        <v>5994</v>
      </c>
      <c r="C591" s="1066">
        <v>1</v>
      </c>
      <c r="D591" s="1066">
        <v>2</v>
      </c>
      <c r="E591" s="1068">
        <v>1.94</v>
      </c>
      <c r="F591" s="1066">
        <v>0.23</v>
      </c>
      <c r="G591" s="1062">
        <v>0.4</v>
      </c>
      <c r="H591" s="1062">
        <f t="shared" si="26"/>
        <v>0.36</v>
      </c>
    </row>
    <row r="592" spans="1:8">
      <c r="A592" s="1065"/>
      <c r="B592" s="1069" t="s">
        <v>5995</v>
      </c>
      <c r="C592" s="1066">
        <v>1</v>
      </c>
      <c r="D592" s="1066">
        <v>5</v>
      </c>
      <c r="E592" s="1068">
        <v>9.2100000000000009</v>
      </c>
      <c r="F592" s="1066">
        <v>0.23</v>
      </c>
      <c r="G592" s="1062">
        <v>0.4</v>
      </c>
      <c r="H592" s="1062">
        <f t="shared" si="26"/>
        <v>4.24</v>
      </c>
    </row>
    <row r="593" spans="1:8">
      <c r="A593" s="1065"/>
      <c r="B593" s="1069" t="s">
        <v>5996</v>
      </c>
      <c r="C593" s="1066">
        <v>1</v>
      </c>
      <c r="D593" s="1066">
        <v>2</v>
      </c>
      <c r="E593" s="1068">
        <v>3.62</v>
      </c>
      <c r="F593" s="1066">
        <v>0.23</v>
      </c>
      <c r="G593" s="1062">
        <v>0.4</v>
      </c>
      <c r="H593" s="1062">
        <f t="shared" si="26"/>
        <v>0.67</v>
      </c>
    </row>
    <row r="594" spans="1:8">
      <c r="A594" s="1065"/>
      <c r="B594" s="1069" t="s">
        <v>5996</v>
      </c>
      <c r="C594" s="1066">
        <v>1</v>
      </c>
      <c r="D594" s="1066">
        <v>2</v>
      </c>
      <c r="E594" s="1068">
        <v>3.73</v>
      </c>
      <c r="F594" s="1066">
        <v>0.23</v>
      </c>
      <c r="G594" s="1062">
        <v>0.4</v>
      </c>
      <c r="H594" s="1062">
        <f t="shared" si="26"/>
        <v>0.69</v>
      </c>
    </row>
    <row r="595" spans="1:8">
      <c r="A595" s="1065"/>
      <c r="B595" s="1069" t="s">
        <v>5996</v>
      </c>
      <c r="C595" s="1066">
        <v>1</v>
      </c>
      <c r="D595" s="1066">
        <v>2</v>
      </c>
      <c r="E595" s="1068">
        <v>3.68</v>
      </c>
      <c r="F595" s="1066">
        <v>0.23</v>
      </c>
      <c r="G595" s="1062">
        <v>0.4</v>
      </c>
      <c r="H595" s="1062">
        <f t="shared" si="26"/>
        <v>0.68</v>
      </c>
    </row>
    <row r="596" spans="1:8">
      <c r="A596" s="1065"/>
      <c r="B596" s="1069" t="s">
        <v>5996</v>
      </c>
      <c r="C596" s="1066">
        <v>1</v>
      </c>
      <c r="D596" s="1066">
        <v>2</v>
      </c>
      <c r="E596" s="1068">
        <v>3.86</v>
      </c>
      <c r="F596" s="1066">
        <v>0.23</v>
      </c>
      <c r="G596" s="1062">
        <v>0.4</v>
      </c>
      <c r="H596" s="1062">
        <f t="shared" si="26"/>
        <v>0.71</v>
      </c>
    </row>
    <row r="597" spans="1:8">
      <c r="A597" s="1065"/>
      <c r="B597" s="1069" t="s">
        <v>5996</v>
      </c>
      <c r="C597" s="1066">
        <v>1</v>
      </c>
      <c r="D597" s="1066">
        <v>2</v>
      </c>
      <c r="E597" s="1068">
        <v>4.68</v>
      </c>
      <c r="F597" s="1066">
        <v>0.23</v>
      </c>
      <c r="G597" s="1062">
        <v>0.4</v>
      </c>
      <c r="H597" s="1062">
        <f t="shared" si="26"/>
        <v>0.86</v>
      </c>
    </row>
    <row r="598" spans="1:8">
      <c r="A598" s="1065"/>
      <c r="B598" s="1069" t="s">
        <v>5996</v>
      </c>
      <c r="C598" s="1066">
        <v>1</v>
      </c>
      <c r="D598" s="1066">
        <v>2</v>
      </c>
      <c r="E598" s="1068">
        <v>3.77</v>
      </c>
      <c r="F598" s="1066">
        <v>0.23</v>
      </c>
      <c r="G598" s="1062">
        <v>0.4</v>
      </c>
      <c r="H598" s="1062">
        <f t="shared" si="26"/>
        <v>0.69</v>
      </c>
    </row>
    <row r="599" spans="1:8">
      <c r="A599" s="1065"/>
      <c r="B599" s="1069" t="s">
        <v>5997</v>
      </c>
      <c r="C599" s="1066">
        <v>1</v>
      </c>
      <c r="D599" s="1066">
        <v>2</v>
      </c>
      <c r="E599" s="1068">
        <v>1.8</v>
      </c>
      <c r="F599" s="1066">
        <v>0.23</v>
      </c>
      <c r="G599" s="1062">
        <v>0.4</v>
      </c>
      <c r="H599" s="1062">
        <f t="shared" si="26"/>
        <v>0.33</v>
      </c>
    </row>
    <row r="600" spans="1:8">
      <c r="A600" s="1065"/>
      <c r="B600" s="1069" t="s">
        <v>6003</v>
      </c>
      <c r="C600" s="1066">
        <v>1</v>
      </c>
      <c r="D600" s="1066">
        <v>1</v>
      </c>
      <c r="E600" s="1068">
        <v>3.66</v>
      </c>
      <c r="F600" s="1066">
        <v>0.23</v>
      </c>
      <c r="G600" s="1062">
        <v>0.4</v>
      </c>
      <c r="H600" s="1062">
        <f t="shared" si="26"/>
        <v>0.34</v>
      </c>
    </row>
    <row r="601" spans="1:8">
      <c r="A601" s="1065"/>
      <c r="B601" s="1069" t="s">
        <v>6004</v>
      </c>
      <c r="C601" s="1066">
        <v>1</v>
      </c>
      <c r="D601" s="1066">
        <v>2</v>
      </c>
      <c r="E601" s="1068">
        <v>4.7</v>
      </c>
      <c r="F601" s="1066">
        <v>0.23</v>
      </c>
      <c r="G601" s="1062">
        <v>0.4</v>
      </c>
      <c r="H601" s="1062">
        <f t="shared" si="26"/>
        <v>0.86</v>
      </c>
    </row>
    <row r="602" spans="1:8">
      <c r="A602" s="1065"/>
      <c r="B602" s="1069" t="s">
        <v>6004</v>
      </c>
      <c r="C602" s="1066">
        <v>1</v>
      </c>
      <c r="D602" s="1066">
        <v>1</v>
      </c>
      <c r="E602" s="1068">
        <v>3.66</v>
      </c>
      <c r="F602" s="1066">
        <v>0.23</v>
      </c>
      <c r="G602" s="1062">
        <v>0.4</v>
      </c>
      <c r="H602" s="1062">
        <f t="shared" si="26"/>
        <v>0.34</v>
      </c>
    </row>
    <row r="603" spans="1:8">
      <c r="A603" s="1065"/>
      <c r="B603" s="1069" t="s">
        <v>6004</v>
      </c>
      <c r="C603" s="1066">
        <v>1</v>
      </c>
      <c r="D603" s="1066">
        <v>1</v>
      </c>
      <c r="E603" s="1068">
        <v>3.6</v>
      </c>
      <c r="F603" s="1066">
        <v>0.23</v>
      </c>
      <c r="G603" s="1062">
        <v>0.4</v>
      </c>
      <c r="H603" s="1062">
        <f t="shared" si="26"/>
        <v>0.33</v>
      </c>
    </row>
    <row r="604" spans="1:8">
      <c r="A604" s="1065"/>
      <c r="B604" s="1069" t="s">
        <v>5998</v>
      </c>
      <c r="C604" s="1066">
        <v>1</v>
      </c>
      <c r="D604" s="1066">
        <v>1</v>
      </c>
      <c r="E604" s="1068">
        <v>8.4700000000000006</v>
      </c>
      <c r="F604" s="1066">
        <v>0.23</v>
      </c>
      <c r="G604" s="1062">
        <v>0.4</v>
      </c>
      <c r="H604" s="1062">
        <f t="shared" si="26"/>
        <v>0.78</v>
      </c>
    </row>
    <row r="605" spans="1:8">
      <c r="A605" s="1065"/>
      <c r="B605" s="1069" t="s">
        <v>5999</v>
      </c>
      <c r="C605" s="1066">
        <v>1</v>
      </c>
      <c r="D605" s="1066">
        <v>2</v>
      </c>
      <c r="E605" s="1068">
        <v>7.26</v>
      </c>
      <c r="F605" s="1066">
        <v>0.23</v>
      </c>
      <c r="G605" s="1062">
        <v>0.4</v>
      </c>
      <c r="H605" s="1062">
        <f t="shared" si="26"/>
        <v>1.34</v>
      </c>
    </row>
    <row r="606" spans="1:8">
      <c r="A606" s="1065"/>
      <c r="B606" s="1069" t="s">
        <v>5998</v>
      </c>
      <c r="C606" s="1066">
        <v>1</v>
      </c>
      <c r="D606" s="1066">
        <v>1</v>
      </c>
      <c r="E606" s="1068">
        <v>11.77</v>
      </c>
      <c r="F606" s="1066">
        <v>0.23</v>
      </c>
      <c r="G606" s="1062">
        <v>0.4</v>
      </c>
      <c r="H606" s="1062">
        <f t="shared" si="26"/>
        <v>1.08</v>
      </c>
    </row>
    <row r="607" spans="1:8">
      <c r="A607" s="1065"/>
      <c r="B607" s="1069" t="s">
        <v>6000</v>
      </c>
      <c r="C607" s="1066">
        <v>1</v>
      </c>
      <c r="D607" s="1066">
        <v>1</v>
      </c>
      <c r="E607" s="1068">
        <v>8.14</v>
      </c>
      <c r="F607" s="1066">
        <v>0.23</v>
      </c>
      <c r="G607" s="1062">
        <v>0.4</v>
      </c>
      <c r="H607" s="1062">
        <f t="shared" si="26"/>
        <v>0.75</v>
      </c>
    </row>
    <row r="608" spans="1:8">
      <c r="A608" s="1065"/>
      <c r="B608" s="1069" t="s">
        <v>6001</v>
      </c>
      <c r="C608" s="1066">
        <v>1</v>
      </c>
      <c r="D608" s="1066">
        <v>1</v>
      </c>
      <c r="E608" s="1068">
        <v>2.1</v>
      </c>
      <c r="F608" s="1066">
        <v>0.23</v>
      </c>
      <c r="G608" s="1062">
        <v>0.4</v>
      </c>
      <c r="H608" s="1062">
        <f t="shared" si="26"/>
        <v>0.19</v>
      </c>
    </row>
    <row r="609" spans="1:8">
      <c r="A609" s="1065"/>
      <c r="B609" s="1069" t="s">
        <v>6001</v>
      </c>
      <c r="C609" s="1066">
        <v>1</v>
      </c>
      <c r="D609" s="1066">
        <v>1</v>
      </c>
      <c r="E609" s="1068">
        <v>4</v>
      </c>
      <c r="F609" s="1066">
        <v>0.23</v>
      </c>
      <c r="G609" s="1062">
        <v>0.4</v>
      </c>
      <c r="H609" s="1062">
        <f t="shared" si="26"/>
        <v>0.37</v>
      </c>
    </row>
    <row r="610" spans="1:8">
      <c r="A610" s="1065"/>
      <c r="B610" s="1082"/>
      <c r="C610" s="1066">
        <v>1</v>
      </c>
      <c r="D610" s="1066">
        <v>1</v>
      </c>
      <c r="E610" s="1068">
        <v>4.82</v>
      </c>
      <c r="F610" s="1066">
        <v>0.23</v>
      </c>
      <c r="G610" s="1062">
        <v>0.4</v>
      </c>
      <c r="H610" s="1062">
        <f t="shared" si="26"/>
        <v>0.44</v>
      </c>
    </row>
    <row r="611" spans="1:8">
      <c r="A611" s="1065"/>
      <c r="B611" s="1069" t="s">
        <v>5081</v>
      </c>
      <c r="C611" s="1066">
        <v>1</v>
      </c>
      <c r="D611" s="1066">
        <v>1</v>
      </c>
      <c r="E611" s="1062">
        <v>13.12</v>
      </c>
      <c r="F611" s="1066">
        <v>0.23</v>
      </c>
      <c r="G611" s="1062">
        <v>0.4</v>
      </c>
      <c r="H611" s="1062">
        <f t="shared" si="26"/>
        <v>1.21</v>
      </c>
    </row>
    <row r="612" spans="1:8">
      <c r="A612" s="1059"/>
      <c r="B612" s="1076"/>
      <c r="C612" s="1061"/>
      <c r="D612" s="1061"/>
      <c r="E612" s="1062"/>
      <c r="F612" s="1095"/>
      <c r="G612" s="1096"/>
      <c r="H612" s="1097">
        <f>SUM(H567:H611)</f>
        <v>109.2</v>
      </c>
    </row>
    <row r="613" spans="1:8">
      <c r="A613" s="1059"/>
      <c r="B613" s="1076"/>
      <c r="C613" s="1061"/>
      <c r="D613" s="1061"/>
      <c r="E613" s="1062"/>
      <c r="F613" s="1095" t="s">
        <v>4121</v>
      </c>
      <c r="G613" s="1096">
        <f>ROUNDUP(H612,1)</f>
        <v>109.2</v>
      </c>
      <c r="H613" s="1097" t="s">
        <v>2199</v>
      </c>
    </row>
    <row r="614" spans="1:8">
      <c r="A614" s="1059"/>
      <c r="B614" s="1076"/>
      <c r="C614" s="1061"/>
      <c r="D614" s="1061"/>
      <c r="E614" s="1062"/>
      <c r="F614" s="1095"/>
      <c r="G614" s="1098"/>
      <c r="H614" s="1097"/>
    </row>
    <row r="615" spans="1:8">
      <c r="A615" s="1059">
        <v>14.1</v>
      </c>
      <c r="B615" s="1075" t="s">
        <v>5275</v>
      </c>
      <c r="C615" s="1061"/>
      <c r="D615" s="1061"/>
      <c r="E615" s="1062"/>
      <c r="F615" s="1072"/>
      <c r="G615" s="1073"/>
      <c r="H615" s="1074"/>
    </row>
    <row r="616" spans="1:8">
      <c r="A616" s="1059" t="s">
        <v>5276</v>
      </c>
      <c r="B616" s="1075" t="s">
        <v>5277</v>
      </c>
      <c r="C616" s="1061"/>
      <c r="D616" s="1061"/>
      <c r="E616" s="1062"/>
      <c r="F616" s="1062"/>
      <c r="G616" s="1062"/>
      <c r="H616" s="1063"/>
    </row>
    <row r="617" spans="1:8">
      <c r="A617" s="1059"/>
      <c r="B617" s="1065" t="s">
        <v>5278</v>
      </c>
      <c r="C617" s="1061">
        <v>1</v>
      </c>
      <c r="D617" s="1061">
        <v>4</v>
      </c>
      <c r="E617" s="1062">
        <v>1.1499999999999999</v>
      </c>
      <c r="F617" s="1062">
        <v>0.6</v>
      </c>
      <c r="G617" s="1062"/>
      <c r="H617" s="1063">
        <f>PRODUCT(C617:G617)</f>
        <v>2.76</v>
      </c>
    </row>
    <row r="618" spans="1:8">
      <c r="A618" s="1059"/>
      <c r="B618" s="1076"/>
      <c r="C618" s="1061"/>
      <c r="D618" s="1061"/>
      <c r="E618" s="1062"/>
      <c r="F618" s="1062"/>
      <c r="G618" s="1062"/>
      <c r="H618" s="1077">
        <f>H617</f>
        <v>2.76</v>
      </c>
    </row>
    <row r="619" spans="1:8">
      <c r="A619" s="1059"/>
      <c r="B619" s="1064"/>
      <c r="C619" s="1061"/>
      <c r="D619" s="1061"/>
      <c r="E619" s="1062"/>
      <c r="F619" s="1095" t="s">
        <v>4121</v>
      </c>
      <c r="G619" s="1099">
        <f>ROUNDUP(H618,1)</f>
        <v>2.8</v>
      </c>
      <c r="H619" s="1097" t="s">
        <v>2199</v>
      </c>
    </row>
    <row r="620" spans="1:8">
      <c r="A620" s="1059" t="s">
        <v>5265</v>
      </c>
      <c r="B620" s="1075" t="s">
        <v>5266</v>
      </c>
      <c r="C620" s="1061"/>
      <c r="D620" s="1061"/>
      <c r="E620" s="1062"/>
      <c r="F620" s="1062"/>
      <c r="G620" s="1062"/>
      <c r="H620" s="1077"/>
    </row>
    <row r="621" spans="1:8">
      <c r="A621" s="1059"/>
      <c r="B621" s="1076" t="s">
        <v>5267</v>
      </c>
      <c r="C621" s="1061">
        <v>2</v>
      </c>
      <c r="D621" s="1061">
        <v>4</v>
      </c>
      <c r="E621" s="1062">
        <v>1.1499999999999999</v>
      </c>
      <c r="F621" s="1062">
        <v>0.6</v>
      </c>
      <c r="G621" s="1062"/>
      <c r="H621" s="1063">
        <f>PRODUCT(C621:G621)</f>
        <v>5.52</v>
      </c>
    </row>
    <row r="622" spans="1:8">
      <c r="A622" s="1059"/>
      <c r="B622" s="1076" t="s">
        <v>5268</v>
      </c>
      <c r="C622" s="1061">
        <v>1</v>
      </c>
      <c r="D622" s="1061">
        <v>4</v>
      </c>
      <c r="E622" s="1062">
        <v>1.1499999999999999</v>
      </c>
      <c r="F622" s="1062">
        <v>0.6</v>
      </c>
      <c r="G622" s="1062"/>
      <c r="H622" s="1063">
        <f>PRODUCT(C622:G622)</f>
        <v>2.76</v>
      </c>
    </row>
    <row r="623" spans="1:8">
      <c r="A623" s="1059"/>
      <c r="B623" s="1076" t="s">
        <v>5269</v>
      </c>
      <c r="C623" s="1061">
        <v>3</v>
      </c>
      <c r="D623" s="1061">
        <v>4</v>
      </c>
      <c r="E623" s="1062">
        <v>1.1499999999999999</v>
      </c>
      <c r="F623" s="1062">
        <v>0.6</v>
      </c>
      <c r="G623" s="1062"/>
      <c r="H623" s="1063">
        <f>PRODUCT(C623:G623)</f>
        <v>8.2799999999999994</v>
      </c>
    </row>
    <row r="624" spans="1:8">
      <c r="A624" s="1059"/>
      <c r="B624" s="1076" t="s">
        <v>5271</v>
      </c>
      <c r="C624" s="1061">
        <v>2</v>
      </c>
      <c r="D624" s="1061">
        <v>16</v>
      </c>
      <c r="E624" s="1062">
        <v>1.1499999999999999</v>
      </c>
      <c r="F624" s="1062">
        <v>0.6</v>
      </c>
      <c r="G624" s="1089"/>
      <c r="H624" s="1063">
        <f>PRODUCT(C624:G624)</f>
        <v>22.08</v>
      </c>
    </row>
    <row r="625" spans="1:8">
      <c r="A625" s="1059"/>
      <c r="B625" s="1064"/>
      <c r="C625" s="1061"/>
      <c r="D625" s="1061"/>
      <c r="E625" s="1062"/>
      <c r="F625" s="1062"/>
      <c r="G625" s="1062"/>
      <c r="H625" s="1077">
        <f>+SUM(H621:H624)</f>
        <v>38.64</v>
      </c>
    </row>
    <row r="626" spans="1:8">
      <c r="A626" s="1059"/>
      <c r="B626" s="1064"/>
      <c r="C626" s="1061"/>
      <c r="D626" s="1061"/>
      <c r="E626" s="1062"/>
      <c r="F626" s="1095" t="s">
        <v>4121</v>
      </c>
      <c r="G626" s="1099">
        <f>ROUNDUP(H625,1)</f>
        <v>38.700000000000003</v>
      </c>
      <c r="H626" s="1097" t="s">
        <v>2199</v>
      </c>
    </row>
    <row r="627" spans="1:8">
      <c r="A627" s="1059"/>
      <c r="B627" s="1060" t="s">
        <v>5272</v>
      </c>
      <c r="C627" s="1061"/>
      <c r="D627" s="1061"/>
      <c r="E627" s="1062"/>
      <c r="F627" s="1062"/>
      <c r="G627" s="1062"/>
      <c r="H627" s="1077"/>
    </row>
    <row r="628" spans="1:8">
      <c r="A628" s="1059"/>
      <c r="B628" s="1076" t="s">
        <v>5227</v>
      </c>
      <c r="C628" s="1061">
        <v>7</v>
      </c>
      <c r="D628" s="1061">
        <v>4</v>
      </c>
      <c r="E628" s="1062">
        <v>1.1499999999999999</v>
      </c>
      <c r="F628" s="1062">
        <v>0.6</v>
      </c>
      <c r="G628" s="1062"/>
      <c r="H628" s="1063">
        <f>PRODUCT(C628:G628)</f>
        <v>19.32</v>
      </c>
    </row>
    <row r="629" spans="1:8">
      <c r="A629" s="1059"/>
      <c r="B629" s="1076" t="s">
        <v>5273</v>
      </c>
      <c r="C629" s="1061">
        <v>7</v>
      </c>
      <c r="D629" s="1061">
        <v>4</v>
      </c>
      <c r="E629" s="1062">
        <v>1.1499999999999999</v>
      </c>
      <c r="F629" s="1062">
        <v>0.6</v>
      </c>
      <c r="G629" s="1062"/>
      <c r="H629" s="1063">
        <f>PRODUCT(C629:G629)</f>
        <v>19.32</v>
      </c>
    </row>
    <row r="630" spans="1:8">
      <c r="A630" s="1059"/>
      <c r="B630" s="1076" t="s">
        <v>5274</v>
      </c>
      <c r="C630" s="1061">
        <v>3</v>
      </c>
      <c r="D630" s="1061">
        <v>4</v>
      </c>
      <c r="E630" s="1062">
        <v>1.1499999999999999</v>
      </c>
      <c r="F630" s="1062">
        <v>0.6</v>
      </c>
      <c r="G630" s="1062"/>
      <c r="H630" s="1063">
        <f>PRODUCT(C630:G630)</f>
        <v>8.2799999999999994</v>
      </c>
    </row>
    <row r="631" spans="1:8">
      <c r="A631" s="1059"/>
      <c r="B631" s="1064"/>
      <c r="C631" s="1061"/>
      <c r="D631" s="1061"/>
      <c r="E631" s="1062"/>
      <c r="F631" s="1062"/>
      <c r="G631" s="1062"/>
      <c r="H631" s="1077">
        <f>+SUM(H628:H630)</f>
        <v>46.92</v>
      </c>
    </row>
    <row r="632" spans="1:8">
      <c r="A632" s="1059"/>
      <c r="B632" s="1064"/>
      <c r="C632" s="1061"/>
      <c r="D632" s="1061"/>
      <c r="E632" s="1062"/>
      <c r="F632" s="1095" t="s">
        <v>4121</v>
      </c>
      <c r="G632" s="1099">
        <f>ROUNDUP(H631,1)</f>
        <v>47</v>
      </c>
      <c r="H632" s="1097" t="s">
        <v>2199</v>
      </c>
    </row>
    <row r="633" spans="1:8">
      <c r="A633" s="1059">
        <v>14.2</v>
      </c>
      <c r="B633" s="1075" t="s">
        <v>5279</v>
      </c>
      <c r="C633" s="1061"/>
      <c r="D633" s="1061"/>
      <c r="E633" s="1062"/>
      <c r="F633" s="1062"/>
      <c r="G633" s="1062"/>
      <c r="H633" s="1063"/>
    </row>
    <row r="634" spans="1:8">
      <c r="A634" s="1059" t="s">
        <v>5276</v>
      </c>
      <c r="B634" s="1075" t="s">
        <v>5280</v>
      </c>
      <c r="C634" s="1061"/>
      <c r="D634" s="1061"/>
      <c r="E634" s="1062"/>
      <c r="F634" s="1062"/>
      <c r="G634" s="1062"/>
      <c r="H634" s="1063"/>
    </row>
    <row r="635" spans="1:8">
      <c r="A635" s="1059"/>
      <c r="B635" s="1076" t="s">
        <v>5281</v>
      </c>
      <c r="C635" s="1061">
        <v>1</v>
      </c>
      <c r="D635" s="1061">
        <v>14</v>
      </c>
      <c r="E635" s="1062">
        <v>1.06</v>
      </c>
      <c r="F635" s="1062">
        <v>1.06</v>
      </c>
      <c r="G635" s="1062"/>
      <c r="H635" s="1063">
        <f>PRODUCT(C635:G635)</f>
        <v>15.73</v>
      </c>
    </row>
    <row r="636" spans="1:8">
      <c r="A636" s="1059"/>
      <c r="B636" s="1064"/>
      <c r="C636" s="1061"/>
      <c r="D636" s="1061"/>
      <c r="E636" s="1062"/>
      <c r="F636" s="1062"/>
      <c r="G636" s="1058"/>
      <c r="H636" s="1077">
        <f>SUM(H635:H635)</f>
        <v>15.73</v>
      </c>
    </row>
    <row r="637" spans="1:8">
      <c r="A637" s="1059" t="s">
        <v>5265</v>
      </c>
      <c r="B637" s="1075" t="s">
        <v>5282</v>
      </c>
      <c r="C637" s="1061"/>
      <c r="D637" s="1061"/>
      <c r="E637" s="1062"/>
      <c r="F637" s="1072" t="s">
        <v>4121</v>
      </c>
      <c r="G637" s="1073">
        <f>ROUNDUP(H636,1)</f>
        <v>15.8</v>
      </c>
      <c r="H637" s="1074" t="s">
        <v>2199</v>
      </c>
    </row>
    <row r="638" spans="1:8">
      <c r="A638" s="1059"/>
      <c r="B638" s="1065" t="s">
        <v>5278</v>
      </c>
      <c r="C638" s="1065">
        <v>1</v>
      </c>
      <c r="D638" s="1065">
        <v>1</v>
      </c>
      <c r="E638" s="1087">
        <v>1.1499999999999999</v>
      </c>
      <c r="F638" s="1087">
        <v>0.6</v>
      </c>
      <c r="G638" s="1087"/>
      <c r="H638" s="1087">
        <f>PRODUCT(C638:G638)</f>
        <v>0.69</v>
      </c>
    </row>
    <row r="639" spans="1:8">
      <c r="A639" s="1059"/>
      <c r="B639" s="1065"/>
      <c r="C639" s="1065"/>
      <c r="D639" s="1065"/>
      <c r="E639" s="1087"/>
      <c r="F639" s="1087"/>
      <c r="G639" s="1087"/>
      <c r="H639" s="1087">
        <f>SUM(H638:H638)</f>
        <v>0.69</v>
      </c>
    </row>
    <row r="640" spans="1:8">
      <c r="C640" s="1061"/>
      <c r="D640" s="1061"/>
      <c r="E640" s="1062"/>
      <c r="F640" s="1072" t="s">
        <v>4121</v>
      </c>
      <c r="G640" s="1089">
        <f>ROUNDUP(H639,1)</f>
        <v>0.7</v>
      </c>
      <c r="H640" s="1074" t="s">
        <v>2199</v>
      </c>
    </row>
    <row r="641" spans="1:8">
      <c r="A641" s="1059" t="s">
        <v>5283</v>
      </c>
      <c r="B641" s="1075" t="s">
        <v>5284</v>
      </c>
      <c r="C641" s="1061"/>
      <c r="D641" s="1061"/>
      <c r="E641" s="1062"/>
      <c r="F641" s="1072"/>
      <c r="G641" s="1089"/>
      <c r="H641" s="1074"/>
    </row>
    <row r="642" spans="1:8">
      <c r="A642" s="1059"/>
      <c r="B642" s="1076" t="s">
        <v>5267</v>
      </c>
      <c r="C642" s="1061">
        <v>2</v>
      </c>
      <c r="D642" s="1061">
        <v>1</v>
      </c>
      <c r="E642" s="1087">
        <v>1.1499999999999999</v>
      </c>
      <c r="F642" s="1087">
        <v>0.6</v>
      </c>
      <c r="G642" s="1087"/>
      <c r="H642" s="1087">
        <f>PRODUCT(C642:G642)</f>
        <v>1.38</v>
      </c>
    </row>
    <row r="643" spans="1:8">
      <c r="A643" s="1059"/>
      <c r="B643" s="1076" t="s">
        <v>5268</v>
      </c>
      <c r="C643" s="1061">
        <v>1</v>
      </c>
      <c r="D643" s="1061">
        <v>1</v>
      </c>
      <c r="E643" s="1087">
        <v>1.1499999999999999</v>
      </c>
      <c r="F643" s="1087">
        <v>0.6</v>
      </c>
      <c r="G643" s="1087"/>
      <c r="H643" s="1087">
        <f>PRODUCT(C643:G643)</f>
        <v>0.69</v>
      </c>
    </row>
    <row r="644" spans="1:8">
      <c r="A644" s="1059"/>
      <c r="B644" s="1076" t="s">
        <v>5269</v>
      </c>
      <c r="C644" s="1061">
        <v>3</v>
      </c>
      <c r="D644" s="1061">
        <v>4</v>
      </c>
      <c r="E644" s="1087">
        <v>1.1499999999999999</v>
      </c>
      <c r="F644" s="1087">
        <v>0.6</v>
      </c>
      <c r="G644" s="1087"/>
      <c r="H644" s="1087">
        <f>PRODUCT(C644:G644)</f>
        <v>8.2799999999999994</v>
      </c>
    </row>
    <row r="645" spans="1:8">
      <c r="A645" s="1059"/>
      <c r="B645" s="1076" t="s">
        <v>5271</v>
      </c>
      <c r="C645" s="1061">
        <v>2</v>
      </c>
      <c r="D645" s="1061">
        <v>4</v>
      </c>
      <c r="E645" s="1087">
        <v>1.1499999999999999</v>
      </c>
      <c r="F645" s="1087">
        <v>0.6</v>
      </c>
      <c r="G645" s="1087"/>
      <c r="H645" s="1087">
        <f>PRODUCT(C645:G645)</f>
        <v>5.52</v>
      </c>
    </row>
    <row r="646" spans="1:8">
      <c r="A646" s="1059"/>
      <c r="B646" s="1075"/>
      <c r="C646" s="1061"/>
      <c r="D646" s="1061"/>
      <c r="E646" s="1062"/>
      <c r="F646" s="1072"/>
      <c r="G646" s="1089"/>
      <c r="H646" s="1074">
        <f>+SUM(H642:H645)</f>
        <v>15.87</v>
      </c>
    </row>
    <row r="647" spans="1:8">
      <c r="A647" s="1059"/>
      <c r="B647" s="1076"/>
      <c r="C647" s="1061"/>
      <c r="D647" s="1061"/>
      <c r="E647" s="1062"/>
      <c r="F647" s="1072" t="s">
        <v>4121</v>
      </c>
      <c r="G647" s="1089">
        <f>ROUNDUP(H646,1)</f>
        <v>15.9</v>
      </c>
      <c r="H647" s="1074" t="s">
        <v>2199</v>
      </c>
    </row>
    <row r="648" spans="1:8" s="965" customFormat="1">
      <c r="A648" s="1059" t="s">
        <v>5285</v>
      </c>
      <c r="B648" s="1075" t="s">
        <v>5286</v>
      </c>
      <c r="C648" s="1061"/>
      <c r="D648" s="1061"/>
      <c r="E648" s="1062"/>
      <c r="F648" s="1062"/>
      <c r="G648" s="1062"/>
      <c r="H648" s="1063"/>
    </row>
    <row r="649" spans="1:8" s="965" customFormat="1">
      <c r="A649" s="1059"/>
      <c r="B649" s="1075" t="s">
        <v>5287</v>
      </c>
      <c r="C649" s="1061"/>
      <c r="D649" s="1061"/>
      <c r="E649" s="1062"/>
      <c r="F649" s="1062"/>
      <c r="G649" s="1062"/>
      <c r="H649" s="1063"/>
    </row>
    <row r="650" spans="1:8" s="965" customFormat="1">
      <c r="A650" s="1059"/>
      <c r="B650" s="1076" t="s">
        <v>5288</v>
      </c>
      <c r="C650" s="1061">
        <v>1</v>
      </c>
      <c r="D650" s="1061">
        <v>2</v>
      </c>
      <c r="E650" s="1062">
        <v>1</v>
      </c>
      <c r="F650" s="1062">
        <v>0.6</v>
      </c>
      <c r="G650" s="1062"/>
      <c r="H650" s="1063">
        <f>PRODUCT(C650:G650)</f>
        <v>1.2</v>
      </c>
    </row>
    <row r="651" spans="1:8" s="965" customFormat="1">
      <c r="A651" s="1059"/>
      <c r="B651" s="1076" t="s">
        <v>5289</v>
      </c>
      <c r="C651" s="1061">
        <v>1</v>
      </c>
      <c r="D651" s="1061">
        <v>1</v>
      </c>
      <c r="E651" s="1062">
        <v>7.92</v>
      </c>
      <c r="F651" s="1062">
        <v>0.6</v>
      </c>
      <c r="G651" s="1062"/>
      <c r="H651" s="1063">
        <f>PRODUCT(C651:G651)</f>
        <v>4.75</v>
      </c>
    </row>
    <row r="652" spans="1:8" s="965" customFormat="1">
      <c r="A652" s="1059"/>
      <c r="B652" s="1076"/>
      <c r="C652" s="1061"/>
      <c r="D652" s="1061"/>
      <c r="E652" s="1062"/>
      <c r="F652" s="1062"/>
      <c r="G652" s="1062"/>
      <c r="H652" s="1077">
        <f>+SUM(H650:H651)</f>
        <v>5.95</v>
      </c>
    </row>
    <row r="653" spans="1:8">
      <c r="A653" s="1059"/>
      <c r="B653" s="1064"/>
      <c r="C653" s="1061"/>
      <c r="D653" s="1061"/>
      <c r="E653" s="1062"/>
      <c r="F653" s="1072" t="s">
        <v>4121</v>
      </c>
      <c r="G653" s="1089">
        <f>ROUNDUP(H652,1)</f>
        <v>6</v>
      </c>
      <c r="H653" s="1074" t="s">
        <v>2199</v>
      </c>
    </row>
    <row r="654" spans="1:8">
      <c r="A654" s="1059"/>
      <c r="B654" s="1075" t="s">
        <v>5290</v>
      </c>
      <c r="C654" s="1061"/>
      <c r="D654" s="1061"/>
      <c r="E654" s="1062"/>
      <c r="F654" s="1062"/>
      <c r="G654" s="1062"/>
      <c r="H654" s="1077"/>
    </row>
    <row r="655" spans="1:8">
      <c r="A655" s="1059"/>
      <c r="B655" s="1076" t="s">
        <v>5288</v>
      </c>
      <c r="C655" s="1061">
        <v>1</v>
      </c>
      <c r="D655" s="1061">
        <v>3</v>
      </c>
      <c r="E655" s="1062">
        <v>1</v>
      </c>
      <c r="F655" s="1062">
        <v>0.6</v>
      </c>
      <c r="G655" s="1062"/>
      <c r="H655" s="1063">
        <f>PRODUCT(C655:G655)</f>
        <v>1.8</v>
      </c>
    </row>
    <row r="656" spans="1:8">
      <c r="A656" s="1059"/>
      <c r="B656" s="1076" t="s">
        <v>5291</v>
      </c>
      <c r="C656" s="1061">
        <v>1</v>
      </c>
      <c r="D656" s="1061">
        <v>3</v>
      </c>
      <c r="E656" s="1062">
        <v>2.1</v>
      </c>
      <c r="F656" s="1062">
        <v>1.5</v>
      </c>
      <c r="G656" s="1062"/>
      <c r="H656" s="1063">
        <f>PRODUCT(C656:G656)</f>
        <v>9.4499999999999993</v>
      </c>
    </row>
    <row r="657" spans="1:8">
      <c r="A657" s="1059"/>
      <c r="B657" s="1075"/>
      <c r="C657" s="1061"/>
      <c r="D657" s="1061"/>
      <c r="E657" s="1062"/>
      <c r="F657" s="1062"/>
      <c r="G657" s="1062"/>
      <c r="H657" s="1077">
        <f>+SUM(H655:H656)</f>
        <v>11.25</v>
      </c>
    </row>
    <row r="658" spans="1:8">
      <c r="A658" s="1059"/>
      <c r="B658" s="1075"/>
      <c r="C658" s="1061"/>
      <c r="D658" s="1061"/>
      <c r="E658" s="1062"/>
      <c r="F658" s="1072" t="s">
        <v>4121</v>
      </c>
      <c r="G658" s="1089">
        <f>ROUNDUP(H657,1)</f>
        <v>11.3</v>
      </c>
      <c r="H658" s="1074" t="s">
        <v>2199</v>
      </c>
    </row>
    <row r="659" spans="1:8">
      <c r="A659" s="1059"/>
      <c r="B659" s="1075" t="s">
        <v>5272</v>
      </c>
      <c r="C659" s="1061"/>
      <c r="D659" s="1061"/>
      <c r="E659" s="1062"/>
      <c r="F659" s="1072"/>
      <c r="G659" s="1089"/>
      <c r="H659" s="1074"/>
    </row>
    <row r="660" spans="1:8">
      <c r="A660" s="1059"/>
      <c r="B660" s="1076" t="s">
        <v>5292</v>
      </c>
      <c r="C660" s="1061">
        <v>2</v>
      </c>
      <c r="D660" s="1061">
        <v>4</v>
      </c>
      <c r="E660" s="1062">
        <v>2.1</v>
      </c>
      <c r="F660" s="1062">
        <v>1.5</v>
      </c>
      <c r="G660" s="1062"/>
      <c r="H660" s="1063">
        <f>PRODUCT(C660:G660)</f>
        <v>25.2</v>
      </c>
    </row>
    <row r="661" spans="1:8">
      <c r="A661" s="1059"/>
      <c r="B661" s="1076" t="s">
        <v>5291</v>
      </c>
      <c r="C661" s="1061">
        <v>1</v>
      </c>
      <c r="D661" s="1061">
        <v>2</v>
      </c>
      <c r="E661" s="1062">
        <v>2.1</v>
      </c>
      <c r="F661" s="1062">
        <v>1.5</v>
      </c>
      <c r="G661" s="1062"/>
      <c r="H661" s="1063">
        <f>PRODUCT(C661:G661)</f>
        <v>6.3</v>
      </c>
    </row>
    <row r="662" spans="1:8">
      <c r="A662" s="1059"/>
      <c r="B662" s="1075"/>
      <c r="C662" s="1061"/>
      <c r="D662" s="1061"/>
      <c r="E662" s="1062"/>
      <c r="F662" s="1072"/>
      <c r="G662" s="1089"/>
      <c r="H662" s="1074">
        <f>+SUM(H660:H661)</f>
        <v>31.5</v>
      </c>
    </row>
    <row r="663" spans="1:8">
      <c r="A663" s="1059"/>
      <c r="B663" s="1076"/>
      <c r="C663" s="1061"/>
      <c r="D663" s="1061"/>
      <c r="E663" s="1062"/>
      <c r="F663" s="1072" t="s">
        <v>4121</v>
      </c>
      <c r="G663" s="1089">
        <f>ROUNDUP(H662,1)</f>
        <v>31.5</v>
      </c>
      <c r="H663" s="1074" t="s">
        <v>2199</v>
      </c>
    </row>
    <row r="664" spans="1:8">
      <c r="A664" s="1059"/>
      <c r="B664" s="1064"/>
      <c r="C664" s="1061"/>
      <c r="D664" s="1061"/>
      <c r="E664" s="1062"/>
      <c r="F664" s="1062"/>
      <c r="G664" s="1062"/>
      <c r="H664" s="1077"/>
    </row>
    <row r="665" spans="1:8" ht="29.25">
      <c r="A665" s="1067" t="s">
        <v>5293</v>
      </c>
      <c r="B665" s="1082" t="s">
        <v>5294</v>
      </c>
      <c r="C665" s="1061"/>
      <c r="D665" s="1061"/>
      <c r="E665" s="1062"/>
      <c r="F665" s="1062"/>
      <c r="G665" s="1062"/>
      <c r="H665" s="1063"/>
    </row>
    <row r="666" spans="1:8">
      <c r="A666" s="1067"/>
      <c r="B666" s="1067" t="s">
        <v>5295</v>
      </c>
      <c r="C666" s="1061"/>
      <c r="D666" s="1061"/>
      <c r="E666" s="1062"/>
      <c r="F666" s="1062"/>
      <c r="G666" s="1062"/>
      <c r="H666" s="1063"/>
    </row>
    <row r="667" spans="1:8">
      <c r="A667" s="1065"/>
      <c r="B667" s="1065" t="s">
        <v>5064</v>
      </c>
      <c r="C667" s="1066">
        <v>1</v>
      </c>
      <c r="D667" s="1066">
        <v>3</v>
      </c>
      <c r="E667" s="1062">
        <v>4.8</v>
      </c>
      <c r="F667" s="1062"/>
      <c r="G667" s="1062">
        <v>0.3</v>
      </c>
      <c r="H667" s="1062">
        <f>PRODUCT(C667:G667)</f>
        <v>4.32</v>
      </c>
    </row>
    <row r="668" spans="1:8">
      <c r="A668" s="1065"/>
      <c r="B668" s="1065" t="s">
        <v>5065</v>
      </c>
      <c r="C668" s="1066">
        <v>1</v>
      </c>
      <c r="D668" s="1066">
        <v>4</v>
      </c>
      <c r="E668" s="1062">
        <v>4</v>
      </c>
      <c r="F668" s="1062"/>
      <c r="G668" s="1062">
        <v>0.3</v>
      </c>
      <c r="H668" s="1062">
        <f t="shared" ref="H668:H673" si="27">PRODUCT(C668:G668)</f>
        <v>4.8</v>
      </c>
    </row>
    <row r="669" spans="1:8">
      <c r="A669" s="1065"/>
      <c r="B669" s="1065" t="s">
        <v>5066</v>
      </c>
      <c r="C669" s="1066">
        <v>1</v>
      </c>
      <c r="D669" s="1066">
        <v>13</v>
      </c>
      <c r="E669" s="1062">
        <v>5.4</v>
      </c>
      <c r="F669" s="1062"/>
      <c r="G669" s="1068">
        <v>0.375</v>
      </c>
      <c r="H669" s="1062">
        <f t="shared" si="27"/>
        <v>26.33</v>
      </c>
    </row>
    <row r="670" spans="1:8">
      <c r="A670" s="1065"/>
      <c r="B670" s="1065" t="s">
        <v>5067</v>
      </c>
      <c r="C670" s="1066">
        <v>1</v>
      </c>
      <c r="D670" s="1066">
        <v>11</v>
      </c>
      <c r="E670" s="1062">
        <v>6.6</v>
      </c>
      <c r="F670" s="1062"/>
      <c r="G670" s="1062">
        <v>0.45</v>
      </c>
      <c r="H670" s="1062">
        <f t="shared" si="27"/>
        <v>32.67</v>
      </c>
    </row>
    <row r="671" spans="1:8">
      <c r="A671" s="1065"/>
      <c r="B671" s="1065" t="s">
        <v>5068</v>
      </c>
      <c r="C671" s="1066">
        <v>1</v>
      </c>
      <c r="D671" s="1066">
        <v>6</v>
      </c>
      <c r="E671" s="1062">
        <v>7.2</v>
      </c>
      <c r="F671" s="1062"/>
      <c r="G671" s="1068">
        <v>0.52500000000000002</v>
      </c>
      <c r="H671" s="1062">
        <f t="shared" si="27"/>
        <v>22.68</v>
      </c>
    </row>
    <row r="672" spans="1:8">
      <c r="A672" s="1065"/>
      <c r="B672" s="1065" t="s">
        <v>5069</v>
      </c>
      <c r="C672" s="1066">
        <v>1</v>
      </c>
      <c r="D672" s="1066">
        <v>12</v>
      </c>
      <c r="E672" s="1062">
        <v>8.4</v>
      </c>
      <c r="F672" s="1062"/>
      <c r="G672" s="1062">
        <v>0.6</v>
      </c>
      <c r="H672" s="1062">
        <f t="shared" si="27"/>
        <v>60.48</v>
      </c>
    </row>
    <row r="673" spans="1:8">
      <c r="A673" s="1065"/>
      <c r="B673" s="1065" t="s">
        <v>5070</v>
      </c>
      <c r="C673" s="1066">
        <v>1</v>
      </c>
      <c r="D673" s="1066">
        <v>1</v>
      </c>
      <c r="E673" s="1062">
        <v>13.2</v>
      </c>
      <c r="F673" s="1062"/>
      <c r="G673" s="1062">
        <v>0.45</v>
      </c>
      <c r="H673" s="1062">
        <f t="shared" si="27"/>
        <v>5.94</v>
      </c>
    </row>
    <row r="674" spans="1:8">
      <c r="A674" s="1067"/>
      <c r="B674" s="1067" t="s">
        <v>5296</v>
      </c>
      <c r="C674" s="1066"/>
      <c r="D674" s="1066"/>
      <c r="E674" s="1062"/>
      <c r="F674" s="1062"/>
      <c r="G674" s="1062"/>
      <c r="H674" s="1062"/>
    </row>
    <row r="675" spans="1:8">
      <c r="A675" s="1065"/>
      <c r="B675" s="1069" t="s">
        <v>5990</v>
      </c>
      <c r="C675" s="1066">
        <v>1</v>
      </c>
      <c r="D675" s="1066">
        <v>1</v>
      </c>
      <c r="E675" s="1068">
        <v>47.24</v>
      </c>
      <c r="F675" s="1066"/>
      <c r="G675" s="1062">
        <v>0.4</v>
      </c>
      <c r="H675" s="1062">
        <f t="shared" ref="H675:H701" si="28">PRODUCT(C675:G675)</f>
        <v>18.899999999999999</v>
      </c>
    </row>
    <row r="676" spans="1:8">
      <c r="A676" s="1065"/>
      <c r="B676" s="1069" t="s">
        <v>6005</v>
      </c>
      <c r="C676" s="1066">
        <v>1</v>
      </c>
      <c r="D676" s="1066">
        <v>1</v>
      </c>
      <c r="E676" s="1068">
        <v>46.78</v>
      </c>
      <c r="F676" s="1066"/>
      <c r="G676" s="1062">
        <v>0.4</v>
      </c>
      <c r="H676" s="1062">
        <f t="shared" si="28"/>
        <v>18.71</v>
      </c>
    </row>
    <row r="677" spans="1:8">
      <c r="A677" s="1065"/>
      <c r="B677" s="1069" t="s">
        <v>6002</v>
      </c>
      <c r="C677" s="1066">
        <v>1</v>
      </c>
      <c r="D677" s="1066">
        <v>1</v>
      </c>
      <c r="E677" s="1068">
        <v>69.16</v>
      </c>
      <c r="F677" s="1066"/>
      <c r="G677" s="1062">
        <v>0.4</v>
      </c>
      <c r="H677" s="1062">
        <f t="shared" si="28"/>
        <v>27.66</v>
      </c>
    </row>
    <row r="678" spans="1:8">
      <c r="A678" s="1065"/>
      <c r="B678" s="1069" t="s">
        <v>6005</v>
      </c>
      <c r="C678" s="1066">
        <v>1</v>
      </c>
      <c r="D678" s="1066">
        <v>1</v>
      </c>
      <c r="E678" s="1068">
        <v>68.7</v>
      </c>
      <c r="F678" s="1066"/>
      <c r="G678" s="1062">
        <v>0.4</v>
      </c>
      <c r="H678" s="1062">
        <f t="shared" si="28"/>
        <v>27.48</v>
      </c>
    </row>
    <row r="679" spans="1:8">
      <c r="A679" s="1065"/>
      <c r="B679" s="1069" t="s">
        <v>5991</v>
      </c>
      <c r="C679" s="1066">
        <v>2</v>
      </c>
      <c r="D679" s="1066">
        <v>8</v>
      </c>
      <c r="E679" s="1068">
        <v>4.38</v>
      </c>
      <c r="F679" s="1066"/>
      <c r="G679" s="1062">
        <v>0.4</v>
      </c>
      <c r="H679" s="1062">
        <f t="shared" si="28"/>
        <v>28.03</v>
      </c>
    </row>
    <row r="680" spans="1:8">
      <c r="A680" s="1065"/>
      <c r="B680" s="1069" t="s">
        <v>5992</v>
      </c>
      <c r="C680" s="1066">
        <v>2</v>
      </c>
      <c r="D680" s="1066">
        <v>1</v>
      </c>
      <c r="E680" s="1068">
        <v>13.11</v>
      </c>
      <c r="F680" s="1066"/>
      <c r="G680" s="1062">
        <v>0.4</v>
      </c>
      <c r="H680" s="1062">
        <f t="shared" si="28"/>
        <v>10.49</v>
      </c>
    </row>
    <row r="681" spans="1:8">
      <c r="A681" s="1065"/>
      <c r="B681" s="1069" t="s">
        <v>5993</v>
      </c>
      <c r="C681" s="1066">
        <v>2</v>
      </c>
      <c r="D681" s="1066">
        <v>1</v>
      </c>
      <c r="E681" s="1068">
        <v>4.95</v>
      </c>
      <c r="F681" s="1066"/>
      <c r="G681" s="1062">
        <v>0.4</v>
      </c>
      <c r="H681" s="1062">
        <f t="shared" si="28"/>
        <v>3.96</v>
      </c>
    </row>
    <row r="682" spans="1:8">
      <c r="A682" s="1065"/>
      <c r="B682" s="1069" t="s">
        <v>5994</v>
      </c>
      <c r="C682" s="1066">
        <v>2</v>
      </c>
      <c r="D682" s="1066">
        <v>2</v>
      </c>
      <c r="E682" s="1068">
        <v>1.94</v>
      </c>
      <c r="F682" s="1066"/>
      <c r="G682" s="1062">
        <v>0.4</v>
      </c>
      <c r="H682" s="1062">
        <f t="shared" si="28"/>
        <v>3.1</v>
      </c>
    </row>
    <row r="683" spans="1:8">
      <c r="A683" s="1065"/>
      <c r="B683" s="1069" t="s">
        <v>5995</v>
      </c>
      <c r="C683" s="1066">
        <v>2</v>
      </c>
      <c r="D683" s="1066">
        <v>5</v>
      </c>
      <c r="E683" s="1068">
        <v>9.2100000000000009</v>
      </c>
      <c r="F683" s="1066"/>
      <c r="G683" s="1062">
        <v>0.4</v>
      </c>
      <c r="H683" s="1062">
        <f t="shared" si="28"/>
        <v>36.840000000000003</v>
      </c>
    </row>
    <row r="684" spans="1:8">
      <c r="A684" s="1065"/>
      <c r="B684" s="1069" t="s">
        <v>5996</v>
      </c>
      <c r="C684" s="1066">
        <v>2</v>
      </c>
      <c r="D684" s="1066">
        <v>2</v>
      </c>
      <c r="E684" s="1068">
        <v>3.62</v>
      </c>
      <c r="F684" s="1066"/>
      <c r="G684" s="1062">
        <v>0.4</v>
      </c>
      <c r="H684" s="1062">
        <f t="shared" si="28"/>
        <v>5.79</v>
      </c>
    </row>
    <row r="685" spans="1:8">
      <c r="A685" s="1065"/>
      <c r="B685" s="1069" t="s">
        <v>5996</v>
      </c>
      <c r="C685" s="1066">
        <v>2</v>
      </c>
      <c r="D685" s="1066">
        <v>2</v>
      </c>
      <c r="E685" s="1068">
        <v>3.73</v>
      </c>
      <c r="F685" s="1066"/>
      <c r="G685" s="1062">
        <v>0.4</v>
      </c>
      <c r="H685" s="1062">
        <f t="shared" si="28"/>
        <v>5.97</v>
      </c>
    </row>
    <row r="686" spans="1:8">
      <c r="A686" s="1065"/>
      <c r="B686" s="1069" t="s">
        <v>5996</v>
      </c>
      <c r="C686" s="1066">
        <v>2</v>
      </c>
      <c r="D686" s="1066">
        <v>2</v>
      </c>
      <c r="E686" s="1068">
        <v>3.68</v>
      </c>
      <c r="F686" s="1066"/>
      <c r="G686" s="1062">
        <v>0.4</v>
      </c>
      <c r="H686" s="1062">
        <f t="shared" si="28"/>
        <v>5.89</v>
      </c>
    </row>
    <row r="687" spans="1:8">
      <c r="A687" s="1065"/>
      <c r="B687" s="1069" t="s">
        <v>5996</v>
      </c>
      <c r="C687" s="1066">
        <v>2</v>
      </c>
      <c r="D687" s="1066">
        <v>2</v>
      </c>
      <c r="E687" s="1068">
        <v>3.86</v>
      </c>
      <c r="F687" s="1066"/>
      <c r="G687" s="1062">
        <v>0.4</v>
      </c>
      <c r="H687" s="1062">
        <f t="shared" si="28"/>
        <v>6.18</v>
      </c>
    </row>
    <row r="688" spans="1:8">
      <c r="A688" s="1065"/>
      <c r="B688" s="1069" t="s">
        <v>5996</v>
      </c>
      <c r="C688" s="1066">
        <v>2</v>
      </c>
      <c r="D688" s="1066">
        <v>2</v>
      </c>
      <c r="E688" s="1068">
        <v>4.68</v>
      </c>
      <c r="F688" s="1066"/>
      <c r="G688" s="1062">
        <v>0.4</v>
      </c>
      <c r="H688" s="1062">
        <f t="shared" si="28"/>
        <v>7.49</v>
      </c>
    </row>
    <row r="689" spans="1:8">
      <c r="A689" s="1065"/>
      <c r="B689" s="1069" t="s">
        <v>5996</v>
      </c>
      <c r="C689" s="1066">
        <v>2</v>
      </c>
      <c r="D689" s="1066">
        <v>2</v>
      </c>
      <c r="E689" s="1068">
        <v>3.77</v>
      </c>
      <c r="F689" s="1066"/>
      <c r="G689" s="1062">
        <v>0.4</v>
      </c>
      <c r="H689" s="1062">
        <f t="shared" si="28"/>
        <v>6.03</v>
      </c>
    </row>
    <row r="690" spans="1:8">
      <c r="A690" s="1065"/>
      <c r="B690" s="1069" t="s">
        <v>5997</v>
      </c>
      <c r="C690" s="1066">
        <v>2</v>
      </c>
      <c r="D690" s="1066">
        <v>2</v>
      </c>
      <c r="E690" s="1068">
        <v>1.8</v>
      </c>
      <c r="F690" s="1066"/>
      <c r="G690" s="1062">
        <v>0.4</v>
      </c>
      <c r="H690" s="1062">
        <f t="shared" si="28"/>
        <v>2.88</v>
      </c>
    </row>
    <row r="691" spans="1:8">
      <c r="A691" s="1065"/>
      <c r="B691" s="1069" t="s">
        <v>6003</v>
      </c>
      <c r="C691" s="1066">
        <v>2</v>
      </c>
      <c r="D691" s="1066">
        <v>1</v>
      </c>
      <c r="E691" s="1068">
        <v>3.66</v>
      </c>
      <c r="F691" s="1066"/>
      <c r="G691" s="1062">
        <v>0.4</v>
      </c>
      <c r="H691" s="1062">
        <f t="shared" si="28"/>
        <v>2.93</v>
      </c>
    </row>
    <row r="692" spans="1:8">
      <c r="A692" s="1065"/>
      <c r="B692" s="1069" t="s">
        <v>6004</v>
      </c>
      <c r="C692" s="1066">
        <v>2</v>
      </c>
      <c r="D692" s="1066">
        <v>2</v>
      </c>
      <c r="E692" s="1068">
        <v>4.7</v>
      </c>
      <c r="F692" s="1066"/>
      <c r="G692" s="1062">
        <v>0.4</v>
      </c>
      <c r="H692" s="1062">
        <f t="shared" si="28"/>
        <v>7.52</v>
      </c>
    </row>
    <row r="693" spans="1:8">
      <c r="A693" s="1065"/>
      <c r="B693" s="1069" t="s">
        <v>6004</v>
      </c>
      <c r="C693" s="1066">
        <v>2</v>
      </c>
      <c r="D693" s="1066">
        <v>1</v>
      </c>
      <c r="E693" s="1068">
        <v>3.66</v>
      </c>
      <c r="F693" s="1066"/>
      <c r="G693" s="1062">
        <v>0.4</v>
      </c>
      <c r="H693" s="1062">
        <f t="shared" si="28"/>
        <v>2.93</v>
      </c>
    </row>
    <row r="694" spans="1:8">
      <c r="A694" s="1065"/>
      <c r="B694" s="1069" t="s">
        <v>6004</v>
      </c>
      <c r="C694" s="1066">
        <v>2</v>
      </c>
      <c r="D694" s="1066">
        <v>1</v>
      </c>
      <c r="E694" s="1068">
        <v>3.6</v>
      </c>
      <c r="F694" s="1066"/>
      <c r="G694" s="1062">
        <v>0.4</v>
      </c>
      <c r="H694" s="1062">
        <f t="shared" si="28"/>
        <v>2.88</v>
      </c>
    </row>
    <row r="695" spans="1:8">
      <c r="A695" s="1065"/>
      <c r="B695" s="1069" t="s">
        <v>5998</v>
      </c>
      <c r="C695" s="1066">
        <v>2</v>
      </c>
      <c r="D695" s="1066">
        <v>1</v>
      </c>
      <c r="E695" s="1068">
        <v>8.4700000000000006</v>
      </c>
      <c r="F695" s="1066"/>
      <c r="G695" s="1062">
        <v>0.4</v>
      </c>
      <c r="H695" s="1062">
        <f t="shared" si="28"/>
        <v>6.78</v>
      </c>
    </row>
    <row r="696" spans="1:8">
      <c r="A696" s="1065"/>
      <c r="B696" s="1069" t="s">
        <v>5999</v>
      </c>
      <c r="C696" s="1066">
        <v>2</v>
      </c>
      <c r="D696" s="1066">
        <v>2</v>
      </c>
      <c r="E696" s="1068">
        <v>7.26</v>
      </c>
      <c r="F696" s="1066"/>
      <c r="G696" s="1062">
        <v>0.4</v>
      </c>
      <c r="H696" s="1062">
        <f t="shared" si="28"/>
        <v>11.62</v>
      </c>
    </row>
    <row r="697" spans="1:8">
      <c r="A697" s="1065"/>
      <c r="B697" s="1069" t="s">
        <v>5998</v>
      </c>
      <c r="C697" s="1066">
        <v>2</v>
      </c>
      <c r="D697" s="1066">
        <v>1</v>
      </c>
      <c r="E697" s="1068">
        <v>11.77</v>
      </c>
      <c r="F697" s="1066"/>
      <c r="G697" s="1062">
        <v>0.4</v>
      </c>
      <c r="H697" s="1062">
        <f t="shared" si="28"/>
        <v>9.42</v>
      </c>
    </row>
    <row r="698" spans="1:8">
      <c r="A698" s="1065"/>
      <c r="B698" s="1069" t="s">
        <v>6000</v>
      </c>
      <c r="C698" s="1066">
        <v>2</v>
      </c>
      <c r="D698" s="1066">
        <v>1</v>
      </c>
      <c r="E698" s="1068">
        <v>8.14</v>
      </c>
      <c r="F698" s="1066"/>
      <c r="G698" s="1062">
        <v>0.4</v>
      </c>
      <c r="H698" s="1062">
        <f t="shared" si="28"/>
        <v>6.51</v>
      </c>
    </row>
    <row r="699" spans="1:8">
      <c r="A699" s="1065"/>
      <c r="B699" s="1069" t="s">
        <v>6001</v>
      </c>
      <c r="C699" s="1066">
        <v>2</v>
      </c>
      <c r="D699" s="1066">
        <v>1</v>
      </c>
      <c r="E699" s="1068">
        <v>2.1</v>
      </c>
      <c r="F699" s="1066"/>
      <c r="G699" s="1062">
        <v>0.4</v>
      </c>
      <c r="H699" s="1062">
        <f t="shared" si="28"/>
        <v>1.68</v>
      </c>
    </row>
    <row r="700" spans="1:8">
      <c r="A700" s="1065"/>
      <c r="B700" s="1069" t="s">
        <v>6001</v>
      </c>
      <c r="C700" s="1066">
        <v>2</v>
      </c>
      <c r="D700" s="1066">
        <v>1</v>
      </c>
      <c r="E700" s="1068">
        <v>4</v>
      </c>
      <c r="F700" s="1066"/>
      <c r="G700" s="1062">
        <v>0.4</v>
      </c>
      <c r="H700" s="1062">
        <f t="shared" si="28"/>
        <v>3.2</v>
      </c>
    </row>
    <row r="701" spans="1:8">
      <c r="A701" s="1065"/>
      <c r="B701" s="1082"/>
      <c r="C701" s="1066">
        <v>2</v>
      </c>
      <c r="D701" s="1066">
        <v>1</v>
      </c>
      <c r="E701" s="1068">
        <v>4.82</v>
      </c>
      <c r="F701" s="1066"/>
      <c r="G701" s="1062">
        <v>0.4</v>
      </c>
      <c r="H701" s="1062">
        <f t="shared" si="28"/>
        <v>3.86</v>
      </c>
    </row>
    <row r="702" spans="1:8">
      <c r="A702" s="1067"/>
      <c r="B702" s="1069" t="s">
        <v>5297</v>
      </c>
      <c r="C702" s="1066">
        <v>1</v>
      </c>
      <c r="D702" s="1066">
        <v>1</v>
      </c>
      <c r="E702" s="1062">
        <v>13.12</v>
      </c>
      <c r="F702" s="1062"/>
      <c r="G702" s="1062">
        <v>0.4</v>
      </c>
      <c r="H702" s="1062">
        <f t="shared" ref="H702:H735" si="29">PRODUCT(C702:G702)</f>
        <v>5.25</v>
      </c>
    </row>
    <row r="703" spans="1:8">
      <c r="A703" s="1067"/>
      <c r="B703" s="1069" t="s">
        <v>5298</v>
      </c>
      <c r="C703" s="1066">
        <v>1</v>
      </c>
      <c r="D703" s="1066">
        <v>1</v>
      </c>
      <c r="E703" s="1062">
        <v>12.2</v>
      </c>
      <c r="F703" s="1062"/>
      <c r="G703" s="1062">
        <v>0.4</v>
      </c>
      <c r="H703" s="1062">
        <f t="shared" si="29"/>
        <v>4.88</v>
      </c>
    </row>
    <row r="704" spans="1:8">
      <c r="A704" s="1059"/>
      <c r="B704" s="1067" t="s">
        <v>5299</v>
      </c>
      <c r="C704" s="1066"/>
      <c r="D704" s="1066"/>
      <c r="E704" s="1062"/>
      <c r="F704" s="1062"/>
      <c r="G704" s="1062"/>
      <c r="H704" s="1062">
        <f t="shared" si="29"/>
        <v>0</v>
      </c>
    </row>
    <row r="705" spans="1:8">
      <c r="A705" s="1065"/>
      <c r="B705" s="1069" t="s">
        <v>5990</v>
      </c>
      <c r="C705" s="1066">
        <v>1</v>
      </c>
      <c r="D705" s="1066">
        <v>1</v>
      </c>
      <c r="E705" s="1068">
        <v>47.24</v>
      </c>
      <c r="F705" s="1066"/>
      <c r="G705" s="1062">
        <v>0.15</v>
      </c>
      <c r="H705" s="1062">
        <f t="shared" si="29"/>
        <v>7.09</v>
      </c>
    </row>
    <row r="706" spans="1:8">
      <c r="A706" s="1065"/>
      <c r="B706" s="1069" t="s">
        <v>6005</v>
      </c>
      <c r="C706" s="1066">
        <v>1</v>
      </c>
      <c r="D706" s="1066">
        <v>1</v>
      </c>
      <c r="E706" s="1068">
        <v>46.78</v>
      </c>
      <c r="F706" s="1066"/>
      <c r="G706" s="1062">
        <v>0.15</v>
      </c>
      <c r="H706" s="1062">
        <f t="shared" si="29"/>
        <v>7.02</v>
      </c>
    </row>
    <row r="707" spans="1:8">
      <c r="A707" s="1065"/>
      <c r="B707" s="1069" t="s">
        <v>6002</v>
      </c>
      <c r="C707" s="1066">
        <v>1</v>
      </c>
      <c r="D707" s="1066">
        <v>1</v>
      </c>
      <c r="E707" s="1068">
        <v>69.16</v>
      </c>
      <c r="F707" s="1066"/>
      <c r="G707" s="1062">
        <v>0.15</v>
      </c>
      <c r="H707" s="1062">
        <f t="shared" si="29"/>
        <v>10.37</v>
      </c>
    </row>
    <row r="708" spans="1:8">
      <c r="A708" s="1065"/>
      <c r="B708" s="1069" t="s">
        <v>6005</v>
      </c>
      <c r="C708" s="1066">
        <v>1</v>
      </c>
      <c r="D708" s="1066">
        <v>1</v>
      </c>
      <c r="E708" s="1068">
        <v>68.7</v>
      </c>
      <c r="F708" s="1066"/>
      <c r="G708" s="1062">
        <v>0.15</v>
      </c>
      <c r="H708" s="1062">
        <f t="shared" si="29"/>
        <v>10.31</v>
      </c>
    </row>
    <row r="709" spans="1:8">
      <c r="A709" s="1065"/>
      <c r="B709" s="1069" t="s">
        <v>5991</v>
      </c>
      <c r="C709" s="1066">
        <v>2</v>
      </c>
      <c r="D709" s="1066">
        <v>8</v>
      </c>
      <c r="E709" s="1068">
        <v>4.38</v>
      </c>
      <c r="F709" s="1066"/>
      <c r="G709" s="1062">
        <v>0.15</v>
      </c>
      <c r="H709" s="1062">
        <f t="shared" si="29"/>
        <v>10.51</v>
      </c>
    </row>
    <row r="710" spans="1:8">
      <c r="A710" s="1065"/>
      <c r="B710" s="1069" t="s">
        <v>5992</v>
      </c>
      <c r="C710" s="1066">
        <v>2</v>
      </c>
      <c r="D710" s="1066">
        <v>1</v>
      </c>
      <c r="E710" s="1068">
        <v>13.11</v>
      </c>
      <c r="F710" s="1066"/>
      <c r="G710" s="1062">
        <v>0.15</v>
      </c>
      <c r="H710" s="1062">
        <f t="shared" si="29"/>
        <v>3.93</v>
      </c>
    </row>
    <row r="711" spans="1:8">
      <c r="A711" s="1065"/>
      <c r="B711" s="1069" t="s">
        <v>5993</v>
      </c>
      <c r="C711" s="1066">
        <v>2</v>
      </c>
      <c r="D711" s="1066">
        <v>1</v>
      </c>
      <c r="E711" s="1068">
        <v>4.95</v>
      </c>
      <c r="F711" s="1066"/>
      <c r="G711" s="1062">
        <v>0.15</v>
      </c>
      <c r="H711" s="1062">
        <f t="shared" si="29"/>
        <v>1.49</v>
      </c>
    </row>
    <row r="712" spans="1:8">
      <c r="A712" s="1065"/>
      <c r="B712" s="1069" t="s">
        <v>5994</v>
      </c>
      <c r="C712" s="1066">
        <v>2</v>
      </c>
      <c r="D712" s="1066">
        <v>2</v>
      </c>
      <c r="E712" s="1068">
        <v>1.94</v>
      </c>
      <c r="F712" s="1066"/>
      <c r="G712" s="1062">
        <v>0.15</v>
      </c>
      <c r="H712" s="1062">
        <f t="shared" si="29"/>
        <v>1.1599999999999999</v>
      </c>
    </row>
    <row r="713" spans="1:8">
      <c r="A713" s="1065"/>
      <c r="B713" s="1069" t="s">
        <v>5995</v>
      </c>
      <c r="C713" s="1066">
        <v>2</v>
      </c>
      <c r="D713" s="1066">
        <v>5</v>
      </c>
      <c r="E713" s="1068">
        <v>9.2100000000000009</v>
      </c>
      <c r="F713" s="1066"/>
      <c r="G713" s="1062">
        <v>0.15</v>
      </c>
      <c r="H713" s="1062">
        <f t="shared" si="29"/>
        <v>13.82</v>
      </c>
    </row>
    <row r="714" spans="1:8">
      <c r="A714" s="1065"/>
      <c r="B714" s="1069" t="s">
        <v>5996</v>
      </c>
      <c r="C714" s="1066">
        <v>2</v>
      </c>
      <c r="D714" s="1066">
        <v>2</v>
      </c>
      <c r="E714" s="1068">
        <v>3.62</v>
      </c>
      <c r="F714" s="1066"/>
      <c r="G714" s="1062">
        <v>0.15</v>
      </c>
      <c r="H714" s="1062">
        <f t="shared" si="29"/>
        <v>2.17</v>
      </c>
    </row>
    <row r="715" spans="1:8">
      <c r="A715" s="1065"/>
      <c r="B715" s="1069" t="s">
        <v>5996</v>
      </c>
      <c r="C715" s="1066">
        <v>2</v>
      </c>
      <c r="D715" s="1066">
        <v>2</v>
      </c>
      <c r="E715" s="1068">
        <v>3.73</v>
      </c>
      <c r="F715" s="1066"/>
      <c r="G715" s="1062">
        <v>0.15</v>
      </c>
      <c r="H715" s="1062">
        <f t="shared" si="29"/>
        <v>2.2400000000000002</v>
      </c>
    </row>
    <row r="716" spans="1:8">
      <c r="A716" s="1065"/>
      <c r="B716" s="1069" t="s">
        <v>5996</v>
      </c>
      <c r="C716" s="1066">
        <v>2</v>
      </c>
      <c r="D716" s="1066">
        <v>2</v>
      </c>
      <c r="E716" s="1068">
        <v>3.68</v>
      </c>
      <c r="F716" s="1066"/>
      <c r="G716" s="1062">
        <v>0.15</v>
      </c>
      <c r="H716" s="1062">
        <f t="shared" si="29"/>
        <v>2.21</v>
      </c>
    </row>
    <row r="717" spans="1:8">
      <c r="A717" s="1065"/>
      <c r="B717" s="1069" t="s">
        <v>5996</v>
      </c>
      <c r="C717" s="1066">
        <v>2</v>
      </c>
      <c r="D717" s="1066">
        <v>2</v>
      </c>
      <c r="E717" s="1068">
        <v>3.86</v>
      </c>
      <c r="F717" s="1066"/>
      <c r="G717" s="1062">
        <v>0.15</v>
      </c>
      <c r="H717" s="1062">
        <f t="shared" si="29"/>
        <v>2.3199999999999998</v>
      </c>
    </row>
    <row r="718" spans="1:8">
      <c r="A718" s="1065"/>
      <c r="B718" s="1069" t="s">
        <v>5996</v>
      </c>
      <c r="C718" s="1066">
        <v>2</v>
      </c>
      <c r="D718" s="1066">
        <v>2</v>
      </c>
      <c r="E718" s="1068">
        <v>4.68</v>
      </c>
      <c r="F718" s="1066"/>
      <c r="G718" s="1062">
        <v>0.15</v>
      </c>
      <c r="H718" s="1062">
        <f t="shared" si="29"/>
        <v>2.81</v>
      </c>
    </row>
    <row r="719" spans="1:8">
      <c r="A719" s="1065"/>
      <c r="B719" s="1069" t="s">
        <v>5996</v>
      </c>
      <c r="C719" s="1066">
        <v>2</v>
      </c>
      <c r="D719" s="1066">
        <v>2</v>
      </c>
      <c r="E719" s="1068">
        <v>3.77</v>
      </c>
      <c r="F719" s="1066"/>
      <c r="G719" s="1062">
        <v>0.15</v>
      </c>
      <c r="H719" s="1062">
        <f t="shared" si="29"/>
        <v>2.2599999999999998</v>
      </c>
    </row>
    <row r="720" spans="1:8">
      <c r="A720" s="1065"/>
      <c r="B720" s="1069" t="s">
        <v>5997</v>
      </c>
      <c r="C720" s="1066">
        <v>2</v>
      </c>
      <c r="D720" s="1066">
        <v>2</v>
      </c>
      <c r="E720" s="1068">
        <v>1.8</v>
      </c>
      <c r="F720" s="1066"/>
      <c r="G720" s="1062">
        <v>0.15</v>
      </c>
      <c r="H720" s="1062">
        <f t="shared" si="29"/>
        <v>1.08</v>
      </c>
    </row>
    <row r="721" spans="1:8">
      <c r="A721" s="1065"/>
      <c r="B721" s="1069" t="s">
        <v>6003</v>
      </c>
      <c r="C721" s="1066">
        <v>2</v>
      </c>
      <c r="D721" s="1066">
        <v>1</v>
      </c>
      <c r="E721" s="1068">
        <v>3.66</v>
      </c>
      <c r="F721" s="1066"/>
      <c r="G721" s="1062">
        <v>0.15</v>
      </c>
      <c r="H721" s="1062">
        <f t="shared" si="29"/>
        <v>1.1000000000000001</v>
      </c>
    </row>
    <row r="722" spans="1:8">
      <c r="A722" s="1065"/>
      <c r="B722" s="1069" t="s">
        <v>6004</v>
      </c>
      <c r="C722" s="1066">
        <v>2</v>
      </c>
      <c r="D722" s="1066">
        <v>2</v>
      </c>
      <c r="E722" s="1068">
        <v>4.7</v>
      </c>
      <c r="F722" s="1066"/>
      <c r="G722" s="1062">
        <v>0.15</v>
      </c>
      <c r="H722" s="1062">
        <f t="shared" si="29"/>
        <v>2.82</v>
      </c>
    </row>
    <row r="723" spans="1:8">
      <c r="A723" s="1065"/>
      <c r="B723" s="1069" t="s">
        <v>6004</v>
      </c>
      <c r="C723" s="1066">
        <v>2</v>
      </c>
      <c r="D723" s="1066">
        <v>1</v>
      </c>
      <c r="E723" s="1068">
        <v>3.66</v>
      </c>
      <c r="F723" s="1066"/>
      <c r="G723" s="1062">
        <v>0.15</v>
      </c>
      <c r="H723" s="1062">
        <f t="shared" si="29"/>
        <v>1.1000000000000001</v>
      </c>
    </row>
    <row r="724" spans="1:8">
      <c r="A724" s="1065"/>
      <c r="B724" s="1069" t="s">
        <v>6004</v>
      </c>
      <c r="C724" s="1066">
        <v>2</v>
      </c>
      <c r="D724" s="1066">
        <v>1</v>
      </c>
      <c r="E724" s="1068">
        <v>3.6</v>
      </c>
      <c r="F724" s="1066"/>
      <c r="G724" s="1062">
        <v>0.15</v>
      </c>
      <c r="H724" s="1062">
        <f t="shared" si="29"/>
        <v>1.08</v>
      </c>
    </row>
    <row r="725" spans="1:8">
      <c r="A725" s="1065"/>
      <c r="B725" s="1069" t="s">
        <v>5998</v>
      </c>
      <c r="C725" s="1066">
        <v>2</v>
      </c>
      <c r="D725" s="1066">
        <v>1</v>
      </c>
      <c r="E725" s="1068">
        <v>8.4700000000000006</v>
      </c>
      <c r="F725" s="1066"/>
      <c r="G725" s="1062">
        <v>0.15</v>
      </c>
      <c r="H725" s="1062">
        <f t="shared" si="29"/>
        <v>2.54</v>
      </c>
    </row>
    <row r="726" spans="1:8">
      <c r="A726" s="1065"/>
      <c r="B726" s="1069" t="s">
        <v>5999</v>
      </c>
      <c r="C726" s="1066">
        <v>2</v>
      </c>
      <c r="D726" s="1066">
        <v>2</v>
      </c>
      <c r="E726" s="1068">
        <v>7.26</v>
      </c>
      <c r="F726" s="1066"/>
      <c r="G726" s="1062">
        <v>0.15</v>
      </c>
      <c r="H726" s="1062">
        <f t="shared" si="29"/>
        <v>4.3600000000000003</v>
      </c>
    </row>
    <row r="727" spans="1:8">
      <c r="A727" s="1065"/>
      <c r="B727" s="1069" t="s">
        <v>5998</v>
      </c>
      <c r="C727" s="1066">
        <v>2</v>
      </c>
      <c r="D727" s="1066">
        <v>1</v>
      </c>
      <c r="E727" s="1068">
        <v>11.77</v>
      </c>
      <c r="F727" s="1066"/>
      <c r="G727" s="1062">
        <v>0.15</v>
      </c>
      <c r="H727" s="1062">
        <f t="shared" si="29"/>
        <v>3.53</v>
      </c>
    </row>
    <row r="728" spans="1:8">
      <c r="A728" s="1065"/>
      <c r="B728" s="1069" t="s">
        <v>6000</v>
      </c>
      <c r="C728" s="1066">
        <v>2</v>
      </c>
      <c r="D728" s="1066">
        <v>1</v>
      </c>
      <c r="E728" s="1068">
        <v>8.14</v>
      </c>
      <c r="F728" s="1066"/>
      <c r="G728" s="1062">
        <v>0.15</v>
      </c>
      <c r="H728" s="1062">
        <f t="shared" si="29"/>
        <v>2.44</v>
      </c>
    </row>
    <row r="729" spans="1:8">
      <c r="A729" s="1065"/>
      <c r="B729" s="1069" t="s">
        <v>6001</v>
      </c>
      <c r="C729" s="1066">
        <v>2</v>
      </c>
      <c r="D729" s="1066">
        <v>1</v>
      </c>
      <c r="E729" s="1068">
        <v>2.1</v>
      </c>
      <c r="F729" s="1066"/>
      <c r="G729" s="1062">
        <v>0.15</v>
      </c>
      <c r="H729" s="1062">
        <f t="shared" si="29"/>
        <v>0.63</v>
      </c>
    </row>
    <row r="730" spans="1:8">
      <c r="A730" s="1065"/>
      <c r="B730" s="1069" t="s">
        <v>6001</v>
      </c>
      <c r="C730" s="1066">
        <v>2</v>
      </c>
      <c r="D730" s="1066">
        <v>1</v>
      </c>
      <c r="E730" s="1068">
        <v>4</v>
      </c>
      <c r="F730" s="1066"/>
      <c r="G730" s="1062">
        <v>0.15</v>
      </c>
      <c r="H730" s="1062">
        <f t="shared" si="29"/>
        <v>1.2</v>
      </c>
    </row>
    <row r="731" spans="1:8">
      <c r="A731" s="1065"/>
      <c r="B731" s="1082"/>
      <c r="C731" s="1066">
        <v>2</v>
      </c>
      <c r="D731" s="1066">
        <v>1</v>
      </c>
      <c r="E731" s="1068">
        <v>4.82</v>
      </c>
      <c r="F731" s="1066"/>
      <c r="G731" s="1062">
        <v>0.15</v>
      </c>
      <c r="H731" s="1062">
        <f t="shared" si="29"/>
        <v>1.45</v>
      </c>
    </row>
    <row r="732" spans="1:8">
      <c r="A732" s="1067"/>
      <c r="B732" s="1069" t="s">
        <v>5297</v>
      </c>
      <c r="C732" s="1066">
        <v>1</v>
      </c>
      <c r="D732" s="1066">
        <v>1</v>
      </c>
      <c r="E732" s="1062">
        <v>13.12</v>
      </c>
      <c r="F732" s="1062"/>
      <c r="G732" s="1062">
        <v>0.15</v>
      </c>
      <c r="H732" s="1062">
        <f t="shared" ref="H732:H733" si="30">PRODUCT(C732:G732)</f>
        <v>1.97</v>
      </c>
    </row>
    <row r="733" spans="1:8">
      <c r="A733" s="1067"/>
      <c r="B733" s="1069" t="s">
        <v>5298</v>
      </c>
      <c r="C733" s="1066">
        <v>1</v>
      </c>
      <c r="D733" s="1066">
        <v>1</v>
      </c>
      <c r="E733" s="1062">
        <v>12.2</v>
      </c>
      <c r="F733" s="1062"/>
      <c r="G733" s="1062">
        <v>0.15</v>
      </c>
      <c r="H733" s="1062">
        <f t="shared" si="30"/>
        <v>1.83</v>
      </c>
    </row>
    <row r="734" spans="1:8">
      <c r="A734" s="1059"/>
      <c r="B734" s="1069" t="s">
        <v>5124</v>
      </c>
      <c r="C734" s="1066">
        <v>2</v>
      </c>
      <c r="D734" s="1066">
        <v>1</v>
      </c>
      <c r="E734" s="1062">
        <v>8.23</v>
      </c>
      <c r="F734" s="1066"/>
      <c r="G734" s="1062">
        <v>1</v>
      </c>
      <c r="H734" s="1062">
        <f t="shared" si="29"/>
        <v>16.46</v>
      </c>
    </row>
    <row r="735" spans="1:8">
      <c r="A735" s="1059"/>
      <c r="B735" s="1069" t="s">
        <v>5132</v>
      </c>
      <c r="C735" s="1066">
        <v>2</v>
      </c>
      <c r="D735" s="1066">
        <v>1</v>
      </c>
      <c r="E735" s="1062">
        <v>2.59</v>
      </c>
      <c r="F735" s="1066"/>
      <c r="G735" s="1062">
        <v>0.23</v>
      </c>
      <c r="H735" s="1062">
        <f t="shared" si="29"/>
        <v>1.19</v>
      </c>
    </row>
    <row r="736" spans="1:8">
      <c r="A736" s="1059"/>
      <c r="B736" s="1065"/>
      <c r="C736" s="1066"/>
      <c r="D736" s="1066"/>
      <c r="E736" s="1062"/>
      <c r="F736" s="1062"/>
      <c r="G736" s="1062"/>
      <c r="H736" s="1062">
        <f>SUM(H667:H735)</f>
        <v>566.57000000000005</v>
      </c>
    </row>
    <row r="737" spans="1:8">
      <c r="A737" s="1059"/>
      <c r="B737" s="1076"/>
      <c r="C737" s="1061"/>
      <c r="D737" s="1061"/>
      <c r="E737" s="1062"/>
      <c r="F737" s="1072" t="s">
        <v>4121</v>
      </c>
      <c r="G737" s="1073">
        <f>ROUNDUP(H736,1)</f>
        <v>566.6</v>
      </c>
      <c r="H737" s="1074" t="s">
        <v>2199</v>
      </c>
    </row>
    <row r="738" spans="1:8">
      <c r="A738" s="1067">
        <v>18.100000000000001</v>
      </c>
      <c r="B738" s="1067" t="s">
        <v>5300</v>
      </c>
      <c r="C738" s="1061"/>
      <c r="D738" s="1061"/>
      <c r="E738" s="1062"/>
      <c r="F738" s="1062"/>
      <c r="G738" s="1058"/>
      <c r="H738" s="1077"/>
    </row>
    <row r="739" spans="1:8" ht="29.25">
      <c r="A739" s="1067"/>
      <c r="B739" s="1082" t="s">
        <v>5301</v>
      </c>
      <c r="C739" s="1061"/>
      <c r="D739" s="1061"/>
      <c r="E739" s="1062"/>
      <c r="F739" s="1062"/>
      <c r="G739" s="1062"/>
      <c r="H739" s="1063"/>
    </row>
    <row r="740" spans="1:8">
      <c r="A740" s="1067"/>
      <c r="B740" s="1067" t="s">
        <v>5143</v>
      </c>
      <c r="C740" s="1066"/>
      <c r="D740" s="1066"/>
      <c r="E740" s="1066"/>
      <c r="F740" s="1066"/>
      <c r="G740" s="1062"/>
      <c r="H740" s="1063"/>
    </row>
    <row r="741" spans="1:8">
      <c r="A741" s="1067"/>
      <c r="B741" s="1065" t="s">
        <v>5302</v>
      </c>
      <c r="C741" s="1066">
        <v>1</v>
      </c>
      <c r="D741" s="1066">
        <v>3</v>
      </c>
      <c r="E741" s="1062">
        <v>2.59</v>
      </c>
      <c r="F741" s="1066">
        <v>4.22</v>
      </c>
      <c r="G741" s="1062"/>
      <c r="H741" s="1062">
        <f t="shared" ref="H741:H748" si="31">PRODUCT(C741:G741)</f>
        <v>32.79</v>
      </c>
    </row>
    <row r="742" spans="1:8">
      <c r="A742" s="1067"/>
      <c r="B742" s="1065" t="s">
        <v>5303</v>
      </c>
      <c r="C742" s="1066">
        <v>2</v>
      </c>
      <c r="D742" s="1066">
        <v>3</v>
      </c>
      <c r="E742" s="1062">
        <v>4.22</v>
      </c>
      <c r="F742" s="1066"/>
      <c r="G742" s="1068">
        <v>0.125</v>
      </c>
      <c r="H742" s="1062">
        <f t="shared" si="31"/>
        <v>3.17</v>
      </c>
    </row>
    <row r="743" spans="1:8">
      <c r="A743" s="1067"/>
      <c r="B743" s="1065" t="s">
        <v>5304</v>
      </c>
      <c r="C743" s="1066">
        <v>2</v>
      </c>
      <c r="D743" s="1066">
        <v>3</v>
      </c>
      <c r="E743" s="1062">
        <v>1.83</v>
      </c>
      <c r="F743" s="1066">
        <v>3.83</v>
      </c>
      <c r="G743" s="1068"/>
      <c r="H743" s="1062">
        <f t="shared" si="31"/>
        <v>42.05</v>
      </c>
    </row>
    <row r="744" spans="1:8">
      <c r="A744" s="1067"/>
      <c r="B744" s="1065" t="s">
        <v>5303</v>
      </c>
      <c r="C744" s="1066">
        <v>2</v>
      </c>
      <c r="D744" s="1066">
        <v>3</v>
      </c>
      <c r="E744" s="1062">
        <v>3.83</v>
      </c>
      <c r="F744" s="1066"/>
      <c r="G744" s="1068">
        <v>0.125</v>
      </c>
      <c r="H744" s="1062">
        <f t="shared" si="31"/>
        <v>2.87</v>
      </c>
    </row>
    <row r="745" spans="1:8">
      <c r="A745" s="1067"/>
      <c r="B745" s="1065" t="s">
        <v>5146</v>
      </c>
      <c r="C745" s="1066">
        <v>1</v>
      </c>
      <c r="D745" s="1066">
        <v>3</v>
      </c>
      <c r="E745" s="1062">
        <v>14</v>
      </c>
      <c r="F745" s="1062">
        <v>1.75</v>
      </c>
      <c r="G745" s="1062"/>
      <c r="H745" s="1062">
        <f t="shared" si="31"/>
        <v>73.5</v>
      </c>
    </row>
    <row r="746" spans="1:8">
      <c r="A746" s="1067"/>
      <c r="B746" s="1065" t="s">
        <v>5305</v>
      </c>
      <c r="C746" s="1066">
        <v>1</v>
      </c>
      <c r="D746" s="1066">
        <v>3</v>
      </c>
      <c r="E746" s="1062">
        <v>14</v>
      </c>
      <c r="F746" s="1062"/>
      <c r="G746" s="1068">
        <v>0.125</v>
      </c>
      <c r="H746" s="1062">
        <f t="shared" si="31"/>
        <v>5.25</v>
      </c>
    </row>
    <row r="747" spans="1:8">
      <c r="A747" s="1067"/>
      <c r="B747" s="1065" t="s">
        <v>5306</v>
      </c>
      <c r="C747" s="1066">
        <v>3</v>
      </c>
      <c r="D747" s="1066">
        <v>14</v>
      </c>
      <c r="E747" s="1062">
        <v>2.59</v>
      </c>
      <c r="F747" s="1066"/>
      <c r="G747" s="1062">
        <v>0.15</v>
      </c>
      <c r="H747" s="1062">
        <f t="shared" si="31"/>
        <v>16.32</v>
      </c>
    </row>
    <row r="748" spans="1:8">
      <c r="A748" s="1067"/>
      <c r="B748" s="1065" t="s">
        <v>5307</v>
      </c>
      <c r="C748" s="1066">
        <v>3</v>
      </c>
      <c r="D748" s="1066">
        <v>14</v>
      </c>
      <c r="E748" s="1062">
        <v>1.83</v>
      </c>
      <c r="F748" s="1066"/>
      <c r="G748" s="1062">
        <v>0.15</v>
      </c>
      <c r="H748" s="1062">
        <f t="shared" si="31"/>
        <v>11.53</v>
      </c>
    </row>
    <row r="749" spans="1:8">
      <c r="A749" s="1067"/>
      <c r="B749" s="1067" t="s">
        <v>5308</v>
      </c>
      <c r="C749" s="1066"/>
      <c r="D749" s="1066"/>
      <c r="E749" s="1066"/>
      <c r="F749" s="1066"/>
      <c r="G749" s="1066"/>
      <c r="H749" s="1062"/>
    </row>
    <row r="750" spans="1:8">
      <c r="A750" s="1067"/>
      <c r="B750" s="1065" t="s">
        <v>5309</v>
      </c>
      <c r="C750" s="1066">
        <v>1</v>
      </c>
      <c r="D750" s="1066">
        <v>1</v>
      </c>
      <c r="E750" s="1066">
        <v>2.2799999999999998</v>
      </c>
      <c r="F750" s="1062">
        <v>0.6</v>
      </c>
      <c r="G750" s="1062"/>
      <c r="H750" s="1062">
        <f t="shared" ref="H750:H755" si="32">PRODUCT(C750:G750)</f>
        <v>1.37</v>
      </c>
    </row>
    <row r="751" spans="1:8">
      <c r="A751" s="1067"/>
      <c r="B751" s="1065" t="s">
        <v>5310</v>
      </c>
      <c r="C751" s="1066"/>
      <c r="D751" s="1066"/>
      <c r="E751" s="1066"/>
      <c r="F751" s="1062"/>
      <c r="G751" s="1062"/>
      <c r="H751" s="1062">
        <f t="shared" si="32"/>
        <v>0</v>
      </c>
    </row>
    <row r="752" spans="1:8">
      <c r="B752" s="1065" t="s">
        <v>5186</v>
      </c>
      <c r="C752" s="1066">
        <v>1</v>
      </c>
      <c r="D752" s="1066">
        <v>2</v>
      </c>
      <c r="E752" s="1066">
        <v>3.66</v>
      </c>
      <c r="F752" s="1062">
        <v>0.6</v>
      </c>
      <c r="H752" s="1062">
        <f t="shared" si="32"/>
        <v>4.3899999999999997</v>
      </c>
    </row>
    <row r="753" spans="2:8">
      <c r="B753" s="1065" t="s">
        <v>5187</v>
      </c>
      <c r="C753" s="1066">
        <v>1</v>
      </c>
      <c r="D753" s="1066">
        <v>1</v>
      </c>
      <c r="E753" s="1066">
        <v>7.08</v>
      </c>
      <c r="F753" s="1062">
        <v>0.6</v>
      </c>
      <c r="H753" s="1062">
        <f t="shared" si="32"/>
        <v>4.25</v>
      </c>
    </row>
    <row r="754" spans="2:8">
      <c r="B754" s="1065" t="s">
        <v>5188</v>
      </c>
      <c r="C754" s="1066">
        <v>1</v>
      </c>
      <c r="D754" s="1066">
        <v>1</v>
      </c>
      <c r="E754" s="1066">
        <v>3.08</v>
      </c>
      <c r="F754" s="1062">
        <v>0.6</v>
      </c>
      <c r="H754" s="1062">
        <f t="shared" si="32"/>
        <v>1.85</v>
      </c>
    </row>
    <row r="755" spans="2:8">
      <c r="B755" s="1065" t="s">
        <v>5189</v>
      </c>
      <c r="C755" s="1061">
        <v>1</v>
      </c>
      <c r="D755" s="1061">
        <v>3</v>
      </c>
      <c r="E755" s="1062">
        <v>1</v>
      </c>
      <c r="F755" s="1062">
        <v>0.6</v>
      </c>
      <c r="H755" s="1062">
        <f t="shared" si="32"/>
        <v>1.8</v>
      </c>
    </row>
    <row r="756" spans="2:8">
      <c r="B756" s="1085" t="s">
        <v>5311</v>
      </c>
    </row>
    <row r="757" spans="2:8">
      <c r="B757" s="1065" t="s">
        <v>5189</v>
      </c>
      <c r="C757" s="1061">
        <v>1</v>
      </c>
      <c r="D757" s="1061">
        <v>2</v>
      </c>
      <c r="E757" s="1062">
        <v>1</v>
      </c>
      <c r="F757" s="1062">
        <v>0.6</v>
      </c>
      <c r="H757" s="1062">
        <f t="shared" ref="H757:H828" si="33">PRODUCT(C757:G757)</f>
        <v>1.2</v>
      </c>
    </row>
    <row r="758" spans="2:8">
      <c r="B758" s="1082" t="s">
        <v>5312</v>
      </c>
      <c r="C758" s="1061"/>
      <c r="D758" s="1061"/>
      <c r="E758" s="1062"/>
      <c r="F758" s="1062"/>
      <c r="G758" s="1062"/>
      <c r="H758" s="1062">
        <f t="shared" si="33"/>
        <v>0</v>
      </c>
    </row>
    <row r="759" spans="2:8">
      <c r="B759" s="1065" t="s">
        <v>5150</v>
      </c>
      <c r="C759" s="1066">
        <v>2</v>
      </c>
      <c r="D759" s="1066">
        <v>10</v>
      </c>
      <c r="E759" s="1066">
        <v>1.46</v>
      </c>
      <c r="F759" s="1066"/>
      <c r="G759" s="1066">
        <v>0.15</v>
      </c>
      <c r="H759" s="1062">
        <f t="shared" si="33"/>
        <v>4.38</v>
      </c>
    </row>
    <row r="760" spans="2:8">
      <c r="B760" s="1065" t="s">
        <v>5313</v>
      </c>
      <c r="C760" s="1066">
        <v>1</v>
      </c>
      <c r="D760" s="1066">
        <v>10</v>
      </c>
      <c r="E760" s="1066">
        <v>1</v>
      </c>
      <c r="F760" s="1066">
        <v>0.23</v>
      </c>
      <c r="G760" s="1066"/>
      <c r="H760" s="1062">
        <f t="shared" si="33"/>
        <v>2.2999999999999998</v>
      </c>
    </row>
    <row r="761" spans="2:8">
      <c r="B761" s="1065" t="s">
        <v>5151</v>
      </c>
      <c r="C761" s="1066">
        <v>2</v>
      </c>
      <c r="D761" s="1066">
        <v>10</v>
      </c>
      <c r="E761" s="1066">
        <v>1.96</v>
      </c>
      <c r="F761" s="1066"/>
      <c r="G761" s="1066">
        <v>0.15</v>
      </c>
      <c r="H761" s="1062">
        <f t="shared" si="33"/>
        <v>5.88</v>
      </c>
    </row>
    <row r="762" spans="2:8">
      <c r="B762" s="1065" t="s">
        <v>5314</v>
      </c>
      <c r="C762" s="1066">
        <v>1</v>
      </c>
      <c r="D762" s="1066">
        <v>10</v>
      </c>
      <c r="E762" s="1066">
        <v>1.5</v>
      </c>
      <c r="F762" s="1066">
        <v>0.23</v>
      </c>
      <c r="G762" s="1066"/>
      <c r="H762" s="1062">
        <f t="shared" si="33"/>
        <v>3.45</v>
      </c>
    </row>
    <row r="763" spans="2:8">
      <c r="B763" s="1065" t="s">
        <v>5152</v>
      </c>
      <c r="C763" s="1066">
        <v>2</v>
      </c>
      <c r="D763" s="1066">
        <v>4</v>
      </c>
      <c r="E763" s="1066">
        <v>1.36</v>
      </c>
      <c r="F763" s="1066"/>
      <c r="G763" s="1066">
        <v>0.15</v>
      </c>
      <c r="H763" s="1062">
        <f t="shared" si="33"/>
        <v>1.63</v>
      </c>
    </row>
    <row r="764" spans="2:8">
      <c r="B764" s="1067" t="s">
        <v>5315</v>
      </c>
      <c r="C764" s="1061"/>
      <c r="D764" s="1061"/>
      <c r="E764" s="1062"/>
      <c r="F764" s="1062"/>
      <c r="H764" s="1062"/>
    </row>
    <row r="765" spans="2:8">
      <c r="B765" s="1065" t="s">
        <v>5150</v>
      </c>
      <c r="C765" s="1066">
        <v>2</v>
      </c>
      <c r="D765" s="1066">
        <v>15</v>
      </c>
      <c r="E765" s="1066">
        <v>1.46</v>
      </c>
      <c r="F765" s="1066"/>
      <c r="G765" s="1066">
        <v>0.15</v>
      </c>
      <c r="H765" s="1062">
        <f t="shared" ref="H765:H771" si="34">PRODUCT(C765:G765)</f>
        <v>6.57</v>
      </c>
    </row>
    <row r="766" spans="2:8">
      <c r="B766" s="1065" t="s">
        <v>5313</v>
      </c>
      <c r="C766" s="1066">
        <v>1</v>
      </c>
      <c r="D766" s="1066">
        <v>15</v>
      </c>
      <c r="E766" s="1066">
        <v>1</v>
      </c>
      <c r="F766" s="1066">
        <v>0.23</v>
      </c>
      <c r="G766" s="1066"/>
      <c r="H766" s="1062">
        <f t="shared" si="34"/>
        <v>3.45</v>
      </c>
    </row>
    <row r="767" spans="2:8">
      <c r="B767" s="1065" t="s">
        <v>5174</v>
      </c>
      <c r="C767" s="1066">
        <v>2</v>
      </c>
      <c r="D767" s="1066">
        <v>5</v>
      </c>
      <c r="E767" s="1066">
        <v>1.36</v>
      </c>
      <c r="F767" s="1066"/>
      <c r="G767" s="1066">
        <v>0.23</v>
      </c>
      <c r="H767" s="1062">
        <f t="shared" si="34"/>
        <v>3.13</v>
      </c>
    </row>
    <row r="768" spans="2:8">
      <c r="B768" s="1065" t="s">
        <v>5316</v>
      </c>
      <c r="C768" s="1066">
        <v>1</v>
      </c>
      <c r="D768" s="1066">
        <v>5</v>
      </c>
      <c r="E768" s="1066">
        <v>0.9</v>
      </c>
      <c r="F768" s="1066">
        <v>0.23</v>
      </c>
      <c r="G768" s="1066"/>
      <c r="H768" s="1062">
        <f t="shared" si="34"/>
        <v>1.04</v>
      </c>
    </row>
    <row r="769" spans="1:8">
      <c r="B769" s="1065" t="s">
        <v>5151</v>
      </c>
      <c r="C769" s="1066">
        <v>2</v>
      </c>
      <c r="D769" s="1066">
        <v>13</v>
      </c>
      <c r="E769" s="1066">
        <v>1.96</v>
      </c>
      <c r="F769" s="1066"/>
      <c r="G769" s="1066">
        <v>0.15</v>
      </c>
      <c r="H769" s="1062">
        <f t="shared" si="34"/>
        <v>7.64</v>
      </c>
    </row>
    <row r="770" spans="1:8">
      <c r="B770" s="1065" t="s">
        <v>5317</v>
      </c>
      <c r="C770" s="1066">
        <v>1</v>
      </c>
      <c r="D770" s="1066">
        <v>13</v>
      </c>
      <c r="E770" s="1066">
        <v>1.5</v>
      </c>
      <c r="F770" s="1066">
        <v>0.23</v>
      </c>
      <c r="G770" s="1066"/>
      <c r="H770" s="1062">
        <f t="shared" si="34"/>
        <v>4.49</v>
      </c>
    </row>
    <row r="771" spans="1:8">
      <c r="B771" s="1065" t="s">
        <v>5152</v>
      </c>
      <c r="C771" s="1066">
        <v>2</v>
      </c>
      <c r="D771" s="1066">
        <v>6</v>
      </c>
      <c r="E771" s="1066">
        <v>1.36</v>
      </c>
      <c r="F771" s="1066"/>
      <c r="G771" s="1066">
        <v>0.15</v>
      </c>
      <c r="H771" s="1062">
        <f t="shared" si="34"/>
        <v>2.4500000000000002</v>
      </c>
    </row>
    <row r="772" spans="1:8">
      <c r="B772" s="1067" t="s">
        <v>5318</v>
      </c>
      <c r="C772" s="1061"/>
      <c r="D772" s="1061"/>
      <c r="E772" s="1062"/>
      <c r="F772" s="1062"/>
      <c r="H772" s="1062"/>
    </row>
    <row r="773" spans="1:8">
      <c r="B773" s="1065" t="s">
        <v>5150</v>
      </c>
      <c r="C773" s="1066">
        <v>2</v>
      </c>
      <c r="D773" s="1066">
        <v>5</v>
      </c>
      <c r="E773" s="1066">
        <v>1.46</v>
      </c>
      <c r="F773" s="1066"/>
      <c r="G773" s="1066">
        <v>0.15</v>
      </c>
      <c r="H773" s="1062">
        <f t="shared" ref="H773:H780" si="35">PRODUCT(C773:G773)</f>
        <v>2.19</v>
      </c>
    </row>
    <row r="774" spans="1:8">
      <c r="B774" s="1065" t="s">
        <v>5319</v>
      </c>
      <c r="C774" s="1066">
        <v>1</v>
      </c>
      <c r="D774" s="1066">
        <v>5</v>
      </c>
      <c r="E774" s="1066">
        <v>1</v>
      </c>
      <c r="F774" s="1066">
        <v>0.23</v>
      </c>
      <c r="G774" s="1066"/>
      <c r="H774" s="1062">
        <f t="shared" si="35"/>
        <v>1.1499999999999999</v>
      </c>
    </row>
    <row r="775" spans="1:8">
      <c r="B775" s="1065" t="s">
        <v>5174</v>
      </c>
      <c r="C775" s="1066">
        <v>2</v>
      </c>
      <c r="D775" s="1066">
        <v>4</v>
      </c>
      <c r="E775" s="1066">
        <v>1.36</v>
      </c>
      <c r="F775" s="1066"/>
      <c r="G775" s="1066">
        <v>0.23</v>
      </c>
      <c r="H775" s="1062">
        <f t="shared" si="35"/>
        <v>2.5</v>
      </c>
    </row>
    <row r="776" spans="1:8">
      <c r="B776" s="1065" t="s">
        <v>5316</v>
      </c>
      <c r="C776" s="1066">
        <v>1</v>
      </c>
      <c r="D776" s="1066">
        <v>4</v>
      </c>
      <c r="E776" s="1066">
        <v>0.9</v>
      </c>
      <c r="F776" s="1066">
        <v>0.23</v>
      </c>
      <c r="G776" s="1066"/>
      <c r="H776" s="1062">
        <f t="shared" si="35"/>
        <v>0.83</v>
      </c>
    </row>
    <row r="777" spans="1:8">
      <c r="B777" s="1065" t="s">
        <v>5151</v>
      </c>
      <c r="C777" s="1066">
        <v>2</v>
      </c>
      <c r="D777" s="1066">
        <v>15</v>
      </c>
      <c r="E777" s="1066">
        <v>1.96</v>
      </c>
      <c r="F777" s="1066"/>
      <c r="G777" s="1066">
        <v>0.15</v>
      </c>
      <c r="H777" s="1062">
        <f t="shared" si="35"/>
        <v>8.82</v>
      </c>
    </row>
    <row r="778" spans="1:8">
      <c r="B778" s="1065" t="s">
        <v>5172</v>
      </c>
      <c r="C778" s="1066">
        <v>2</v>
      </c>
      <c r="D778" s="1066">
        <v>3</v>
      </c>
      <c r="E778" s="1066">
        <v>1.96</v>
      </c>
      <c r="F778" s="1066"/>
      <c r="G778" s="1066">
        <v>0.15</v>
      </c>
      <c r="H778" s="1062">
        <f t="shared" si="35"/>
        <v>1.76</v>
      </c>
    </row>
    <row r="779" spans="1:8">
      <c r="B779" s="1065" t="s">
        <v>5317</v>
      </c>
      <c r="C779" s="1066">
        <v>1</v>
      </c>
      <c r="D779" s="1066">
        <v>18</v>
      </c>
      <c r="E779" s="1066">
        <v>1.5</v>
      </c>
      <c r="F779" s="1066">
        <v>0.23</v>
      </c>
      <c r="G779" s="1066"/>
      <c r="H779" s="1062">
        <f t="shared" si="35"/>
        <v>6.21</v>
      </c>
    </row>
    <row r="780" spans="1:8">
      <c r="B780" s="1065" t="s">
        <v>5152</v>
      </c>
      <c r="C780" s="1066">
        <v>2</v>
      </c>
      <c r="D780" s="1066">
        <v>5</v>
      </c>
      <c r="E780" s="1066">
        <v>1.36</v>
      </c>
      <c r="F780" s="1066"/>
      <c r="G780" s="1066">
        <v>0.15</v>
      </c>
      <c r="H780" s="1062">
        <f t="shared" si="35"/>
        <v>2.04</v>
      </c>
    </row>
    <row r="781" spans="1:8">
      <c r="B781" s="1067" t="s">
        <v>5320</v>
      </c>
      <c r="C781" s="1066"/>
      <c r="D781" s="1066"/>
      <c r="E781" s="1066"/>
      <c r="F781" s="1066"/>
      <c r="G781" s="1066"/>
      <c r="H781" s="1062"/>
    </row>
    <row r="782" spans="1:8">
      <c r="B782" s="1065" t="s">
        <v>5150</v>
      </c>
      <c r="C782" s="1066">
        <v>2</v>
      </c>
      <c r="D782" s="1066">
        <v>1</v>
      </c>
      <c r="E782" s="1066">
        <v>1.46</v>
      </c>
      <c r="F782" s="1066"/>
      <c r="G782" s="1066">
        <v>0.15</v>
      </c>
      <c r="H782" s="1062">
        <f>PRODUCT(C782:G782)</f>
        <v>0.44</v>
      </c>
    </row>
    <row r="783" spans="1:8">
      <c r="B783" s="1065" t="s">
        <v>5313</v>
      </c>
      <c r="C783" s="1066">
        <v>1</v>
      </c>
      <c r="D783" s="1066">
        <v>1</v>
      </c>
      <c r="E783" s="1066">
        <v>1</v>
      </c>
      <c r="F783" s="1066">
        <v>0.23</v>
      </c>
      <c r="G783" s="1066"/>
      <c r="H783" s="1062">
        <f>PRODUCT(C783:G783)</f>
        <v>0.23</v>
      </c>
    </row>
    <row r="784" spans="1:8">
      <c r="A784" s="1067"/>
      <c r="B784" s="1067" t="s">
        <v>5321</v>
      </c>
      <c r="C784" s="1066"/>
      <c r="D784" s="1066"/>
      <c r="E784" s="1066"/>
      <c r="F784" s="1066"/>
      <c r="G784" s="1066"/>
      <c r="H784" s="1062">
        <f t="shared" si="33"/>
        <v>0</v>
      </c>
    </row>
    <row r="785" spans="1:8">
      <c r="A785" s="1067"/>
      <c r="B785" s="1065" t="s">
        <v>5098</v>
      </c>
      <c r="C785" s="1066">
        <v>2</v>
      </c>
      <c r="D785" s="1066">
        <v>3</v>
      </c>
      <c r="E785" s="1066">
        <v>14</v>
      </c>
      <c r="F785" s="1066"/>
      <c r="G785" s="1066">
        <v>0.26</v>
      </c>
      <c r="H785" s="1062">
        <f t="shared" si="33"/>
        <v>21.84</v>
      </c>
    </row>
    <row r="786" spans="1:8">
      <c r="A786" s="1067"/>
      <c r="B786" s="1065" t="s">
        <v>5099</v>
      </c>
      <c r="C786" s="1066">
        <v>2</v>
      </c>
      <c r="D786" s="1066">
        <v>4</v>
      </c>
      <c r="E786" s="1062">
        <v>4.5</v>
      </c>
      <c r="F786" s="1066"/>
      <c r="G786" s="1066">
        <v>0.26</v>
      </c>
      <c r="H786" s="1062">
        <f t="shared" si="33"/>
        <v>9.36</v>
      </c>
    </row>
    <row r="787" spans="1:8">
      <c r="A787" s="1067"/>
      <c r="B787" s="1065"/>
      <c r="C787" s="1066">
        <v>2</v>
      </c>
      <c r="D787" s="1066">
        <v>4</v>
      </c>
      <c r="E787" s="1068">
        <v>4.2699999999999996</v>
      </c>
      <c r="F787" s="1066"/>
      <c r="G787" s="1066">
        <v>0.26</v>
      </c>
      <c r="H787" s="1062">
        <f t="shared" si="33"/>
        <v>8.8800000000000008</v>
      </c>
    </row>
    <row r="788" spans="1:8">
      <c r="A788" s="1067"/>
      <c r="B788" s="1065" t="s">
        <v>5155</v>
      </c>
      <c r="C788" s="1066">
        <v>2</v>
      </c>
      <c r="D788" s="1066">
        <v>1</v>
      </c>
      <c r="E788" s="1068">
        <v>9.4499999999999993</v>
      </c>
      <c r="F788" s="1066"/>
      <c r="G788" s="1066">
        <v>0.41</v>
      </c>
      <c r="H788" s="1062">
        <f t="shared" si="33"/>
        <v>7.75</v>
      </c>
    </row>
    <row r="789" spans="1:8">
      <c r="A789" s="1067"/>
      <c r="B789" s="1065" t="s">
        <v>5156</v>
      </c>
      <c r="C789" s="1066">
        <v>2</v>
      </c>
      <c r="D789" s="1066">
        <v>1</v>
      </c>
      <c r="E789" s="1068">
        <v>9.4499999999999993</v>
      </c>
      <c r="F789" s="1066"/>
      <c r="G789" s="1066">
        <v>0.33</v>
      </c>
      <c r="H789" s="1062">
        <f t="shared" si="33"/>
        <v>6.24</v>
      </c>
    </row>
    <row r="790" spans="1:8" ht="29.25">
      <c r="B790" s="1069" t="s">
        <v>5072</v>
      </c>
      <c r="C790" s="1066">
        <v>2</v>
      </c>
      <c r="D790" s="1066">
        <v>3</v>
      </c>
      <c r="E790" s="1062">
        <v>24.92</v>
      </c>
      <c r="F790" s="1066"/>
      <c r="G790" s="1066">
        <v>0.26</v>
      </c>
      <c r="H790" s="1062">
        <f t="shared" si="33"/>
        <v>38.880000000000003</v>
      </c>
    </row>
    <row r="791" spans="1:8">
      <c r="B791" s="1069"/>
      <c r="C791" s="1066">
        <v>2</v>
      </c>
      <c r="D791" s="1070">
        <v>1</v>
      </c>
      <c r="E791" s="1071">
        <v>20.12</v>
      </c>
      <c r="F791" s="1066"/>
      <c r="G791" s="1066">
        <v>0.26</v>
      </c>
      <c r="H791" s="1062">
        <f t="shared" si="33"/>
        <v>10.46</v>
      </c>
    </row>
    <row r="792" spans="1:8">
      <c r="B792" s="1069" t="s">
        <v>5073</v>
      </c>
      <c r="C792" s="1066">
        <v>2</v>
      </c>
      <c r="D792" s="1066">
        <v>3</v>
      </c>
      <c r="E792" s="1062">
        <v>9.2200000000000006</v>
      </c>
      <c r="F792" s="1066"/>
      <c r="G792" s="1066">
        <v>0.26</v>
      </c>
      <c r="H792" s="1062">
        <f t="shared" si="33"/>
        <v>14.38</v>
      </c>
    </row>
    <row r="793" spans="1:8">
      <c r="B793" s="1069" t="s">
        <v>5157</v>
      </c>
      <c r="C793" s="1066">
        <v>2</v>
      </c>
      <c r="D793" s="1066">
        <v>3</v>
      </c>
      <c r="E793" s="1062">
        <v>9.2200000000000006</v>
      </c>
      <c r="F793" s="1066"/>
      <c r="G793" s="1066">
        <v>0.33</v>
      </c>
      <c r="H793" s="1062">
        <f t="shared" si="33"/>
        <v>18.260000000000002</v>
      </c>
    </row>
    <row r="794" spans="1:8">
      <c r="B794" s="1069" t="s">
        <v>5158</v>
      </c>
      <c r="C794" s="1066">
        <v>2</v>
      </c>
      <c r="D794" s="1066">
        <v>1</v>
      </c>
      <c r="E794" s="1062">
        <v>4.75</v>
      </c>
      <c r="F794" s="1066"/>
      <c r="G794" s="1066">
        <v>0.33</v>
      </c>
      <c r="H794" s="1062">
        <f t="shared" si="33"/>
        <v>3.14</v>
      </c>
    </row>
    <row r="795" spans="1:8">
      <c r="B795" s="1069" t="s">
        <v>5074</v>
      </c>
      <c r="C795" s="1066">
        <v>2</v>
      </c>
      <c r="D795" s="1066">
        <v>2</v>
      </c>
      <c r="E795" s="1068">
        <v>5.6</v>
      </c>
      <c r="F795" s="1066"/>
      <c r="G795" s="1066">
        <v>0.26</v>
      </c>
      <c r="H795" s="1062">
        <f t="shared" si="33"/>
        <v>5.82</v>
      </c>
    </row>
    <row r="796" spans="1:8">
      <c r="B796" s="1069" t="s">
        <v>5075</v>
      </c>
      <c r="C796" s="1066">
        <v>2</v>
      </c>
      <c r="D796" s="1066">
        <v>3</v>
      </c>
      <c r="E796" s="1068">
        <v>2.13</v>
      </c>
      <c r="F796" s="1066"/>
      <c r="G796" s="1066">
        <v>0.26</v>
      </c>
      <c r="H796" s="1062">
        <f t="shared" si="33"/>
        <v>3.32</v>
      </c>
    </row>
    <row r="797" spans="1:8">
      <c r="B797" s="1069" t="s">
        <v>5076</v>
      </c>
      <c r="C797" s="1066">
        <v>2</v>
      </c>
      <c r="D797" s="1066">
        <v>1</v>
      </c>
      <c r="E797" s="1068">
        <v>12.68</v>
      </c>
      <c r="F797" s="1066"/>
      <c r="G797" s="1066">
        <v>0.26</v>
      </c>
      <c r="H797" s="1062">
        <f t="shared" si="33"/>
        <v>6.59</v>
      </c>
    </row>
    <row r="798" spans="1:8">
      <c r="B798" s="1069" t="s">
        <v>5077</v>
      </c>
      <c r="C798" s="1066">
        <v>2</v>
      </c>
      <c r="D798" s="1066">
        <v>1</v>
      </c>
      <c r="E798" s="1062">
        <v>15.35</v>
      </c>
      <c r="F798" s="1066"/>
      <c r="G798" s="1066">
        <v>0.26</v>
      </c>
      <c r="H798" s="1062">
        <f t="shared" si="33"/>
        <v>7.98</v>
      </c>
    </row>
    <row r="799" spans="1:8">
      <c r="B799" s="1069" t="s">
        <v>5078</v>
      </c>
      <c r="C799" s="1066">
        <v>2</v>
      </c>
      <c r="D799" s="1066">
        <v>1</v>
      </c>
      <c r="E799" s="1062">
        <v>3.51</v>
      </c>
      <c r="F799" s="1066"/>
      <c r="G799" s="1066">
        <v>0.26</v>
      </c>
      <c r="H799" s="1062">
        <f t="shared" si="33"/>
        <v>1.83</v>
      </c>
    </row>
    <row r="800" spans="1:8">
      <c r="B800" s="1069" t="s">
        <v>5079</v>
      </c>
      <c r="C800" s="1066">
        <v>2</v>
      </c>
      <c r="D800" s="1066">
        <v>2</v>
      </c>
      <c r="E800" s="1062">
        <v>3.66</v>
      </c>
      <c r="F800" s="1066"/>
      <c r="G800" s="1066">
        <v>0.26</v>
      </c>
      <c r="H800" s="1062">
        <f t="shared" si="33"/>
        <v>3.81</v>
      </c>
    </row>
    <row r="801" spans="1:8">
      <c r="B801" s="1069" t="s">
        <v>5080</v>
      </c>
      <c r="C801" s="1066">
        <v>2</v>
      </c>
      <c r="D801" s="1066">
        <v>2</v>
      </c>
      <c r="E801" s="1062">
        <v>4.72</v>
      </c>
      <c r="F801" s="1066"/>
      <c r="G801" s="1066">
        <v>0.26</v>
      </c>
      <c r="H801" s="1062">
        <f t="shared" si="33"/>
        <v>4.91</v>
      </c>
    </row>
    <row r="802" spans="1:8">
      <c r="B802" s="1069" t="s">
        <v>5159</v>
      </c>
      <c r="C802" s="1066">
        <v>2</v>
      </c>
      <c r="D802" s="1066">
        <v>1</v>
      </c>
      <c r="E802" s="1062">
        <v>8.89</v>
      </c>
      <c r="F802" s="1066"/>
      <c r="G802" s="1066">
        <v>0.33</v>
      </c>
      <c r="H802" s="1062">
        <f t="shared" si="33"/>
        <v>5.87</v>
      </c>
    </row>
    <row r="803" spans="1:8">
      <c r="B803" s="1069" t="s">
        <v>5081</v>
      </c>
      <c r="C803" s="1066">
        <v>2</v>
      </c>
      <c r="D803" s="1066">
        <v>1</v>
      </c>
      <c r="E803" s="1062">
        <v>13.12</v>
      </c>
      <c r="F803" s="1066"/>
      <c r="G803" s="1066">
        <v>0.26</v>
      </c>
      <c r="H803" s="1062">
        <f t="shared" si="33"/>
        <v>6.82</v>
      </c>
    </row>
    <row r="804" spans="1:8">
      <c r="A804" s="1067"/>
      <c r="B804" s="1082" t="s">
        <v>5322</v>
      </c>
      <c r="C804" s="1061"/>
      <c r="D804" s="1061"/>
      <c r="E804" s="1062"/>
      <c r="F804" s="1062"/>
      <c r="G804" s="1062"/>
      <c r="H804" s="1062">
        <f t="shared" si="33"/>
        <v>0</v>
      </c>
    </row>
    <row r="805" spans="1:8">
      <c r="A805" s="1067"/>
      <c r="B805" s="1069" t="s">
        <v>5323</v>
      </c>
      <c r="C805" s="1061">
        <v>1</v>
      </c>
      <c r="D805" s="1061">
        <v>1</v>
      </c>
      <c r="E805" s="1062">
        <v>9.4499999999999993</v>
      </c>
      <c r="F805" s="1062">
        <v>14</v>
      </c>
      <c r="G805" s="1062"/>
      <c r="H805" s="1062">
        <f t="shared" si="33"/>
        <v>132.30000000000001</v>
      </c>
    </row>
    <row r="806" spans="1:8">
      <c r="A806" s="1067"/>
      <c r="B806" s="1069" t="s">
        <v>5324</v>
      </c>
      <c r="C806" s="1061">
        <v>1</v>
      </c>
      <c r="D806" s="1061">
        <v>1</v>
      </c>
      <c r="E806" s="1062">
        <v>24.92</v>
      </c>
      <c r="F806" s="1062">
        <v>9.68</v>
      </c>
      <c r="G806" s="1062"/>
      <c r="H806" s="1062">
        <f t="shared" si="33"/>
        <v>241.23</v>
      </c>
    </row>
    <row r="807" spans="1:8" ht="17.25">
      <c r="A807" s="1067"/>
      <c r="B807" s="1069" t="s">
        <v>5165</v>
      </c>
      <c r="C807" s="1061">
        <v>0.25</v>
      </c>
      <c r="D807" s="1061">
        <v>1</v>
      </c>
      <c r="E807" s="1062">
        <v>3.14</v>
      </c>
      <c r="F807" s="1062" t="s">
        <v>5166</v>
      </c>
      <c r="G807" s="1062"/>
      <c r="H807" s="1062">
        <v>73.56</v>
      </c>
    </row>
    <row r="808" spans="1:8">
      <c r="A808" s="1067"/>
      <c r="B808" s="1069" t="s">
        <v>5325</v>
      </c>
      <c r="C808" s="1061">
        <v>1</v>
      </c>
      <c r="D808" s="1061">
        <v>1</v>
      </c>
      <c r="E808" s="1062">
        <v>112.3</v>
      </c>
      <c r="F808" s="1062"/>
      <c r="G808" s="1062">
        <v>0.12</v>
      </c>
      <c r="H808" s="1062">
        <f t="shared" si="33"/>
        <v>13.48</v>
      </c>
    </row>
    <row r="809" spans="1:8">
      <c r="A809" s="1067"/>
      <c r="B809" s="1067" t="s">
        <v>5326</v>
      </c>
      <c r="H809" s="1062">
        <f t="shared" si="33"/>
        <v>0</v>
      </c>
    </row>
    <row r="810" spans="1:8">
      <c r="A810" s="1067"/>
      <c r="B810" s="1065" t="s">
        <v>5176</v>
      </c>
      <c r="C810" s="1066">
        <v>2</v>
      </c>
      <c r="D810" s="1066">
        <v>2</v>
      </c>
      <c r="E810" s="1066">
        <v>14</v>
      </c>
      <c r="F810" s="1066"/>
      <c r="G810" s="1066">
        <v>0.33</v>
      </c>
      <c r="H810" s="1062">
        <f t="shared" si="33"/>
        <v>18.48</v>
      </c>
    </row>
    <row r="811" spans="1:8">
      <c r="A811" s="1067"/>
      <c r="B811" s="1065" t="s">
        <v>5177</v>
      </c>
      <c r="C811" s="1066">
        <v>2</v>
      </c>
      <c r="D811" s="1066">
        <v>3</v>
      </c>
      <c r="E811" s="1062">
        <v>4.5</v>
      </c>
      <c r="F811" s="1066"/>
      <c r="G811" s="1066">
        <v>0.26</v>
      </c>
      <c r="H811" s="1062">
        <f t="shared" si="33"/>
        <v>7.02</v>
      </c>
    </row>
    <row r="812" spans="1:8">
      <c r="A812" s="1067"/>
      <c r="B812" s="1065"/>
      <c r="C812" s="1066">
        <v>2</v>
      </c>
      <c r="D812" s="1066">
        <v>3</v>
      </c>
      <c r="E812" s="1068">
        <v>4.2699999999999996</v>
      </c>
      <c r="F812" s="1066"/>
      <c r="G812" s="1066">
        <v>0.26</v>
      </c>
      <c r="H812" s="1062">
        <f t="shared" si="33"/>
        <v>6.66</v>
      </c>
    </row>
    <row r="813" spans="1:8">
      <c r="B813" s="1065" t="s">
        <v>5178</v>
      </c>
      <c r="C813" s="1066">
        <v>2</v>
      </c>
      <c r="D813" s="1066">
        <v>2</v>
      </c>
      <c r="E813" s="1068">
        <v>9.4499999999999993</v>
      </c>
      <c r="F813" s="1066"/>
      <c r="G813" s="1066">
        <v>0.33</v>
      </c>
      <c r="H813" s="1062">
        <f t="shared" si="33"/>
        <v>12.47</v>
      </c>
    </row>
    <row r="814" spans="1:8">
      <c r="B814" s="1065" t="s">
        <v>5179</v>
      </c>
      <c r="C814" s="1066">
        <v>2</v>
      </c>
      <c r="D814" s="1066">
        <v>1</v>
      </c>
      <c r="E814" s="1068">
        <v>9.4499999999999993</v>
      </c>
      <c r="F814" s="1066"/>
      <c r="G814" s="1066">
        <v>0.33</v>
      </c>
      <c r="H814" s="1062">
        <f t="shared" si="33"/>
        <v>6.24</v>
      </c>
    </row>
    <row r="815" spans="1:8">
      <c r="B815" s="1069" t="s">
        <v>5180</v>
      </c>
      <c r="C815" s="1066">
        <v>2</v>
      </c>
      <c r="D815" s="1066">
        <v>2</v>
      </c>
      <c r="E815" s="1062">
        <v>24.92</v>
      </c>
      <c r="F815" s="1066"/>
      <c r="G815" s="1066">
        <v>0.33</v>
      </c>
      <c r="H815" s="1062">
        <f t="shared" si="33"/>
        <v>32.89</v>
      </c>
    </row>
    <row r="816" spans="1:8">
      <c r="B816" s="1069"/>
      <c r="C816" s="1066">
        <v>2</v>
      </c>
      <c r="D816" s="1070">
        <v>1</v>
      </c>
      <c r="E816" s="1071">
        <v>12.96</v>
      </c>
      <c r="F816" s="1066"/>
      <c r="G816" s="1066">
        <v>0.26</v>
      </c>
      <c r="H816" s="1062">
        <f t="shared" si="33"/>
        <v>6.74</v>
      </c>
    </row>
    <row r="817" spans="1:8">
      <c r="B817" s="1069" t="s">
        <v>5073</v>
      </c>
      <c r="C817" s="1066">
        <v>2</v>
      </c>
      <c r="D817" s="1066">
        <v>6</v>
      </c>
      <c r="E817" s="1062">
        <v>9.2200000000000006</v>
      </c>
      <c r="F817" s="1066"/>
      <c r="G817" s="1066">
        <v>0.33</v>
      </c>
      <c r="H817" s="1062">
        <f t="shared" si="33"/>
        <v>36.51</v>
      </c>
    </row>
    <row r="818" spans="1:8">
      <c r="B818" s="1069" t="s">
        <v>5181</v>
      </c>
      <c r="C818" s="1066">
        <v>2</v>
      </c>
      <c r="D818" s="1066">
        <v>4</v>
      </c>
      <c r="E818" s="1062">
        <v>3.55</v>
      </c>
      <c r="F818" s="1066"/>
      <c r="G818" s="1066">
        <v>0.26</v>
      </c>
      <c r="H818" s="1062">
        <f t="shared" si="33"/>
        <v>7.38</v>
      </c>
    </row>
    <row r="819" spans="1:8">
      <c r="A819" s="1067"/>
      <c r="B819" s="1069" t="s">
        <v>5182</v>
      </c>
      <c r="C819" s="1066">
        <v>2</v>
      </c>
      <c r="D819" s="1066">
        <v>2</v>
      </c>
      <c r="E819" s="1062">
        <v>4.75</v>
      </c>
      <c r="F819" s="1066"/>
      <c r="G819" s="1066">
        <v>0.33</v>
      </c>
      <c r="H819" s="1062">
        <f t="shared" si="33"/>
        <v>6.27</v>
      </c>
    </row>
    <row r="820" spans="1:8">
      <c r="A820" s="1067"/>
      <c r="B820" s="1069" t="s">
        <v>5074</v>
      </c>
      <c r="C820" s="1066">
        <v>2</v>
      </c>
      <c r="D820" s="1066">
        <v>2</v>
      </c>
      <c r="E820" s="1068">
        <v>5.6</v>
      </c>
      <c r="F820" s="1066"/>
      <c r="G820" s="1066">
        <v>0.26</v>
      </c>
      <c r="H820" s="1062">
        <f t="shared" si="33"/>
        <v>5.82</v>
      </c>
    </row>
    <row r="821" spans="1:8">
      <c r="A821" s="1067"/>
      <c r="B821" s="1069" t="s">
        <v>5075</v>
      </c>
      <c r="C821" s="1066">
        <v>2</v>
      </c>
      <c r="D821" s="1066">
        <v>3</v>
      </c>
      <c r="E821" s="1068">
        <v>2.13</v>
      </c>
      <c r="F821" s="1066"/>
      <c r="G821" s="1066">
        <v>0.26</v>
      </c>
      <c r="H821" s="1062">
        <f t="shared" si="33"/>
        <v>3.32</v>
      </c>
    </row>
    <row r="822" spans="1:8">
      <c r="A822" s="1067"/>
      <c r="B822" s="1069" t="s">
        <v>5076</v>
      </c>
      <c r="C822" s="1066">
        <v>2</v>
      </c>
      <c r="D822" s="1066">
        <v>1</v>
      </c>
      <c r="E822" s="1068">
        <v>12.68</v>
      </c>
      <c r="F822" s="1066"/>
      <c r="G822" s="1066">
        <v>0.26</v>
      </c>
      <c r="H822" s="1062">
        <f t="shared" si="33"/>
        <v>6.59</v>
      </c>
    </row>
    <row r="823" spans="1:8">
      <c r="A823" s="1067"/>
      <c r="B823" s="1069" t="s">
        <v>5183</v>
      </c>
      <c r="C823" s="1066">
        <v>2</v>
      </c>
      <c r="D823" s="1066">
        <v>1</v>
      </c>
      <c r="E823" s="1062">
        <v>15.35</v>
      </c>
      <c r="F823" s="1066"/>
      <c r="G823" s="1066">
        <v>0.33</v>
      </c>
      <c r="H823" s="1062">
        <f t="shared" si="33"/>
        <v>10.130000000000001</v>
      </c>
    </row>
    <row r="824" spans="1:8">
      <c r="A824" s="1067"/>
      <c r="B824" s="1069" t="s">
        <v>5078</v>
      </c>
      <c r="C824" s="1066">
        <v>2</v>
      </c>
      <c r="D824" s="1066">
        <v>1</v>
      </c>
      <c r="E824" s="1062">
        <v>3.51</v>
      </c>
      <c r="F824" s="1066"/>
      <c r="G824" s="1066">
        <v>0.26</v>
      </c>
      <c r="H824" s="1062">
        <f t="shared" si="33"/>
        <v>1.83</v>
      </c>
    </row>
    <row r="825" spans="1:8">
      <c r="A825" s="1067"/>
      <c r="B825" s="1069" t="s">
        <v>5079</v>
      </c>
      <c r="C825" s="1066">
        <v>2</v>
      </c>
      <c r="D825" s="1066">
        <v>2</v>
      </c>
      <c r="E825" s="1062">
        <v>3.66</v>
      </c>
      <c r="F825" s="1066"/>
      <c r="G825" s="1066">
        <v>0.33</v>
      </c>
      <c r="H825" s="1062">
        <f t="shared" si="33"/>
        <v>4.83</v>
      </c>
    </row>
    <row r="826" spans="1:8">
      <c r="B826" s="1069" t="s">
        <v>5080</v>
      </c>
      <c r="C826" s="1066">
        <v>2</v>
      </c>
      <c r="D826" s="1066">
        <v>2</v>
      </c>
      <c r="E826" s="1062">
        <v>4.72</v>
      </c>
      <c r="F826" s="1066"/>
      <c r="G826" s="1066">
        <v>0.33</v>
      </c>
      <c r="H826" s="1062">
        <f t="shared" si="33"/>
        <v>6.23</v>
      </c>
    </row>
    <row r="827" spans="1:8">
      <c r="B827" s="1069" t="s">
        <v>5184</v>
      </c>
      <c r="C827" s="1066">
        <v>2</v>
      </c>
      <c r="D827" s="1066">
        <v>1</v>
      </c>
      <c r="E827" s="1062">
        <v>8.89</v>
      </c>
      <c r="F827" s="1066"/>
      <c r="G827" s="1066">
        <v>0.33</v>
      </c>
      <c r="H827" s="1062">
        <f t="shared" si="33"/>
        <v>5.87</v>
      </c>
    </row>
    <row r="828" spans="1:8">
      <c r="B828" s="1069" t="s">
        <v>5185</v>
      </c>
      <c r="C828" s="1066">
        <v>2</v>
      </c>
      <c r="D828" s="1066">
        <v>1</v>
      </c>
      <c r="E828" s="1062">
        <v>2.14</v>
      </c>
      <c r="F828" s="1066"/>
      <c r="G828" s="1066">
        <v>0.33</v>
      </c>
      <c r="H828" s="1062">
        <f t="shared" si="33"/>
        <v>1.41</v>
      </c>
    </row>
    <row r="829" spans="1:8">
      <c r="B829" s="1082" t="s">
        <v>5327</v>
      </c>
      <c r="C829" s="1061"/>
      <c r="D829" s="1061"/>
      <c r="E829" s="1062"/>
      <c r="F829" s="1062"/>
      <c r="G829" s="1062"/>
      <c r="H829" s="1062">
        <f>PRODUCT(C829:G829)</f>
        <v>0</v>
      </c>
    </row>
    <row r="830" spans="1:8">
      <c r="B830" s="1069" t="s">
        <v>5328</v>
      </c>
      <c r="C830" s="1061">
        <v>1</v>
      </c>
      <c r="D830" s="1061">
        <v>1</v>
      </c>
      <c r="E830" s="1062">
        <v>9.4499999999999993</v>
      </c>
      <c r="F830" s="1062">
        <v>14</v>
      </c>
      <c r="G830" s="1062"/>
      <c r="H830" s="1062">
        <f>PRODUCT(C830:G830)</f>
        <v>132.30000000000001</v>
      </c>
    </row>
    <row r="831" spans="1:8">
      <c r="B831" s="1069" t="s">
        <v>5180</v>
      </c>
      <c r="C831" s="1061">
        <v>1</v>
      </c>
      <c r="D831" s="1061">
        <v>1</v>
      </c>
      <c r="E831" s="1062">
        <v>24.92</v>
      </c>
      <c r="F831" s="1062">
        <v>9.68</v>
      </c>
      <c r="G831" s="1062"/>
      <c r="H831" s="1062">
        <f>PRODUCT(C831:G831)</f>
        <v>241.23</v>
      </c>
    </row>
    <row r="832" spans="1:8" ht="17.25">
      <c r="A832" s="1067"/>
      <c r="B832" s="1069" t="s">
        <v>5165</v>
      </c>
      <c r="C832" s="1061">
        <v>0.25</v>
      </c>
      <c r="D832" s="1061">
        <v>1</v>
      </c>
      <c r="E832" s="1062">
        <v>3.14</v>
      </c>
      <c r="F832" s="1062" t="s">
        <v>5166</v>
      </c>
      <c r="G832" s="1062"/>
      <c r="H832" s="1062">
        <v>73.56</v>
      </c>
    </row>
    <row r="833" spans="1:8">
      <c r="A833" s="1067"/>
      <c r="B833" s="1069" t="s">
        <v>5325</v>
      </c>
      <c r="C833" s="1061">
        <v>1</v>
      </c>
      <c r="D833" s="1061">
        <v>1</v>
      </c>
      <c r="E833" s="1062">
        <v>112.3</v>
      </c>
      <c r="F833" s="1062"/>
      <c r="G833" s="1062">
        <v>0.12</v>
      </c>
      <c r="H833" s="1062">
        <f>PRODUCT(C833:G833)</f>
        <v>13.48</v>
      </c>
    </row>
    <row r="834" spans="1:8" ht="31.5">
      <c r="A834" s="1067"/>
      <c r="B834" s="1090" t="s">
        <v>5329</v>
      </c>
      <c r="H834" s="1091">
        <f>+SUM(H810:H833)</f>
        <v>647.26</v>
      </c>
    </row>
    <row r="835" spans="1:8">
      <c r="A835" s="1067"/>
      <c r="B835" s="1090" t="s">
        <v>5330</v>
      </c>
    </row>
    <row r="836" spans="1:8">
      <c r="A836" s="1067"/>
      <c r="B836" s="1065" t="s">
        <v>5073</v>
      </c>
      <c r="C836" s="1065">
        <v>2</v>
      </c>
      <c r="D836" s="1065">
        <v>4</v>
      </c>
      <c r="E836" s="1087">
        <v>6.1</v>
      </c>
      <c r="F836" s="1087"/>
      <c r="G836" s="1087">
        <v>0.38</v>
      </c>
      <c r="H836" s="1087">
        <f t="shared" ref="H836:H842" si="36">PRODUCT(C836:G836)</f>
        <v>18.54</v>
      </c>
    </row>
    <row r="837" spans="1:8">
      <c r="A837" s="1067"/>
      <c r="B837" s="1065" t="s">
        <v>5196</v>
      </c>
      <c r="C837" s="1065">
        <v>2</v>
      </c>
      <c r="D837" s="1065">
        <v>1</v>
      </c>
      <c r="E837" s="1087">
        <v>7.63</v>
      </c>
      <c r="F837" s="1087"/>
      <c r="G837" s="1087">
        <v>0.38</v>
      </c>
      <c r="H837" s="1087">
        <f t="shared" si="36"/>
        <v>5.8</v>
      </c>
    </row>
    <row r="838" spans="1:8">
      <c r="A838" s="1067"/>
      <c r="B838" s="1065" t="s">
        <v>5197</v>
      </c>
      <c r="C838" s="1065">
        <v>2</v>
      </c>
      <c r="D838" s="1065">
        <v>1</v>
      </c>
      <c r="E838" s="1087">
        <v>6.91</v>
      </c>
      <c r="F838" s="1087"/>
      <c r="G838" s="1087">
        <v>0.38</v>
      </c>
      <c r="H838" s="1087">
        <f t="shared" si="36"/>
        <v>5.25</v>
      </c>
    </row>
    <row r="839" spans="1:8">
      <c r="A839" s="1067"/>
      <c r="B839" s="1065"/>
      <c r="C839" s="1065">
        <v>2</v>
      </c>
      <c r="D839" s="1065">
        <v>1</v>
      </c>
      <c r="E839" s="1087">
        <v>4.4400000000000004</v>
      </c>
      <c r="F839" s="1087"/>
      <c r="G839" s="1087">
        <v>0.38</v>
      </c>
      <c r="H839" s="1087">
        <f t="shared" si="36"/>
        <v>3.37</v>
      </c>
    </row>
    <row r="840" spans="1:8">
      <c r="A840" s="1067"/>
      <c r="B840" s="1065" t="s">
        <v>5198</v>
      </c>
      <c r="C840" s="1065">
        <v>1</v>
      </c>
      <c r="D840" s="1065">
        <v>1</v>
      </c>
      <c r="E840" s="1087">
        <v>6.03</v>
      </c>
      <c r="F840" s="1087">
        <v>6.01</v>
      </c>
      <c r="G840" s="1087"/>
      <c r="H840" s="1087">
        <f t="shared" si="36"/>
        <v>36.24</v>
      </c>
    </row>
    <row r="841" spans="1:8">
      <c r="A841" s="1067"/>
      <c r="B841" s="1065" t="s">
        <v>5199</v>
      </c>
      <c r="C841" s="1065">
        <v>1</v>
      </c>
      <c r="D841" s="1065">
        <v>2</v>
      </c>
      <c r="E841" s="1087">
        <v>2.91</v>
      </c>
      <c r="F841" s="1087"/>
      <c r="G841" s="1087">
        <v>0.1</v>
      </c>
      <c r="H841" s="1087">
        <f t="shared" si="36"/>
        <v>0.57999999999999996</v>
      </c>
    </row>
    <row r="842" spans="1:8">
      <c r="A842" s="1067"/>
      <c r="B842" s="1065" t="s">
        <v>5200</v>
      </c>
      <c r="C842" s="1065">
        <v>1</v>
      </c>
      <c r="D842" s="1065">
        <v>1</v>
      </c>
      <c r="E842" s="1087">
        <v>2.91</v>
      </c>
      <c r="F842" s="1087">
        <v>1.96</v>
      </c>
      <c r="G842" s="1087"/>
      <c r="H842" s="1087">
        <f t="shared" si="36"/>
        <v>5.7</v>
      </c>
    </row>
    <row r="843" spans="1:8">
      <c r="A843" s="1067"/>
      <c r="B843" s="1065"/>
      <c r="C843" s="1066"/>
      <c r="D843" s="1066"/>
      <c r="E843" s="1066"/>
      <c r="F843" s="1066"/>
      <c r="G843" s="1066"/>
      <c r="H843" s="1062">
        <f>SUM(H741:H842)</f>
        <v>2291.63</v>
      </c>
    </row>
    <row r="844" spans="1:8">
      <c r="A844" s="1067"/>
      <c r="B844" s="1065"/>
      <c r="C844" s="1065"/>
      <c r="D844" s="1065"/>
      <c r="E844" s="1087"/>
      <c r="F844" s="1072" t="s">
        <v>4121</v>
      </c>
      <c r="G844" s="1073">
        <f>ROUNDUP(H843,1)</f>
        <v>2291.6999999999998</v>
      </c>
      <c r="H844" s="1074" t="s">
        <v>2199</v>
      </c>
    </row>
    <row r="845" spans="1:8">
      <c r="A845" s="1067" t="s">
        <v>5331</v>
      </c>
      <c r="B845" s="1067" t="s">
        <v>5332</v>
      </c>
      <c r="C845" s="1061"/>
      <c r="D845" s="1061"/>
      <c r="E845" s="1062"/>
      <c r="F845" s="1062"/>
      <c r="G845" s="1058"/>
      <c r="H845" s="1077"/>
    </row>
    <row r="846" spans="1:8">
      <c r="A846" s="1067"/>
      <c r="B846" s="1067" t="s">
        <v>5106</v>
      </c>
      <c r="C846" s="1066"/>
      <c r="D846" s="1066"/>
      <c r="E846" s="1066"/>
      <c r="F846" s="1066"/>
      <c r="G846" s="1066"/>
      <c r="H846" s="1062"/>
    </row>
    <row r="847" spans="1:8">
      <c r="A847" s="1065"/>
      <c r="B847" s="1065" t="s">
        <v>5107</v>
      </c>
      <c r="C847" s="1066">
        <v>1</v>
      </c>
      <c r="D847" s="1066">
        <v>3</v>
      </c>
      <c r="E847" s="1066">
        <v>1.22</v>
      </c>
      <c r="F847" s="1062"/>
      <c r="G847" s="1068">
        <v>1</v>
      </c>
      <c r="H847" s="1062">
        <f>PRODUCT(C847:G847)</f>
        <v>3.66</v>
      </c>
    </row>
    <row r="848" spans="1:8">
      <c r="A848" s="1065"/>
      <c r="B848" s="1065" t="s">
        <v>5108</v>
      </c>
      <c r="C848" s="1066">
        <v>1</v>
      </c>
      <c r="D848" s="1066">
        <v>7</v>
      </c>
      <c r="E848" s="1066">
        <v>1.22</v>
      </c>
      <c r="F848" s="1062"/>
      <c r="G848" s="1068">
        <v>0.92500000000000004</v>
      </c>
      <c r="H848" s="1062">
        <f t="shared" ref="H848:H855" si="37">PRODUCT(C848:G848)</f>
        <v>7.9</v>
      </c>
    </row>
    <row r="849" spans="1:8">
      <c r="A849" s="1065"/>
      <c r="B849" s="1065" t="s">
        <v>5109</v>
      </c>
      <c r="C849" s="1066">
        <v>1</v>
      </c>
      <c r="D849" s="1066">
        <v>6</v>
      </c>
      <c r="E849" s="1066">
        <v>1.36</v>
      </c>
      <c r="F849" s="1062"/>
      <c r="G849" s="1068">
        <v>0.92500000000000004</v>
      </c>
      <c r="H849" s="1062">
        <f t="shared" si="37"/>
        <v>7.55</v>
      </c>
    </row>
    <row r="850" spans="1:8">
      <c r="A850" s="1065"/>
      <c r="B850" s="1065" t="s">
        <v>5110</v>
      </c>
      <c r="C850" s="1066">
        <v>1</v>
      </c>
      <c r="D850" s="1066">
        <v>1</v>
      </c>
      <c r="E850" s="1066">
        <v>1.22</v>
      </c>
      <c r="F850" s="1062"/>
      <c r="G850" s="1068">
        <v>0.85</v>
      </c>
      <c r="H850" s="1062">
        <f t="shared" si="37"/>
        <v>1.04</v>
      </c>
    </row>
    <row r="851" spans="1:8">
      <c r="A851" s="1065"/>
      <c r="B851" s="1065" t="s">
        <v>5111</v>
      </c>
      <c r="C851" s="1066">
        <v>1</v>
      </c>
      <c r="D851" s="1066">
        <v>10</v>
      </c>
      <c r="E851" s="1066">
        <v>1.36</v>
      </c>
      <c r="F851" s="1062"/>
      <c r="G851" s="1068">
        <v>0.85</v>
      </c>
      <c r="H851" s="1062">
        <f t="shared" si="37"/>
        <v>11.56</v>
      </c>
    </row>
    <row r="852" spans="1:8">
      <c r="A852" s="1065"/>
      <c r="B852" s="1065" t="s">
        <v>5112</v>
      </c>
      <c r="C852" s="1066">
        <v>1</v>
      </c>
      <c r="D852" s="1066">
        <v>6</v>
      </c>
      <c r="E852" s="1066">
        <v>1.36</v>
      </c>
      <c r="F852" s="1062"/>
      <c r="G852" s="1068">
        <v>0.77500000000000002</v>
      </c>
      <c r="H852" s="1062">
        <f t="shared" si="37"/>
        <v>6.32</v>
      </c>
    </row>
    <row r="853" spans="1:8">
      <c r="A853" s="1065"/>
      <c r="B853" s="1065" t="s">
        <v>5113</v>
      </c>
      <c r="C853" s="1066">
        <v>1</v>
      </c>
      <c r="D853" s="1066">
        <v>12</v>
      </c>
      <c r="E853" s="1062">
        <v>1.5</v>
      </c>
      <c r="F853" s="1062"/>
      <c r="G853" s="1068">
        <v>0.7</v>
      </c>
      <c r="H853" s="1062">
        <f t="shared" si="37"/>
        <v>12.6</v>
      </c>
    </row>
    <row r="854" spans="1:8">
      <c r="A854" s="1065"/>
      <c r="B854" s="1065" t="s">
        <v>5114</v>
      </c>
      <c r="C854" s="1066">
        <v>1</v>
      </c>
      <c r="D854" s="1066">
        <v>3</v>
      </c>
      <c r="E854" s="1066">
        <v>1.22</v>
      </c>
      <c r="F854" s="1062"/>
      <c r="G854" s="1068">
        <v>0.85</v>
      </c>
      <c r="H854" s="1062">
        <f t="shared" si="37"/>
        <v>3.11</v>
      </c>
    </row>
    <row r="855" spans="1:8">
      <c r="A855" s="1065"/>
      <c r="B855" s="1065" t="s">
        <v>5115</v>
      </c>
      <c r="C855" s="1066">
        <v>1</v>
      </c>
      <c r="D855" s="1066">
        <v>1</v>
      </c>
      <c r="E855" s="1066">
        <v>1.36</v>
      </c>
      <c r="F855" s="1062"/>
      <c r="G855" s="1068">
        <v>0.85</v>
      </c>
      <c r="H855" s="1062">
        <f t="shared" si="37"/>
        <v>1.1599999999999999</v>
      </c>
    </row>
    <row r="856" spans="1:8">
      <c r="A856" s="1065"/>
      <c r="B856" s="1065" t="s">
        <v>5104</v>
      </c>
      <c r="C856" s="1066">
        <v>1</v>
      </c>
      <c r="D856" s="1066">
        <v>4</v>
      </c>
      <c r="E856" s="1066">
        <v>1.22</v>
      </c>
      <c r="F856" s="1062"/>
      <c r="G856" s="1068">
        <v>1</v>
      </c>
      <c r="H856" s="1062">
        <f>PRODUCT(C856:G856)</f>
        <v>4.88</v>
      </c>
    </row>
    <row r="857" spans="1:8" ht="29.25">
      <c r="A857" s="1067"/>
      <c r="B857" s="1082" t="s">
        <v>5116</v>
      </c>
      <c r="C857" s="1066"/>
      <c r="D857" s="1066"/>
      <c r="E857" s="1066"/>
      <c r="F857" s="1066"/>
      <c r="G857" s="1062"/>
      <c r="H857" s="1062"/>
    </row>
    <row r="858" spans="1:8">
      <c r="A858" s="1065"/>
      <c r="B858" s="1065" t="s">
        <v>5100</v>
      </c>
      <c r="C858" s="1066">
        <v>1</v>
      </c>
      <c r="D858" s="1066">
        <v>14</v>
      </c>
      <c r="E858" s="1066">
        <v>1.22</v>
      </c>
      <c r="F858" s="1062"/>
      <c r="G858" s="1062">
        <v>1</v>
      </c>
      <c r="H858" s="1062">
        <f>PRODUCT(C858:G858)</f>
        <v>17.079999999999998</v>
      </c>
    </row>
    <row r="859" spans="1:8">
      <c r="A859" s="1065"/>
      <c r="B859" s="1065" t="s">
        <v>5101</v>
      </c>
      <c r="C859" s="1066">
        <v>1</v>
      </c>
      <c r="D859" s="1066">
        <v>16</v>
      </c>
      <c r="E859" s="1066">
        <v>1.36</v>
      </c>
      <c r="F859" s="1062"/>
      <c r="G859" s="1062">
        <v>1</v>
      </c>
      <c r="H859" s="1062">
        <f>PRODUCT(C859:G859)</f>
        <v>21.76</v>
      </c>
    </row>
    <row r="860" spans="1:8">
      <c r="A860" s="1065"/>
      <c r="B860" s="1065" t="s">
        <v>5102</v>
      </c>
      <c r="C860" s="1066">
        <v>1</v>
      </c>
      <c r="D860" s="1066">
        <v>7</v>
      </c>
      <c r="E860" s="1066">
        <v>1.36</v>
      </c>
      <c r="F860" s="1062"/>
      <c r="G860" s="1062">
        <v>1</v>
      </c>
      <c r="H860" s="1062">
        <f>PRODUCT(C860:G860)</f>
        <v>9.52</v>
      </c>
    </row>
    <row r="861" spans="1:8">
      <c r="A861" s="1065"/>
      <c r="B861" s="1065" t="s">
        <v>5103</v>
      </c>
      <c r="C861" s="1066">
        <v>1</v>
      </c>
      <c r="D861" s="1066">
        <v>12</v>
      </c>
      <c r="E861" s="1066">
        <v>1.5</v>
      </c>
      <c r="F861" s="1062"/>
      <c r="G861" s="1062">
        <v>1</v>
      </c>
      <c r="H861" s="1062">
        <f>PRODUCT(C861:G861)</f>
        <v>18</v>
      </c>
    </row>
    <row r="862" spans="1:8">
      <c r="A862" s="1065"/>
      <c r="B862" s="1065" t="s">
        <v>5117</v>
      </c>
      <c r="C862" s="1066">
        <v>1</v>
      </c>
      <c r="D862" s="1066">
        <v>4</v>
      </c>
      <c r="E862" s="1066">
        <v>1.22</v>
      </c>
      <c r="F862" s="1062"/>
      <c r="G862" s="1062">
        <v>1</v>
      </c>
      <c r="H862" s="1062">
        <f>PRODUCT(C862:G862)</f>
        <v>4.88</v>
      </c>
    </row>
    <row r="863" spans="1:8">
      <c r="A863" s="1067"/>
      <c r="B863" s="1075" t="s">
        <v>5333</v>
      </c>
      <c r="C863" s="1061"/>
      <c r="D863" s="1061"/>
      <c r="E863" s="1062"/>
      <c r="F863" s="1062"/>
      <c r="G863" s="1062"/>
      <c r="H863" s="1062"/>
    </row>
    <row r="864" spans="1:8">
      <c r="A864" s="1067"/>
      <c r="B864" s="1067" t="s">
        <v>5142</v>
      </c>
      <c r="C864" s="1066"/>
      <c r="D864" s="1066"/>
      <c r="E864" s="1066"/>
      <c r="F864" s="1066"/>
      <c r="G864" s="1066"/>
      <c r="H864" s="1062">
        <f t="shared" ref="H864:H869" si="38">PRODUCT(C864:G864)</f>
        <v>0</v>
      </c>
    </row>
    <row r="865" spans="1:8">
      <c r="A865" s="1065"/>
      <c r="B865" s="1065" t="s">
        <v>5100</v>
      </c>
      <c r="C865" s="1066">
        <v>3</v>
      </c>
      <c r="D865" s="1066">
        <v>14</v>
      </c>
      <c r="E865" s="1066">
        <v>1.22</v>
      </c>
      <c r="F865" s="1062"/>
      <c r="G865" s="1062">
        <v>3.18</v>
      </c>
      <c r="H865" s="1062">
        <f t="shared" si="38"/>
        <v>162.94</v>
      </c>
    </row>
    <row r="866" spans="1:8">
      <c r="A866" s="1065"/>
      <c r="B866" s="1065" t="s">
        <v>5101</v>
      </c>
      <c r="C866" s="1066">
        <v>3</v>
      </c>
      <c r="D866" s="1066">
        <v>16</v>
      </c>
      <c r="E866" s="1066">
        <v>1.36</v>
      </c>
      <c r="F866" s="1062"/>
      <c r="G866" s="1062">
        <v>3.18</v>
      </c>
      <c r="H866" s="1062">
        <f t="shared" si="38"/>
        <v>207.59</v>
      </c>
    </row>
    <row r="867" spans="1:8">
      <c r="A867" s="1065"/>
      <c r="B867" s="1065" t="s">
        <v>5102</v>
      </c>
      <c r="C867" s="1066">
        <v>3</v>
      </c>
      <c r="D867" s="1066">
        <v>7</v>
      </c>
      <c r="E867" s="1066">
        <v>1.36</v>
      </c>
      <c r="F867" s="1062"/>
      <c r="G867" s="1062">
        <v>3.18</v>
      </c>
      <c r="H867" s="1062">
        <f t="shared" si="38"/>
        <v>90.82</v>
      </c>
    </row>
    <row r="868" spans="1:8">
      <c r="A868" s="1065"/>
      <c r="B868" s="1065" t="s">
        <v>5103</v>
      </c>
      <c r="C868" s="1066">
        <v>3</v>
      </c>
      <c r="D868" s="1066">
        <v>12</v>
      </c>
      <c r="E868" s="1066">
        <v>1.5</v>
      </c>
      <c r="F868" s="1062"/>
      <c r="G868" s="1062">
        <v>3.18</v>
      </c>
      <c r="H868" s="1062">
        <f t="shared" si="38"/>
        <v>171.72</v>
      </c>
    </row>
    <row r="869" spans="1:8">
      <c r="A869" s="1065"/>
      <c r="B869" s="1065" t="s">
        <v>5117</v>
      </c>
      <c r="C869" s="1066">
        <v>1</v>
      </c>
      <c r="D869" s="1066">
        <v>4</v>
      </c>
      <c r="E869" s="1066">
        <v>1.22</v>
      </c>
      <c r="F869" s="1062"/>
      <c r="G869" s="1062">
        <v>3.18</v>
      </c>
      <c r="H869" s="1062">
        <f t="shared" si="38"/>
        <v>15.52</v>
      </c>
    </row>
    <row r="870" spans="1:8">
      <c r="A870" s="1067"/>
      <c r="B870" s="1067" t="s">
        <v>5160</v>
      </c>
      <c r="C870" s="1061"/>
      <c r="D870" s="1061"/>
      <c r="E870" s="1062"/>
      <c r="F870" s="1062"/>
      <c r="G870" s="1062"/>
      <c r="H870" s="1063"/>
    </row>
    <row r="871" spans="1:8">
      <c r="A871" s="1067"/>
      <c r="B871" s="1067" t="s">
        <v>5334</v>
      </c>
      <c r="C871" s="1061"/>
      <c r="D871" s="1061"/>
      <c r="E871" s="1062"/>
      <c r="F871" s="1062"/>
      <c r="G871" s="1062"/>
      <c r="H871" s="1063"/>
    </row>
    <row r="872" spans="1:8">
      <c r="A872" s="1067"/>
      <c r="B872" s="1065" t="s">
        <v>5160</v>
      </c>
      <c r="C872" s="1066">
        <v>1</v>
      </c>
      <c r="D872" s="1066">
        <v>10</v>
      </c>
      <c r="E872" s="1066">
        <v>1.96</v>
      </c>
      <c r="F872" s="1066">
        <v>0.45</v>
      </c>
      <c r="G872" s="1066"/>
      <c r="H872" s="1062">
        <f>PRODUCT(C872:G872)</f>
        <v>8.82</v>
      </c>
    </row>
    <row r="873" spans="1:8">
      <c r="A873" s="1067"/>
      <c r="B873" s="1065" t="s">
        <v>5335</v>
      </c>
      <c r="C873" s="1066">
        <v>2</v>
      </c>
      <c r="D873" s="1066">
        <v>10</v>
      </c>
      <c r="E873" s="1066">
        <v>0.6</v>
      </c>
      <c r="F873" s="1066"/>
      <c r="G873" s="1066">
        <v>0.06</v>
      </c>
      <c r="H873" s="1062">
        <f>PRODUCT(C873:G873)</f>
        <v>0.72</v>
      </c>
    </row>
    <row r="874" spans="1:8">
      <c r="A874" s="1067"/>
      <c r="B874" s="1067" t="s">
        <v>5336</v>
      </c>
      <c r="C874" s="1066"/>
      <c r="D874" s="1066"/>
      <c r="E874" s="1062"/>
      <c r="F874" s="1062"/>
      <c r="G874" s="1062"/>
      <c r="H874" s="1062"/>
    </row>
    <row r="875" spans="1:8">
      <c r="A875" s="1067"/>
      <c r="B875" s="1065" t="s">
        <v>5160</v>
      </c>
      <c r="C875" s="1066">
        <v>1</v>
      </c>
      <c r="D875" s="1066">
        <v>13</v>
      </c>
      <c r="E875" s="1066">
        <v>1.96</v>
      </c>
      <c r="F875" s="1066">
        <v>0.45</v>
      </c>
      <c r="G875" s="1066"/>
      <c r="H875" s="1062">
        <f>PRODUCT(C875:G875)</f>
        <v>11.47</v>
      </c>
    </row>
    <row r="876" spans="1:8">
      <c r="A876" s="1067"/>
      <c r="B876" s="1065" t="s">
        <v>5335</v>
      </c>
      <c r="C876" s="1066">
        <v>2</v>
      </c>
      <c r="D876" s="1066">
        <v>13</v>
      </c>
      <c r="E876" s="1066">
        <v>0.6</v>
      </c>
      <c r="F876" s="1066"/>
      <c r="G876" s="1066">
        <v>0.06</v>
      </c>
      <c r="H876" s="1062">
        <f>PRODUCT(C876:G876)</f>
        <v>0.94</v>
      </c>
    </row>
    <row r="877" spans="1:8">
      <c r="A877" s="1067"/>
      <c r="B877" s="1067" t="s">
        <v>5337</v>
      </c>
      <c r="C877" s="1066"/>
      <c r="D877" s="1066"/>
      <c r="E877" s="1066"/>
      <c r="F877" s="1066"/>
      <c r="G877" s="1066"/>
      <c r="H877" s="1062"/>
    </row>
    <row r="878" spans="1:8">
      <c r="A878" s="1067"/>
      <c r="B878" s="1065" t="s">
        <v>5160</v>
      </c>
      <c r="C878" s="1066">
        <v>1</v>
      </c>
      <c r="D878" s="1066">
        <v>14</v>
      </c>
      <c r="E878" s="1066">
        <v>1.96</v>
      </c>
      <c r="F878" s="1066">
        <v>0.45</v>
      </c>
      <c r="G878" s="1066"/>
      <c r="H878" s="1062">
        <f>PRODUCT(C878:G878)</f>
        <v>12.35</v>
      </c>
    </row>
    <row r="879" spans="1:8">
      <c r="A879" s="1067"/>
      <c r="B879" s="1065" t="s">
        <v>5335</v>
      </c>
      <c r="C879" s="1066">
        <v>2</v>
      </c>
      <c r="D879" s="1066">
        <v>14</v>
      </c>
      <c r="E879" s="1066">
        <v>0.6</v>
      </c>
      <c r="F879" s="1066"/>
      <c r="G879" s="1066">
        <v>0.06</v>
      </c>
      <c r="H879" s="1062">
        <f>PRODUCT(C879:G879)</f>
        <v>1.01</v>
      </c>
    </row>
    <row r="880" spans="1:8">
      <c r="A880" s="1067"/>
      <c r="B880" s="1067" t="s">
        <v>5330</v>
      </c>
      <c r="C880" s="1066"/>
      <c r="D880" s="1066"/>
      <c r="E880" s="1066"/>
      <c r="F880" s="1066"/>
      <c r="G880" s="1066"/>
      <c r="H880" s="1062"/>
    </row>
    <row r="881" spans="1:8">
      <c r="A881" s="1067"/>
      <c r="B881" s="1065" t="s">
        <v>5160</v>
      </c>
      <c r="C881" s="1066">
        <v>1</v>
      </c>
      <c r="D881" s="1066">
        <v>1</v>
      </c>
      <c r="E881" s="1066">
        <v>1.46</v>
      </c>
      <c r="F881" s="1066">
        <v>0.45</v>
      </c>
      <c r="G881" s="1066"/>
      <c r="H881" s="1062">
        <f>PRODUCT(C881:G881)</f>
        <v>0.66</v>
      </c>
    </row>
    <row r="882" spans="1:8">
      <c r="A882" s="1067"/>
      <c r="B882" s="1065" t="s">
        <v>5335</v>
      </c>
      <c r="C882" s="1066">
        <v>2</v>
      </c>
      <c r="D882" s="1066">
        <v>1</v>
      </c>
      <c r="E882" s="1066">
        <v>0.6</v>
      </c>
      <c r="F882" s="1066"/>
      <c r="G882" s="1066">
        <v>0.06</v>
      </c>
      <c r="H882" s="1062">
        <f>PRODUCT(C882:G882)</f>
        <v>7.0000000000000007E-2</v>
      </c>
    </row>
    <row r="883" spans="1:8">
      <c r="A883" s="1067"/>
      <c r="B883" s="1067" t="s">
        <v>5338</v>
      </c>
      <c r="C883" s="1066"/>
      <c r="D883" s="1066"/>
      <c r="E883" s="1066"/>
      <c r="F883" s="1066"/>
      <c r="G883" s="1066"/>
      <c r="H883" s="1062"/>
    </row>
    <row r="884" spans="1:8">
      <c r="A884" s="1067"/>
      <c r="B884" s="1065" t="s">
        <v>4986</v>
      </c>
      <c r="C884" s="1066">
        <v>2</v>
      </c>
      <c r="D884" s="1066">
        <v>7</v>
      </c>
      <c r="E884" s="1066">
        <v>1.96</v>
      </c>
      <c r="F884" s="1066"/>
      <c r="G884" s="1066">
        <v>0.05</v>
      </c>
      <c r="H884" s="1062">
        <f>PRODUCT(C884:G884)</f>
        <v>1.37</v>
      </c>
    </row>
    <row r="885" spans="1:8">
      <c r="A885" s="1067"/>
      <c r="B885" s="1065" t="s">
        <v>5172</v>
      </c>
      <c r="C885" s="1066">
        <v>2</v>
      </c>
      <c r="D885" s="1066">
        <v>3</v>
      </c>
      <c r="E885" s="1066">
        <v>1.96</v>
      </c>
      <c r="F885" s="1066"/>
      <c r="G885" s="1066">
        <v>0.05</v>
      </c>
      <c r="H885" s="1062">
        <f>PRODUCT(C885:G885)</f>
        <v>0.59</v>
      </c>
    </row>
    <row r="886" spans="1:8">
      <c r="A886" s="1067"/>
      <c r="B886" s="1067" t="s">
        <v>5339</v>
      </c>
      <c r="C886" s="1066"/>
      <c r="D886" s="1066"/>
      <c r="E886" s="1066"/>
      <c r="F886" s="1066"/>
      <c r="G886" s="1066"/>
      <c r="H886" s="1062"/>
    </row>
    <row r="887" spans="1:8">
      <c r="A887" s="1067"/>
      <c r="B887" s="1065" t="s">
        <v>4986</v>
      </c>
      <c r="C887" s="1066">
        <v>2</v>
      </c>
      <c r="D887" s="1066">
        <v>13</v>
      </c>
      <c r="E887" s="1066">
        <v>1.96</v>
      </c>
      <c r="F887" s="1066"/>
      <c r="G887" s="1066">
        <v>0.05</v>
      </c>
      <c r="H887" s="1062">
        <f>PRODUCT(C887:G887)</f>
        <v>2.5499999999999998</v>
      </c>
    </row>
    <row r="888" spans="1:8">
      <c r="A888" s="1067"/>
      <c r="B888" s="1065" t="s">
        <v>5172</v>
      </c>
      <c r="C888" s="1066">
        <v>2</v>
      </c>
      <c r="D888" s="1066">
        <v>3</v>
      </c>
      <c r="E888" s="1066">
        <v>1.96</v>
      </c>
      <c r="F888" s="1066"/>
      <c r="G888" s="1066">
        <v>0.05</v>
      </c>
      <c r="H888" s="1062">
        <f>PRODUCT(C888:G888)</f>
        <v>0.59</v>
      </c>
    </row>
    <row r="889" spans="1:8">
      <c r="A889" s="1067"/>
      <c r="B889" s="1067" t="s">
        <v>5340</v>
      </c>
      <c r="C889" s="1066"/>
      <c r="D889" s="1066"/>
      <c r="E889" s="1066"/>
      <c r="F889" s="1066"/>
      <c r="G889" s="1066"/>
      <c r="H889" s="1062"/>
    </row>
    <row r="890" spans="1:8">
      <c r="A890" s="1067"/>
      <c r="B890" s="1065" t="s">
        <v>4986</v>
      </c>
      <c r="C890" s="1066">
        <v>2</v>
      </c>
      <c r="D890" s="1066">
        <v>15</v>
      </c>
      <c r="E890" s="1066">
        <v>1.96</v>
      </c>
      <c r="F890" s="1066"/>
      <c r="G890" s="1066">
        <v>0.05</v>
      </c>
      <c r="H890" s="1062">
        <f>PRODUCT(C890:G890)</f>
        <v>2.94</v>
      </c>
    </row>
    <row r="891" spans="1:8">
      <c r="A891" s="1067"/>
      <c r="B891" s="1065" t="s">
        <v>5172</v>
      </c>
      <c r="C891" s="1066">
        <v>2</v>
      </c>
      <c r="D891" s="1066">
        <v>3</v>
      </c>
      <c r="E891" s="1066">
        <v>1.96</v>
      </c>
      <c r="F891" s="1066"/>
      <c r="G891" s="1066">
        <v>0.05</v>
      </c>
      <c r="H891" s="1062">
        <f>PRODUCT(C891:G891)</f>
        <v>0.59</v>
      </c>
    </row>
    <row r="892" spans="1:8">
      <c r="A892" s="1067"/>
      <c r="B892" s="1067" t="s">
        <v>5341</v>
      </c>
      <c r="C892" s="1066"/>
      <c r="D892" s="1066"/>
      <c r="E892" s="1066"/>
      <c r="F892" s="1066"/>
      <c r="G892" s="1066"/>
      <c r="H892" s="1062"/>
    </row>
    <row r="893" spans="1:8">
      <c r="A893" s="1067"/>
      <c r="B893" s="1065" t="s">
        <v>5172</v>
      </c>
      <c r="C893" s="1066">
        <v>2</v>
      </c>
      <c r="D893" s="1066">
        <v>2</v>
      </c>
      <c r="E893" s="1066">
        <v>1.96</v>
      </c>
      <c r="F893" s="1066"/>
      <c r="G893" s="1066">
        <v>0.05</v>
      </c>
      <c r="H893" s="1062">
        <f>PRODUCT(C893:G893)</f>
        <v>0.39</v>
      </c>
    </row>
    <row r="894" spans="1:8">
      <c r="A894" s="1067"/>
      <c r="B894" s="1065"/>
      <c r="C894" s="1066"/>
      <c r="D894" s="1066"/>
      <c r="E894" s="1066"/>
      <c r="F894" s="1066"/>
      <c r="G894" s="1066"/>
      <c r="H894" s="1062">
        <f>+SUM(H847:H893)</f>
        <v>824.67</v>
      </c>
    </row>
    <row r="895" spans="1:8">
      <c r="A895" s="1067"/>
      <c r="B895" s="1065"/>
      <c r="C895" s="1065"/>
      <c r="D895" s="1065"/>
      <c r="E895" s="1087"/>
      <c r="F895" s="1072" t="s">
        <v>4121</v>
      </c>
      <c r="G895" s="1111">
        <f>ROUNDUP(H894,1)</f>
        <v>824.7</v>
      </c>
      <c r="H895" s="1074" t="s">
        <v>2199</v>
      </c>
    </row>
    <row r="896" spans="1:8" ht="29.25">
      <c r="A896" s="1059">
        <v>21</v>
      </c>
      <c r="B896" s="1082" t="s">
        <v>5342</v>
      </c>
      <c r="C896" s="1065"/>
      <c r="D896" s="1065"/>
      <c r="E896" s="1087"/>
      <c r="F896" s="1087"/>
      <c r="G896" s="1087"/>
      <c r="H896" s="1094"/>
    </row>
    <row r="897" spans="1:8" s="965" customFormat="1">
      <c r="A897" s="1059"/>
      <c r="B897" s="1067" t="s">
        <v>5343</v>
      </c>
      <c r="C897" s="1065"/>
      <c r="D897" s="1065"/>
      <c r="E897" s="1087"/>
      <c r="F897" s="1087"/>
      <c r="G897" s="1087"/>
      <c r="H897" s="1094"/>
    </row>
    <row r="898" spans="1:8" s="965" customFormat="1">
      <c r="A898" s="1059"/>
      <c r="B898" s="1067" t="s">
        <v>5344</v>
      </c>
      <c r="C898" s="1065"/>
      <c r="D898" s="1065"/>
      <c r="E898" s="1087"/>
      <c r="F898" s="1087"/>
      <c r="G898" s="1087"/>
      <c r="H898" s="1094"/>
    </row>
    <row r="899" spans="1:8" s="965" customFormat="1">
      <c r="A899" s="1059"/>
      <c r="B899" s="1065" t="s">
        <v>5345</v>
      </c>
      <c r="C899" s="1065">
        <v>2</v>
      </c>
      <c r="D899" s="1065">
        <v>4</v>
      </c>
      <c r="E899" s="1087">
        <v>2.1</v>
      </c>
      <c r="F899" s="1087">
        <v>0.1</v>
      </c>
      <c r="G899" s="1397">
        <v>7.4999999999999997E-2</v>
      </c>
      <c r="H899" s="1068">
        <f>PRODUCT(C899:G899)</f>
        <v>0.126</v>
      </c>
    </row>
    <row r="900" spans="1:8" s="965" customFormat="1">
      <c r="A900" s="1059"/>
      <c r="B900" s="1065" t="s">
        <v>5346</v>
      </c>
      <c r="C900" s="1065">
        <v>2</v>
      </c>
      <c r="D900" s="1065">
        <v>6</v>
      </c>
      <c r="E900" s="1087">
        <v>2.1</v>
      </c>
      <c r="F900" s="1087">
        <v>0.1</v>
      </c>
      <c r="G900" s="1397">
        <v>7.4999999999999997E-2</v>
      </c>
      <c r="H900" s="1068">
        <f>PRODUCT(C900:G900)</f>
        <v>0.189</v>
      </c>
    </row>
    <row r="901" spans="1:8" s="965" customFormat="1">
      <c r="A901" s="1059"/>
      <c r="B901" s="1067" t="s">
        <v>5310</v>
      </c>
      <c r="C901" s="1065"/>
      <c r="D901" s="1065"/>
      <c r="E901" s="1087"/>
      <c r="F901" s="1087"/>
      <c r="G901" s="1397"/>
      <c r="H901" s="1068"/>
    </row>
    <row r="902" spans="1:8" s="965" customFormat="1">
      <c r="A902" s="1059"/>
      <c r="B902" s="1065" t="s">
        <v>5347</v>
      </c>
      <c r="C902" s="1065">
        <v>2</v>
      </c>
      <c r="D902" s="1065">
        <v>11</v>
      </c>
      <c r="E902" s="1087">
        <v>2.1</v>
      </c>
      <c r="F902" s="1087">
        <v>0.1</v>
      </c>
      <c r="G902" s="1397">
        <v>7.4999999999999997E-2</v>
      </c>
      <c r="H902" s="1068">
        <f>PRODUCT(C902:G902)</f>
        <v>0.34699999999999998</v>
      </c>
    </row>
    <row r="903" spans="1:8" s="965" customFormat="1">
      <c r="A903" s="1059"/>
      <c r="B903" s="1065" t="s">
        <v>5348</v>
      </c>
      <c r="C903" s="1065">
        <v>2</v>
      </c>
      <c r="D903" s="1065">
        <v>4</v>
      </c>
      <c r="E903" s="1087">
        <v>2.1</v>
      </c>
      <c r="F903" s="1087">
        <v>0.1</v>
      </c>
      <c r="G903" s="1397">
        <v>7.4999999999999997E-2</v>
      </c>
      <c r="H903" s="1068">
        <f>PRODUCT(C903:G903)</f>
        <v>0.126</v>
      </c>
    </row>
    <row r="904" spans="1:8" s="965" customFormat="1">
      <c r="A904" s="1059"/>
      <c r="B904" s="1065"/>
      <c r="C904" s="1065"/>
      <c r="D904" s="1065"/>
      <c r="E904" s="1087"/>
      <c r="F904" s="1087"/>
      <c r="G904" s="1397"/>
      <c r="H904" s="1068">
        <f>+SUM(H899:H903)</f>
        <v>0.78800000000000003</v>
      </c>
    </row>
    <row r="905" spans="1:8" s="965" customFormat="1">
      <c r="A905" s="1059"/>
      <c r="B905" s="1065"/>
      <c r="C905" s="1065"/>
      <c r="D905" s="1065"/>
      <c r="E905" s="1087"/>
      <c r="F905" s="1072" t="s">
        <v>4121</v>
      </c>
      <c r="G905" s="1111">
        <f>ROUNDUP(H904,1)</f>
        <v>0.8</v>
      </c>
      <c r="H905" s="1074" t="s">
        <v>2199</v>
      </c>
    </row>
    <row r="906" spans="1:8" s="965" customFormat="1">
      <c r="A906" s="1059"/>
      <c r="B906" s="1067" t="s">
        <v>5349</v>
      </c>
      <c r="C906" s="1065"/>
      <c r="D906" s="1065"/>
      <c r="E906" s="1087"/>
      <c r="F906" s="1087"/>
      <c r="G906" s="1087"/>
      <c r="H906" s="1094"/>
    </row>
    <row r="907" spans="1:8" s="965" customFormat="1">
      <c r="A907" s="1059"/>
      <c r="B907" s="1065" t="s">
        <v>5345</v>
      </c>
      <c r="C907" s="1065">
        <v>1</v>
      </c>
      <c r="D907" s="1065">
        <v>4</v>
      </c>
      <c r="E907" s="1087">
        <v>1.5</v>
      </c>
      <c r="F907" s="1087">
        <v>0.1</v>
      </c>
      <c r="G907" s="1397">
        <v>7.4999999999999997E-2</v>
      </c>
      <c r="H907" s="1068">
        <f>PRODUCT(C907:G907)</f>
        <v>4.4999999999999998E-2</v>
      </c>
    </row>
    <row r="908" spans="1:8" s="965" customFormat="1">
      <c r="A908" s="1059"/>
      <c r="B908" s="1065" t="s">
        <v>5346</v>
      </c>
      <c r="C908" s="1065">
        <v>1</v>
      </c>
      <c r="D908" s="1065">
        <v>6</v>
      </c>
      <c r="E908" s="1087">
        <v>1</v>
      </c>
      <c r="F908" s="1087">
        <v>0.1</v>
      </c>
      <c r="G908" s="1397">
        <v>7.4999999999999997E-2</v>
      </c>
      <c r="H908" s="1068">
        <f t="shared" ref="H908:H914" si="39">PRODUCT(C908:G908)</f>
        <v>4.4999999999999998E-2</v>
      </c>
    </row>
    <row r="909" spans="1:8" s="965" customFormat="1">
      <c r="A909" s="1059"/>
      <c r="B909" s="1065" t="s">
        <v>5319</v>
      </c>
      <c r="C909" s="1065">
        <v>1</v>
      </c>
      <c r="D909" s="1065">
        <v>4</v>
      </c>
      <c r="E909" s="1087">
        <v>1.5</v>
      </c>
      <c r="F909" s="1087">
        <v>0.1</v>
      </c>
      <c r="G909" s="1397">
        <v>0.05</v>
      </c>
      <c r="H909" s="1068">
        <f t="shared" si="39"/>
        <v>0.03</v>
      </c>
    </row>
    <row r="910" spans="1:8" s="965" customFormat="1">
      <c r="A910" s="1059"/>
      <c r="B910" s="1065"/>
      <c r="C910" s="1065">
        <v>1</v>
      </c>
      <c r="D910" s="1065">
        <v>6</v>
      </c>
      <c r="E910" s="1087">
        <v>1</v>
      </c>
      <c r="F910" s="1087">
        <v>0.1</v>
      </c>
      <c r="G910" s="1397">
        <v>0.05</v>
      </c>
      <c r="H910" s="1068">
        <f t="shared" si="39"/>
        <v>0.03</v>
      </c>
    </row>
    <row r="911" spans="1:8" s="965" customFormat="1">
      <c r="A911" s="1059"/>
      <c r="B911" s="1065" t="s">
        <v>5350</v>
      </c>
      <c r="C911" s="1065">
        <v>1</v>
      </c>
      <c r="D911" s="1065">
        <v>11</v>
      </c>
      <c r="E911" s="1087">
        <v>1</v>
      </c>
      <c r="F911" s="1087">
        <v>0.1</v>
      </c>
      <c r="G911" s="1397">
        <v>7.4999999999999997E-2</v>
      </c>
      <c r="H911" s="1068">
        <f t="shared" si="39"/>
        <v>8.3000000000000004E-2</v>
      </c>
    </row>
    <row r="912" spans="1:8" s="965" customFormat="1">
      <c r="A912" s="1059"/>
      <c r="B912" s="1065" t="s">
        <v>5351</v>
      </c>
      <c r="C912" s="1065">
        <v>2</v>
      </c>
      <c r="D912" s="1065">
        <v>1</v>
      </c>
      <c r="E912" s="1087">
        <v>2.1</v>
      </c>
      <c r="F912" s="1087">
        <v>0.1</v>
      </c>
      <c r="G912" s="1397">
        <v>7.4999999999999997E-2</v>
      </c>
      <c r="H912" s="1068">
        <f t="shared" si="39"/>
        <v>3.2000000000000001E-2</v>
      </c>
    </row>
    <row r="913" spans="1:8" s="965" customFormat="1">
      <c r="A913" s="1059"/>
      <c r="B913" s="1065" t="s">
        <v>5352</v>
      </c>
      <c r="C913" s="1065">
        <v>1</v>
      </c>
      <c r="D913" s="1065">
        <v>1</v>
      </c>
      <c r="E913" s="1087">
        <v>1.5</v>
      </c>
      <c r="F913" s="1087">
        <v>0.1</v>
      </c>
      <c r="G913" s="1397">
        <v>7.4999999999999997E-2</v>
      </c>
      <c r="H913" s="1068">
        <f t="shared" si="39"/>
        <v>1.0999999999999999E-2</v>
      </c>
    </row>
    <row r="914" spans="1:8" s="965" customFormat="1">
      <c r="A914" s="1059"/>
      <c r="B914" s="1065" t="s">
        <v>5353</v>
      </c>
      <c r="C914" s="1065">
        <v>1</v>
      </c>
      <c r="D914" s="1065">
        <v>4</v>
      </c>
      <c r="E914" s="1087">
        <v>1</v>
      </c>
      <c r="F914" s="1087">
        <v>0.1</v>
      </c>
      <c r="G914" s="1397">
        <v>7.4999999999999997E-2</v>
      </c>
      <c r="H914" s="1068">
        <f t="shared" si="39"/>
        <v>0.03</v>
      </c>
    </row>
    <row r="915" spans="1:8" s="965" customFormat="1">
      <c r="A915" s="1059"/>
      <c r="B915" s="1065"/>
      <c r="C915" s="1065"/>
      <c r="D915" s="1065"/>
      <c r="E915" s="1087"/>
      <c r="F915" s="1087"/>
      <c r="G915" s="1398"/>
      <c r="H915" s="1068">
        <f>+SUM(H907:H914)</f>
        <v>0.30599999999999999</v>
      </c>
    </row>
    <row r="916" spans="1:8" s="965" customFormat="1">
      <c r="A916" s="1059"/>
      <c r="B916" s="1067"/>
      <c r="C916" s="1065"/>
      <c r="D916" s="1065"/>
      <c r="E916" s="1087"/>
      <c r="F916" s="1072" t="s">
        <v>4121</v>
      </c>
      <c r="G916" s="1111">
        <f>ROUNDUP(H915,1)</f>
        <v>0.4</v>
      </c>
      <c r="H916" s="1074" t="s">
        <v>2199</v>
      </c>
    </row>
    <row r="917" spans="1:8" s="965" customFormat="1" ht="29.25">
      <c r="A917" s="1059" t="s">
        <v>5354</v>
      </c>
      <c r="B917" s="1075" t="s">
        <v>5355</v>
      </c>
      <c r="C917" s="1061"/>
      <c r="D917" s="1061"/>
      <c r="E917" s="1062"/>
      <c r="F917" s="1062"/>
      <c r="G917" s="1062"/>
      <c r="H917" s="1063"/>
    </row>
    <row r="918" spans="1:8" s="965" customFormat="1">
      <c r="A918" s="1059"/>
      <c r="B918" s="1064" t="s">
        <v>5356</v>
      </c>
      <c r="C918" s="1061">
        <v>1</v>
      </c>
      <c r="D918" s="1061">
        <v>2</v>
      </c>
      <c r="E918" s="1062">
        <v>0.75</v>
      </c>
      <c r="F918" s="1062"/>
      <c r="G918" s="1062">
        <v>2.1</v>
      </c>
      <c r="H918" s="1063">
        <f>PRODUCT(C918:G918)</f>
        <v>3.15</v>
      </c>
    </row>
    <row r="919" spans="1:8" s="965" customFormat="1">
      <c r="A919" s="1059"/>
      <c r="B919" s="1064" t="s">
        <v>5357</v>
      </c>
      <c r="C919" s="1061">
        <v>1</v>
      </c>
      <c r="D919" s="1061">
        <v>5</v>
      </c>
      <c r="E919" s="1062">
        <v>0.75</v>
      </c>
      <c r="F919" s="1062"/>
      <c r="G919" s="1062">
        <v>2.1</v>
      </c>
      <c r="H919" s="1063">
        <f>PRODUCT(C919:G919)</f>
        <v>7.88</v>
      </c>
    </row>
    <row r="920" spans="1:8" s="965" customFormat="1">
      <c r="A920" s="1059"/>
      <c r="B920" s="1064" t="s">
        <v>5358</v>
      </c>
      <c r="C920" s="1061">
        <v>1</v>
      </c>
      <c r="D920" s="1061">
        <v>4</v>
      </c>
      <c r="E920" s="1062">
        <v>0.75</v>
      </c>
      <c r="F920" s="1062"/>
      <c r="G920" s="1062">
        <v>2.1</v>
      </c>
      <c r="H920" s="1063">
        <f>PRODUCT(C920:G920)</f>
        <v>6.3</v>
      </c>
    </row>
    <row r="921" spans="1:8" s="965" customFormat="1">
      <c r="A921" s="1059"/>
      <c r="B921" s="1064"/>
      <c r="C921" s="1061"/>
      <c r="D921" s="1061"/>
      <c r="E921" s="1062"/>
      <c r="F921" s="1062"/>
      <c r="G921" s="1062"/>
      <c r="H921" s="1063">
        <f>SUM(H918:H920)</f>
        <v>17.329999999999998</v>
      </c>
    </row>
    <row r="922" spans="1:8" s="965" customFormat="1">
      <c r="A922" s="1059"/>
      <c r="B922" s="1064"/>
      <c r="C922" s="1061"/>
      <c r="D922" s="1061"/>
      <c r="E922" s="1062"/>
      <c r="F922" s="1072" t="s">
        <v>4121</v>
      </c>
      <c r="G922" s="1111">
        <f>ROUNDUP(H921,1)</f>
        <v>17.399999999999999</v>
      </c>
      <c r="H922" s="1074" t="s">
        <v>2199</v>
      </c>
    </row>
    <row r="923" spans="1:8" s="965" customFormat="1">
      <c r="A923" s="1059" t="s">
        <v>5359</v>
      </c>
      <c r="B923" s="1075" t="s">
        <v>5360</v>
      </c>
      <c r="C923" s="1061"/>
      <c r="D923" s="1061"/>
      <c r="E923" s="1062"/>
      <c r="F923" s="1062"/>
      <c r="G923" s="1062"/>
      <c r="H923" s="1063"/>
    </row>
    <row r="924" spans="1:8" s="965" customFormat="1">
      <c r="A924" s="1059" t="s">
        <v>5361</v>
      </c>
      <c r="B924" s="1060" t="s">
        <v>5362</v>
      </c>
      <c r="C924" s="1061"/>
      <c r="D924" s="1061"/>
      <c r="E924" s="1062"/>
      <c r="F924" s="1062"/>
      <c r="G924" s="1062"/>
      <c r="H924" s="1077"/>
    </row>
    <row r="925" spans="1:8" s="965" customFormat="1">
      <c r="A925" s="1059"/>
      <c r="B925" s="1064" t="s">
        <v>5363</v>
      </c>
      <c r="C925" s="1061">
        <v>1</v>
      </c>
      <c r="D925" s="1061">
        <v>4</v>
      </c>
      <c r="E925" s="1062">
        <v>1.5</v>
      </c>
      <c r="F925" s="1062"/>
      <c r="G925" s="1062">
        <v>2.1</v>
      </c>
      <c r="H925" s="1063">
        <f>PRODUCT(C925:G925)</f>
        <v>12.6</v>
      </c>
    </row>
    <row r="926" spans="1:8" s="965" customFormat="1">
      <c r="A926" s="1059"/>
      <c r="B926" s="1064" t="s">
        <v>5364</v>
      </c>
      <c r="C926" s="1061">
        <v>1</v>
      </c>
      <c r="D926" s="1061">
        <v>1</v>
      </c>
      <c r="E926" s="1062">
        <v>1.5</v>
      </c>
      <c r="F926" s="1062"/>
      <c r="G926" s="1062">
        <v>2.1</v>
      </c>
      <c r="H926" s="1063">
        <f>PRODUCT(C926:G926)</f>
        <v>3.15</v>
      </c>
    </row>
    <row r="927" spans="1:8" s="965" customFormat="1">
      <c r="A927" s="1059"/>
      <c r="B927" s="1060"/>
      <c r="C927" s="1061"/>
      <c r="D927" s="1061"/>
      <c r="E927" s="1062"/>
      <c r="F927" s="1062"/>
      <c r="G927" s="1062"/>
      <c r="H927" s="1077">
        <f>+SUM(H925:H926)</f>
        <v>15.75</v>
      </c>
    </row>
    <row r="928" spans="1:8" s="965" customFormat="1">
      <c r="A928" s="1059"/>
      <c r="B928" s="1064"/>
      <c r="C928" s="1061"/>
      <c r="D928" s="1061"/>
      <c r="E928" s="1062"/>
      <c r="F928" s="1072" t="s">
        <v>4121</v>
      </c>
      <c r="G928" s="1111">
        <f>ROUNDUP(H927,1)</f>
        <v>15.8</v>
      </c>
      <c r="H928" s="1074" t="s">
        <v>2199</v>
      </c>
    </row>
    <row r="929" spans="1:8" s="965" customFormat="1">
      <c r="A929" s="1059"/>
      <c r="B929" s="1060" t="s">
        <v>5365</v>
      </c>
      <c r="C929" s="1061"/>
      <c r="D929" s="1061"/>
      <c r="E929" s="1062"/>
      <c r="F929" s="1072"/>
      <c r="G929" s="1111"/>
      <c r="H929" s="1074"/>
    </row>
    <row r="930" spans="1:8" s="965" customFormat="1">
      <c r="A930" s="1059"/>
      <c r="B930" s="1065" t="s">
        <v>5346</v>
      </c>
      <c r="C930" s="1065">
        <v>1</v>
      </c>
      <c r="D930" s="1065">
        <v>6</v>
      </c>
      <c r="E930" s="1062">
        <v>1</v>
      </c>
      <c r="F930" s="1072"/>
      <c r="G930" s="1118">
        <v>2.1</v>
      </c>
      <c r="H930" s="1063">
        <f>PRODUCT(C930:G930)</f>
        <v>12.6</v>
      </c>
    </row>
    <row r="931" spans="1:8" s="965" customFormat="1">
      <c r="A931" s="1059"/>
      <c r="B931" s="1065" t="s">
        <v>5366</v>
      </c>
      <c r="C931" s="1065">
        <v>1</v>
      </c>
      <c r="D931" s="1065">
        <v>11</v>
      </c>
      <c r="E931" s="1062">
        <v>1</v>
      </c>
      <c r="F931" s="1072"/>
      <c r="G931" s="1118">
        <v>2.1</v>
      </c>
      <c r="H931" s="1063">
        <f>PRODUCT(C931:G931)</f>
        <v>23.1</v>
      </c>
    </row>
    <row r="932" spans="1:8" s="965" customFormat="1">
      <c r="A932" s="1059"/>
      <c r="B932" s="1065"/>
      <c r="C932" s="1065"/>
      <c r="D932" s="1065"/>
      <c r="E932" s="1062"/>
      <c r="F932" s="1072"/>
      <c r="G932" s="1118"/>
      <c r="H932" s="1063"/>
    </row>
    <row r="933" spans="1:8" s="965" customFormat="1">
      <c r="A933" s="1059"/>
      <c r="B933" s="1065" t="s">
        <v>5348</v>
      </c>
      <c r="C933" s="1065">
        <v>1</v>
      </c>
      <c r="D933" s="1065">
        <v>4</v>
      </c>
      <c r="E933" s="1062">
        <v>1</v>
      </c>
      <c r="F933" s="1072"/>
      <c r="G933" s="1118">
        <v>2.1</v>
      </c>
      <c r="H933" s="1063">
        <f>PRODUCT(C933:G933)</f>
        <v>8.4</v>
      </c>
    </row>
    <row r="934" spans="1:8" s="965" customFormat="1">
      <c r="A934" s="1059"/>
      <c r="B934" s="1064"/>
      <c r="C934" s="1061"/>
      <c r="D934" s="1061"/>
      <c r="E934" s="1062"/>
      <c r="F934" s="1072"/>
      <c r="G934" s="1118"/>
      <c r="H934" s="1399">
        <f>+SUM(H930:H933)</f>
        <v>44.1</v>
      </c>
    </row>
    <row r="935" spans="1:8" s="965" customFormat="1">
      <c r="A935" s="1059"/>
      <c r="B935" s="1064"/>
      <c r="C935" s="1061"/>
      <c r="D935" s="1061"/>
      <c r="E935" s="1062"/>
      <c r="F935" s="1072" t="s">
        <v>4121</v>
      </c>
      <c r="G935" s="1111">
        <f>ROUNDUP(H934,1)</f>
        <v>44.1</v>
      </c>
      <c r="H935" s="1074" t="s">
        <v>2199</v>
      </c>
    </row>
    <row r="936" spans="1:8" s="965" customFormat="1" ht="171" customHeight="1">
      <c r="A936" s="1059" t="s">
        <v>5367</v>
      </c>
      <c r="B936" s="1076" t="s">
        <v>6045</v>
      </c>
      <c r="C936" s="1061"/>
      <c r="D936" s="1061"/>
      <c r="E936" s="1062"/>
      <c r="F936" s="1062"/>
      <c r="G936" s="1062"/>
      <c r="H936" s="1063"/>
    </row>
    <row r="937" spans="1:8" s="965" customFormat="1">
      <c r="A937" s="1059"/>
      <c r="B937" s="1065" t="s">
        <v>5368</v>
      </c>
      <c r="C937" s="1065">
        <v>1</v>
      </c>
      <c r="D937" s="1065">
        <v>1</v>
      </c>
      <c r="E937" s="1087">
        <v>1.2</v>
      </c>
      <c r="F937" s="1087"/>
      <c r="G937" s="1087">
        <v>2.1</v>
      </c>
      <c r="H937" s="1087">
        <f t="shared" ref="H937:H942" si="40">PRODUCT(C937:G937)</f>
        <v>2.52</v>
      </c>
    </row>
    <row r="938" spans="1:8" s="965" customFormat="1">
      <c r="A938" s="1059"/>
      <c r="B938" s="1075" t="s">
        <v>5310</v>
      </c>
      <c r="C938" s="1061"/>
      <c r="D938" s="1061"/>
      <c r="E938" s="1062"/>
      <c r="F938" s="1062"/>
      <c r="G938" s="1062"/>
      <c r="H938" s="1087">
        <f t="shared" si="40"/>
        <v>0</v>
      </c>
    </row>
    <row r="939" spans="1:8" s="965" customFormat="1">
      <c r="A939" s="1059"/>
      <c r="B939" s="1076" t="s">
        <v>5267</v>
      </c>
      <c r="C939" s="1061">
        <v>2</v>
      </c>
      <c r="D939" s="1061">
        <v>1</v>
      </c>
      <c r="E939" s="1087">
        <v>1.2</v>
      </c>
      <c r="F939" s="1062"/>
      <c r="G939" s="1062">
        <v>2.1</v>
      </c>
      <c r="H939" s="1087">
        <f t="shared" si="40"/>
        <v>5.04</v>
      </c>
    </row>
    <row r="940" spans="1:8" s="965" customFormat="1">
      <c r="A940" s="1059"/>
      <c r="B940" s="1076" t="s">
        <v>5268</v>
      </c>
      <c r="C940" s="1061">
        <v>1</v>
      </c>
      <c r="D940" s="1061">
        <v>1</v>
      </c>
      <c r="E940" s="1087">
        <v>1.2</v>
      </c>
      <c r="F940" s="1062"/>
      <c r="G940" s="1062">
        <v>2.1</v>
      </c>
      <c r="H940" s="1087">
        <f t="shared" si="40"/>
        <v>2.52</v>
      </c>
    </row>
    <row r="941" spans="1:8" s="965" customFormat="1">
      <c r="A941" s="1059"/>
      <c r="B941" s="1076" t="s">
        <v>5269</v>
      </c>
      <c r="C941" s="1061">
        <v>1</v>
      </c>
      <c r="D941" s="1061">
        <v>3</v>
      </c>
      <c r="E941" s="1087">
        <v>1.2</v>
      </c>
      <c r="F941" s="1062"/>
      <c r="G941" s="1062">
        <v>2.1</v>
      </c>
      <c r="H941" s="1087">
        <f t="shared" si="40"/>
        <v>7.56</v>
      </c>
    </row>
    <row r="942" spans="1:8" s="965" customFormat="1">
      <c r="A942" s="1059"/>
      <c r="B942" s="1076" t="s">
        <v>5271</v>
      </c>
      <c r="C942" s="1061">
        <v>2</v>
      </c>
      <c r="D942" s="1061">
        <v>4</v>
      </c>
      <c r="E942" s="1087">
        <v>1.2</v>
      </c>
      <c r="F942" s="1062"/>
      <c r="G942" s="1062">
        <v>2.1</v>
      </c>
      <c r="H942" s="1087">
        <f t="shared" si="40"/>
        <v>20.16</v>
      </c>
    </row>
    <row r="943" spans="1:8" s="965" customFormat="1">
      <c r="A943" s="1059"/>
      <c r="B943" s="1064"/>
      <c r="C943" s="1061"/>
      <c r="D943" s="1061"/>
      <c r="E943" s="1062"/>
      <c r="F943" s="1062"/>
      <c r="G943" s="1062"/>
      <c r="H943" s="1077">
        <f>SUM(H937:H942)</f>
        <v>37.799999999999997</v>
      </c>
    </row>
    <row r="944" spans="1:8" s="965" customFormat="1">
      <c r="A944" s="1059"/>
      <c r="B944" s="1064"/>
      <c r="C944" s="1061"/>
      <c r="D944" s="1061"/>
      <c r="E944" s="1062"/>
      <c r="F944" s="1072" t="s">
        <v>4121</v>
      </c>
      <c r="G944" s="1100">
        <f>ROUNDUP(H943,1)</f>
        <v>37.799999999999997</v>
      </c>
      <c r="H944" s="1074" t="s">
        <v>2199</v>
      </c>
    </row>
    <row r="945" spans="1:8" s="965" customFormat="1">
      <c r="A945" s="1059" t="s">
        <v>5369</v>
      </c>
      <c r="B945" s="1075" t="s">
        <v>5370</v>
      </c>
      <c r="C945" s="1061"/>
      <c r="D945" s="1061"/>
      <c r="E945" s="1062"/>
      <c r="F945" s="1062"/>
      <c r="G945" s="1062"/>
      <c r="H945" s="1063"/>
    </row>
    <row r="946" spans="1:8" s="965" customFormat="1">
      <c r="A946" s="1059"/>
      <c r="B946" s="1076" t="s">
        <v>5347</v>
      </c>
      <c r="C946" s="1061">
        <v>1</v>
      </c>
      <c r="D946" s="1061">
        <v>26</v>
      </c>
      <c r="E946" s="1062"/>
      <c r="F946" s="1062"/>
      <c r="G946" s="1062"/>
      <c r="H946" s="1077">
        <f>PRODUCT(C946:G946)</f>
        <v>26</v>
      </c>
    </row>
    <row r="947" spans="1:8" s="965" customFormat="1">
      <c r="A947" s="1059"/>
      <c r="B947" s="1064"/>
      <c r="C947" s="1061"/>
      <c r="D947" s="1061"/>
      <c r="E947" s="1062"/>
      <c r="F947" s="1062"/>
      <c r="G947" s="1062"/>
      <c r="H947" s="1063"/>
    </row>
    <row r="948" spans="1:8" s="965" customFormat="1" ht="276.75" customHeight="1">
      <c r="A948" s="1059" t="s">
        <v>5371</v>
      </c>
      <c r="B948" s="1076" t="s">
        <v>6042</v>
      </c>
      <c r="C948" s="1061"/>
      <c r="D948" s="1061"/>
      <c r="E948" s="1062"/>
      <c r="F948" s="1062"/>
      <c r="G948" s="1062"/>
      <c r="H948" s="1063"/>
    </row>
    <row r="949" spans="1:8" s="965" customFormat="1" ht="21.75" customHeight="1">
      <c r="A949" s="1059"/>
      <c r="B949" s="1075" t="s">
        <v>6043</v>
      </c>
      <c r="C949" s="1061"/>
      <c r="D949" s="1061"/>
      <c r="E949" s="1062"/>
      <c r="F949" s="1062"/>
      <c r="G949" s="1062"/>
      <c r="H949" s="1063"/>
    </row>
    <row r="950" spans="1:8" s="965" customFormat="1">
      <c r="A950" s="1059"/>
      <c r="B950" s="1076" t="s">
        <v>5372</v>
      </c>
      <c r="C950" s="1061">
        <v>1</v>
      </c>
      <c r="D950" s="1061">
        <v>5</v>
      </c>
      <c r="E950" s="1062">
        <v>0.9</v>
      </c>
      <c r="F950" s="1062"/>
      <c r="G950" s="1062">
        <v>2.1</v>
      </c>
      <c r="H950" s="1063">
        <f>PRODUCT(C950:G950)</f>
        <v>9.4499999999999993</v>
      </c>
    </row>
    <row r="951" spans="1:8" s="965" customFormat="1">
      <c r="A951" s="1059"/>
      <c r="B951" s="1064"/>
      <c r="C951" s="1061"/>
      <c r="D951" s="1061"/>
      <c r="E951" s="1062"/>
      <c r="F951" s="1072" t="s">
        <v>4121</v>
      </c>
      <c r="G951" s="1100">
        <f>ROUNDUP(H950,1)</f>
        <v>9.5</v>
      </c>
      <c r="H951" s="1074" t="s">
        <v>2199</v>
      </c>
    </row>
    <row r="952" spans="1:8" s="965" customFormat="1">
      <c r="A952" s="1059">
        <v>23</v>
      </c>
      <c r="B952" s="1075" t="s">
        <v>6036</v>
      </c>
      <c r="C952" s="1061"/>
      <c r="D952" s="1061"/>
      <c r="E952" s="1062"/>
      <c r="F952" s="1062"/>
      <c r="G952" s="1062"/>
      <c r="H952" s="1063"/>
    </row>
    <row r="953" spans="1:8" s="965" customFormat="1">
      <c r="A953" s="1059"/>
      <c r="B953" s="1076" t="s">
        <v>5583</v>
      </c>
      <c r="C953" s="1061">
        <v>1</v>
      </c>
      <c r="D953" s="1061">
        <v>7</v>
      </c>
      <c r="E953" s="1062">
        <v>1.5</v>
      </c>
      <c r="F953" s="1062"/>
      <c r="G953" s="1062">
        <v>1.35</v>
      </c>
      <c r="H953" s="1063">
        <f t="shared" ref="H953:H955" si="41">PRODUCT(C953:G953)</f>
        <v>14.18</v>
      </c>
    </row>
    <row r="954" spans="1:8" s="965" customFormat="1">
      <c r="A954" s="1059"/>
      <c r="B954" s="1076" t="s">
        <v>5172</v>
      </c>
      <c r="C954" s="1061">
        <v>1</v>
      </c>
      <c r="D954" s="1061">
        <v>3</v>
      </c>
      <c r="E954" s="1062">
        <v>1.2</v>
      </c>
      <c r="F954" s="1062"/>
      <c r="G954" s="1062">
        <v>2.1</v>
      </c>
      <c r="H954" s="1063">
        <f t="shared" si="41"/>
        <v>7.56</v>
      </c>
    </row>
    <row r="955" spans="1:8" s="965" customFormat="1">
      <c r="A955" s="1059"/>
      <c r="B955" s="1076" t="s">
        <v>5587</v>
      </c>
      <c r="C955" s="1061">
        <v>1</v>
      </c>
      <c r="D955" s="1061">
        <v>15</v>
      </c>
      <c r="E955" s="1062">
        <v>1.5</v>
      </c>
      <c r="F955" s="1062"/>
      <c r="G955" s="1062">
        <v>1.35</v>
      </c>
      <c r="H955" s="1063">
        <f t="shared" si="41"/>
        <v>30.38</v>
      </c>
    </row>
    <row r="956" spans="1:8" s="965" customFormat="1">
      <c r="A956" s="1059"/>
      <c r="B956" s="1076" t="s">
        <v>5172</v>
      </c>
      <c r="C956" s="1061">
        <v>1</v>
      </c>
      <c r="D956" s="1061">
        <v>3</v>
      </c>
      <c r="E956" s="1062">
        <v>1.2</v>
      </c>
      <c r="F956" s="1062"/>
      <c r="G956" s="1062">
        <v>2.1</v>
      </c>
      <c r="H956" s="1063">
        <f>PRODUCT(C956:G956)</f>
        <v>7.56</v>
      </c>
    </row>
    <row r="957" spans="1:8" s="965" customFormat="1">
      <c r="A957" s="1059"/>
      <c r="B957" s="1076" t="s">
        <v>5588</v>
      </c>
      <c r="C957" s="1061">
        <v>1</v>
      </c>
      <c r="D957" s="1061">
        <v>15</v>
      </c>
      <c r="E957" s="1062">
        <v>1.5</v>
      </c>
      <c r="F957" s="1062"/>
      <c r="G957" s="1062">
        <v>1.35</v>
      </c>
      <c r="H957" s="1063">
        <f>PRODUCT(C957:G957)</f>
        <v>30.38</v>
      </c>
    </row>
    <row r="958" spans="1:8" s="965" customFormat="1">
      <c r="A958" s="1059"/>
      <c r="B958" s="1076" t="s">
        <v>5172</v>
      </c>
      <c r="C958" s="1061">
        <v>1</v>
      </c>
      <c r="D958" s="1061">
        <v>3</v>
      </c>
      <c r="E958" s="1062">
        <v>1.2</v>
      </c>
      <c r="F958" s="1062"/>
      <c r="G958" s="1062">
        <v>2.1</v>
      </c>
      <c r="H958" s="1063">
        <f>PRODUCT(C958:G958)</f>
        <v>7.56</v>
      </c>
    </row>
    <row r="959" spans="1:8" s="965" customFormat="1">
      <c r="A959" s="1059"/>
      <c r="B959" s="1064"/>
      <c r="C959" s="1061"/>
      <c r="D959" s="1061"/>
      <c r="E959" s="1062"/>
      <c r="F959" s="1062"/>
      <c r="G959" s="1058"/>
      <c r="H959" s="1077">
        <f>SUM(H953:H958)</f>
        <v>97.62</v>
      </c>
    </row>
    <row r="960" spans="1:8" s="965" customFormat="1">
      <c r="A960" s="1059"/>
      <c r="B960" s="1075"/>
      <c r="C960" s="1061"/>
      <c r="D960" s="1061"/>
      <c r="E960" s="1062"/>
      <c r="F960" s="1072" t="s">
        <v>4121</v>
      </c>
      <c r="G960" s="1111">
        <f>ROUNDUP(H959,1)</f>
        <v>97.7</v>
      </c>
      <c r="H960" s="1074" t="s">
        <v>2199</v>
      </c>
    </row>
    <row r="961" spans="1:9" s="965" customFormat="1">
      <c r="A961" s="1059">
        <v>23</v>
      </c>
      <c r="B961" s="1075" t="s">
        <v>6038</v>
      </c>
      <c r="C961" s="1061"/>
      <c r="D961" s="1061"/>
      <c r="E961" s="1062"/>
      <c r="F961" s="1072"/>
      <c r="G961" s="1111"/>
      <c r="H961" s="1074"/>
    </row>
    <row r="962" spans="1:9" s="965" customFormat="1">
      <c r="A962" s="1059"/>
      <c r="B962" s="1076" t="s">
        <v>5589</v>
      </c>
      <c r="C962" s="1061">
        <v>1</v>
      </c>
      <c r="D962" s="1061">
        <v>10</v>
      </c>
      <c r="E962" s="1062">
        <v>0.9</v>
      </c>
      <c r="F962" s="1062"/>
      <c r="G962" s="1062">
        <v>0.6</v>
      </c>
      <c r="H962" s="1063">
        <f>PRODUCT(C962:G962)</f>
        <v>5.4</v>
      </c>
    </row>
    <row r="963" spans="1:9" s="965" customFormat="1">
      <c r="A963" s="1059"/>
      <c r="B963" s="1075"/>
      <c r="C963" s="1061"/>
      <c r="D963" s="1061"/>
      <c r="E963" s="1062"/>
      <c r="F963" s="1072" t="s">
        <v>4121</v>
      </c>
      <c r="G963" s="1111">
        <f>ROUNDUP(H962,1)</f>
        <v>5.4</v>
      </c>
      <c r="H963" s="1074" t="s">
        <v>2199</v>
      </c>
    </row>
    <row r="964" spans="1:9" s="965" customFormat="1" ht="29.25">
      <c r="A964" s="1059">
        <v>23.3</v>
      </c>
      <c r="B964" s="1075" t="s">
        <v>6119</v>
      </c>
      <c r="C964" s="1061"/>
      <c r="D964" s="1061"/>
      <c r="E964" s="1062"/>
      <c r="F964" s="1072"/>
      <c r="G964" s="1111"/>
      <c r="H964" s="1074"/>
    </row>
    <row r="965" spans="1:9" s="965" customFormat="1">
      <c r="A965" s="1059"/>
      <c r="B965" s="1075" t="s">
        <v>6120</v>
      </c>
      <c r="C965" s="1061">
        <v>6</v>
      </c>
      <c r="D965" s="1061">
        <v>10</v>
      </c>
      <c r="E965" s="1062">
        <v>1</v>
      </c>
      <c r="F965" s="1072"/>
      <c r="G965" s="1111"/>
      <c r="H965" s="1063">
        <f t="shared" ref="H965:H966" si="42">PRODUCT(C965:G965)</f>
        <v>60</v>
      </c>
    </row>
    <row r="966" spans="1:9" s="965" customFormat="1">
      <c r="A966" s="1059"/>
      <c r="B966" s="1075" t="s">
        <v>6121</v>
      </c>
      <c r="C966" s="1061">
        <v>6</v>
      </c>
      <c r="D966" s="1061">
        <v>15</v>
      </c>
      <c r="E966" s="1062">
        <v>1</v>
      </c>
      <c r="F966" s="1072"/>
      <c r="G966" s="1111"/>
      <c r="H966" s="1063">
        <f t="shared" si="42"/>
        <v>90</v>
      </c>
    </row>
    <row r="967" spans="1:9" s="965" customFormat="1">
      <c r="A967" s="1059"/>
      <c r="B967" s="1075"/>
      <c r="C967" s="1061"/>
      <c r="D967" s="1061"/>
      <c r="E967" s="1062"/>
      <c r="F967" s="1072"/>
      <c r="G967" s="1111"/>
      <c r="H967" s="1074">
        <f>+SUM(H965:H966)</f>
        <v>150</v>
      </c>
    </row>
    <row r="968" spans="1:9" s="965" customFormat="1" ht="29.25">
      <c r="A968" s="1059">
        <v>24</v>
      </c>
      <c r="B968" s="1075" t="s">
        <v>173</v>
      </c>
      <c r="C968" s="1061"/>
      <c r="D968" s="1061"/>
      <c r="E968" s="1062"/>
      <c r="F968" s="1072"/>
      <c r="G968" s="1111"/>
      <c r="H968" s="1074"/>
      <c r="I968" s="965">
        <f>G960+G963</f>
        <v>103.1</v>
      </c>
    </row>
    <row r="969" spans="1:9" s="965" customFormat="1">
      <c r="A969" s="1059"/>
      <c r="B969" s="1076" t="s">
        <v>5583</v>
      </c>
      <c r="C969" s="1061">
        <v>1</v>
      </c>
      <c r="D969" s="1061">
        <v>7</v>
      </c>
      <c r="E969" s="1062">
        <v>1.5</v>
      </c>
      <c r="F969" s="1062"/>
      <c r="G969" s="1062">
        <v>1.35</v>
      </c>
      <c r="H969" s="1063">
        <f t="shared" ref="H969:H971" si="43">PRODUCT(C969:G969)</f>
        <v>14.18</v>
      </c>
    </row>
    <row r="970" spans="1:9" s="965" customFormat="1">
      <c r="A970" s="1059"/>
      <c r="B970" s="1076" t="s">
        <v>5172</v>
      </c>
      <c r="C970" s="1061">
        <v>1</v>
      </c>
      <c r="D970" s="1061">
        <v>3</v>
      </c>
      <c r="E970" s="1062">
        <v>1.2</v>
      </c>
      <c r="F970" s="1062"/>
      <c r="G970" s="1062">
        <v>2.1</v>
      </c>
      <c r="H970" s="1063">
        <f t="shared" si="43"/>
        <v>7.56</v>
      </c>
    </row>
    <row r="971" spans="1:9" s="965" customFormat="1">
      <c r="A971" s="1059"/>
      <c r="B971" s="1076" t="s">
        <v>5587</v>
      </c>
      <c r="C971" s="1061">
        <v>1</v>
      </c>
      <c r="D971" s="1061">
        <v>15</v>
      </c>
      <c r="E971" s="1062">
        <v>1.5</v>
      </c>
      <c r="F971" s="1062"/>
      <c r="G971" s="1062">
        <v>1.35</v>
      </c>
      <c r="H971" s="1063">
        <f t="shared" si="43"/>
        <v>30.38</v>
      </c>
    </row>
    <row r="972" spans="1:9" s="965" customFormat="1">
      <c r="A972" s="1059"/>
      <c r="B972" s="1076" t="s">
        <v>5172</v>
      </c>
      <c r="C972" s="1061">
        <v>1</v>
      </c>
      <c r="D972" s="1061">
        <v>3</v>
      </c>
      <c r="E972" s="1062">
        <v>1.2</v>
      </c>
      <c r="F972" s="1062"/>
      <c r="G972" s="1062">
        <v>2.1</v>
      </c>
      <c r="H972" s="1063">
        <f>PRODUCT(C972:G972)</f>
        <v>7.56</v>
      </c>
    </row>
    <row r="973" spans="1:9" s="965" customFormat="1">
      <c r="A973" s="1059"/>
      <c r="B973" s="1076" t="s">
        <v>5588</v>
      </c>
      <c r="C973" s="1061">
        <v>1</v>
      </c>
      <c r="D973" s="1061">
        <v>15</v>
      </c>
      <c r="E973" s="1062">
        <v>1.5</v>
      </c>
      <c r="F973" s="1062"/>
      <c r="G973" s="1062">
        <v>1.35</v>
      </c>
      <c r="H973" s="1063">
        <f>PRODUCT(C973:G973)</f>
        <v>30.38</v>
      </c>
    </row>
    <row r="974" spans="1:9" s="965" customFormat="1">
      <c r="A974" s="1059"/>
      <c r="B974" s="1076" t="s">
        <v>5172</v>
      </c>
      <c r="C974" s="1061">
        <v>1</v>
      </c>
      <c r="D974" s="1061">
        <v>3</v>
      </c>
      <c r="E974" s="1062">
        <v>1.2</v>
      </c>
      <c r="F974" s="1062"/>
      <c r="G974" s="1062">
        <v>2.1</v>
      </c>
      <c r="H974" s="1063">
        <f>PRODUCT(C974:G974)</f>
        <v>7.56</v>
      </c>
    </row>
    <row r="975" spans="1:9" s="965" customFormat="1">
      <c r="A975" s="1059"/>
      <c r="B975" s="1076" t="s">
        <v>5589</v>
      </c>
      <c r="C975" s="1061">
        <v>1</v>
      </c>
      <c r="D975" s="1061">
        <v>10</v>
      </c>
      <c r="E975" s="1062">
        <v>0.9</v>
      </c>
      <c r="F975" s="1062"/>
      <c r="G975" s="1062">
        <v>0.6</v>
      </c>
      <c r="H975" s="1063">
        <f>PRODUCT(C975:G975)</f>
        <v>5.4</v>
      </c>
    </row>
    <row r="976" spans="1:9" s="965" customFormat="1">
      <c r="A976" s="1059"/>
      <c r="B976" s="1075"/>
      <c r="C976" s="1061"/>
      <c r="D976" s="1061"/>
      <c r="E976" s="1062"/>
      <c r="F976" s="1072"/>
      <c r="G976" s="1100"/>
      <c r="H976" s="1074">
        <f>SUM(H969:H975)</f>
        <v>103.02</v>
      </c>
    </row>
    <row r="977" spans="1:8" s="965" customFormat="1">
      <c r="A977" s="1059"/>
      <c r="B977" s="1075"/>
      <c r="C977" s="1061"/>
      <c r="D977" s="1061"/>
      <c r="E977" s="1062"/>
      <c r="F977" s="1072" t="s">
        <v>6039</v>
      </c>
      <c r="G977" s="1111"/>
      <c r="H977" s="1074">
        <f>H976*20</f>
        <v>2060.4</v>
      </c>
    </row>
    <row r="978" spans="1:8" s="965" customFormat="1">
      <c r="A978" s="1059"/>
      <c r="B978" s="1075"/>
      <c r="C978" s="1061"/>
      <c r="D978" s="1061"/>
      <c r="E978" s="1062"/>
      <c r="F978" s="1072" t="s">
        <v>4121</v>
      </c>
      <c r="G978" s="1111">
        <f>ROUNDUP(H977,1)</f>
        <v>2060.4</v>
      </c>
      <c r="H978" s="1074" t="s">
        <v>1591</v>
      </c>
    </row>
    <row r="979" spans="1:8" s="965" customFormat="1">
      <c r="A979" s="1059" t="s">
        <v>5373</v>
      </c>
      <c r="B979" s="1075" t="s">
        <v>5374</v>
      </c>
      <c r="C979" s="1061"/>
      <c r="D979" s="1061"/>
      <c r="E979" s="1062"/>
      <c r="F979" s="1062"/>
      <c r="G979" s="1062"/>
      <c r="H979" s="1063"/>
    </row>
    <row r="980" spans="1:8" s="965" customFormat="1">
      <c r="A980" s="1059"/>
      <c r="B980" s="1076" t="s">
        <v>5086</v>
      </c>
      <c r="C980" s="1061">
        <v>1</v>
      </c>
      <c r="D980" s="1061">
        <v>1</v>
      </c>
      <c r="E980" s="1062">
        <v>6.93</v>
      </c>
      <c r="F980" s="1062">
        <v>13.72</v>
      </c>
      <c r="G980" s="1068">
        <v>7.4999999999999997E-2</v>
      </c>
      <c r="H980" s="1063">
        <f>PRODUCT(C980:G980)</f>
        <v>7.13</v>
      </c>
    </row>
    <row r="981" spans="1:8" s="965" customFormat="1">
      <c r="A981" s="1059"/>
      <c r="B981" s="1076" t="s">
        <v>5087</v>
      </c>
      <c r="C981" s="1061">
        <v>1</v>
      </c>
      <c r="D981" s="1061">
        <v>0.5</v>
      </c>
      <c r="E981" s="1062">
        <v>4.57</v>
      </c>
      <c r="F981" s="1062">
        <v>3.73</v>
      </c>
      <c r="G981" s="1068">
        <v>7.4999999999999997E-2</v>
      </c>
      <c r="H981" s="1063">
        <f>PRODUCT(C981:G981)</f>
        <v>0.64</v>
      </c>
    </row>
    <row r="982" spans="1:8" s="965" customFormat="1" ht="18.75" customHeight="1">
      <c r="A982" s="1059"/>
      <c r="B982" s="1076" t="s">
        <v>5088</v>
      </c>
      <c r="C982" s="1066">
        <v>1</v>
      </c>
      <c r="D982" s="1066">
        <v>1</v>
      </c>
      <c r="E982" s="1062">
        <v>24.46</v>
      </c>
      <c r="F982" s="1062">
        <v>9.2200000000000006</v>
      </c>
      <c r="G982" s="1068">
        <v>7.4999999999999997E-2</v>
      </c>
      <c r="H982" s="1063">
        <f>PRODUCT(C982:G982)</f>
        <v>16.91</v>
      </c>
    </row>
    <row r="983" spans="1:8" s="965" customFormat="1" ht="17.25">
      <c r="A983" s="1059"/>
      <c r="B983" s="1076" t="s">
        <v>5089</v>
      </c>
      <c r="C983" s="1061">
        <v>1</v>
      </c>
      <c r="D983" s="1061">
        <v>0.25</v>
      </c>
      <c r="E983" s="1068">
        <v>3.14</v>
      </c>
      <c r="F983" s="1062" t="s">
        <v>5090</v>
      </c>
      <c r="G983" s="1068">
        <v>7.4999999999999997E-2</v>
      </c>
      <c r="H983" s="1063">
        <v>5.05</v>
      </c>
    </row>
    <row r="984" spans="1:8" s="965" customFormat="1">
      <c r="A984" s="1059"/>
      <c r="B984" s="1076" t="s">
        <v>5091</v>
      </c>
      <c r="C984" s="1061">
        <v>1</v>
      </c>
      <c r="D984" s="1061">
        <v>1</v>
      </c>
      <c r="E984" s="1068">
        <v>6.82</v>
      </c>
      <c r="F984" s="1068">
        <v>1.83</v>
      </c>
      <c r="G984" s="1068">
        <v>7.4999999999999997E-2</v>
      </c>
      <c r="H984" s="1063">
        <f>PRODUCT(C984:G984)</f>
        <v>0.94</v>
      </c>
    </row>
    <row r="985" spans="1:8" s="965" customFormat="1">
      <c r="A985" s="1059"/>
      <c r="B985" s="1076" t="s">
        <v>5092</v>
      </c>
      <c r="C985" s="1061">
        <v>1</v>
      </c>
      <c r="D985" s="1061">
        <v>1</v>
      </c>
      <c r="E985" s="1068">
        <v>8.76</v>
      </c>
      <c r="F985" s="1068">
        <v>1.83</v>
      </c>
      <c r="G985" s="1068">
        <v>7.4999999999999997E-2</v>
      </c>
      <c r="H985" s="1063">
        <f>PRODUCT(C985:G985)</f>
        <v>1.2</v>
      </c>
    </row>
    <row r="986" spans="1:8" s="965" customFormat="1">
      <c r="A986" s="1059"/>
      <c r="B986" s="1076" t="s">
        <v>5093</v>
      </c>
      <c r="C986" s="1061">
        <v>1</v>
      </c>
      <c r="D986" s="1061">
        <v>1</v>
      </c>
      <c r="E986" s="1062">
        <v>2.44</v>
      </c>
      <c r="F986" s="1062">
        <v>3.66</v>
      </c>
      <c r="G986" s="1068">
        <v>7.4999999999999997E-2</v>
      </c>
      <c r="H986" s="1063">
        <f>PRODUCT(C986:G986)</f>
        <v>0.67</v>
      </c>
    </row>
    <row r="987" spans="1:8" s="965" customFormat="1">
      <c r="A987" s="1059"/>
      <c r="B987" s="1064"/>
      <c r="C987" s="1061"/>
      <c r="D987" s="1061"/>
      <c r="E987" s="1062"/>
      <c r="F987" s="1062"/>
      <c r="G987" s="1058"/>
      <c r="H987" s="1077">
        <f>SUM(H980:H986)</f>
        <v>32.54</v>
      </c>
    </row>
    <row r="988" spans="1:8" s="716" customFormat="1">
      <c r="A988" s="1059" t="s">
        <v>5375</v>
      </c>
      <c r="B988" s="1075" t="s">
        <v>5376</v>
      </c>
      <c r="C988" s="1061"/>
      <c r="D988" s="1061"/>
      <c r="E988" s="1062"/>
      <c r="F988" s="1072" t="s">
        <v>4121</v>
      </c>
      <c r="G988" s="1100">
        <f>ROUNDUP(H987,1)</f>
        <v>32.6</v>
      </c>
      <c r="H988" s="1074" t="s">
        <v>2199</v>
      </c>
    </row>
    <row r="989" spans="1:8" s="716" customFormat="1">
      <c r="A989" s="1059"/>
      <c r="B989" s="1065" t="s">
        <v>5377</v>
      </c>
      <c r="C989" s="1110">
        <v>1</v>
      </c>
      <c r="D989" s="1110">
        <v>4</v>
      </c>
      <c r="E989" s="1087">
        <v>1.05</v>
      </c>
      <c r="F989" s="1087">
        <v>0.6</v>
      </c>
      <c r="G989" s="1087"/>
      <c r="H989" s="1087">
        <f>PRODUCT(C989:G989)</f>
        <v>2.52</v>
      </c>
    </row>
    <row r="990" spans="1:8" s="716" customFormat="1">
      <c r="A990" s="1059"/>
      <c r="B990" s="1076" t="s">
        <v>5378</v>
      </c>
      <c r="C990" s="1061">
        <v>1</v>
      </c>
      <c r="D990" s="1061">
        <v>14</v>
      </c>
      <c r="E990" s="1062">
        <v>0.6</v>
      </c>
      <c r="F990" s="1062">
        <v>0.6</v>
      </c>
      <c r="G990" s="1062"/>
      <c r="H990" s="1063">
        <f>PRODUCT(C990:G990)</f>
        <v>5.04</v>
      </c>
    </row>
    <row r="991" spans="1:8" s="716" customFormat="1">
      <c r="A991" s="1059"/>
      <c r="B991" s="1076"/>
      <c r="C991" s="1061"/>
      <c r="D991" s="1061"/>
      <c r="E991" s="1062"/>
      <c r="F991" s="1062"/>
      <c r="G991" s="1062"/>
      <c r="H991" s="1063">
        <f>SUM(H989:H990)</f>
        <v>7.56</v>
      </c>
    </row>
    <row r="992" spans="1:8" s="716" customFormat="1">
      <c r="A992" s="1059"/>
      <c r="B992" s="1075"/>
      <c r="C992" s="1061"/>
      <c r="D992" s="1061"/>
      <c r="E992" s="1062"/>
      <c r="F992" s="1072" t="s">
        <v>4121</v>
      </c>
      <c r="G992" s="1111">
        <f>ROUNDUP(H991,1)</f>
        <v>7.6</v>
      </c>
      <c r="H992" s="1074" t="s">
        <v>2199</v>
      </c>
    </row>
    <row r="993" spans="1:8" s="716" customFormat="1" ht="29.25">
      <c r="A993" s="1059"/>
      <c r="B993" s="1075" t="s">
        <v>5551</v>
      </c>
      <c r="C993" s="1061"/>
      <c r="D993" s="1061"/>
      <c r="E993" s="1062"/>
      <c r="F993" s="1072"/>
      <c r="G993" s="1111"/>
      <c r="H993" s="1074"/>
    </row>
    <row r="994" spans="1:8" s="716" customFormat="1">
      <c r="A994" s="1059"/>
      <c r="B994" s="1075" t="s">
        <v>5344</v>
      </c>
      <c r="C994" s="1061"/>
      <c r="D994" s="1061"/>
      <c r="E994" s="1062"/>
      <c r="F994" s="1072"/>
      <c r="G994" s="1100"/>
      <c r="H994" s="1074"/>
    </row>
    <row r="995" spans="1:8" s="716" customFormat="1">
      <c r="A995" s="1059"/>
      <c r="B995" s="1069" t="s">
        <v>5133</v>
      </c>
      <c r="C995" s="1066">
        <v>1</v>
      </c>
      <c r="D995" s="1066">
        <v>5</v>
      </c>
      <c r="E995" s="1062">
        <v>16.079999999999998</v>
      </c>
      <c r="F995" s="1062"/>
      <c r="G995" s="1062">
        <v>0.45</v>
      </c>
      <c r="H995" s="1063">
        <f t="shared" ref="H995:H1000" si="44">PRODUCT(C995:G995)</f>
        <v>36.18</v>
      </c>
    </row>
    <row r="996" spans="1:8" s="716" customFormat="1">
      <c r="A996" s="1059"/>
      <c r="B996" s="1076" t="s">
        <v>5091</v>
      </c>
      <c r="C996" s="1061">
        <v>1</v>
      </c>
      <c r="D996" s="1061">
        <v>1</v>
      </c>
      <c r="E996" s="1068">
        <v>6.82</v>
      </c>
      <c r="F996" s="1068">
        <v>1.83</v>
      </c>
      <c r="G996" s="1062"/>
      <c r="H996" s="1063">
        <f t="shared" si="44"/>
        <v>12.48</v>
      </c>
    </row>
    <row r="997" spans="1:8" s="716" customFormat="1">
      <c r="A997" s="1059"/>
      <c r="B997" s="1076" t="s">
        <v>5092</v>
      </c>
      <c r="C997" s="1061">
        <v>1</v>
      </c>
      <c r="D997" s="1061">
        <v>1</v>
      </c>
      <c r="E997" s="1068">
        <v>8.76</v>
      </c>
      <c r="F997" s="1068">
        <v>1.83</v>
      </c>
      <c r="G997" s="1062"/>
      <c r="H997" s="1063">
        <f t="shared" si="44"/>
        <v>16.03</v>
      </c>
    </row>
    <row r="998" spans="1:8" s="716" customFormat="1">
      <c r="A998" s="1059"/>
      <c r="B998" s="1076" t="s">
        <v>5087</v>
      </c>
      <c r="C998" s="1061">
        <v>1</v>
      </c>
      <c r="D998" s="1061">
        <v>0.5</v>
      </c>
      <c r="E998" s="1062">
        <v>4.57</v>
      </c>
      <c r="F998" s="1062">
        <v>3.73</v>
      </c>
      <c r="G998" s="1062"/>
      <c r="H998" s="1063">
        <f t="shared" si="44"/>
        <v>8.52</v>
      </c>
    </row>
    <row r="999" spans="1:8" s="716" customFormat="1">
      <c r="A999" s="1059"/>
      <c r="B999" s="1076" t="s">
        <v>5552</v>
      </c>
      <c r="C999" s="1061">
        <v>1</v>
      </c>
      <c r="D999" s="1061">
        <v>1</v>
      </c>
      <c r="E999" s="1062">
        <v>2.73</v>
      </c>
      <c r="F999" s="1062">
        <v>2.06</v>
      </c>
      <c r="G999" s="1062"/>
      <c r="H999" s="1063">
        <f t="shared" si="44"/>
        <v>5.62</v>
      </c>
    </row>
    <row r="1000" spans="1:8" s="716" customFormat="1">
      <c r="A1000" s="1059"/>
      <c r="B1000" s="1076" t="s">
        <v>5242</v>
      </c>
      <c r="C1000" s="1061">
        <v>1</v>
      </c>
      <c r="D1000" s="1061">
        <v>1</v>
      </c>
      <c r="E1000" s="1062">
        <v>4.88</v>
      </c>
      <c r="F1000" s="1062">
        <v>4.91</v>
      </c>
      <c r="G1000" s="1062"/>
      <c r="H1000" s="1063">
        <f t="shared" si="44"/>
        <v>23.96</v>
      </c>
    </row>
    <row r="1001" spans="1:8" s="716" customFormat="1" ht="17.25">
      <c r="A1001" s="1059"/>
      <c r="B1001" s="1076" t="s">
        <v>5089</v>
      </c>
      <c r="C1001" s="1061">
        <v>1</v>
      </c>
      <c r="D1001" s="1061">
        <v>0.25</v>
      </c>
      <c r="E1001" s="1068">
        <v>3.14</v>
      </c>
      <c r="F1001" s="1062" t="s">
        <v>5090</v>
      </c>
      <c r="G1001" s="1062"/>
      <c r="H1001" s="1063">
        <v>67.31</v>
      </c>
    </row>
    <row r="1002" spans="1:8" s="716" customFormat="1">
      <c r="A1002" s="1059"/>
      <c r="B1002" s="1076" t="s">
        <v>5553</v>
      </c>
      <c r="C1002" s="1061">
        <v>1</v>
      </c>
      <c r="D1002" s="1061">
        <v>1</v>
      </c>
      <c r="E1002" s="1062">
        <v>2.44</v>
      </c>
      <c r="F1002" s="1062">
        <v>0.23</v>
      </c>
      <c r="G1002" s="1062"/>
      <c r="H1002" s="1063">
        <f>PRODUCT(C1002:G1002)</f>
        <v>0.56000000000000005</v>
      </c>
    </row>
    <row r="1003" spans="1:8" s="716" customFormat="1">
      <c r="A1003" s="1059"/>
      <c r="B1003" s="1065" t="s">
        <v>5554</v>
      </c>
      <c r="C1003" s="1066">
        <v>3</v>
      </c>
      <c r="D1003" s="1066">
        <v>14</v>
      </c>
      <c r="E1003" s="1062">
        <v>2.6</v>
      </c>
      <c r="F1003" s="1066"/>
      <c r="G1003" s="1062">
        <v>0.45</v>
      </c>
      <c r="H1003" s="1063">
        <f>PRODUCT(C1003:G1003)</f>
        <v>49.14</v>
      </c>
    </row>
    <row r="1004" spans="1:8" s="716" customFormat="1">
      <c r="A1004" s="1059"/>
      <c r="B1004" s="1065" t="s">
        <v>5555</v>
      </c>
      <c r="C1004" s="1066">
        <v>2</v>
      </c>
      <c r="D1004" s="1066">
        <v>7</v>
      </c>
      <c r="E1004" s="1062">
        <v>1.83</v>
      </c>
      <c r="F1004" s="1066"/>
      <c r="G1004" s="1062">
        <v>0.45</v>
      </c>
      <c r="H1004" s="1063">
        <f>PRODUCT(C1004:G1004)</f>
        <v>11.53</v>
      </c>
    </row>
    <row r="1005" spans="1:8" s="716" customFormat="1">
      <c r="A1005" s="1059"/>
      <c r="B1005" s="1065" t="s">
        <v>5146</v>
      </c>
      <c r="C1005" s="1066">
        <v>1</v>
      </c>
      <c r="D1005" s="1066">
        <v>3</v>
      </c>
      <c r="E1005" s="1062">
        <v>14</v>
      </c>
      <c r="F1005" s="1062">
        <v>1.75</v>
      </c>
      <c r="G1005" s="1062"/>
      <c r="H1005" s="1063">
        <f>PRODUCT(C1005:G1005)</f>
        <v>73.5</v>
      </c>
    </row>
    <row r="1006" spans="1:8" s="716" customFormat="1">
      <c r="A1006" s="1059"/>
      <c r="B1006" s="1065"/>
      <c r="C1006" s="1066"/>
      <c r="D1006" s="1066"/>
      <c r="E1006" s="1062"/>
      <c r="F1006" s="1062"/>
      <c r="G1006" s="1062"/>
      <c r="H1006" s="1063">
        <f>SUM(H995:H1005)</f>
        <v>304.83</v>
      </c>
    </row>
    <row r="1007" spans="1:8" s="716" customFormat="1">
      <c r="A1007" s="1059"/>
      <c r="B1007" s="1075"/>
      <c r="C1007" s="1061"/>
      <c r="D1007" s="1061"/>
      <c r="E1007" s="1062"/>
      <c r="F1007" s="1072" t="s">
        <v>4121</v>
      </c>
      <c r="G1007" s="1111">
        <f>ROUNDUP(H1006,1)</f>
        <v>304.89999999999998</v>
      </c>
      <c r="H1007" s="1074" t="s">
        <v>2199</v>
      </c>
    </row>
    <row r="1008" spans="1:8" s="965" customFormat="1">
      <c r="A1008" s="1059"/>
      <c r="B1008" s="1060" t="s">
        <v>6030</v>
      </c>
      <c r="C1008" s="1061"/>
      <c r="D1008" s="1061"/>
      <c r="E1008" s="1062"/>
      <c r="F1008" s="1072"/>
      <c r="G1008" s="1111"/>
      <c r="H1008" s="1074"/>
    </row>
    <row r="1009" spans="1:8" s="965" customFormat="1">
      <c r="A1009" s="1059"/>
      <c r="B1009" s="1075" t="s">
        <v>5344</v>
      </c>
      <c r="C1009" s="1061"/>
      <c r="D1009" s="1061"/>
      <c r="E1009" s="1062"/>
      <c r="F1009" s="1062"/>
      <c r="G1009" s="1062"/>
      <c r="H1009" s="1063"/>
    </row>
    <row r="1010" spans="1:8" s="965" customFormat="1">
      <c r="A1010" s="1059"/>
      <c r="B1010" s="1076" t="s">
        <v>5167</v>
      </c>
      <c r="C1010" s="1061">
        <v>1</v>
      </c>
      <c r="D1010" s="1061">
        <v>1</v>
      </c>
      <c r="E1010" s="1062">
        <v>2.44</v>
      </c>
      <c r="F1010" s="1062">
        <v>3.66</v>
      </c>
      <c r="G1010" s="1062"/>
      <c r="H1010" s="1063">
        <f t="shared" ref="H1010:H1018" si="45">PRODUCT(C1010:G1010)</f>
        <v>8.93</v>
      </c>
    </row>
    <row r="1011" spans="1:8" s="965" customFormat="1">
      <c r="A1011" s="1059"/>
      <c r="B1011" s="1076" t="s">
        <v>6006</v>
      </c>
      <c r="C1011" s="1061">
        <v>1</v>
      </c>
      <c r="D1011" s="1061">
        <v>1</v>
      </c>
      <c r="E1011" s="1062">
        <v>3.35</v>
      </c>
      <c r="F1011" s="1062">
        <v>3.13</v>
      </c>
      <c r="G1011" s="1062"/>
      <c r="H1011" s="1063">
        <f t="shared" si="45"/>
        <v>10.49</v>
      </c>
    </row>
    <row r="1012" spans="1:8" s="965" customFormat="1">
      <c r="A1012" s="1059"/>
      <c r="B1012" s="1076" t="s">
        <v>6008</v>
      </c>
      <c r="C1012" s="1061">
        <v>1</v>
      </c>
      <c r="D1012" s="1061">
        <v>1</v>
      </c>
      <c r="E1012" s="1062">
        <v>3.85</v>
      </c>
      <c r="F1012" s="1062">
        <v>3.13</v>
      </c>
      <c r="G1012" s="1062"/>
      <c r="H1012" s="1063">
        <f t="shared" si="45"/>
        <v>12.05</v>
      </c>
    </row>
    <row r="1013" spans="1:8" s="965" customFormat="1">
      <c r="A1013" s="1059"/>
      <c r="B1013" s="1076" t="s">
        <v>5534</v>
      </c>
      <c r="C1013" s="1061">
        <v>1</v>
      </c>
      <c r="D1013" s="1061">
        <v>1</v>
      </c>
      <c r="E1013" s="1062">
        <v>2.5099999999999998</v>
      </c>
      <c r="F1013" s="1062">
        <v>2.9</v>
      </c>
      <c r="G1013" s="1062"/>
      <c r="H1013" s="1063">
        <f t="shared" si="45"/>
        <v>7.28</v>
      </c>
    </row>
    <row r="1014" spans="1:8" s="965" customFormat="1">
      <c r="A1014" s="1059"/>
      <c r="B1014" s="1076" t="s">
        <v>6009</v>
      </c>
      <c r="C1014" s="1061">
        <v>1</v>
      </c>
      <c r="D1014" s="1061">
        <v>1</v>
      </c>
      <c r="E1014" s="1062">
        <v>2.73</v>
      </c>
      <c r="F1014" s="1062">
        <v>2.06</v>
      </c>
      <c r="G1014" s="1062"/>
      <c r="H1014" s="1063">
        <f t="shared" si="45"/>
        <v>5.62</v>
      </c>
    </row>
    <row r="1015" spans="1:8" s="965" customFormat="1">
      <c r="A1015" s="1059"/>
      <c r="B1015" s="1076" t="s">
        <v>5087</v>
      </c>
      <c r="C1015" s="1061">
        <v>0.5</v>
      </c>
      <c r="D1015" s="1061">
        <v>1</v>
      </c>
      <c r="E1015" s="1062">
        <v>4.5999999999999996</v>
      </c>
      <c r="F1015" s="1062">
        <v>4.91</v>
      </c>
      <c r="G1015" s="1062"/>
      <c r="H1015" s="1063">
        <f t="shared" si="45"/>
        <v>11.29</v>
      </c>
    </row>
    <row r="1016" spans="1:8" s="965" customFormat="1">
      <c r="A1016" s="1059"/>
      <c r="B1016" s="1076" t="s">
        <v>5242</v>
      </c>
      <c r="C1016" s="1061">
        <v>1</v>
      </c>
      <c r="D1016" s="1061">
        <v>1</v>
      </c>
      <c r="E1016" s="1062">
        <v>4.88</v>
      </c>
      <c r="F1016" s="1062">
        <v>4.91</v>
      </c>
      <c r="G1016" s="1062"/>
      <c r="H1016" s="1063">
        <f t="shared" si="45"/>
        <v>23.96</v>
      </c>
    </row>
    <row r="1017" spans="1:8" s="965" customFormat="1">
      <c r="A1017" s="1059"/>
      <c r="B1017" s="1076" t="s">
        <v>5601</v>
      </c>
      <c r="C1017" s="1061">
        <v>1</v>
      </c>
      <c r="D1017" s="1061">
        <v>1</v>
      </c>
      <c r="E1017" s="1062">
        <v>1.95</v>
      </c>
      <c r="F1017" s="1062">
        <v>2.2799999999999998</v>
      </c>
      <c r="G1017" s="1062"/>
      <c r="H1017" s="1063">
        <f t="shared" si="45"/>
        <v>4.45</v>
      </c>
    </row>
    <row r="1018" spans="1:8" s="965" customFormat="1">
      <c r="A1018" s="1059"/>
      <c r="B1018" s="1076" t="s">
        <v>6010</v>
      </c>
      <c r="C1018" s="1061">
        <v>1</v>
      </c>
      <c r="D1018" s="1061">
        <v>1</v>
      </c>
      <c r="E1018" s="1062">
        <v>2.2000000000000002</v>
      </c>
      <c r="F1018" s="1062">
        <v>1.07</v>
      </c>
      <c r="G1018" s="1062"/>
      <c r="H1018" s="1063">
        <f t="shared" si="45"/>
        <v>2.35</v>
      </c>
    </row>
    <row r="1019" spans="1:8" s="965" customFormat="1" ht="17.25">
      <c r="A1019" s="1059"/>
      <c r="B1019" s="1065" t="s">
        <v>6031</v>
      </c>
      <c r="C1019" s="1066">
        <v>1</v>
      </c>
      <c r="D1019" s="1066">
        <v>0.25</v>
      </c>
      <c r="E1019" s="1062">
        <v>3.14</v>
      </c>
      <c r="F1019" s="1066" t="s">
        <v>6032</v>
      </c>
      <c r="G1019" s="1066"/>
      <c r="H1019" s="1087">
        <v>42.75</v>
      </c>
    </row>
    <row r="1020" spans="1:8" s="965" customFormat="1">
      <c r="A1020" s="1059"/>
      <c r="B1020" s="1065" t="s">
        <v>5602</v>
      </c>
      <c r="C1020" s="1066">
        <v>1</v>
      </c>
      <c r="D1020" s="1066">
        <v>1</v>
      </c>
      <c r="E1020" s="1062">
        <v>6.93</v>
      </c>
      <c r="F1020" s="1066">
        <v>8.5299999999999994</v>
      </c>
      <c r="G1020" s="1066"/>
      <c r="H1020" s="1087">
        <f>PRODUCT(C1020:G1020)</f>
        <v>59.11</v>
      </c>
    </row>
    <row r="1021" spans="1:8" s="965" customFormat="1">
      <c r="A1021" s="1059"/>
      <c r="B1021" s="1065" t="s">
        <v>6033</v>
      </c>
      <c r="C1021" s="1066">
        <v>1</v>
      </c>
      <c r="D1021" s="1066">
        <v>1</v>
      </c>
      <c r="E1021" s="1062">
        <v>235</v>
      </c>
      <c r="F1021" s="1066"/>
      <c r="G1021" s="1062">
        <v>0.1</v>
      </c>
      <c r="H1021" s="1087">
        <f>PRODUCT(C1021:G1021)</f>
        <v>23.5</v>
      </c>
    </row>
    <row r="1022" spans="1:8" s="965" customFormat="1">
      <c r="A1022" s="1059"/>
      <c r="B1022" s="1067" t="s">
        <v>5310</v>
      </c>
      <c r="C1022" s="1066"/>
      <c r="D1022" s="1066"/>
      <c r="E1022" s="1062"/>
      <c r="F1022" s="1066"/>
      <c r="G1022" s="1062"/>
      <c r="H1022" s="1062"/>
    </row>
    <row r="1023" spans="1:8" s="965" customFormat="1">
      <c r="A1023" s="1059"/>
      <c r="B1023" s="1076" t="s">
        <v>6015</v>
      </c>
      <c r="C1023" s="1061">
        <v>1</v>
      </c>
      <c r="D1023" s="1061">
        <v>1</v>
      </c>
      <c r="E1023" s="1062">
        <v>6.09</v>
      </c>
      <c r="F1023" s="1062">
        <v>3.66</v>
      </c>
      <c r="G1023" s="1062"/>
      <c r="H1023" s="1063">
        <f t="shared" ref="H1023:H1040" si="46">PRODUCT(C1023:G1023)</f>
        <v>22.29</v>
      </c>
    </row>
    <row r="1024" spans="1:8" s="965" customFormat="1">
      <c r="A1024" s="1059"/>
      <c r="B1024" s="1076" t="s">
        <v>5610</v>
      </c>
      <c r="C1024" s="1061">
        <v>1</v>
      </c>
      <c r="D1024" s="1061">
        <v>1</v>
      </c>
      <c r="E1024" s="1062">
        <v>1.52</v>
      </c>
      <c r="F1024" s="1062">
        <v>1.67</v>
      </c>
      <c r="G1024" s="1062"/>
      <c r="H1024" s="1063">
        <f t="shared" si="46"/>
        <v>2.54</v>
      </c>
    </row>
    <row r="1025" spans="1:8" s="965" customFormat="1">
      <c r="A1025" s="1059"/>
      <c r="B1025" s="1076" t="s">
        <v>6016</v>
      </c>
      <c r="C1025" s="1061">
        <v>1</v>
      </c>
      <c r="D1025" s="1061">
        <v>1</v>
      </c>
      <c r="E1025" s="1062">
        <v>6.09</v>
      </c>
      <c r="F1025" s="1062">
        <v>3.66</v>
      </c>
      <c r="G1025" s="1062"/>
      <c r="H1025" s="1063">
        <f t="shared" si="46"/>
        <v>22.29</v>
      </c>
    </row>
    <row r="1026" spans="1:8" s="965" customFormat="1">
      <c r="A1026" s="1059"/>
      <c r="B1026" s="1076" t="s">
        <v>5504</v>
      </c>
      <c r="C1026" s="1061">
        <v>1</v>
      </c>
      <c r="D1026" s="1061">
        <v>1</v>
      </c>
      <c r="E1026" s="1062">
        <v>5.29</v>
      </c>
      <c r="F1026" s="1062">
        <v>3.66</v>
      </c>
      <c r="G1026" s="1062"/>
      <c r="H1026" s="1063">
        <f t="shared" si="46"/>
        <v>19.36</v>
      </c>
    </row>
    <row r="1027" spans="1:8" s="965" customFormat="1">
      <c r="A1027" s="1059"/>
      <c r="B1027" s="1076" t="s">
        <v>5524</v>
      </c>
      <c r="C1027" s="1061">
        <v>1</v>
      </c>
      <c r="D1027" s="1061">
        <v>1</v>
      </c>
      <c r="E1027" s="1062">
        <v>7.94</v>
      </c>
      <c r="F1027" s="1062">
        <v>3.66</v>
      </c>
      <c r="G1027" s="1062"/>
      <c r="H1027" s="1063">
        <f t="shared" si="46"/>
        <v>29.06</v>
      </c>
    </row>
    <row r="1028" spans="1:8" s="965" customFormat="1">
      <c r="A1028" s="1059"/>
      <c r="B1028" s="1076" t="s">
        <v>5601</v>
      </c>
      <c r="C1028" s="1061">
        <v>1</v>
      </c>
      <c r="D1028" s="1061">
        <v>1</v>
      </c>
      <c r="E1028" s="1062">
        <v>1.83</v>
      </c>
      <c r="F1028" s="1062">
        <v>3.66</v>
      </c>
      <c r="G1028" s="1062"/>
      <c r="H1028" s="1063">
        <f t="shared" si="46"/>
        <v>6.7</v>
      </c>
    </row>
    <row r="1029" spans="1:8" s="965" customFormat="1">
      <c r="A1029" s="1059"/>
      <c r="B1029" s="1076" t="s">
        <v>5274</v>
      </c>
      <c r="C1029" s="1061">
        <v>1</v>
      </c>
      <c r="D1029" s="1061">
        <v>1</v>
      </c>
      <c r="E1029" s="1062">
        <v>12.22</v>
      </c>
      <c r="F1029" s="1062">
        <v>3.66</v>
      </c>
      <c r="G1029" s="1062"/>
      <c r="H1029" s="1063">
        <f t="shared" si="46"/>
        <v>44.73</v>
      </c>
    </row>
    <row r="1030" spans="1:8" s="965" customFormat="1">
      <c r="A1030" s="1059"/>
      <c r="B1030" s="1076" t="s">
        <v>6017</v>
      </c>
      <c r="C1030" s="1061">
        <v>1</v>
      </c>
      <c r="D1030" s="1061">
        <v>1</v>
      </c>
      <c r="E1030" s="1062">
        <v>15.39</v>
      </c>
      <c r="F1030" s="1062">
        <v>1.67</v>
      </c>
      <c r="G1030" s="1062"/>
      <c r="H1030" s="1063">
        <f t="shared" si="46"/>
        <v>25.7</v>
      </c>
    </row>
    <row r="1031" spans="1:8" s="965" customFormat="1">
      <c r="A1031" s="1059"/>
      <c r="B1031" s="1076" t="s">
        <v>6018</v>
      </c>
      <c r="C1031" s="1061">
        <v>1</v>
      </c>
      <c r="D1031" s="1061">
        <v>1</v>
      </c>
      <c r="E1031" s="1062">
        <v>4.5599999999999996</v>
      </c>
      <c r="F1031" s="1062">
        <v>3.38</v>
      </c>
      <c r="G1031" s="1062"/>
      <c r="H1031" s="1063">
        <f t="shared" si="46"/>
        <v>15.41</v>
      </c>
    </row>
    <row r="1032" spans="1:8" s="965" customFormat="1">
      <c r="A1032" s="1059"/>
      <c r="B1032" s="1076" t="s">
        <v>6019</v>
      </c>
      <c r="C1032" s="1061">
        <v>1</v>
      </c>
      <c r="D1032" s="1061">
        <v>1</v>
      </c>
      <c r="E1032" s="1062">
        <v>1.07</v>
      </c>
      <c r="F1032" s="1062">
        <v>3.66</v>
      </c>
      <c r="G1032" s="1062"/>
      <c r="H1032" s="1063">
        <f t="shared" si="46"/>
        <v>3.92</v>
      </c>
    </row>
    <row r="1033" spans="1:8" s="965" customFormat="1">
      <c r="A1033" s="1059"/>
      <c r="B1033" s="1076" t="s">
        <v>6020</v>
      </c>
      <c r="C1033" s="1061">
        <v>1</v>
      </c>
      <c r="D1033" s="1061">
        <v>1</v>
      </c>
      <c r="E1033" s="1062">
        <v>26</v>
      </c>
      <c r="F1033" s="1062" t="s">
        <v>222</v>
      </c>
      <c r="G1033" s="1062"/>
      <c r="H1033" s="1063">
        <f t="shared" si="46"/>
        <v>26</v>
      </c>
    </row>
    <row r="1034" spans="1:8" s="965" customFormat="1">
      <c r="A1034" s="1059"/>
      <c r="B1034" s="1076" t="s">
        <v>6021</v>
      </c>
      <c r="C1034" s="1061">
        <v>1</v>
      </c>
      <c r="D1034" s="1061">
        <v>2</v>
      </c>
      <c r="E1034" s="1062">
        <v>1.41</v>
      </c>
      <c r="F1034" s="1062">
        <v>2.06</v>
      </c>
      <c r="G1034" s="1062"/>
      <c r="H1034" s="1063">
        <f t="shared" si="46"/>
        <v>5.81</v>
      </c>
    </row>
    <row r="1035" spans="1:8" s="965" customFormat="1">
      <c r="A1035" s="1059"/>
      <c r="B1035" s="1076" t="s">
        <v>6022</v>
      </c>
      <c r="C1035" s="1061">
        <v>1</v>
      </c>
      <c r="D1035" s="1061">
        <v>1</v>
      </c>
      <c r="E1035" s="1062">
        <v>8.91</v>
      </c>
      <c r="F1035" s="1062">
        <v>3.78</v>
      </c>
      <c r="G1035" s="1062"/>
      <c r="H1035" s="1063">
        <f t="shared" si="46"/>
        <v>33.68</v>
      </c>
    </row>
    <row r="1036" spans="1:8" s="965" customFormat="1">
      <c r="A1036" s="1059"/>
      <c r="B1036" s="1076"/>
      <c r="C1036" s="1061">
        <v>1</v>
      </c>
      <c r="D1036" s="1061">
        <v>1</v>
      </c>
      <c r="E1036" s="1062">
        <v>3.77</v>
      </c>
      <c r="F1036" s="1062">
        <v>4.42</v>
      </c>
      <c r="G1036" s="1062"/>
      <c r="H1036" s="1063">
        <f t="shared" si="46"/>
        <v>16.66</v>
      </c>
    </row>
    <row r="1037" spans="1:8" s="965" customFormat="1">
      <c r="A1037" s="1059"/>
      <c r="B1037" s="1076" t="s">
        <v>6023</v>
      </c>
      <c r="C1037" s="1061">
        <v>1</v>
      </c>
      <c r="D1037" s="1061">
        <v>1</v>
      </c>
      <c r="E1037" s="1062">
        <v>4.5</v>
      </c>
      <c r="F1037" s="1062">
        <v>5.68</v>
      </c>
      <c r="G1037" s="1062"/>
      <c r="H1037" s="1063">
        <f t="shared" si="46"/>
        <v>25.56</v>
      </c>
    </row>
    <row r="1038" spans="1:8" s="965" customFormat="1">
      <c r="A1038" s="1059"/>
      <c r="B1038" s="1076" t="s">
        <v>6024</v>
      </c>
      <c r="C1038" s="1061">
        <v>1</v>
      </c>
      <c r="D1038" s="1061">
        <v>1</v>
      </c>
      <c r="E1038" s="1062">
        <v>4.2699999999999996</v>
      </c>
      <c r="F1038" s="1062">
        <v>7.09</v>
      </c>
      <c r="G1038" s="1062"/>
      <c r="H1038" s="1063">
        <f t="shared" si="46"/>
        <v>30.27</v>
      </c>
    </row>
    <row r="1039" spans="1:8" s="965" customFormat="1">
      <c r="A1039" s="1059"/>
      <c r="B1039" s="1076" t="s">
        <v>5618</v>
      </c>
      <c r="C1039" s="1061">
        <v>1</v>
      </c>
      <c r="D1039" s="1061">
        <v>1</v>
      </c>
      <c r="E1039" s="1062">
        <v>4.2699999999999996</v>
      </c>
      <c r="F1039" s="1062">
        <v>3.05</v>
      </c>
      <c r="G1039" s="1062"/>
      <c r="H1039" s="1063">
        <f t="shared" si="46"/>
        <v>13.02</v>
      </c>
    </row>
    <row r="1040" spans="1:8" s="965" customFormat="1">
      <c r="A1040" s="1059"/>
      <c r="B1040" s="1076" t="s">
        <v>6033</v>
      </c>
      <c r="C1040" s="1061">
        <v>1</v>
      </c>
      <c r="D1040" s="1061">
        <v>1</v>
      </c>
      <c r="E1040" s="1062">
        <v>314</v>
      </c>
      <c r="F1040" s="1062"/>
      <c r="G1040" s="1062">
        <v>0.1</v>
      </c>
      <c r="H1040" s="1063">
        <f t="shared" si="46"/>
        <v>31.4</v>
      </c>
    </row>
    <row r="1041" spans="1:8" s="965" customFormat="1">
      <c r="A1041" s="1059"/>
      <c r="B1041" s="1075" t="s">
        <v>5311</v>
      </c>
      <c r="C1041" s="1061"/>
      <c r="D1041" s="1061"/>
      <c r="E1041" s="1062"/>
      <c r="F1041" s="1062"/>
      <c r="G1041" s="1062"/>
      <c r="H1041" s="1063"/>
    </row>
    <row r="1042" spans="1:8" s="965" customFormat="1">
      <c r="A1042" s="1059"/>
      <c r="B1042" s="1065" t="s">
        <v>5515</v>
      </c>
      <c r="C1042" s="1061">
        <v>1</v>
      </c>
      <c r="D1042" s="1061">
        <v>1</v>
      </c>
      <c r="E1042" s="1062">
        <v>13.06</v>
      </c>
      <c r="F1042" s="1062">
        <v>9.2100000000000009</v>
      </c>
      <c r="G1042" s="1062"/>
      <c r="H1042" s="1391">
        <f t="shared" ref="H1042:H1055" si="47">PRODUCT(C1042:G1042)</f>
        <v>120.28</v>
      </c>
    </row>
    <row r="1043" spans="1:8" s="965" customFormat="1">
      <c r="A1043" s="1059"/>
      <c r="B1043" s="1065"/>
      <c r="C1043" s="1061">
        <v>1</v>
      </c>
      <c r="D1043" s="1061">
        <v>1</v>
      </c>
      <c r="E1043" s="1062">
        <v>6.6</v>
      </c>
      <c r="F1043" s="1062">
        <v>5.44</v>
      </c>
      <c r="G1043" s="1062"/>
      <c r="H1043" s="1391">
        <f t="shared" si="47"/>
        <v>35.9</v>
      </c>
    </row>
    <row r="1044" spans="1:8" s="965" customFormat="1">
      <c r="A1044" s="1059"/>
      <c r="B1044" s="1065" t="s">
        <v>6025</v>
      </c>
      <c r="C1044" s="1061">
        <v>1</v>
      </c>
      <c r="D1044" s="1061">
        <v>1</v>
      </c>
      <c r="E1044" s="1062">
        <v>4.79</v>
      </c>
      <c r="F1044" s="1062">
        <v>3.38</v>
      </c>
      <c r="G1044" s="1062"/>
      <c r="H1044" s="1391">
        <f t="shared" si="47"/>
        <v>16.190000000000001</v>
      </c>
    </row>
    <row r="1045" spans="1:8" s="965" customFormat="1">
      <c r="A1045" s="1059"/>
      <c r="B1045" s="1065" t="s">
        <v>5274</v>
      </c>
      <c r="C1045" s="1061">
        <v>1</v>
      </c>
      <c r="D1045" s="1061">
        <v>1</v>
      </c>
      <c r="E1045" s="1062">
        <v>4.26</v>
      </c>
      <c r="F1045" s="1062">
        <v>3.66</v>
      </c>
      <c r="G1045" s="1062"/>
      <c r="H1045" s="1391">
        <f t="shared" si="47"/>
        <v>15.59</v>
      </c>
    </row>
    <row r="1046" spans="1:8" s="965" customFormat="1">
      <c r="A1046" s="1059"/>
      <c r="B1046" s="1065" t="s">
        <v>5626</v>
      </c>
      <c r="C1046" s="1061">
        <v>1</v>
      </c>
      <c r="D1046" s="1061">
        <v>1</v>
      </c>
      <c r="E1046" s="1062">
        <v>3.05</v>
      </c>
      <c r="F1046" s="1062">
        <v>3.66</v>
      </c>
      <c r="G1046" s="1062"/>
      <c r="H1046" s="1391">
        <f t="shared" si="47"/>
        <v>11.16</v>
      </c>
    </row>
    <row r="1047" spans="1:8" s="965" customFormat="1">
      <c r="A1047" s="1059"/>
      <c r="B1047" s="1076" t="s">
        <v>6019</v>
      </c>
      <c r="C1047" s="1061">
        <v>1</v>
      </c>
      <c r="D1047" s="1061">
        <v>1</v>
      </c>
      <c r="E1047" s="1062">
        <v>1.07</v>
      </c>
      <c r="F1047" s="1062">
        <v>3.66</v>
      </c>
      <c r="G1047" s="1062"/>
      <c r="H1047" s="1063">
        <f t="shared" si="47"/>
        <v>3.92</v>
      </c>
    </row>
    <row r="1048" spans="1:8" s="965" customFormat="1">
      <c r="A1048" s="1059"/>
      <c r="B1048" s="1076" t="s">
        <v>6020</v>
      </c>
      <c r="C1048" s="1061">
        <v>1</v>
      </c>
      <c r="D1048" s="1061">
        <v>1</v>
      </c>
      <c r="E1048" s="1062">
        <v>26</v>
      </c>
      <c r="F1048" s="1062" t="s">
        <v>222</v>
      </c>
      <c r="G1048" s="1062"/>
      <c r="H1048" s="1063">
        <f t="shared" si="47"/>
        <v>26</v>
      </c>
    </row>
    <row r="1049" spans="1:8" s="965" customFormat="1">
      <c r="A1049" s="1059"/>
      <c r="B1049" s="1076" t="s">
        <v>6021</v>
      </c>
      <c r="C1049" s="1061">
        <v>1</v>
      </c>
      <c r="D1049" s="1061">
        <v>2</v>
      </c>
      <c r="E1049" s="1062">
        <v>1.41</v>
      </c>
      <c r="F1049" s="1062">
        <v>2.06</v>
      </c>
      <c r="G1049" s="1062"/>
      <c r="H1049" s="1063">
        <f t="shared" si="47"/>
        <v>5.81</v>
      </c>
    </row>
    <row r="1050" spans="1:8" s="965" customFormat="1">
      <c r="A1050" s="1059"/>
      <c r="B1050" s="1076" t="s">
        <v>5230</v>
      </c>
      <c r="C1050" s="1061">
        <v>1</v>
      </c>
      <c r="D1050" s="1061">
        <v>1</v>
      </c>
      <c r="E1050" s="1062">
        <v>8.91</v>
      </c>
      <c r="F1050" s="1062">
        <v>3.78</v>
      </c>
      <c r="G1050" s="1062"/>
      <c r="H1050" s="1063">
        <f t="shared" si="47"/>
        <v>33.68</v>
      </c>
    </row>
    <row r="1051" spans="1:8" s="965" customFormat="1">
      <c r="A1051" s="1059"/>
      <c r="B1051" s="1076"/>
      <c r="C1051" s="1061">
        <v>1</v>
      </c>
      <c r="D1051" s="1061">
        <v>1</v>
      </c>
      <c r="E1051" s="1062">
        <v>3.77</v>
      </c>
      <c r="F1051" s="1062">
        <v>4.42</v>
      </c>
      <c r="G1051" s="1062"/>
      <c r="H1051" s="1063">
        <f t="shared" si="47"/>
        <v>16.66</v>
      </c>
    </row>
    <row r="1052" spans="1:8" s="965" customFormat="1">
      <c r="A1052" s="1059"/>
      <c r="B1052" s="1076" t="s">
        <v>6033</v>
      </c>
      <c r="C1052" s="1061">
        <v>1</v>
      </c>
      <c r="D1052" s="1061">
        <v>1</v>
      </c>
      <c r="E1052" s="1062">
        <v>210</v>
      </c>
      <c r="F1052" s="1062"/>
      <c r="G1052" s="1062">
        <v>0.1</v>
      </c>
      <c r="H1052" s="1063">
        <f t="shared" si="47"/>
        <v>21</v>
      </c>
    </row>
    <row r="1053" spans="1:8" s="965" customFormat="1">
      <c r="A1053" s="1059"/>
      <c r="B1053" s="1075" t="s">
        <v>5632</v>
      </c>
      <c r="C1053" s="1061"/>
      <c r="D1053" s="1061"/>
      <c r="E1053" s="1062"/>
      <c r="F1053" s="1062"/>
      <c r="G1053" s="1062"/>
      <c r="H1053" s="1063">
        <f t="shared" si="47"/>
        <v>0</v>
      </c>
    </row>
    <row r="1054" spans="1:8" s="965" customFormat="1">
      <c r="A1054" s="1059"/>
      <c r="B1054" s="1076" t="s">
        <v>6034</v>
      </c>
      <c r="C1054" s="1061">
        <v>1</v>
      </c>
      <c r="D1054" s="1061">
        <v>1</v>
      </c>
      <c r="E1054" s="1062">
        <v>1.84</v>
      </c>
      <c r="F1054" s="1062">
        <v>1.4</v>
      </c>
      <c r="G1054" s="1062"/>
      <c r="H1054" s="1063">
        <f t="shared" si="47"/>
        <v>2.58</v>
      </c>
    </row>
    <row r="1055" spans="1:8" s="965" customFormat="1">
      <c r="A1055" s="1059"/>
      <c r="B1055" s="1076" t="s">
        <v>6033</v>
      </c>
      <c r="C1055" s="1061">
        <v>1</v>
      </c>
      <c r="D1055" s="1061">
        <v>1</v>
      </c>
      <c r="E1055" s="1062">
        <v>4.6399999999999997</v>
      </c>
      <c r="F1055" s="1062"/>
      <c r="G1055" s="1062">
        <v>0.1</v>
      </c>
      <c r="H1055" s="1063">
        <f t="shared" si="47"/>
        <v>0.46</v>
      </c>
    </row>
    <row r="1056" spans="1:8" s="965" customFormat="1">
      <c r="A1056" s="1059"/>
      <c r="B1056" s="1076"/>
      <c r="C1056" s="1061"/>
      <c r="D1056" s="1061"/>
      <c r="E1056" s="1062"/>
      <c r="F1056" s="1062"/>
      <c r="G1056" s="1062"/>
      <c r="H1056" s="1077">
        <f>+SUM(H1010:H1055)</f>
        <v>895.41</v>
      </c>
    </row>
    <row r="1057" spans="1:8" s="965" customFormat="1">
      <c r="A1057" s="1059"/>
      <c r="B1057" s="1076"/>
      <c r="C1057" s="1061"/>
      <c r="D1057" s="1061"/>
      <c r="E1057" s="1062"/>
      <c r="F1057" s="1390" t="s">
        <v>4121</v>
      </c>
      <c r="G1057" s="1100">
        <f>ROUNDUP(H1056,1)</f>
        <v>895.5</v>
      </c>
      <c r="H1057" s="1074" t="s">
        <v>2199</v>
      </c>
    </row>
    <row r="1058" spans="1:8" s="716" customFormat="1">
      <c r="A1058" s="1059"/>
      <c r="B1058" s="1064"/>
      <c r="C1058" s="1061"/>
      <c r="D1058" s="1061"/>
      <c r="E1058" s="1062"/>
      <c r="F1058" s="1062"/>
      <c r="G1058" s="1062"/>
      <c r="H1058" s="1077"/>
    </row>
    <row r="1059" spans="1:8" s="965" customFormat="1">
      <c r="A1059" s="1059"/>
      <c r="B1059" s="1060" t="s">
        <v>6113</v>
      </c>
      <c r="C1059" s="1061"/>
      <c r="D1059" s="1061"/>
      <c r="E1059" s="1062"/>
      <c r="F1059" s="1062"/>
      <c r="G1059" s="1062"/>
      <c r="H1059" s="1063"/>
    </row>
    <row r="1060" spans="1:8" s="965" customFormat="1">
      <c r="A1060" s="1059"/>
      <c r="B1060" s="1112" t="s">
        <v>6029</v>
      </c>
      <c r="C1060" s="1061">
        <v>1</v>
      </c>
      <c r="D1060" s="1061">
        <v>1</v>
      </c>
      <c r="E1060" s="1062">
        <v>12</v>
      </c>
      <c r="F1060" s="1062">
        <v>1.83</v>
      </c>
      <c r="G1060" s="1062"/>
      <c r="H1060" s="1087">
        <f>PRODUCT(C1060:G1060)</f>
        <v>21.96</v>
      </c>
    </row>
    <row r="1061" spans="1:8" s="965" customFormat="1">
      <c r="A1061" s="1059"/>
      <c r="B1061" s="1064" t="s">
        <v>5324</v>
      </c>
      <c r="C1061" s="1061">
        <v>1</v>
      </c>
      <c r="D1061" s="1061">
        <v>1</v>
      </c>
      <c r="E1061" s="1062">
        <v>15.81</v>
      </c>
      <c r="F1061" s="1062">
        <v>6.09</v>
      </c>
      <c r="G1061" s="1062"/>
      <c r="H1061" s="1087">
        <f>PRODUCT(C1061:G1061)</f>
        <v>96.28</v>
      </c>
    </row>
    <row r="1062" spans="1:8" s="965" customFormat="1">
      <c r="A1062" s="1059"/>
      <c r="B1062" s="1064"/>
      <c r="C1062" s="1061">
        <v>1</v>
      </c>
      <c r="D1062" s="1061">
        <v>1</v>
      </c>
      <c r="E1062" s="1062">
        <v>4.08</v>
      </c>
      <c r="F1062" s="1062">
        <v>6.09</v>
      </c>
      <c r="G1062" s="1062"/>
      <c r="H1062" s="1087">
        <f>PRODUCT(C1062:G1062)</f>
        <v>24.85</v>
      </c>
    </row>
    <row r="1063" spans="1:8" s="965" customFormat="1">
      <c r="A1063" s="1059"/>
      <c r="B1063" s="1064"/>
      <c r="C1063" s="1061">
        <v>1</v>
      </c>
      <c r="D1063" s="1061">
        <v>1</v>
      </c>
      <c r="E1063" s="1062">
        <v>2.73</v>
      </c>
      <c r="F1063" s="1062">
        <v>5.4</v>
      </c>
      <c r="G1063" s="1062"/>
      <c r="H1063" s="1087">
        <f>PRODUCT(C1063:G1063)</f>
        <v>14.74</v>
      </c>
    </row>
    <row r="1064" spans="1:8" s="965" customFormat="1">
      <c r="A1064" s="1059"/>
      <c r="B1064" s="1064"/>
      <c r="C1064" s="1061">
        <v>1</v>
      </c>
      <c r="D1064" s="1061">
        <v>1</v>
      </c>
      <c r="E1064" s="1062">
        <v>2.06</v>
      </c>
      <c r="F1064" s="1062">
        <v>4.26</v>
      </c>
      <c r="G1064" s="1062"/>
      <c r="H1064" s="1087">
        <f>PRODUCT(C1064:G1064)</f>
        <v>8.7799999999999994</v>
      </c>
    </row>
    <row r="1065" spans="1:8" s="965" customFormat="1">
      <c r="A1065" s="1059"/>
      <c r="B1065" s="1064"/>
      <c r="C1065" s="1061"/>
      <c r="D1065" s="1061"/>
      <c r="E1065" s="1062"/>
      <c r="F1065" s="1062"/>
      <c r="G1065" s="1062"/>
      <c r="H1065" s="1063">
        <f>+SUM(H1060:H1064)</f>
        <v>166.61</v>
      </c>
    </row>
    <row r="1066" spans="1:8" s="965" customFormat="1">
      <c r="A1066" s="1059"/>
      <c r="B1066" s="1387"/>
      <c r="C1066" s="1388"/>
      <c r="D1066" s="1388"/>
      <c r="E1066" s="1389"/>
      <c r="F1066" s="1390" t="s">
        <v>4121</v>
      </c>
      <c r="G1066" s="1100">
        <f>ROUNDUP(H1065,1)</f>
        <v>166.7</v>
      </c>
      <c r="H1066" s="1074" t="s">
        <v>2199</v>
      </c>
    </row>
    <row r="1067" spans="1:8" s="716" customFormat="1">
      <c r="A1067" s="1059" t="s">
        <v>5379</v>
      </c>
      <c r="B1067" s="1075" t="s">
        <v>5380</v>
      </c>
      <c r="C1067" s="1061"/>
      <c r="D1067" s="1061"/>
      <c r="E1067" s="1062"/>
      <c r="F1067" s="1072"/>
      <c r="G1067" s="1100"/>
      <c r="H1067" s="1074"/>
    </row>
    <row r="1068" spans="1:8" s="716" customFormat="1">
      <c r="A1068" s="1059"/>
      <c r="B1068" s="1075" t="s">
        <v>5344</v>
      </c>
      <c r="C1068" s="1061"/>
      <c r="D1068" s="1061"/>
      <c r="E1068" s="1062"/>
      <c r="F1068" s="1072"/>
      <c r="G1068" s="1111"/>
      <c r="H1068" s="1074"/>
    </row>
    <row r="1069" spans="1:8" s="716" customFormat="1">
      <c r="A1069" s="1059"/>
      <c r="B1069" s="1076" t="s">
        <v>5556</v>
      </c>
      <c r="C1069" s="1061">
        <v>1</v>
      </c>
      <c r="D1069" s="1061">
        <v>1</v>
      </c>
      <c r="E1069" s="1062">
        <v>1.83</v>
      </c>
      <c r="F1069" s="1062">
        <v>1.75</v>
      </c>
      <c r="G1069" s="1062"/>
      <c r="H1069" s="1063">
        <f>PRODUCT(C1069:G1069)</f>
        <v>3.2</v>
      </c>
    </row>
    <row r="1070" spans="1:8" s="716" customFormat="1">
      <c r="A1070" s="1059"/>
      <c r="B1070" s="1076" t="s">
        <v>5507</v>
      </c>
      <c r="C1070" s="1061">
        <v>1</v>
      </c>
      <c r="D1070" s="1061">
        <v>1</v>
      </c>
      <c r="E1070" s="1062">
        <v>1.83</v>
      </c>
      <c r="F1070" s="1062">
        <v>1.22</v>
      </c>
      <c r="G1070" s="1062"/>
      <c r="H1070" s="1063">
        <f>PRODUCT(C1070:G1070)</f>
        <v>2.23</v>
      </c>
    </row>
    <row r="1071" spans="1:8" s="716" customFormat="1">
      <c r="A1071" s="1059"/>
      <c r="B1071" s="1075" t="s">
        <v>5310</v>
      </c>
      <c r="C1071" s="1061"/>
      <c r="D1071" s="1061"/>
      <c r="E1071" s="1062"/>
      <c r="F1071" s="1062"/>
      <c r="G1071" s="1062"/>
      <c r="H1071" s="1063"/>
    </row>
    <row r="1072" spans="1:8" s="716" customFormat="1">
      <c r="A1072" s="1059"/>
      <c r="B1072" s="1076" t="s">
        <v>5507</v>
      </c>
      <c r="C1072" s="1061">
        <v>1</v>
      </c>
      <c r="D1072" s="1061">
        <v>1</v>
      </c>
      <c r="E1072" s="1062">
        <v>2.5499999999999998</v>
      </c>
      <c r="F1072" s="1062">
        <v>2.3199999999999998</v>
      </c>
      <c r="G1072" s="1062"/>
      <c r="H1072" s="1063">
        <f>PRODUCT(C1072:G1072)</f>
        <v>5.92</v>
      </c>
    </row>
    <row r="1073" spans="1:8" s="716" customFormat="1">
      <c r="A1073" s="1059"/>
      <c r="B1073" s="1076" t="s">
        <v>4987</v>
      </c>
      <c r="C1073" s="1061">
        <v>1</v>
      </c>
      <c r="D1073" s="1061">
        <v>2</v>
      </c>
      <c r="E1073" s="1062">
        <v>1.22</v>
      </c>
      <c r="F1073" s="1062">
        <v>1.22</v>
      </c>
      <c r="G1073" s="1062"/>
      <c r="H1073" s="1063">
        <f>PRODUCT(C1073:G1073)</f>
        <v>2.98</v>
      </c>
    </row>
    <row r="1074" spans="1:8" s="716" customFormat="1">
      <c r="A1074" s="1059"/>
      <c r="B1074" s="1076" t="s">
        <v>5556</v>
      </c>
      <c r="C1074" s="1061">
        <v>1</v>
      </c>
      <c r="D1074" s="1061">
        <v>1</v>
      </c>
      <c r="E1074" s="1062">
        <v>4.2699999999999996</v>
      </c>
      <c r="F1074" s="1062">
        <v>1.74</v>
      </c>
      <c r="G1074" s="1062"/>
      <c r="H1074" s="1063">
        <f>PRODUCT(C1074:G1074)</f>
        <v>7.43</v>
      </c>
    </row>
    <row r="1075" spans="1:8" s="716" customFormat="1">
      <c r="A1075" s="1059"/>
      <c r="B1075" s="1076" t="s">
        <v>4989</v>
      </c>
      <c r="C1075" s="1061">
        <v>1</v>
      </c>
      <c r="D1075" s="1061">
        <v>2</v>
      </c>
      <c r="E1075" s="1062">
        <v>1.22</v>
      </c>
      <c r="F1075" s="1062">
        <v>1.22</v>
      </c>
      <c r="G1075" s="1062"/>
      <c r="H1075" s="1063">
        <f>SUM(H1069:H1074)</f>
        <v>21.76</v>
      </c>
    </row>
    <row r="1076" spans="1:8" s="716" customFormat="1">
      <c r="A1076" s="1059"/>
      <c r="B1076" s="1112" t="s">
        <v>5557</v>
      </c>
      <c r="C1076" s="1061">
        <v>1</v>
      </c>
      <c r="D1076" s="1061">
        <v>1</v>
      </c>
      <c r="E1076" s="1062">
        <v>2.74</v>
      </c>
      <c r="F1076" s="1062">
        <v>1.67</v>
      </c>
      <c r="G1076" s="1062"/>
      <c r="H1076" s="1063">
        <f>SUM(H1070:H1075)</f>
        <v>40.32</v>
      </c>
    </row>
    <row r="1077" spans="1:8" s="716" customFormat="1">
      <c r="A1077" s="1059"/>
      <c r="B1077" s="1075" t="s">
        <v>5311</v>
      </c>
      <c r="C1077" s="1061"/>
      <c r="D1077" s="1061"/>
      <c r="E1077" s="1062"/>
      <c r="F1077" s="1062"/>
      <c r="G1077" s="1062"/>
      <c r="H1077" s="1063"/>
    </row>
    <row r="1078" spans="1:8" s="716" customFormat="1">
      <c r="A1078" s="1059"/>
      <c r="B1078" s="1076" t="s">
        <v>5507</v>
      </c>
      <c r="C1078" s="1061">
        <v>1</v>
      </c>
      <c r="D1078" s="1061">
        <v>1</v>
      </c>
      <c r="E1078" s="1062">
        <v>2.5499999999999998</v>
      </c>
      <c r="F1078" s="1062">
        <v>2.3199999999999998</v>
      </c>
      <c r="G1078" s="1062"/>
      <c r="H1078" s="1063">
        <f>PRODUCT(C1078:G1078)</f>
        <v>5.92</v>
      </c>
    </row>
    <row r="1079" spans="1:8" s="716" customFormat="1">
      <c r="A1079" s="1059"/>
      <c r="B1079" s="1076" t="s">
        <v>4987</v>
      </c>
      <c r="C1079" s="1061">
        <v>1</v>
      </c>
      <c r="D1079" s="1061">
        <v>2</v>
      </c>
      <c r="E1079" s="1062">
        <v>1.22</v>
      </c>
      <c r="F1079" s="1062">
        <v>1.22</v>
      </c>
      <c r="G1079" s="1062"/>
      <c r="H1079" s="1063">
        <f>PRODUCT(C1079:G1079)</f>
        <v>2.98</v>
      </c>
    </row>
    <row r="1080" spans="1:8" s="716" customFormat="1">
      <c r="A1080" s="1059"/>
      <c r="B1080" s="1076" t="s">
        <v>5556</v>
      </c>
      <c r="C1080" s="1061">
        <v>1</v>
      </c>
      <c r="D1080" s="1061">
        <v>1</v>
      </c>
      <c r="E1080" s="1062">
        <v>4.2699999999999996</v>
      </c>
      <c r="F1080" s="1062">
        <v>1.74</v>
      </c>
      <c r="G1080" s="1062"/>
      <c r="H1080" s="1063">
        <f>PRODUCT(C1080:G1080)</f>
        <v>7.43</v>
      </c>
    </row>
    <row r="1081" spans="1:8" s="716" customFormat="1">
      <c r="A1081" s="1059"/>
      <c r="B1081" s="1076" t="s">
        <v>4989</v>
      </c>
      <c r="C1081" s="1061">
        <v>1</v>
      </c>
      <c r="D1081" s="1061">
        <v>2</v>
      </c>
      <c r="E1081" s="1062">
        <v>1.22</v>
      </c>
      <c r="F1081" s="1062">
        <v>1.22</v>
      </c>
      <c r="G1081" s="1062"/>
      <c r="H1081" s="1063">
        <f>SUM(H1075:H1080)</f>
        <v>78.41</v>
      </c>
    </row>
    <row r="1082" spans="1:8" s="716" customFormat="1">
      <c r="A1082" s="1059"/>
      <c r="B1082" s="1076"/>
      <c r="C1082" s="1061"/>
      <c r="D1082" s="1061"/>
      <c r="E1082" s="1062"/>
      <c r="F1082" s="1062"/>
      <c r="G1082" s="1062"/>
      <c r="H1082" s="1063">
        <f>+SUM(H1069:H1081)</f>
        <v>178.58</v>
      </c>
    </row>
    <row r="1083" spans="1:8" s="716" customFormat="1">
      <c r="A1083" s="1059"/>
      <c r="B1083" s="1064"/>
      <c r="C1083" s="1061"/>
      <c r="D1083" s="1061"/>
      <c r="E1083" s="1062"/>
      <c r="F1083" s="1072" t="s">
        <v>4121</v>
      </c>
      <c r="G1083" s="1100">
        <f>ROUNDUP(H1082,1)</f>
        <v>178.6</v>
      </c>
      <c r="H1083" s="1074" t="s">
        <v>2199</v>
      </c>
    </row>
    <row r="1084" spans="1:8" s="716" customFormat="1">
      <c r="A1084" s="1059">
        <v>29.4</v>
      </c>
      <c r="B1084" s="1075" t="s">
        <v>5381</v>
      </c>
      <c r="C1084" s="1061"/>
      <c r="D1084" s="1061"/>
      <c r="E1084" s="1062"/>
      <c r="F1084" s="1062"/>
      <c r="G1084" s="1062"/>
      <c r="H1084" s="1063"/>
    </row>
    <row r="1085" spans="1:8" s="716" customFormat="1">
      <c r="A1085" s="1059"/>
      <c r="B1085" s="1075" t="s">
        <v>5344</v>
      </c>
      <c r="C1085" s="1061"/>
      <c r="D1085" s="1061"/>
      <c r="E1085" s="1062"/>
      <c r="F1085" s="1062"/>
      <c r="G1085" s="1062"/>
      <c r="H1085" s="1063"/>
    </row>
    <row r="1086" spans="1:8" s="716" customFormat="1">
      <c r="A1086" s="1059"/>
      <c r="B1086" s="1076" t="s">
        <v>5556</v>
      </c>
      <c r="C1086" s="1061">
        <v>1</v>
      </c>
      <c r="D1086" s="1061">
        <v>1</v>
      </c>
      <c r="E1086" s="1062">
        <v>7.16</v>
      </c>
      <c r="F1086" s="1062"/>
      <c r="G1086" s="1062">
        <v>1.5</v>
      </c>
      <c r="H1086" s="1063">
        <f>PRODUCT(C1086:G1086)</f>
        <v>10.74</v>
      </c>
    </row>
    <row r="1087" spans="1:8" s="716" customFormat="1">
      <c r="A1087" s="1059"/>
      <c r="B1087" s="1076" t="s">
        <v>5558</v>
      </c>
      <c r="C1087" s="1061">
        <v>-1</v>
      </c>
      <c r="D1087" s="1061">
        <v>1</v>
      </c>
      <c r="E1087" s="1062">
        <v>0.75</v>
      </c>
      <c r="F1087" s="1062"/>
      <c r="G1087" s="1062">
        <v>1.5</v>
      </c>
      <c r="H1087" s="1063">
        <f>PRODUCT(C1087:G1087)</f>
        <v>-1.1299999999999999</v>
      </c>
    </row>
    <row r="1088" spans="1:8" s="716" customFormat="1">
      <c r="A1088" s="1059"/>
      <c r="B1088" s="1076" t="s">
        <v>5559</v>
      </c>
      <c r="C1088" s="1061">
        <v>1</v>
      </c>
      <c r="D1088" s="1061">
        <v>2</v>
      </c>
      <c r="E1088" s="1062">
        <v>0.08</v>
      </c>
      <c r="F1088" s="1062"/>
      <c r="G1088" s="1062">
        <v>1.5</v>
      </c>
      <c r="H1088" s="1063">
        <f>PRODUCT(C1088:G1088)</f>
        <v>0.24</v>
      </c>
    </row>
    <row r="1089" spans="1:8" s="716" customFormat="1">
      <c r="A1089" s="1059"/>
      <c r="B1089" s="1076" t="s">
        <v>5507</v>
      </c>
      <c r="C1089" s="1061">
        <v>1</v>
      </c>
      <c r="D1089" s="1061">
        <v>1</v>
      </c>
      <c r="E1089" s="1062">
        <v>6.1</v>
      </c>
      <c r="F1089" s="1062"/>
      <c r="G1089" s="1062">
        <v>1.5</v>
      </c>
      <c r="H1089" s="1063">
        <f>PRODUCT(C1089:G1089)</f>
        <v>9.15</v>
      </c>
    </row>
    <row r="1090" spans="1:8" s="716" customFormat="1">
      <c r="A1090" s="1059"/>
      <c r="B1090" s="1076" t="s">
        <v>5558</v>
      </c>
      <c r="C1090" s="1061">
        <v>-1</v>
      </c>
      <c r="D1090" s="1061">
        <v>1</v>
      </c>
      <c r="E1090" s="1062">
        <v>0.75</v>
      </c>
      <c r="F1090" s="1062"/>
      <c r="G1090" s="1062">
        <v>1.5</v>
      </c>
      <c r="H1090" s="1063">
        <f t="shared" ref="H1090:H1102" si="48">PRODUCT(C1090:G1090)</f>
        <v>-1.1299999999999999</v>
      </c>
    </row>
    <row r="1091" spans="1:8" s="716" customFormat="1">
      <c r="A1091" s="1059"/>
      <c r="B1091" s="1076" t="s">
        <v>5559</v>
      </c>
      <c r="C1091" s="1061">
        <v>1</v>
      </c>
      <c r="D1091" s="1061">
        <v>2</v>
      </c>
      <c r="E1091" s="1062">
        <v>0.08</v>
      </c>
      <c r="F1091" s="1062"/>
      <c r="G1091" s="1062">
        <v>1.5</v>
      </c>
      <c r="H1091" s="1063">
        <f t="shared" si="48"/>
        <v>0.24</v>
      </c>
    </row>
    <row r="1092" spans="1:8" s="716" customFormat="1">
      <c r="A1092" s="1059"/>
      <c r="B1092" s="1075" t="s">
        <v>5310</v>
      </c>
      <c r="C1092" s="1061"/>
      <c r="D1092" s="1061"/>
      <c r="E1092" s="1062"/>
      <c r="F1092" s="1062"/>
      <c r="G1092" s="1062"/>
      <c r="H1092" s="1063"/>
    </row>
    <row r="1093" spans="1:8" s="716" customFormat="1">
      <c r="A1093" s="1059"/>
      <c r="B1093" s="1076" t="s">
        <v>5507</v>
      </c>
      <c r="C1093" s="1061">
        <v>1</v>
      </c>
      <c r="D1093" s="1061">
        <v>1</v>
      </c>
      <c r="E1093" s="1062">
        <v>9.74</v>
      </c>
      <c r="F1093" s="1062"/>
      <c r="G1093" s="1062">
        <v>1.5</v>
      </c>
      <c r="H1093" s="1063">
        <f t="shared" si="48"/>
        <v>14.61</v>
      </c>
    </row>
    <row r="1094" spans="1:8" s="716" customFormat="1">
      <c r="A1094" s="1059"/>
      <c r="B1094" s="1076" t="s">
        <v>5560</v>
      </c>
      <c r="C1094" s="1061">
        <v>-1</v>
      </c>
      <c r="D1094" s="1061">
        <v>1</v>
      </c>
      <c r="E1094" s="1062">
        <v>1</v>
      </c>
      <c r="F1094" s="1062"/>
      <c r="G1094" s="1062">
        <v>1.5</v>
      </c>
      <c r="H1094" s="1063">
        <f t="shared" si="48"/>
        <v>-1.5</v>
      </c>
    </row>
    <row r="1095" spans="1:8" s="716" customFormat="1">
      <c r="A1095" s="1059"/>
      <c r="B1095" s="1076" t="s">
        <v>4987</v>
      </c>
      <c r="C1095" s="1061">
        <v>1</v>
      </c>
      <c r="D1095" s="1061">
        <v>4</v>
      </c>
      <c r="E1095" s="1062">
        <v>4.88</v>
      </c>
      <c r="F1095" s="1062"/>
      <c r="G1095" s="1062">
        <v>1.5</v>
      </c>
      <c r="H1095" s="1063">
        <f t="shared" si="48"/>
        <v>29.28</v>
      </c>
    </row>
    <row r="1096" spans="1:8" s="716" customFormat="1">
      <c r="A1096" s="1059"/>
      <c r="B1096" s="1076" t="s">
        <v>5558</v>
      </c>
      <c r="C1096" s="1061">
        <v>-1</v>
      </c>
      <c r="D1096" s="1061">
        <v>4</v>
      </c>
      <c r="E1096" s="1062">
        <v>0.75</v>
      </c>
      <c r="F1096" s="1062"/>
      <c r="G1096" s="1062">
        <v>1.5</v>
      </c>
      <c r="H1096" s="1063">
        <f t="shared" si="48"/>
        <v>-4.5</v>
      </c>
    </row>
    <row r="1097" spans="1:8" s="716" customFormat="1">
      <c r="A1097" s="1059"/>
      <c r="B1097" s="1076" t="s">
        <v>5559</v>
      </c>
      <c r="C1097" s="1061">
        <v>2</v>
      </c>
      <c r="D1097" s="1061">
        <v>4</v>
      </c>
      <c r="E1097" s="1062">
        <v>0.08</v>
      </c>
      <c r="F1097" s="1062"/>
      <c r="G1097" s="1062">
        <v>1.5</v>
      </c>
      <c r="H1097" s="1063">
        <f t="shared" si="48"/>
        <v>0.96</v>
      </c>
    </row>
    <row r="1098" spans="1:8" s="716" customFormat="1">
      <c r="A1098" s="1059"/>
      <c r="B1098" s="1076" t="s">
        <v>5556</v>
      </c>
      <c r="C1098" s="1061">
        <v>1</v>
      </c>
      <c r="D1098" s="1061">
        <v>1</v>
      </c>
      <c r="E1098" s="1062">
        <v>12.02</v>
      </c>
      <c r="F1098" s="1062"/>
      <c r="G1098" s="1062">
        <v>1.5</v>
      </c>
      <c r="H1098" s="1063">
        <f t="shared" si="48"/>
        <v>18.03</v>
      </c>
    </row>
    <row r="1099" spans="1:8" s="716" customFormat="1">
      <c r="A1099" s="1059"/>
      <c r="B1099" s="1076" t="s">
        <v>5560</v>
      </c>
      <c r="C1099" s="1061">
        <v>-1</v>
      </c>
      <c r="D1099" s="1061">
        <v>1</v>
      </c>
      <c r="E1099" s="1062">
        <v>1</v>
      </c>
      <c r="F1099" s="1062"/>
      <c r="G1099" s="1062">
        <v>1.5</v>
      </c>
      <c r="H1099" s="1063">
        <f t="shared" si="48"/>
        <v>-1.5</v>
      </c>
    </row>
    <row r="1100" spans="1:8" s="716" customFormat="1">
      <c r="A1100" s="1059"/>
      <c r="B1100" s="1112" t="s">
        <v>5557</v>
      </c>
      <c r="C1100" s="1061">
        <v>1</v>
      </c>
      <c r="D1100" s="1061">
        <v>1</v>
      </c>
      <c r="E1100" s="1062">
        <v>8.82</v>
      </c>
      <c r="F1100" s="1062"/>
      <c r="G1100" s="1062">
        <v>1.5</v>
      </c>
      <c r="H1100" s="1063">
        <f t="shared" si="48"/>
        <v>13.23</v>
      </c>
    </row>
    <row r="1101" spans="1:8" s="716" customFormat="1">
      <c r="A1101" s="1059"/>
      <c r="B1101" s="1076" t="s">
        <v>5558</v>
      </c>
      <c r="C1101" s="1061">
        <v>-1</v>
      </c>
      <c r="D1101" s="1061">
        <v>1</v>
      </c>
      <c r="E1101" s="1062">
        <v>0.75</v>
      </c>
      <c r="F1101" s="1062"/>
      <c r="G1101" s="1062">
        <v>1.5</v>
      </c>
      <c r="H1101" s="1063">
        <f t="shared" si="48"/>
        <v>-1.1299999999999999</v>
      </c>
    </row>
    <row r="1102" spans="1:8" s="716" customFormat="1">
      <c r="A1102" s="1059"/>
      <c r="B1102" s="1076" t="s">
        <v>5559</v>
      </c>
      <c r="C1102" s="1061">
        <v>2</v>
      </c>
      <c r="D1102" s="1061">
        <v>1</v>
      </c>
      <c r="E1102" s="1062">
        <v>0.08</v>
      </c>
      <c r="F1102" s="1062"/>
      <c r="G1102" s="1062">
        <v>1.5</v>
      </c>
      <c r="H1102" s="1063">
        <f t="shared" si="48"/>
        <v>0.24</v>
      </c>
    </row>
    <row r="1103" spans="1:8" s="716" customFormat="1">
      <c r="A1103" s="1059"/>
      <c r="B1103" s="1075" t="s">
        <v>5311</v>
      </c>
      <c r="C1103" s="1061"/>
      <c r="D1103" s="1061"/>
      <c r="E1103" s="1062"/>
      <c r="F1103" s="1062"/>
      <c r="G1103" s="1062"/>
      <c r="H1103" s="1063"/>
    </row>
    <row r="1104" spans="1:8" s="716" customFormat="1">
      <c r="A1104" s="1059"/>
      <c r="B1104" s="1076" t="s">
        <v>5507</v>
      </c>
      <c r="C1104" s="1061">
        <v>1</v>
      </c>
      <c r="D1104" s="1061">
        <v>1</v>
      </c>
      <c r="E1104" s="1062">
        <v>9.74</v>
      </c>
      <c r="F1104" s="1062"/>
      <c r="G1104" s="1062">
        <v>1.5</v>
      </c>
      <c r="H1104" s="1063">
        <f t="shared" ref="H1104:H1110" si="49">PRODUCT(C1104:G1104)</f>
        <v>14.61</v>
      </c>
    </row>
    <row r="1105" spans="1:8" s="716" customFormat="1">
      <c r="A1105" s="1059"/>
      <c r="B1105" s="1076" t="s">
        <v>5560</v>
      </c>
      <c r="C1105" s="1061">
        <v>-1</v>
      </c>
      <c r="D1105" s="1061">
        <v>1</v>
      </c>
      <c r="E1105" s="1062">
        <v>1</v>
      </c>
      <c r="F1105" s="1062"/>
      <c r="G1105" s="1062">
        <v>1.5</v>
      </c>
      <c r="H1105" s="1063">
        <f t="shared" si="49"/>
        <v>-1.5</v>
      </c>
    </row>
    <row r="1106" spans="1:8" s="716" customFormat="1">
      <c r="A1106" s="1059"/>
      <c r="B1106" s="1076" t="s">
        <v>4987</v>
      </c>
      <c r="C1106" s="1061">
        <v>1</v>
      </c>
      <c r="D1106" s="1061">
        <v>4</v>
      </c>
      <c r="E1106" s="1062">
        <v>4.88</v>
      </c>
      <c r="F1106" s="1062"/>
      <c r="G1106" s="1062">
        <v>1.5</v>
      </c>
      <c r="H1106" s="1063">
        <f t="shared" si="49"/>
        <v>29.28</v>
      </c>
    </row>
    <row r="1107" spans="1:8" s="716" customFormat="1">
      <c r="A1107" s="1059"/>
      <c r="B1107" s="1076" t="s">
        <v>5558</v>
      </c>
      <c r="C1107" s="1061">
        <v>-1</v>
      </c>
      <c r="D1107" s="1061">
        <v>4</v>
      </c>
      <c r="E1107" s="1062">
        <v>0.75</v>
      </c>
      <c r="F1107" s="1062"/>
      <c r="G1107" s="1062">
        <v>1.5</v>
      </c>
      <c r="H1107" s="1063">
        <f t="shared" si="49"/>
        <v>-4.5</v>
      </c>
    </row>
    <row r="1108" spans="1:8" s="716" customFormat="1">
      <c r="A1108" s="1059"/>
      <c r="B1108" s="1076" t="s">
        <v>5559</v>
      </c>
      <c r="C1108" s="1061">
        <v>2</v>
      </c>
      <c r="D1108" s="1061">
        <v>4</v>
      </c>
      <c r="E1108" s="1062">
        <v>0.08</v>
      </c>
      <c r="F1108" s="1062"/>
      <c r="G1108" s="1062">
        <v>1.5</v>
      </c>
      <c r="H1108" s="1063">
        <f t="shared" si="49"/>
        <v>0.96</v>
      </c>
    </row>
    <row r="1109" spans="1:8" s="716" customFormat="1">
      <c r="A1109" s="1059"/>
      <c r="B1109" s="1076" t="s">
        <v>5556</v>
      </c>
      <c r="C1109" s="1061">
        <v>1</v>
      </c>
      <c r="D1109" s="1061">
        <v>1</v>
      </c>
      <c r="E1109" s="1062">
        <v>12.02</v>
      </c>
      <c r="F1109" s="1062"/>
      <c r="G1109" s="1062">
        <v>1.5</v>
      </c>
      <c r="H1109" s="1063">
        <f t="shared" si="49"/>
        <v>18.03</v>
      </c>
    </row>
    <row r="1110" spans="1:8" s="716" customFormat="1">
      <c r="A1110" s="1059"/>
      <c r="B1110" s="1076" t="s">
        <v>5560</v>
      </c>
      <c r="C1110" s="1061">
        <v>-1</v>
      </c>
      <c r="D1110" s="1061">
        <v>1</v>
      </c>
      <c r="E1110" s="1062">
        <v>1</v>
      </c>
      <c r="F1110" s="1062"/>
      <c r="G1110" s="1062">
        <v>1.5</v>
      </c>
      <c r="H1110" s="1063">
        <f t="shared" si="49"/>
        <v>-1.5</v>
      </c>
    </row>
    <row r="1111" spans="1:8" s="716" customFormat="1">
      <c r="A1111" s="1059"/>
      <c r="B1111" s="1076" t="s">
        <v>5382</v>
      </c>
      <c r="C1111" s="1061">
        <v>1</v>
      </c>
      <c r="D1111" s="1061">
        <v>5</v>
      </c>
      <c r="E1111" s="1062">
        <v>1.2</v>
      </c>
      <c r="F1111" s="1062"/>
      <c r="G1111" s="1062">
        <v>0.6</v>
      </c>
      <c r="H1111" s="1063">
        <f>PRODUCT(C1111:G1111)</f>
        <v>3.6</v>
      </c>
    </row>
    <row r="1112" spans="1:8" s="716" customFormat="1">
      <c r="A1112" s="1059"/>
      <c r="B1112" s="1076" t="s">
        <v>5561</v>
      </c>
      <c r="C1112" s="1061">
        <v>1</v>
      </c>
      <c r="D1112" s="1061">
        <v>1</v>
      </c>
      <c r="E1112" s="1062">
        <v>2.5499999999999998</v>
      </c>
      <c r="F1112" s="1062"/>
      <c r="G1112" s="1062">
        <v>0.6</v>
      </c>
      <c r="H1112" s="1063">
        <f>PRODUCT(C1112:G1112)</f>
        <v>1.53</v>
      </c>
    </row>
    <row r="1113" spans="1:8" s="716" customFormat="1">
      <c r="A1113" s="1059"/>
      <c r="B1113" s="1064"/>
      <c r="C1113" s="1061"/>
      <c r="D1113" s="1061"/>
      <c r="E1113" s="1062"/>
      <c r="F1113" s="1062"/>
      <c r="G1113" s="1062"/>
      <c r="H1113" s="1077">
        <f>SUM(H1085:H1112)</f>
        <v>146.34</v>
      </c>
    </row>
    <row r="1114" spans="1:8" s="716" customFormat="1">
      <c r="A1114" s="1059"/>
      <c r="B1114" s="1064"/>
      <c r="C1114" s="1061"/>
      <c r="D1114" s="1061"/>
      <c r="E1114" s="1062"/>
      <c r="F1114" s="1072" t="s">
        <v>4121</v>
      </c>
      <c r="G1114" s="1100">
        <f>ROUNDUP(H1113,1)</f>
        <v>146.4</v>
      </c>
      <c r="H1114" s="1074" t="s">
        <v>2199</v>
      </c>
    </row>
    <row r="1115" spans="1:8" s="716" customFormat="1">
      <c r="A1115" s="1059" t="s">
        <v>5384</v>
      </c>
      <c r="B1115" s="1075" t="s">
        <v>1647</v>
      </c>
      <c r="C1115" s="1061"/>
      <c r="D1115" s="1061"/>
      <c r="E1115" s="1062"/>
      <c r="F1115" s="1062"/>
      <c r="G1115" s="1062"/>
      <c r="H1115" s="1063"/>
    </row>
    <row r="1116" spans="1:8" s="716" customFormat="1">
      <c r="A1116" s="1059"/>
      <c r="B1116" s="1076" t="s">
        <v>5562</v>
      </c>
      <c r="C1116" s="1061">
        <v>1</v>
      </c>
      <c r="D1116" s="1061">
        <v>1</v>
      </c>
      <c r="E1116" s="1062">
        <v>9</v>
      </c>
      <c r="F1116" s="1062">
        <v>13.57</v>
      </c>
      <c r="G1116" s="1068">
        <v>7.4999999999999997E-2</v>
      </c>
      <c r="H1116" s="1063">
        <f>PRODUCT(C1116:G1116)</f>
        <v>9.16</v>
      </c>
    </row>
    <row r="1117" spans="1:8" s="716" customFormat="1">
      <c r="A1117" s="1059"/>
      <c r="B1117" s="1076" t="s">
        <v>4984</v>
      </c>
      <c r="C1117" s="1061">
        <v>1</v>
      </c>
      <c r="D1117" s="1061">
        <v>1</v>
      </c>
      <c r="E1117" s="1062" t="s">
        <v>5563</v>
      </c>
      <c r="F1117" s="1062">
        <v>6.23</v>
      </c>
      <c r="G1117" s="1068">
        <v>7.4999999999999997E-2</v>
      </c>
      <c r="H1117" s="1063">
        <v>2.6</v>
      </c>
    </row>
    <row r="1118" spans="1:8" s="716" customFormat="1">
      <c r="A1118" s="1059"/>
      <c r="B1118" s="1076" t="s">
        <v>5564</v>
      </c>
      <c r="C1118" s="1061">
        <v>1</v>
      </c>
      <c r="D1118" s="1061">
        <v>1</v>
      </c>
      <c r="E1118" s="1062" t="s">
        <v>5565</v>
      </c>
      <c r="F1118" s="1062">
        <v>6.23</v>
      </c>
      <c r="G1118" s="1068">
        <v>7.4999999999999997E-2</v>
      </c>
      <c r="H1118" s="1063">
        <v>1.98</v>
      </c>
    </row>
    <row r="1119" spans="1:8" s="716" customFormat="1">
      <c r="A1119" s="1059"/>
      <c r="B1119" s="1076" t="s">
        <v>5566</v>
      </c>
      <c r="C1119" s="1061">
        <v>1</v>
      </c>
      <c r="D1119" s="1061">
        <v>1</v>
      </c>
      <c r="E1119" s="1062">
        <v>24.45</v>
      </c>
      <c r="F1119" s="1062">
        <v>9.2100000000000009</v>
      </c>
      <c r="G1119" s="1068">
        <v>7.4999999999999997E-2</v>
      </c>
      <c r="H1119" s="1063">
        <f>PRODUCT(C1119:G1119)</f>
        <v>16.89</v>
      </c>
    </row>
    <row r="1120" spans="1:8" s="716" customFormat="1">
      <c r="A1120" s="1059"/>
      <c r="B1120" s="1076" t="s">
        <v>5087</v>
      </c>
      <c r="C1120" s="1113">
        <v>1</v>
      </c>
      <c r="D1120" s="1113">
        <v>0.5</v>
      </c>
      <c r="E1120" s="1114">
        <v>4.57</v>
      </c>
      <c r="F1120" s="1114">
        <v>3.73</v>
      </c>
      <c r="G1120" s="1068">
        <v>7.4999999999999997E-2</v>
      </c>
      <c r="H1120" s="1063">
        <f>PRODUCT(C1120:G1120)</f>
        <v>0.64</v>
      </c>
    </row>
    <row r="1121" spans="1:8" s="716" customFormat="1">
      <c r="A1121" s="1059"/>
      <c r="B1121" s="1076" t="s">
        <v>5567</v>
      </c>
      <c r="C1121" s="1061">
        <v>1</v>
      </c>
      <c r="D1121" s="1061">
        <v>1</v>
      </c>
      <c r="E1121" s="1062">
        <v>3.71</v>
      </c>
      <c r="F1121" s="1062">
        <v>8.31</v>
      </c>
      <c r="G1121" s="1068">
        <v>7.4999999999999997E-2</v>
      </c>
      <c r="H1121" s="1063">
        <f>PRODUCT(C1121:G1121)</f>
        <v>2.31</v>
      </c>
    </row>
    <row r="1122" spans="1:8" s="716" customFormat="1">
      <c r="A1122" s="1059"/>
      <c r="B1122" s="1076"/>
      <c r="C1122" s="1061">
        <v>1</v>
      </c>
      <c r="D1122" s="1061">
        <v>1</v>
      </c>
      <c r="E1122" s="1062">
        <v>4.8</v>
      </c>
      <c r="F1122" s="1062">
        <v>3.66</v>
      </c>
      <c r="G1122" s="1062">
        <v>0.1</v>
      </c>
      <c r="H1122" s="1063">
        <f>PRODUCT(C1122:G1122)</f>
        <v>1.76</v>
      </c>
    </row>
    <row r="1123" spans="1:8" s="716" customFormat="1">
      <c r="A1123" s="1059"/>
      <c r="B1123" s="1064"/>
      <c r="C1123" s="1061"/>
      <c r="D1123" s="1061"/>
      <c r="E1123" s="1062"/>
      <c r="F1123" s="1062"/>
      <c r="G1123" s="1058"/>
      <c r="H1123" s="1077">
        <f>SUM(H1116:H1122)</f>
        <v>35.340000000000003</v>
      </c>
    </row>
    <row r="1124" spans="1:8" s="716" customFormat="1">
      <c r="A1124" s="1059"/>
      <c r="B1124" s="1064"/>
      <c r="C1124" s="1061"/>
      <c r="D1124" s="1061"/>
      <c r="E1124" s="1062"/>
      <c r="F1124" s="1072" t="s">
        <v>4121</v>
      </c>
      <c r="G1124" s="1100">
        <f>ROUNDUP(H1123,1)</f>
        <v>35.4</v>
      </c>
      <c r="H1124" s="1074" t="s">
        <v>2199</v>
      </c>
    </row>
    <row r="1125" spans="1:8" s="716" customFormat="1">
      <c r="A1125" s="1059" t="s">
        <v>5385</v>
      </c>
      <c r="B1125" s="1075" t="s">
        <v>5568</v>
      </c>
      <c r="C1125" s="1061"/>
      <c r="D1125" s="1061"/>
      <c r="E1125" s="1062"/>
      <c r="F1125" s="1062"/>
      <c r="G1125" s="1062"/>
      <c r="H1125" s="1063"/>
    </row>
    <row r="1126" spans="1:8" s="716" customFormat="1">
      <c r="A1126" s="1059"/>
      <c r="B1126" s="1076" t="s">
        <v>5562</v>
      </c>
      <c r="C1126" s="1061">
        <v>1</v>
      </c>
      <c r="D1126" s="1061">
        <v>1</v>
      </c>
      <c r="E1126" s="1062">
        <v>9</v>
      </c>
      <c r="F1126" s="1062">
        <v>13.57</v>
      </c>
      <c r="G1126" s="1062"/>
      <c r="H1126" s="1063">
        <f>PRODUCT(C1126:G1126)</f>
        <v>122.13</v>
      </c>
    </row>
    <row r="1127" spans="1:8" s="716" customFormat="1">
      <c r="A1127" s="1059"/>
      <c r="B1127" s="1076" t="s">
        <v>4984</v>
      </c>
      <c r="C1127" s="1061">
        <v>1</v>
      </c>
      <c r="D1127" s="1061">
        <v>1</v>
      </c>
      <c r="E1127" s="1062" t="s">
        <v>5563</v>
      </c>
      <c r="F1127" s="1062">
        <v>6.23</v>
      </c>
      <c r="G1127" s="1062"/>
      <c r="H1127" s="1063">
        <v>34.700000000000003</v>
      </c>
    </row>
    <row r="1128" spans="1:8" s="716" customFormat="1">
      <c r="A1128" s="1059"/>
      <c r="B1128" s="1076" t="s">
        <v>5564</v>
      </c>
      <c r="C1128" s="1061">
        <v>1</v>
      </c>
      <c r="D1128" s="1061">
        <v>1</v>
      </c>
      <c r="E1128" s="1062" t="s">
        <v>5565</v>
      </c>
      <c r="F1128" s="1062">
        <v>6.23</v>
      </c>
      <c r="G1128" s="1062"/>
      <c r="H1128" s="1063">
        <v>25.95</v>
      </c>
    </row>
    <row r="1129" spans="1:8" s="716" customFormat="1">
      <c r="A1129" s="1059"/>
      <c r="B1129" s="1076" t="s">
        <v>5566</v>
      </c>
      <c r="C1129" s="1061">
        <v>1</v>
      </c>
      <c r="D1129" s="1061">
        <v>1</v>
      </c>
      <c r="E1129" s="1062">
        <v>24.45</v>
      </c>
      <c r="F1129" s="1062">
        <v>9.2100000000000009</v>
      </c>
      <c r="G1129" s="1062"/>
      <c r="H1129" s="1063">
        <f>PRODUCT(C1129:G1129)</f>
        <v>225.18</v>
      </c>
    </row>
    <row r="1130" spans="1:8" s="716" customFormat="1">
      <c r="A1130" s="1059"/>
      <c r="B1130" s="1076" t="s">
        <v>5087</v>
      </c>
      <c r="C1130" s="1113">
        <v>1</v>
      </c>
      <c r="D1130" s="1113">
        <v>0.5</v>
      </c>
      <c r="E1130" s="1114">
        <v>4.57</v>
      </c>
      <c r="F1130" s="1114">
        <v>3.73</v>
      </c>
      <c r="G1130" s="1062"/>
      <c r="H1130" s="1063">
        <f>PRODUCT(C1130:G1130)</f>
        <v>8.52</v>
      </c>
    </row>
    <row r="1131" spans="1:8" s="716" customFormat="1">
      <c r="A1131" s="1059"/>
      <c r="B1131" s="1076" t="s">
        <v>5567</v>
      </c>
      <c r="C1131" s="1061">
        <v>1</v>
      </c>
      <c r="D1131" s="1061">
        <v>1</v>
      </c>
      <c r="E1131" s="1062">
        <v>3.71</v>
      </c>
      <c r="F1131" s="1062">
        <v>8.31</v>
      </c>
      <c r="G1131" s="1062"/>
      <c r="H1131" s="1063">
        <f>PRODUCT(C1131:G1131)</f>
        <v>30.83</v>
      </c>
    </row>
    <row r="1132" spans="1:8" s="716" customFormat="1">
      <c r="A1132" s="1059"/>
      <c r="B1132" s="1076"/>
      <c r="C1132" s="1061">
        <v>1</v>
      </c>
      <c r="D1132" s="1061">
        <v>1</v>
      </c>
      <c r="E1132" s="1062">
        <v>4.8</v>
      </c>
      <c r="F1132" s="1062">
        <v>3.66</v>
      </c>
      <c r="G1132" s="1062"/>
      <c r="H1132" s="1063">
        <f>PRODUCT(C1132:G1132)</f>
        <v>17.57</v>
      </c>
    </row>
    <row r="1133" spans="1:8" s="716" customFormat="1">
      <c r="A1133" s="1059"/>
      <c r="B1133" s="1076" t="s">
        <v>5569</v>
      </c>
      <c r="C1133" s="1061">
        <v>1</v>
      </c>
      <c r="D1133" s="1061">
        <v>1</v>
      </c>
      <c r="E1133" s="1062">
        <v>110.65</v>
      </c>
      <c r="F1133" s="1062">
        <v>0.23</v>
      </c>
      <c r="G1133" s="1062"/>
      <c r="H1133" s="1063">
        <f>PRODUCT(C1133:G1133)</f>
        <v>25.45</v>
      </c>
    </row>
    <row r="1134" spans="1:8" s="716" customFormat="1">
      <c r="A1134" s="1059"/>
      <c r="B1134" s="1064"/>
      <c r="C1134" s="1061"/>
      <c r="D1134" s="1061"/>
      <c r="E1134" s="1062"/>
      <c r="F1134" s="1062"/>
      <c r="G1134" s="1058"/>
      <c r="H1134" s="1077">
        <f>SUM(H1126:H1133)</f>
        <v>490.33</v>
      </c>
    </row>
    <row r="1135" spans="1:8" s="716" customFormat="1">
      <c r="A1135" s="1059"/>
      <c r="B1135" s="1064"/>
      <c r="C1135" s="1061"/>
      <c r="D1135" s="1061"/>
      <c r="E1135" s="1062"/>
      <c r="F1135" s="1072" t="s">
        <v>4121</v>
      </c>
      <c r="G1135" s="1100">
        <f>ROUNDUP(H1134,1)</f>
        <v>490.4</v>
      </c>
      <c r="H1135" s="1074" t="s">
        <v>2199</v>
      </c>
    </row>
    <row r="1136" spans="1:8" s="716" customFormat="1">
      <c r="A1136" s="1059" t="s">
        <v>5386</v>
      </c>
      <c r="B1136" s="1075" t="s">
        <v>5387</v>
      </c>
      <c r="C1136" s="1061"/>
      <c r="D1136" s="1061"/>
      <c r="E1136" s="1062"/>
      <c r="F1136" s="1062"/>
      <c r="G1136" s="1062"/>
      <c r="H1136" s="1063"/>
    </row>
    <row r="1137" spans="1:8" s="716" customFormat="1">
      <c r="A1137" s="1059"/>
      <c r="B1137" s="1076" t="s">
        <v>5383</v>
      </c>
      <c r="C1137" s="1061">
        <v>1</v>
      </c>
      <c r="D1137" s="1061">
        <v>2</v>
      </c>
      <c r="E1137" s="1062">
        <v>3.46</v>
      </c>
      <c r="F1137" s="1062">
        <v>1.96</v>
      </c>
      <c r="G1137" s="1062"/>
      <c r="H1137" s="1063">
        <f t="shared" ref="H1137" si="50">PRODUCT(C1137:G1137)</f>
        <v>13.56</v>
      </c>
    </row>
    <row r="1138" spans="1:8" s="716" customFormat="1">
      <c r="A1138" s="1059"/>
      <c r="B1138" s="1076"/>
      <c r="C1138" s="1061"/>
      <c r="D1138" s="1061"/>
      <c r="E1138" s="1062"/>
      <c r="F1138" s="1062"/>
      <c r="G1138" s="1058"/>
      <c r="H1138" s="1077">
        <f>SUM(H1137:H1137)</f>
        <v>13.56</v>
      </c>
    </row>
    <row r="1139" spans="1:8" s="716" customFormat="1">
      <c r="A1139" s="1059"/>
      <c r="B1139" s="1064"/>
      <c r="C1139" s="1061"/>
      <c r="D1139" s="1061"/>
      <c r="E1139" s="1062"/>
      <c r="F1139" s="1072" t="s">
        <v>4121</v>
      </c>
      <c r="G1139" s="1100">
        <f>ROUNDUP(H1138,1)</f>
        <v>13.6</v>
      </c>
      <c r="H1139" s="1074" t="s">
        <v>2199</v>
      </c>
    </row>
    <row r="1140" spans="1:8" s="716" customFormat="1">
      <c r="A1140" s="1059"/>
      <c r="B1140" s="1064"/>
      <c r="C1140" s="1061"/>
      <c r="D1140" s="1061"/>
      <c r="E1140" s="1062"/>
      <c r="F1140" s="1062"/>
      <c r="G1140" s="1062"/>
      <c r="H1140" s="1063"/>
    </row>
    <row r="1141" spans="1:8" s="716" customFormat="1">
      <c r="A1141" s="1059" t="s">
        <v>5388</v>
      </c>
      <c r="B1141" s="1075" t="s">
        <v>5389</v>
      </c>
      <c r="C1141" s="1061"/>
      <c r="D1141" s="1061"/>
      <c r="E1141" s="1062"/>
      <c r="F1141" s="1062"/>
      <c r="G1141" s="1062"/>
      <c r="H1141" s="1063"/>
    </row>
    <row r="1142" spans="1:8" s="716" customFormat="1">
      <c r="A1142" s="1059"/>
      <c r="B1142" s="1075" t="s">
        <v>5570</v>
      </c>
      <c r="C1142" s="1061"/>
      <c r="D1142" s="1061"/>
      <c r="E1142" s="1062"/>
      <c r="F1142" s="1062"/>
      <c r="G1142" s="1062"/>
      <c r="H1142" s="1063"/>
    </row>
    <row r="1143" spans="1:8" s="716" customFormat="1">
      <c r="A1143" s="1059"/>
      <c r="B1143" s="1076" t="s">
        <v>5167</v>
      </c>
      <c r="C1143" s="1061">
        <v>1</v>
      </c>
      <c r="D1143" s="1061">
        <v>2</v>
      </c>
      <c r="E1143" s="1062">
        <v>14.02</v>
      </c>
      <c r="F1143" s="1062"/>
      <c r="G1143" s="1062">
        <v>0.9</v>
      </c>
      <c r="H1143" s="1087">
        <f>PRODUCT(C1143:G1143)</f>
        <v>25.24</v>
      </c>
    </row>
    <row r="1144" spans="1:8" s="716" customFormat="1">
      <c r="A1144" s="1059"/>
      <c r="B1144" s="1076" t="s">
        <v>5497</v>
      </c>
      <c r="C1144" s="1061">
        <v>1</v>
      </c>
      <c r="D1144" s="1061">
        <v>2</v>
      </c>
      <c r="E1144" s="1062">
        <v>14.78</v>
      </c>
      <c r="F1144" s="1062"/>
      <c r="G1144" s="1062">
        <v>0.9</v>
      </c>
      <c r="H1144" s="1087">
        <f>PRODUCT(C1144:G1144)</f>
        <v>26.6</v>
      </c>
    </row>
    <row r="1145" spans="1:8" s="716" customFormat="1">
      <c r="A1145" s="1059"/>
      <c r="B1145" s="1076" t="s">
        <v>5571</v>
      </c>
      <c r="C1145" s="1061">
        <v>1</v>
      </c>
      <c r="D1145" s="1061">
        <v>2</v>
      </c>
      <c r="E1145" s="1062">
        <v>12</v>
      </c>
      <c r="F1145" s="1062"/>
      <c r="G1145" s="1062">
        <v>0.9</v>
      </c>
      <c r="H1145" s="1087">
        <f>PRODUCT(C1145:G1145)</f>
        <v>21.6</v>
      </c>
    </row>
    <row r="1146" spans="1:8" s="716" customFormat="1" ht="29.25">
      <c r="A1146" s="1059"/>
      <c r="B1146" s="1076" t="s">
        <v>5572</v>
      </c>
      <c r="C1146" s="1061">
        <v>1</v>
      </c>
      <c r="D1146" s="1061">
        <v>2</v>
      </c>
      <c r="E1146" s="1062">
        <v>79.81</v>
      </c>
      <c r="F1146" s="1062"/>
      <c r="G1146" s="1062">
        <v>0.9</v>
      </c>
      <c r="H1146" s="1087">
        <f>PRODUCT(C1146:G1146)</f>
        <v>143.66</v>
      </c>
    </row>
    <row r="1147" spans="1:8" s="716" customFormat="1">
      <c r="A1147" s="1059"/>
      <c r="B1147" s="1075" t="s">
        <v>5573</v>
      </c>
      <c r="C1147" s="1061"/>
      <c r="D1147" s="1061"/>
      <c r="E1147" s="1062"/>
      <c r="F1147" s="1062"/>
      <c r="G1147" s="1062"/>
      <c r="H1147" s="1063"/>
    </row>
    <row r="1148" spans="1:8" s="716" customFormat="1">
      <c r="A1148" s="1059"/>
      <c r="B1148" s="1076" t="s">
        <v>5167</v>
      </c>
      <c r="C1148" s="1061">
        <v>1</v>
      </c>
      <c r="D1148" s="1061">
        <v>2</v>
      </c>
      <c r="E1148" s="1062">
        <v>14.02</v>
      </c>
      <c r="F1148" s="1062"/>
      <c r="G1148" s="1062">
        <v>3.3</v>
      </c>
      <c r="H1148" s="1087">
        <f t="shared" ref="H1148:H1209" si="51">PRODUCT(C1148:G1148)</f>
        <v>92.53</v>
      </c>
    </row>
    <row r="1149" spans="1:8" s="716" customFormat="1">
      <c r="A1149" s="1059"/>
      <c r="B1149" s="1076" t="s">
        <v>5497</v>
      </c>
      <c r="C1149" s="1061">
        <v>1</v>
      </c>
      <c r="D1149" s="1061">
        <v>2</v>
      </c>
      <c r="E1149" s="1062">
        <v>14.78</v>
      </c>
      <c r="F1149" s="1062"/>
      <c r="G1149" s="1062">
        <v>3.3</v>
      </c>
      <c r="H1149" s="1087">
        <f t="shared" si="51"/>
        <v>97.55</v>
      </c>
    </row>
    <row r="1150" spans="1:8" s="716" customFormat="1" ht="28.5">
      <c r="A1150" s="1059"/>
      <c r="B1150" s="1115" t="s">
        <v>5572</v>
      </c>
      <c r="C1150" s="1061">
        <v>1</v>
      </c>
      <c r="D1150" s="1061">
        <v>2</v>
      </c>
      <c r="E1150" s="1088">
        <v>79.81</v>
      </c>
      <c r="F1150" s="1062"/>
      <c r="G1150" s="1088">
        <v>4.3</v>
      </c>
      <c r="H1150" s="1116">
        <f t="shared" si="51"/>
        <v>686.37</v>
      </c>
    </row>
    <row r="1151" spans="1:8" s="716" customFormat="1">
      <c r="A1151" s="1059"/>
      <c r="B1151" s="1065" t="s">
        <v>5574</v>
      </c>
      <c r="C1151" s="1066">
        <v>1</v>
      </c>
      <c r="D1151" s="1066">
        <v>5</v>
      </c>
      <c r="E1151" s="1062">
        <v>1.2</v>
      </c>
      <c r="F1151" s="1066"/>
      <c r="G1151" s="1066">
        <v>3.18</v>
      </c>
      <c r="H1151" s="1087">
        <f t="shared" si="51"/>
        <v>19.079999999999998</v>
      </c>
    </row>
    <row r="1152" spans="1:8" s="716" customFormat="1">
      <c r="A1152" s="1059"/>
      <c r="B1152" s="1065" t="s">
        <v>5575</v>
      </c>
      <c r="C1152" s="1066">
        <v>2</v>
      </c>
      <c r="D1152" s="1066">
        <v>7</v>
      </c>
      <c r="E1152" s="1062">
        <v>1.96</v>
      </c>
      <c r="F1152" s="1066">
        <v>0.6</v>
      </c>
      <c r="G1152" s="1066"/>
      <c r="H1152" s="1087">
        <f t="shared" si="51"/>
        <v>16.46</v>
      </c>
    </row>
    <row r="1153" spans="1:8" s="716" customFormat="1">
      <c r="A1153" s="1059"/>
      <c r="B1153" s="1065" t="s">
        <v>5576</v>
      </c>
      <c r="C1153" s="1066">
        <v>2</v>
      </c>
      <c r="D1153" s="1066">
        <v>3</v>
      </c>
      <c r="E1153" s="1062">
        <v>1.66</v>
      </c>
      <c r="F1153" s="1066">
        <v>0.6</v>
      </c>
      <c r="G1153" s="1066"/>
      <c r="H1153" s="1087">
        <f t="shared" si="51"/>
        <v>5.98</v>
      </c>
    </row>
    <row r="1154" spans="1:8" s="716" customFormat="1">
      <c r="A1154" s="1059"/>
      <c r="B1154" s="1065" t="s">
        <v>5577</v>
      </c>
      <c r="C1154" s="1066">
        <v>1</v>
      </c>
      <c r="D1154" s="1066">
        <v>1</v>
      </c>
      <c r="E1154" s="1066">
        <v>111.13</v>
      </c>
      <c r="F1154" s="1066"/>
      <c r="G1154" s="1066">
        <v>6.6</v>
      </c>
      <c r="H1154" s="1087">
        <f t="shared" si="51"/>
        <v>733.46</v>
      </c>
    </row>
    <row r="1155" spans="1:8" s="716" customFormat="1">
      <c r="A1155" s="1059"/>
      <c r="B1155" s="1065" t="s">
        <v>5578</v>
      </c>
      <c r="C1155" s="1066">
        <v>1</v>
      </c>
      <c r="D1155" s="1066">
        <v>2</v>
      </c>
      <c r="E1155" s="1066">
        <v>111.13</v>
      </c>
      <c r="F1155" s="1066"/>
      <c r="G1155" s="1066">
        <v>1.2</v>
      </c>
      <c r="H1155" s="1087">
        <f t="shared" si="51"/>
        <v>266.70999999999998</v>
      </c>
    </row>
    <row r="1156" spans="1:8" s="716" customFormat="1">
      <c r="A1156" s="1059"/>
      <c r="B1156" s="1065" t="s">
        <v>5579</v>
      </c>
      <c r="C1156" s="1066">
        <v>1</v>
      </c>
      <c r="D1156" s="1066">
        <v>1</v>
      </c>
      <c r="E1156" s="1062">
        <v>25.26</v>
      </c>
      <c r="F1156" s="1066"/>
      <c r="G1156" s="1066">
        <v>3.3</v>
      </c>
      <c r="H1156" s="1087">
        <f t="shared" si="51"/>
        <v>83.36</v>
      </c>
    </row>
    <row r="1157" spans="1:8" s="716" customFormat="1">
      <c r="A1157" s="1059"/>
      <c r="B1157" s="1065" t="s">
        <v>5580</v>
      </c>
      <c r="C1157" s="1066">
        <v>1</v>
      </c>
      <c r="D1157" s="1066">
        <v>2</v>
      </c>
      <c r="E1157" s="1062">
        <v>25.26</v>
      </c>
      <c r="F1157" s="1066"/>
      <c r="G1157" s="1066">
        <v>0.6</v>
      </c>
      <c r="H1157" s="1087">
        <f t="shared" si="51"/>
        <v>30.31</v>
      </c>
    </row>
    <row r="1158" spans="1:8" s="716" customFormat="1">
      <c r="A1158" s="1059"/>
      <c r="B1158" s="1067" t="s">
        <v>5581</v>
      </c>
      <c r="C1158" s="1066"/>
      <c r="D1158" s="1066"/>
      <c r="E1158" s="1062"/>
      <c r="F1158" s="1066"/>
      <c r="G1158" s="1066"/>
      <c r="H1158" s="1087">
        <f t="shared" si="51"/>
        <v>0</v>
      </c>
    </row>
    <row r="1159" spans="1:8" s="716" customFormat="1">
      <c r="A1159" s="1059"/>
      <c r="B1159" s="1065" t="s">
        <v>5582</v>
      </c>
      <c r="C1159" s="1066">
        <v>-1</v>
      </c>
      <c r="D1159" s="1066">
        <v>3</v>
      </c>
      <c r="E1159" s="1062">
        <v>1.5</v>
      </c>
      <c r="F1159" s="1066"/>
      <c r="G1159" s="1066">
        <v>2.1</v>
      </c>
      <c r="H1159" s="1087">
        <f t="shared" si="51"/>
        <v>-9.4499999999999993</v>
      </c>
    </row>
    <row r="1160" spans="1:8" s="716" customFormat="1">
      <c r="A1160" s="1059"/>
      <c r="B1160" s="1065" t="s">
        <v>4983</v>
      </c>
      <c r="C1160" s="1066">
        <v>-1</v>
      </c>
      <c r="D1160" s="1066">
        <v>3</v>
      </c>
      <c r="E1160" s="1062">
        <v>1</v>
      </c>
      <c r="F1160" s="1066"/>
      <c r="G1160" s="1066">
        <v>2.1</v>
      </c>
      <c r="H1160" s="1087">
        <f t="shared" si="51"/>
        <v>-6.3</v>
      </c>
    </row>
    <row r="1161" spans="1:8" s="716" customFormat="1">
      <c r="A1161" s="1059"/>
      <c r="B1161" s="1076" t="s">
        <v>5583</v>
      </c>
      <c r="C1161" s="1066">
        <v>-1</v>
      </c>
      <c r="D1161" s="1061">
        <v>7</v>
      </c>
      <c r="E1161" s="1062">
        <v>1.5</v>
      </c>
      <c r="F1161" s="1062"/>
      <c r="G1161" s="1062">
        <v>1.35</v>
      </c>
      <c r="H1161" s="1087">
        <f t="shared" si="51"/>
        <v>-14.18</v>
      </c>
    </row>
    <row r="1162" spans="1:8" s="716" customFormat="1">
      <c r="A1162" s="1059"/>
      <c r="B1162" s="1076" t="s">
        <v>5172</v>
      </c>
      <c r="C1162" s="1066">
        <v>-1</v>
      </c>
      <c r="D1162" s="1061">
        <v>3</v>
      </c>
      <c r="E1162" s="1062">
        <v>1.2</v>
      </c>
      <c r="F1162" s="1062"/>
      <c r="G1162" s="1062">
        <v>2.1</v>
      </c>
      <c r="H1162" s="1087">
        <f t="shared" si="51"/>
        <v>-7.56</v>
      </c>
    </row>
    <row r="1163" spans="1:8" s="716" customFormat="1">
      <c r="A1163" s="1059"/>
      <c r="B1163" s="1065" t="s">
        <v>5584</v>
      </c>
      <c r="C1163" s="1066">
        <v>-1</v>
      </c>
      <c r="D1163" s="1066">
        <v>1</v>
      </c>
      <c r="E1163" s="1062">
        <v>2.44</v>
      </c>
      <c r="F1163" s="1065"/>
      <c r="G1163" s="1066">
        <v>2.1</v>
      </c>
      <c r="H1163" s="1087">
        <f t="shared" si="51"/>
        <v>-5.12</v>
      </c>
    </row>
    <row r="1164" spans="1:8" s="716" customFormat="1">
      <c r="A1164" s="1059"/>
      <c r="B1164" s="1065" t="s">
        <v>5585</v>
      </c>
      <c r="C1164" s="1066">
        <v>-1</v>
      </c>
      <c r="D1164" s="1066">
        <v>1</v>
      </c>
      <c r="E1164" s="1062">
        <v>8.8800000000000008</v>
      </c>
      <c r="F1164" s="1066"/>
      <c r="G1164" s="1066">
        <v>2.1</v>
      </c>
      <c r="H1164" s="1087">
        <f t="shared" si="51"/>
        <v>-18.649999999999999</v>
      </c>
    </row>
    <row r="1165" spans="1:8" s="716" customFormat="1">
      <c r="A1165" s="1059"/>
      <c r="B1165" s="1065" t="s">
        <v>5586</v>
      </c>
      <c r="C1165" s="1066">
        <v>1</v>
      </c>
      <c r="D1165" s="1066">
        <v>2</v>
      </c>
      <c r="E1165" s="1062">
        <v>1.2</v>
      </c>
      <c r="F1165" s="1066"/>
      <c r="G1165" s="1066">
        <v>3.18</v>
      </c>
      <c r="H1165" s="1087">
        <f t="shared" si="51"/>
        <v>7.63</v>
      </c>
    </row>
    <row r="1166" spans="1:8" s="716" customFormat="1">
      <c r="A1166" s="1059"/>
      <c r="B1166" s="1076" t="s">
        <v>5587</v>
      </c>
      <c r="C1166" s="1061">
        <v>-1</v>
      </c>
      <c r="D1166" s="1061">
        <v>15</v>
      </c>
      <c r="E1166" s="1062">
        <v>1.5</v>
      </c>
      <c r="F1166" s="1062"/>
      <c r="G1166" s="1062">
        <v>1.35</v>
      </c>
      <c r="H1166" s="1087">
        <f t="shared" si="51"/>
        <v>-30.38</v>
      </c>
    </row>
    <row r="1167" spans="1:8" s="716" customFormat="1">
      <c r="A1167" s="1059"/>
      <c r="B1167" s="1076" t="s">
        <v>5172</v>
      </c>
      <c r="C1167" s="1061">
        <v>-1</v>
      </c>
      <c r="D1167" s="1061">
        <v>3</v>
      </c>
      <c r="E1167" s="1062">
        <v>1.2</v>
      </c>
      <c r="F1167" s="1062"/>
      <c r="G1167" s="1062">
        <v>2.1</v>
      </c>
      <c r="H1167" s="1087">
        <f t="shared" si="51"/>
        <v>-7.56</v>
      </c>
    </row>
    <row r="1168" spans="1:8" s="716" customFormat="1">
      <c r="A1168" s="1059"/>
      <c r="B1168" s="1076" t="s">
        <v>5588</v>
      </c>
      <c r="C1168" s="1061">
        <v>-1</v>
      </c>
      <c r="D1168" s="1061">
        <v>15</v>
      </c>
      <c r="E1168" s="1062">
        <v>1.5</v>
      </c>
      <c r="F1168" s="1062"/>
      <c r="G1168" s="1062">
        <v>1.35</v>
      </c>
      <c r="H1168" s="1087">
        <f t="shared" si="51"/>
        <v>-30.38</v>
      </c>
    </row>
    <row r="1169" spans="1:8" s="716" customFormat="1">
      <c r="A1169" s="1059"/>
      <c r="B1169" s="1076" t="s">
        <v>5172</v>
      </c>
      <c r="C1169" s="1061">
        <v>-1</v>
      </c>
      <c r="D1169" s="1061">
        <v>3</v>
      </c>
      <c r="E1169" s="1062">
        <v>1.2</v>
      </c>
      <c r="F1169" s="1062"/>
      <c r="G1169" s="1062">
        <v>2.1</v>
      </c>
      <c r="H1169" s="1087">
        <f t="shared" si="51"/>
        <v>-7.56</v>
      </c>
    </row>
    <row r="1170" spans="1:8" s="716" customFormat="1">
      <c r="A1170" s="1059"/>
      <c r="B1170" s="1076" t="s">
        <v>5589</v>
      </c>
      <c r="C1170" s="1061">
        <v>-1</v>
      </c>
      <c r="D1170" s="1061">
        <v>10</v>
      </c>
      <c r="E1170" s="1062">
        <v>0.9</v>
      </c>
      <c r="F1170" s="1062"/>
      <c r="G1170" s="1062">
        <v>0.6</v>
      </c>
      <c r="H1170" s="1087">
        <f t="shared" si="51"/>
        <v>-5.4</v>
      </c>
    </row>
    <row r="1171" spans="1:8" s="716" customFormat="1">
      <c r="A1171" s="1059"/>
      <c r="B1171" s="1065" t="s">
        <v>5590</v>
      </c>
      <c r="C1171" s="1066">
        <v>-1</v>
      </c>
      <c r="D1171" s="1066">
        <v>1</v>
      </c>
      <c r="E1171" s="1062">
        <v>1</v>
      </c>
      <c r="F1171" s="1066"/>
      <c r="G1171" s="1066">
        <v>2.1</v>
      </c>
      <c r="H1171" s="1087">
        <f t="shared" si="51"/>
        <v>-2.1</v>
      </c>
    </row>
    <row r="1172" spans="1:8" s="716" customFormat="1">
      <c r="A1172" s="1059"/>
      <c r="B1172" s="1067" t="s">
        <v>5591</v>
      </c>
      <c r="C1172" s="1065"/>
      <c r="D1172" s="1065"/>
      <c r="E1172" s="1087"/>
      <c r="F1172" s="1065"/>
      <c r="G1172" s="1065"/>
      <c r="H1172" s="1087">
        <f t="shared" si="51"/>
        <v>0</v>
      </c>
    </row>
    <row r="1173" spans="1:8" s="716" customFormat="1">
      <c r="A1173" s="1059"/>
      <c r="B1173" s="1065" t="s">
        <v>5518</v>
      </c>
      <c r="C1173" s="1065">
        <v>1</v>
      </c>
      <c r="D1173" s="1065">
        <v>1</v>
      </c>
      <c r="E1173" s="1087">
        <v>12.2</v>
      </c>
      <c r="F1173" s="1065"/>
      <c r="G1173" s="1065">
        <v>3.18</v>
      </c>
      <c r="H1173" s="1087">
        <f t="shared" si="51"/>
        <v>38.799999999999997</v>
      </c>
    </row>
    <row r="1174" spans="1:8" s="716" customFormat="1">
      <c r="A1174" s="1059"/>
      <c r="B1174" s="1065" t="s">
        <v>5497</v>
      </c>
      <c r="C1174" s="1065">
        <v>1</v>
      </c>
      <c r="D1174" s="1065">
        <v>1</v>
      </c>
      <c r="E1174" s="1087">
        <v>12.96</v>
      </c>
      <c r="F1174" s="1065"/>
      <c r="G1174" s="1065">
        <v>3.18</v>
      </c>
      <c r="H1174" s="1087">
        <f t="shared" si="51"/>
        <v>41.21</v>
      </c>
    </row>
    <row r="1175" spans="1:8" s="716" customFormat="1">
      <c r="A1175" s="1059"/>
      <c r="B1175" s="1065" t="s">
        <v>5592</v>
      </c>
      <c r="C1175" s="1065">
        <v>1</v>
      </c>
      <c r="D1175" s="1065">
        <v>1</v>
      </c>
      <c r="E1175" s="1087">
        <v>13.95</v>
      </c>
      <c r="F1175" s="1065"/>
      <c r="G1175" s="1065">
        <v>3.18</v>
      </c>
      <c r="H1175" s="1087">
        <f t="shared" si="51"/>
        <v>44.36</v>
      </c>
    </row>
    <row r="1176" spans="1:8" s="716" customFormat="1">
      <c r="A1176" s="1059"/>
      <c r="B1176" s="1065" t="s">
        <v>5593</v>
      </c>
      <c r="C1176" s="1065">
        <v>1</v>
      </c>
      <c r="D1176" s="1065">
        <v>1</v>
      </c>
      <c r="E1176" s="1087">
        <v>7.16</v>
      </c>
      <c r="F1176" s="1065"/>
      <c r="G1176" s="1065">
        <v>3.18</v>
      </c>
      <c r="H1176" s="1087">
        <f t="shared" si="51"/>
        <v>22.77</v>
      </c>
    </row>
    <row r="1177" spans="1:8" s="716" customFormat="1">
      <c r="A1177" s="1059"/>
      <c r="B1177" s="1065" t="s">
        <v>5594</v>
      </c>
      <c r="C1177" s="1065">
        <v>1</v>
      </c>
      <c r="D1177" s="1065">
        <v>1</v>
      </c>
      <c r="E1177" s="1087">
        <v>10.82</v>
      </c>
      <c r="F1177" s="1065"/>
      <c r="G1177" s="1065">
        <v>3.18</v>
      </c>
      <c r="H1177" s="1087">
        <f t="shared" si="51"/>
        <v>34.409999999999997</v>
      </c>
    </row>
    <row r="1178" spans="1:8" s="716" customFormat="1">
      <c r="A1178" s="1059"/>
      <c r="B1178" s="1065" t="s">
        <v>5595</v>
      </c>
      <c r="C1178" s="1065">
        <v>1</v>
      </c>
      <c r="D1178" s="1065">
        <v>2</v>
      </c>
      <c r="E1178" s="1087">
        <v>7.38</v>
      </c>
      <c r="F1178" s="1065"/>
      <c r="G1178" s="1065">
        <v>3.18</v>
      </c>
      <c r="H1178" s="1087">
        <f t="shared" si="51"/>
        <v>46.94</v>
      </c>
    </row>
    <row r="1179" spans="1:8" s="716" customFormat="1">
      <c r="A1179" s="1059"/>
      <c r="B1179" s="1065" t="s">
        <v>5596</v>
      </c>
      <c r="C1179" s="1065">
        <v>1</v>
      </c>
      <c r="D1179" s="1065">
        <v>1</v>
      </c>
      <c r="E1179" s="1087">
        <v>15</v>
      </c>
      <c r="F1179" s="1065"/>
      <c r="G1179" s="1065">
        <v>3.18</v>
      </c>
      <c r="H1179" s="1087">
        <f t="shared" si="51"/>
        <v>47.7</v>
      </c>
    </row>
    <row r="1180" spans="1:8" s="716" customFormat="1">
      <c r="A1180" s="1059"/>
      <c r="B1180" s="1065" t="s">
        <v>5125</v>
      </c>
      <c r="C1180" s="1065">
        <v>1</v>
      </c>
      <c r="D1180" s="1065">
        <v>1</v>
      </c>
      <c r="E1180" s="1087">
        <v>2.73</v>
      </c>
      <c r="F1180" s="1065"/>
      <c r="G1180" s="1065">
        <v>3.18</v>
      </c>
      <c r="H1180" s="1087">
        <f t="shared" si="51"/>
        <v>8.68</v>
      </c>
    </row>
    <row r="1181" spans="1:8" s="716" customFormat="1">
      <c r="A1181" s="1059"/>
      <c r="B1181" s="1065" t="s">
        <v>5597</v>
      </c>
      <c r="C1181" s="1065">
        <v>1</v>
      </c>
      <c r="D1181" s="1065">
        <v>1</v>
      </c>
      <c r="E1181" s="1087">
        <v>6.82</v>
      </c>
      <c r="F1181" s="1065"/>
      <c r="G1181" s="1065">
        <v>3.18</v>
      </c>
      <c r="H1181" s="1087">
        <f t="shared" si="51"/>
        <v>21.69</v>
      </c>
    </row>
    <row r="1182" spans="1:8" s="716" customFormat="1">
      <c r="A1182" s="1059"/>
      <c r="B1182" s="1065" t="s">
        <v>5598</v>
      </c>
      <c r="C1182" s="1065">
        <v>1</v>
      </c>
      <c r="D1182" s="1065">
        <v>1</v>
      </c>
      <c r="E1182" s="1087">
        <v>13.51</v>
      </c>
      <c r="F1182" s="1065"/>
      <c r="G1182" s="1065">
        <v>3.18</v>
      </c>
      <c r="H1182" s="1087">
        <f t="shared" si="51"/>
        <v>42.96</v>
      </c>
    </row>
    <row r="1183" spans="1:8" s="716" customFormat="1">
      <c r="A1183" s="1059"/>
      <c r="B1183" s="1065" t="s">
        <v>5599</v>
      </c>
      <c r="C1183" s="1065">
        <v>1</v>
      </c>
      <c r="D1183" s="1065">
        <v>1</v>
      </c>
      <c r="E1183" s="1087">
        <v>5.47</v>
      </c>
      <c r="F1183" s="1065"/>
      <c r="G1183" s="1065">
        <v>3.18</v>
      </c>
      <c r="H1183" s="1087">
        <f t="shared" si="51"/>
        <v>17.39</v>
      </c>
    </row>
    <row r="1184" spans="1:8" s="716" customFormat="1">
      <c r="A1184" s="1059"/>
      <c r="B1184" s="1065" t="s">
        <v>5600</v>
      </c>
      <c r="C1184" s="1065">
        <v>1</v>
      </c>
      <c r="D1184" s="1065">
        <v>1</v>
      </c>
      <c r="E1184" s="1087">
        <v>6.1</v>
      </c>
      <c r="F1184" s="1065"/>
      <c r="G1184" s="1065">
        <v>3.18</v>
      </c>
      <c r="H1184" s="1087">
        <f t="shared" si="51"/>
        <v>19.399999999999999</v>
      </c>
    </row>
    <row r="1185" spans="1:8" s="716" customFormat="1">
      <c r="A1185" s="1059"/>
      <c r="B1185" s="1065" t="s">
        <v>5601</v>
      </c>
      <c r="C1185" s="1065">
        <v>1</v>
      </c>
      <c r="D1185" s="1065">
        <v>1</v>
      </c>
      <c r="E1185" s="1087">
        <v>8.4600000000000009</v>
      </c>
      <c r="F1185" s="1065"/>
      <c r="G1185" s="1065">
        <v>3.18</v>
      </c>
      <c r="H1185" s="1087">
        <f t="shared" si="51"/>
        <v>26.9</v>
      </c>
    </row>
    <row r="1186" spans="1:8" s="716" customFormat="1">
      <c r="A1186" s="1059"/>
      <c r="B1186" s="1065" t="s">
        <v>5602</v>
      </c>
      <c r="C1186" s="1065">
        <v>1</v>
      </c>
      <c r="D1186" s="1065">
        <v>1</v>
      </c>
      <c r="E1186" s="1087">
        <v>30.92</v>
      </c>
      <c r="F1186" s="1065"/>
      <c r="G1186" s="1065">
        <v>3.18</v>
      </c>
      <c r="H1186" s="1087">
        <f t="shared" si="51"/>
        <v>98.33</v>
      </c>
    </row>
    <row r="1187" spans="1:8" s="716" customFormat="1">
      <c r="A1187" s="1059"/>
      <c r="B1187" s="1065" t="s">
        <v>5603</v>
      </c>
      <c r="C1187" s="1117">
        <v>1</v>
      </c>
      <c r="D1187" s="1117">
        <v>1</v>
      </c>
      <c r="E1187" s="1117">
        <v>2.2799999999999998</v>
      </c>
      <c r="F1187" s="1062">
        <v>0.6</v>
      </c>
      <c r="G1187" s="1066"/>
      <c r="H1187" s="1063">
        <f t="shared" si="51"/>
        <v>1.37</v>
      </c>
    </row>
    <row r="1188" spans="1:8" s="716" customFormat="1">
      <c r="A1188" s="1059"/>
      <c r="B1188" s="1065" t="s">
        <v>5604</v>
      </c>
      <c r="C1188" s="1065">
        <v>-1</v>
      </c>
      <c r="D1188" s="1065">
        <v>4</v>
      </c>
      <c r="E1188" s="1087">
        <v>1.5</v>
      </c>
      <c r="F1188" s="1065"/>
      <c r="G1188" s="1065">
        <v>2.1</v>
      </c>
      <c r="H1188" s="1063">
        <f t="shared" si="51"/>
        <v>-12.6</v>
      </c>
    </row>
    <row r="1189" spans="1:8" s="716" customFormat="1">
      <c r="A1189" s="1059"/>
      <c r="B1189" s="1065" t="s">
        <v>4983</v>
      </c>
      <c r="C1189" s="1065">
        <v>-1</v>
      </c>
      <c r="D1189" s="1065">
        <v>6</v>
      </c>
      <c r="E1189" s="1087">
        <v>1</v>
      </c>
      <c r="F1189" s="1065"/>
      <c r="G1189" s="1065">
        <v>2.1</v>
      </c>
      <c r="H1189" s="1063">
        <f t="shared" si="51"/>
        <v>-12.6</v>
      </c>
    </row>
    <row r="1190" spans="1:8" s="716" customFormat="1">
      <c r="A1190" s="1059"/>
      <c r="B1190" s="1065" t="s">
        <v>4986</v>
      </c>
      <c r="C1190" s="1065">
        <v>-1</v>
      </c>
      <c r="D1190" s="1065">
        <v>7</v>
      </c>
      <c r="E1190" s="1087">
        <v>1.5</v>
      </c>
      <c r="F1190" s="1065"/>
      <c r="G1190" s="1065">
        <v>1.35</v>
      </c>
      <c r="H1190" s="1063">
        <f t="shared" si="51"/>
        <v>-14.18</v>
      </c>
    </row>
    <row r="1191" spans="1:8" s="716" customFormat="1">
      <c r="A1191" s="1059"/>
      <c r="B1191" s="1065" t="s">
        <v>5172</v>
      </c>
      <c r="C1191" s="1065">
        <v>-1</v>
      </c>
      <c r="D1191" s="1065">
        <v>3</v>
      </c>
      <c r="E1191" s="1087">
        <v>1.2</v>
      </c>
      <c r="F1191" s="1065"/>
      <c r="G1191" s="1065">
        <v>2.1</v>
      </c>
      <c r="H1191" s="1063">
        <f t="shared" si="51"/>
        <v>-7.56</v>
      </c>
    </row>
    <row r="1192" spans="1:8" s="716" customFormat="1">
      <c r="A1192" s="1059"/>
      <c r="B1192" s="1065" t="s">
        <v>5605</v>
      </c>
      <c r="C1192" s="1065">
        <v>1</v>
      </c>
      <c r="D1192" s="1065">
        <v>4</v>
      </c>
      <c r="E1192" s="1087">
        <v>5.7</v>
      </c>
      <c r="F1192" s="1065">
        <v>0.23</v>
      </c>
      <c r="G1192" s="1065"/>
      <c r="H1192" s="1063">
        <f t="shared" si="51"/>
        <v>5.24</v>
      </c>
    </row>
    <row r="1193" spans="1:8" s="716" customFormat="1">
      <c r="A1193" s="1059"/>
      <c r="B1193" s="1065" t="s">
        <v>4983</v>
      </c>
      <c r="C1193" s="1065">
        <v>1</v>
      </c>
      <c r="D1193" s="1065">
        <v>6</v>
      </c>
      <c r="E1193" s="1087">
        <v>5.2</v>
      </c>
      <c r="F1193" s="1065">
        <v>0.23</v>
      </c>
      <c r="G1193" s="1065"/>
      <c r="H1193" s="1063">
        <f t="shared" si="51"/>
        <v>7.18</v>
      </c>
    </row>
    <row r="1194" spans="1:8" s="716" customFormat="1">
      <c r="A1194" s="1059"/>
      <c r="B1194" s="1065" t="s">
        <v>4986</v>
      </c>
      <c r="C1194" s="1065">
        <v>1</v>
      </c>
      <c r="D1194" s="1065">
        <v>7</v>
      </c>
      <c r="E1194" s="1087">
        <v>5.7</v>
      </c>
      <c r="F1194" s="1065">
        <v>0.18</v>
      </c>
      <c r="G1194" s="1065"/>
      <c r="H1194" s="1063">
        <f t="shared" si="51"/>
        <v>7.18</v>
      </c>
    </row>
    <row r="1195" spans="1:8" s="716" customFormat="1">
      <c r="A1195" s="1059"/>
      <c r="B1195" s="1065" t="s">
        <v>5172</v>
      </c>
      <c r="C1195" s="1065">
        <v>1</v>
      </c>
      <c r="D1195" s="1065">
        <v>3</v>
      </c>
      <c r="E1195" s="1087">
        <v>6.6</v>
      </c>
      <c r="F1195" s="1065">
        <v>0.18</v>
      </c>
      <c r="G1195" s="1065"/>
      <c r="H1195" s="1063">
        <f t="shared" si="51"/>
        <v>3.56</v>
      </c>
    </row>
    <row r="1196" spans="1:8" s="716" customFormat="1">
      <c r="A1196" s="1059"/>
      <c r="B1196" s="1065" t="s">
        <v>5167</v>
      </c>
      <c r="C1196" s="1066">
        <v>2</v>
      </c>
      <c r="D1196" s="1066">
        <v>3</v>
      </c>
      <c r="E1196" s="1062">
        <v>0.6</v>
      </c>
      <c r="F1196" s="1087"/>
      <c r="G1196" s="1087">
        <v>2.1</v>
      </c>
      <c r="H1196" s="1063">
        <f t="shared" si="51"/>
        <v>7.56</v>
      </c>
    </row>
    <row r="1197" spans="1:8" s="716" customFormat="1">
      <c r="A1197" s="1059"/>
      <c r="B1197" s="1065" t="s">
        <v>5264</v>
      </c>
      <c r="C1197" s="1066">
        <v>2</v>
      </c>
      <c r="D1197" s="1066">
        <v>1</v>
      </c>
      <c r="E1197" s="1062">
        <v>0.6</v>
      </c>
      <c r="F1197" s="1087"/>
      <c r="G1197" s="1087">
        <v>2.1</v>
      </c>
      <c r="H1197" s="1063">
        <f t="shared" si="51"/>
        <v>2.52</v>
      </c>
    </row>
    <row r="1198" spans="1:8" s="716" customFormat="1">
      <c r="A1198" s="1059"/>
      <c r="B1198" s="1067" t="s">
        <v>5606</v>
      </c>
      <c r="C1198" s="1065"/>
      <c r="D1198" s="1065"/>
      <c r="E1198" s="1087"/>
      <c r="F1198" s="1065"/>
      <c r="G1198" s="1065"/>
      <c r="H1198" s="1063">
        <f t="shared" si="51"/>
        <v>0</v>
      </c>
    </row>
    <row r="1199" spans="1:8" s="716" customFormat="1">
      <c r="A1199" s="1059"/>
      <c r="B1199" s="1065" t="s">
        <v>5607</v>
      </c>
      <c r="C1199" s="1065">
        <v>1</v>
      </c>
      <c r="D1199" s="1065">
        <v>2</v>
      </c>
      <c r="E1199" s="1087">
        <v>19.510000000000002</v>
      </c>
      <c r="F1199" s="1065"/>
      <c r="G1199" s="1065">
        <v>3.18</v>
      </c>
      <c r="H1199" s="1063">
        <f t="shared" si="51"/>
        <v>124.08</v>
      </c>
    </row>
    <row r="1200" spans="1:8" s="716" customFormat="1">
      <c r="A1200" s="1059"/>
      <c r="B1200" s="1065" t="s">
        <v>5504</v>
      </c>
      <c r="C1200" s="1065">
        <v>1</v>
      </c>
      <c r="D1200" s="1065">
        <v>1</v>
      </c>
      <c r="E1200" s="1087">
        <v>17.88</v>
      </c>
      <c r="F1200" s="1065"/>
      <c r="G1200" s="1065">
        <v>3.18</v>
      </c>
      <c r="H1200" s="1063">
        <f t="shared" si="51"/>
        <v>56.86</v>
      </c>
    </row>
    <row r="1201" spans="1:8" s="716" customFormat="1">
      <c r="A1201" s="1059"/>
      <c r="B1201" s="1065" t="s">
        <v>5608</v>
      </c>
      <c r="C1201" s="1065">
        <v>1</v>
      </c>
      <c r="D1201" s="1065">
        <v>1</v>
      </c>
      <c r="E1201" s="1087">
        <v>23.17</v>
      </c>
      <c r="F1201" s="1065"/>
      <c r="G1201" s="1065">
        <v>3.18</v>
      </c>
      <c r="H1201" s="1063">
        <f t="shared" si="51"/>
        <v>73.680000000000007</v>
      </c>
    </row>
    <row r="1202" spans="1:8" s="716" customFormat="1">
      <c r="A1202" s="1059"/>
      <c r="B1202" s="1065" t="s">
        <v>5609</v>
      </c>
      <c r="C1202" s="1065">
        <v>1</v>
      </c>
      <c r="D1202" s="1065">
        <v>1</v>
      </c>
      <c r="E1202" s="1087">
        <v>8.84</v>
      </c>
      <c r="F1202" s="1065"/>
      <c r="G1202" s="1065">
        <v>3.18</v>
      </c>
      <c r="H1202" s="1087">
        <f t="shared" si="51"/>
        <v>28.11</v>
      </c>
    </row>
    <row r="1203" spans="1:8" s="716" customFormat="1">
      <c r="A1203" s="1059"/>
      <c r="B1203" s="1065" t="s">
        <v>5610</v>
      </c>
      <c r="C1203" s="1065">
        <v>1</v>
      </c>
      <c r="D1203" s="1065">
        <v>1</v>
      </c>
      <c r="E1203" s="1087">
        <v>6.38</v>
      </c>
      <c r="F1203" s="1065"/>
      <c r="G1203" s="1065">
        <v>3.18</v>
      </c>
      <c r="H1203" s="1087">
        <f t="shared" si="51"/>
        <v>20.29</v>
      </c>
    </row>
    <row r="1204" spans="1:8" s="716" customFormat="1">
      <c r="A1204" s="1059"/>
      <c r="B1204" s="1065" t="s">
        <v>5601</v>
      </c>
      <c r="C1204" s="1065">
        <v>1</v>
      </c>
      <c r="D1204" s="1065">
        <v>1</v>
      </c>
      <c r="E1204" s="1087">
        <v>10.98</v>
      </c>
      <c r="F1204" s="1065"/>
      <c r="G1204" s="1065">
        <v>3.18</v>
      </c>
      <c r="H1204" s="1087">
        <f t="shared" si="51"/>
        <v>34.92</v>
      </c>
    </row>
    <row r="1205" spans="1:8" s="716" customFormat="1">
      <c r="A1205" s="1059"/>
      <c r="B1205" s="1065" t="s">
        <v>5274</v>
      </c>
      <c r="C1205" s="1065">
        <v>1</v>
      </c>
      <c r="D1205" s="1065">
        <v>1</v>
      </c>
      <c r="E1205" s="1087">
        <v>31.78</v>
      </c>
      <c r="F1205" s="1065"/>
      <c r="G1205" s="1065">
        <v>3.18</v>
      </c>
      <c r="H1205" s="1087">
        <f t="shared" si="51"/>
        <v>101.06</v>
      </c>
    </row>
    <row r="1206" spans="1:8" s="716" customFormat="1">
      <c r="A1206" s="1059"/>
      <c r="B1206" s="1065" t="s">
        <v>5611</v>
      </c>
      <c r="C1206" s="1065">
        <v>1</v>
      </c>
      <c r="D1206" s="1065">
        <v>1</v>
      </c>
      <c r="E1206" s="1087">
        <v>9.6999999999999993</v>
      </c>
      <c r="F1206" s="1065"/>
      <c r="G1206" s="1065">
        <v>3.18</v>
      </c>
      <c r="H1206" s="1087">
        <f t="shared" si="51"/>
        <v>30.85</v>
      </c>
    </row>
    <row r="1207" spans="1:8" s="716" customFormat="1">
      <c r="A1207" s="1059"/>
      <c r="B1207" s="1065" t="s">
        <v>5600</v>
      </c>
      <c r="C1207" s="1065">
        <v>1</v>
      </c>
      <c r="D1207" s="1065">
        <v>1</v>
      </c>
      <c r="E1207" s="1087">
        <v>9.74</v>
      </c>
      <c r="F1207" s="1065"/>
      <c r="G1207" s="1065">
        <v>3.18</v>
      </c>
      <c r="H1207" s="1087">
        <f t="shared" si="51"/>
        <v>30.97</v>
      </c>
    </row>
    <row r="1208" spans="1:8" s="716" customFormat="1">
      <c r="A1208" s="1059"/>
      <c r="B1208" s="1065" t="s">
        <v>4987</v>
      </c>
      <c r="C1208" s="1065">
        <v>1</v>
      </c>
      <c r="D1208" s="1065">
        <v>2</v>
      </c>
      <c r="E1208" s="1087">
        <v>4.88</v>
      </c>
      <c r="F1208" s="1065"/>
      <c r="G1208" s="1065">
        <v>3.18</v>
      </c>
      <c r="H1208" s="1087">
        <f t="shared" si="51"/>
        <v>31.04</v>
      </c>
    </row>
    <row r="1209" spans="1:8" s="716" customFormat="1">
      <c r="A1209" s="1059"/>
      <c r="B1209" s="1065" t="s">
        <v>5612</v>
      </c>
      <c r="C1209" s="1065">
        <v>1</v>
      </c>
      <c r="D1209" s="1065">
        <v>1</v>
      </c>
      <c r="E1209" s="1087">
        <v>11.97</v>
      </c>
      <c r="F1209" s="1065"/>
      <c r="G1209" s="1065">
        <v>3.18</v>
      </c>
      <c r="H1209" s="1087">
        <f t="shared" si="51"/>
        <v>38.06</v>
      </c>
    </row>
    <row r="1210" spans="1:8" s="716" customFormat="1">
      <c r="A1210" s="1059"/>
      <c r="B1210" s="1065" t="s">
        <v>5595</v>
      </c>
      <c r="C1210" s="1065">
        <v>1</v>
      </c>
      <c r="D1210" s="1065">
        <v>2</v>
      </c>
      <c r="E1210" s="1087">
        <v>7.38</v>
      </c>
      <c r="F1210" s="1065"/>
      <c r="G1210" s="1065">
        <v>3.18</v>
      </c>
      <c r="H1210" s="1087">
        <f>PRODUCT(C1210:G1210)</f>
        <v>46.94</v>
      </c>
    </row>
    <row r="1211" spans="1:8" s="716" customFormat="1">
      <c r="A1211" s="1059"/>
      <c r="B1211" s="1065" t="s">
        <v>5596</v>
      </c>
      <c r="C1211" s="1065">
        <v>1</v>
      </c>
      <c r="D1211" s="1065">
        <v>1</v>
      </c>
      <c r="E1211" s="1087">
        <v>15</v>
      </c>
      <c r="F1211" s="1065"/>
      <c r="G1211" s="1065">
        <v>3.18</v>
      </c>
      <c r="H1211" s="1087">
        <f>PRODUCT(C1211:G1211)</f>
        <v>47.7</v>
      </c>
    </row>
    <row r="1212" spans="1:8" s="716" customFormat="1">
      <c r="A1212" s="1059"/>
      <c r="B1212" s="1065" t="s">
        <v>5613</v>
      </c>
      <c r="C1212" s="1065">
        <v>1</v>
      </c>
      <c r="D1212" s="1065">
        <v>1</v>
      </c>
      <c r="E1212" s="1087">
        <v>27.92</v>
      </c>
      <c r="F1212" s="1065"/>
      <c r="G1212" s="1065">
        <v>3.18</v>
      </c>
      <c r="H1212" s="1087">
        <f t="shared" ref="H1212:H1275" si="52">PRODUCT(C1212:G1212)</f>
        <v>88.79</v>
      </c>
    </row>
    <row r="1213" spans="1:8" s="716" customFormat="1">
      <c r="A1213" s="1059"/>
      <c r="B1213" s="1065" t="s">
        <v>5614</v>
      </c>
      <c r="C1213" s="1065">
        <v>-1</v>
      </c>
      <c r="D1213" s="1065">
        <v>1</v>
      </c>
      <c r="E1213" s="1087">
        <v>8.8800000000000008</v>
      </c>
      <c r="F1213" s="1065"/>
      <c r="G1213" s="1065">
        <v>1.42</v>
      </c>
      <c r="H1213" s="1087">
        <f t="shared" si="52"/>
        <v>-12.61</v>
      </c>
    </row>
    <row r="1214" spans="1:8" s="716" customFormat="1">
      <c r="A1214" s="1059"/>
      <c r="B1214" s="1065" t="s">
        <v>5615</v>
      </c>
      <c r="C1214" s="1065">
        <v>1</v>
      </c>
      <c r="D1214" s="1065">
        <v>1</v>
      </c>
      <c r="E1214" s="1087">
        <v>15.98</v>
      </c>
      <c r="F1214" s="1065"/>
      <c r="G1214" s="1065">
        <v>3.18</v>
      </c>
      <c r="H1214" s="1087">
        <f t="shared" si="52"/>
        <v>50.82</v>
      </c>
    </row>
    <row r="1215" spans="1:8" s="716" customFormat="1">
      <c r="A1215" s="1059"/>
      <c r="B1215" s="1065" t="s">
        <v>5616</v>
      </c>
      <c r="C1215" s="1065">
        <v>1</v>
      </c>
      <c r="D1215" s="1065">
        <v>1</v>
      </c>
      <c r="E1215" s="1087">
        <v>4.75</v>
      </c>
      <c r="F1215" s="1065"/>
      <c r="G1215" s="1065">
        <v>3.18</v>
      </c>
      <c r="H1215" s="1087">
        <f t="shared" si="52"/>
        <v>15.11</v>
      </c>
    </row>
    <row r="1216" spans="1:8" s="716" customFormat="1">
      <c r="A1216" s="1059"/>
      <c r="B1216" s="1065" t="s">
        <v>4987</v>
      </c>
      <c r="C1216" s="1065">
        <v>1</v>
      </c>
      <c r="D1216" s="1065">
        <v>2</v>
      </c>
      <c r="E1216" s="1087">
        <v>4.88</v>
      </c>
      <c r="F1216" s="1065"/>
      <c r="G1216" s="1065">
        <v>3.18</v>
      </c>
      <c r="H1216" s="1087">
        <f>PRODUCT(C1216:G1216)</f>
        <v>31.04</v>
      </c>
    </row>
    <row r="1217" spans="1:8" s="716" customFormat="1">
      <c r="A1217" s="1059"/>
      <c r="B1217" s="1065" t="s">
        <v>5617</v>
      </c>
      <c r="C1217" s="1065">
        <v>1</v>
      </c>
      <c r="D1217" s="1065">
        <v>1</v>
      </c>
      <c r="E1217" s="1087">
        <v>12.02</v>
      </c>
      <c r="F1217" s="1065"/>
      <c r="G1217" s="1065">
        <v>3.18</v>
      </c>
      <c r="H1217" s="1087">
        <f t="shared" si="52"/>
        <v>38.22</v>
      </c>
    </row>
    <row r="1218" spans="1:8" s="716" customFormat="1">
      <c r="A1218" s="1059"/>
      <c r="B1218" s="1065" t="s">
        <v>5618</v>
      </c>
      <c r="C1218" s="1065">
        <v>1</v>
      </c>
      <c r="D1218" s="1065">
        <v>1</v>
      </c>
      <c r="E1218" s="1087">
        <v>14.64</v>
      </c>
      <c r="F1218" s="1065"/>
      <c r="G1218" s="1065">
        <v>3.18</v>
      </c>
      <c r="H1218" s="1087">
        <f t="shared" si="52"/>
        <v>46.56</v>
      </c>
    </row>
    <row r="1219" spans="1:8" s="716" customFormat="1">
      <c r="A1219" s="1059"/>
      <c r="B1219" s="1065" t="s">
        <v>5619</v>
      </c>
      <c r="C1219" s="1065">
        <v>1</v>
      </c>
      <c r="D1219" s="1065">
        <v>1</v>
      </c>
      <c r="E1219" s="1087">
        <v>22.72</v>
      </c>
      <c r="F1219" s="1065"/>
      <c r="G1219" s="1065">
        <v>3.18</v>
      </c>
      <c r="H1219" s="1087">
        <f t="shared" si="52"/>
        <v>72.25</v>
      </c>
    </row>
    <row r="1220" spans="1:8" s="716" customFormat="1">
      <c r="A1220" s="1059"/>
      <c r="B1220" s="1065" t="s">
        <v>5620</v>
      </c>
      <c r="C1220" s="1065">
        <v>1</v>
      </c>
      <c r="D1220" s="1065">
        <v>1</v>
      </c>
      <c r="E1220" s="1087">
        <v>20.36</v>
      </c>
      <c r="F1220" s="1065"/>
      <c r="G1220" s="1065">
        <v>3.18</v>
      </c>
      <c r="H1220" s="1087">
        <f t="shared" si="52"/>
        <v>64.739999999999995</v>
      </c>
    </row>
    <row r="1221" spans="1:8" s="716" customFormat="1">
      <c r="A1221" s="1059"/>
      <c r="B1221" s="1065" t="s">
        <v>5621</v>
      </c>
      <c r="C1221" s="1065">
        <v>-2</v>
      </c>
      <c r="D1221" s="1065">
        <v>12</v>
      </c>
      <c r="E1221" s="1087">
        <v>1</v>
      </c>
      <c r="F1221" s="1065"/>
      <c r="G1221" s="1065">
        <v>2.1</v>
      </c>
      <c r="H1221" s="1087">
        <f t="shared" si="52"/>
        <v>-50.4</v>
      </c>
    </row>
    <row r="1222" spans="1:8" s="716" customFormat="1">
      <c r="A1222" s="1059"/>
      <c r="B1222" s="1065" t="s">
        <v>4986</v>
      </c>
      <c r="C1222" s="1065">
        <v>-1</v>
      </c>
      <c r="D1222" s="1065">
        <v>15</v>
      </c>
      <c r="E1222" s="1087">
        <v>1.5</v>
      </c>
      <c r="F1222" s="1065"/>
      <c r="G1222" s="1065">
        <v>1.35</v>
      </c>
      <c r="H1222" s="1087">
        <f t="shared" si="52"/>
        <v>-30.38</v>
      </c>
    </row>
    <row r="1223" spans="1:8" s="716" customFormat="1">
      <c r="A1223" s="1059"/>
      <c r="B1223" s="1065" t="s">
        <v>5172</v>
      </c>
      <c r="C1223" s="1065">
        <v>-1</v>
      </c>
      <c r="D1223" s="1065">
        <v>3</v>
      </c>
      <c r="E1223" s="1087">
        <v>1.2</v>
      </c>
      <c r="F1223" s="1065"/>
      <c r="G1223" s="1065">
        <v>2.1</v>
      </c>
      <c r="H1223" s="1063">
        <f>PRODUCT(C1223:G1223)</f>
        <v>-7.56</v>
      </c>
    </row>
    <row r="1224" spans="1:8" s="716" customFormat="1">
      <c r="A1224" s="1059"/>
      <c r="B1224" s="1065" t="s">
        <v>5622</v>
      </c>
      <c r="C1224" s="1065">
        <v>-1</v>
      </c>
      <c r="D1224" s="1065">
        <v>5</v>
      </c>
      <c r="E1224" s="1087">
        <v>0.75</v>
      </c>
      <c r="F1224" s="1065"/>
      <c r="G1224" s="1065">
        <v>2.1</v>
      </c>
      <c r="H1224" s="1087">
        <f>PRODUCT(C1224:G1224)</f>
        <v>-7.88</v>
      </c>
    </row>
    <row r="1225" spans="1:8" s="716" customFormat="1">
      <c r="A1225" s="1059"/>
      <c r="B1225" s="1065" t="s">
        <v>5623</v>
      </c>
      <c r="C1225" s="1065">
        <v>-1</v>
      </c>
      <c r="D1225" s="1065">
        <v>6</v>
      </c>
      <c r="E1225" s="1087">
        <v>0.9</v>
      </c>
      <c r="F1225" s="1065"/>
      <c r="G1225" s="1065">
        <v>0.6</v>
      </c>
      <c r="H1225" s="1087">
        <f>PRODUCT(C1225:G1225)</f>
        <v>-3.24</v>
      </c>
    </row>
    <row r="1226" spans="1:8" s="716" customFormat="1">
      <c r="A1226" s="1059"/>
      <c r="B1226" s="1065" t="s">
        <v>5624</v>
      </c>
      <c r="C1226" s="1065">
        <v>1</v>
      </c>
      <c r="D1226" s="1065">
        <v>12</v>
      </c>
      <c r="E1226" s="1087">
        <v>5.2</v>
      </c>
      <c r="F1226" s="1065"/>
      <c r="G1226" s="1065">
        <v>0.23</v>
      </c>
      <c r="H1226" s="1087">
        <f>PRODUCT(C1226:G1226)</f>
        <v>14.35</v>
      </c>
    </row>
    <row r="1227" spans="1:8" s="716" customFormat="1">
      <c r="A1227" s="1059"/>
      <c r="B1227" s="1065" t="s">
        <v>4986</v>
      </c>
      <c r="C1227" s="1065">
        <v>1</v>
      </c>
      <c r="D1227" s="1065">
        <v>15</v>
      </c>
      <c r="E1227" s="1087">
        <v>5.7</v>
      </c>
      <c r="F1227" s="1065">
        <v>0.18</v>
      </c>
      <c r="G1227" s="1065"/>
      <c r="H1227" s="1087">
        <f t="shared" ref="H1227:H1228" si="53">PRODUCT(C1227:G1227)</f>
        <v>15.39</v>
      </c>
    </row>
    <row r="1228" spans="1:8" s="716" customFormat="1">
      <c r="A1228" s="1059"/>
      <c r="B1228" s="1065" t="s">
        <v>5623</v>
      </c>
      <c r="C1228" s="1065">
        <v>1</v>
      </c>
      <c r="D1228" s="1065">
        <v>6</v>
      </c>
      <c r="E1228" s="1087">
        <v>3</v>
      </c>
      <c r="F1228" s="1065">
        <v>0.18</v>
      </c>
      <c r="G1228" s="1065"/>
      <c r="H1228" s="1087">
        <f t="shared" si="53"/>
        <v>3.24</v>
      </c>
    </row>
    <row r="1229" spans="1:8" s="716" customFormat="1">
      <c r="A1229" s="1059"/>
      <c r="B1229" s="1065" t="s">
        <v>5625</v>
      </c>
      <c r="C1229" s="1066">
        <v>1</v>
      </c>
      <c r="D1229" s="1066">
        <v>15</v>
      </c>
      <c r="E1229" s="1066">
        <v>1.96</v>
      </c>
      <c r="F1229" s="1066">
        <v>0.6</v>
      </c>
      <c r="G1229" s="1066"/>
      <c r="H1229" s="1062">
        <f t="shared" ref="H1229:H1239" si="54">PRODUCT(C1229:G1229)</f>
        <v>17.64</v>
      </c>
    </row>
    <row r="1230" spans="1:8" s="716" customFormat="1">
      <c r="A1230" s="1059"/>
      <c r="B1230" s="1065" t="s">
        <v>5576</v>
      </c>
      <c r="C1230" s="1066">
        <v>1</v>
      </c>
      <c r="D1230" s="1066">
        <v>3</v>
      </c>
      <c r="E1230" s="1066">
        <v>1.46</v>
      </c>
      <c r="F1230" s="1066">
        <v>0.6</v>
      </c>
      <c r="G1230" s="1066"/>
      <c r="H1230" s="1062">
        <f t="shared" si="54"/>
        <v>2.63</v>
      </c>
    </row>
    <row r="1231" spans="1:8" s="716" customFormat="1">
      <c r="A1231" s="1059"/>
      <c r="B1231" s="1065" t="s">
        <v>5186</v>
      </c>
      <c r="C1231" s="1066">
        <v>1</v>
      </c>
      <c r="D1231" s="1066">
        <v>2</v>
      </c>
      <c r="E1231" s="1066">
        <v>3.66</v>
      </c>
      <c r="F1231" s="1062">
        <v>0.6</v>
      </c>
      <c r="G1231" s="1066"/>
      <c r="H1231" s="1062">
        <f t="shared" si="54"/>
        <v>4.3899999999999997</v>
      </c>
    </row>
    <row r="1232" spans="1:8" s="716" customFormat="1">
      <c r="A1232" s="1059"/>
      <c r="B1232" s="1065" t="s">
        <v>5187</v>
      </c>
      <c r="C1232" s="1066">
        <v>1</v>
      </c>
      <c r="D1232" s="1066">
        <v>1</v>
      </c>
      <c r="E1232" s="1066">
        <v>7.08</v>
      </c>
      <c r="F1232" s="1062">
        <v>0.6</v>
      </c>
      <c r="G1232" s="1066"/>
      <c r="H1232" s="1062">
        <f t="shared" si="54"/>
        <v>4.25</v>
      </c>
    </row>
    <row r="1233" spans="1:8" s="716" customFormat="1">
      <c r="A1233" s="1059"/>
      <c r="B1233" s="1065" t="s">
        <v>5188</v>
      </c>
      <c r="C1233" s="1066">
        <v>1</v>
      </c>
      <c r="D1233" s="1066">
        <v>1</v>
      </c>
      <c r="E1233" s="1066">
        <v>3.08</v>
      </c>
      <c r="F1233" s="1062">
        <v>0.6</v>
      </c>
      <c r="G1233" s="1066"/>
      <c r="H1233" s="1062">
        <f t="shared" si="54"/>
        <v>1.85</v>
      </c>
    </row>
    <row r="1234" spans="1:8" s="716" customFormat="1">
      <c r="A1234" s="1059"/>
      <c r="B1234" s="1065" t="s">
        <v>5189</v>
      </c>
      <c r="C1234" s="1061">
        <v>1</v>
      </c>
      <c r="D1234" s="1061">
        <v>3</v>
      </c>
      <c r="E1234" s="1062">
        <v>1</v>
      </c>
      <c r="F1234" s="1062">
        <v>0.6</v>
      </c>
      <c r="G1234" s="1062"/>
      <c r="H1234" s="1088">
        <f t="shared" si="54"/>
        <v>1.8</v>
      </c>
    </row>
    <row r="1235" spans="1:8" s="716" customFormat="1">
      <c r="A1235" s="1059"/>
      <c r="B1235" s="1076" t="s">
        <v>5267</v>
      </c>
      <c r="C1235" s="1061">
        <v>2</v>
      </c>
      <c r="D1235" s="1061">
        <v>3</v>
      </c>
      <c r="E1235" s="1062">
        <v>0.45</v>
      </c>
      <c r="F1235" s="1072"/>
      <c r="G1235" s="1118">
        <v>2.1</v>
      </c>
      <c r="H1235" s="1088">
        <f t="shared" si="54"/>
        <v>5.67</v>
      </c>
    </row>
    <row r="1236" spans="1:8" s="716" customFormat="1">
      <c r="A1236" s="1059"/>
      <c r="B1236" s="1076" t="s">
        <v>5268</v>
      </c>
      <c r="C1236" s="1061">
        <v>1</v>
      </c>
      <c r="D1236" s="1061">
        <v>3</v>
      </c>
      <c r="E1236" s="1062">
        <v>0.45</v>
      </c>
      <c r="F1236" s="1072"/>
      <c r="G1236" s="1118">
        <v>2.1</v>
      </c>
      <c r="H1236" s="1088">
        <f t="shared" si="54"/>
        <v>2.84</v>
      </c>
    </row>
    <row r="1237" spans="1:8" s="716" customFormat="1">
      <c r="A1237" s="1059"/>
      <c r="B1237" s="1076" t="s">
        <v>5269</v>
      </c>
      <c r="C1237" s="1061">
        <v>1</v>
      </c>
      <c r="D1237" s="1061">
        <v>4</v>
      </c>
      <c r="E1237" s="1062">
        <v>0.45</v>
      </c>
      <c r="F1237" s="1072"/>
      <c r="G1237" s="1118">
        <v>2.1</v>
      </c>
      <c r="H1237" s="1088">
        <f t="shared" si="54"/>
        <v>3.78</v>
      </c>
    </row>
    <row r="1238" spans="1:8" s="716" customFormat="1">
      <c r="A1238" s="1059"/>
      <c r="B1238" s="1076" t="s">
        <v>5270</v>
      </c>
      <c r="C1238" s="1061">
        <v>2</v>
      </c>
      <c r="D1238" s="1061">
        <v>2</v>
      </c>
      <c r="E1238" s="1062">
        <v>0.6</v>
      </c>
      <c r="F1238" s="1072"/>
      <c r="G1238" s="1118">
        <v>1</v>
      </c>
      <c r="H1238" s="1088">
        <f t="shared" si="54"/>
        <v>2.4</v>
      </c>
    </row>
    <row r="1239" spans="1:8" s="716" customFormat="1">
      <c r="A1239" s="1059"/>
      <c r="B1239" s="1076" t="s">
        <v>5271</v>
      </c>
      <c r="C1239" s="1061">
        <v>2</v>
      </c>
      <c r="D1239" s="1061">
        <v>4</v>
      </c>
      <c r="E1239" s="1062">
        <v>0.45</v>
      </c>
      <c r="F1239" s="1072"/>
      <c r="G1239" s="1118">
        <v>2.1</v>
      </c>
      <c r="H1239" s="1088">
        <f t="shared" si="54"/>
        <v>7.56</v>
      </c>
    </row>
    <row r="1240" spans="1:8" s="716" customFormat="1">
      <c r="A1240" s="1059"/>
      <c r="B1240" s="1067" t="s">
        <v>5311</v>
      </c>
      <c r="C1240" s="1065"/>
      <c r="D1240" s="1065"/>
      <c r="E1240" s="1087"/>
      <c r="F1240" s="1065"/>
      <c r="G1240" s="1065"/>
      <c r="H1240" s="1087"/>
    </row>
    <row r="1241" spans="1:8" s="716" customFormat="1">
      <c r="A1241" s="1059"/>
      <c r="B1241" s="1065" t="s">
        <v>5515</v>
      </c>
      <c r="C1241" s="1065">
        <v>1</v>
      </c>
      <c r="D1241" s="1065">
        <v>1</v>
      </c>
      <c r="E1241" s="1087">
        <v>65.7</v>
      </c>
      <c r="F1241" s="1065"/>
      <c r="G1241" s="1065">
        <v>3.18</v>
      </c>
      <c r="H1241" s="1087">
        <f t="shared" si="52"/>
        <v>208.93</v>
      </c>
    </row>
    <row r="1242" spans="1:8" s="716" customFormat="1">
      <c r="A1242" s="1059"/>
      <c r="B1242" s="1065" t="s">
        <v>5274</v>
      </c>
      <c r="C1242" s="1065">
        <v>1</v>
      </c>
      <c r="D1242" s="1065">
        <v>1</v>
      </c>
      <c r="E1242" s="1087">
        <v>15.84</v>
      </c>
      <c r="F1242" s="1065"/>
      <c r="G1242" s="1065">
        <v>3.18</v>
      </c>
      <c r="H1242" s="1087">
        <f t="shared" si="52"/>
        <v>50.37</v>
      </c>
    </row>
    <row r="1243" spans="1:8" s="716" customFormat="1">
      <c r="A1243" s="1059"/>
      <c r="B1243" s="1065" t="s">
        <v>5626</v>
      </c>
      <c r="C1243" s="1065">
        <v>1</v>
      </c>
      <c r="D1243" s="1065">
        <v>1</v>
      </c>
      <c r="E1243" s="1087">
        <v>13.42</v>
      </c>
      <c r="F1243" s="1065"/>
      <c r="G1243" s="1065">
        <v>3.18</v>
      </c>
      <c r="H1243" s="1087">
        <f t="shared" si="52"/>
        <v>42.68</v>
      </c>
    </row>
    <row r="1244" spans="1:8" s="716" customFormat="1">
      <c r="A1244" s="1059"/>
      <c r="B1244" s="1065" t="s">
        <v>5627</v>
      </c>
      <c r="C1244" s="1065">
        <v>1</v>
      </c>
      <c r="D1244" s="1065">
        <v>1</v>
      </c>
      <c r="E1244" s="1087">
        <v>9.4600000000000009</v>
      </c>
      <c r="F1244" s="1065"/>
      <c r="G1244" s="1065">
        <v>3.18</v>
      </c>
      <c r="H1244" s="1087">
        <f t="shared" si="52"/>
        <v>30.08</v>
      </c>
    </row>
    <row r="1245" spans="1:8" s="716" customFormat="1">
      <c r="A1245" s="1059"/>
      <c r="B1245" s="1065" t="s">
        <v>5600</v>
      </c>
      <c r="C1245" s="1065">
        <v>1</v>
      </c>
      <c r="D1245" s="1065">
        <v>1</v>
      </c>
      <c r="E1245" s="1087">
        <v>9.74</v>
      </c>
      <c r="F1245" s="1065"/>
      <c r="G1245" s="1065">
        <v>3.18</v>
      </c>
      <c r="H1245" s="1087">
        <f t="shared" si="52"/>
        <v>30.97</v>
      </c>
    </row>
    <row r="1246" spans="1:8" s="716" customFormat="1">
      <c r="A1246" s="1059"/>
      <c r="B1246" s="1065" t="s">
        <v>4987</v>
      </c>
      <c r="C1246" s="1065">
        <v>1</v>
      </c>
      <c r="D1246" s="1065">
        <v>2</v>
      </c>
      <c r="E1246" s="1087">
        <v>4.88</v>
      </c>
      <c r="F1246" s="1065"/>
      <c r="G1246" s="1065">
        <v>3.18</v>
      </c>
      <c r="H1246" s="1087">
        <f t="shared" si="52"/>
        <v>31.04</v>
      </c>
    </row>
    <row r="1247" spans="1:8" s="716" customFormat="1">
      <c r="A1247" s="1059"/>
      <c r="B1247" s="1065" t="s">
        <v>5595</v>
      </c>
      <c r="C1247" s="1065">
        <v>1</v>
      </c>
      <c r="D1247" s="1065">
        <v>2</v>
      </c>
      <c r="E1247" s="1087">
        <v>7.38</v>
      </c>
      <c r="F1247" s="1065"/>
      <c r="G1247" s="1065">
        <v>3.18</v>
      </c>
      <c r="H1247" s="1087">
        <f t="shared" si="52"/>
        <v>46.94</v>
      </c>
    </row>
    <row r="1248" spans="1:8" s="716" customFormat="1">
      <c r="A1248" s="1059"/>
      <c r="B1248" s="1065" t="s">
        <v>5596</v>
      </c>
      <c r="C1248" s="1065">
        <v>1</v>
      </c>
      <c r="D1248" s="1065">
        <v>1</v>
      </c>
      <c r="E1248" s="1087">
        <v>15</v>
      </c>
      <c r="F1248" s="1065"/>
      <c r="G1248" s="1065">
        <v>3.18</v>
      </c>
      <c r="H1248" s="1087">
        <f t="shared" si="52"/>
        <v>47.7</v>
      </c>
    </row>
    <row r="1249" spans="1:8" s="716" customFormat="1">
      <c r="A1249" s="1059"/>
      <c r="B1249" s="1065" t="s">
        <v>5628</v>
      </c>
      <c r="C1249" s="1065">
        <v>1</v>
      </c>
      <c r="D1249" s="1065">
        <v>1</v>
      </c>
      <c r="E1249" s="1087">
        <v>10.07</v>
      </c>
      <c r="F1249" s="1065"/>
      <c r="G1249" s="1065">
        <v>3.18</v>
      </c>
      <c r="H1249" s="1087">
        <f t="shared" si="52"/>
        <v>32.020000000000003</v>
      </c>
    </row>
    <row r="1250" spans="1:8" s="716" customFormat="1">
      <c r="A1250" s="1059"/>
      <c r="B1250" s="1065" t="s">
        <v>5616</v>
      </c>
      <c r="C1250" s="1065">
        <v>1</v>
      </c>
      <c r="D1250" s="1065">
        <v>1</v>
      </c>
      <c r="E1250" s="1087">
        <v>4.75</v>
      </c>
      <c r="F1250" s="1065"/>
      <c r="G1250" s="1065">
        <v>3.18</v>
      </c>
      <c r="H1250" s="1087">
        <f t="shared" si="52"/>
        <v>15.11</v>
      </c>
    </row>
    <row r="1251" spans="1:8" s="716" customFormat="1">
      <c r="A1251" s="1059"/>
      <c r="B1251" s="1065" t="s">
        <v>4987</v>
      </c>
      <c r="C1251" s="1065">
        <v>1</v>
      </c>
      <c r="D1251" s="1065">
        <v>2</v>
      </c>
      <c r="E1251" s="1087">
        <v>4.88</v>
      </c>
      <c r="F1251" s="1065"/>
      <c r="G1251" s="1065">
        <v>3.18</v>
      </c>
      <c r="H1251" s="1087">
        <f t="shared" si="52"/>
        <v>31.04</v>
      </c>
    </row>
    <row r="1252" spans="1:8" s="716" customFormat="1">
      <c r="A1252" s="1059"/>
      <c r="B1252" s="1065" t="s">
        <v>5617</v>
      </c>
      <c r="C1252" s="1065">
        <v>1</v>
      </c>
      <c r="D1252" s="1065">
        <v>1</v>
      </c>
      <c r="E1252" s="1087">
        <v>12.02</v>
      </c>
      <c r="F1252" s="1065"/>
      <c r="G1252" s="1065">
        <v>3.18</v>
      </c>
      <c r="H1252" s="1087">
        <f t="shared" si="52"/>
        <v>38.22</v>
      </c>
    </row>
    <row r="1253" spans="1:8" s="716" customFormat="1">
      <c r="A1253" s="1059"/>
      <c r="B1253" s="1065" t="s">
        <v>5227</v>
      </c>
      <c r="C1253" s="1065">
        <v>1</v>
      </c>
      <c r="D1253" s="1065">
        <v>1</v>
      </c>
      <c r="E1253" s="1087">
        <v>45.14</v>
      </c>
      <c r="F1253" s="1065"/>
      <c r="G1253" s="1065">
        <v>3.18</v>
      </c>
      <c r="H1253" s="1087">
        <f t="shared" si="52"/>
        <v>143.55000000000001</v>
      </c>
    </row>
    <row r="1254" spans="1:8" s="716" customFormat="1">
      <c r="A1254" s="1059"/>
      <c r="B1254" s="1065" t="s">
        <v>5230</v>
      </c>
      <c r="C1254" s="1065">
        <v>1</v>
      </c>
      <c r="D1254" s="1065">
        <v>1</v>
      </c>
      <c r="E1254" s="1087">
        <v>27.92</v>
      </c>
      <c r="F1254" s="1065"/>
      <c r="G1254" s="1065">
        <v>3.18</v>
      </c>
      <c r="H1254" s="1087">
        <f t="shared" si="52"/>
        <v>88.79</v>
      </c>
    </row>
    <row r="1255" spans="1:8" s="716" customFormat="1">
      <c r="A1255" s="1059"/>
      <c r="B1255" s="1065" t="s">
        <v>5629</v>
      </c>
      <c r="C1255" s="1065">
        <v>-1</v>
      </c>
      <c r="D1255" s="1065">
        <v>1</v>
      </c>
      <c r="E1255" s="1087">
        <v>1.5</v>
      </c>
      <c r="F1255" s="1065"/>
      <c r="G1255" s="1065">
        <v>2.1</v>
      </c>
      <c r="H1255" s="1087">
        <f t="shared" si="52"/>
        <v>-3.15</v>
      </c>
    </row>
    <row r="1256" spans="1:8" s="716" customFormat="1">
      <c r="A1256" s="1059"/>
      <c r="B1256" s="1065" t="s">
        <v>5621</v>
      </c>
      <c r="C1256" s="1065">
        <v>-2</v>
      </c>
      <c r="D1256" s="1065">
        <v>5</v>
      </c>
      <c r="E1256" s="1087">
        <v>1</v>
      </c>
      <c r="F1256" s="1065"/>
      <c r="G1256" s="1065">
        <v>2.1</v>
      </c>
      <c r="H1256" s="1087">
        <f t="shared" si="52"/>
        <v>-21</v>
      </c>
    </row>
    <row r="1257" spans="1:8" s="716" customFormat="1">
      <c r="A1257" s="1059"/>
      <c r="B1257" s="1065" t="s">
        <v>4986</v>
      </c>
      <c r="C1257" s="1065">
        <v>-1</v>
      </c>
      <c r="D1257" s="1065">
        <v>15</v>
      </c>
      <c r="E1257" s="1087">
        <v>1.5</v>
      </c>
      <c r="F1257" s="1065"/>
      <c r="G1257" s="1065">
        <v>1.35</v>
      </c>
      <c r="H1257" s="1087">
        <f t="shared" si="52"/>
        <v>-30.38</v>
      </c>
    </row>
    <row r="1258" spans="1:8" s="716" customFormat="1">
      <c r="A1258" s="1059"/>
      <c r="B1258" s="1065" t="s">
        <v>5172</v>
      </c>
      <c r="C1258" s="1065">
        <v>-1</v>
      </c>
      <c r="D1258" s="1065">
        <v>3</v>
      </c>
      <c r="E1258" s="1087">
        <v>1.2</v>
      </c>
      <c r="F1258" s="1065"/>
      <c r="G1258" s="1065">
        <v>2.1</v>
      </c>
      <c r="H1258" s="1063">
        <f t="shared" si="52"/>
        <v>-7.56</v>
      </c>
    </row>
    <row r="1259" spans="1:8" s="716" customFormat="1">
      <c r="A1259" s="1059"/>
      <c r="B1259" s="1065" t="s">
        <v>5622</v>
      </c>
      <c r="C1259" s="1065">
        <v>-1</v>
      </c>
      <c r="D1259" s="1065">
        <v>4</v>
      </c>
      <c r="E1259" s="1087">
        <v>0.75</v>
      </c>
      <c r="F1259" s="1065"/>
      <c r="G1259" s="1065">
        <v>2.1</v>
      </c>
      <c r="H1259" s="1087">
        <f t="shared" si="52"/>
        <v>-6.3</v>
      </c>
    </row>
    <row r="1260" spans="1:8" s="716" customFormat="1">
      <c r="A1260" s="1059"/>
      <c r="B1260" s="1065" t="s">
        <v>5623</v>
      </c>
      <c r="C1260" s="1065">
        <v>-1</v>
      </c>
      <c r="D1260" s="1065">
        <v>5</v>
      </c>
      <c r="E1260" s="1087">
        <v>0.9</v>
      </c>
      <c r="F1260" s="1065"/>
      <c r="G1260" s="1065">
        <v>0.6</v>
      </c>
      <c r="H1260" s="1087">
        <f t="shared" si="52"/>
        <v>-2.7</v>
      </c>
    </row>
    <row r="1261" spans="1:8" s="716" customFormat="1">
      <c r="A1261" s="1059"/>
      <c r="B1261" s="1065" t="s">
        <v>5624</v>
      </c>
      <c r="C1261" s="1065">
        <v>1</v>
      </c>
      <c r="D1261" s="1065">
        <v>5</v>
      </c>
      <c r="E1261" s="1087">
        <v>5.2</v>
      </c>
      <c r="F1261" s="1065"/>
      <c r="G1261" s="1065">
        <v>0.23</v>
      </c>
      <c r="H1261" s="1087">
        <f t="shared" si="52"/>
        <v>5.98</v>
      </c>
    </row>
    <row r="1262" spans="1:8" s="716" customFormat="1">
      <c r="A1262" s="1059"/>
      <c r="B1262" s="1065" t="s">
        <v>4986</v>
      </c>
      <c r="C1262" s="1065">
        <v>1</v>
      </c>
      <c r="D1262" s="1065">
        <v>15</v>
      </c>
      <c r="E1262" s="1087">
        <v>5.7</v>
      </c>
      <c r="F1262" s="1065">
        <v>0.18</v>
      </c>
      <c r="G1262" s="1065"/>
      <c r="H1262" s="1087">
        <f t="shared" si="52"/>
        <v>15.39</v>
      </c>
    </row>
    <row r="1263" spans="1:8" s="716" customFormat="1">
      <c r="A1263" s="1059"/>
      <c r="B1263" s="1065" t="s">
        <v>5623</v>
      </c>
      <c r="C1263" s="1065">
        <v>1</v>
      </c>
      <c r="D1263" s="1065">
        <v>5</v>
      </c>
      <c r="E1263" s="1087">
        <v>3</v>
      </c>
      <c r="F1263" s="1065">
        <v>0.18</v>
      </c>
      <c r="G1263" s="1065"/>
      <c r="H1263" s="1087">
        <f t="shared" si="52"/>
        <v>2.7</v>
      </c>
    </row>
    <row r="1264" spans="1:8" s="716" customFormat="1">
      <c r="A1264" s="1059"/>
      <c r="B1264" s="1065" t="s">
        <v>5625</v>
      </c>
      <c r="C1264" s="1066">
        <v>1</v>
      </c>
      <c r="D1264" s="1066">
        <v>15</v>
      </c>
      <c r="E1264" s="1066">
        <v>1.96</v>
      </c>
      <c r="F1264" s="1066">
        <v>0.6</v>
      </c>
      <c r="G1264" s="1066"/>
      <c r="H1264" s="1062">
        <f t="shared" si="52"/>
        <v>17.64</v>
      </c>
    </row>
    <row r="1265" spans="1:8" s="716" customFormat="1">
      <c r="A1265" s="1059"/>
      <c r="B1265" s="1065" t="s">
        <v>5576</v>
      </c>
      <c r="C1265" s="1066">
        <v>1</v>
      </c>
      <c r="D1265" s="1066">
        <v>3</v>
      </c>
      <c r="E1265" s="1066">
        <v>1.46</v>
      </c>
      <c r="F1265" s="1066">
        <v>0.6</v>
      </c>
      <c r="G1265" s="1066"/>
      <c r="H1265" s="1062">
        <f t="shared" si="52"/>
        <v>2.63</v>
      </c>
    </row>
    <row r="1266" spans="1:8" s="716" customFormat="1">
      <c r="A1266" s="1059"/>
      <c r="B1266" s="1076" t="s">
        <v>5630</v>
      </c>
      <c r="C1266" s="1061">
        <v>2</v>
      </c>
      <c r="D1266" s="1061">
        <v>4</v>
      </c>
      <c r="E1266" s="1062">
        <v>0.6</v>
      </c>
      <c r="F1266" s="1095"/>
      <c r="G1266" s="1119">
        <v>2.1</v>
      </c>
      <c r="H1266" s="1062">
        <f t="shared" si="52"/>
        <v>10.08</v>
      </c>
    </row>
    <row r="1267" spans="1:8" s="716" customFormat="1">
      <c r="A1267" s="1059"/>
      <c r="B1267" s="1076" t="s">
        <v>5273</v>
      </c>
      <c r="C1267" s="1061">
        <v>2</v>
      </c>
      <c r="D1267" s="1061">
        <v>4</v>
      </c>
      <c r="E1267" s="1062">
        <v>0.6</v>
      </c>
      <c r="F1267" s="1095"/>
      <c r="G1267" s="1119">
        <v>2.1</v>
      </c>
      <c r="H1267" s="1062">
        <f t="shared" si="52"/>
        <v>10.08</v>
      </c>
    </row>
    <row r="1268" spans="1:8" s="716" customFormat="1">
      <c r="A1268" s="1059"/>
      <c r="B1268" s="1076" t="s">
        <v>5274</v>
      </c>
      <c r="C1268" s="1061">
        <v>2</v>
      </c>
      <c r="D1268" s="1061">
        <v>2</v>
      </c>
      <c r="E1268" s="1062">
        <v>0.6</v>
      </c>
      <c r="F1268" s="1095"/>
      <c r="G1268" s="1119">
        <v>2.1</v>
      </c>
      <c r="H1268" s="1062">
        <f t="shared" si="52"/>
        <v>5.04</v>
      </c>
    </row>
    <row r="1269" spans="1:8" s="716" customFormat="1">
      <c r="A1269" s="1059"/>
      <c r="B1269" s="1065" t="s">
        <v>5631</v>
      </c>
      <c r="C1269" s="1065">
        <v>1</v>
      </c>
      <c r="D1269" s="1065">
        <v>1</v>
      </c>
      <c r="E1269" s="1087">
        <v>4.26</v>
      </c>
      <c r="F1269" s="1065">
        <v>0.6</v>
      </c>
      <c r="G1269" s="1065"/>
      <c r="H1269" s="1062">
        <f t="shared" si="52"/>
        <v>2.56</v>
      </c>
    </row>
    <row r="1270" spans="1:8" s="716" customFormat="1">
      <c r="A1270" s="1059"/>
      <c r="B1270" s="1067" t="s">
        <v>5632</v>
      </c>
      <c r="C1270" s="1065"/>
      <c r="D1270" s="1065"/>
      <c r="E1270" s="1087"/>
      <c r="F1270" s="1065"/>
      <c r="G1270" s="1065"/>
      <c r="H1270" s="1062">
        <f t="shared" si="52"/>
        <v>0</v>
      </c>
    </row>
    <row r="1271" spans="1:8" s="716" customFormat="1">
      <c r="A1271" s="1059"/>
      <c r="B1271" s="1065" t="s">
        <v>5633</v>
      </c>
      <c r="C1271" s="1065">
        <v>1</v>
      </c>
      <c r="D1271" s="1065">
        <v>1</v>
      </c>
      <c r="E1271" s="1087">
        <v>24.12</v>
      </c>
      <c r="F1271" s="1065"/>
      <c r="G1271" s="1065">
        <v>3.18</v>
      </c>
      <c r="H1271" s="1062">
        <f t="shared" si="52"/>
        <v>76.7</v>
      </c>
    </row>
    <row r="1272" spans="1:8" s="716" customFormat="1">
      <c r="A1272" s="1059"/>
      <c r="B1272" s="1065" t="s">
        <v>5634</v>
      </c>
      <c r="C1272" s="1065">
        <v>2</v>
      </c>
      <c r="D1272" s="1065">
        <v>2</v>
      </c>
      <c r="E1272" s="1087">
        <v>1.5</v>
      </c>
      <c r="F1272" s="1065"/>
      <c r="G1272" s="1087">
        <v>1</v>
      </c>
      <c r="H1272" s="1062">
        <f t="shared" si="52"/>
        <v>6</v>
      </c>
    </row>
    <row r="1273" spans="1:8" s="716" customFormat="1">
      <c r="A1273" s="1059"/>
      <c r="B1273" s="1065" t="s">
        <v>5635</v>
      </c>
      <c r="C1273" s="1065">
        <v>1</v>
      </c>
      <c r="D1273" s="1065">
        <v>2</v>
      </c>
      <c r="E1273" s="1087">
        <v>0.23</v>
      </c>
      <c r="F1273" s="1065"/>
      <c r="G1273" s="1087">
        <v>1</v>
      </c>
      <c r="H1273" s="1062">
        <f t="shared" si="52"/>
        <v>0.46</v>
      </c>
    </row>
    <row r="1274" spans="1:8" s="716" customFormat="1">
      <c r="A1274" s="1059"/>
      <c r="B1274" s="1065" t="s">
        <v>5636</v>
      </c>
      <c r="C1274" s="1065">
        <v>1</v>
      </c>
      <c r="D1274" s="1065">
        <v>1</v>
      </c>
      <c r="E1274" s="1087">
        <v>1.46</v>
      </c>
      <c r="F1274" s="1065">
        <v>0.6</v>
      </c>
      <c r="G1274" s="1087"/>
      <c r="H1274" s="1062">
        <f t="shared" si="52"/>
        <v>0.88</v>
      </c>
    </row>
    <row r="1275" spans="1:8" s="716" customFormat="1">
      <c r="A1275" s="1059"/>
      <c r="B1275" s="1065" t="s">
        <v>5637</v>
      </c>
      <c r="C1275" s="1065">
        <v>2</v>
      </c>
      <c r="D1275" s="1065">
        <v>47</v>
      </c>
      <c r="E1275" s="1087">
        <v>0.6</v>
      </c>
      <c r="F1275" s="1065"/>
      <c r="G1275" s="1065">
        <v>0.06</v>
      </c>
      <c r="H1275" s="1087">
        <f t="shared" si="52"/>
        <v>3.38</v>
      </c>
    </row>
    <row r="1276" spans="1:8" s="716" customFormat="1">
      <c r="A1276" s="1059"/>
      <c r="B1276" s="1065"/>
      <c r="C1276" s="1065"/>
      <c r="D1276" s="1065"/>
      <c r="E1276" s="1065"/>
      <c r="F1276" s="1065"/>
      <c r="G1276" s="1065"/>
      <c r="H1276" s="1087">
        <f>SUM(H1142:H1275)</f>
        <v>4584.79</v>
      </c>
    </row>
    <row r="1277" spans="1:8" s="716" customFormat="1">
      <c r="A1277" s="1059"/>
      <c r="B1277" s="1065"/>
      <c r="C1277" s="1065"/>
      <c r="D1277" s="1065"/>
      <c r="E1277" s="1065"/>
      <c r="F1277" s="1072" t="s">
        <v>4121</v>
      </c>
      <c r="G1277" s="1100">
        <f>ROUNDUP(H1276,1)</f>
        <v>4584.8</v>
      </c>
      <c r="H1277" s="1074" t="s">
        <v>2199</v>
      </c>
    </row>
    <row r="1278" spans="1:8" s="716" customFormat="1">
      <c r="A1278" s="1059"/>
      <c r="B1278" s="1064"/>
      <c r="C1278" s="1061"/>
      <c r="D1278" s="1061"/>
      <c r="E1278" s="1062"/>
      <c r="F1278" s="1062"/>
      <c r="G1278" s="1058"/>
      <c r="H1278" s="1077"/>
    </row>
    <row r="1279" spans="1:8" s="716" customFormat="1">
      <c r="A1279" s="1059" t="s">
        <v>5390</v>
      </c>
      <c r="B1279" s="1076" t="s">
        <v>5391</v>
      </c>
      <c r="C1279" s="1061"/>
      <c r="D1279" s="1061"/>
      <c r="E1279" s="1062"/>
      <c r="F1279" s="1062"/>
      <c r="G1279" s="1062"/>
      <c r="H1279" s="1063"/>
    </row>
    <row r="1280" spans="1:8" s="716" customFormat="1">
      <c r="A1280" s="1059"/>
      <c r="B1280" s="1076" t="s">
        <v>5392</v>
      </c>
      <c r="C1280" s="1061">
        <v>1</v>
      </c>
      <c r="D1280" s="1061">
        <v>14</v>
      </c>
      <c r="E1280" s="1062">
        <v>2.4</v>
      </c>
      <c r="F1280" s="1062"/>
      <c r="G1280" s="1062">
        <v>0.9</v>
      </c>
      <c r="H1280" s="1063">
        <f t="shared" ref="H1280:H1281" si="55">PRODUCT(C1280:G1280)</f>
        <v>30.24</v>
      </c>
    </row>
    <row r="1281" spans="1:8" s="716" customFormat="1">
      <c r="A1281" s="1059"/>
      <c r="B1281" s="1076" t="s">
        <v>5638</v>
      </c>
      <c r="C1281" s="1061">
        <v>2</v>
      </c>
      <c r="D1281" s="1061">
        <v>1</v>
      </c>
      <c r="E1281" s="1062">
        <v>10.92</v>
      </c>
      <c r="F1281" s="1062"/>
      <c r="G1281" s="1062">
        <v>0.23</v>
      </c>
      <c r="H1281" s="1063">
        <f t="shared" si="55"/>
        <v>5.0199999999999996</v>
      </c>
    </row>
    <row r="1282" spans="1:8" s="716" customFormat="1">
      <c r="A1282" s="1059"/>
      <c r="B1282" s="1076"/>
      <c r="C1282" s="1061"/>
      <c r="D1282" s="1061"/>
      <c r="E1282" s="1062"/>
      <c r="F1282" s="1062"/>
      <c r="G1282" s="1062"/>
      <c r="H1282" s="1063">
        <f>SUM(H1280:H1281)</f>
        <v>35.26</v>
      </c>
    </row>
    <row r="1283" spans="1:8" s="716" customFormat="1">
      <c r="A1283" s="1059"/>
      <c r="B1283" s="1064"/>
      <c r="C1283" s="1061"/>
      <c r="D1283" s="1061"/>
      <c r="E1283" s="1062"/>
      <c r="F1283" s="1072" t="s">
        <v>4121</v>
      </c>
      <c r="G1283" s="1100">
        <f>ROUNDUP(H1282,1)</f>
        <v>35.299999999999997</v>
      </c>
      <c r="H1283" s="1074" t="s">
        <v>2199</v>
      </c>
    </row>
    <row r="1284" spans="1:8" s="716" customFormat="1">
      <c r="A1284" s="1059"/>
      <c r="B1284" s="1064"/>
      <c r="C1284" s="1061"/>
      <c r="D1284" s="1061"/>
      <c r="E1284" s="1062"/>
      <c r="F1284" s="1062"/>
      <c r="G1284" s="1062"/>
      <c r="H1284" s="1063"/>
    </row>
    <row r="1285" spans="1:8" s="965" customFormat="1">
      <c r="A1285" s="1059" t="s">
        <v>5393</v>
      </c>
      <c r="B1285" s="1076" t="s">
        <v>5394</v>
      </c>
      <c r="C1285" s="1061"/>
      <c r="D1285" s="1061"/>
      <c r="E1285" s="1062"/>
      <c r="F1285" s="1062"/>
      <c r="G1285" s="1062"/>
      <c r="H1285" s="1063"/>
    </row>
    <row r="1286" spans="1:8" s="965" customFormat="1">
      <c r="A1286" s="1059"/>
      <c r="B1286" s="1075" t="s">
        <v>5344</v>
      </c>
      <c r="C1286" s="1061"/>
      <c r="D1286" s="1061"/>
      <c r="E1286" s="1062"/>
      <c r="F1286" s="1062"/>
      <c r="G1286" s="1062"/>
      <c r="H1286" s="1063"/>
    </row>
    <row r="1287" spans="1:8" s="965" customFormat="1">
      <c r="A1287" s="1059"/>
      <c r="B1287" s="1076" t="s">
        <v>5167</v>
      </c>
      <c r="C1287" s="1061">
        <v>1</v>
      </c>
      <c r="D1287" s="1061">
        <v>1</v>
      </c>
      <c r="E1287" s="1062">
        <v>2.44</v>
      </c>
      <c r="F1287" s="1062">
        <v>3.66</v>
      </c>
      <c r="G1287" s="1062"/>
      <c r="H1287" s="1063">
        <f t="shared" ref="H1287:H1339" si="56">PRODUCT(C1287:G1287)</f>
        <v>8.93</v>
      </c>
    </row>
    <row r="1288" spans="1:8" s="965" customFormat="1">
      <c r="A1288" s="1059"/>
      <c r="B1288" s="1076" t="s">
        <v>6006</v>
      </c>
      <c r="C1288" s="1061">
        <v>1</v>
      </c>
      <c r="D1288" s="1061">
        <v>1</v>
      </c>
      <c r="E1288" s="1062">
        <v>3.35</v>
      </c>
      <c r="F1288" s="1062">
        <v>3.13</v>
      </c>
      <c r="G1288" s="1062"/>
      <c r="H1288" s="1063">
        <f t="shared" si="56"/>
        <v>10.49</v>
      </c>
    </row>
    <row r="1289" spans="1:8" s="965" customFormat="1" ht="17.25" customHeight="1">
      <c r="A1289" s="1059"/>
      <c r="B1289" s="1076" t="s">
        <v>6007</v>
      </c>
      <c r="C1289" s="1066">
        <v>1</v>
      </c>
      <c r="D1289" s="1066">
        <v>1</v>
      </c>
      <c r="E1289" s="1062">
        <v>12</v>
      </c>
      <c r="F1289" s="1062">
        <v>3.58</v>
      </c>
      <c r="G1289" s="1062"/>
      <c r="H1289" s="1063">
        <f t="shared" si="56"/>
        <v>42.96</v>
      </c>
    </row>
    <row r="1290" spans="1:8" s="965" customFormat="1">
      <c r="A1290" s="1059"/>
      <c r="B1290" s="1076" t="s">
        <v>6008</v>
      </c>
      <c r="C1290" s="1061">
        <v>1</v>
      </c>
      <c r="D1290" s="1061">
        <v>1</v>
      </c>
      <c r="E1290" s="1062">
        <v>3.85</v>
      </c>
      <c r="F1290" s="1062">
        <v>3.13</v>
      </c>
      <c r="G1290" s="1062"/>
      <c r="H1290" s="1063">
        <f t="shared" si="56"/>
        <v>12.05</v>
      </c>
    </row>
    <row r="1291" spans="1:8" s="965" customFormat="1">
      <c r="A1291" s="1059"/>
      <c r="B1291" s="1076" t="s">
        <v>5164</v>
      </c>
      <c r="C1291" s="1061">
        <v>1</v>
      </c>
      <c r="D1291" s="1061">
        <v>1</v>
      </c>
      <c r="E1291" s="1062">
        <v>24.68</v>
      </c>
      <c r="F1291" s="1062">
        <v>6.09</v>
      </c>
      <c r="G1291" s="1062"/>
      <c r="H1291" s="1063">
        <f t="shared" si="56"/>
        <v>150.30000000000001</v>
      </c>
    </row>
    <row r="1292" spans="1:8" s="965" customFormat="1">
      <c r="A1292" s="1059"/>
      <c r="B1292" s="1076" t="s">
        <v>5556</v>
      </c>
      <c r="C1292" s="1061">
        <v>1</v>
      </c>
      <c r="D1292" s="1061">
        <v>1</v>
      </c>
      <c r="E1292" s="1062">
        <v>1.83</v>
      </c>
      <c r="F1292" s="1062">
        <v>1.75</v>
      </c>
      <c r="G1292" s="1062"/>
      <c r="H1292" s="1063">
        <f t="shared" si="56"/>
        <v>3.2</v>
      </c>
    </row>
    <row r="1293" spans="1:8" s="965" customFormat="1">
      <c r="A1293" s="1059"/>
      <c r="B1293" s="1076" t="s">
        <v>5534</v>
      </c>
      <c r="C1293" s="1061">
        <v>1</v>
      </c>
      <c r="D1293" s="1061">
        <v>1</v>
      </c>
      <c r="E1293" s="1062">
        <v>2.5099999999999998</v>
      </c>
      <c r="F1293" s="1062">
        <v>2.9</v>
      </c>
      <c r="G1293" s="1062"/>
      <c r="H1293" s="1063">
        <f t="shared" si="56"/>
        <v>7.28</v>
      </c>
    </row>
    <row r="1294" spans="1:8" s="965" customFormat="1">
      <c r="A1294" s="1059"/>
      <c r="B1294" s="1076" t="s">
        <v>6009</v>
      </c>
      <c r="C1294" s="1061">
        <v>1</v>
      </c>
      <c r="D1294" s="1061">
        <v>1</v>
      </c>
      <c r="E1294" s="1062">
        <v>2.73</v>
      </c>
      <c r="F1294" s="1062">
        <v>2.06</v>
      </c>
      <c r="G1294" s="1062"/>
      <c r="H1294" s="1063">
        <f t="shared" si="56"/>
        <v>5.62</v>
      </c>
    </row>
    <row r="1295" spans="1:8" s="965" customFormat="1">
      <c r="A1295" s="1059"/>
      <c r="B1295" s="1076" t="s">
        <v>5087</v>
      </c>
      <c r="C1295" s="1061">
        <v>0.5</v>
      </c>
      <c r="D1295" s="1061">
        <v>1</v>
      </c>
      <c r="E1295" s="1062">
        <v>4.5999999999999996</v>
      </c>
      <c r="F1295" s="1062">
        <v>4.91</v>
      </c>
      <c r="G1295" s="1062"/>
      <c r="H1295" s="1063">
        <f t="shared" si="56"/>
        <v>11.29</v>
      </c>
    </row>
    <row r="1296" spans="1:8" s="965" customFormat="1">
      <c r="A1296" s="1059"/>
      <c r="B1296" s="1076" t="s">
        <v>5242</v>
      </c>
      <c r="C1296" s="1061">
        <v>1</v>
      </c>
      <c r="D1296" s="1061">
        <v>1</v>
      </c>
      <c r="E1296" s="1062">
        <v>4.88</v>
      </c>
      <c r="F1296" s="1062">
        <v>4.91</v>
      </c>
      <c r="G1296" s="1062"/>
      <c r="H1296" s="1063">
        <f t="shared" si="56"/>
        <v>23.96</v>
      </c>
    </row>
    <row r="1297" spans="1:8" s="965" customFormat="1">
      <c r="A1297" s="1059"/>
      <c r="B1297" s="1076" t="s">
        <v>5601</v>
      </c>
      <c r="C1297" s="1061">
        <v>1</v>
      </c>
      <c r="D1297" s="1061">
        <v>1</v>
      </c>
      <c r="E1297" s="1062">
        <v>1.95</v>
      </c>
      <c r="F1297" s="1062">
        <v>2.2799999999999998</v>
      </c>
      <c r="G1297" s="1062"/>
      <c r="H1297" s="1063">
        <f t="shared" si="56"/>
        <v>4.45</v>
      </c>
    </row>
    <row r="1298" spans="1:8" s="965" customFormat="1">
      <c r="A1298" s="1059"/>
      <c r="B1298" s="1076" t="s">
        <v>6010</v>
      </c>
      <c r="C1298" s="1061">
        <v>1</v>
      </c>
      <c r="D1298" s="1061">
        <v>1</v>
      </c>
      <c r="E1298" s="1062">
        <v>2.2000000000000002</v>
      </c>
      <c r="F1298" s="1062">
        <v>1.07</v>
      </c>
      <c r="G1298" s="1062"/>
      <c r="H1298" s="1063">
        <f t="shared" si="56"/>
        <v>2.35</v>
      </c>
    </row>
    <row r="1299" spans="1:8" s="965" customFormat="1">
      <c r="A1299" s="1059"/>
      <c r="B1299" s="1076" t="s">
        <v>6011</v>
      </c>
      <c r="C1299" s="1061">
        <v>1</v>
      </c>
      <c r="D1299" s="1061">
        <v>1</v>
      </c>
      <c r="E1299" s="1062">
        <v>1.83</v>
      </c>
      <c r="F1299" s="1062">
        <v>1.22</v>
      </c>
      <c r="G1299" s="1062"/>
      <c r="H1299" s="1063">
        <f t="shared" si="56"/>
        <v>2.23</v>
      </c>
    </row>
    <row r="1300" spans="1:8" s="965" customFormat="1">
      <c r="A1300" s="1059"/>
      <c r="B1300" s="1076" t="s">
        <v>5602</v>
      </c>
      <c r="C1300" s="1061">
        <v>1</v>
      </c>
      <c r="D1300" s="1061">
        <v>1</v>
      </c>
      <c r="E1300" s="1062">
        <v>6.93</v>
      </c>
      <c r="F1300" s="1062">
        <v>8.5299999999999994</v>
      </c>
      <c r="G1300" s="1062"/>
      <c r="H1300" s="1063">
        <f t="shared" si="56"/>
        <v>59.11</v>
      </c>
    </row>
    <row r="1301" spans="1:8" s="965" customFormat="1">
      <c r="A1301" s="1059"/>
      <c r="B1301" s="1065" t="s">
        <v>5575</v>
      </c>
      <c r="C1301" s="1066">
        <v>2</v>
      </c>
      <c r="D1301" s="1066">
        <v>7</v>
      </c>
      <c r="E1301" s="1062">
        <v>1.96</v>
      </c>
      <c r="F1301" s="1066">
        <v>0.6</v>
      </c>
      <c r="G1301" s="1066"/>
      <c r="H1301" s="1087">
        <f t="shared" si="56"/>
        <v>16.46</v>
      </c>
    </row>
    <row r="1302" spans="1:8" s="965" customFormat="1">
      <c r="A1302" s="1059"/>
      <c r="B1302" s="1065" t="s">
        <v>5576</v>
      </c>
      <c r="C1302" s="1066">
        <v>2</v>
      </c>
      <c r="D1302" s="1066">
        <v>3</v>
      </c>
      <c r="E1302" s="1062">
        <v>1.66</v>
      </c>
      <c r="F1302" s="1066">
        <v>0.6</v>
      </c>
      <c r="G1302" s="1066"/>
      <c r="H1302" s="1087">
        <f t="shared" si="56"/>
        <v>5.98</v>
      </c>
    </row>
    <row r="1303" spans="1:8" s="965" customFormat="1">
      <c r="A1303" s="1059"/>
      <c r="B1303" s="1065" t="s">
        <v>5144</v>
      </c>
      <c r="C1303" s="1066">
        <v>1</v>
      </c>
      <c r="D1303" s="1066">
        <v>1</v>
      </c>
      <c r="E1303" s="1062">
        <v>2.59</v>
      </c>
      <c r="F1303" s="1066">
        <v>4.22</v>
      </c>
      <c r="G1303" s="1062"/>
      <c r="H1303" s="1063">
        <f t="shared" si="56"/>
        <v>10.93</v>
      </c>
    </row>
    <row r="1304" spans="1:8" s="965" customFormat="1">
      <c r="A1304" s="1059"/>
      <c r="B1304" s="1065" t="s">
        <v>5145</v>
      </c>
      <c r="C1304" s="1066">
        <v>1</v>
      </c>
      <c r="D1304" s="1066">
        <v>2</v>
      </c>
      <c r="E1304" s="1062">
        <v>1.83</v>
      </c>
      <c r="F1304" s="1066">
        <v>3.83</v>
      </c>
      <c r="G1304" s="1062"/>
      <c r="H1304" s="1063">
        <f t="shared" si="56"/>
        <v>14.02</v>
      </c>
    </row>
    <row r="1305" spans="1:8" s="965" customFormat="1">
      <c r="A1305" s="1059"/>
      <c r="B1305" s="1065" t="s">
        <v>5146</v>
      </c>
      <c r="C1305" s="1066">
        <v>1</v>
      </c>
      <c r="D1305" s="1066">
        <v>1</v>
      </c>
      <c r="E1305" s="1062">
        <v>14</v>
      </c>
      <c r="F1305" s="1062">
        <v>1.75</v>
      </c>
      <c r="G1305" s="1062"/>
      <c r="H1305" s="1063">
        <f t="shared" si="56"/>
        <v>24.5</v>
      </c>
    </row>
    <row r="1306" spans="1:8" s="965" customFormat="1">
      <c r="A1306" s="1059"/>
      <c r="B1306" s="1065" t="s">
        <v>6012</v>
      </c>
      <c r="C1306" s="1066">
        <v>1</v>
      </c>
      <c r="D1306" s="1066">
        <v>1</v>
      </c>
      <c r="E1306" s="1062">
        <v>1.81</v>
      </c>
      <c r="F1306" s="1066">
        <v>0.6</v>
      </c>
      <c r="G1306" s="1066"/>
      <c r="H1306" s="1087">
        <f t="shared" si="56"/>
        <v>1.0900000000000001</v>
      </c>
    </row>
    <row r="1307" spans="1:8" s="965" customFormat="1">
      <c r="A1307" s="1059"/>
      <c r="B1307" s="1065"/>
      <c r="C1307" s="1066">
        <v>1</v>
      </c>
      <c r="D1307" s="1066">
        <v>1</v>
      </c>
      <c r="E1307" s="1062">
        <v>1.07</v>
      </c>
      <c r="F1307" s="1066">
        <v>0.6</v>
      </c>
      <c r="G1307" s="1066"/>
      <c r="H1307" s="1087">
        <f t="shared" si="56"/>
        <v>0.64</v>
      </c>
    </row>
    <row r="1308" spans="1:8" s="965" customFormat="1">
      <c r="A1308" s="1059"/>
      <c r="B1308" s="1065" t="s">
        <v>6013</v>
      </c>
      <c r="C1308" s="1066">
        <v>1</v>
      </c>
      <c r="D1308" s="1066">
        <v>1</v>
      </c>
      <c r="E1308" s="1066">
        <v>2.2799999999999998</v>
      </c>
      <c r="F1308" s="1062">
        <v>0.6</v>
      </c>
      <c r="G1308" s="1066"/>
      <c r="H1308" s="1063">
        <f t="shared" si="56"/>
        <v>1.37</v>
      </c>
    </row>
    <row r="1309" spans="1:8" s="965" customFormat="1">
      <c r="A1309" s="1059"/>
      <c r="B1309" s="1065" t="s">
        <v>6014</v>
      </c>
      <c r="C1309" s="1066">
        <v>1</v>
      </c>
      <c r="D1309" s="1066">
        <v>1</v>
      </c>
      <c r="E1309" s="1066">
        <v>8.91</v>
      </c>
      <c r="F1309" s="1062">
        <v>3.89</v>
      </c>
      <c r="G1309" s="1066"/>
      <c r="H1309" s="1063">
        <f t="shared" si="56"/>
        <v>34.659999999999997</v>
      </c>
    </row>
    <row r="1310" spans="1:8" s="965" customFormat="1">
      <c r="A1310" s="1059"/>
      <c r="B1310" s="1065"/>
      <c r="C1310" s="1066">
        <v>1</v>
      </c>
      <c r="D1310" s="1066">
        <v>1</v>
      </c>
      <c r="E1310" s="1066">
        <v>3.89</v>
      </c>
      <c r="F1310" s="1062">
        <v>4.6500000000000004</v>
      </c>
      <c r="G1310" s="1066"/>
      <c r="H1310" s="1063">
        <f t="shared" si="56"/>
        <v>18.09</v>
      </c>
    </row>
    <row r="1311" spans="1:8" s="965" customFormat="1">
      <c r="A1311" s="1059"/>
      <c r="B1311" s="1075" t="s">
        <v>5310</v>
      </c>
      <c r="C1311" s="1061"/>
      <c r="D1311" s="1061"/>
      <c r="E1311" s="1062"/>
      <c r="F1311" s="1062"/>
      <c r="G1311" s="1062"/>
      <c r="H1311" s="1063"/>
    </row>
    <row r="1312" spans="1:8" s="965" customFormat="1">
      <c r="A1312" s="1059"/>
      <c r="B1312" s="1076" t="s">
        <v>6015</v>
      </c>
      <c r="C1312" s="1061">
        <v>1</v>
      </c>
      <c r="D1312" s="1061">
        <v>1</v>
      </c>
      <c r="E1312" s="1062">
        <v>6.09</v>
      </c>
      <c r="F1312" s="1062">
        <v>3.66</v>
      </c>
      <c r="G1312" s="1062"/>
      <c r="H1312" s="1063">
        <f t="shared" si="56"/>
        <v>22.29</v>
      </c>
    </row>
    <row r="1313" spans="1:8" s="965" customFormat="1">
      <c r="A1313" s="1059"/>
      <c r="B1313" s="1076" t="s">
        <v>5557</v>
      </c>
      <c r="C1313" s="1061">
        <v>1</v>
      </c>
      <c r="D1313" s="1061">
        <v>1</v>
      </c>
      <c r="E1313" s="1062">
        <v>2.74</v>
      </c>
      <c r="F1313" s="1062">
        <v>1.67</v>
      </c>
      <c r="G1313" s="1062"/>
      <c r="H1313" s="1063">
        <f t="shared" si="56"/>
        <v>4.58</v>
      </c>
    </row>
    <row r="1314" spans="1:8" s="965" customFormat="1">
      <c r="A1314" s="1059"/>
      <c r="B1314" s="1076" t="s">
        <v>5610</v>
      </c>
      <c r="C1314" s="1061">
        <v>1</v>
      </c>
      <c r="D1314" s="1061">
        <v>1</v>
      </c>
      <c r="E1314" s="1062">
        <v>1.52</v>
      </c>
      <c r="F1314" s="1062">
        <v>1.67</v>
      </c>
      <c r="G1314" s="1062"/>
      <c r="H1314" s="1063">
        <f t="shared" si="56"/>
        <v>2.54</v>
      </c>
    </row>
    <row r="1315" spans="1:8" s="965" customFormat="1">
      <c r="A1315" s="1059"/>
      <c r="B1315" s="1076" t="s">
        <v>6016</v>
      </c>
      <c r="C1315" s="1061">
        <v>1</v>
      </c>
      <c r="D1315" s="1061">
        <v>1</v>
      </c>
      <c r="E1315" s="1062">
        <v>6.09</v>
      </c>
      <c r="F1315" s="1062">
        <v>3.66</v>
      </c>
      <c r="G1315" s="1062"/>
      <c r="H1315" s="1063">
        <f t="shared" si="56"/>
        <v>22.29</v>
      </c>
    </row>
    <row r="1316" spans="1:8" s="965" customFormat="1">
      <c r="A1316" s="1059"/>
      <c r="B1316" s="1076" t="s">
        <v>5504</v>
      </c>
      <c r="C1316" s="1061">
        <v>1</v>
      </c>
      <c r="D1316" s="1061">
        <v>1</v>
      </c>
      <c r="E1316" s="1062">
        <v>5.29</v>
      </c>
      <c r="F1316" s="1062">
        <v>3.66</v>
      </c>
      <c r="G1316" s="1062"/>
      <c r="H1316" s="1063">
        <f t="shared" si="56"/>
        <v>19.36</v>
      </c>
    </row>
    <row r="1317" spans="1:8" s="965" customFormat="1">
      <c r="A1317" s="1059"/>
      <c r="B1317" s="1076" t="s">
        <v>5524</v>
      </c>
      <c r="C1317" s="1061">
        <v>1</v>
      </c>
      <c r="D1317" s="1061">
        <v>1</v>
      </c>
      <c r="E1317" s="1062">
        <v>7.94</v>
      </c>
      <c r="F1317" s="1062">
        <v>3.66</v>
      </c>
      <c r="G1317" s="1062"/>
      <c r="H1317" s="1063">
        <f t="shared" si="56"/>
        <v>29.06</v>
      </c>
    </row>
    <row r="1318" spans="1:8" s="965" customFormat="1">
      <c r="A1318" s="1059"/>
      <c r="B1318" s="1076" t="s">
        <v>5601</v>
      </c>
      <c r="C1318" s="1061">
        <v>1</v>
      </c>
      <c r="D1318" s="1061">
        <v>1</v>
      </c>
      <c r="E1318" s="1062">
        <v>1.83</v>
      </c>
      <c r="F1318" s="1062">
        <v>3.66</v>
      </c>
      <c r="G1318" s="1062"/>
      <c r="H1318" s="1063">
        <f t="shared" si="56"/>
        <v>6.7</v>
      </c>
    </row>
    <row r="1319" spans="1:8" s="965" customFormat="1">
      <c r="A1319" s="1059"/>
      <c r="B1319" s="1076" t="s">
        <v>5274</v>
      </c>
      <c r="C1319" s="1061">
        <v>1</v>
      </c>
      <c r="D1319" s="1061">
        <v>1</v>
      </c>
      <c r="E1319" s="1062">
        <v>12.22</v>
      </c>
      <c r="F1319" s="1062">
        <v>3.66</v>
      </c>
      <c r="G1319" s="1062"/>
      <c r="H1319" s="1063">
        <f t="shared" si="56"/>
        <v>44.73</v>
      </c>
    </row>
    <row r="1320" spans="1:8" s="965" customFormat="1">
      <c r="A1320" s="1059"/>
      <c r="B1320" s="1076" t="s">
        <v>6017</v>
      </c>
      <c r="C1320" s="1061">
        <v>1</v>
      </c>
      <c r="D1320" s="1061">
        <v>1</v>
      </c>
      <c r="E1320" s="1062">
        <v>15.39</v>
      </c>
      <c r="F1320" s="1062">
        <v>1.67</v>
      </c>
      <c r="G1320" s="1062"/>
      <c r="H1320" s="1063">
        <f t="shared" si="56"/>
        <v>25.7</v>
      </c>
    </row>
    <row r="1321" spans="1:8" s="965" customFormat="1">
      <c r="A1321" s="1059"/>
      <c r="B1321" s="1076" t="s">
        <v>6018</v>
      </c>
      <c r="C1321" s="1061">
        <v>1</v>
      </c>
      <c r="D1321" s="1061">
        <v>1</v>
      </c>
      <c r="E1321" s="1062">
        <v>4.5599999999999996</v>
      </c>
      <c r="F1321" s="1062">
        <v>3.38</v>
      </c>
      <c r="G1321" s="1062"/>
      <c r="H1321" s="1063">
        <f t="shared" si="56"/>
        <v>15.41</v>
      </c>
    </row>
    <row r="1322" spans="1:8" s="965" customFormat="1">
      <c r="A1322" s="1059"/>
      <c r="B1322" s="1076" t="s">
        <v>6019</v>
      </c>
      <c r="C1322" s="1061">
        <v>1</v>
      </c>
      <c r="D1322" s="1061">
        <v>1</v>
      </c>
      <c r="E1322" s="1062">
        <v>1.07</v>
      </c>
      <c r="F1322" s="1062">
        <v>3.66</v>
      </c>
      <c r="G1322" s="1062"/>
      <c r="H1322" s="1063">
        <f t="shared" si="56"/>
        <v>3.92</v>
      </c>
    </row>
    <row r="1323" spans="1:8" s="965" customFormat="1">
      <c r="A1323" s="1059"/>
      <c r="B1323" s="1076" t="s">
        <v>5600</v>
      </c>
      <c r="C1323" s="1061">
        <v>1</v>
      </c>
      <c r="D1323" s="1061">
        <v>1</v>
      </c>
      <c r="E1323" s="1062">
        <v>2.5499999999999998</v>
      </c>
      <c r="F1323" s="1062">
        <v>2.3199999999999998</v>
      </c>
      <c r="G1323" s="1062"/>
      <c r="H1323" s="1063">
        <f t="shared" si="56"/>
        <v>5.92</v>
      </c>
    </row>
    <row r="1324" spans="1:8" s="965" customFormat="1">
      <c r="A1324" s="1059"/>
      <c r="B1324" s="1076" t="s">
        <v>4987</v>
      </c>
      <c r="C1324" s="1061">
        <v>1</v>
      </c>
      <c r="D1324" s="1061">
        <v>2</v>
      </c>
      <c r="E1324" s="1062">
        <v>1.22</v>
      </c>
      <c r="F1324" s="1062">
        <v>1.22</v>
      </c>
      <c r="G1324" s="1062"/>
      <c r="H1324" s="1063">
        <f t="shared" si="56"/>
        <v>2.98</v>
      </c>
    </row>
    <row r="1325" spans="1:8" s="965" customFormat="1">
      <c r="A1325" s="1059"/>
      <c r="B1325" s="1076" t="s">
        <v>6020</v>
      </c>
      <c r="C1325" s="1061">
        <v>1</v>
      </c>
      <c r="D1325" s="1061">
        <v>1</v>
      </c>
      <c r="E1325" s="1062">
        <v>26</v>
      </c>
      <c r="F1325" s="1062" t="s">
        <v>222</v>
      </c>
      <c r="G1325" s="1062"/>
      <c r="H1325" s="1063">
        <f t="shared" si="56"/>
        <v>26</v>
      </c>
    </row>
    <row r="1326" spans="1:8" s="965" customFormat="1">
      <c r="A1326" s="1059"/>
      <c r="B1326" s="1076" t="s">
        <v>6021</v>
      </c>
      <c r="C1326" s="1061">
        <v>1</v>
      </c>
      <c r="D1326" s="1061">
        <v>2</v>
      </c>
      <c r="E1326" s="1062">
        <v>1.41</v>
      </c>
      <c r="F1326" s="1062">
        <v>2.06</v>
      </c>
      <c r="G1326" s="1062"/>
      <c r="H1326" s="1063">
        <f t="shared" si="56"/>
        <v>5.81</v>
      </c>
    </row>
    <row r="1327" spans="1:8" s="965" customFormat="1">
      <c r="A1327" s="1059"/>
      <c r="B1327" s="1076" t="s">
        <v>6022</v>
      </c>
      <c r="C1327" s="1061">
        <v>1</v>
      </c>
      <c r="D1327" s="1061">
        <v>1</v>
      </c>
      <c r="E1327" s="1062">
        <v>8.91</v>
      </c>
      <c r="F1327" s="1062">
        <v>3.78</v>
      </c>
      <c r="G1327" s="1062"/>
      <c r="H1327" s="1063">
        <f t="shared" si="56"/>
        <v>33.68</v>
      </c>
    </row>
    <row r="1328" spans="1:8" s="965" customFormat="1">
      <c r="A1328" s="1059"/>
      <c r="B1328" s="1076"/>
      <c r="C1328" s="1061">
        <v>1</v>
      </c>
      <c r="D1328" s="1061">
        <v>1</v>
      </c>
      <c r="E1328" s="1062">
        <v>3.77</v>
      </c>
      <c r="F1328" s="1062">
        <v>4.42</v>
      </c>
      <c r="G1328" s="1062"/>
      <c r="H1328" s="1063">
        <f t="shared" si="56"/>
        <v>16.66</v>
      </c>
    </row>
    <row r="1329" spans="1:8" s="965" customFormat="1">
      <c r="A1329" s="1059"/>
      <c r="B1329" s="1076" t="s">
        <v>6023</v>
      </c>
      <c r="C1329" s="1061">
        <v>1</v>
      </c>
      <c r="D1329" s="1061">
        <v>1</v>
      </c>
      <c r="E1329" s="1062">
        <v>4.5</v>
      </c>
      <c r="F1329" s="1062">
        <v>5.68</v>
      </c>
      <c r="G1329" s="1062"/>
      <c r="H1329" s="1063">
        <f t="shared" si="56"/>
        <v>25.56</v>
      </c>
    </row>
    <row r="1330" spans="1:8" s="965" customFormat="1">
      <c r="A1330" s="1059"/>
      <c r="B1330" s="1076" t="s">
        <v>6024</v>
      </c>
      <c r="C1330" s="1061">
        <v>1</v>
      </c>
      <c r="D1330" s="1061">
        <v>1</v>
      </c>
      <c r="E1330" s="1062">
        <v>4.2699999999999996</v>
      </c>
      <c r="F1330" s="1062">
        <v>7.09</v>
      </c>
      <c r="G1330" s="1062"/>
      <c r="H1330" s="1063">
        <f t="shared" si="56"/>
        <v>30.27</v>
      </c>
    </row>
    <row r="1331" spans="1:8" s="965" customFormat="1">
      <c r="A1331" s="1059"/>
      <c r="B1331" s="1076" t="s">
        <v>5618</v>
      </c>
      <c r="C1331" s="1061">
        <v>1</v>
      </c>
      <c r="D1331" s="1061">
        <v>1</v>
      </c>
      <c r="E1331" s="1062">
        <v>4.2699999999999996</v>
      </c>
      <c r="F1331" s="1062">
        <v>3.05</v>
      </c>
      <c r="G1331" s="1062"/>
      <c r="H1331" s="1063">
        <f t="shared" si="56"/>
        <v>13.02</v>
      </c>
    </row>
    <row r="1332" spans="1:8" s="965" customFormat="1">
      <c r="A1332" s="1059"/>
      <c r="B1332" s="1076" t="s">
        <v>5617</v>
      </c>
      <c r="C1332" s="1061">
        <v>1</v>
      </c>
      <c r="D1332" s="1061">
        <v>1</v>
      </c>
      <c r="E1332" s="1062">
        <v>4.2699999999999996</v>
      </c>
      <c r="F1332" s="1062">
        <v>3.08</v>
      </c>
      <c r="G1332" s="1062"/>
      <c r="H1332" s="1063">
        <f t="shared" si="56"/>
        <v>13.15</v>
      </c>
    </row>
    <row r="1333" spans="1:8" s="965" customFormat="1">
      <c r="A1333" s="1059"/>
      <c r="B1333" s="1065" t="s">
        <v>5575</v>
      </c>
      <c r="C1333" s="1066">
        <v>1</v>
      </c>
      <c r="D1333" s="1066">
        <v>15</v>
      </c>
      <c r="E1333" s="1062">
        <v>1.96</v>
      </c>
      <c r="F1333" s="1066">
        <v>0.6</v>
      </c>
      <c r="G1333" s="1066"/>
      <c r="H1333" s="1087">
        <f t="shared" si="56"/>
        <v>17.64</v>
      </c>
    </row>
    <row r="1334" spans="1:8" s="965" customFormat="1">
      <c r="A1334" s="1059"/>
      <c r="B1334" s="1065" t="s">
        <v>5576</v>
      </c>
      <c r="C1334" s="1066">
        <v>1</v>
      </c>
      <c r="D1334" s="1066">
        <v>3</v>
      </c>
      <c r="E1334" s="1062">
        <v>1.66</v>
      </c>
      <c r="F1334" s="1066">
        <v>0.6</v>
      </c>
      <c r="G1334" s="1066"/>
      <c r="H1334" s="1087">
        <f t="shared" si="56"/>
        <v>2.99</v>
      </c>
    </row>
    <row r="1335" spans="1:8" s="965" customFormat="1">
      <c r="A1335" s="1059"/>
      <c r="B1335" s="1065" t="s">
        <v>5144</v>
      </c>
      <c r="C1335" s="1066">
        <v>1</v>
      </c>
      <c r="D1335" s="1066">
        <v>1</v>
      </c>
      <c r="E1335" s="1062">
        <v>2.59</v>
      </c>
      <c r="F1335" s="1066">
        <v>4.22</v>
      </c>
      <c r="G1335" s="1062"/>
      <c r="H1335" s="1063">
        <f t="shared" si="56"/>
        <v>10.93</v>
      </c>
    </row>
    <row r="1336" spans="1:8" s="965" customFormat="1">
      <c r="A1336" s="1059"/>
      <c r="B1336" s="1065" t="s">
        <v>5145</v>
      </c>
      <c r="C1336" s="1066">
        <v>1</v>
      </c>
      <c r="D1336" s="1066">
        <v>2</v>
      </c>
      <c r="E1336" s="1062">
        <v>1.83</v>
      </c>
      <c r="F1336" s="1066">
        <v>3.83</v>
      </c>
      <c r="G1336" s="1062"/>
      <c r="H1336" s="1063">
        <f t="shared" si="56"/>
        <v>14.02</v>
      </c>
    </row>
    <row r="1337" spans="1:8" s="965" customFormat="1">
      <c r="A1337" s="1059"/>
      <c r="B1337" s="1065" t="s">
        <v>5146</v>
      </c>
      <c r="C1337" s="1066">
        <v>1</v>
      </c>
      <c r="D1337" s="1066">
        <v>1</v>
      </c>
      <c r="E1337" s="1062">
        <v>14</v>
      </c>
      <c r="F1337" s="1062">
        <v>1.75</v>
      </c>
      <c r="G1337" s="1062"/>
      <c r="H1337" s="1063">
        <f t="shared" si="56"/>
        <v>24.5</v>
      </c>
    </row>
    <row r="1338" spans="1:8" s="965" customFormat="1">
      <c r="A1338" s="1059"/>
      <c r="B1338" s="1065" t="s">
        <v>6012</v>
      </c>
      <c r="C1338" s="1066">
        <v>1</v>
      </c>
      <c r="D1338" s="1066">
        <v>2</v>
      </c>
      <c r="E1338" s="1062">
        <v>1</v>
      </c>
      <c r="F1338" s="1066">
        <v>0.6</v>
      </c>
      <c r="G1338" s="1066"/>
      <c r="H1338" s="1063">
        <f t="shared" si="56"/>
        <v>1.2</v>
      </c>
    </row>
    <row r="1339" spans="1:8" s="965" customFormat="1">
      <c r="A1339" s="1059"/>
      <c r="B1339" s="1065" t="s">
        <v>5186</v>
      </c>
      <c r="C1339" s="1066">
        <v>1</v>
      </c>
      <c r="D1339" s="1066">
        <v>2</v>
      </c>
      <c r="E1339" s="1066">
        <v>3.66</v>
      </c>
      <c r="F1339" s="1062">
        <v>0.6</v>
      </c>
      <c r="G1339" s="1066"/>
      <c r="H1339" s="1063">
        <f t="shared" si="56"/>
        <v>4.3899999999999997</v>
      </c>
    </row>
    <row r="1340" spans="1:8" s="965" customFormat="1">
      <c r="A1340" s="1059"/>
      <c r="B1340" s="1065" t="s">
        <v>5187</v>
      </c>
      <c r="C1340" s="1066">
        <v>1</v>
      </c>
      <c r="D1340" s="1066">
        <v>1</v>
      </c>
      <c r="E1340" s="1066">
        <v>7.08</v>
      </c>
      <c r="F1340" s="1062">
        <v>0.6</v>
      </c>
      <c r="G1340" s="1066"/>
      <c r="H1340" s="1063">
        <f>PRODUCT(C1340:G1340)</f>
        <v>4.25</v>
      </c>
    </row>
    <row r="1341" spans="1:8" s="965" customFormat="1">
      <c r="A1341" s="1059"/>
      <c r="B1341" s="1065" t="s">
        <v>5188</v>
      </c>
      <c r="C1341" s="1066">
        <v>1</v>
      </c>
      <c r="D1341" s="1066">
        <v>1</v>
      </c>
      <c r="E1341" s="1066">
        <v>3.08</v>
      </c>
      <c r="F1341" s="1062">
        <v>0.6</v>
      </c>
      <c r="G1341" s="1066"/>
      <c r="H1341" s="1063">
        <f>PRODUCT(C1341:G1341)</f>
        <v>1.85</v>
      </c>
    </row>
    <row r="1342" spans="1:8" s="965" customFormat="1">
      <c r="A1342" s="1059"/>
      <c r="B1342" s="1065" t="s">
        <v>5189</v>
      </c>
      <c r="C1342" s="1061">
        <v>1</v>
      </c>
      <c r="D1342" s="1061">
        <v>3</v>
      </c>
      <c r="E1342" s="1062">
        <v>1</v>
      </c>
      <c r="F1342" s="1062">
        <v>0.6</v>
      </c>
      <c r="G1342" s="1062"/>
      <c r="H1342" s="1391">
        <f>PRODUCT(C1342:G1342)</f>
        <v>1.8</v>
      </c>
    </row>
    <row r="1343" spans="1:8" s="965" customFormat="1">
      <c r="A1343" s="1059"/>
      <c r="B1343" s="1067" t="s">
        <v>5311</v>
      </c>
      <c r="C1343" s="1061"/>
      <c r="D1343" s="1061"/>
      <c r="E1343" s="1062"/>
      <c r="F1343" s="1062"/>
      <c r="G1343" s="1062"/>
      <c r="H1343" s="1391">
        <f t="shared" ref="H1343:H1367" si="57">PRODUCT(C1343:G1343)</f>
        <v>0</v>
      </c>
    </row>
    <row r="1344" spans="1:8" s="965" customFormat="1">
      <c r="A1344" s="1059"/>
      <c r="B1344" s="1065" t="s">
        <v>5515</v>
      </c>
      <c r="C1344" s="1061">
        <v>1</v>
      </c>
      <c r="D1344" s="1061">
        <v>1</v>
      </c>
      <c r="E1344" s="1062">
        <v>13.06</v>
      </c>
      <c r="F1344" s="1062">
        <v>9.2100000000000009</v>
      </c>
      <c r="G1344" s="1062"/>
      <c r="H1344" s="1391">
        <f t="shared" si="57"/>
        <v>120.28</v>
      </c>
    </row>
    <row r="1345" spans="1:8" s="965" customFormat="1">
      <c r="A1345" s="1059"/>
      <c r="B1345" s="1065"/>
      <c r="C1345" s="1061">
        <v>1</v>
      </c>
      <c r="D1345" s="1061">
        <v>1</v>
      </c>
      <c r="E1345" s="1062">
        <v>6.6</v>
      </c>
      <c r="F1345" s="1062">
        <v>5.44</v>
      </c>
      <c r="G1345" s="1062"/>
      <c r="H1345" s="1391">
        <f t="shared" si="57"/>
        <v>35.9</v>
      </c>
    </row>
    <row r="1346" spans="1:8" s="965" customFormat="1">
      <c r="A1346" s="1059"/>
      <c r="B1346" s="1065" t="s">
        <v>6025</v>
      </c>
      <c r="C1346" s="1061">
        <v>1</v>
      </c>
      <c r="D1346" s="1061">
        <v>1</v>
      </c>
      <c r="E1346" s="1062">
        <v>4.79</v>
      </c>
      <c r="F1346" s="1062">
        <v>3.38</v>
      </c>
      <c r="G1346" s="1062"/>
      <c r="H1346" s="1391">
        <f t="shared" si="57"/>
        <v>16.190000000000001</v>
      </c>
    </row>
    <row r="1347" spans="1:8" s="965" customFormat="1">
      <c r="A1347" s="1059"/>
      <c r="B1347" s="1065" t="s">
        <v>5274</v>
      </c>
      <c r="C1347" s="1061">
        <v>1</v>
      </c>
      <c r="D1347" s="1061">
        <v>1</v>
      </c>
      <c r="E1347" s="1062">
        <v>4.26</v>
      </c>
      <c r="F1347" s="1062">
        <v>3.66</v>
      </c>
      <c r="G1347" s="1062"/>
      <c r="H1347" s="1391">
        <f t="shared" si="57"/>
        <v>15.59</v>
      </c>
    </row>
    <row r="1348" spans="1:8" s="965" customFormat="1">
      <c r="A1348" s="1059"/>
      <c r="B1348" s="1065" t="s">
        <v>5626</v>
      </c>
      <c r="C1348" s="1061">
        <v>1</v>
      </c>
      <c r="D1348" s="1061">
        <v>1</v>
      </c>
      <c r="E1348" s="1062">
        <v>3.05</v>
      </c>
      <c r="F1348" s="1062">
        <v>3.66</v>
      </c>
      <c r="G1348" s="1062"/>
      <c r="H1348" s="1391">
        <f t="shared" si="57"/>
        <v>11.16</v>
      </c>
    </row>
    <row r="1349" spans="1:8" s="965" customFormat="1">
      <c r="A1349" s="1059"/>
      <c r="B1349" s="1076" t="s">
        <v>6019</v>
      </c>
      <c r="C1349" s="1061">
        <v>1</v>
      </c>
      <c r="D1349" s="1061">
        <v>1</v>
      </c>
      <c r="E1349" s="1062">
        <v>1.07</v>
      </c>
      <c r="F1349" s="1062">
        <v>3.66</v>
      </c>
      <c r="G1349" s="1062"/>
      <c r="H1349" s="1063">
        <f t="shared" si="57"/>
        <v>3.92</v>
      </c>
    </row>
    <row r="1350" spans="1:8" s="965" customFormat="1">
      <c r="A1350" s="1059"/>
      <c r="B1350" s="1076" t="s">
        <v>5600</v>
      </c>
      <c r="C1350" s="1061">
        <v>1</v>
      </c>
      <c r="D1350" s="1061">
        <v>1</v>
      </c>
      <c r="E1350" s="1062">
        <v>2.5499999999999998</v>
      </c>
      <c r="F1350" s="1062">
        <v>2.3199999999999998</v>
      </c>
      <c r="G1350" s="1062"/>
      <c r="H1350" s="1063">
        <f t="shared" si="57"/>
        <v>5.92</v>
      </c>
    </row>
    <row r="1351" spans="1:8" s="965" customFormat="1">
      <c r="A1351" s="1059"/>
      <c r="B1351" s="1076" t="s">
        <v>4987</v>
      </c>
      <c r="C1351" s="1061">
        <v>1</v>
      </c>
      <c r="D1351" s="1061">
        <v>2</v>
      </c>
      <c r="E1351" s="1062">
        <v>1.22</v>
      </c>
      <c r="F1351" s="1062">
        <v>1.22</v>
      </c>
      <c r="G1351" s="1062"/>
      <c r="H1351" s="1063">
        <f t="shared" si="57"/>
        <v>2.98</v>
      </c>
    </row>
    <row r="1352" spans="1:8" s="965" customFormat="1">
      <c r="A1352" s="1059"/>
      <c r="B1352" s="1076" t="s">
        <v>6020</v>
      </c>
      <c r="C1352" s="1061">
        <v>1</v>
      </c>
      <c r="D1352" s="1061">
        <v>1</v>
      </c>
      <c r="E1352" s="1062">
        <v>26</v>
      </c>
      <c r="F1352" s="1062" t="s">
        <v>222</v>
      </c>
      <c r="G1352" s="1062"/>
      <c r="H1352" s="1063">
        <f t="shared" si="57"/>
        <v>26</v>
      </c>
    </row>
    <row r="1353" spans="1:8" s="965" customFormat="1">
      <c r="A1353" s="1059"/>
      <c r="B1353" s="1076" t="s">
        <v>6021</v>
      </c>
      <c r="C1353" s="1061">
        <v>1</v>
      </c>
      <c r="D1353" s="1061">
        <v>2</v>
      </c>
      <c r="E1353" s="1062">
        <v>1.41</v>
      </c>
      <c r="F1353" s="1062">
        <v>2.06</v>
      </c>
      <c r="G1353" s="1062"/>
      <c r="H1353" s="1063">
        <f t="shared" si="57"/>
        <v>5.81</v>
      </c>
    </row>
    <row r="1354" spans="1:8" s="965" customFormat="1">
      <c r="A1354" s="1059"/>
      <c r="B1354" s="1076" t="s">
        <v>5230</v>
      </c>
      <c r="C1354" s="1061">
        <v>1</v>
      </c>
      <c r="D1354" s="1061">
        <v>1</v>
      </c>
      <c r="E1354" s="1062">
        <v>8.91</v>
      </c>
      <c r="F1354" s="1062">
        <v>3.78</v>
      </c>
      <c r="G1354" s="1062"/>
      <c r="H1354" s="1063">
        <f t="shared" si="57"/>
        <v>33.68</v>
      </c>
    </row>
    <row r="1355" spans="1:8" s="965" customFormat="1">
      <c r="A1355" s="1059"/>
      <c r="B1355" s="1076"/>
      <c r="C1355" s="1061">
        <v>1</v>
      </c>
      <c r="D1355" s="1061">
        <v>1</v>
      </c>
      <c r="E1355" s="1062">
        <v>3.77</v>
      </c>
      <c r="F1355" s="1062">
        <v>4.42</v>
      </c>
      <c r="G1355" s="1062"/>
      <c r="H1355" s="1063">
        <f t="shared" si="57"/>
        <v>16.66</v>
      </c>
    </row>
    <row r="1356" spans="1:8" s="965" customFormat="1">
      <c r="A1356" s="1059"/>
      <c r="B1356" s="1076" t="s">
        <v>5617</v>
      </c>
      <c r="C1356" s="1061">
        <v>1</v>
      </c>
      <c r="D1356" s="1061">
        <v>1</v>
      </c>
      <c r="E1356" s="1062">
        <v>4.2699999999999996</v>
      </c>
      <c r="F1356" s="1062">
        <v>3.08</v>
      </c>
      <c r="G1356" s="1062"/>
      <c r="H1356" s="1063">
        <f t="shared" si="57"/>
        <v>13.15</v>
      </c>
    </row>
    <row r="1357" spans="1:8" s="965" customFormat="1">
      <c r="A1357" s="1059"/>
      <c r="B1357" s="1076" t="s">
        <v>5227</v>
      </c>
      <c r="C1357" s="1061">
        <v>1</v>
      </c>
      <c r="D1357" s="1061">
        <v>1</v>
      </c>
      <c r="E1357" s="1062">
        <v>9</v>
      </c>
      <c r="F1357" s="1062">
        <v>13.57</v>
      </c>
      <c r="G1357" s="1062"/>
      <c r="H1357" s="1063">
        <f t="shared" si="57"/>
        <v>122.13</v>
      </c>
    </row>
    <row r="1358" spans="1:8" s="965" customFormat="1">
      <c r="A1358" s="1059"/>
      <c r="B1358" s="1065" t="s">
        <v>5575</v>
      </c>
      <c r="C1358" s="1066">
        <v>1</v>
      </c>
      <c r="D1358" s="1066">
        <v>15</v>
      </c>
      <c r="E1358" s="1062">
        <v>1.96</v>
      </c>
      <c r="F1358" s="1066">
        <v>0.6</v>
      </c>
      <c r="G1358" s="1066"/>
      <c r="H1358" s="1087">
        <f t="shared" si="57"/>
        <v>17.64</v>
      </c>
    </row>
    <row r="1359" spans="1:8" s="965" customFormat="1">
      <c r="A1359" s="1059"/>
      <c r="B1359" s="1065" t="s">
        <v>5576</v>
      </c>
      <c r="C1359" s="1066">
        <v>1</v>
      </c>
      <c r="D1359" s="1066">
        <v>3</v>
      </c>
      <c r="E1359" s="1062">
        <v>1.66</v>
      </c>
      <c r="F1359" s="1066">
        <v>0.6</v>
      </c>
      <c r="G1359" s="1066"/>
      <c r="H1359" s="1087">
        <f t="shared" si="57"/>
        <v>2.99</v>
      </c>
    </row>
    <row r="1360" spans="1:8" s="965" customFormat="1">
      <c r="A1360" s="1059"/>
      <c r="B1360" s="1065" t="s">
        <v>5144</v>
      </c>
      <c r="C1360" s="1066">
        <v>1</v>
      </c>
      <c r="D1360" s="1066">
        <v>1</v>
      </c>
      <c r="E1360" s="1062">
        <v>2.59</v>
      </c>
      <c r="F1360" s="1066">
        <v>4.22</v>
      </c>
      <c r="G1360" s="1062"/>
      <c r="H1360" s="1063">
        <f t="shared" si="57"/>
        <v>10.93</v>
      </c>
    </row>
    <row r="1361" spans="1:8" s="965" customFormat="1">
      <c r="A1361" s="1059"/>
      <c r="B1361" s="1065" t="s">
        <v>5145</v>
      </c>
      <c r="C1361" s="1066">
        <v>1</v>
      </c>
      <c r="D1361" s="1066">
        <v>2</v>
      </c>
      <c r="E1361" s="1062">
        <v>1.83</v>
      </c>
      <c r="F1361" s="1066">
        <v>3.83</v>
      </c>
      <c r="G1361" s="1062"/>
      <c r="H1361" s="1063">
        <f t="shared" si="57"/>
        <v>14.02</v>
      </c>
    </row>
    <row r="1362" spans="1:8" s="965" customFormat="1">
      <c r="A1362" s="1059"/>
      <c r="B1362" s="1065" t="s">
        <v>5146</v>
      </c>
      <c r="C1362" s="1066">
        <v>1</v>
      </c>
      <c r="D1362" s="1066">
        <v>1</v>
      </c>
      <c r="E1362" s="1062">
        <v>14</v>
      </c>
      <c r="F1362" s="1062">
        <v>1.75</v>
      </c>
      <c r="G1362" s="1062"/>
      <c r="H1362" s="1063">
        <f t="shared" si="57"/>
        <v>24.5</v>
      </c>
    </row>
    <row r="1363" spans="1:8" s="965" customFormat="1">
      <c r="A1363" s="1059"/>
      <c r="B1363" s="1065" t="s">
        <v>6012</v>
      </c>
      <c r="C1363" s="1066">
        <v>1</v>
      </c>
      <c r="D1363" s="1066">
        <v>2</v>
      </c>
      <c r="E1363" s="1062">
        <v>1</v>
      </c>
      <c r="F1363" s="1066">
        <v>0.6</v>
      </c>
      <c r="G1363" s="1066"/>
      <c r="H1363" s="1087">
        <f t="shared" si="57"/>
        <v>1.2</v>
      </c>
    </row>
    <row r="1364" spans="1:8" s="965" customFormat="1">
      <c r="A1364" s="1059"/>
      <c r="B1364" s="1067" t="s">
        <v>5632</v>
      </c>
      <c r="C1364" s="1066"/>
      <c r="D1364" s="1066"/>
      <c r="E1364" s="1062"/>
      <c r="F1364" s="1066"/>
      <c r="G1364" s="1066"/>
      <c r="H1364" s="1087"/>
    </row>
    <row r="1365" spans="1:8" s="965" customFormat="1">
      <c r="A1365" s="1059"/>
      <c r="B1365" s="1065" t="s">
        <v>4984</v>
      </c>
      <c r="C1365" s="1066">
        <v>1</v>
      </c>
      <c r="D1365" s="1066">
        <v>1</v>
      </c>
      <c r="E1365" s="1062">
        <v>6.05</v>
      </c>
      <c r="F1365" s="1066">
        <v>5.59</v>
      </c>
      <c r="G1365" s="1066"/>
      <c r="H1365" s="1087">
        <f t="shared" si="57"/>
        <v>33.82</v>
      </c>
    </row>
    <row r="1366" spans="1:8" s="965" customFormat="1">
      <c r="A1366" s="1059"/>
      <c r="B1366" s="1065" t="s">
        <v>5575</v>
      </c>
      <c r="C1366" s="1066">
        <v>1</v>
      </c>
      <c r="D1366" s="1066">
        <v>1</v>
      </c>
      <c r="E1366" s="1062">
        <v>1.46</v>
      </c>
      <c r="F1366" s="1066">
        <v>0.6</v>
      </c>
      <c r="G1366" s="1066"/>
      <c r="H1366" s="1087">
        <f>PRODUCT(C1366:G1366)</f>
        <v>0.88</v>
      </c>
    </row>
    <row r="1367" spans="1:8" s="965" customFormat="1">
      <c r="A1367" s="1059"/>
      <c r="B1367" s="1065" t="s">
        <v>6026</v>
      </c>
      <c r="C1367" s="1066">
        <v>1</v>
      </c>
      <c r="D1367" s="1066">
        <v>1</v>
      </c>
      <c r="E1367" s="1062">
        <v>2.91</v>
      </c>
      <c r="F1367" s="1066">
        <v>1.96</v>
      </c>
      <c r="G1367" s="1066"/>
      <c r="H1367" s="1087">
        <f t="shared" si="57"/>
        <v>5.7</v>
      </c>
    </row>
    <row r="1368" spans="1:8" s="965" customFormat="1">
      <c r="A1368" s="1059"/>
      <c r="B1368" s="1076" t="s">
        <v>1797</v>
      </c>
      <c r="C1368" s="1061"/>
      <c r="D1368" s="1061"/>
      <c r="E1368" s="1062"/>
      <c r="F1368" s="1062"/>
      <c r="G1368" s="1058"/>
      <c r="H1368" s="1077">
        <f>SUM(H1286:H1367)</f>
        <v>1466.21</v>
      </c>
    </row>
    <row r="1369" spans="1:8" s="965" customFormat="1">
      <c r="A1369" s="1059"/>
      <c r="B1369" s="1064"/>
      <c r="C1369" s="1061"/>
      <c r="D1369" s="1061"/>
      <c r="E1369" s="1062"/>
      <c r="F1369" s="1072" t="s">
        <v>4121</v>
      </c>
      <c r="G1369" s="1100">
        <f>ROUNDUP(H1368,1)</f>
        <v>1466.3</v>
      </c>
      <c r="H1369" s="1074" t="s">
        <v>2199</v>
      </c>
    </row>
    <row r="1370" spans="1:8" s="965" customFormat="1">
      <c r="A1370" s="1059"/>
      <c r="B1370" s="1064"/>
      <c r="C1370" s="1061"/>
      <c r="D1370" s="1061"/>
      <c r="E1370" s="1062"/>
      <c r="F1370" s="1062"/>
      <c r="G1370" s="1062"/>
      <c r="H1370" s="1063"/>
    </row>
    <row r="1371" spans="1:8" s="965" customFormat="1">
      <c r="A1371" s="1059" t="s">
        <v>5395</v>
      </c>
      <c r="B1371" s="1075" t="s">
        <v>5396</v>
      </c>
      <c r="C1371" s="1061"/>
      <c r="D1371" s="1061"/>
      <c r="E1371" s="1062"/>
      <c r="F1371" s="1062"/>
      <c r="G1371" s="1062"/>
      <c r="H1371" s="1063"/>
    </row>
    <row r="1372" spans="1:8" s="965" customFormat="1">
      <c r="A1372" s="1059"/>
      <c r="B1372" s="1075" t="s">
        <v>5397</v>
      </c>
      <c r="C1372" s="1061"/>
      <c r="D1372" s="1061"/>
      <c r="E1372" s="1062"/>
      <c r="F1372" s="1062"/>
      <c r="G1372" s="1062"/>
      <c r="H1372" s="1077"/>
    </row>
    <row r="1373" spans="1:8" s="965" customFormat="1">
      <c r="A1373" s="1059"/>
      <c r="B1373" s="1076" t="s">
        <v>6027</v>
      </c>
      <c r="C1373" s="1061">
        <v>1</v>
      </c>
      <c r="D1373" s="1061">
        <v>1</v>
      </c>
      <c r="E1373" s="1062">
        <v>112.3</v>
      </c>
      <c r="F1373" s="1062"/>
      <c r="G1373" s="1062"/>
      <c r="H1373" s="1087">
        <f>PRODUCT(C1373:G1373)</f>
        <v>112.3</v>
      </c>
    </row>
    <row r="1374" spans="1:8" s="965" customFormat="1">
      <c r="A1374" s="1059"/>
      <c r="B1374" s="1076" t="s">
        <v>6028</v>
      </c>
      <c r="C1374" s="1061">
        <v>1</v>
      </c>
      <c r="D1374" s="1061">
        <v>1</v>
      </c>
      <c r="E1374" s="1062">
        <v>25.26</v>
      </c>
      <c r="F1374" s="1062"/>
      <c r="G1374" s="1062"/>
      <c r="H1374" s="1087">
        <f>PRODUCT(C1374:G1374)</f>
        <v>25.26</v>
      </c>
    </row>
    <row r="1375" spans="1:8" s="965" customFormat="1">
      <c r="A1375" s="1059"/>
      <c r="B1375" s="1075"/>
      <c r="C1375" s="1061"/>
      <c r="D1375" s="1061"/>
      <c r="E1375" s="1062"/>
      <c r="F1375" s="1062"/>
      <c r="G1375" s="1062"/>
      <c r="H1375" s="1077">
        <f>SUM(H1373:H1374)</f>
        <v>137.56</v>
      </c>
    </row>
    <row r="1376" spans="1:8" s="965" customFormat="1">
      <c r="A1376" s="1059"/>
      <c r="B1376" s="1064"/>
      <c r="C1376" s="1061"/>
      <c r="D1376" s="1061"/>
      <c r="E1376" s="1062"/>
      <c r="F1376" s="1072" t="s">
        <v>4121</v>
      </c>
      <c r="G1376" s="1111">
        <f>ROUNDUP(H1375,1)</f>
        <v>137.6</v>
      </c>
      <c r="H1376" s="1074" t="s">
        <v>2199</v>
      </c>
    </row>
    <row r="1377" spans="1:8" s="965" customFormat="1">
      <c r="A1377" s="1059"/>
      <c r="B1377" s="1060" t="s">
        <v>5398</v>
      </c>
      <c r="C1377" s="1061">
        <v>2</v>
      </c>
      <c r="D1377" s="1061">
        <v>2</v>
      </c>
      <c r="E1377" s="1062">
        <v>41</v>
      </c>
      <c r="F1377" s="1062"/>
      <c r="G1377" s="1062"/>
      <c r="H1377" s="1077"/>
    </row>
    <row r="1378" spans="1:8" s="965" customFormat="1">
      <c r="A1378" s="1059"/>
      <c r="B1378" s="1076" t="s">
        <v>6027</v>
      </c>
      <c r="C1378" s="1061">
        <v>1</v>
      </c>
      <c r="D1378" s="1061">
        <v>1</v>
      </c>
      <c r="E1378" s="1062">
        <v>112.3</v>
      </c>
      <c r="F1378" s="1062"/>
      <c r="G1378" s="1062"/>
      <c r="H1378" s="1087">
        <f>PRODUCT(C1378:G1378)</f>
        <v>112.3</v>
      </c>
    </row>
    <row r="1379" spans="1:8" s="965" customFormat="1">
      <c r="A1379" s="1059"/>
      <c r="B1379" s="1076" t="s">
        <v>6028</v>
      </c>
      <c r="C1379" s="1061">
        <v>1</v>
      </c>
      <c r="D1379" s="1061">
        <v>1</v>
      </c>
      <c r="E1379" s="1062">
        <v>25.26</v>
      </c>
      <c r="F1379" s="1062"/>
      <c r="G1379" s="1062"/>
      <c r="H1379" s="1087">
        <f>PRODUCT(C1379:G1379)</f>
        <v>25.26</v>
      </c>
    </row>
    <row r="1380" spans="1:8" s="965" customFormat="1">
      <c r="A1380" s="1059"/>
      <c r="B1380" s="1060"/>
      <c r="C1380" s="1061"/>
      <c r="D1380" s="1061"/>
      <c r="E1380" s="1062"/>
      <c r="F1380" s="1062"/>
      <c r="G1380" s="1062"/>
      <c r="H1380" s="1077">
        <f>SUM(H1378:H1379)</f>
        <v>137.56</v>
      </c>
    </row>
    <row r="1381" spans="1:8" s="965" customFormat="1">
      <c r="A1381" s="1059"/>
      <c r="B1381" s="1064"/>
      <c r="C1381" s="1061"/>
      <c r="D1381" s="1061"/>
      <c r="E1381" s="1062"/>
      <c r="F1381" s="1072" t="s">
        <v>4121</v>
      </c>
      <c r="G1381" s="1111">
        <f>ROUNDUP(H1380,1)</f>
        <v>137.6</v>
      </c>
      <c r="H1381" s="1074" t="s">
        <v>2199</v>
      </c>
    </row>
    <row r="1382" spans="1:8" s="965" customFormat="1">
      <c r="A1382" s="1059"/>
      <c r="B1382" s="1060" t="s">
        <v>5399</v>
      </c>
      <c r="C1382" s="1061"/>
      <c r="D1382" s="1061"/>
      <c r="E1382" s="1062"/>
      <c r="F1382" s="1062"/>
      <c r="G1382" s="1062"/>
      <c r="H1382" s="1063"/>
    </row>
    <row r="1383" spans="1:8" s="965" customFormat="1">
      <c r="A1383" s="1059"/>
      <c r="B1383" s="1076" t="s">
        <v>6027</v>
      </c>
      <c r="C1383" s="1061">
        <v>1</v>
      </c>
      <c r="D1383" s="1061">
        <v>1</v>
      </c>
      <c r="E1383" s="1062">
        <v>112.3</v>
      </c>
      <c r="F1383" s="1062"/>
      <c r="G1383" s="1062"/>
      <c r="H1383" s="1087">
        <f>PRODUCT(C1383:G1383)</f>
        <v>112.3</v>
      </c>
    </row>
    <row r="1384" spans="1:8" s="965" customFormat="1">
      <c r="A1384" s="1059"/>
      <c r="B1384" s="1076" t="s">
        <v>6028</v>
      </c>
      <c r="C1384" s="1061">
        <v>1</v>
      </c>
      <c r="D1384" s="1061">
        <v>1</v>
      </c>
      <c r="E1384" s="1062">
        <v>25.26</v>
      </c>
      <c r="F1384" s="1062"/>
      <c r="G1384" s="1062"/>
      <c r="H1384" s="1087">
        <f>PRODUCT(C1384:G1384)</f>
        <v>25.26</v>
      </c>
    </row>
    <row r="1385" spans="1:8" s="965" customFormat="1">
      <c r="A1385" s="1059"/>
      <c r="B1385" s="1064"/>
      <c r="C1385" s="1061"/>
      <c r="D1385" s="1061"/>
      <c r="E1385" s="1062"/>
      <c r="F1385" s="1062"/>
      <c r="G1385" s="1062"/>
      <c r="H1385" s="1077">
        <f>SUM(H1383:H1384)</f>
        <v>137.56</v>
      </c>
    </row>
    <row r="1386" spans="1:8" s="965" customFormat="1">
      <c r="A1386" s="1059" t="s">
        <v>5400</v>
      </c>
      <c r="B1386" s="1075" t="s">
        <v>5401</v>
      </c>
      <c r="C1386" s="1061"/>
      <c r="D1386" s="1061"/>
      <c r="E1386" s="1062"/>
      <c r="F1386" s="1072" t="s">
        <v>4121</v>
      </c>
      <c r="G1386" s="1100">
        <f>ROUNDUP(H1385,1)</f>
        <v>137.6</v>
      </c>
      <c r="H1386" s="1074" t="s">
        <v>2199</v>
      </c>
    </row>
    <row r="1387" spans="1:8" s="965" customFormat="1">
      <c r="A1387" s="1059"/>
      <c r="B1387" s="1076" t="s">
        <v>5402</v>
      </c>
      <c r="C1387" s="1061"/>
      <c r="D1387" s="1061"/>
      <c r="E1387" s="1062"/>
      <c r="F1387" s="1062"/>
      <c r="G1387" s="1062">
        <f>G1369</f>
        <v>1466.3</v>
      </c>
      <c r="H1387" s="1077" t="str">
        <f>H1369</f>
        <v>Sqm</v>
      </c>
    </row>
    <row r="1388" spans="1:8" s="965" customFormat="1">
      <c r="A1388" s="1059"/>
      <c r="B1388" s="1064"/>
      <c r="C1388" s="1061"/>
      <c r="D1388" s="1061"/>
      <c r="E1388" s="1062"/>
      <c r="F1388" s="1062"/>
      <c r="G1388" s="1062"/>
      <c r="H1388" s="1063"/>
    </row>
    <row r="1389" spans="1:8" s="965" customFormat="1">
      <c r="A1389" s="1059" t="s">
        <v>5403</v>
      </c>
      <c r="B1389" s="1075" t="s">
        <v>5404</v>
      </c>
      <c r="C1389" s="1061"/>
      <c r="D1389" s="1061"/>
      <c r="E1389" s="1062"/>
      <c r="F1389" s="1062"/>
      <c r="G1389" s="1062"/>
      <c r="H1389" s="1063"/>
    </row>
    <row r="1390" spans="1:8" s="965" customFormat="1">
      <c r="A1390" s="1059"/>
      <c r="B1390" s="1076" t="s">
        <v>5405</v>
      </c>
      <c r="C1390" s="1061"/>
      <c r="D1390" s="1061"/>
      <c r="E1390" s="1062"/>
      <c r="F1390" s="1062"/>
      <c r="G1390" s="1062"/>
      <c r="H1390" s="1063">
        <f>H1500</f>
        <v>2472.89</v>
      </c>
    </row>
    <row r="1391" spans="1:8" s="965" customFormat="1">
      <c r="A1391" s="1059"/>
      <c r="B1391" s="1076" t="s">
        <v>5406</v>
      </c>
      <c r="C1391" s="1061"/>
      <c r="D1391" s="1061"/>
      <c r="E1391" s="1062"/>
      <c r="F1391" s="1062"/>
      <c r="G1391" s="1062"/>
      <c r="H1391" s="1063">
        <v>22.98</v>
      </c>
    </row>
    <row r="1392" spans="1:8" s="965" customFormat="1">
      <c r="A1392" s="1059"/>
      <c r="B1392" s="1076" t="s">
        <v>5407</v>
      </c>
      <c r="C1392" s="1061">
        <v>1</v>
      </c>
      <c r="D1392" s="1061">
        <v>2</v>
      </c>
      <c r="E1392" s="1062">
        <v>23.4</v>
      </c>
      <c r="F1392" s="1062"/>
      <c r="G1392" s="1062"/>
      <c r="H1392" s="1063">
        <f>PRODUCT(C1392:G1392)</f>
        <v>46.8</v>
      </c>
    </row>
    <row r="1393" spans="1:8" s="965" customFormat="1">
      <c r="A1393" s="1059"/>
      <c r="B1393" s="1076" t="s">
        <v>1797</v>
      </c>
      <c r="C1393" s="1061"/>
      <c r="D1393" s="1061"/>
      <c r="E1393" s="1062"/>
      <c r="F1393" s="1062"/>
      <c r="G1393" s="1062"/>
      <c r="H1393" s="1063">
        <v>0.1</v>
      </c>
    </row>
    <row r="1394" spans="1:8" s="965" customFormat="1">
      <c r="A1394" s="1059"/>
      <c r="B1394" s="1064"/>
      <c r="C1394" s="1061"/>
      <c r="D1394" s="1061"/>
      <c r="E1394" s="1062"/>
      <c r="F1394" s="1062"/>
      <c r="G1394" s="1062"/>
      <c r="H1394" s="1077">
        <f>SUM(H1390:H1393)</f>
        <v>2542.77</v>
      </c>
    </row>
    <row r="1395" spans="1:8" s="965" customFormat="1">
      <c r="A1395" s="1059"/>
      <c r="B1395" s="1067" t="s">
        <v>5408</v>
      </c>
      <c r="C1395" s="1110"/>
      <c r="D1395" s="1110"/>
      <c r="E1395" s="1087"/>
      <c r="F1395" s="1072" t="s">
        <v>4121</v>
      </c>
      <c r="G1395" s="1100">
        <f>ROUNDUP(H1394,1)</f>
        <v>2542.8000000000002</v>
      </c>
      <c r="H1395" s="1074" t="s">
        <v>2199</v>
      </c>
    </row>
    <row r="1396" spans="1:8" s="716" customFormat="1">
      <c r="A1396" s="1059"/>
      <c r="B1396" s="1067" t="s">
        <v>5591</v>
      </c>
      <c r="C1396" s="1065"/>
      <c r="D1396" s="1065"/>
      <c r="E1396" s="1087"/>
      <c r="F1396" s="1065"/>
      <c r="G1396" s="1065"/>
      <c r="H1396" s="1087">
        <f t="shared" ref="H1396:H1425" si="58">PRODUCT(C1396:G1396)</f>
        <v>0</v>
      </c>
    </row>
    <row r="1397" spans="1:8" s="716" customFormat="1">
      <c r="A1397" s="1059"/>
      <c r="B1397" s="1065" t="s">
        <v>5518</v>
      </c>
      <c r="C1397" s="1065">
        <v>1</v>
      </c>
      <c r="D1397" s="1065">
        <v>1</v>
      </c>
      <c r="E1397" s="1087">
        <v>12.2</v>
      </c>
      <c r="F1397" s="1065"/>
      <c r="G1397" s="1065">
        <v>3.18</v>
      </c>
      <c r="H1397" s="1087">
        <f t="shared" si="58"/>
        <v>38.799999999999997</v>
      </c>
    </row>
    <row r="1398" spans="1:8" s="716" customFormat="1">
      <c r="A1398" s="1059"/>
      <c r="B1398" s="1065" t="s">
        <v>5497</v>
      </c>
      <c r="C1398" s="1065">
        <v>1</v>
      </c>
      <c r="D1398" s="1065">
        <v>1</v>
      </c>
      <c r="E1398" s="1087">
        <v>12.96</v>
      </c>
      <c r="F1398" s="1065"/>
      <c r="G1398" s="1065">
        <v>3.18</v>
      </c>
      <c r="H1398" s="1087">
        <f t="shared" si="58"/>
        <v>41.21</v>
      </c>
    </row>
    <row r="1399" spans="1:8" s="716" customFormat="1">
      <c r="A1399" s="1059"/>
      <c r="B1399" s="1065" t="s">
        <v>5592</v>
      </c>
      <c r="C1399" s="1065">
        <v>1</v>
      </c>
      <c r="D1399" s="1065">
        <v>1</v>
      </c>
      <c r="E1399" s="1087">
        <v>13.95</v>
      </c>
      <c r="F1399" s="1065"/>
      <c r="G1399" s="1065">
        <v>3.18</v>
      </c>
      <c r="H1399" s="1087">
        <f t="shared" si="58"/>
        <v>44.36</v>
      </c>
    </row>
    <row r="1400" spans="1:8" s="716" customFormat="1">
      <c r="A1400" s="1059"/>
      <c r="B1400" s="1065" t="s">
        <v>5593</v>
      </c>
      <c r="C1400" s="1065">
        <v>1</v>
      </c>
      <c r="D1400" s="1065">
        <v>1</v>
      </c>
      <c r="E1400" s="1087">
        <v>7.16</v>
      </c>
      <c r="F1400" s="1065"/>
      <c r="G1400" s="1065">
        <v>3.18</v>
      </c>
      <c r="H1400" s="1087">
        <f t="shared" si="58"/>
        <v>22.77</v>
      </c>
    </row>
    <row r="1401" spans="1:8" s="716" customFormat="1">
      <c r="A1401" s="1059"/>
      <c r="B1401" s="1065" t="s">
        <v>5594</v>
      </c>
      <c r="C1401" s="1065">
        <v>1</v>
      </c>
      <c r="D1401" s="1065">
        <v>1</v>
      </c>
      <c r="E1401" s="1087">
        <v>10.82</v>
      </c>
      <c r="F1401" s="1065"/>
      <c r="G1401" s="1065">
        <v>3.18</v>
      </c>
      <c r="H1401" s="1087">
        <f t="shared" si="58"/>
        <v>34.409999999999997</v>
      </c>
    </row>
    <row r="1402" spans="1:8" s="716" customFormat="1">
      <c r="A1402" s="1059"/>
      <c r="B1402" s="1065" t="s">
        <v>5595</v>
      </c>
      <c r="C1402" s="1065">
        <v>1</v>
      </c>
      <c r="D1402" s="1065">
        <v>2</v>
      </c>
      <c r="E1402" s="1087">
        <v>7.38</v>
      </c>
      <c r="F1402" s="1065"/>
      <c r="G1402" s="1065">
        <v>3.18</v>
      </c>
      <c r="H1402" s="1087">
        <f t="shared" si="58"/>
        <v>46.94</v>
      </c>
    </row>
    <row r="1403" spans="1:8" s="716" customFormat="1">
      <c r="A1403" s="1059"/>
      <c r="B1403" s="1065" t="s">
        <v>5596</v>
      </c>
      <c r="C1403" s="1065">
        <v>1</v>
      </c>
      <c r="D1403" s="1065">
        <v>1</v>
      </c>
      <c r="E1403" s="1087">
        <v>15</v>
      </c>
      <c r="F1403" s="1065"/>
      <c r="G1403" s="1065">
        <v>3.18</v>
      </c>
      <c r="H1403" s="1087">
        <f t="shared" si="58"/>
        <v>47.7</v>
      </c>
    </row>
    <row r="1404" spans="1:8" s="716" customFormat="1">
      <c r="A1404" s="1059"/>
      <c r="B1404" s="1065" t="s">
        <v>5125</v>
      </c>
      <c r="C1404" s="1065">
        <v>1</v>
      </c>
      <c r="D1404" s="1065">
        <v>1</v>
      </c>
      <c r="E1404" s="1087">
        <v>2.73</v>
      </c>
      <c r="F1404" s="1065"/>
      <c r="G1404" s="1065">
        <v>3.18</v>
      </c>
      <c r="H1404" s="1087">
        <f t="shared" si="58"/>
        <v>8.68</v>
      </c>
    </row>
    <row r="1405" spans="1:8" s="716" customFormat="1">
      <c r="A1405" s="1059"/>
      <c r="B1405" s="1065" t="s">
        <v>5597</v>
      </c>
      <c r="C1405" s="1065">
        <v>1</v>
      </c>
      <c r="D1405" s="1065">
        <v>1</v>
      </c>
      <c r="E1405" s="1087">
        <v>6.82</v>
      </c>
      <c r="F1405" s="1065"/>
      <c r="G1405" s="1065">
        <v>3.18</v>
      </c>
      <c r="H1405" s="1087">
        <f t="shared" si="58"/>
        <v>21.69</v>
      </c>
    </row>
    <row r="1406" spans="1:8" s="716" customFormat="1">
      <c r="A1406" s="1059"/>
      <c r="B1406" s="1065" t="s">
        <v>5598</v>
      </c>
      <c r="C1406" s="1065">
        <v>1</v>
      </c>
      <c r="D1406" s="1065">
        <v>1</v>
      </c>
      <c r="E1406" s="1087">
        <v>13.51</v>
      </c>
      <c r="F1406" s="1065"/>
      <c r="G1406" s="1065">
        <v>3.18</v>
      </c>
      <c r="H1406" s="1087">
        <f t="shared" si="58"/>
        <v>42.96</v>
      </c>
    </row>
    <row r="1407" spans="1:8" s="716" customFormat="1">
      <c r="A1407" s="1059"/>
      <c r="B1407" s="1065" t="s">
        <v>5599</v>
      </c>
      <c r="C1407" s="1065">
        <v>1</v>
      </c>
      <c r="D1407" s="1065">
        <v>1</v>
      </c>
      <c r="E1407" s="1087">
        <v>5.47</v>
      </c>
      <c r="F1407" s="1065"/>
      <c r="G1407" s="1065">
        <v>3.18</v>
      </c>
      <c r="H1407" s="1087">
        <f t="shared" si="58"/>
        <v>17.39</v>
      </c>
    </row>
    <row r="1408" spans="1:8" s="716" customFormat="1">
      <c r="A1408" s="1059"/>
      <c r="B1408" s="1065" t="s">
        <v>5600</v>
      </c>
      <c r="C1408" s="1065">
        <v>1</v>
      </c>
      <c r="D1408" s="1065">
        <v>1</v>
      </c>
      <c r="E1408" s="1087">
        <v>6.1</v>
      </c>
      <c r="F1408" s="1065"/>
      <c r="G1408" s="1065">
        <v>3.18</v>
      </c>
      <c r="H1408" s="1087">
        <f t="shared" si="58"/>
        <v>19.399999999999999</v>
      </c>
    </row>
    <row r="1409" spans="1:8" s="716" customFormat="1">
      <c r="A1409" s="1059"/>
      <c r="B1409" s="1065" t="s">
        <v>5601</v>
      </c>
      <c r="C1409" s="1065">
        <v>1</v>
      </c>
      <c r="D1409" s="1065">
        <v>1</v>
      </c>
      <c r="E1409" s="1087">
        <v>8.4600000000000009</v>
      </c>
      <c r="F1409" s="1065"/>
      <c r="G1409" s="1065">
        <v>3.18</v>
      </c>
      <c r="H1409" s="1087">
        <f t="shared" si="58"/>
        <v>26.9</v>
      </c>
    </row>
    <row r="1410" spans="1:8" s="716" customFormat="1">
      <c r="A1410" s="1059"/>
      <c r="B1410" s="1065" t="s">
        <v>5602</v>
      </c>
      <c r="C1410" s="1065">
        <v>1</v>
      </c>
      <c r="D1410" s="1065">
        <v>1</v>
      </c>
      <c r="E1410" s="1087">
        <v>30.92</v>
      </c>
      <c r="F1410" s="1065"/>
      <c r="G1410" s="1065">
        <v>3.18</v>
      </c>
      <c r="H1410" s="1087">
        <f t="shared" si="58"/>
        <v>98.33</v>
      </c>
    </row>
    <row r="1411" spans="1:8" s="716" customFormat="1">
      <c r="A1411" s="1059"/>
      <c r="B1411" s="1065" t="s">
        <v>5603</v>
      </c>
      <c r="C1411" s="1117">
        <v>1</v>
      </c>
      <c r="D1411" s="1117">
        <v>1</v>
      </c>
      <c r="E1411" s="1117">
        <v>2.2799999999999998</v>
      </c>
      <c r="F1411" s="1062">
        <v>0.6</v>
      </c>
      <c r="G1411" s="1066"/>
      <c r="H1411" s="1063">
        <f t="shared" si="58"/>
        <v>1.37</v>
      </c>
    </row>
    <row r="1412" spans="1:8" s="716" customFormat="1">
      <c r="A1412" s="1059"/>
      <c r="B1412" s="1065" t="s">
        <v>5604</v>
      </c>
      <c r="C1412" s="1065">
        <v>-1</v>
      </c>
      <c r="D1412" s="1065">
        <v>4</v>
      </c>
      <c r="E1412" s="1087">
        <v>1.5</v>
      </c>
      <c r="F1412" s="1065"/>
      <c r="G1412" s="1065">
        <v>2.1</v>
      </c>
      <c r="H1412" s="1063">
        <f t="shared" si="58"/>
        <v>-12.6</v>
      </c>
    </row>
    <row r="1413" spans="1:8" s="716" customFormat="1">
      <c r="A1413" s="1059"/>
      <c r="B1413" s="1065" t="s">
        <v>4983</v>
      </c>
      <c r="C1413" s="1065">
        <v>-1</v>
      </c>
      <c r="D1413" s="1065">
        <v>6</v>
      </c>
      <c r="E1413" s="1087">
        <v>1</v>
      </c>
      <c r="F1413" s="1065"/>
      <c r="G1413" s="1065">
        <v>2.1</v>
      </c>
      <c r="H1413" s="1063">
        <f t="shared" si="58"/>
        <v>-12.6</v>
      </c>
    </row>
    <row r="1414" spans="1:8" s="716" customFormat="1">
      <c r="A1414" s="1059"/>
      <c r="B1414" s="1065" t="s">
        <v>4986</v>
      </c>
      <c r="C1414" s="1065">
        <v>-1</v>
      </c>
      <c r="D1414" s="1065">
        <v>7</v>
      </c>
      <c r="E1414" s="1087">
        <v>1.5</v>
      </c>
      <c r="F1414" s="1065"/>
      <c r="G1414" s="1065">
        <v>1.35</v>
      </c>
      <c r="H1414" s="1063">
        <f t="shared" si="58"/>
        <v>-14.18</v>
      </c>
    </row>
    <row r="1415" spans="1:8" s="716" customFormat="1">
      <c r="A1415" s="1059"/>
      <c r="B1415" s="1065" t="s">
        <v>5172</v>
      </c>
      <c r="C1415" s="1065">
        <v>-1</v>
      </c>
      <c r="D1415" s="1065">
        <v>3</v>
      </c>
      <c r="E1415" s="1087">
        <v>1.2</v>
      </c>
      <c r="F1415" s="1065"/>
      <c r="G1415" s="1065">
        <v>2.1</v>
      </c>
      <c r="H1415" s="1063">
        <f t="shared" si="58"/>
        <v>-7.56</v>
      </c>
    </row>
    <row r="1416" spans="1:8" s="716" customFormat="1">
      <c r="A1416" s="1059"/>
      <c r="B1416" s="1065" t="s">
        <v>5605</v>
      </c>
      <c r="C1416" s="1065">
        <v>1</v>
      </c>
      <c r="D1416" s="1065">
        <v>4</v>
      </c>
      <c r="E1416" s="1087">
        <v>5.7</v>
      </c>
      <c r="F1416" s="1065">
        <v>0.23</v>
      </c>
      <c r="G1416" s="1065"/>
      <c r="H1416" s="1063">
        <f t="shared" si="58"/>
        <v>5.24</v>
      </c>
    </row>
    <row r="1417" spans="1:8" s="716" customFormat="1">
      <c r="A1417" s="1059"/>
      <c r="B1417" s="1065" t="s">
        <v>4983</v>
      </c>
      <c r="C1417" s="1065">
        <v>1</v>
      </c>
      <c r="D1417" s="1065">
        <v>6</v>
      </c>
      <c r="E1417" s="1087">
        <v>5.2</v>
      </c>
      <c r="F1417" s="1065">
        <v>0.23</v>
      </c>
      <c r="G1417" s="1065"/>
      <c r="H1417" s="1063">
        <f t="shared" si="58"/>
        <v>7.18</v>
      </c>
    </row>
    <row r="1418" spans="1:8" s="716" customFormat="1">
      <c r="A1418" s="1059"/>
      <c r="B1418" s="1065" t="s">
        <v>4986</v>
      </c>
      <c r="C1418" s="1065">
        <v>1</v>
      </c>
      <c r="D1418" s="1065">
        <v>7</v>
      </c>
      <c r="E1418" s="1087">
        <v>5.7</v>
      </c>
      <c r="F1418" s="1065">
        <v>0.18</v>
      </c>
      <c r="G1418" s="1065"/>
      <c r="H1418" s="1063">
        <f t="shared" si="58"/>
        <v>7.18</v>
      </c>
    </row>
    <row r="1419" spans="1:8" s="716" customFormat="1">
      <c r="A1419" s="1059"/>
      <c r="B1419" s="1065" t="s">
        <v>5172</v>
      </c>
      <c r="C1419" s="1065">
        <v>1</v>
      </c>
      <c r="D1419" s="1065">
        <v>3</v>
      </c>
      <c r="E1419" s="1087">
        <v>6.6</v>
      </c>
      <c r="F1419" s="1065">
        <v>0.18</v>
      </c>
      <c r="G1419" s="1065"/>
      <c r="H1419" s="1063">
        <f t="shared" si="58"/>
        <v>3.56</v>
      </c>
    </row>
    <row r="1420" spans="1:8" s="716" customFormat="1">
      <c r="A1420" s="1059"/>
      <c r="B1420" s="1065" t="s">
        <v>5167</v>
      </c>
      <c r="C1420" s="1066">
        <v>2</v>
      </c>
      <c r="D1420" s="1066">
        <v>3</v>
      </c>
      <c r="E1420" s="1062">
        <v>0.6</v>
      </c>
      <c r="F1420" s="1087"/>
      <c r="G1420" s="1087">
        <v>2.1</v>
      </c>
      <c r="H1420" s="1063">
        <f t="shared" si="58"/>
        <v>7.56</v>
      </c>
    </row>
    <row r="1421" spans="1:8" s="716" customFormat="1">
      <c r="A1421" s="1059"/>
      <c r="B1421" s="1065" t="s">
        <v>5264</v>
      </c>
      <c r="C1421" s="1066">
        <v>2</v>
      </c>
      <c r="D1421" s="1066">
        <v>1</v>
      </c>
      <c r="E1421" s="1062">
        <v>0.6</v>
      </c>
      <c r="F1421" s="1087"/>
      <c r="G1421" s="1087">
        <v>2.1</v>
      </c>
      <c r="H1421" s="1063">
        <f t="shared" si="58"/>
        <v>2.52</v>
      </c>
    </row>
    <row r="1422" spans="1:8" s="716" customFormat="1">
      <c r="A1422" s="1059"/>
      <c r="B1422" s="1067" t="s">
        <v>5606</v>
      </c>
      <c r="C1422" s="1065"/>
      <c r="D1422" s="1065"/>
      <c r="E1422" s="1087"/>
      <c r="F1422" s="1065"/>
      <c r="G1422" s="1065"/>
      <c r="H1422" s="1063">
        <f t="shared" si="58"/>
        <v>0</v>
      </c>
    </row>
    <row r="1423" spans="1:8" s="716" customFormat="1">
      <c r="A1423" s="1059"/>
      <c r="B1423" s="1065" t="s">
        <v>5607</v>
      </c>
      <c r="C1423" s="1065">
        <v>1</v>
      </c>
      <c r="D1423" s="1065">
        <v>2</v>
      </c>
      <c r="E1423" s="1087">
        <v>19.510000000000002</v>
      </c>
      <c r="F1423" s="1065"/>
      <c r="G1423" s="1065">
        <v>3.18</v>
      </c>
      <c r="H1423" s="1063">
        <f t="shared" si="58"/>
        <v>124.08</v>
      </c>
    </row>
    <row r="1424" spans="1:8" s="716" customFormat="1">
      <c r="A1424" s="1059"/>
      <c r="B1424" s="1065" t="s">
        <v>5504</v>
      </c>
      <c r="C1424" s="1065">
        <v>1</v>
      </c>
      <c r="D1424" s="1065">
        <v>1</v>
      </c>
      <c r="E1424" s="1087">
        <v>17.88</v>
      </c>
      <c r="F1424" s="1065"/>
      <c r="G1424" s="1065">
        <v>3.18</v>
      </c>
      <c r="H1424" s="1063">
        <f t="shared" si="58"/>
        <v>56.86</v>
      </c>
    </row>
    <row r="1425" spans="1:8" s="716" customFormat="1">
      <c r="A1425" s="1059"/>
      <c r="B1425" s="1065" t="s">
        <v>5608</v>
      </c>
      <c r="C1425" s="1065">
        <v>1</v>
      </c>
      <c r="D1425" s="1065">
        <v>1</v>
      </c>
      <c r="E1425" s="1087">
        <v>23.17</v>
      </c>
      <c r="F1425" s="1065"/>
      <c r="G1425" s="1065">
        <v>3.18</v>
      </c>
      <c r="H1425" s="1063">
        <f t="shared" si="58"/>
        <v>73.680000000000007</v>
      </c>
    </row>
    <row r="1426" spans="1:8" s="716" customFormat="1">
      <c r="A1426" s="1059"/>
      <c r="B1426" s="1065" t="s">
        <v>5609</v>
      </c>
      <c r="C1426" s="1065">
        <v>1</v>
      </c>
      <c r="D1426" s="1065">
        <v>1</v>
      </c>
      <c r="E1426" s="1087">
        <v>8.84</v>
      </c>
      <c r="F1426" s="1065"/>
      <c r="G1426" s="1065">
        <v>3.18</v>
      </c>
      <c r="H1426" s="1087">
        <f t="shared" ref="H1426:H1433" si="59">PRODUCT(C1426:G1426)</f>
        <v>28.11</v>
      </c>
    </row>
    <row r="1427" spans="1:8" s="716" customFormat="1">
      <c r="A1427" s="1059"/>
      <c r="B1427" s="1065" t="s">
        <v>5610</v>
      </c>
      <c r="C1427" s="1065">
        <v>1</v>
      </c>
      <c r="D1427" s="1065">
        <v>1</v>
      </c>
      <c r="E1427" s="1087">
        <v>6.38</v>
      </c>
      <c r="F1427" s="1065"/>
      <c r="G1427" s="1065">
        <v>3.18</v>
      </c>
      <c r="H1427" s="1087">
        <f t="shared" si="59"/>
        <v>20.29</v>
      </c>
    </row>
    <row r="1428" spans="1:8" s="716" customFormat="1">
      <c r="A1428" s="1059"/>
      <c r="B1428" s="1065" t="s">
        <v>5601</v>
      </c>
      <c r="C1428" s="1065">
        <v>1</v>
      </c>
      <c r="D1428" s="1065">
        <v>1</v>
      </c>
      <c r="E1428" s="1087">
        <v>10.98</v>
      </c>
      <c r="F1428" s="1065"/>
      <c r="G1428" s="1065">
        <v>3.18</v>
      </c>
      <c r="H1428" s="1087">
        <f t="shared" si="59"/>
        <v>34.92</v>
      </c>
    </row>
    <row r="1429" spans="1:8" s="716" customFormat="1">
      <c r="A1429" s="1059"/>
      <c r="B1429" s="1065" t="s">
        <v>5274</v>
      </c>
      <c r="C1429" s="1065">
        <v>1</v>
      </c>
      <c r="D1429" s="1065">
        <v>1</v>
      </c>
      <c r="E1429" s="1087">
        <v>31.78</v>
      </c>
      <c r="F1429" s="1065"/>
      <c r="G1429" s="1065">
        <v>3.18</v>
      </c>
      <c r="H1429" s="1087">
        <f t="shared" si="59"/>
        <v>101.06</v>
      </c>
    </row>
    <row r="1430" spans="1:8" s="716" customFormat="1">
      <c r="A1430" s="1059"/>
      <c r="B1430" s="1065" t="s">
        <v>5611</v>
      </c>
      <c r="C1430" s="1065">
        <v>1</v>
      </c>
      <c r="D1430" s="1065">
        <v>1</v>
      </c>
      <c r="E1430" s="1087">
        <v>9.6999999999999993</v>
      </c>
      <c r="F1430" s="1065"/>
      <c r="G1430" s="1065">
        <v>3.18</v>
      </c>
      <c r="H1430" s="1087">
        <f t="shared" si="59"/>
        <v>30.85</v>
      </c>
    </row>
    <row r="1431" spans="1:8" s="716" customFormat="1">
      <c r="A1431" s="1059"/>
      <c r="B1431" s="1065" t="s">
        <v>5600</v>
      </c>
      <c r="C1431" s="1065">
        <v>1</v>
      </c>
      <c r="D1431" s="1065">
        <v>1</v>
      </c>
      <c r="E1431" s="1087">
        <v>9.74</v>
      </c>
      <c r="F1431" s="1065"/>
      <c r="G1431" s="1065">
        <v>3.18</v>
      </c>
      <c r="H1431" s="1087">
        <f t="shared" si="59"/>
        <v>30.97</v>
      </c>
    </row>
    <row r="1432" spans="1:8" s="716" customFormat="1">
      <c r="A1432" s="1059"/>
      <c r="B1432" s="1065" t="s">
        <v>4987</v>
      </c>
      <c r="C1432" s="1065">
        <v>1</v>
      </c>
      <c r="D1432" s="1065">
        <v>2</v>
      </c>
      <c r="E1432" s="1087">
        <v>4.88</v>
      </c>
      <c r="F1432" s="1065"/>
      <c r="G1432" s="1065">
        <v>3.18</v>
      </c>
      <c r="H1432" s="1087">
        <f t="shared" si="59"/>
        <v>31.04</v>
      </c>
    </row>
    <row r="1433" spans="1:8" s="716" customFormat="1">
      <c r="A1433" s="1059"/>
      <c r="B1433" s="1065" t="s">
        <v>5612</v>
      </c>
      <c r="C1433" s="1065">
        <v>1</v>
      </c>
      <c r="D1433" s="1065">
        <v>1</v>
      </c>
      <c r="E1433" s="1087">
        <v>11.97</v>
      </c>
      <c r="F1433" s="1065"/>
      <c r="G1433" s="1065">
        <v>3.18</v>
      </c>
      <c r="H1433" s="1087">
        <f t="shared" si="59"/>
        <v>38.06</v>
      </c>
    </row>
    <row r="1434" spans="1:8" s="716" customFormat="1">
      <c r="A1434" s="1059"/>
      <c r="B1434" s="1065" t="s">
        <v>5595</v>
      </c>
      <c r="C1434" s="1065">
        <v>1</v>
      </c>
      <c r="D1434" s="1065">
        <v>2</v>
      </c>
      <c r="E1434" s="1087">
        <v>7.38</v>
      </c>
      <c r="F1434" s="1065"/>
      <c r="G1434" s="1065">
        <v>3.18</v>
      </c>
      <c r="H1434" s="1087">
        <f>PRODUCT(C1434:G1434)</f>
        <v>46.94</v>
      </c>
    </row>
    <row r="1435" spans="1:8" s="716" customFormat="1">
      <c r="A1435" s="1059"/>
      <c r="B1435" s="1065" t="s">
        <v>5596</v>
      </c>
      <c r="C1435" s="1065">
        <v>1</v>
      </c>
      <c r="D1435" s="1065">
        <v>1</v>
      </c>
      <c r="E1435" s="1087">
        <v>15</v>
      </c>
      <c r="F1435" s="1065"/>
      <c r="G1435" s="1065">
        <v>3.18</v>
      </c>
      <c r="H1435" s="1087">
        <f>PRODUCT(C1435:G1435)</f>
        <v>47.7</v>
      </c>
    </row>
    <row r="1436" spans="1:8" s="716" customFormat="1">
      <c r="A1436" s="1059"/>
      <c r="B1436" s="1065" t="s">
        <v>5613</v>
      </c>
      <c r="C1436" s="1065">
        <v>1</v>
      </c>
      <c r="D1436" s="1065">
        <v>1</v>
      </c>
      <c r="E1436" s="1087">
        <v>27.92</v>
      </c>
      <c r="F1436" s="1065"/>
      <c r="G1436" s="1065">
        <v>3.18</v>
      </c>
      <c r="H1436" s="1087">
        <f t="shared" ref="H1436:H1439" si="60">PRODUCT(C1436:G1436)</f>
        <v>88.79</v>
      </c>
    </row>
    <row r="1437" spans="1:8" s="716" customFormat="1">
      <c r="A1437" s="1059"/>
      <c r="B1437" s="1065" t="s">
        <v>5614</v>
      </c>
      <c r="C1437" s="1065">
        <v>-1</v>
      </c>
      <c r="D1437" s="1065">
        <v>1</v>
      </c>
      <c r="E1437" s="1087">
        <v>8.8800000000000008</v>
      </c>
      <c r="F1437" s="1065"/>
      <c r="G1437" s="1065">
        <v>1.42</v>
      </c>
      <c r="H1437" s="1087">
        <f t="shared" si="60"/>
        <v>-12.61</v>
      </c>
    </row>
    <row r="1438" spans="1:8" s="716" customFormat="1">
      <c r="A1438" s="1059"/>
      <c r="B1438" s="1065" t="s">
        <v>5615</v>
      </c>
      <c r="C1438" s="1065">
        <v>1</v>
      </c>
      <c r="D1438" s="1065">
        <v>1</v>
      </c>
      <c r="E1438" s="1087">
        <v>15.98</v>
      </c>
      <c r="F1438" s="1065"/>
      <c r="G1438" s="1065">
        <v>3.18</v>
      </c>
      <c r="H1438" s="1087">
        <f t="shared" si="60"/>
        <v>50.82</v>
      </c>
    </row>
    <row r="1439" spans="1:8" s="716" customFormat="1">
      <c r="A1439" s="1059"/>
      <c r="B1439" s="1065" t="s">
        <v>5616</v>
      </c>
      <c r="C1439" s="1065">
        <v>1</v>
      </c>
      <c r="D1439" s="1065">
        <v>1</v>
      </c>
      <c r="E1439" s="1087">
        <v>4.75</v>
      </c>
      <c r="F1439" s="1065"/>
      <c r="G1439" s="1065">
        <v>3.18</v>
      </c>
      <c r="H1439" s="1087">
        <f t="shared" si="60"/>
        <v>15.11</v>
      </c>
    </row>
    <row r="1440" spans="1:8" s="716" customFormat="1">
      <c r="A1440" s="1059"/>
      <c r="B1440" s="1065" t="s">
        <v>4987</v>
      </c>
      <c r="C1440" s="1065">
        <v>1</v>
      </c>
      <c r="D1440" s="1065">
        <v>2</v>
      </c>
      <c r="E1440" s="1087">
        <v>4.88</v>
      </c>
      <c r="F1440" s="1065"/>
      <c r="G1440" s="1065">
        <v>3.18</v>
      </c>
      <c r="H1440" s="1087">
        <f>PRODUCT(C1440:G1440)</f>
        <v>31.04</v>
      </c>
    </row>
    <row r="1441" spans="1:8" s="716" customFormat="1">
      <c r="A1441" s="1059"/>
      <c r="B1441" s="1065" t="s">
        <v>5617</v>
      </c>
      <c r="C1441" s="1065">
        <v>1</v>
      </c>
      <c r="D1441" s="1065">
        <v>1</v>
      </c>
      <c r="E1441" s="1087">
        <v>12.02</v>
      </c>
      <c r="F1441" s="1065"/>
      <c r="G1441" s="1065">
        <v>3.18</v>
      </c>
      <c r="H1441" s="1087">
        <f t="shared" ref="H1441:H1446" si="61">PRODUCT(C1441:G1441)</f>
        <v>38.22</v>
      </c>
    </row>
    <row r="1442" spans="1:8" s="716" customFormat="1">
      <c r="A1442" s="1059"/>
      <c r="B1442" s="1065" t="s">
        <v>5618</v>
      </c>
      <c r="C1442" s="1065">
        <v>1</v>
      </c>
      <c r="D1442" s="1065">
        <v>1</v>
      </c>
      <c r="E1442" s="1087">
        <v>14.64</v>
      </c>
      <c r="F1442" s="1065"/>
      <c r="G1442" s="1065">
        <v>3.18</v>
      </c>
      <c r="H1442" s="1087">
        <f t="shared" si="61"/>
        <v>46.56</v>
      </c>
    </row>
    <row r="1443" spans="1:8" s="716" customFormat="1">
      <c r="A1443" s="1059"/>
      <c r="B1443" s="1065" t="s">
        <v>5619</v>
      </c>
      <c r="C1443" s="1065">
        <v>1</v>
      </c>
      <c r="D1443" s="1065">
        <v>1</v>
      </c>
      <c r="E1443" s="1087">
        <v>22.72</v>
      </c>
      <c r="F1443" s="1065"/>
      <c r="G1443" s="1065">
        <v>3.18</v>
      </c>
      <c r="H1443" s="1087">
        <f t="shared" si="61"/>
        <v>72.25</v>
      </c>
    </row>
    <row r="1444" spans="1:8" s="716" customFormat="1">
      <c r="A1444" s="1059"/>
      <c r="B1444" s="1065" t="s">
        <v>5620</v>
      </c>
      <c r="C1444" s="1065">
        <v>1</v>
      </c>
      <c r="D1444" s="1065">
        <v>1</v>
      </c>
      <c r="E1444" s="1087">
        <v>20.36</v>
      </c>
      <c r="F1444" s="1065"/>
      <c r="G1444" s="1065">
        <v>3.18</v>
      </c>
      <c r="H1444" s="1087">
        <f t="shared" si="61"/>
        <v>64.739999999999995</v>
      </c>
    </row>
    <row r="1445" spans="1:8" s="716" customFormat="1">
      <c r="A1445" s="1059"/>
      <c r="B1445" s="1065" t="s">
        <v>5621</v>
      </c>
      <c r="C1445" s="1065">
        <v>-2</v>
      </c>
      <c r="D1445" s="1065">
        <v>12</v>
      </c>
      <c r="E1445" s="1087">
        <v>1</v>
      </c>
      <c r="F1445" s="1065"/>
      <c r="G1445" s="1065">
        <v>2.1</v>
      </c>
      <c r="H1445" s="1087">
        <f t="shared" si="61"/>
        <v>-50.4</v>
      </c>
    </row>
    <row r="1446" spans="1:8" s="716" customFormat="1">
      <c r="A1446" s="1059"/>
      <c r="B1446" s="1065" t="s">
        <v>4986</v>
      </c>
      <c r="C1446" s="1065">
        <v>-1</v>
      </c>
      <c r="D1446" s="1065">
        <v>15</v>
      </c>
      <c r="E1446" s="1087">
        <v>1.5</v>
      </c>
      <c r="F1446" s="1065"/>
      <c r="G1446" s="1065">
        <v>1.35</v>
      </c>
      <c r="H1446" s="1087">
        <f t="shared" si="61"/>
        <v>-30.38</v>
      </c>
    </row>
    <row r="1447" spans="1:8" s="716" customFormat="1">
      <c r="A1447" s="1059"/>
      <c r="B1447" s="1065" t="s">
        <v>5172</v>
      </c>
      <c r="C1447" s="1065">
        <v>-1</v>
      </c>
      <c r="D1447" s="1065">
        <v>3</v>
      </c>
      <c r="E1447" s="1087">
        <v>1.2</v>
      </c>
      <c r="F1447" s="1065"/>
      <c r="G1447" s="1065">
        <v>2.1</v>
      </c>
      <c r="H1447" s="1063">
        <f>PRODUCT(C1447:G1447)</f>
        <v>-7.56</v>
      </c>
    </row>
    <row r="1448" spans="1:8" s="716" customFormat="1">
      <c r="A1448" s="1059"/>
      <c r="B1448" s="1065" t="s">
        <v>5622</v>
      </c>
      <c r="C1448" s="1065">
        <v>-1</v>
      </c>
      <c r="D1448" s="1065">
        <v>5</v>
      </c>
      <c r="E1448" s="1087">
        <v>0.75</v>
      </c>
      <c r="F1448" s="1065"/>
      <c r="G1448" s="1065">
        <v>2.1</v>
      </c>
      <c r="H1448" s="1087">
        <f>PRODUCT(C1448:G1448)</f>
        <v>-7.88</v>
      </c>
    </row>
    <row r="1449" spans="1:8" s="716" customFormat="1">
      <c r="A1449" s="1059"/>
      <c r="B1449" s="1065" t="s">
        <v>5623</v>
      </c>
      <c r="C1449" s="1065">
        <v>-1</v>
      </c>
      <c r="D1449" s="1065">
        <v>6</v>
      </c>
      <c r="E1449" s="1087">
        <v>0.9</v>
      </c>
      <c r="F1449" s="1065"/>
      <c r="G1449" s="1065">
        <v>0.6</v>
      </c>
      <c r="H1449" s="1087">
        <f>PRODUCT(C1449:G1449)</f>
        <v>-3.24</v>
      </c>
    </row>
    <row r="1450" spans="1:8" s="716" customFormat="1">
      <c r="A1450" s="1059"/>
      <c r="B1450" s="1065" t="s">
        <v>5624</v>
      </c>
      <c r="C1450" s="1065">
        <v>1</v>
      </c>
      <c r="D1450" s="1065">
        <v>12</v>
      </c>
      <c r="E1450" s="1087">
        <v>5.2</v>
      </c>
      <c r="F1450" s="1065"/>
      <c r="G1450" s="1065">
        <v>0.23</v>
      </c>
      <c r="H1450" s="1087">
        <f>PRODUCT(C1450:G1450)</f>
        <v>14.35</v>
      </c>
    </row>
    <row r="1451" spans="1:8" s="716" customFormat="1">
      <c r="A1451" s="1059"/>
      <c r="B1451" s="1065" t="s">
        <v>4986</v>
      </c>
      <c r="C1451" s="1065">
        <v>1</v>
      </c>
      <c r="D1451" s="1065">
        <v>15</v>
      </c>
      <c r="E1451" s="1087">
        <v>5.7</v>
      </c>
      <c r="F1451" s="1066">
        <v>0.18</v>
      </c>
      <c r="G1451" s="1065"/>
      <c r="H1451" s="1087">
        <f t="shared" ref="H1451:H1452" si="62">PRODUCT(C1451:G1451)</f>
        <v>15.39</v>
      </c>
    </row>
    <row r="1452" spans="1:8" s="716" customFormat="1">
      <c r="A1452" s="1059"/>
      <c r="B1452" s="1065" t="s">
        <v>5623</v>
      </c>
      <c r="C1452" s="1065">
        <v>1</v>
      </c>
      <c r="D1452" s="1065">
        <v>6</v>
      </c>
      <c r="E1452" s="1087">
        <v>3</v>
      </c>
      <c r="F1452" s="1066">
        <v>0.18</v>
      </c>
      <c r="G1452" s="1065"/>
      <c r="H1452" s="1087">
        <f t="shared" si="62"/>
        <v>3.24</v>
      </c>
    </row>
    <row r="1453" spans="1:8" s="716" customFormat="1">
      <c r="A1453" s="1059"/>
      <c r="B1453" s="1065" t="s">
        <v>5625</v>
      </c>
      <c r="C1453" s="1066">
        <v>1</v>
      </c>
      <c r="D1453" s="1066">
        <v>15</v>
      </c>
      <c r="E1453" s="1066">
        <v>1.96</v>
      </c>
      <c r="F1453" s="1066">
        <v>0.6</v>
      </c>
      <c r="G1453" s="1066"/>
      <c r="H1453" s="1063">
        <f t="shared" ref="H1453:H1463" si="63">PRODUCT(C1453:G1453)</f>
        <v>17.64</v>
      </c>
    </row>
    <row r="1454" spans="1:8" s="716" customFormat="1">
      <c r="A1454" s="1059"/>
      <c r="B1454" s="1065" t="s">
        <v>5576</v>
      </c>
      <c r="C1454" s="1066">
        <v>1</v>
      </c>
      <c r="D1454" s="1066">
        <v>3</v>
      </c>
      <c r="E1454" s="1066">
        <v>1.46</v>
      </c>
      <c r="F1454" s="1066">
        <v>0.6</v>
      </c>
      <c r="G1454" s="1066"/>
      <c r="H1454" s="1063">
        <f t="shared" si="63"/>
        <v>2.63</v>
      </c>
    </row>
    <row r="1455" spans="1:8" s="716" customFormat="1">
      <c r="A1455" s="1059"/>
      <c r="B1455" s="1065" t="s">
        <v>5186</v>
      </c>
      <c r="C1455" s="1066">
        <v>1</v>
      </c>
      <c r="D1455" s="1066">
        <v>2</v>
      </c>
      <c r="E1455" s="1066">
        <v>3.66</v>
      </c>
      <c r="F1455" s="1062">
        <v>0.6</v>
      </c>
      <c r="G1455" s="1066"/>
      <c r="H1455" s="1063">
        <f t="shared" si="63"/>
        <v>4.3899999999999997</v>
      </c>
    </row>
    <row r="1456" spans="1:8" s="716" customFormat="1">
      <c r="A1456" s="1059"/>
      <c r="B1456" s="1065" t="s">
        <v>5187</v>
      </c>
      <c r="C1456" s="1066">
        <v>1</v>
      </c>
      <c r="D1456" s="1066">
        <v>1</v>
      </c>
      <c r="E1456" s="1066">
        <v>7.08</v>
      </c>
      <c r="F1456" s="1062">
        <v>0.6</v>
      </c>
      <c r="G1456" s="1066"/>
      <c r="H1456" s="1063">
        <f t="shared" si="63"/>
        <v>4.25</v>
      </c>
    </row>
    <row r="1457" spans="1:8" s="716" customFormat="1">
      <c r="A1457" s="1059"/>
      <c r="B1457" s="1065" t="s">
        <v>5188</v>
      </c>
      <c r="C1457" s="1066">
        <v>1</v>
      </c>
      <c r="D1457" s="1066">
        <v>1</v>
      </c>
      <c r="E1457" s="1066">
        <v>3.08</v>
      </c>
      <c r="F1457" s="1062">
        <v>0.6</v>
      </c>
      <c r="G1457" s="1066"/>
      <c r="H1457" s="1063">
        <f t="shared" si="63"/>
        <v>1.85</v>
      </c>
    </row>
    <row r="1458" spans="1:8" s="716" customFormat="1">
      <c r="A1458" s="1059"/>
      <c r="B1458" s="1065" t="s">
        <v>5189</v>
      </c>
      <c r="C1458" s="1061">
        <v>1</v>
      </c>
      <c r="D1458" s="1061">
        <v>3</v>
      </c>
      <c r="E1458" s="1062">
        <v>1</v>
      </c>
      <c r="F1458" s="1062">
        <v>0.6</v>
      </c>
      <c r="G1458" s="1062"/>
      <c r="H1458" s="1391">
        <f t="shared" si="63"/>
        <v>1.8</v>
      </c>
    </row>
    <row r="1459" spans="1:8" s="716" customFormat="1">
      <c r="A1459" s="1059"/>
      <c r="B1459" s="1076" t="s">
        <v>5267</v>
      </c>
      <c r="C1459" s="1061">
        <v>2</v>
      </c>
      <c r="D1459" s="1061">
        <v>3</v>
      </c>
      <c r="E1459" s="1062">
        <v>0.45</v>
      </c>
      <c r="F1459" s="1072"/>
      <c r="G1459" s="1118">
        <v>2.1</v>
      </c>
      <c r="H1459" s="1391">
        <f t="shared" si="63"/>
        <v>5.67</v>
      </c>
    </row>
    <row r="1460" spans="1:8" s="716" customFormat="1">
      <c r="A1460" s="1059"/>
      <c r="B1460" s="1076" t="s">
        <v>5268</v>
      </c>
      <c r="C1460" s="1061">
        <v>1</v>
      </c>
      <c r="D1460" s="1061">
        <v>3</v>
      </c>
      <c r="E1460" s="1062">
        <v>0.45</v>
      </c>
      <c r="F1460" s="1072"/>
      <c r="G1460" s="1118">
        <v>2.1</v>
      </c>
      <c r="H1460" s="1391">
        <f t="shared" si="63"/>
        <v>2.84</v>
      </c>
    </row>
    <row r="1461" spans="1:8" s="716" customFormat="1">
      <c r="A1461" s="1059"/>
      <c r="B1461" s="1076" t="s">
        <v>5269</v>
      </c>
      <c r="C1461" s="1061">
        <v>1</v>
      </c>
      <c r="D1461" s="1061">
        <v>4</v>
      </c>
      <c r="E1461" s="1062">
        <v>0.45</v>
      </c>
      <c r="F1461" s="1072"/>
      <c r="G1461" s="1118">
        <v>2.1</v>
      </c>
      <c r="H1461" s="1391">
        <f t="shared" si="63"/>
        <v>3.78</v>
      </c>
    </row>
    <row r="1462" spans="1:8" s="716" customFormat="1">
      <c r="A1462" s="1059"/>
      <c r="B1462" s="1076" t="s">
        <v>5270</v>
      </c>
      <c r="C1462" s="1061">
        <v>2</v>
      </c>
      <c r="D1462" s="1061">
        <v>2</v>
      </c>
      <c r="E1462" s="1062">
        <v>0.6</v>
      </c>
      <c r="F1462" s="1072"/>
      <c r="G1462" s="1118">
        <v>1</v>
      </c>
      <c r="H1462" s="1391">
        <f t="shared" si="63"/>
        <v>2.4</v>
      </c>
    </row>
    <row r="1463" spans="1:8" s="716" customFormat="1">
      <c r="A1463" s="1059"/>
      <c r="B1463" s="1076" t="s">
        <v>5271</v>
      </c>
      <c r="C1463" s="1061">
        <v>2</v>
      </c>
      <c r="D1463" s="1061">
        <v>4</v>
      </c>
      <c r="E1463" s="1062">
        <v>0.45</v>
      </c>
      <c r="F1463" s="1072"/>
      <c r="G1463" s="1118">
        <v>2.1</v>
      </c>
      <c r="H1463" s="1391">
        <f t="shared" si="63"/>
        <v>7.56</v>
      </c>
    </row>
    <row r="1464" spans="1:8" s="716" customFormat="1">
      <c r="A1464" s="1059"/>
      <c r="B1464" s="1067" t="s">
        <v>5311</v>
      </c>
      <c r="C1464" s="1065"/>
      <c r="D1464" s="1065"/>
      <c r="E1464" s="1087"/>
      <c r="F1464" s="1065"/>
      <c r="G1464" s="1065"/>
      <c r="H1464" s="1087"/>
    </row>
    <row r="1465" spans="1:8" s="716" customFormat="1">
      <c r="A1465" s="1059"/>
      <c r="B1465" s="1065" t="s">
        <v>5515</v>
      </c>
      <c r="C1465" s="1065">
        <v>1</v>
      </c>
      <c r="D1465" s="1065">
        <v>1</v>
      </c>
      <c r="E1465" s="1087">
        <v>65.7</v>
      </c>
      <c r="F1465" s="1065"/>
      <c r="G1465" s="1065">
        <v>3.18</v>
      </c>
      <c r="H1465" s="1087">
        <f t="shared" ref="H1465:H1499" si="64">PRODUCT(C1465:G1465)</f>
        <v>208.93</v>
      </c>
    </row>
    <row r="1466" spans="1:8" s="716" customFormat="1">
      <c r="A1466" s="1059"/>
      <c r="B1466" s="1065" t="s">
        <v>5274</v>
      </c>
      <c r="C1466" s="1065">
        <v>1</v>
      </c>
      <c r="D1466" s="1065">
        <v>1</v>
      </c>
      <c r="E1466" s="1087">
        <v>15.84</v>
      </c>
      <c r="F1466" s="1065"/>
      <c r="G1466" s="1065">
        <v>3.18</v>
      </c>
      <c r="H1466" s="1087">
        <f t="shared" si="64"/>
        <v>50.37</v>
      </c>
    </row>
    <row r="1467" spans="1:8" s="716" customFormat="1">
      <c r="A1467" s="1059"/>
      <c r="B1467" s="1065" t="s">
        <v>5626</v>
      </c>
      <c r="C1467" s="1065">
        <v>1</v>
      </c>
      <c r="D1467" s="1065">
        <v>1</v>
      </c>
      <c r="E1467" s="1087">
        <v>13.42</v>
      </c>
      <c r="F1467" s="1065"/>
      <c r="G1467" s="1065">
        <v>3.18</v>
      </c>
      <c r="H1467" s="1087">
        <f t="shared" si="64"/>
        <v>42.68</v>
      </c>
    </row>
    <row r="1468" spans="1:8" s="716" customFormat="1">
      <c r="A1468" s="1059"/>
      <c r="B1468" s="1065" t="s">
        <v>5627</v>
      </c>
      <c r="C1468" s="1065">
        <v>1</v>
      </c>
      <c r="D1468" s="1065">
        <v>1</v>
      </c>
      <c r="E1468" s="1087">
        <v>9.4600000000000009</v>
      </c>
      <c r="F1468" s="1065"/>
      <c r="G1468" s="1065">
        <v>3.18</v>
      </c>
      <c r="H1468" s="1087">
        <f t="shared" si="64"/>
        <v>30.08</v>
      </c>
    </row>
    <row r="1469" spans="1:8" s="716" customFormat="1">
      <c r="A1469" s="1059"/>
      <c r="B1469" s="1065" t="s">
        <v>5600</v>
      </c>
      <c r="C1469" s="1065">
        <v>1</v>
      </c>
      <c r="D1469" s="1065">
        <v>1</v>
      </c>
      <c r="E1469" s="1087">
        <v>9.74</v>
      </c>
      <c r="F1469" s="1065"/>
      <c r="G1469" s="1065">
        <v>3.18</v>
      </c>
      <c r="H1469" s="1087">
        <f t="shared" si="64"/>
        <v>30.97</v>
      </c>
    </row>
    <row r="1470" spans="1:8" s="716" customFormat="1">
      <c r="A1470" s="1059"/>
      <c r="B1470" s="1065" t="s">
        <v>4987</v>
      </c>
      <c r="C1470" s="1065">
        <v>1</v>
      </c>
      <c r="D1470" s="1065">
        <v>2</v>
      </c>
      <c r="E1470" s="1087">
        <v>4.88</v>
      </c>
      <c r="F1470" s="1065"/>
      <c r="G1470" s="1065">
        <v>3.18</v>
      </c>
      <c r="H1470" s="1087">
        <f t="shared" si="64"/>
        <v>31.04</v>
      </c>
    </row>
    <row r="1471" spans="1:8" s="716" customFormat="1">
      <c r="A1471" s="1059"/>
      <c r="B1471" s="1065" t="s">
        <v>5595</v>
      </c>
      <c r="C1471" s="1065">
        <v>1</v>
      </c>
      <c r="D1471" s="1065">
        <v>2</v>
      </c>
      <c r="E1471" s="1087">
        <v>7.38</v>
      </c>
      <c r="F1471" s="1065"/>
      <c r="G1471" s="1065">
        <v>3.18</v>
      </c>
      <c r="H1471" s="1087">
        <f t="shared" si="64"/>
        <v>46.94</v>
      </c>
    </row>
    <row r="1472" spans="1:8" s="716" customFormat="1">
      <c r="A1472" s="1059"/>
      <c r="B1472" s="1065" t="s">
        <v>5596</v>
      </c>
      <c r="C1472" s="1065">
        <v>1</v>
      </c>
      <c r="D1472" s="1065">
        <v>1</v>
      </c>
      <c r="E1472" s="1087">
        <v>15</v>
      </c>
      <c r="F1472" s="1065"/>
      <c r="G1472" s="1065">
        <v>3.18</v>
      </c>
      <c r="H1472" s="1087">
        <f t="shared" si="64"/>
        <v>47.7</v>
      </c>
    </row>
    <row r="1473" spans="1:8" s="716" customFormat="1">
      <c r="A1473" s="1059"/>
      <c r="B1473" s="1065" t="s">
        <v>5628</v>
      </c>
      <c r="C1473" s="1065">
        <v>1</v>
      </c>
      <c r="D1473" s="1065">
        <v>1</v>
      </c>
      <c r="E1473" s="1087">
        <v>10.07</v>
      </c>
      <c r="F1473" s="1065"/>
      <c r="G1473" s="1065">
        <v>3.18</v>
      </c>
      <c r="H1473" s="1087">
        <f t="shared" si="64"/>
        <v>32.020000000000003</v>
      </c>
    </row>
    <row r="1474" spans="1:8" s="716" customFormat="1">
      <c r="A1474" s="1059"/>
      <c r="B1474" s="1065" t="s">
        <v>5616</v>
      </c>
      <c r="C1474" s="1065">
        <v>1</v>
      </c>
      <c r="D1474" s="1065">
        <v>1</v>
      </c>
      <c r="E1474" s="1087">
        <v>4.75</v>
      </c>
      <c r="F1474" s="1065"/>
      <c r="G1474" s="1065">
        <v>3.18</v>
      </c>
      <c r="H1474" s="1087">
        <f t="shared" si="64"/>
        <v>15.11</v>
      </c>
    </row>
    <row r="1475" spans="1:8" s="716" customFormat="1">
      <c r="A1475" s="1059"/>
      <c r="B1475" s="1065" t="s">
        <v>4987</v>
      </c>
      <c r="C1475" s="1065">
        <v>1</v>
      </c>
      <c r="D1475" s="1065">
        <v>2</v>
      </c>
      <c r="E1475" s="1087">
        <v>4.88</v>
      </c>
      <c r="F1475" s="1065"/>
      <c r="G1475" s="1065">
        <v>3.18</v>
      </c>
      <c r="H1475" s="1087">
        <f t="shared" si="64"/>
        <v>31.04</v>
      </c>
    </row>
    <row r="1476" spans="1:8" s="716" customFormat="1">
      <c r="A1476" s="1059"/>
      <c r="B1476" s="1065" t="s">
        <v>5617</v>
      </c>
      <c r="C1476" s="1065">
        <v>1</v>
      </c>
      <c r="D1476" s="1065">
        <v>1</v>
      </c>
      <c r="E1476" s="1087">
        <v>12.02</v>
      </c>
      <c r="F1476" s="1065"/>
      <c r="G1476" s="1065">
        <v>3.18</v>
      </c>
      <c r="H1476" s="1087">
        <f t="shared" si="64"/>
        <v>38.22</v>
      </c>
    </row>
    <row r="1477" spans="1:8" s="716" customFormat="1">
      <c r="A1477" s="1059"/>
      <c r="B1477" s="1065" t="s">
        <v>5227</v>
      </c>
      <c r="C1477" s="1065">
        <v>1</v>
      </c>
      <c r="D1477" s="1065">
        <v>1</v>
      </c>
      <c r="E1477" s="1087">
        <v>45.14</v>
      </c>
      <c r="F1477" s="1065"/>
      <c r="G1477" s="1065">
        <v>3.18</v>
      </c>
      <c r="H1477" s="1087">
        <f t="shared" si="64"/>
        <v>143.55000000000001</v>
      </c>
    </row>
    <row r="1478" spans="1:8" s="716" customFormat="1">
      <c r="A1478" s="1059"/>
      <c r="B1478" s="1065" t="s">
        <v>5230</v>
      </c>
      <c r="C1478" s="1065">
        <v>1</v>
      </c>
      <c r="D1478" s="1065">
        <v>1</v>
      </c>
      <c r="E1478" s="1087">
        <v>27.92</v>
      </c>
      <c r="F1478" s="1065"/>
      <c r="G1478" s="1065">
        <v>3.18</v>
      </c>
      <c r="H1478" s="1087">
        <f t="shared" si="64"/>
        <v>88.79</v>
      </c>
    </row>
    <row r="1479" spans="1:8" s="716" customFormat="1">
      <c r="A1479" s="1059"/>
      <c r="B1479" s="1065" t="s">
        <v>5629</v>
      </c>
      <c r="C1479" s="1065">
        <v>-1</v>
      </c>
      <c r="D1479" s="1065">
        <v>1</v>
      </c>
      <c r="E1479" s="1087">
        <v>1.5</v>
      </c>
      <c r="F1479" s="1065"/>
      <c r="G1479" s="1065">
        <v>2.1</v>
      </c>
      <c r="H1479" s="1087">
        <f t="shared" si="64"/>
        <v>-3.15</v>
      </c>
    </row>
    <row r="1480" spans="1:8" s="716" customFormat="1">
      <c r="A1480" s="1059"/>
      <c r="B1480" s="1065" t="s">
        <v>5621</v>
      </c>
      <c r="C1480" s="1065">
        <v>-2</v>
      </c>
      <c r="D1480" s="1065">
        <v>5</v>
      </c>
      <c r="E1480" s="1087">
        <v>1</v>
      </c>
      <c r="F1480" s="1065"/>
      <c r="G1480" s="1065">
        <v>2.1</v>
      </c>
      <c r="H1480" s="1087">
        <f t="shared" si="64"/>
        <v>-21</v>
      </c>
    </row>
    <row r="1481" spans="1:8" s="716" customFormat="1">
      <c r="A1481" s="1059"/>
      <c r="B1481" s="1065" t="s">
        <v>4986</v>
      </c>
      <c r="C1481" s="1065">
        <v>-1</v>
      </c>
      <c r="D1481" s="1065">
        <v>15</v>
      </c>
      <c r="E1481" s="1087">
        <v>1.5</v>
      </c>
      <c r="F1481" s="1065"/>
      <c r="G1481" s="1065">
        <v>1.35</v>
      </c>
      <c r="H1481" s="1087">
        <f t="shared" si="64"/>
        <v>-30.38</v>
      </c>
    </row>
    <row r="1482" spans="1:8" s="716" customFormat="1">
      <c r="A1482" s="1059"/>
      <c r="B1482" s="1065" t="s">
        <v>5172</v>
      </c>
      <c r="C1482" s="1065">
        <v>-1</v>
      </c>
      <c r="D1482" s="1065">
        <v>3</v>
      </c>
      <c r="E1482" s="1087">
        <v>1.2</v>
      </c>
      <c r="F1482" s="1065"/>
      <c r="G1482" s="1065">
        <v>2.1</v>
      </c>
      <c r="H1482" s="1063">
        <f t="shared" si="64"/>
        <v>-7.56</v>
      </c>
    </row>
    <row r="1483" spans="1:8" s="716" customFormat="1">
      <c r="A1483" s="1059"/>
      <c r="B1483" s="1065" t="s">
        <v>5622</v>
      </c>
      <c r="C1483" s="1065">
        <v>-1</v>
      </c>
      <c r="D1483" s="1065">
        <v>4</v>
      </c>
      <c r="E1483" s="1087">
        <v>0.75</v>
      </c>
      <c r="F1483" s="1065"/>
      <c r="G1483" s="1065">
        <v>2.1</v>
      </c>
      <c r="H1483" s="1087">
        <f t="shared" si="64"/>
        <v>-6.3</v>
      </c>
    </row>
    <row r="1484" spans="1:8" s="716" customFormat="1">
      <c r="A1484" s="1059"/>
      <c r="B1484" s="1065" t="s">
        <v>5623</v>
      </c>
      <c r="C1484" s="1065">
        <v>-1</v>
      </c>
      <c r="D1484" s="1065">
        <v>5</v>
      </c>
      <c r="E1484" s="1087">
        <v>0.9</v>
      </c>
      <c r="F1484" s="1065"/>
      <c r="G1484" s="1065">
        <v>0.6</v>
      </c>
      <c r="H1484" s="1087">
        <f t="shared" si="64"/>
        <v>-2.7</v>
      </c>
    </row>
    <row r="1485" spans="1:8" s="716" customFormat="1">
      <c r="A1485" s="1059"/>
      <c r="B1485" s="1065" t="s">
        <v>5624</v>
      </c>
      <c r="C1485" s="1065">
        <v>1</v>
      </c>
      <c r="D1485" s="1065">
        <v>5</v>
      </c>
      <c r="E1485" s="1087">
        <v>5.2</v>
      </c>
      <c r="F1485" s="1065"/>
      <c r="G1485" s="1065">
        <v>0.23</v>
      </c>
      <c r="H1485" s="1087">
        <f t="shared" si="64"/>
        <v>5.98</v>
      </c>
    </row>
    <row r="1486" spans="1:8" s="716" customFormat="1">
      <c r="A1486" s="1059"/>
      <c r="B1486" s="1065" t="s">
        <v>4986</v>
      </c>
      <c r="C1486" s="1065">
        <v>1</v>
      </c>
      <c r="D1486" s="1065">
        <v>15</v>
      </c>
      <c r="E1486" s="1087">
        <v>5.7</v>
      </c>
      <c r="F1486" s="1065">
        <v>0.18</v>
      </c>
      <c r="G1486" s="1065"/>
      <c r="H1486" s="1087">
        <f t="shared" si="64"/>
        <v>15.39</v>
      </c>
    </row>
    <row r="1487" spans="1:8" s="716" customFormat="1">
      <c r="A1487" s="1059"/>
      <c r="B1487" s="1065" t="s">
        <v>5623</v>
      </c>
      <c r="C1487" s="1065">
        <v>1</v>
      </c>
      <c r="D1487" s="1065">
        <v>5</v>
      </c>
      <c r="E1487" s="1087">
        <v>3</v>
      </c>
      <c r="F1487" s="1065">
        <v>0.18</v>
      </c>
      <c r="G1487" s="1065"/>
      <c r="H1487" s="1087">
        <f t="shared" si="64"/>
        <v>2.7</v>
      </c>
    </row>
    <row r="1488" spans="1:8" s="716" customFormat="1">
      <c r="A1488" s="1059"/>
      <c r="B1488" s="1065" t="s">
        <v>5625</v>
      </c>
      <c r="C1488" s="1117">
        <v>1</v>
      </c>
      <c r="D1488" s="1117">
        <v>15</v>
      </c>
      <c r="E1488" s="1117">
        <v>1.96</v>
      </c>
      <c r="F1488" s="1117">
        <v>0.6</v>
      </c>
      <c r="G1488" s="1117"/>
      <c r="H1488" s="1063">
        <f t="shared" si="64"/>
        <v>17.64</v>
      </c>
    </row>
    <row r="1489" spans="1:8" s="716" customFormat="1">
      <c r="A1489" s="1059"/>
      <c r="B1489" s="1065" t="s">
        <v>5576</v>
      </c>
      <c r="C1489" s="1117">
        <v>1</v>
      </c>
      <c r="D1489" s="1117">
        <v>3</v>
      </c>
      <c r="E1489" s="1117">
        <v>1.46</v>
      </c>
      <c r="F1489" s="1117">
        <v>0.6</v>
      </c>
      <c r="G1489" s="1117"/>
      <c r="H1489" s="1063">
        <f t="shared" si="64"/>
        <v>2.63</v>
      </c>
    </row>
    <row r="1490" spans="1:8" s="716" customFormat="1">
      <c r="A1490" s="1059"/>
      <c r="B1490" s="1076" t="s">
        <v>5630</v>
      </c>
      <c r="C1490" s="1452">
        <v>2</v>
      </c>
      <c r="D1490" s="1452">
        <v>4</v>
      </c>
      <c r="E1490" s="1063">
        <v>0.6</v>
      </c>
      <c r="F1490" s="1453"/>
      <c r="G1490" s="1454">
        <v>2.1</v>
      </c>
      <c r="H1490" s="1063">
        <f t="shared" si="64"/>
        <v>10.08</v>
      </c>
    </row>
    <row r="1491" spans="1:8" s="716" customFormat="1">
      <c r="A1491" s="1059"/>
      <c r="B1491" s="1076" t="s">
        <v>5273</v>
      </c>
      <c r="C1491" s="1452">
        <v>2</v>
      </c>
      <c r="D1491" s="1452">
        <v>4</v>
      </c>
      <c r="E1491" s="1063">
        <v>0.6</v>
      </c>
      <c r="F1491" s="1453"/>
      <c r="G1491" s="1454">
        <v>2.1</v>
      </c>
      <c r="H1491" s="1063">
        <f t="shared" si="64"/>
        <v>10.08</v>
      </c>
    </row>
    <row r="1492" spans="1:8" s="716" customFormat="1">
      <c r="A1492" s="1059"/>
      <c r="B1492" s="1076" t="s">
        <v>5274</v>
      </c>
      <c r="C1492" s="1452">
        <v>2</v>
      </c>
      <c r="D1492" s="1452">
        <v>2</v>
      </c>
      <c r="E1492" s="1063">
        <v>0.6</v>
      </c>
      <c r="F1492" s="1453"/>
      <c r="G1492" s="1454">
        <v>2.1</v>
      </c>
      <c r="H1492" s="1063">
        <f t="shared" si="64"/>
        <v>5.04</v>
      </c>
    </row>
    <row r="1493" spans="1:8" s="716" customFormat="1">
      <c r="A1493" s="1059"/>
      <c r="B1493" s="1065" t="s">
        <v>5631</v>
      </c>
      <c r="C1493" s="1117">
        <v>1</v>
      </c>
      <c r="D1493" s="1117">
        <v>1</v>
      </c>
      <c r="E1493" s="1063">
        <v>4.26</v>
      </c>
      <c r="F1493" s="1117">
        <v>0.6</v>
      </c>
      <c r="G1493" s="1117"/>
      <c r="H1493" s="1063">
        <f t="shared" si="64"/>
        <v>2.56</v>
      </c>
    </row>
    <row r="1494" spans="1:8" s="716" customFormat="1">
      <c r="A1494" s="1059"/>
      <c r="B1494" s="1067" t="s">
        <v>5632</v>
      </c>
      <c r="C1494" s="1117"/>
      <c r="D1494" s="1117"/>
      <c r="E1494" s="1063"/>
      <c r="F1494" s="1117"/>
      <c r="G1494" s="1117"/>
      <c r="H1494" s="1063">
        <f t="shared" si="64"/>
        <v>0</v>
      </c>
    </row>
    <row r="1495" spans="1:8" s="716" customFormat="1">
      <c r="A1495" s="1059"/>
      <c r="B1495" s="1065" t="s">
        <v>5633</v>
      </c>
      <c r="C1495" s="1117">
        <v>1</v>
      </c>
      <c r="D1495" s="1117">
        <v>1</v>
      </c>
      <c r="E1495" s="1063">
        <v>24.12</v>
      </c>
      <c r="F1495" s="1117"/>
      <c r="G1495" s="1117">
        <v>3.18</v>
      </c>
      <c r="H1495" s="1063">
        <f t="shared" si="64"/>
        <v>76.7</v>
      </c>
    </row>
    <row r="1496" spans="1:8" s="716" customFormat="1">
      <c r="A1496" s="1059"/>
      <c r="B1496" s="1065" t="s">
        <v>5634</v>
      </c>
      <c r="C1496" s="1117">
        <v>2</v>
      </c>
      <c r="D1496" s="1117">
        <v>2</v>
      </c>
      <c r="E1496" s="1063">
        <v>1.5</v>
      </c>
      <c r="F1496" s="1117"/>
      <c r="G1496" s="1063">
        <v>1</v>
      </c>
      <c r="H1496" s="1063">
        <f t="shared" si="64"/>
        <v>6</v>
      </c>
    </row>
    <row r="1497" spans="1:8" s="716" customFormat="1">
      <c r="A1497" s="1059"/>
      <c r="B1497" s="1065" t="s">
        <v>5635</v>
      </c>
      <c r="C1497" s="1117">
        <v>1</v>
      </c>
      <c r="D1497" s="1117">
        <v>2</v>
      </c>
      <c r="E1497" s="1063">
        <v>0.23</v>
      </c>
      <c r="F1497" s="1117"/>
      <c r="G1497" s="1063">
        <v>1</v>
      </c>
      <c r="H1497" s="1063">
        <f t="shared" si="64"/>
        <v>0.46</v>
      </c>
    </row>
    <row r="1498" spans="1:8" s="716" customFormat="1">
      <c r="A1498" s="1059"/>
      <c r="B1498" s="1065" t="s">
        <v>5636</v>
      </c>
      <c r="C1498" s="1117">
        <v>1</v>
      </c>
      <c r="D1498" s="1117">
        <v>1</v>
      </c>
      <c r="E1498" s="1063">
        <v>1.46</v>
      </c>
      <c r="F1498" s="1117">
        <v>0.6</v>
      </c>
      <c r="G1498" s="1063"/>
      <c r="H1498" s="1063">
        <f t="shared" si="64"/>
        <v>0.88</v>
      </c>
    </row>
    <row r="1499" spans="1:8" s="716" customFormat="1">
      <c r="A1499" s="1059"/>
      <c r="B1499" s="1065" t="s">
        <v>5637</v>
      </c>
      <c r="C1499" s="1117">
        <v>2</v>
      </c>
      <c r="D1499" s="1117">
        <v>47</v>
      </c>
      <c r="E1499" s="1063">
        <v>0.6</v>
      </c>
      <c r="F1499" s="1117"/>
      <c r="G1499" s="1117">
        <v>0.06</v>
      </c>
      <c r="H1499" s="1063">
        <f t="shared" si="64"/>
        <v>3.38</v>
      </c>
    </row>
    <row r="1500" spans="1:8" s="716" customFormat="1">
      <c r="A1500" s="1059"/>
      <c r="B1500" s="1065"/>
      <c r="C1500" s="1110"/>
      <c r="D1500" s="1110"/>
      <c r="E1500" s="1087"/>
      <c r="F1500" s="1087"/>
      <c r="G1500" s="1087"/>
      <c r="H1500" s="1087">
        <f>SUM(H1396:H1499)</f>
        <v>2472.89</v>
      </c>
    </row>
    <row r="1501" spans="1:8" s="965" customFormat="1">
      <c r="A1501" s="1059"/>
      <c r="B1501" s="1064"/>
      <c r="C1501" s="1061"/>
      <c r="D1501" s="1061"/>
      <c r="E1501" s="1062"/>
      <c r="F1501" s="1072" t="s">
        <v>4121</v>
      </c>
      <c r="G1501" s="1111">
        <f>ROUNDUP(H1500,1)</f>
        <v>2472.9</v>
      </c>
      <c r="H1501" s="1074" t="s">
        <v>2199</v>
      </c>
    </row>
    <row r="1502" spans="1:8" s="965" customFormat="1">
      <c r="A1502" s="1059"/>
      <c r="B1502" s="1060" t="s">
        <v>4269</v>
      </c>
      <c r="C1502" s="1061"/>
      <c r="D1502" s="1061"/>
      <c r="E1502" s="1062"/>
      <c r="F1502" s="1072"/>
      <c r="G1502" s="1111"/>
      <c r="H1502" s="1074"/>
    </row>
    <row r="1503" spans="1:8" s="965" customFormat="1">
      <c r="A1503" s="1059"/>
      <c r="B1503" s="1064" t="s">
        <v>5405</v>
      </c>
      <c r="C1503" s="1061"/>
      <c r="D1503" s="1061"/>
      <c r="E1503" s="1062"/>
      <c r="F1503" s="1072"/>
      <c r="G1503" s="1111">
        <f>G1501</f>
        <v>2472.9</v>
      </c>
      <c r="H1503" s="1074" t="s">
        <v>2199</v>
      </c>
    </row>
    <row r="1504" spans="1:8" s="965" customFormat="1">
      <c r="A1504" s="1059"/>
      <c r="B1504" s="1064"/>
      <c r="C1504" s="1061"/>
      <c r="D1504" s="1061"/>
      <c r="E1504" s="1062"/>
      <c r="F1504" s="1072"/>
      <c r="G1504" s="1111"/>
      <c r="H1504" s="1074"/>
    </row>
    <row r="1505" spans="1:8" s="965" customFormat="1">
      <c r="A1505" s="1067">
        <v>38.200000000000003</v>
      </c>
      <c r="B1505" s="1067" t="s">
        <v>5409</v>
      </c>
      <c r="C1505" s="1110"/>
      <c r="D1505" s="1110"/>
      <c r="E1505" s="1087"/>
      <c r="F1505" s="1087"/>
      <c r="G1505" s="1087"/>
      <c r="H1505" s="1087"/>
    </row>
    <row r="1506" spans="1:8" s="965" customFormat="1">
      <c r="A1506" s="1059"/>
      <c r="B1506" s="1075" t="s">
        <v>5573</v>
      </c>
      <c r="C1506" s="1061"/>
      <c r="D1506" s="1061"/>
      <c r="E1506" s="1062"/>
      <c r="F1506" s="1062"/>
      <c r="G1506" s="1062"/>
      <c r="H1506" s="1063"/>
    </row>
    <row r="1507" spans="1:8" s="965" customFormat="1">
      <c r="A1507" s="1059"/>
      <c r="B1507" s="1076" t="s">
        <v>5167</v>
      </c>
      <c r="C1507" s="1061">
        <v>1</v>
      </c>
      <c r="D1507" s="1061">
        <v>2</v>
      </c>
      <c r="E1507" s="1062">
        <v>14.02</v>
      </c>
      <c r="F1507" s="1062"/>
      <c r="G1507" s="1062">
        <v>3.3</v>
      </c>
      <c r="H1507" s="1087">
        <f t="shared" ref="H1507:H1530" si="65">PRODUCT(C1507:G1507)</f>
        <v>92.53</v>
      </c>
    </row>
    <row r="1508" spans="1:8" s="716" customFormat="1">
      <c r="A1508" s="1059"/>
      <c r="B1508" s="1076" t="s">
        <v>5497</v>
      </c>
      <c r="C1508" s="1061">
        <v>1</v>
      </c>
      <c r="D1508" s="1061">
        <v>2</v>
      </c>
      <c r="E1508" s="1062">
        <v>14.78</v>
      </c>
      <c r="F1508" s="1062"/>
      <c r="G1508" s="1062">
        <v>3.3</v>
      </c>
      <c r="H1508" s="1087">
        <f t="shared" si="65"/>
        <v>97.55</v>
      </c>
    </row>
    <row r="1509" spans="1:8" s="716" customFormat="1" ht="28.5">
      <c r="A1509" s="1059"/>
      <c r="B1509" s="1115" t="s">
        <v>5572</v>
      </c>
      <c r="C1509" s="1061">
        <v>1</v>
      </c>
      <c r="D1509" s="1061">
        <v>2</v>
      </c>
      <c r="E1509" s="1088">
        <v>79.81</v>
      </c>
      <c r="F1509" s="1062"/>
      <c r="G1509" s="1088">
        <v>4.3</v>
      </c>
      <c r="H1509" s="1116">
        <f t="shared" si="65"/>
        <v>686.37</v>
      </c>
    </row>
    <row r="1510" spans="1:8" s="716" customFormat="1">
      <c r="A1510" s="1059"/>
      <c r="B1510" s="1065" t="s">
        <v>5574</v>
      </c>
      <c r="C1510" s="1066">
        <v>1</v>
      </c>
      <c r="D1510" s="1066">
        <v>5</v>
      </c>
      <c r="E1510" s="1062">
        <v>1.2</v>
      </c>
      <c r="F1510" s="1066"/>
      <c r="G1510" s="1066">
        <v>3.18</v>
      </c>
      <c r="H1510" s="1087">
        <f t="shared" si="65"/>
        <v>19.079999999999998</v>
      </c>
    </row>
    <row r="1511" spans="1:8" s="716" customFormat="1">
      <c r="A1511" s="1059"/>
      <c r="B1511" s="1065" t="s">
        <v>5575</v>
      </c>
      <c r="C1511" s="1066">
        <v>2</v>
      </c>
      <c r="D1511" s="1066">
        <v>7</v>
      </c>
      <c r="E1511" s="1062">
        <v>1.96</v>
      </c>
      <c r="F1511" s="1066">
        <v>0.6</v>
      </c>
      <c r="G1511" s="1066"/>
      <c r="H1511" s="1087">
        <f t="shared" si="65"/>
        <v>16.46</v>
      </c>
    </row>
    <row r="1512" spans="1:8" s="716" customFormat="1">
      <c r="A1512" s="1059"/>
      <c r="B1512" s="1065" t="s">
        <v>5576</v>
      </c>
      <c r="C1512" s="1066">
        <v>2</v>
      </c>
      <c r="D1512" s="1066">
        <v>3</v>
      </c>
      <c r="E1512" s="1062">
        <v>1.66</v>
      </c>
      <c r="F1512" s="1066">
        <v>0.6</v>
      </c>
      <c r="G1512" s="1066"/>
      <c r="H1512" s="1087">
        <f t="shared" si="65"/>
        <v>5.98</v>
      </c>
    </row>
    <row r="1513" spans="1:8" s="716" customFormat="1">
      <c r="A1513" s="1059"/>
      <c r="B1513" s="1065" t="s">
        <v>5577</v>
      </c>
      <c r="C1513" s="1066">
        <v>1</v>
      </c>
      <c r="D1513" s="1066">
        <v>1</v>
      </c>
      <c r="E1513" s="1066">
        <v>111.13</v>
      </c>
      <c r="F1513" s="1066"/>
      <c r="G1513" s="1066">
        <v>6.6</v>
      </c>
      <c r="H1513" s="1087">
        <f t="shared" si="65"/>
        <v>733.46</v>
      </c>
    </row>
    <row r="1514" spans="1:8" s="716" customFormat="1">
      <c r="A1514" s="1059"/>
      <c r="B1514" s="1065" t="s">
        <v>5578</v>
      </c>
      <c r="C1514" s="1066">
        <v>1</v>
      </c>
      <c r="D1514" s="1066">
        <v>2</v>
      </c>
      <c r="E1514" s="1066">
        <v>111.13</v>
      </c>
      <c r="F1514" s="1066"/>
      <c r="G1514" s="1066">
        <v>1.2</v>
      </c>
      <c r="H1514" s="1087">
        <f t="shared" si="65"/>
        <v>266.70999999999998</v>
      </c>
    </row>
    <row r="1515" spans="1:8" s="716" customFormat="1">
      <c r="A1515" s="1059"/>
      <c r="B1515" s="1065" t="s">
        <v>5579</v>
      </c>
      <c r="C1515" s="1066">
        <v>1</v>
      </c>
      <c r="D1515" s="1066">
        <v>1</v>
      </c>
      <c r="E1515" s="1062">
        <v>25.26</v>
      </c>
      <c r="F1515" s="1066"/>
      <c r="G1515" s="1066">
        <v>3.3</v>
      </c>
      <c r="H1515" s="1087">
        <f t="shared" si="65"/>
        <v>83.36</v>
      </c>
    </row>
    <row r="1516" spans="1:8" s="716" customFormat="1">
      <c r="A1516" s="1059"/>
      <c r="B1516" s="1065" t="s">
        <v>5580</v>
      </c>
      <c r="C1516" s="1066">
        <v>1</v>
      </c>
      <c r="D1516" s="1066">
        <v>2</v>
      </c>
      <c r="E1516" s="1062">
        <v>25.26</v>
      </c>
      <c r="F1516" s="1066"/>
      <c r="G1516" s="1066">
        <v>0.6</v>
      </c>
      <c r="H1516" s="1087">
        <f t="shared" si="65"/>
        <v>30.31</v>
      </c>
    </row>
    <row r="1517" spans="1:8" s="716" customFormat="1">
      <c r="A1517" s="1059"/>
      <c r="B1517" s="1067" t="s">
        <v>5581</v>
      </c>
      <c r="C1517" s="1066"/>
      <c r="D1517" s="1066"/>
      <c r="E1517" s="1062"/>
      <c r="F1517" s="1066"/>
      <c r="G1517" s="1066"/>
      <c r="H1517" s="1087">
        <f t="shared" si="65"/>
        <v>0</v>
      </c>
    </row>
    <row r="1518" spans="1:8" s="716" customFormat="1">
      <c r="A1518" s="1059"/>
      <c r="B1518" s="1065" t="s">
        <v>5582</v>
      </c>
      <c r="C1518" s="1066">
        <v>-1</v>
      </c>
      <c r="D1518" s="1066">
        <v>3</v>
      </c>
      <c r="E1518" s="1062">
        <v>1.5</v>
      </c>
      <c r="F1518" s="1066"/>
      <c r="G1518" s="1066">
        <v>2.1</v>
      </c>
      <c r="H1518" s="1087">
        <f t="shared" si="65"/>
        <v>-9.4499999999999993</v>
      </c>
    </row>
    <row r="1519" spans="1:8" s="716" customFormat="1">
      <c r="A1519" s="1059"/>
      <c r="B1519" s="1065" t="s">
        <v>4983</v>
      </c>
      <c r="C1519" s="1066">
        <v>-1</v>
      </c>
      <c r="D1519" s="1066">
        <v>3</v>
      </c>
      <c r="E1519" s="1062">
        <v>1</v>
      </c>
      <c r="F1519" s="1066"/>
      <c r="G1519" s="1066">
        <v>2.1</v>
      </c>
      <c r="H1519" s="1087">
        <f t="shared" si="65"/>
        <v>-6.3</v>
      </c>
    </row>
    <row r="1520" spans="1:8" s="716" customFormat="1">
      <c r="A1520" s="1059"/>
      <c r="B1520" s="1076" t="s">
        <v>5583</v>
      </c>
      <c r="C1520" s="1066">
        <v>-1</v>
      </c>
      <c r="D1520" s="1061">
        <v>7</v>
      </c>
      <c r="E1520" s="1062">
        <v>1.5</v>
      </c>
      <c r="F1520" s="1062"/>
      <c r="G1520" s="1062">
        <v>1.35</v>
      </c>
      <c r="H1520" s="1087">
        <f t="shared" si="65"/>
        <v>-14.18</v>
      </c>
    </row>
    <row r="1521" spans="1:8" s="716" customFormat="1">
      <c r="A1521" s="1059"/>
      <c r="B1521" s="1076" t="s">
        <v>5172</v>
      </c>
      <c r="C1521" s="1066">
        <v>-1</v>
      </c>
      <c r="D1521" s="1061">
        <v>3</v>
      </c>
      <c r="E1521" s="1062">
        <v>1.2</v>
      </c>
      <c r="F1521" s="1062"/>
      <c r="G1521" s="1062">
        <v>2.1</v>
      </c>
      <c r="H1521" s="1087">
        <f t="shared" si="65"/>
        <v>-7.56</v>
      </c>
    </row>
    <row r="1522" spans="1:8" s="716" customFormat="1">
      <c r="A1522" s="1059"/>
      <c r="B1522" s="1065" t="s">
        <v>5584</v>
      </c>
      <c r="C1522" s="1066">
        <v>-1</v>
      </c>
      <c r="D1522" s="1066">
        <v>1</v>
      </c>
      <c r="E1522" s="1062">
        <v>2.44</v>
      </c>
      <c r="F1522" s="1065"/>
      <c r="G1522" s="1066">
        <v>2.1</v>
      </c>
      <c r="H1522" s="1087">
        <f t="shared" si="65"/>
        <v>-5.12</v>
      </c>
    </row>
    <row r="1523" spans="1:8" s="716" customFormat="1">
      <c r="A1523" s="1059"/>
      <c r="B1523" s="1065" t="s">
        <v>5585</v>
      </c>
      <c r="C1523" s="1066">
        <v>-1</v>
      </c>
      <c r="D1523" s="1066">
        <v>1</v>
      </c>
      <c r="E1523" s="1062">
        <v>8.8800000000000008</v>
      </c>
      <c r="F1523" s="1066"/>
      <c r="G1523" s="1066">
        <v>2.1</v>
      </c>
      <c r="H1523" s="1087">
        <f t="shared" si="65"/>
        <v>-18.649999999999999</v>
      </c>
    </row>
    <row r="1524" spans="1:8" s="716" customFormat="1">
      <c r="A1524" s="1059"/>
      <c r="B1524" s="1065" t="s">
        <v>5586</v>
      </c>
      <c r="C1524" s="1066">
        <v>1</v>
      </c>
      <c r="D1524" s="1066">
        <v>2</v>
      </c>
      <c r="E1524" s="1062">
        <v>1.2</v>
      </c>
      <c r="F1524" s="1066"/>
      <c r="G1524" s="1066">
        <v>3.18</v>
      </c>
      <c r="H1524" s="1087">
        <f t="shared" si="65"/>
        <v>7.63</v>
      </c>
    </row>
    <row r="1525" spans="1:8" s="716" customFormat="1">
      <c r="A1525" s="1059"/>
      <c r="B1525" s="1076" t="s">
        <v>5587</v>
      </c>
      <c r="C1525" s="1061">
        <v>-1</v>
      </c>
      <c r="D1525" s="1061">
        <v>15</v>
      </c>
      <c r="E1525" s="1062">
        <v>1.5</v>
      </c>
      <c r="F1525" s="1062"/>
      <c r="G1525" s="1062">
        <v>1.35</v>
      </c>
      <c r="H1525" s="1087">
        <f t="shared" si="65"/>
        <v>-30.38</v>
      </c>
    </row>
    <row r="1526" spans="1:8" s="716" customFormat="1">
      <c r="A1526" s="1059"/>
      <c r="B1526" s="1076" t="s">
        <v>5172</v>
      </c>
      <c r="C1526" s="1061">
        <v>-1</v>
      </c>
      <c r="D1526" s="1061">
        <v>3</v>
      </c>
      <c r="E1526" s="1062">
        <v>1.2</v>
      </c>
      <c r="F1526" s="1062"/>
      <c r="G1526" s="1062">
        <v>2.1</v>
      </c>
      <c r="H1526" s="1087">
        <f t="shared" si="65"/>
        <v>-7.56</v>
      </c>
    </row>
    <row r="1527" spans="1:8" s="716" customFormat="1">
      <c r="A1527" s="1059"/>
      <c r="B1527" s="1076" t="s">
        <v>5588</v>
      </c>
      <c r="C1527" s="1061">
        <v>-1</v>
      </c>
      <c r="D1527" s="1061">
        <v>15</v>
      </c>
      <c r="E1527" s="1062">
        <v>1.5</v>
      </c>
      <c r="F1527" s="1062"/>
      <c r="G1527" s="1062">
        <v>1.35</v>
      </c>
      <c r="H1527" s="1087">
        <f t="shared" si="65"/>
        <v>-30.38</v>
      </c>
    </row>
    <row r="1528" spans="1:8" s="965" customFormat="1">
      <c r="A1528" s="1059"/>
      <c r="B1528" s="1076" t="s">
        <v>5172</v>
      </c>
      <c r="C1528" s="1061">
        <v>-1</v>
      </c>
      <c r="D1528" s="1061">
        <v>3</v>
      </c>
      <c r="E1528" s="1062">
        <v>1.2</v>
      </c>
      <c r="F1528" s="1062"/>
      <c r="G1528" s="1062">
        <v>2.1</v>
      </c>
      <c r="H1528" s="1087">
        <f t="shared" si="65"/>
        <v>-7.56</v>
      </c>
    </row>
    <row r="1529" spans="1:8" s="965" customFormat="1">
      <c r="A1529" s="1059"/>
      <c r="B1529" s="1076" t="s">
        <v>5589</v>
      </c>
      <c r="C1529" s="1061">
        <v>-1</v>
      </c>
      <c r="D1529" s="1061">
        <v>10</v>
      </c>
      <c r="E1529" s="1062">
        <v>0.9</v>
      </c>
      <c r="F1529" s="1062"/>
      <c r="G1529" s="1062">
        <v>0.6</v>
      </c>
      <c r="H1529" s="1087">
        <f t="shared" si="65"/>
        <v>-5.4</v>
      </c>
    </row>
    <row r="1530" spans="1:8" s="965" customFormat="1">
      <c r="A1530" s="1059"/>
      <c r="B1530" s="1065" t="s">
        <v>5590</v>
      </c>
      <c r="C1530" s="1066">
        <v>-1</v>
      </c>
      <c r="D1530" s="1066">
        <v>1</v>
      </c>
      <c r="E1530" s="1062">
        <v>1</v>
      </c>
      <c r="F1530" s="1066"/>
      <c r="G1530" s="1066">
        <v>2.1</v>
      </c>
      <c r="H1530" s="1087">
        <f t="shared" si="65"/>
        <v>-2.1</v>
      </c>
    </row>
    <row r="1531" spans="1:8" s="965" customFormat="1">
      <c r="A1531" s="1065"/>
      <c r="B1531" s="1065"/>
      <c r="C1531" s="1065"/>
      <c r="D1531" s="1065"/>
      <c r="E1531" s="1087"/>
      <c r="F1531" s="1065"/>
      <c r="G1531" s="1065"/>
      <c r="H1531" s="1087">
        <f>SUM(H1506:H1530)</f>
        <v>1894.8</v>
      </c>
    </row>
    <row r="1532" spans="1:8" s="965" customFormat="1">
      <c r="A1532" s="1065"/>
      <c r="B1532" s="1065"/>
      <c r="C1532" s="1065"/>
      <c r="D1532" s="1065"/>
      <c r="E1532" s="1087"/>
      <c r="F1532" s="1072" t="s">
        <v>4121</v>
      </c>
      <c r="G1532" s="1100">
        <f>ROUNDUP(H1531,1)</f>
        <v>1894.8</v>
      </c>
      <c r="H1532" s="1074" t="s">
        <v>2199</v>
      </c>
    </row>
    <row r="1533" spans="1:8" s="965" customFormat="1">
      <c r="A1533" s="1101">
        <v>39</v>
      </c>
      <c r="B1533" s="1067" t="s">
        <v>5410</v>
      </c>
      <c r="C1533" s="1066"/>
      <c r="D1533" s="1066"/>
      <c r="E1533" s="1066"/>
      <c r="F1533" s="1066"/>
      <c r="G1533" s="1066"/>
      <c r="H1533" s="1062"/>
    </row>
    <row r="1534" spans="1:8" s="965" customFormat="1">
      <c r="A1534" s="1102"/>
      <c r="B1534" s="1069" t="s">
        <v>5411</v>
      </c>
      <c r="C1534" s="1103">
        <v>1</v>
      </c>
      <c r="D1534" s="1103">
        <v>2</v>
      </c>
      <c r="E1534" s="1062">
        <v>1</v>
      </c>
      <c r="F1534" s="1062"/>
      <c r="G1534" s="1062">
        <v>2.1</v>
      </c>
      <c r="H1534" s="1104">
        <f>PRODUCT(C1534:G1534)</f>
        <v>4.2</v>
      </c>
    </row>
    <row r="1535" spans="1:8" s="965" customFormat="1">
      <c r="A1535" s="1065"/>
      <c r="B1535" s="1065"/>
      <c r="C1535" s="1066"/>
      <c r="D1535" s="1066"/>
      <c r="E1535" s="1066"/>
      <c r="F1535" s="1066" t="s">
        <v>5412</v>
      </c>
      <c r="G1535" s="1066"/>
      <c r="H1535" s="1062">
        <f>H1534*42</f>
        <v>176.4</v>
      </c>
    </row>
    <row r="1536" spans="1:8" s="965" customFormat="1">
      <c r="A1536" s="1065"/>
      <c r="B1536" s="1065"/>
      <c r="C1536" s="1066"/>
      <c r="D1536" s="1066"/>
      <c r="E1536" s="1066"/>
      <c r="F1536" s="1066"/>
      <c r="G1536" s="1066"/>
      <c r="H1536" s="1058">
        <f>ROUNDUP(H1535,0)</f>
        <v>177</v>
      </c>
    </row>
    <row r="1537" spans="1:8" s="965" customFormat="1" ht="29.25">
      <c r="A1537" s="1059" t="s">
        <v>5413</v>
      </c>
      <c r="B1537" s="1075" t="s">
        <v>6046</v>
      </c>
      <c r="C1537" s="1061"/>
      <c r="D1537" s="1061"/>
      <c r="E1537" s="1062"/>
      <c r="F1537" s="1062"/>
      <c r="G1537" s="1062"/>
      <c r="H1537" s="1063"/>
    </row>
    <row r="1538" spans="1:8" s="965" customFormat="1">
      <c r="A1538" s="1059"/>
      <c r="B1538" s="1064" t="s">
        <v>5363</v>
      </c>
      <c r="C1538" s="1061">
        <v>1</v>
      </c>
      <c r="D1538" s="1061">
        <v>4</v>
      </c>
      <c r="E1538" s="1062">
        <v>1.5</v>
      </c>
      <c r="F1538" s="1062">
        <v>2.25</v>
      </c>
      <c r="G1538" s="1062">
        <v>2.1</v>
      </c>
      <c r="H1538" s="1063">
        <f>PRODUCT(C1538:G1538)</f>
        <v>28.35</v>
      </c>
    </row>
    <row r="1539" spans="1:8" s="965" customFormat="1">
      <c r="A1539" s="1059"/>
      <c r="B1539" s="1064" t="s">
        <v>5364</v>
      </c>
      <c r="C1539" s="1061">
        <v>1</v>
      </c>
      <c r="D1539" s="1061">
        <v>1</v>
      </c>
      <c r="E1539" s="1062">
        <v>1.5</v>
      </c>
      <c r="F1539" s="1062">
        <v>2.25</v>
      </c>
      <c r="G1539" s="1062">
        <v>2.1</v>
      </c>
      <c r="H1539" s="1063">
        <f>PRODUCT(C1539:G1539)</f>
        <v>7.09</v>
      </c>
    </row>
    <row r="1540" spans="1:8" s="965" customFormat="1">
      <c r="A1540" s="1059"/>
      <c r="B1540" s="1060" t="s">
        <v>5365</v>
      </c>
      <c r="C1540" s="1061"/>
      <c r="D1540" s="1061"/>
      <c r="E1540" s="1062"/>
      <c r="F1540" s="1062"/>
      <c r="G1540" s="1111"/>
      <c r="H1540" s="1074"/>
    </row>
    <row r="1541" spans="1:8" s="965" customFormat="1">
      <c r="A1541" s="1059"/>
      <c r="B1541" s="1065" t="s">
        <v>5346</v>
      </c>
      <c r="C1541" s="1065">
        <v>1</v>
      </c>
      <c r="D1541" s="1065">
        <v>6</v>
      </c>
      <c r="E1541" s="1062">
        <v>1</v>
      </c>
      <c r="F1541" s="1062">
        <v>2.25</v>
      </c>
      <c r="G1541" s="1118">
        <v>2.1</v>
      </c>
      <c r="H1541" s="1063">
        <f>PRODUCT(C1541:G1541)</f>
        <v>28.35</v>
      </c>
    </row>
    <row r="1542" spans="1:8" s="965" customFormat="1">
      <c r="A1542" s="1059"/>
      <c r="B1542" s="1065" t="s">
        <v>5366</v>
      </c>
      <c r="C1542" s="1065">
        <v>1</v>
      </c>
      <c r="D1542" s="1065">
        <v>11</v>
      </c>
      <c r="E1542" s="1062">
        <v>1</v>
      </c>
      <c r="F1542" s="1062">
        <v>2.25</v>
      </c>
      <c r="G1542" s="1118">
        <v>2.1</v>
      </c>
      <c r="H1542" s="1063">
        <f>PRODUCT(C1542:G1542)</f>
        <v>51.98</v>
      </c>
    </row>
    <row r="1543" spans="1:8" s="965" customFormat="1">
      <c r="A1543" s="1059"/>
      <c r="B1543" s="1065" t="s">
        <v>5348</v>
      </c>
      <c r="C1543" s="1065">
        <v>1</v>
      </c>
      <c r="D1543" s="1065">
        <v>4</v>
      </c>
      <c r="E1543" s="1062">
        <v>1</v>
      </c>
      <c r="F1543" s="1062">
        <v>2.25</v>
      </c>
      <c r="G1543" s="1118">
        <v>2.1</v>
      </c>
      <c r="H1543" s="1063">
        <f>PRODUCT(C1543:G1543)</f>
        <v>18.899999999999999</v>
      </c>
    </row>
    <row r="1544" spans="1:8" s="965" customFormat="1">
      <c r="A1544" s="1059"/>
      <c r="B1544" s="1064"/>
      <c r="C1544" s="1061"/>
      <c r="D1544" s="1061"/>
      <c r="E1544" s="1062"/>
      <c r="F1544" s="1062"/>
      <c r="G1544" s="1062"/>
      <c r="H1544" s="1077">
        <f>SUM(H1538:H1543)</f>
        <v>134.66999999999999</v>
      </c>
    </row>
    <row r="1545" spans="1:8" s="965" customFormat="1">
      <c r="A1545" s="1059"/>
      <c r="B1545" s="1064"/>
      <c r="C1545" s="1061"/>
      <c r="D1545" s="1061"/>
      <c r="E1545" s="1062"/>
      <c r="F1545" s="1072" t="s">
        <v>4121</v>
      </c>
      <c r="G1545" s="1100">
        <f>ROUNDUP(H1544,1)</f>
        <v>134.69999999999999</v>
      </c>
      <c r="H1545" s="1074" t="s">
        <v>2199</v>
      </c>
    </row>
    <row r="1546" spans="1:8" s="965" customFormat="1">
      <c r="A1546" s="1059" t="s">
        <v>5414</v>
      </c>
      <c r="B1546" s="1075" t="s">
        <v>5415</v>
      </c>
      <c r="C1546" s="1061"/>
      <c r="D1546" s="1061"/>
      <c r="E1546" s="1062"/>
      <c r="F1546" s="1062"/>
      <c r="G1546" s="1062"/>
      <c r="H1546" s="1063"/>
    </row>
    <row r="1547" spans="1:8" s="965" customFormat="1">
      <c r="A1547" s="1059"/>
      <c r="B1547" s="1076" t="s">
        <v>5583</v>
      </c>
      <c r="C1547" s="1061">
        <v>1</v>
      </c>
      <c r="D1547" s="1061">
        <v>7</v>
      </c>
      <c r="E1547" s="1062">
        <v>1.5</v>
      </c>
      <c r="F1547" s="1087">
        <v>1</v>
      </c>
      <c r="G1547" s="1062">
        <v>1.35</v>
      </c>
      <c r="H1547" s="1063">
        <f t="shared" ref="H1547:H1549" si="66">PRODUCT(C1547:G1547)</f>
        <v>14.18</v>
      </c>
    </row>
    <row r="1548" spans="1:8" s="965" customFormat="1">
      <c r="A1548" s="1059"/>
      <c r="B1548" s="1076" t="s">
        <v>5172</v>
      </c>
      <c r="C1548" s="1061">
        <v>1</v>
      </c>
      <c r="D1548" s="1061">
        <v>3</v>
      </c>
      <c r="E1548" s="1062">
        <v>1.2</v>
      </c>
      <c r="F1548" s="1087">
        <v>1</v>
      </c>
      <c r="G1548" s="1062">
        <v>2.1</v>
      </c>
      <c r="H1548" s="1063">
        <f t="shared" si="66"/>
        <v>7.56</v>
      </c>
    </row>
    <row r="1549" spans="1:8" s="965" customFormat="1">
      <c r="A1549" s="1059"/>
      <c r="B1549" s="1076" t="s">
        <v>5587</v>
      </c>
      <c r="C1549" s="1061">
        <v>1</v>
      </c>
      <c r="D1549" s="1061">
        <v>15</v>
      </c>
      <c r="E1549" s="1062">
        <v>1.5</v>
      </c>
      <c r="F1549" s="1087">
        <v>1</v>
      </c>
      <c r="G1549" s="1062">
        <v>1.35</v>
      </c>
      <c r="H1549" s="1063">
        <f t="shared" si="66"/>
        <v>30.38</v>
      </c>
    </row>
    <row r="1550" spans="1:8" s="965" customFormat="1">
      <c r="A1550" s="1059"/>
      <c r="B1550" s="1076" t="s">
        <v>5172</v>
      </c>
      <c r="C1550" s="1061">
        <v>1</v>
      </c>
      <c r="D1550" s="1061">
        <v>3</v>
      </c>
      <c r="E1550" s="1062">
        <v>1.2</v>
      </c>
      <c r="F1550" s="1087">
        <v>1</v>
      </c>
      <c r="G1550" s="1062">
        <v>2.1</v>
      </c>
      <c r="H1550" s="1063">
        <f>PRODUCT(C1550:G1550)</f>
        <v>7.56</v>
      </c>
    </row>
    <row r="1551" spans="1:8" s="965" customFormat="1">
      <c r="A1551" s="1059"/>
      <c r="B1551" s="1076" t="s">
        <v>5588</v>
      </c>
      <c r="C1551" s="1061">
        <v>1</v>
      </c>
      <c r="D1551" s="1061">
        <v>15</v>
      </c>
      <c r="E1551" s="1062">
        <v>1.5</v>
      </c>
      <c r="F1551" s="1087">
        <v>1</v>
      </c>
      <c r="G1551" s="1062">
        <v>1.35</v>
      </c>
      <c r="H1551" s="1063">
        <f>PRODUCT(C1551:G1551)</f>
        <v>30.38</v>
      </c>
    </row>
    <row r="1552" spans="1:8" s="965" customFormat="1">
      <c r="A1552" s="1059"/>
      <c r="B1552" s="1076" t="s">
        <v>5172</v>
      </c>
      <c r="C1552" s="1061">
        <v>1</v>
      </c>
      <c r="D1552" s="1061">
        <v>3</v>
      </c>
      <c r="E1552" s="1062">
        <v>1.2</v>
      </c>
      <c r="F1552" s="1087">
        <v>1</v>
      </c>
      <c r="G1552" s="1062">
        <v>2.1</v>
      </c>
      <c r="H1552" s="1063">
        <f>PRODUCT(C1552:G1552)</f>
        <v>7.56</v>
      </c>
    </row>
    <row r="1553" spans="1:8" s="965" customFormat="1">
      <c r="A1553" s="1059"/>
      <c r="B1553" s="1076" t="s">
        <v>5589</v>
      </c>
      <c r="C1553" s="1061">
        <v>1</v>
      </c>
      <c r="D1553" s="1061">
        <v>10</v>
      </c>
      <c r="E1553" s="1062">
        <v>0.9</v>
      </c>
      <c r="F1553" s="1087">
        <v>1</v>
      </c>
      <c r="G1553" s="1062">
        <v>0.6</v>
      </c>
      <c r="H1553" s="1063">
        <f>PRODUCT(C1553:G1553)</f>
        <v>5.4</v>
      </c>
    </row>
    <row r="1554" spans="1:8" s="965" customFormat="1">
      <c r="A1554" s="1059"/>
      <c r="B1554" s="1065" t="s">
        <v>5416</v>
      </c>
      <c r="C1554" s="1110">
        <v>2</v>
      </c>
      <c r="D1554" s="1110">
        <v>1</v>
      </c>
      <c r="E1554" s="1087">
        <v>1</v>
      </c>
      <c r="F1554" s="1087">
        <v>1</v>
      </c>
      <c r="G1554" s="1087">
        <v>2.1</v>
      </c>
      <c r="H1554" s="1087">
        <f t="shared" ref="H1554:H1559" si="67">PRODUCT(C1554:G1554)</f>
        <v>4.2</v>
      </c>
    </row>
    <row r="1555" spans="1:8" s="965" customFormat="1">
      <c r="A1555" s="1059"/>
      <c r="B1555" s="1065" t="s">
        <v>5417</v>
      </c>
      <c r="C1555" s="1110">
        <v>1</v>
      </c>
      <c r="D1555" s="1110">
        <v>1</v>
      </c>
      <c r="E1555" s="1087">
        <v>3.14</v>
      </c>
      <c r="F1555" s="1087">
        <v>0.11</v>
      </c>
      <c r="G1555" s="1087">
        <v>14.6</v>
      </c>
      <c r="H1555" s="1087">
        <f t="shared" si="67"/>
        <v>5.04</v>
      </c>
    </row>
    <row r="1556" spans="1:8" s="965" customFormat="1">
      <c r="A1556" s="1059"/>
      <c r="B1556" s="1065" t="s">
        <v>5418</v>
      </c>
      <c r="C1556" s="1110">
        <v>1</v>
      </c>
      <c r="D1556" s="1110">
        <v>1</v>
      </c>
      <c r="E1556" s="1087">
        <v>3.14</v>
      </c>
      <c r="F1556" s="1087">
        <v>0.11</v>
      </c>
      <c r="G1556" s="1087">
        <v>20</v>
      </c>
      <c r="H1556" s="1087">
        <f t="shared" si="67"/>
        <v>6.91</v>
      </c>
    </row>
    <row r="1557" spans="1:8" s="965" customFormat="1">
      <c r="A1557" s="1059"/>
      <c r="B1557" s="1065" t="s">
        <v>5419</v>
      </c>
      <c r="C1557" s="1110">
        <v>1</v>
      </c>
      <c r="D1557" s="1110">
        <v>1</v>
      </c>
      <c r="E1557" s="1087">
        <v>3.14</v>
      </c>
      <c r="F1557" s="1087">
        <v>0.03</v>
      </c>
      <c r="G1557" s="1087">
        <v>60</v>
      </c>
      <c r="H1557" s="1087">
        <f t="shared" si="67"/>
        <v>5.65</v>
      </c>
    </row>
    <row r="1558" spans="1:8" s="965" customFormat="1">
      <c r="A1558" s="1059"/>
      <c r="B1558" s="1065" t="s">
        <v>5420</v>
      </c>
      <c r="C1558" s="1110">
        <v>1</v>
      </c>
      <c r="D1558" s="1110">
        <v>1</v>
      </c>
      <c r="E1558" s="1087">
        <v>3.14</v>
      </c>
      <c r="F1558" s="1087">
        <v>2.5000000000000001E-2</v>
      </c>
      <c r="G1558" s="1087">
        <v>537</v>
      </c>
      <c r="H1558" s="1087">
        <f t="shared" si="67"/>
        <v>42.15</v>
      </c>
    </row>
    <row r="1559" spans="1:8" s="965" customFormat="1">
      <c r="A1559" s="1059"/>
      <c r="B1559" s="1065" t="s">
        <v>5421</v>
      </c>
      <c r="C1559" s="1110">
        <v>1</v>
      </c>
      <c r="D1559" s="1110">
        <v>1</v>
      </c>
      <c r="E1559" s="1087">
        <v>3.14</v>
      </c>
      <c r="F1559" s="1087">
        <v>7.4999999999999997E-2</v>
      </c>
      <c r="G1559" s="1087">
        <v>97.8</v>
      </c>
      <c r="H1559" s="1087">
        <f t="shared" si="67"/>
        <v>23.03</v>
      </c>
    </row>
    <row r="1560" spans="1:8" s="965" customFormat="1">
      <c r="A1560" s="1059"/>
      <c r="B1560" s="1064"/>
      <c r="C1560" s="1061"/>
      <c r="D1560" s="1061"/>
      <c r="E1560" s="1062"/>
      <c r="F1560" s="1062"/>
      <c r="G1560" s="1062"/>
      <c r="H1560" s="1063">
        <f>SUM(H1547:H1559)</f>
        <v>190</v>
      </c>
    </row>
    <row r="1561" spans="1:8" s="965" customFormat="1">
      <c r="A1561" s="1059"/>
      <c r="B1561" s="1064"/>
      <c r="C1561" s="1061"/>
      <c r="D1561" s="1061"/>
      <c r="E1561" s="1062"/>
      <c r="F1561" s="1072" t="s">
        <v>4121</v>
      </c>
      <c r="G1561" s="1100">
        <f>ROUNDUP(H1560,1)</f>
        <v>190</v>
      </c>
      <c r="H1561" s="1074" t="s">
        <v>2199</v>
      </c>
    </row>
    <row r="1562" spans="1:8" s="965" customFormat="1">
      <c r="A1562" s="1059">
        <v>43</v>
      </c>
      <c r="B1562" s="1075" t="s">
        <v>5422</v>
      </c>
      <c r="C1562" s="1105"/>
      <c r="D1562" s="1105"/>
      <c r="E1562" s="1058" t="s">
        <v>5423</v>
      </c>
      <c r="F1562" s="1058"/>
      <c r="G1562" s="1058" t="s">
        <v>5424</v>
      </c>
      <c r="H1562" s="1077"/>
    </row>
    <row r="1563" spans="1:8" s="965" customFormat="1">
      <c r="A1563" s="1059"/>
      <c r="B1563" s="1076" t="s">
        <v>5425</v>
      </c>
      <c r="C1563" s="1061"/>
      <c r="D1563" s="1061"/>
      <c r="E1563" s="1062">
        <f>G203</f>
        <v>129.19999999999999</v>
      </c>
      <c r="F1563" s="1062"/>
      <c r="G1563" s="1062">
        <v>120</v>
      </c>
      <c r="H1563" s="1087">
        <f t="shared" ref="H1563:H1569" si="68">PRODUCT(C1563:G1563)</f>
        <v>15504</v>
      </c>
    </row>
    <row r="1564" spans="1:8" s="965" customFormat="1">
      <c r="A1564" s="1059"/>
      <c r="B1564" s="1076" t="s">
        <v>5426</v>
      </c>
      <c r="C1564" s="1061"/>
      <c r="D1564" s="1061"/>
      <c r="E1564" s="1062">
        <f>G329</f>
        <v>91.6</v>
      </c>
      <c r="F1564" s="1062"/>
      <c r="G1564" s="1062">
        <v>120</v>
      </c>
      <c r="H1564" s="1087">
        <f t="shared" si="68"/>
        <v>10992</v>
      </c>
    </row>
    <row r="1565" spans="1:8" s="965" customFormat="1">
      <c r="A1565" s="1059"/>
      <c r="B1565" s="1076"/>
      <c r="C1565" s="1061"/>
      <c r="D1565" s="1061"/>
      <c r="E1565" s="1062">
        <f>G387</f>
        <v>109.4</v>
      </c>
      <c r="F1565" s="1062"/>
      <c r="G1565" s="1062">
        <v>100</v>
      </c>
      <c r="H1565" s="1087">
        <f t="shared" si="68"/>
        <v>10940</v>
      </c>
    </row>
    <row r="1566" spans="1:8" s="965" customFormat="1">
      <c r="A1566" s="1059"/>
      <c r="B1566" s="1076"/>
      <c r="C1566" s="1061"/>
      <c r="D1566" s="1061"/>
      <c r="E1566" s="1062">
        <f>G389</f>
        <v>109.4</v>
      </c>
      <c r="F1566" s="1062"/>
      <c r="G1566" s="1062">
        <v>100</v>
      </c>
      <c r="H1566" s="1087">
        <f t="shared" si="68"/>
        <v>10940</v>
      </c>
    </row>
    <row r="1567" spans="1:8" s="965" customFormat="1">
      <c r="A1567" s="1059"/>
      <c r="B1567" s="1076"/>
      <c r="C1567" s="1061"/>
      <c r="D1567" s="1061"/>
      <c r="E1567" s="1062">
        <f>G401</f>
        <v>12.2</v>
      </c>
      <c r="F1567" s="1062"/>
      <c r="G1567" s="1062">
        <v>100</v>
      </c>
      <c r="H1567" s="1087">
        <f t="shared" si="68"/>
        <v>1220</v>
      </c>
    </row>
    <row r="1568" spans="1:8" s="965" customFormat="1">
      <c r="A1568" s="1059"/>
      <c r="B1568" s="1076" t="s">
        <v>5427</v>
      </c>
      <c r="C1568" s="1061"/>
      <c r="D1568" s="1061"/>
      <c r="E1568" s="1062">
        <v>88.5</v>
      </c>
      <c r="F1568" s="1062">
        <v>0.02</v>
      </c>
      <c r="G1568" s="1062">
        <v>100</v>
      </c>
      <c r="H1568" s="1087">
        <f t="shared" si="68"/>
        <v>177</v>
      </c>
    </row>
    <row r="1569" spans="1:8" s="965" customFormat="1">
      <c r="A1569" s="1059"/>
      <c r="B1569" s="1076" t="s">
        <v>5428</v>
      </c>
      <c r="C1569" s="1061"/>
      <c r="D1569" s="1061"/>
      <c r="E1569" s="1062">
        <v>32.4</v>
      </c>
      <c r="F1569" s="1062">
        <v>4</v>
      </c>
      <c r="G1569" s="1062">
        <v>100</v>
      </c>
      <c r="H1569" s="1087">
        <f t="shared" si="68"/>
        <v>12960</v>
      </c>
    </row>
    <row r="1570" spans="1:8" s="965" customFormat="1">
      <c r="A1570" s="1059"/>
      <c r="B1570" s="1064"/>
      <c r="C1570" s="1061"/>
      <c r="D1570" s="1061"/>
      <c r="E1570" s="1062"/>
      <c r="F1570" s="1062"/>
      <c r="G1570" s="1058"/>
      <c r="H1570" s="1077">
        <f>SUM(H1563:H1569)</f>
        <v>62733</v>
      </c>
    </row>
    <row r="1571" spans="1:8" s="965" customFormat="1">
      <c r="A1571" s="1059"/>
      <c r="B1571" s="1064"/>
      <c r="C1571" s="1061"/>
      <c r="D1571" s="1061"/>
      <c r="E1571" s="1062"/>
      <c r="F1571" s="1058" t="s">
        <v>5429</v>
      </c>
      <c r="G1571" s="1106">
        <f>H1570/1000</f>
        <v>62.73</v>
      </c>
      <c r="H1571" s="1077" t="s">
        <v>5430</v>
      </c>
    </row>
    <row r="1572" spans="1:8" s="965" customFormat="1">
      <c r="A1572" s="1059"/>
      <c r="B1572" s="1064"/>
      <c r="C1572" s="1061"/>
      <c r="D1572" s="1061"/>
      <c r="E1572" s="1062"/>
      <c r="F1572" s="1062"/>
      <c r="G1572" s="1062"/>
      <c r="H1572" s="1063"/>
    </row>
    <row r="1573" spans="1:8" s="965" customFormat="1">
      <c r="A1573" s="1059" t="s">
        <v>5431</v>
      </c>
      <c r="B1573" s="1075" t="s">
        <v>5432</v>
      </c>
      <c r="C1573" s="1061">
        <v>1</v>
      </c>
      <c r="D1573" s="1107">
        <v>7</v>
      </c>
      <c r="E1573" s="1062">
        <v>11.5</v>
      </c>
      <c r="F1573" s="1062"/>
      <c r="G1573" s="1062"/>
      <c r="H1573" s="1063">
        <f>PRODUCT(C1573:G1573)</f>
        <v>80.5</v>
      </c>
    </row>
    <row r="1574" spans="1:8" s="965" customFormat="1">
      <c r="A1574" s="1059"/>
      <c r="B1574" s="1064" t="s">
        <v>5433</v>
      </c>
      <c r="C1574" s="1061">
        <v>1</v>
      </c>
      <c r="D1574" s="1061">
        <v>2</v>
      </c>
      <c r="E1574" s="1062">
        <v>2.6</v>
      </c>
      <c r="F1574" s="1062"/>
      <c r="G1574" s="1062"/>
      <c r="H1574" s="1063">
        <f>PRODUCT(C1574:G1574)</f>
        <v>5.2</v>
      </c>
    </row>
    <row r="1575" spans="1:8" s="965" customFormat="1">
      <c r="A1575" s="1059"/>
      <c r="B1575" s="1064"/>
      <c r="C1575" s="1061"/>
      <c r="D1575" s="1061"/>
      <c r="E1575" s="1062"/>
      <c r="F1575" s="1062"/>
      <c r="G1575" s="1062"/>
      <c r="H1575" s="1063">
        <f>SUM(H1573:H1574)</f>
        <v>85.7</v>
      </c>
    </row>
    <row r="1576" spans="1:8" s="965" customFormat="1">
      <c r="A1576" s="1059"/>
      <c r="B1576" s="1064"/>
      <c r="C1576" s="1061"/>
      <c r="D1576" s="1061"/>
      <c r="E1576" s="1062"/>
      <c r="F1576" s="1062"/>
      <c r="G1576" s="1058" t="s">
        <v>4121</v>
      </c>
      <c r="H1576" s="1077">
        <f>SUM(H1575)</f>
        <v>85.7</v>
      </c>
    </row>
    <row r="1577" spans="1:8" s="965" customFormat="1">
      <c r="A1577" s="1455"/>
      <c r="B1577" s="1455"/>
      <c r="C1577" s="1455"/>
      <c r="D1577" s="1455"/>
      <c r="E1577" s="1455"/>
      <c r="F1577" s="1455"/>
      <c r="G1577" s="1455"/>
      <c r="H1577" s="1455"/>
    </row>
    <row r="1578" spans="1:8" s="965" customFormat="1">
      <c r="A1578" s="1059" t="s">
        <v>5434</v>
      </c>
      <c r="B1578" s="1075" t="s">
        <v>5435</v>
      </c>
      <c r="C1578" s="1061">
        <v>1</v>
      </c>
      <c r="D1578" s="1061">
        <v>7</v>
      </c>
      <c r="E1578" s="1062"/>
      <c r="F1578" s="1062"/>
      <c r="G1578" s="1062"/>
      <c r="H1578" s="1077">
        <v>7</v>
      </c>
    </row>
    <row r="1579" spans="1:8" s="965" customFormat="1">
      <c r="A1579" s="1059"/>
      <c r="B1579" s="1064"/>
      <c r="C1579" s="1061"/>
      <c r="D1579" s="1061"/>
      <c r="E1579" s="1062"/>
      <c r="F1579" s="1062"/>
      <c r="G1579" s="1062"/>
      <c r="H1579" s="1063"/>
    </row>
    <row r="1580" spans="1:8" s="965" customFormat="1">
      <c r="A1580" s="1059" t="s">
        <v>5434</v>
      </c>
      <c r="B1580" s="1060" t="s">
        <v>5436</v>
      </c>
      <c r="C1580" s="1061">
        <v>4</v>
      </c>
      <c r="D1580" s="1061">
        <v>7</v>
      </c>
      <c r="E1580" s="1062"/>
      <c r="F1580" s="1062"/>
      <c r="G1580" s="1062"/>
      <c r="H1580" s="1077">
        <f>PRODUCT(C1580:G1580)</f>
        <v>28</v>
      </c>
    </row>
    <row r="1581" spans="1:8" s="965" customFormat="1">
      <c r="A1581" s="1059"/>
      <c r="B1581" s="1064"/>
      <c r="C1581" s="1061"/>
      <c r="D1581" s="1061"/>
      <c r="E1581" s="1062"/>
      <c r="F1581" s="1062"/>
      <c r="G1581" s="1062"/>
      <c r="H1581" s="1063"/>
    </row>
    <row r="1582" spans="1:8" s="965" customFormat="1">
      <c r="A1582" s="1059"/>
      <c r="B1582" s="1064"/>
      <c r="C1582" s="1061"/>
      <c r="D1582" s="1061"/>
      <c r="E1582" s="1062"/>
      <c r="F1582" s="1062"/>
      <c r="G1582" s="1062"/>
      <c r="H1582" s="1063"/>
    </row>
    <row r="1583" spans="1:8" s="965" customFormat="1">
      <c r="A1583" s="1059" t="s">
        <v>5437</v>
      </c>
      <c r="B1583" s="1075" t="s">
        <v>5438</v>
      </c>
      <c r="C1583" s="1061">
        <v>1</v>
      </c>
      <c r="D1583" s="1061">
        <v>8</v>
      </c>
      <c r="E1583" s="1062">
        <v>2</v>
      </c>
      <c r="F1583" s="1062"/>
      <c r="G1583" s="1062"/>
      <c r="H1583" s="1077">
        <f>PRODUCT(C1583:G1583)</f>
        <v>16</v>
      </c>
    </row>
    <row r="1584" spans="1:8" s="965" customFormat="1">
      <c r="A1584" s="1059"/>
      <c r="B1584" s="1064"/>
      <c r="C1584" s="1061"/>
      <c r="D1584" s="1061"/>
      <c r="E1584" s="1062"/>
      <c r="F1584" s="1062"/>
      <c r="G1584" s="1062"/>
      <c r="H1584" s="1063"/>
    </row>
    <row r="1585" spans="1:8" s="965" customFormat="1">
      <c r="A1585" s="1059" t="s">
        <v>5439</v>
      </c>
      <c r="B1585" s="1075" t="s">
        <v>5440</v>
      </c>
      <c r="C1585" s="1061">
        <v>1</v>
      </c>
      <c r="D1585" s="1061">
        <v>8</v>
      </c>
      <c r="E1585" s="1062"/>
      <c r="F1585" s="1062"/>
      <c r="G1585" s="1062"/>
      <c r="H1585" s="1077">
        <f>PRODUCT(C1585:G1585)</f>
        <v>8</v>
      </c>
    </row>
    <row r="1586" spans="1:8" s="965" customFormat="1">
      <c r="A1586" s="1059"/>
      <c r="B1586" s="1064"/>
      <c r="C1586" s="1061"/>
      <c r="D1586" s="1061"/>
      <c r="E1586" s="1062"/>
      <c r="F1586" s="1062"/>
      <c r="G1586" s="1062"/>
      <c r="H1586" s="1063"/>
    </row>
    <row r="1587" spans="1:8" s="965" customFormat="1">
      <c r="A1587" s="1059"/>
      <c r="B1587" s="1064"/>
      <c r="C1587" s="1061"/>
      <c r="D1587" s="1061"/>
      <c r="E1587" s="1062"/>
      <c r="F1587" s="1062"/>
      <c r="G1587" s="1062"/>
      <c r="H1587" s="1063"/>
    </row>
    <row r="1588" spans="1:8" s="965" customFormat="1">
      <c r="A1588" s="1059" t="s">
        <v>5441</v>
      </c>
      <c r="B1588" s="1060" t="s">
        <v>5442</v>
      </c>
      <c r="C1588" s="1061">
        <v>2</v>
      </c>
      <c r="D1588" s="1061">
        <v>8</v>
      </c>
      <c r="E1588" s="1062"/>
      <c r="F1588" s="1062"/>
      <c r="G1588" s="1062"/>
      <c r="H1588" s="1077">
        <f>PRODUCT(C1588:G1588)</f>
        <v>16</v>
      </c>
    </row>
    <row r="1589" spans="1:8" s="965" customFormat="1">
      <c r="A1589" s="1059"/>
      <c r="B1589" s="1064"/>
      <c r="C1589" s="1061"/>
      <c r="D1589" s="1061"/>
      <c r="E1589" s="1062"/>
      <c r="F1589" s="1062"/>
      <c r="G1589" s="1062"/>
      <c r="H1589" s="1063"/>
    </row>
    <row r="1590" spans="1:8" s="965" customFormat="1">
      <c r="A1590" s="1059" t="s">
        <v>5443</v>
      </c>
      <c r="B1590" s="1060" t="s">
        <v>5444</v>
      </c>
      <c r="C1590" s="1061"/>
      <c r="D1590" s="1061"/>
      <c r="E1590" s="1062"/>
      <c r="F1590" s="1062"/>
      <c r="G1590" s="1062"/>
      <c r="H1590" s="1063"/>
    </row>
    <row r="1591" spans="1:8" s="965" customFormat="1">
      <c r="A1591" s="1059"/>
      <c r="B1591" s="1064" t="s">
        <v>5347</v>
      </c>
      <c r="C1591" s="1061">
        <v>14</v>
      </c>
      <c r="D1591" s="1061">
        <v>2</v>
      </c>
      <c r="E1591" s="1062"/>
      <c r="F1591" s="1062"/>
      <c r="G1591" s="1062"/>
      <c r="H1591" s="1063">
        <f>PRODUCT(C1591:G1591)</f>
        <v>28</v>
      </c>
    </row>
    <row r="1592" spans="1:8" s="965" customFormat="1">
      <c r="A1592" s="1059"/>
      <c r="B1592" s="1064" t="s">
        <v>5445</v>
      </c>
      <c r="C1592" s="1061">
        <v>34</v>
      </c>
      <c r="D1592" s="1061">
        <v>2</v>
      </c>
      <c r="E1592" s="1062"/>
      <c r="F1592" s="1062"/>
      <c r="G1592" s="1062"/>
      <c r="H1592" s="1063">
        <f>PRODUCT(C1592:G1592)</f>
        <v>68</v>
      </c>
    </row>
    <row r="1593" spans="1:8" s="965" customFormat="1">
      <c r="A1593" s="1059"/>
      <c r="B1593" s="1064"/>
      <c r="C1593" s="1061"/>
      <c r="D1593" s="1061"/>
      <c r="E1593" s="1062"/>
      <c r="F1593" s="1062"/>
      <c r="G1593" s="1062"/>
      <c r="H1593" s="1077">
        <f>SUM(H1591:H1592)</f>
        <v>96</v>
      </c>
    </row>
    <row r="1594" spans="1:8" s="965" customFormat="1">
      <c r="A1594" s="1059"/>
      <c r="B1594" s="1064"/>
      <c r="C1594" s="1061"/>
      <c r="D1594" s="1061"/>
      <c r="E1594" s="1062"/>
      <c r="F1594" s="1062"/>
      <c r="G1594" s="1062">
        <f>H1593</f>
        <v>96</v>
      </c>
      <c r="H1594" s="1077" t="s">
        <v>244</v>
      </c>
    </row>
    <row r="1595" spans="1:8" s="965" customFormat="1">
      <c r="A1595" s="1450">
        <v>50.3</v>
      </c>
      <c r="B1595" s="1451" t="s">
        <v>2111</v>
      </c>
      <c r="C1595" s="1061">
        <v>1</v>
      </c>
      <c r="D1595" s="1061">
        <v>10</v>
      </c>
      <c r="E1595" s="1062">
        <v>1</v>
      </c>
      <c r="F1595" s="1062"/>
      <c r="G1595" s="1062" t="s">
        <v>1337</v>
      </c>
      <c r="H1595" s="1077">
        <f>C1595*D1595*E1595</f>
        <v>10</v>
      </c>
    </row>
    <row r="1596" spans="1:8" s="965" customFormat="1">
      <c r="A1596" s="1059"/>
      <c r="B1596" s="1064"/>
      <c r="C1596" s="1061"/>
      <c r="D1596" s="1061"/>
      <c r="E1596" s="1062"/>
      <c r="F1596" s="1062"/>
      <c r="G1596" s="1062"/>
      <c r="H1596" s="1077"/>
    </row>
    <row r="1597" spans="1:8" s="965" customFormat="1">
      <c r="A1597" s="1450">
        <v>50.4</v>
      </c>
      <c r="B1597" s="1451" t="s">
        <v>2112</v>
      </c>
      <c r="C1597" s="1061">
        <v>1</v>
      </c>
      <c r="D1597" s="1061">
        <v>10</v>
      </c>
      <c r="E1597" s="1062">
        <v>1</v>
      </c>
      <c r="F1597" s="1062"/>
      <c r="G1597" s="1062" t="s">
        <v>1337</v>
      </c>
      <c r="H1597" s="1077">
        <f>C1597*D1597*E1597</f>
        <v>10</v>
      </c>
    </row>
    <row r="1598" spans="1:8" s="965" customFormat="1">
      <c r="A1598" s="1059"/>
      <c r="B1598" s="1064"/>
      <c r="C1598" s="1061"/>
      <c r="D1598" s="1061"/>
      <c r="E1598" s="1062"/>
      <c r="F1598" s="1062"/>
      <c r="G1598" s="1062"/>
      <c r="H1598" s="1077"/>
    </row>
    <row r="1599" spans="1:8" s="965" customFormat="1">
      <c r="A1599" s="1059">
        <v>50.5</v>
      </c>
      <c r="B1599" s="1064" t="s">
        <v>6117</v>
      </c>
      <c r="C1599" s="1061">
        <v>1</v>
      </c>
      <c r="D1599" s="1061">
        <v>1</v>
      </c>
      <c r="E1599" s="1062">
        <v>1</v>
      </c>
      <c r="F1599" s="1062"/>
      <c r="G1599" s="1062" t="s">
        <v>1337</v>
      </c>
      <c r="H1599" s="1077">
        <v>1</v>
      </c>
    </row>
    <row r="1600" spans="1:8" s="965" customFormat="1">
      <c r="A1600" s="1059"/>
      <c r="B1600" s="1064"/>
      <c r="C1600" s="1061"/>
      <c r="D1600" s="1061"/>
      <c r="E1600" s="1062"/>
      <c r="F1600" s="1062"/>
      <c r="G1600" s="1062"/>
      <c r="H1600" s="1077"/>
    </row>
    <row r="1601" spans="1:8" s="965" customFormat="1">
      <c r="A1601" s="1059">
        <v>51</v>
      </c>
      <c r="B1601" s="1064" t="s">
        <v>229</v>
      </c>
      <c r="C1601" s="1061"/>
      <c r="D1601" s="1061"/>
      <c r="E1601" s="1062"/>
      <c r="F1601" s="1062"/>
      <c r="G1601" s="1062"/>
      <c r="H1601" s="1077"/>
    </row>
    <row r="1602" spans="1:8" s="965" customFormat="1">
      <c r="A1602" s="1059"/>
      <c r="B1602" s="1064" t="s">
        <v>5640</v>
      </c>
      <c r="C1602" s="1061">
        <v>2</v>
      </c>
      <c r="D1602" s="1061">
        <v>2</v>
      </c>
      <c r="E1602" s="1062">
        <v>1</v>
      </c>
      <c r="F1602" s="1062"/>
      <c r="G1602" s="1062"/>
      <c r="H1602" s="1063">
        <f>PRODUCT(C1602:G1602)</f>
        <v>4</v>
      </c>
    </row>
    <row r="1603" spans="1:8" s="965" customFormat="1">
      <c r="A1603" s="1059"/>
      <c r="B1603" s="1064"/>
      <c r="C1603" s="1061"/>
      <c r="D1603" s="1061"/>
      <c r="E1603" s="1062"/>
      <c r="F1603" s="1062"/>
      <c r="G1603" s="1062"/>
      <c r="H1603" s="1077"/>
    </row>
    <row r="1604" spans="1:8" s="965" customFormat="1">
      <c r="A1604" s="1059" t="s">
        <v>5446</v>
      </c>
      <c r="B1604" s="1060" t="s">
        <v>5447</v>
      </c>
      <c r="C1604" s="1061"/>
      <c r="D1604" s="1061"/>
      <c r="E1604" s="1062"/>
      <c r="F1604" s="1062"/>
      <c r="G1604" s="1062"/>
      <c r="H1604" s="1063"/>
    </row>
    <row r="1605" spans="1:8" s="965" customFormat="1">
      <c r="A1605" s="1059"/>
      <c r="B1605" s="1060" t="s">
        <v>5448</v>
      </c>
      <c r="C1605" s="1061"/>
      <c r="D1605" s="1061"/>
      <c r="E1605" s="1062"/>
      <c r="F1605" s="1062"/>
      <c r="G1605" s="1062"/>
      <c r="H1605" s="1063"/>
    </row>
    <row r="1606" spans="1:8" s="965" customFormat="1">
      <c r="A1606" s="1059"/>
      <c r="B1606" s="1064" t="s">
        <v>5449</v>
      </c>
      <c r="C1606" s="1061">
        <v>1</v>
      </c>
      <c r="D1606" s="1061">
        <v>2</v>
      </c>
      <c r="E1606" s="1062">
        <v>30</v>
      </c>
      <c r="F1606" s="1062"/>
      <c r="G1606" s="1062"/>
      <c r="H1606" s="1063">
        <f>PRODUCT(C1606:G1606)</f>
        <v>60</v>
      </c>
    </row>
    <row r="1607" spans="1:8" s="965" customFormat="1">
      <c r="A1607" s="1059"/>
      <c r="B1607" s="1064"/>
      <c r="C1607" s="1061"/>
      <c r="D1607" s="1061"/>
      <c r="E1607" s="1062"/>
      <c r="F1607" s="1062"/>
      <c r="G1607" s="1062"/>
      <c r="H1607" s="1077">
        <f>SUM(H1606:H1606)</f>
        <v>60</v>
      </c>
    </row>
    <row r="1608" spans="1:8" s="965" customFormat="1">
      <c r="A1608" s="1059"/>
      <c r="B1608" s="1060" t="s">
        <v>5450</v>
      </c>
      <c r="C1608" s="1061"/>
      <c r="D1608" s="1061"/>
      <c r="E1608" s="1062"/>
      <c r="F1608" s="1062"/>
      <c r="G1608" s="1062"/>
      <c r="H1608" s="1063"/>
    </row>
    <row r="1609" spans="1:8" s="965" customFormat="1">
      <c r="A1609" s="1059"/>
      <c r="B1609" s="1064" t="s">
        <v>5451</v>
      </c>
      <c r="C1609" s="1061">
        <v>1</v>
      </c>
      <c r="D1609" s="1061">
        <v>2</v>
      </c>
      <c r="E1609" s="1062">
        <v>11.5</v>
      </c>
      <c r="F1609" s="1062"/>
      <c r="G1609" s="1062"/>
      <c r="H1609" s="1063">
        <f>PRODUCT(C1609:G1609)</f>
        <v>23</v>
      </c>
    </row>
    <row r="1610" spans="1:8" s="965" customFormat="1">
      <c r="A1610" s="1059"/>
      <c r="B1610" s="1064" t="s">
        <v>5452</v>
      </c>
      <c r="C1610" s="1061">
        <v>2</v>
      </c>
      <c r="D1610" s="1061">
        <v>2</v>
      </c>
      <c r="E1610" s="1062">
        <v>20</v>
      </c>
      <c r="F1610" s="1062"/>
      <c r="G1610" s="1062"/>
      <c r="H1610" s="1063">
        <f t="shared" ref="H1610:H1618" si="69">PRODUCT(C1610:G1610)</f>
        <v>80</v>
      </c>
    </row>
    <row r="1611" spans="1:8" s="965" customFormat="1">
      <c r="A1611" s="1059"/>
      <c r="B1611" s="1064" t="s">
        <v>5453</v>
      </c>
      <c r="C1611" s="1061">
        <v>2</v>
      </c>
      <c r="D1611" s="1061">
        <v>1</v>
      </c>
      <c r="E1611" s="1062">
        <v>28</v>
      </c>
      <c r="F1611" s="1062"/>
      <c r="G1611" s="1062"/>
      <c r="H1611" s="1063">
        <f t="shared" si="69"/>
        <v>56</v>
      </c>
    </row>
    <row r="1612" spans="1:8" s="965" customFormat="1">
      <c r="A1612" s="1059"/>
      <c r="B1612" s="1064" t="s">
        <v>5454</v>
      </c>
      <c r="C1612" s="1061">
        <v>1</v>
      </c>
      <c r="D1612" s="1061">
        <v>2</v>
      </c>
      <c r="E1612" s="1062">
        <v>11.5</v>
      </c>
      <c r="F1612" s="1062"/>
      <c r="G1612" s="1062"/>
      <c r="H1612" s="1063">
        <f t="shared" si="69"/>
        <v>23</v>
      </c>
    </row>
    <row r="1613" spans="1:8" s="965" customFormat="1">
      <c r="A1613" s="1059"/>
      <c r="B1613" s="1064" t="s">
        <v>5452</v>
      </c>
      <c r="C1613" s="1061">
        <v>2</v>
      </c>
      <c r="D1613" s="1061">
        <v>2</v>
      </c>
      <c r="E1613" s="1062">
        <v>20</v>
      </c>
      <c r="F1613" s="1062"/>
      <c r="G1613" s="1062"/>
      <c r="H1613" s="1063">
        <f t="shared" si="69"/>
        <v>80</v>
      </c>
    </row>
    <row r="1614" spans="1:8" s="965" customFormat="1">
      <c r="A1614" s="1059"/>
      <c r="B1614" s="1064" t="s">
        <v>5455</v>
      </c>
      <c r="C1614" s="1061">
        <v>1</v>
      </c>
      <c r="D1614" s="1061">
        <v>2</v>
      </c>
      <c r="E1614" s="1062">
        <v>30</v>
      </c>
      <c r="F1614" s="1062"/>
      <c r="G1614" s="1062"/>
      <c r="H1614" s="1063">
        <f t="shared" si="69"/>
        <v>60</v>
      </c>
    </row>
    <row r="1615" spans="1:8" s="965" customFormat="1">
      <c r="A1615" s="1059"/>
      <c r="B1615" s="1064" t="s">
        <v>5453</v>
      </c>
      <c r="C1615" s="1061">
        <v>2</v>
      </c>
      <c r="D1615" s="1061">
        <v>1</v>
      </c>
      <c r="E1615" s="1062">
        <v>28</v>
      </c>
      <c r="F1615" s="1062"/>
      <c r="G1615" s="1062"/>
      <c r="H1615" s="1063">
        <f t="shared" si="69"/>
        <v>56</v>
      </c>
    </row>
    <row r="1616" spans="1:8" s="965" customFormat="1">
      <c r="A1616" s="1059"/>
      <c r="B1616" s="1064" t="s">
        <v>5454</v>
      </c>
      <c r="C1616" s="1061">
        <v>1</v>
      </c>
      <c r="D1616" s="1061">
        <v>2</v>
      </c>
      <c r="E1616" s="1062">
        <v>11.5</v>
      </c>
      <c r="F1616" s="1062"/>
      <c r="G1616" s="1062"/>
      <c r="H1616" s="1063">
        <f t="shared" si="69"/>
        <v>23</v>
      </c>
    </row>
    <row r="1617" spans="1:8" s="965" customFormat="1">
      <c r="A1617" s="1059"/>
      <c r="B1617" s="1064" t="s">
        <v>5452</v>
      </c>
      <c r="C1617" s="1061">
        <v>2</v>
      </c>
      <c r="D1617" s="1061">
        <v>2</v>
      </c>
      <c r="E1617" s="1062">
        <v>20</v>
      </c>
      <c r="F1617" s="1062"/>
      <c r="G1617" s="1062"/>
      <c r="H1617" s="1063">
        <f t="shared" si="69"/>
        <v>80</v>
      </c>
    </row>
    <row r="1618" spans="1:8" s="965" customFormat="1">
      <c r="A1618" s="1059"/>
      <c r="B1618" s="1064" t="s">
        <v>5453</v>
      </c>
      <c r="C1618" s="1061">
        <v>2</v>
      </c>
      <c r="D1618" s="1061">
        <v>1</v>
      </c>
      <c r="E1618" s="1062">
        <v>28</v>
      </c>
      <c r="F1618" s="1062"/>
      <c r="G1618" s="1062"/>
      <c r="H1618" s="1063">
        <f t="shared" si="69"/>
        <v>56</v>
      </c>
    </row>
    <row r="1619" spans="1:8" s="965" customFormat="1">
      <c r="A1619" s="1059"/>
      <c r="B1619" s="1064"/>
      <c r="C1619" s="1061"/>
      <c r="D1619" s="1061"/>
      <c r="E1619" s="1062"/>
      <c r="F1619" s="1062"/>
      <c r="G1619" s="1062"/>
      <c r="H1619" s="1063">
        <f>SUM(H1609:H1618)</f>
        <v>537</v>
      </c>
    </row>
    <row r="1620" spans="1:8" s="965" customFormat="1">
      <c r="A1620" s="1059" t="s">
        <v>5446</v>
      </c>
      <c r="B1620" s="1075" t="s">
        <v>5456</v>
      </c>
      <c r="C1620" s="1061"/>
      <c r="D1620" s="1061"/>
      <c r="E1620" s="1062"/>
      <c r="F1620" s="1072" t="s">
        <v>4121</v>
      </c>
      <c r="G1620" s="1100">
        <f>ROUNDUP(H1619,1)</f>
        <v>537</v>
      </c>
      <c r="H1620" s="1074" t="s">
        <v>5457</v>
      </c>
    </row>
    <row r="1621" spans="1:8" s="965" customFormat="1">
      <c r="A1621" s="1059"/>
      <c r="B1621" s="1076" t="s">
        <v>5458</v>
      </c>
      <c r="C1621" s="1061">
        <v>1</v>
      </c>
      <c r="D1621" s="1061">
        <v>4</v>
      </c>
      <c r="E1621" s="1062">
        <v>2.5</v>
      </c>
      <c r="F1621" s="1062"/>
      <c r="G1621" s="1062"/>
      <c r="H1621" s="1077">
        <f>PRODUCT(C1621:G1621)</f>
        <v>10</v>
      </c>
    </row>
    <row r="1622" spans="1:8" s="965" customFormat="1">
      <c r="A1622" s="1059"/>
      <c r="B1622" s="1064"/>
      <c r="C1622" s="1061"/>
      <c r="D1622" s="1061"/>
      <c r="E1622" s="1062"/>
      <c r="F1622" s="1062"/>
      <c r="G1622" s="1062"/>
      <c r="H1622" s="1063"/>
    </row>
    <row r="1623" spans="1:8" s="965" customFormat="1">
      <c r="A1623" s="1059" t="s">
        <v>5459</v>
      </c>
      <c r="B1623" s="1075" t="s">
        <v>5460</v>
      </c>
      <c r="C1623" s="1061"/>
      <c r="D1623" s="1061"/>
      <c r="E1623" s="1062"/>
      <c r="F1623" s="1062"/>
      <c r="G1623" s="1062"/>
      <c r="H1623" s="1063"/>
    </row>
    <row r="1624" spans="1:8" s="965" customFormat="1">
      <c r="A1624" s="1059"/>
      <c r="B1624" s="1076" t="s">
        <v>5458</v>
      </c>
      <c r="C1624" s="1061">
        <v>1</v>
      </c>
      <c r="D1624" s="1061">
        <v>11</v>
      </c>
      <c r="E1624" s="1062">
        <v>4</v>
      </c>
      <c r="F1624" s="1062"/>
      <c r="G1624" s="1062"/>
      <c r="H1624" s="1077">
        <f>PRODUCT(C1624:G1624)</f>
        <v>44</v>
      </c>
    </row>
    <row r="1625" spans="1:8" s="965" customFormat="1">
      <c r="A1625" s="1059"/>
      <c r="B1625" s="1075" t="s">
        <v>5461</v>
      </c>
      <c r="C1625" s="1061">
        <v>1</v>
      </c>
      <c r="D1625" s="1061">
        <v>4</v>
      </c>
      <c r="E1625" s="1062">
        <v>6</v>
      </c>
      <c r="F1625" s="1062"/>
      <c r="G1625" s="1062"/>
      <c r="H1625" s="1077">
        <f>PRODUCT(C1625:G1625)</f>
        <v>24</v>
      </c>
    </row>
    <row r="1626" spans="1:8" s="965" customFormat="1">
      <c r="A1626" s="1059"/>
      <c r="B1626" s="1076"/>
      <c r="C1626" s="1061"/>
      <c r="D1626" s="1061"/>
      <c r="E1626" s="1062"/>
      <c r="F1626" s="1062"/>
      <c r="G1626" s="1062"/>
      <c r="H1626" s="1077">
        <f>SUM(H1624:H1625)</f>
        <v>68</v>
      </c>
    </row>
    <row r="1627" spans="1:8" s="965" customFormat="1">
      <c r="A1627" s="1059"/>
      <c r="B1627" s="1076"/>
      <c r="C1627" s="1061"/>
      <c r="D1627" s="1061"/>
      <c r="E1627" s="1062"/>
      <c r="F1627" s="1062"/>
      <c r="G1627" s="1062"/>
      <c r="H1627" s="1077"/>
    </row>
    <row r="1628" spans="1:8" s="965" customFormat="1">
      <c r="A1628" s="1059" t="s">
        <v>5462</v>
      </c>
      <c r="B1628" s="1060" t="s">
        <v>5463</v>
      </c>
      <c r="C1628" s="1061"/>
      <c r="D1628" s="1061"/>
      <c r="E1628" s="1062"/>
      <c r="F1628" s="1062"/>
      <c r="G1628" s="1062"/>
      <c r="H1628" s="1063"/>
    </row>
    <row r="1629" spans="1:8" s="965" customFormat="1">
      <c r="A1629" s="1059"/>
      <c r="B1629" s="1064" t="s">
        <v>5464</v>
      </c>
      <c r="C1629" s="1061">
        <v>1</v>
      </c>
      <c r="D1629" s="1061">
        <v>8</v>
      </c>
      <c r="E1629" s="1062">
        <v>1</v>
      </c>
      <c r="F1629" s="1062"/>
      <c r="G1629" s="1062"/>
      <c r="H1629" s="1077">
        <f>PRODUCT(C1629:G1629)</f>
        <v>8</v>
      </c>
    </row>
    <row r="1630" spans="1:8" s="965" customFormat="1">
      <c r="A1630" s="1059"/>
      <c r="B1630" s="1064"/>
      <c r="C1630" s="1061"/>
      <c r="D1630" s="1061"/>
      <c r="E1630" s="1062"/>
      <c r="F1630" s="1062"/>
      <c r="G1630" s="1062"/>
      <c r="H1630" s="1063"/>
    </row>
    <row r="1631" spans="1:8" s="965" customFormat="1">
      <c r="A1631" s="1059" t="s">
        <v>5465</v>
      </c>
      <c r="B1631" s="1060" t="s">
        <v>5466</v>
      </c>
      <c r="C1631" s="1061"/>
      <c r="D1631" s="1061"/>
      <c r="E1631" s="1062"/>
      <c r="F1631" s="1062"/>
      <c r="G1631" s="1062"/>
      <c r="H1631" s="1063"/>
    </row>
    <row r="1632" spans="1:8" s="965" customFormat="1">
      <c r="A1632" s="1059"/>
      <c r="B1632" s="1076" t="s">
        <v>5458</v>
      </c>
      <c r="C1632" s="1061">
        <v>1</v>
      </c>
      <c r="D1632" s="1061">
        <v>11</v>
      </c>
      <c r="E1632" s="1062">
        <v>1</v>
      </c>
      <c r="F1632" s="1062"/>
      <c r="G1632" s="1062"/>
      <c r="H1632" s="1077">
        <f>PRODUCT(C1632:G1632)</f>
        <v>11</v>
      </c>
    </row>
    <row r="1633" spans="1:8" s="965" customFormat="1">
      <c r="A1633" s="1059"/>
      <c r="B1633" s="1064" t="s">
        <v>5467</v>
      </c>
      <c r="C1633" s="1061">
        <v>3</v>
      </c>
      <c r="D1633" s="1061">
        <v>2</v>
      </c>
      <c r="E1633" s="1062">
        <v>1</v>
      </c>
      <c r="F1633" s="1062"/>
      <c r="G1633" s="1062"/>
      <c r="H1633" s="1063">
        <f>PRODUCT(C1633:G1633)</f>
        <v>6</v>
      </c>
    </row>
    <row r="1634" spans="1:8" s="965" customFormat="1">
      <c r="C1634" s="1061"/>
      <c r="D1634" s="1061"/>
      <c r="E1634" s="1062"/>
      <c r="F1634" s="1062"/>
      <c r="G1634" s="1062"/>
      <c r="H1634" s="1077">
        <f>SUM(H1632:H1633)</f>
        <v>17</v>
      </c>
    </row>
    <row r="1635" spans="1:8" s="965" customFormat="1">
      <c r="A1635" s="1059" t="s">
        <v>5468</v>
      </c>
      <c r="B1635" s="1060" t="s">
        <v>5469</v>
      </c>
      <c r="C1635" s="1061"/>
      <c r="D1635" s="1061"/>
      <c r="E1635" s="1062"/>
      <c r="F1635" s="1062"/>
      <c r="G1635" s="1062"/>
      <c r="H1635" s="1077"/>
    </row>
    <row r="1636" spans="1:8" s="965" customFormat="1">
      <c r="A1636" s="1059"/>
      <c r="B1636" s="1076" t="s">
        <v>5458</v>
      </c>
      <c r="C1636" s="1061">
        <v>1</v>
      </c>
      <c r="D1636" s="1061">
        <v>11</v>
      </c>
      <c r="E1636" s="1062">
        <v>1</v>
      </c>
      <c r="F1636" s="1062"/>
      <c r="G1636" s="1062"/>
      <c r="H1636" s="1077">
        <f>PRODUCT(C1636:G1636)</f>
        <v>11</v>
      </c>
    </row>
    <row r="1637" spans="1:8" s="965" customFormat="1">
      <c r="A1637" s="1059"/>
      <c r="B1637" s="1064"/>
      <c r="C1637" s="1061"/>
      <c r="D1637" s="1061"/>
      <c r="E1637" s="1062"/>
      <c r="F1637" s="1062"/>
      <c r="G1637" s="1062"/>
      <c r="H1637" s="1077">
        <f>SUM(H1636)</f>
        <v>11</v>
      </c>
    </row>
    <row r="1638" spans="1:8" s="965" customFormat="1">
      <c r="A1638" s="1059"/>
      <c r="B1638" s="1064"/>
      <c r="C1638" s="1061"/>
      <c r="D1638" s="1061"/>
      <c r="E1638" s="1062"/>
      <c r="F1638" s="1062"/>
      <c r="G1638" s="1062"/>
      <c r="H1638" s="1063"/>
    </row>
    <row r="1639" spans="1:8" s="965" customFormat="1">
      <c r="A1639" s="1059" t="s">
        <v>5470</v>
      </c>
      <c r="B1639" s="1075" t="s">
        <v>5471</v>
      </c>
      <c r="C1639" s="1061">
        <v>1</v>
      </c>
      <c r="D1639" s="1061">
        <v>2</v>
      </c>
      <c r="E1639" s="1062"/>
      <c r="F1639" s="1062"/>
      <c r="G1639" s="1062"/>
      <c r="H1639" s="1077">
        <f>PRODUCT(C1639:G1639)</f>
        <v>2</v>
      </c>
    </row>
    <row r="1640" spans="1:8" s="965" customFormat="1">
      <c r="A1640" s="1059"/>
      <c r="B1640" s="1075"/>
      <c r="C1640" s="1061"/>
      <c r="D1640" s="1061"/>
      <c r="E1640" s="1062"/>
      <c r="F1640" s="1062"/>
      <c r="G1640" s="1062"/>
      <c r="H1640" s="1077"/>
    </row>
    <row r="1641" spans="1:8" s="965" customFormat="1">
      <c r="A1641" s="1059">
        <v>56.2</v>
      </c>
      <c r="B1641" s="1064" t="s">
        <v>5472</v>
      </c>
      <c r="C1641" s="1061">
        <v>1</v>
      </c>
      <c r="D1641" s="1061">
        <v>4</v>
      </c>
      <c r="E1641" s="1062"/>
      <c r="F1641" s="1062"/>
      <c r="G1641" s="1062"/>
      <c r="H1641" s="1077">
        <f>PRODUCT(C1641:G1641)</f>
        <v>4</v>
      </c>
    </row>
    <row r="1642" spans="1:8" s="965" customFormat="1">
      <c r="A1642" s="1059"/>
      <c r="B1642" s="1064"/>
      <c r="C1642" s="1061"/>
      <c r="D1642" s="1061"/>
      <c r="E1642" s="1062"/>
      <c r="F1642" s="1062"/>
      <c r="G1642" s="1062"/>
      <c r="H1642" s="1063"/>
    </row>
    <row r="1643" spans="1:8" s="965" customFormat="1">
      <c r="A1643" s="1059">
        <v>57</v>
      </c>
      <c r="B1643" s="1064" t="s">
        <v>5473</v>
      </c>
      <c r="C1643" s="1061"/>
      <c r="D1643" s="1061"/>
      <c r="E1643" s="1062"/>
      <c r="F1643" s="1062"/>
      <c r="G1643" s="1062"/>
      <c r="H1643" s="1063"/>
    </row>
    <row r="1644" spans="1:8" s="965" customFormat="1">
      <c r="A1644" s="1059"/>
      <c r="B1644" s="1064" t="s">
        <v>5474</v>
      </c>
      <c r="C1644" s="1061">
        <v>1</v>
      </c>
      <c r="D1644" s="1061">
        <v>5</v>
      </c>
      <c r="E1644" s="1062">
        <v>1</v>
      </c>
      <c r="F1644" s="1062"/>
      <c r="G1644" s="1062"/>
      <c r="H1644" s="1077">
        <f>PRODUCT(C1644:G1644)</f>
        <v>5</v>
      </c>
    </row>
    <row r="1645" spans="1:8" s="965" customFormat="1">
      <c r="A1645" s="1059">
        <v>58.3</v>
      </c>
      <c r="B1645" s="1060" t="s">
        <v>5475</v>
      </c>
      <c r="C1645" s="1061"/>
      <c r="D1645" s="1061"/>
      <c r="E1645" s="1062"/>
      <c r="F1645" s="1062"/>
      <c r="G1645" s="1062"/>
      <c r="H1645" s="1063"/>
    </row>
    <row r="1646" spans="1:8" s="965" customFormat="1">
      <c r="A1646" s="1059"/>
      <c r="B1646" s="1064" t="s">
        <v>5476</v>
      </c>
      <c r="C1646" s="1061">
        <v>1</v>
      </c>
      <c r="D1646" s="1061">
        <v>6</v>
      </c>
      <c r="E1646" s="1062">
        <v>11.5</v>
      </c>
      <c r="F1646" s="1062"/>
      <c r="G1646" s="1062"/>
      <c r="H1646" s="1077">
        <f>PRODUCT(C1646:G1646)</f>
        <v>69</v>
      </c>
    </row>
    <row r="1647" spans="1:8" s="965" customFormat="1">
      <c r="A1647" s="1059"/>
      <c r="B1647" s="1064"/>
      <c r="C1647" s="1061"/>
      <c r="D1647" s="1061"/>
      <c r="E1647" s="1062"/>
      <c r="F1647" s="1062"/>
      <c r="G1647" s="1062"/>
      <c r="H1647" s="1063"/>
    </row>
    <row r="1648" spans="1:8" s="965" customFormat="1">
      <c r="A1648" s="1059"/>
      <c r="B1648" s="1064" t="s">
        <v>5477</v>
      </c>
      <c r="C1648" s="1061"/>
      <c r="D1648" s="1061"/>
      <c r="E1648" s="1062"/>
      <c r="F1648" s="1062"/>
      <c r="G1648" s="1062"/>
      <c r="H1648" s="1063"/>
    </row>
    <row r="1649" spans="1:8" s="965" customFormat="1">
      <c r="A1649" s="1059"/>
      <c r="B1649" s="1064" t="s">
        <v>5478</v>
      </c>
      <c r="C1649" s="1061">
        <v>6</v>
      </c>
      <c r="D1649" s="1061">
        <v>1</v>
      </c>
      <c r="E1649" s="1062">
        <v>12.4</v>
      </c>
      <c r="F1649" s="1062"/>
      <c r="G1649" s="1062"/>
      <c r="H1649" s="1063">
        <f>PRODUCT(C1649:G1649)</f>
        <v>74.400000000000006</v>
      </c>
    </row>
    <row r="1650" spans="1:8" s="965" customFormat="1">
      <c r="A1650" s="1059"/>
      <c r="B1650" s="1064" t="s">
        <v>5479</v>
      </c>
      <c r="C1650" s="1061">
        <v>3</v>
      </c>
      <c r="D1650" s="1061">
        <v>1</v>
      </c>
      <c r="E1650" s="1062">
        <v>6</v>
      </c>
      <c r="F1650" s="1062"/>
      <c r="G1650" s="1062"/>
      <c r="H1650" s="1063">
        <f>PRODUCT(C1650:G1650)</f>
        <v>18</v>
      </c>
    </row>
    <row r="1651" spans="1:8" s="965" customFormat="1">
      <c r="A1651" s="1059"/>
      <c r="B1651" s="1064" t="s">
        <v>5480</v>
      </c>
      <c r="C1651" s="1061">
        <v>1</v>
      </c>
      <c r="D1651" s="1061">
        <v>6</v>
      </c>
      <c r="E1651" s="1062">
        <v>0.9</v>
      </c>
      <c r="F1651" s="1062"/>
      <c r="G1651" s="1062"/>
      <c r="H1651" s="1063">
        <f>PRODUCT(C1651:G1651)</f>
        <v>5.4</v>
      </c>
    </row>
    <row r="1652" spans="1:8" s="965" customFormat="1">
      <c r="A1652" s="1059"/>
      <c r="B1652" s="1064"/>
      <c r="C1652" s="1061"/>
      <c r="D1652" s="1061"/>
      <c r="E1652" s="1062"/>
      <c r="F1652" s="1062"/>
      <c r="G1652" s="1062"/>
      <c r="H1652" s="1077">
        <f>SUM(H1649:H1651)</f>
        <v>97.8</v>
      </c>
    </row>
    <row r="1653" spans="1:8" s="965" customFormat="1">
      <c r="A1653" s="1059"/>
      <c r="B1653" s="1064"/>
      <c r="C1653" s="1061"/>
      <c r="D1653" s="1061"/>
      <c r="E1653" s="1062"/>
      <c r="F1653" s="1072" t="s">
        <v>4121</v>
      </c>
      <c r="G1653" s="1100">
        <f>ROUNDUP(H1652,1)</f>
        <v>97.8</v>
      </c>
      <c r="H1653" s="1074" t="s">
        <v>5457</v>
      </c>
    </row>
    <row r="1654" spans="1:8" s="965" customFormat="1" ht="29.25">
      <c r="A1654" s="1059">
        <v>58.2</v>
      </c>
      <c r="B1654" s="1075" t="s">
        <v>5481</v>
      </c>
      <c r="C1654" s="1061">
        <v>1</v>
      </c>
      <c r="D1654" s="1061">
        <v>8</v>
      </c>
      <c r="E1654" s="1062">
        <v>4</v>
      </c>
      <c r="F1654" s="1062"/>
      <c r="G1654" s="1062"/>
      <c r="H1654" s="1077">
        <f>PRODUCT(C1654:G1654)</f>
        <v>32</v>
      </c>
    </row>
    <row r="1655" spans="1:8" s="965" customFormat="1">
      <c r="A1655" s="1059"/>
      <c r="B1655" s="1064"/>
      <c r="C1655" s="1061"/>
      <c r="D1655" s="1061"/>
      <c r="E1655" s="1062"/>
      <c r="F1655" s="1062"/>
      <c r="G1655" s="1062"/>
      <c r="H1655" s="1063"/>
    </row>
    <row r="1656" spans="1:8" s="965" customFormat="1">
      <c r="A1656" s="1059">
        <v>59.1</v>
      </c>
      <c r="B1656" s="1060" t="s">
        <v>5482</v>
      </c>
      <c r="C1656" s="1061">
        <v>2</v>
      </c>
      <c r="D1656" s="1061">
        <v>4</v>
      </c>
      <c r="E1656" s="1062">
        <v>1</v>
      </c>
      <c r="F1656" s="1062"/>
      <c r="G1656" s="1062"/>
      <c r="H1656" s="1077">
        <f>PRODUCT(C1656:G1656)</f>
        <v>8</v>
      </c>
    </row>
    <row r="1657" spans="1:8" s="965" customFormat="1">
      <c r="A1657" s="1059"/>
      <c r="B1657" s="1064"/>
      <c r="C1657" s="1061"/>
      <c r="D1657" s="1061"/>
      <c r="E1657" s="1062"/>
      <c r="F1657" s="1062"/>
      <c r="G1657" s="1062"/>
      <c r="H1657" s="1063"/>
    </row>
    <row r="1658" spans="1:8" s="965" customFormat="1">
      <c r="A1658" s="1059">
        <v>60</v>
      </c>
      <c r="B1658" s="1060" t="s">
        <v>5483</v>
      </c>
      <c r="C1658" s="1061"/>
      <c r="D1658" s="1061"/>
      <c r="E1658" s="1062"/>
      <c r="F1658" s="1062"/>
      <c r="G1658" s="1062"/>
      <c r="H1658" s="1063"/>
    </row>
    <row r="1659" spans="1:8" s="965" customFormat="1">
      <c r="A1659" s="1059"/>
      <c r="B1659" s="1064" t="s">
        <v>5344</v>
      </c>
      <c r="C1659" s="1061">
        <v>2</v>
      </c>
      <c r="D1659" s="1061">
        <v>3</v>
      </c>
      <c r="E1659" s="1062"/>
      <c r="F1659" s="1062"/>
      <c r="G1659" s="1062"/>
      <c r="H1659" s="1063">
        <f>PRODUCT(C1659:G1659)</f>
        <v>6</v>
      </c>
    </row>
    <row r="1660" spans="1:8" s="965" customFormat="1">
      <c r="A1660" s="1059"/>
      <c r="B1660" s="1064" t="s">
        <v>5310</v>
      </c>
      <c r="C1660" s="1061">
        <v>1</v>
      </c>
      <c r="D1660" s="1061">
        <v>2</v>
      </c>
      <c r="E1660" s="1062"/>
      <c r="F1660" s="1062"/>
      <c r="G1660" s="1062"/>
      <c r="H1660" s="1063">
        <f>PRODUCT(C1660:G1660)</f>
        <v>2</v>
      </c>
    </row>
    <row r="1661" spans="1:8" s="965" customFormat="1">
      <c r="A1661" s="1059"/>
      <c r="B1661" s="1064"/>
      <c r="C1661" s="1061"/>
      <c r="D1661" s="1061"/>
      <c r="E1661" s="1062"/>
      <c r="F1661" s="1062"/>
      <c r="G1661" s="1062"/>
      <c r="H1661" s="1077">
        <f>SUM(H1659:H1660)</f>
        <v>8</v>
      </c>
    </row>
    <row r="1662" spans="1:8" s="965" customFormat="1">
      <c r="A1662" s="1059">
        <v>61</v>
      </c>
      <c r="B1662" s="1060" t="s">
        <v>5484</v>
      </c>
      <c r="C1662" s="1061"/>
      <c r="D1662" s="1061"/>
      <c r="E1662" s="1062"/>
      <c r="F1662" s="1062"/>
      <c r="G1662" s="1062"/>
      <c r="H1662" s="1063"/>
    </row>
    <row r="1663" spans="1:8" s="965" customFormat="1">
      <c r="A1663" s="1059"/>
      <c r="B1663" s="1064" t="s">
        <v>5485</v>
      </c>
      <c r="C1663" s="1061">
        <v>10</v>
      </c>
      <c r="D1663" s="1061">
        <v>1</v>
      </c>
      <c r="E1663" s="1062">
        <v>6</v>
      </c>
      <c r="F1663" s="1062"/>
      <c r="G1663" s="1062"/>
      <c r="H1663" s="1077">
        <f>PRODUCT(C1663:G1663)</f>
        <v>60</v>
      </c>
    </row>
    <row r="1664" spans="1:8" s="965" customFormat="1">
      <c r="A1664" s="1059"/>
      <c r="B1664" s="1064" t="s">
        <v>5486</v>
      </c>
      <c r="C1664" s="1061">
        <v>4</v>
      </c>
      <c r="D1664" s="1061">
        <v>1</v>
      </c>
      <c r="E1664" s="1062">
        <v>6</v>
      </c>
      <c r="F1664" s="1062"/>
      <c r="G1664" s="1062"/>
      <c r="H1664" s="1077">
        <f>PRODUCT(C1664:G1664)</f>
        <v>24</v>
      </c>
    </row>
    <row r="1665" spans="1:8" s="965" customFormat="1">
      <c r="A1665" s="1059"/>
      <c r="B1665" s="1064"/>
      <c r="C1665" s="1061"/>
      <c r="D1665" s="1061"/>
      <c r="E1665" s="1062"/>
      <c r="F1665" s="1062"/>
      <c r="G1665" s="1062"/>
      <c r="H1665" s="1077"/>
    </row>
    <row r="1666" spans="1:8" s="965" customFormat="1">
      <c r="A1666" s="1059"/>
      <c r="B1666" s="1060" t="s">
        <v>873</v>
      </c>
      <c r="C1666" s="1061"/>
      <c r="D1666" s="1061"/>
      <c r="E1666" s="1062"/>
      <c r="F1666" s="1062"/>
      <c r="G1666" s="1062"/>
      <c r="H1666" s="1077"/>
    </row>
    <row r="1667" spans="1:8" s="965" customFormat="1">
      <c r="A1667" s="1059"/>
      <c r="B1667" s="1064" t="s">
        <v>5487</v>
      </c>
      <c r="C1667" s="1061">
        <v>1</v>
      </c>
      <c r="D1667" s="1061">
        <v>1</v>
      </c>
      <c r="E1667" s="1062">
        <v>10</v>
      </c>
      <c r="F1667" s="1062"/>
      <c r="G1667" s="1062"/>
      <c r="H1667" s="1077">
        <v>10</v>
      </c>
    </row>
    <row r="1668" spans="1:8" s="965" customFormat="1">
      <c r="A1668" s="1059"/>
      <c r="B1668" s="1064"/>
      <c r="C1668" s="1061"/>
      <c r="D1668" s="1061"/>
      <c r="E1668" s="1062"/>
      <c r="F1668" s="1062"/>
      <c r="G1668" s="1062"/>
      <c r="H1668" s="1077"/>
    </row>
    <row r="1669" spans="1:8" s="965" customFormat="1">
      <c r="A1669" s="1059">
        <v>62</v>
      </c>
      <c r="B1669" s="1060" t="s">
        <v>5488</v>
      </c>
      <c r="C1669" s="1061"/>
      <c r="D1669" s="1061"/>
      <c r="E1669" s="1062"/>
      <c r="F1669" s="1062"/>
      <c r="G1669" s="1062"/>
      <c r="H1669" s="1063"/>
    </row>
    <row r="1670" spans="1:8" s="965" customFormat="1">
      <c r="A1670" s="1059"/>
      <c r="B1670" s="1064" t="s">
        <v>5489</v>
      </c>
      <c r="C1670" s="1061">
        <v>2</v>
      </c>
      <c r="D1670" s="1061">
        <v>1</v>
      </c>
      <c r="E1670" s="1062"/>
      <c r="F1670" s="1062"/>
      <c r="G1670" s="1062"/>
      <c r="H1670" s="1077">
        <f>PRODUCT(C1670:G1670)</f>
        <v>2</v>
      </c>
    </row>
    <row r="1671" spans="1:8" s="965" customFormat="1">
      <c r="A1671" s="1059"/>
      <c r="B1671" s="1064"/>
      <c r="C1671" s="1061"/>
      <c r="D1671" s="1061"/>
      <c r="E1671" s="1062"/>
      <c r="F1671" s="1062"/>
      <c r="G1671" s="1062"/>
      <c r="H1671" s="1063"/>
    </row>
    <row r="1672" spans="1:8" s="965" customFormat="1">
      <c r="A1672" s="1059">
        <v>63</v>
      </c>
      <c r="B1672" s="1075" t="s">
        <v>5490</v>
      </c>
      <c r="C1672" s="1061">
        <v>2</v>
      </c>
      <c r="D1672" s="1061">
        <v>4</v>
      </c>
      <c r="E1672" s="1062"/>
      <c r="F1672" s="1062"/>
      <c r="G1672" s="1062"/>
      <c r="H1672" s="1077">
        <f>PRODUCT(C1672:G1672)</f>
        <v>8</v>
      </c>
    </row>
    <row r="1673" spans="1:8" s="965" customFormat="1">
      <c r="A1673" s="1059"/>
      <c r="B1673" s="1064"/>
      <c r="C1673" s="1061"/>
      <c r="D1673" s="1061"/>
      <c r="E1673" s="1062"/>
      <c r="F1673" s="1062"/>
      <c r="G1673" s="1062"/>
      <c r="H1673" s="1063"/>
    </row>
    <row r="1674" spans="1:8" s="965" customFormat="1">
      <c r="A1674" s="1067"/>
      <c r="B1674" s="1067" t="s">
        <v>2059</v>
      </c>
      <c r="C1674" s="1061"/>
      <c r="D1674" s="1061"/>
      <c r="E1674" s="1062"/>
      <c r="F1674" s="1062"/>
      <c r="G1674" s="1062"/>
      <c r="H1674" s="1062"/>
    </row>
    <row r="1675" spans="1:8" s="965" customFormat="1">
      <c r="A1675" s="1067">
        <v>64</v>
      </c>
      <c r="B1675" s="1067" t="s">
        <v>5491</v>
      </c>
      <c r="C1675" s="1061"/>
      <c r="D1675" s="1061"/>
      <c r="E1675" s="1062"/>
      <c r="F1675" s="1062"/>
      <c r="G1675" s="1062"/>
      <c r="H1675" s="1062"/>
    </row>
    <row r="1676" spans="1:8" s="965" customFormat="1">
      <c r="A1676" s="1067"/>
      <c r="B1676" s="1067" t="s">
        <v>5492</v>
      </c>
      <c r="C1676" s="1061"/>
      <c r="D1676" s="1061"/>
      <c r="E1676" s="1062"/>
      <c r="F1676" s="1062"/>
      <c r="G1676" s="1062"/>
      <c r="H1676" s="1062"/>
    </row>
    <row r="1677" spans="1:8" s="965" customFormat="1">
      <c r="A1677" s="1067"/>
      <c r="B1677" s="1065" t="s">
        <v>5493</v>
      </c>
      <c r="C1677" s="1061">
        <v>1</v>
      </c>
      <c r="D1677" s="1061">
        <v>4</v>
      </c>
      <c r="E1677" s="1062">
        <v>1</v>
      </c>
      <c r="F1677" s="1062"/>
      <c r="G1677" s="1062"/>
      <c r="H1677" s="1062">
        <f t="shared" ref="H1677:H1714" si="70">PRODUCT(C1677:G1677)</f>
        <v>4</v>
      </c>
    </row>
    <row r="1678" spans="1:8" s="965" customFormat="1">
      <c r="A1678" s="1067"/>
      <c r="B1678" s="1065" t="s">
        <v>5494</v>
      </c>
      <c r="C1678" s="1061">
        <v>1</v>
      </c>
      <c r="D1678" s="1061">
        <v>1</v>
      </c>
      <c r="E1678" s="1062">
        <v>1</v>
      </c>
      <c r="F1678" s="1062"/>
      <c r="G1678" s="1062"/>
      <c r="H1678" s="1062">
        <f t="shared" si="70"/>
        <v>1</v>
      </c>
    </row>
    <row r="1679" spans="1:8" s="965" customFormat="1">
      <c r="A1679" s="1067"/>
      <c r="B1679" s="1065" t="s">
        <v>5495</v>
      </c>
      <c r="C1679" s="1061">
        <v>1</v>
      </c>
      <c r="D1679" s="1061">
        <v>1</v>
      </c>
      <c r="E1679" s="1062">
        <v>1</v>
      </c>
      <c r="F1679" s="1062"/>
      <c r="G1679" s="1062"/>
      <c r="H1679" s="1062">
        <f t="shared" si="70"/>
        <v>1</v>
      </c>
    </row>
    <row r="1680" spans="1:8" s="965" customFormat="1">
      <c r="A1680" s="1067"/>
      <c r="B1680" s="1065" t="s">
        <v>5496</v>
      </c>
      <c r="C1680" s="1061">
        <v>1</v>
      </c>
      <c r="D1680" s="1061">
        <v>2</v>
      </c>
      <c r="E1680" s="1062">
        <v>1</v>
      </c>
      <c r="F1680" s="1062"/>
      <c r="G1680" s="1062"/>
      <c r="H1680" s="1062">
        <f t="shared" si="70"/>
        <v>2</v>
      </c>
    </row>
    <row r="1681" spans="1:8" s="965" customFormat="1">
      <c r="A1681" s="1067"/>
      <c r="B1681" s="1065" t="s">
        <v>4988</v>
      </c>
      <c r="C1681" s="1061">
        <v>1</v>
      </c>
      <c r="D1681" s="1061">
        <v>1</v>
      </c>
      <c r="E1681" s="1062">
        <v>1</v>
      </c>
      <c r="F1681" s="1062"/>
      <c r="G1681" s="1062"/>
      <c r="H1681" s="1062">
        <f t="shared" si="70"/>
        <v>1</v>
      </c>
    </row>
    <row r="1682" spans="1:8" s="965" customFormat="1">
      <c r="A1682" s="1067"/>
      <c r="B1682" s="1065" t="s">
        <v>5497</v>
      </c>
      <c r="C1682" s="1061">
        <v>1</v>
      </c>
      <c r="D1682" s="1061">
        <v>1</v>
      </c>
      <c r="E1682" s="1062">
        <v>1</v>
      </c>
      <c r="F1682" s="1062"/>
      <c r="G1682" s="1062"/>
      <c r="H1682" s="1062">
        <f t="shared" si="70"/>
        <v>1</v>
      </c>
    </row>
    <row r="1683" spans="1:8" s="965" customFormat="1">
      <c r="A1683" s="1067"/>
      <c r="B1683" s="1065" t="s">
        <v>5498</v>
      </c>
      <c r="C1683" s="1061">
        <v>1</v>
      </c>
      <c r="D1683" s="1061">
        <v>4</v>
      </c>
      <c r="E1683" s="1062">
        <v>1</v>
      </c>
      <c r="F1683" s="1062"/>
      <c r="G1683" s="1062"/>
      <c r="H1683" s="1062">
        <f t="shared" si="70"/>
        <v>4</v>
      </c>
    </row>
    <row r="1684" spans="1:8" s="965" customFormat="1">
      <c r="A1684" s="1067"/>
      <c r="B1684" s="1065" t="s">
        <v>5499</v>
      </c>
      <c r="C1684" s="1061">
        <v>1</v>
      </c>
      <c r="D1684" s="1061">
        <v>1</v>
      </c>
      <c r="E1684" s="1062">
        <v>1</v>
      </c>
      <c r="F1684" s="1062"/>
      <c r="G1684" s="1062"/>
      <c r="H1684" s="1062">
        <f t="shared" si="70"/>
        <v>1</v>
      </c>
    </row>
    <row r="1685" spans="1:8" s="965" customFormat="1">
      <c r="A1685" s="1067"/>
      <c r="B1685" s="1065" t="s">
        <v>5496</v>
      </c>
      <c r="C1685" s="1061">
        <v>1</v>
      </c>
      <c r="D1685" s="1061">
        <v>2</v>
      </c>
      <c r="E1685" s="1062">
        <v>1</v>
      </c>
      <c r="F1685" s="1062"/>
      <c r="G1685" s="1062"/>
      <c r="H1685" s="1062">
        <f t="shared" si="70"/>
        <v>2</v>
      </c>
    </row>
    <row r="1686" spans="1:8" s="965" customFormat="1">
      <c r="A1686" s="1067"/>
      <c r="B1686" s="1065" t="s">
        <v>5500</v>
      </c>
      <c r="C1686" s="1061">
        <v>2</v>
      </c>
      <c r="D1686" s="1061">
        <v>2</v>
      </c>
      <c r="E1686" s="1062">
        <v>1</v>
      </c>
      <c r="F1686" s="1062"/>
      <c r="G1686" s="1062"/>
      <c r="H1686" s="1062">
        <f t="shared" si="70"/>
        <v>4</v>
      </c>
    </row>
    <row r="1687" spans="1:8" s="965" customFormat="1">
      <c r="A1687" s="1067"/>
      <c r="B1687" s="1065" t="s">
        <v>5164</v>
      </c>
      <c r="C1687" s="1061">
        <v>1</v>
      </c>
      <c r="D1687" s="1061">
        <v>3</v>
      </c>
      <c r="E1687" s="1062">
        <v>1</v>
      </c>
      <c r="F1687" s="1062"/>
      <c r="G1687" s="1062"/>
      <c r="H1687" s="1062">
        <f t="shared" si="70"/>
        <v>3</v>
      </c>
    </row>
    <row r="1688" spans="1:8" s="965" customFormat="1">
      <c r="A1688" s="1067"/>
      <c r="B1688" s="1065" t="s">
        <v>5501</v>
      </c>
      <c r="C1688" s="1061">
        <v>1</v>
      </c>
      <c r="D1688" s="1061">
        <v>4</v>
      </c>
      <c r="E1688" s="1062">
        <v>1</v>
      </c>
      <c r="F1688" s="1062"/>
      <c r="G1688" s="1062"/>
      <c r="H1688" s="1062">
        <f t="shared" si="70"/>
        <v>4</v>
      </c>
    </row>
    <row r="1689" spans="1:8" s="965" customFormat="1">
      <c r="A1689" s="1067"/>
      <c r="B1689" s="1067" t="s">
        <v>5502</v>
      </c>
      <c r="C1689" s="1061"/>
      <c r="D1689" s="1061"/>
      <c r="E1689" s="1062"/>
      <c r="F1689" s="1062"/>
      <c r="G1689" s="1062"/>
      <c r="H1689" s="1062">
        <f t="shared" si="70"/>
        <v>0</v>
      </c>
    </row>
    <row r="1690" spans="1:8" s="965" customFormat="1">
      <c r="A1690" s="1067"/>
      <c r="B1690" s="1065" t="s">
        <v>5503</v>
      </c>
      <c r="C1690" s="1061">
        <v>1</v>
      </c>
      <c r="D1690" s="1061">
        <v>2</v>
      </c>
      <c r="E1690" s="1062">
        <v>1</v>
      </c>
      <c r="F1690" s="1062"/>
      <c r="G1690" s="1062"/>
      <c r="H1690" s="1062">
        <f t="shared" si="70"/>
        <v>2</v>
      </c>
    </row>
    <row r="1691" spans="1:8" s="965" customFormat="1">
      <c r="A1691" s="1067"/>
      <c r="B1691" s="1065" t="s">
        <v>5455</v>
      </c>
      <c r="C1691" s="1061">
        <v>1</v>
      </c>
      <c r="D1691" s="1061">
        <v>1</v>
      </c>
      <c r="E1691" s="1062">
        <v>1</v>
      </c>
      <c r="F1691" s="1062"/>
      <c r="G1691" s="1062"/>
      <c r="H1691" s="1062">
        <f t="shared" si="70"/>
        <v>1</v>
      </c>
    </row>
    <row r="1692" spans="1:8" s="965" customFormat="1">
      <c r="A1692" s="1067"/>
      <c r="B1692" s="1065" t="s">
        <v>5504</v>
      </c>
      <c r="C1692" s="1061">
        <v>1</v>
      </c>
      <c r="D1692" s="1061">
        <v>2</v>
      </c>
      <c r="E1692" s="1062">
        <v>1</v>
      </c>
      <c r="F1692" s="1062"/>
      <c r="G1692" s="1062"/>
      <c r="H1692" s="1062">
        <f t="shared" si="70"/>
        <v>2</v>
      </c>
    </row>
    <row r="1693" spans="1:8" s="965" customFormat="1">
      <c r="A1693" s="1067"/>
      <c r="B1693" s="1065" t="s">
        <v>5505</v>
      </c>
      <c r="C1693" s="1061">
        <v>1</v>
      </c>
      <c r="D1693" s="1061">
        <v>1</v>
      </c>
      <c r="E1693" s="1062">
        <v>1</v>
      </c>
      <c r="F1693" s="1062"/>
      <c r="G1693" s="1062"/>
      <c r="H1693" s="1062">
        <f t="shared" si="70"/>
        <v>1</v>
      </c>
    </row>
    <row r="1694" spans="1:8" s="965" customFormat="1">
      <c r="A1694" s="1067"/>
      <c r="B1694" s="1065" t="s">
        <v>4988</v>
      </c>
      <c r="C1694" s="1061">
        <v>1</v>
      </c>
      <c r="D1694" s="1061">
        <v>2</v>
      </c>
      <c r="E1694" s="1062">
        <v>1</v>
      </c>
      <c r="F1694" s="1062"/>
      <c r="G1694" s="1062"/>
      <c r="H1694" s="1062">
        <f t="shared" si="70"/>
        <v>2</v>
      </c>
    </row>
    <row r="1695" spans="1:8" s="965" customFormat="1">
      <c r="A1695" s="1067"/>
      <c r="B1695" s="1065" t="s">
        <v>5496</v>
      </c>
      <c r="C1695" s="1061">
        <v>1</v>
      </c>
      <c r="D1695" s="1061">
        <v>2</v>
      </c>
      <c r="E1695" s="1062">
        <v>1</v>
      </c>
      <c r="F1695" s="1062"/>
      <c r="G1695" s="1062"/>
      <c r="H1695" s="1062">
        <f t="shared" si="70"/>
        <v>2</v>
      </c>
    </row>
    <row r="1696" spans="1:8" s="965" customFormat="1">
      <c r="A1696" s="1067"/>
      <c r="B1696" s="1065" t="s">
        <v>5495</v>
      </c>
      <c r="C1696" s="1061">
        <v>1</v>
      </c>
      <c r="D1696" s="1061">
        <v>1</v>
      </c>
      <c r="E1696" s="1062">
        <v>1</v>
      </c>
      <c r="F1696" s="1062"/>
      <c r="G1696" s="1062"/>
      <c r="H1696" s="1062">
        <f t="shared" si="70"/>
        <v>1</v>
      </c>
    </row>
    <row r="1697" spans="1:8" s="965" customFormat="1">
      <c r="A1697" s="1067"/>
      <c r="B1697" s="1065" t="s">
        <v>5506</v>
      </c>
      <c r="C1697" s="1061">
        <v>1</v>
      </c>
      <c r="D1697" s="1061">
        <v>4</v>
      </c>
      <c r="E1697" s="1062">
        <v>1</v>
      </c>
      <c r="F1697" s="1062"/>
      <c r="G1697" s="1062"/>
      <c r="H1697" s="1062">
        <f t="shared" si="70"/>
        <v>4</v>
      </c>
    </row>
    <row r="1698" spans="1:8" s="965" customFormat="1">
      <c r="A1698" s="1067"/>
      <c r="B1698" s="1065" t="s">
        <v>5507</v>
      </c>
      <c r="C1698" s="1061">
        <v>1</v>
      </c>
      <c r="D1698" s="1061">
        <v>4</v>
      </c>
      <c r="E1698" s="1062">
        <v>1</v>
      </c>
      <c r="F1698" s="1062"/>
      <c r="G1698" s="1062"/>
      <c r="H1698" s="1062">
        <f t="shared" si="70"/>
        <v>4</v>
      </c>
    </row>
    <row r="1699" spans="1:8" s="965" customFormat="1">
      <c r="A1699" s="1067"/>
      <c r="B1699" s="1065" t="s">
        <v>5508</v>
      </c>
      <c r="C1699" s="1061">
        <v>1</v>
      </c>
      <c r="D1699" s="1061">
        <v>2</v>
      </c>
      <c r="E1699" s="1062">
        <v>1</v>
      </c>
      <c r="F1699" s="1062"/>
      <c r="G1699" s="1062"/>
      <c r="H1699" s="1062">
        <f t="shared" si="70"/>
        <v>2</v>
      </c>
    </row>
    <row r="1700" spans="1:8" s="965" customFormat="1">
      <c r="A1700" s="1067"/>
      <c r="B1700" s="1065" t="s">
        <v>5509</v>
      </c>
      <c r="C1700" s="1061">
        <v>1</v>
      </c>
      <c r="D1700" s="1061">
        <v>2</v>
      </c>
      <c r="E1700" s="1062">
        <v>1</v>
      </c>
      <c r="F1700" s="1062"/>
      <c r="G1700" s="1062"/>
      <c r="H1700" s="1062">
        <f t="shared" si="70"/>
        <v>2</v>
      </c>
    </row>
    <row r="1701" spans="1:8" s="965" customFormat="1">
      <c r="A1701" s="1067"/>
      <c r="B1701" s="1065" t="s">
        <v>5510</v>
      </c>
      <c r="C1701" s="1061">
        <v>1</v>
      </c>
      <c r="D1701" s="1061">
        <v>2</v>
      </c>
      <c r="E1701" s="1062">
        <v>1</v>
      </c>
      <c r="F1701" s="1062"/>
      <c r="G1701" s="1062"/>
      <c r="H1701" s="1062">
        <f t="shared" si="70"/>
        <v>2</v>
      </c>
    </row>
    <row r="1702" spans="1:8" s="965" customFormat="1">
      <c r="A1702" s="1067"/>
      <c r="B1702" s="1065" t="s">
        <v>5511</v>
      </c>
      <c r="C1702" s="1061">
        <v>1</v>
      </c>
      <c r="D1702" s="1061">
        <v>2</v>
      </c>
      <c r="E1702" s="1062">
        <v>1</v>
      </c>
      <c r="F1702" s="1062"/>
      <c r="G1702" s="1062"/>
      <c r="H1702" s="1062">
        <f t="shared" si="70"/>
        <v>2</v>
      </c>
    </row>
    <row r="1703" spans="1:8" s="965" customFormat="1">
      <c r="A1703" s="1067"/>
      <c r="B1703" s="1065" t="s">
        <v>5500</v>
      </c>
      <c r="C1703" s="1061">
        <v>1</v>
      </c>
      <c r="D1703" s="1061">
        <v>2</v>
      </c>
      <c r="E1703" s="1062">
        <v>1</v>
      </c>
      <c r="F1703" s="1062"/>
      <c r="G1703" s="1062"/>
      <c r="H1703" s="1062">
        <f t="shared" si="70"/>
        <v>2</v>
      </c>
    </row>
    <row r="1704" spans="1:8" s="965" customFormat="1">
      <c r="A1704" s="1067"/>
      <c r="B1704" s="1065" t="s">
        <v>5512</v>
      </c>
      <c r="C1704" s="1061">
        <v>1</v>
      </c>
      <c r="D1704" s="1061">
        <v>1</v>
      </c>
      <c r="E1704" s="1062">
        <v>1</v>
      </c>
      <c r="F1704" s="1062"/>
      <c r="G1704" s="1062"/>
      <c r="H1704" s="1062">
        <f t="shared" si="70"/>
        <v>1</v>
      </c>
    </row>
    <row r="1705" spans="1:8" s="965" customFormat="1">
      <c r="A1705" s="1067"/>
      <c r="B1705" s="1065" t="s">
        <v>5513</v>
      </c>
      <c r="C1705" s="1061">
        <v>1</v>
      </c>
      <c r="D1705" s="1061">
        <v>2</v>
      </c>
      <c r="E1705" s="1062">
        <v>1</v>
      </c>
      <c r="F1705" s="1062"/>
      <c r="G1705" s="1062"/>
      <c r="H1705" s="1062">
        <f t="shared" si="70"/>
        <v>2</v>
      </c>
    </row>
    <row r="1706" spans="1:8" s="965" customFormat="1">
      <c r="A1706" s="1067"/>
      <c r="B1706" s="1067" t="s">
        <v>5514</v>
      </c>
      <c r="C1706" s="1061"/>
      <c r="D1706" s="1061"/>
      <c r="E1706" s="1062"/>
      <c r="F1706" s="1062"/>
      <c r="G1706" s="1062"/>
      <c r="H1706" s="1062">
        <f t="shared" si="70"/>
        <v>0</v>
      </c>
    </row>
    <row r="1707" spans="1:8" s="965" customFormat="1">
      <c r="A1707" s="1067"/>
      <c r="B1707" s="1065" t="s">
        <v>5515</v>
      </c>
      <c r="C1707" s="1061">
        <v>1</v>
      </c>
      <c r="D1707" s="1061">
        <v>6</v>
      </c>
      <c r="E1707" s="1062">
        <v>1</v>
      </c>
      <c r="F1707" s="1062"/>
      <c r="G1707" s="1062"/>
      <c r="H1707" s="1062">
        <f t="shared" si="70"/>
        <v>6</v>
      </c>
    </row>
    <row r="1708" spans="1:8" s="965" customFormat="1">
      <c r="A1708" s="1067"/>
      <c r="B1708" s="1065" t="s">
        <v>5227</v>
      </c>
      <c r="C1708" s="1061">
        <v>1</v>
      </c>
      <c r="D1708" s="1061">
        <v>6</v>
      </c>
      <c r="E1708" s="1062">
        <v>1</v>
      </c>
      <c r="F1708" s="1062"/>
      <c r="G1708" s="1062"/>
      <c r="H1708" s="1062">
        <f t="shared" si="70"/>
        <v>6</v>
      </c>
    </row>
    <row r="1709" spans="1:8" s="965" customFormat="1">
      <c r="A1709" s="1067"/>
      <c r="B1709" s="1065" t="s">
        <v>5516</v>
      </c>
      <c r="C1709" s="1061">
        <v>1</v>
      </c>
      <c r="D1709" s="1061">
        <v>4</v>
      </c>
      <c r="E1709" s="1062">
        <v>1</v>
      </c>
      <c r="F1709" s="1062"/>
      <c r="G1709" s="1062"/>
      <c r="H1709" s="1062">
        <f t="shared" si="70"/>
        <v>4</v>
      </c>
    </row>
    <row r="1710" spans="1:8" s="965" customFormat="1">
      <c r="A1710" s="1067"/>
      <c r="B1710" s="1065" t="s">
        <v>5496</v>
      </c>
      <c r="C1710" s="1061">
        <v>1</v>
      </c>
      <c r="D1710" s="1061">
        <v>4</v>
      </c>
      <c r="E1710" s="1062">
        <v>1</v>
      </c>
      <c r="F1710" s="1062"/>
      <c r="G1710" s="1062"/>
      <c r="H1710" s="1062">
        <f t="shared" si="70"/>
        <v>4</v>
      </c>
    </row>
    <row r="1711" spans="1:8" s="965" customFormat="1">
      <c r="A1711" s="1067"/>
      <c r="B1711" s="1065" t="s">
        <v>5496</v>
      </c>
      <c r="C1711" s="1061">
        <v>1</v>
      </c>
      <c r="D1711" s="1061">
        <v>4</v>
      </c>
      <c r="E1711" s="1062">
        <v>1</v>
      </c>
      <c r="F1711" s="1062"/>
      <c r="G1711" s="1062"/>
      <c r="H1711" s="1062">
        <f t="shared" si="70"/>
        <v>4</v>
      </c>
    </row>
    <row r="1712" spans="1:8" s="965" customFormat="1">
      <c r="A1712" s="1067"/>
      <c r="B1712" s="1065" t="s">
        <v>5500</v>
      </c>
      <c r="C1712" s="1061">
        <v>1</v>
      </c>
      <c r="D1712" s="1061">
        <v>2</v>
      </c>
      <c r="E1712" s="1062">
        <v>1</v>
      </c>
      <c r="F1712" s="1062"/>
      <c r="G1712" s="1062"/>
      <c r="H1712" s="1062">
        <f t="shared" si="70"/>
        <v>2</v>
      </c>
    </row>
    <row r="1713" spans="1:8" s="965" customFormat="1">
      <c r="A1713" s="1067"/>
      <c r="B1713" s="1065" t="s">
        <v>5506</v>
      </c>
      <c r="C1713" s="1061">
        <v>1</v>
      </c>
      <c r="D1713" s="1061">
        <v>2</v>
      </c>
      <c r="E1713" s="1062">
        <v>1</v>
      </c>
      <c r="F1713" s="1062"/>
      <c r="G1713" s="1062"/>
      <c r="H1713" s="1062">
        <f t="shared" si="70"/>
        <v>2</v>
      </c>
    </row>
    <row r="1714" spans="1:8" s="965" customFormat="1">
      <c r="A1714" s="1067"/>
      <c r="B1714" s="1065" t="s">
        <v>5501</v>
      </c>
      <c r="C1714" s="1061">
        <v>1</v>
      </c>
      <c r="D1714" s="1061">
        <v>4</v>
      </c>
      <c r="E1714" s="1062">
        <v>1</v>
      </c>
      <c r="F1714" s="1062"/>
      <c r="G1714" s="1062"/>
      <c r="H1714" s="1062">
        <f t="shared" si="70"/>
        <v>4</v>
      </c>
    </row>
    <row r="1715" spans="1:8" s="965" customFormat="1">
      <c r="A1715" s="1067"/>
      <c r="B1715" s="1065"/>
      <c r="C1715" s="1061"/>
      <c r="D1715" s="1061"/>
      <c r="E1715" s="1062"/>
      <c r="F1715" s="1062"/>
      <c r="G1715" s="1062"/>
      <c r="H1715" s="1058">
        <f>SUM(H1676:H1714)</f>
        <v>92</v>
      </c>
    </row>
    <row r="1716" spans="1:8" s="965" customFormat="1">
      <c r="A1716" s="1067"/>
      <c r="B1716" s="1067" t="s">
        <v>5517</v>
      </c>
      <c r="C1716" s="1061"/>
      <c r="D1716" s="1061"/>
      <c r="E1716" s="1062"/>
      <c r="F1716" s="1062"/>
      <c r="G1716" s="1062"/>
      <c r="H1716" s="1062"/>
    </row>
    <row r="1717" spans="1:8" s="965" customFormat="1">
      <c r="A1717" s="1067"/>
      <c r="B1717" s="1067" t="s">
        <v>5492</v>
      </c>
      <c r="C1717" s="1061"/>
      <c r="D1717" s="1061"/>
      <c r="E1717" s="1062"/>
      <c r="F1717" s="1062"/>
      <c r="G1717" s="1062"/>
      <c r="H1717" s="1062"/>
    </row>
    <row r="1718" spans="1:8" s="965" customFormat="1">
      <c r="A1718" s="1067"/>
      <c r="B1718" s="1065" t="s">
        <v>5493</v>
      </c>
      <c r="C1718" s="1061">
        <v>2</v>
      </c>
      <c r="D1718" s="1061">
        <v>6</v>
      </c>
      <c r="E1718" s="1062">
        <v>1</v>
      </c>
      <c r="F1718" s="1062"/>
      <c r="G1718" s="1062"/>
      <c r="H1718" s="1062">
        <f t="shared" ref="H1718:H1753" si="71">PRODUCT(C1718:G1718)</f>
        <v>12</v>
      </c>
    </row>
    <row r="1719" spans="1:8" s="965" customFormat="1">
      <c r="A1719" s="1067"/>
      <c r="B1719" s="1065" t="s">
        <v>5494</v>
      </c>
      <c r="C1719" s="1061">
        <v>1</v>
      </c>
      <c r="D1719" s="1061">
        <v>1</v>
      </c>
      <c r="E1719" s="1062">
        <v>1</v>
      </c>
      <c r="F1719" s="1062"/>
      <c r="G1719" s="1062"/>
      <c r="H1719" s="1062">
        <f t="shared" si="71"/>
        <v>1</v>
      </c>
    </row>
    <row r="1720" spans="1:8" s="965" customFormat="1">
      <c r="A1720" s="1067"/>
      <c r="B1720" s="1065" t="s">
        <v>5495</v>
      </c>
      <c r="C1720" s="1061">
        <v>1</v>
      </c>
      <c r="D1720" s="1061">
        <v>1</v>
      </c>
      <c r="E1720" s="1062">
        <v>1</v>
      </c>
      <c r="F1720" s="1062"/>
      <c r="G1720" s="1062"/>
      <c r="H1720" s="1062">
        <f t="shared" si="71"/>
        <v>1</v>
      </c>
    </row>
    <row r="1721" spans="1:8" s="965" customFormat="1">
      <c r="A1721" s="1067"/>
      <c r="B1721" s="1065" t="s">
        <v>4988</v>
      </c>
      <c r="C1721" s="1061">
        <v>1</v>
      </c>
      <c r="D1721" s="1061">
        <v>1</v>
      </c>
      <c r="E1721" s="1062">
        <v>1</v>
      </c>
      <c r="F1721" s="1062"/>
      <c r="G1721" s="1062"/>
      <c r="H1721" s="1062">
        <f t="shared" si="71"/>
        <v>1</v>
      </c>
    </row>
    <row r="1722" spans="1:8" s="965" customFormat="1">
      <c r="A1722" s="1067"/>
      <c r="B1722" s="1065" t="s">
        <v>5497</v>
      </c>
      <c r="C1722" s="1061">
        <v>1</v>
      </c>
      <c r="D1722" s="1061">
        <v>1</v>
      </c>
      <c r="E1722" s="1062">
        <v>1</v>
      </c>
      <c r="F1722" s="1062"/>
      <c r="G1722" s="1062"/>
      <c r="H1722" s="1062">
        <f t="shared" si="71"/>
        <v>1</v>
      </c>
    </row>
    <row r="1723" spans="1:8" s="965" customFormat="1">
      <c r="A1723" s="1067"/>
      <c r="B1723" s="1065" t="s">
        <v>5498</v>
      </c>
      <c r="C1723" s="1061">
        <v>2</v>
      </c>
      <c r="D1723" s="1061">
        <v>8</v>
      </c>
      <c r="E1723" s="1062">
        <v>1</v>
      </c>
      <c r="F1723" s="1062"/>
      <c r="G1723" s="1062"/>
      <c r="H1723" s="1062">
        <f t="shared" si="71"/>
        <v>16</v>
      </c>
    </row>
    <row r="1724" spans="1:8" s="965" customFormat="1">
      <c r="A1724" s="1067"/>
      <c r="B1724" s="1065" t="s">
        <v>5499</v>
      </c>
      <c r="C1724" s="1061">
        <v>1</v>
      </c>
      <c r="D1724" s="1061">
        <v>1</v>
      </c>
      <c r="E1724" s="1062">
        <v>1</v>
      </c>
      <c r="F1724" s="1062"/>
      <c r="G1724" s="1062"/>
      <c r="H1724" s="1062">
        <f t="shared" si="71"/>
        <v>1</v>
      </c>
    </row>
    <row r="1725" spans="1:8" s="965" customFormat="1">
      <c r="A1725" s="1067"/>
      <c r="B1725" s="1065" t="s">
        <v>5500</v>
      </c>
      <c r="C1725" s="1061">
        <v>2</v>
      </c>
      <c r="D1725" s="1061">
        <v>2</v>
      </c>
      <c r="E1725" s="1062">
        <v>1</v>
      </c>
      <c r="F1725" s="1062"/>
      <c r="G1725" s="1062"/>
      <c r="H1725" s="1062">
        <f t="shared" si="71"/>
        <v>4</v>
      </c>
    </row>
    <row r="1726" spans="1:8" s="965" customFormat="1">
      <c r="A1726" s="1067"/>
      <c r="B1726" s="1065" t="s">
        <v>5164</v>
      </c>
      <c r="C1726" s="1061">
        <v>1</v>
      </c>
      <c r="D1726" s="1061">
        <v>6</v>
      </c>
      <c r="E1726" s="1062">
        <v>1</v>
      </c>
      <c r="F1726" s="1062"/>
      <c r="G1726" s="1062"/>
      <c r="H1726" s="1062">
        <f t="shared" si="71"/>
        <v>6</v>
      </c>
    </row>
    <row r="1727" spans="1:8" s="965" customFormat="1">
      <c r="A1727" s="1067"/>
      <c r="B1727" s="1065" t="s">
        <v>5518</v>
      </c>
      <c r="C1727" s="1061">
        <v>1</v>
      </c>
      <c r="D1727" s="1061">
        <v>2</v>
      </c>
      <c r="E1727" s="1062">
        <v>1</v>
      </c>
      <c r="F1727" s="1062"/>
      <c r="G1727" s="1062"/>
      <c r="H1727" s="1062">
        <f t="shared" si="71"/>
        <v>2</v>
      </c>
    </row>
    <row r="1728" spans="1:8" s="965" customFormat="1">
      <c r="A1728" s="1067"/>
      <c r="B1728" s="1065" t="s">
        <v>5501</v>
      </c>
      <c r="C1728" s="1061">
        <v>1</v>
      </c>
      <c r="D1728" s="1061">
        <v>4</v>
      </c>
      <c r="E1728" s="1062">
        <v>1</v>
      </c>
      <c r="F1728" s="1062"/>
      <c r="G1728" s="1062"/>
      <c r="H1728" s="1062">
        <f t="shared" si="71"/>
        <v>4</v>
      </c>
    </row>
    <row r="1729" spans="1:8" s="965" customFormat="1">
      <c r="A1729" s="1067"/>
      <c r="B1729" s="1067" t="s">
        <v>5502</v>
      </c>
      <c r="C1729" s="1061"/>
      <c r="D1729" s="1061"/>
      <c r="E1729" s="1062"/>
      <c r="F1729" s="1062"/>
      <c r="G1729" s="1062"/>
      <c r="H1729" s="1062">
        <f t="shared" si="71"/>
        <v>0</v>
      </c>
    </row>
    <row r="1730" spans="1:8" s="965" customFormat="1">
      <c r="A1730" s="1067"/>
      <c r="B1730" s="1065" t="s">
        <v>5503</v>
      </c>
      <c r="C1730" s="1061">
        <v>1</v>
      </c>
      <c r="D1730" s="1061">
        <v>4</v>
      </c>
      <c r="E1730" s="1062">
        <v>1</v>
      </c>
      <c r="F1730" s="1062"/>
      <c r="G1730" s="1062"/>
      <c r="H1730" s="1062">
        <f t="shared" si="71"/>
        <v>4</v>
      </c>
    </row>
    <row r="1731" spans="1:8" s="965" customFormat="1">
      <c r="A1731" s="1067"/>
      <c r="B1731" s="1065" t="s">
        <v>5455</v>
      </c>
      <c r="C1731" s="1061">
        <v>1</v>
      </c>
      <c r="D1731" s="1061">
        <v>3</v>
      </c>
      <c r="E1731" s="1062">
        <v>1</v>
      </c>
      <c r="F1731" s="1062"/>
      <c r="G1731" s="1062"/>
      <c r="H1731" s="1062">
        <f t="shared" si="71"/>
        <v>3</v>
      </c>
    </row>
    <row r="1732" spans="1:8" s="965" customFormat="1">
      <c r="A1732" s="1067"/>
      <c r="B1732" s="1065" t="s">
        <v>5504</v>
      </c>
      <c r="C1732" s="1061">
        <v>1</v>
      </c>
      <c r="D1732" s="1061">
        <v>2</v>
      </c>
      <c r="E1732" s="1062">
        <v>1</v>
      </c>
      <c r="F1732" s="1062"/>
      <c r="G1732" s="1062"/>
      <c r="H1732" s="1062">
        <f t="shared" si="71"/>
        <v>2</v>
      </c>
    </row>
    <row r="1733" spans="1:8" s="965" customFormat="1">
      <c r="A1733" s="1067"/>
      <c r="B1733" s="1065" t="s">
        <v>5505</v>
      </c>
      <c r="C1733" s="1061">
        <v>1</v>
      </c>
      <c r="D1733" s="1061">
        <v>1</v>
      </c>
      <c r="E1733" s="1062">
        <v>1</v>
      </c>
      <c r="F1733" s="1062"/>
      <c r="G1733" s="1062"/>
      <c r="H1733" s="1062">
        <f t="shared" si="71"/>
        <v>1</v>
      </c>
    </row>
    <row r="1734" spans="1:8" s="965" customFormat="1">
      <c r="A1734" s="1067"/>
      <c r="B1734" s="1065" t="s">
        <v>4988</v>
      </c>
      <c r="C1734" s="1061">
        <v>1</v>
      </c>
      <c r="D1734" s="1061">
        <v>2</v>
      </c>
      <c r="E1734" s="1062">
        <v>1</v>
      </c>
      <c r="F1734" s="1062"/>
      <c r="G1734" s="1062"/>
      <c r="H1734" s="1062">
        <f t="shared" si="71"/>
        <v>2</v>
      </c>
    </row>
    <row r="1735" spans="1:8" s="965" customFormat="1">
      <c r="A1735" s="1067"/>
      <c r="B1735" s="1065" t="s">
        <v>5495</v>
      </c>
      <c r="C1735" s="1061">
        <v>1</v>
      </c>
      <c r="D1735" s="1061">
        <v>1</v>
      </c>
      <c r="E1735" s="1062">
        <v>1</v>
      </c>
      <c r="F1735" s="1062"/>
      <c r="G1735" s="1062"/>
      <c r="H1735" s="1062">
        <f t="shared" si="71"/>
        <v>1</v>
      </c>
    </row>
    <row r="1736" spans="1:8" s="965" customFormat="1">
      <c r="A1736" s="1067"/>
      <c r="B1736" s="1065" t="s">
        <v>5506</v>
      </c>
      <c r="C1736" s="1061">
        <v>1</v>
      </c>
      <c r="D1736" s="1061">
        <v>6</v>
      </c>
      <c r="E1736" s="1062">
        <v>1</v>
      </c>
      <c r="F1736" s="1062"/>
      <c r="G1736" s="1062"/>
      <c r="H1736" s="1062">
        <f t="shared" si="71"/>
        <v>6</v>
      </c>
    </row>
    <row r="1737" spans="1:8" s="965" customFormat="1">
      <c r="A1737" s="1067"/>
      <c r="B1737" s="1065" t="s">
        <v>5507</v>
      </c>
      <c r="C1737" s="1061">
        <v>1</v>
      </c>
      <c r="D1737" s="1061">
        <v>4</v>
      </c>
      <c r="E1737" s="1062">
        <v>1</v>
      </c>
      <c r="F1737" s="1062"/>
      <c r="G1737" s="1062"/>
      <c r="H1737" s="1062">
        <f t="shared" si="71"/>
        <v>4</v>
      </c>
    </row>
    <row r="1738" spans="1:8" s="965" customFormat="1">
      <c r="A1738" s="1067"/>
      <c r="B1738" s="1065" t="s">
        <v>5508</v>
      </c>
      <c r="C1738" s="1061">
        <v>1</v>
      </c>
      <c r="D1738" s="1061">
        <v>4</v>
      </c>
      <c r="E1738" s="1062">
        <v>1</v>
      </c>
      <c r="F1738" s="1062"/>
      <c r="G1738" s="1062"/>
      <c r="H1738" s="1062">
        <f t="shared" si="71"/>
        <v>4</v>
      </c>
    </row>
    <row r="1739" spans="1:8" s="965" customFormat="1">
      <c r="A1739" s="1067"/>
      <c r="B1739" s="1065" t="s">
        <v>5509</v>
      </c>
      <c r="C1739" s="1061">
        <v>1</v>
      </c>
      <c r="D1739" s="1061">
        <v>4</v>
      </c>
      <c r="E1739" s="1062">
        <v>1</v>
      </c>
      <c r="F1739" s="1062"/>
      <c r="G1739" s="1062"/>
      <c r="H1739" s="1062">
        <f t="shared" si="71"/>
        <v>4</v>
      </c>
    </row>
    <row r="1740" spans="1:8" s="965" customFormat="1">
      <c r="A1740" s="1067"/>
      <c r="B1740" s="1065" t="s">
        <v>5510</v>
      </c>
      <c r="C1740" s="1061">
        <v>1</v>
      </c>
      <c r="D1740" s="1061">
        <v>4</v>
      </c>
      <c r="E1740" s="1062">
        <v>1</v>
      </c>
      <c r="F1740" s="1062"/>
      <c r="G1740" s="1062"/>
      <c r="H1740" s="1062">
        <f t="shared" si="71"/>
        <v>4</v>
      </c>
    </row>
    <row r="1741" spans="1:8" s="965" customFormat="1">
      <c r="A1741" s="1067"/>
      <c r="B1741" s="1065" t="s">
        <v>5511</v>
      </c>
      <c r="C1741" s="1061">
        <v>1</v>
      </c>
      <c r="D1741" s="1061">
        <v>2</v>
      </c>
      <c r="E1741" s="1062">
        <v>1</v>
      </c>
      <c r="F1741" s="1062"/>
      <c r="G1741" s="1062"/>
      <c r="H1741" s="1062">
        <f t="shared" si="71"/>
        <v>2</v>
      </c>
    </row>
    <row r="1742" spans="1:8" s="965" customFormat="1">
      <c r="A1742" s="1067"/>
      <c r="B1742" s="1065" t="s">
        <v>5500</v>
      </c>
      <c r="C1742" s="1061">
        <v>1</v>
      </c>
      <c r="D1742" s="1061">
        <v>2</v>
      </c>
      <c r="E1742" s="1062">
        <v>1</v>
      </c>
      <c r="F1742" s="1062"/>
      <c r="G1742" s="1062"/>
      <c r="H1742" s="1062">
        <f t="shared" si="71"/>
        <v>2</v>
      </c>
    </row>
    <row r="1743" spans="1:8" s="965" customFormat="1">
      <c r="A1743" s="1067"/>
      <c r="B1743" s="1065" t="s">
        <v>5512</v>
      </c>
      <c r="C1743" s="1061">
        <v>1</v>
      </c>
      <c r="D1743" s="1061">
        <v>2</v>
      </c>
      <c r="E1743" s="1062">
        <v>1</v>
      </c>
      <c r="F1743" s="1062"/>
      <c r="G1743" s="1062"/>
      <c r="H1743" s="1062">
        <f t="shared" si="71"/>
        <v>2</v>
      </c>
    </row>
    <row r="1744" spans="1:8" s="965" customFormat="1">
      <c r="A1744" s="1067"/>
      <c r="B1744" s="1065" t="s">
        <v>5513</v>
      </c>
      <c r="C1744" s="1061">
        <v>1</v>
      </c>
      <c r="D1744" s="1061">
        <v>2</v>
      </c>
      <c r="E1744" s="1062">
        <v>1</v>
      </c>
      <c r="F1744" s="1062"/>
      <c r="G1744" s="1062"/>
      <c r="H1744" s="1062">
        <f t="shared" si="71"/>
        <v>2</v>
      </c>
    </row>
    <row r="1745" spans="1:8" s="965" customFormat="1">
      <c r="A1745" s="1067"/>
      <c r="B1745" s="1067" t="s">
        <v>5514</v>
      </c>
      <c r="C1745" s="1061"/>
      <c r="D1745" s="1061"/>
      <c r="E1745" s="1062"/>
      <c r="F1745" s="1062"/>
      <c r="G1745" s="1062"/>
      <c r="H1745" s="1062">
        <f t="shared" si="71"/>
        <v>0</v>
      </c>
    </row>
    <row r="1746" spans="1:8" s="965" customFormat="1">
      <c r="A1746" s="1067"/>
      <c r="B1746" s="1065" t="s">
        <v>5515</v>
      </c>
      <c r="C1746" s="1061">
        <v>1</v>
      </c>
      <c r="D1746" s="1061">
        <v>10</v>
      </c>
      <c r="E1746" s="1062">
        <v>1</v>
      </c>
      <c r="F1746" s="1062"/>
      <c r="G1746" s="1062"/>
      <c r="H1746" s="1062">
        <f t="shared" si="71"/>
        <v>10</v>
      </c>
    </row>
    <row r="1747" spans="1:8" s="965" customFormat="1">
      <c r="A1747" s="1067"/>
      <c r="B1747" s="1065" t="s">
        <v>5227</v>
      </c>
      <c r="C1747" s="1061">
        <v>1</v>
      </c>
      <c r="D1747" s="1061">
        <v>6</v>
      </c>
      <c r="E1747" s="1062">
        <v>1</v>
      </c>
      <c r="F1747" s="1062"/>
      <c r="G1747" s="1062"/>
      <c r="H1747" s="1062">
        <f t="shared" si="71"/>
        <v>6</v>
      </c>
    </row>
    <row r="1748" spans="1:8" s="965" customFormat="1">
      <c r="A1748" s="1067"/>
      <c r="B1748" s="1065" t="s">
        <v>5516</v>
      </c>
      <c r="C1748" s="1061">
        <v>1</v>
      </c>
      <c r="D1748" s="1061">
        <v>6</v>
      </c>
      <c r="E1748" s="1062">
        <v>1</v>
      </c>
      <c r="F1748" s="1062"/>
      <c r="G1748" s="1062"/>
      <c r="H1748" s="1062">
        <f t="shared" si="71"/>
        <v>6</v>
      </c>
    </row>
    <row r="1749" spans="1:8" s="965" customFormat="1">
      <c r="A1749" s="1067"/>
      <c r="B1749" s="1065" t="s">
        <v>5496</v>
      </c>
      <c r="C1749" s="1061">
        <v>1</v>
      </c>
      <c r="D1749" s="1061">
        <v>2</v>
      </c>
      <c r="E1749" s="1062">
        <v>1</v>
      </c>
      <c r="F1749" s="1062"/>
      <c r="G1749" s="1062"/>
      <c r="H1749" s="1062">
        <f t="shared" si="71"/>
        <v>2</v>
      </c>
    </row>
    <row r="1750" spans="1:8" s="965" customFormat="1">
      <c r="A1750" s="1067"/>
      <c r="B1750" s="1065" t="s">
        <v>5496</v>
      </c>
      <c r="C1750" s="1061">
        <v>1</v>
      </c>
      <c r="D1750" s="1061">
        <v>2</v>
      </c>
      <c r="E1750" s="1062">
        <v>1</v>
      </c>
      <c r="F1750" s="1062"/>
      <c r="G1750" s="1062"/>
      <c r="H1750" s="1062">
        <f t="shared" si="71"/>
        <v>2</v>
      </c>
    </row>
    <row r="1751" spans="1:8" s="965" customFormat="1">
      <c r="A1751" s="1067"/>
      <c r="B1751" s="1065" t="s">
        <v>5500</v>
      </c>
      <c r="C1751" s="1061">
        <v>1</v>
      </c>
      <c r="D1751" s="1061">
        <v>6</v>
      </c>
      <c r="E1751" s="1062">
        <v>1</v>
      </c>
      <c r="F1751" s="1062"/>
      <c r="G1751" s="1062"/>
      <c r="H1751" s="1062">
        <f t="shared" si="71"/>
        <v>6</v>
      </c>
    </row>
    <row r="1752" spans="1:8" s="965" customFormat="1">
      <c r="A1752" s="1067"/>
      <c r="B1752" s="1065" t="s">
        <v>5506</v>
      </c>
      <c r="C1752" s="1061">
        <v>1</v>
      </c>
      <c r="D1752" s="1061">
        <v>4</v>
      </c>
      <c r="E1752" s="1062">
        <v>1</v>
      </c>
      <c r="F1752" s="1062"/>
      <c r="G1752" s="1062"/>
      <c r="H1752" s="1062">
        <f t="shared" si="71"/>
        <v>4</v>
      </c>
    </row>
    <row r="1753" spans="1:8" s="965" customFormat="1">
      <c r="A1753" s="1067"/>
      <c r="B1753" s="1065" t="s">
        <v>5501</v>
      </c>
      <c r="C1753" s="1061">
        <v>1</v>
      </c>
      <c r="D1753" s="1061">
        <v>4</v>
      </c>
      <c r="E1753" s="1062">
        <v>1</v>
      </c>
      <c r="F1753" s="1062"/>
      <c r="G1753" s="1062"/>
      <c r="H1753" s="1062">
        <f t="shared" si="71"/>
        <v>4</v>
      </c>
    </row>
    <row r="1754" spans="1:8" s="965" customFormat="1">
      <c r="A1754" s="1067"/>
      <c r="B1754" s="1065"/>
      <c r="C1754" s="1061"/>
      <c r="D1754" s="1061"/>
      <c r="E1754" s="1062"/>
      <c r="F1754" s="1062"/>
      <c r="G1754" s="1062"/>
      <c r="H1754" s="1058">
        <f>SUM(H1717:H1753)</f>
        <v>132</v>
      </c>
    </row>
    <row r="1755" spans="1:8" s="965" customFormat="1">
      <c r="A1755" s="1067"/>
      <c r="B1755" s="1067" t="s">
        <v>5519</v>
      </c>
      <c r="C1755" s="1061">
        <v>1</v>
      </c>
      <c r="D1755" s="1061">
        <v>2</v>
      </c>
      <c r="E1755" s="1062"/>
      <c r="F1755" s="1062"/>
      <c r="G1755" s="1062"/>
      <c r="H1755" s="1058">
        <f>PRODUCT(C1755:G1755)</f>
        <v>2</v>
      </c>
    </row>
    <row r="1756" spans="1:8" s="965" customFormat="1">
      <c r="A1756" s="1067"/>
      <c r="B1756" s="1067"/>
      <c r="C1756" s="1061"/>
      <c r="D1756" s="1061"/>
      <c r="E1756" s="1062"/>
      <c r="F1756" s="1062"/>
      <c r="G1756" s="1062"/>
      <c r="H1756" s="1062"/>
    </row>
    <row r="1757" spans="1:8" s="965" customFormat="1">
      <c r="A1757" s="1067">
        <v>65</v>
      </c>
      <c r="B1757" s="1067" t="s">
        <v>5520</v>
      </c>
      <c r="C1757" s="1061"/>
      <c r="D1757" s="1061"/>
      <c r="E1757" s="1062"/>
      <c r="F1757" s="1062"/>
      <c r="G1757" s="1062"/>
      <c r="H1757" s="1062"/>
    </row>
    <row r="1758" spans="1:8" s="965" customFormat="1">
      <c r="A1758" s="1067"/>
      <c r="B1758" s="1065" t="s">
        <v>5492</v>
      </c>
      <c r="C1758" s="1061"/>
      <c r="D1758" s="1061"/>
      <c r="E1758" s="1062"/>
      <c r="F1758" s="1062"/>
      <c r="G1758" s="1062"/>
      <c r="H1758" s="1062"/>
    </row>
    <row r="1759" spans="1:8" s="965" customFormat="1">
      <c r="A1759" s="1067"/>
      <c r="B1759" s="1065" t="s">
        <v>5521</v>
      </c>
      <c r="C1759" s="1061">
        <v>1</v>
      </c>
      <c r="D1759" s="1061">
        <v>1</v>
      </c>
      <c r="E1759" s="1062">
        <v>1</v>
      </c>
      <c r="F1759" s="1062"/>
      <c r="G1759" s="1062"/>
      <c r="H1759" s="1062">
        <f>PRODUCT(C1759:G1759)</f>
        <v>1</v>
      </c>
    </row>
    <row r="1760" spans="1:8" s="965" customFormat="1">
      <c r="A1760" s="1067"/>
      <c r="B1760" s="1065" t="s">
        <v>5494</v>
      </c>
      <c r="C1760" s="1061">
        <v>1</v>
      </c>
      <c r="D1760" s="1061">
        <v>2</v>
      </c>
      <c r="E1760" s="1062">
        <v>1</v>
      </c>
      <c r="F1760" s="1062"/>
      <c r="G1760" s="1062"/>
      <c r="H1760" s="1062">
        <f>PRODUCT(C1760:G1760)</f>
        <v>2</v>
      </c>
    </row>
    <row r="1761" spans="1:8" s="965" customFormat="1">
      <c r="A1761" s="1067"/>
      <c r="B1761" s="1065" t="s">
        <v>5495</v>
      </c>
      <c r="C1761" s="1061">
        <v>1</v>
      </c>
      <c r="D1761" s="1061">
        <v>1</v>
      </c>
      <c r="E1761" s="1062">
        <v>1</v>
      </c>
      <c r="F1761" s="1062"/>
      <c r="G1761" s="1062"/>
      <c r="H1761" s="1062">
        <f>PRODUCT(C1761:G1761)</f>
        <v>1</v>
      </c>
    </row>
    <row r="1762" spans="1:8" s="965" customFormat="1">
      <c r="A1762" s="1067"/>
      <c r="B1762" s="1065" t="s">
        <v>5522</v>
      </c>
      <c r="C1762" s="1061">
        <v>2</v>
      </c>
      <c r="D1762" s="1061">
        <v>6</v>
      </c>
      <c r="E1762" s="1062">
        <v>1</v>
      </c>
      <c r="F1762" s="1062"/>
      <c r="G1762" s="1062"/>
      <c r="H1762" s="1062">
        <f>PRODUCT(C1762:G1762)</f>
        <v>12</v>
      </c>
    </row>
    <row r="1763" spans="1:8" s="965" customFormat="1">
      <c r="A1763" s="1067"/>
      <c r="B1763" s="1065" t="s">
        <v>5502</v>
      </c>
      <c r="C1763" s="1061"/>
      <c r="D1763" s="1061"/>
      <c r="E1763" s="1062"/>
      <c r="F1763" s="1062"/>
      <c r="G1763" s="1062"/>
      <c r="H1763" s="1062"/>
    </row>
    <row r="1764" spans="1:8" s="965" customFormat="1">
      <c r="A1764" s="1067"/>
      <c r="B1764" s="1065" t="s">
        <v>5523</v>
      </c>
      <c r="C1764" s="1061">
        <v>2</v>
      </c>
      <c r="D1764" s="1061">
        <v>4</v>
      </c>
      <c r="E1764" s="1062">
        <v>1</v>
      </c>
      <c r="F1764" s="1062"/>
      <c r="G1764" s="1062"/>
      <c r="H1764" s="1062">
        <f t="shared" ref="H1764:H1772" si="72">PRODUCT(C1764:G1764)</f>
        <v>8</v>
      </c>
    </row>
    <row r="1765" spans="1:8" s="965" customFormat="1">
      <c r="A1765" s="1067"/>
      <c r="B1765" s="1065" t="s">
        <v>5455</v>
      </c>
      <c r="C1765" s="1061">
        <v>1</v>
      </c>
      <c r="D1765" s="1061">
        <v>4</v>
      </c>
      <c r="E1765" s="1062">
        <v>1</v>
      </c>
      <c r="F1765" s="1062"/>
      <c r="G1765" s="1062"/>
      <c r="H1765" s="1062">
        <f t="shared" si="72"/>
        <v>4</v>
      </c>
    </row>
    <row r="1766" spans="1:8" s="965" customFormat="1">
      <c r="A1766" s="1067"/>
      <c r="B1766" s="1065" t="s">
        <v>5504</v>
      </c>
      <c r="C1766" s="1061">
        <v>2</v>
      </c>
      <c r="D1766" s="1061">
        <v>2</v>
      </c>
      <c r="E1766" s="1062">
        <v>1</v>
      </c>
      <c r="F1766" s="1062"/>
      <c r="G1766" s="1062"/>
      <c r="H1766" s="1062">
        <f t="shared" si="72"/>
        <v>4</v>
      </c>
    </row>
    <row r="1767" spans="1:8" s="965" customFormat="1">
      <c r="A1767" s="1067"/>
      <c r="B1767" s="1065" t="s">
        <v>5524</v>
      </c>
      <c r="C1767" s="1061">
        <v>3</v>
      </c>
      <c r="D1767" s="1061">
        <v>2</v>
      </c>
      <c r="E1767" s="1062">
        <v>1</v>
      </c>
      <c r="F1767" s="1062"/>
      <c r="G1767" s="1062"/>
      <c r="H1767" s="1062">
        <f t="shared" si="72"/>
        <v>6</v>
      </c>
    </row>
    <row r="1768" spans="1:8" s="965" customFormat="1">
      <c r="A1768" s="1067"/>
      <c r="B1768" s="1065" t="s">
        <v>5506</v>
      </c>
      <c r="C1768" s="1061">
        <v>3</v>
      </c>
      <c r="D1768" s="1061">
        <v>2</v>
      </c>
      <c r="E1768" s="1062">
        <v>1</v>
      </c>
      <c r="F1768" s="1062"/>
      <c r="G1768" s="1062"/>
      <c r="H1768" s="1062">
        <f t="shared" si="72"/>
        <v>6</v>
      </c>
    </row>
    <row r="1769" spans="1:8" s="965" customFormat="1">
      <c r="A1769" s="1067"/>
      <c r="B1769" s="1065" t="s">
        <v>5525</v>
      </c>
      <c r="C1769" s="1061">
        <v>2</v>
      </c>
      <c r="D1769" s="1061">
        <v>2</v>
      </c>
      <c r="E1769" s="1062">
        <v>1</v>
      </c>
      <c r="F1769" s="1062"/>
      <c r="G1769" s="1062"/>
      <c r="H1769" s="1062">
        <f t="shared" si="72"/>
        <v>4</v>
      </c>
    </row>
    <row r="1770" spans="1:8" s="965" customFormat="1">
      <c r="A1770" s="1067"/>
      <c r="B1770" s="1065" t="s">
        <v>5526</v>
      </c>
      <c r="C1770" s="1061">
        <v>1</v>
      </c>
      <c r="D1770" s="1061">
        <v>4</v>
      </c>
      <c r="E1770" s="1062">
        <v>1</v>
      </c>
      <c r="F1770" s="1062"/>
      <c r="G1770" s="1062"/>
      <c r="H1770" s="1062">
        <f t="shared" si="72"/>
        <v>4</v>
      </c>
    </row>
    <row r="1771" spans="1:8" s="965" customFormat="1">
      <c r="A1771" s="1067"/>
      <c r="B1771" s="1065" t="s">
        <v>5527</v>
      </c>
      <c r="C1771" s="1061">
        <v>1</v>
      </c>
      <c r="D1771" s="1061">
        <v>4</v>
      </c>
      <c r="E1771" s="1062">
        <v>1</v>
      </c>
      <c r="F1771" s="1062"/>
      <c r="G1771" s="1062"/>
      <c r="H1771" s="1062">
        <f t="shared" si="72"/>
        <v>4</v>
      </c>
    </row>
    <row r="1772" spans="1:8" s="965" customFormat="1">
      <c r="A1772" s="1067"/>
      <c r="B1772" s="1065" t="s">
        <v>5512</v>
      </c>
      <c r="C1772" s="1061">
        <v>1</v>
      </c>
      <c r="D1772" s="1061">
        <v>1</v>
      </c>
      <c r="E1772" s="1062">
        <v>1</v>
      </c>
      <c r="F1772" s="1062"/>
      <c r="G1772" s="1062"/>
      <c r="H1772" s="1062">
        <f t="shared" si="72"/>
        <v>1</v>
      </c>
    </row>
    <row r="1773" spans="1:8" s="965" customFormat="1">
      <c r="A1773" s="1067"/>
      <c r="B1773" s="1065" t="s">
        <v>5514</v>
      </c>
      <c r="C1773" s="1061"/>
      <c r="D1773" s="1061"/>
      <c r="E1773" s="1062"/>
      <c r="F1773" s="1062"/>
      <c r="G1773" s="1062"/>
      <c r="H1773" s="1062"/>
    </row>
    <row r="1774" spans="1:8" s="965" customFormat="1">
      <c r="A1774" s="1067"/>
      <c r="B1774" s="1065" t="s">
        <v>5515</v>
      </c>
      <c r="C1774" s="1061">
        <v>2</v>
      </c>
      <c r="D1774" s="1061">
        <v>5</v>
      </c>
      <c r="E1774" s="1062">
        <v>1</v>
      </c>
      <c r="F1774" s="1062"/>
      <c r="G1774" s="1062"/>
      <c r="H1774" s="1062">
        <f t="shared" ref="H1774:H1779" si="73">PRODUCT(C1774:G1774)</f>
        <v>10</v>
      </c>
    </row>
    <row r="1775" spans="1:8" s="965" customFormat="1">
      <c r="A1775" s="1067"/>
      <c r="B1775" s="1065" t="s">
        <v>5506</v>
      </c>
      <c r="C1775" s="1061">
        <v>1</v>
      </c>
      <c r="D1775" s="1061">
        <v>2</v>
      </c>
      <c r="E1775" s="1062">
        <v>1</v>
      </c>
      <c r="F1775" s="1062"/>
      <c r="G1775" s="1062"/>
      <c r="H1775" s="1062">
        <f t="shared" si="73"/>
        <v>2</v>
      </c>
    </row>
    <row r="1776" spans="1:8" s="965" customFormat="1">
      <c r="A1776" s="1067"/>
      <c r="B1776" s="1065" t="s">
        <v>5528</v>
      </c>
      <c r="C1776" s="1061">
        <v>1</v>
      </c>
      <c r="D1776" s="1061">
        <v>1</v>
      </c>
      <c r="E1776" s="1062">
        <v>1</v>
      </c>
      <c r="F1776" s="1062"/>
      <c r="G1776" s="1062"/>
      <c r="H1776" s="1062">
        <f t="shared" si="73"/>
        <v>1</v>
      </c>
    </row>
    <row r="1777" spans="1:8" s="965" customFormat="1">
      <c r="A1777" s="1067"/>
      <c r="B1777" s="1065" t="s">
        <v>5227</v>
      </c>
      <c r="C1777" s="1061">
        <v>2</v>
      </c>
      <c r="D1777" s="1061">
        <v>4</v>
      </c>
      <c r="E1777" s="1062">
        <v>1</v>
      </c>
      <c r="F1777" s="1062"/>
      <c r="G1777" s="1062"/>
      <c r="H1777" s="1062">
        <f t="shared" si="73"/>
        <v>8</v>
      </c>
    </row>
    <row r="1778" spans="1:8" s="965" customFormat="1">
      <c r="A1778" s="1067"/>
      <c r="B1778" s="1065" t="s">
        <v>5516</v>
      </c>
      <c r="C1778" s="1061">
        <v>2</v>
      </c>
      <c r="D1778" s="1061">
        <v>4</v>
      </c>
      <c r="E1778" s="1062">
        <v>1</v>
      </c>
      <c r="F1778" s="1062"/>
      <c r="G1778" s="1062"/>
      <c r="H1778" s="1062">
        <f t="shared" si="73"/>
        <v>8</v>
      </c>
    </row>
    <row r="1779" spans="1:8" s="965" customFormat="1">
      <c r="A1779" s="1067"/>
      <c r="B1779" s="1065" t="s">
        <v>5500</v>
      </c>
      <c r="C1779" s="1061">
        <v>2</v>
      </c>
      <c r="D1779" s="1061">
        <v>1</v>
      </c>
      <c r="E1779" s="1062">
        <v>1</v>
      </c>
      <c r="F1779" s="1062"/>
      <c r="G1779" s="1062"/>
      <c r="H1779" s="1062">
        <f t="shared" si="73"/>
        <v>2</v>
      </c>
    </row>
    <row r="1780" spans="1:8" s="965" customFormat="1">
      <c r="A1780" s="1067"/>
      <c r="B1780" s="1065"/>
      <c r="C1780" s="1061"/>
      <c r="D1780" s="1061"/>
      <c r="E1780" s="1062"/>
      <c r="F1780" s="1062"/>
      <c r="G1780" s="1062"/>
      <c r="H1780" s="1058">
        <f>SUM(H1758:H1779)</f>
        <v>88</v>
      </c>
    </row>
    <row r="1781" spans="1:8" s="965" customFormat="1">
      <c r="A1781" s="1067">
        <v>66</v>
      </c>
      <c r="B1781" s="1067" t="s">
        <v>5529</v>
      </c>
      <c r="C1781" s="1061"/>
      <c r="D1781" s="1061"/>
      <c r="E1781" s="1062"/>
      <c r="F1781" s="1062"/>
      <c r="G1781" s="1062"/>
      <c r="H1781" s="1062"/>
    </row>
    <row r="1782" spans="1:8" s="965" customFormat="1">
      <c r="A1782" s="1067"/>
      <c r="B1782" s="1065" t="s">
        <v>5531</v>
      </c>
      <c r="C1782" s="1061">
        <v>1</v>
      </c>
      <c r="D1782" s="1061">
        <v>4</v>
      </c>
      <c r="E1782" s="1062">
        <v>1</v>
      </c>
      <c r="F1782" s="1062"/>
      <c r="G1782" s="1062"/>
      <c r="H1782" s="1058">
        <f>PRODUCT(C1782:G1782)</f>
        <v>4</v>
      </c>
    </row>
    <row r="1783" spans="1:8" s="965" customFormat="1">
      <c r="A1783" s="1067"/>
      <c r="B1783" s="1065"/>
      <c r="C1783" s="1061"/>
      <c r="D1783" s="1061"/>
      <c r="E1783" s="1062"/>
      <c r="F1783" s="1062"/>
      <c r="G1783" s="1062"/>
      <c r="H1783" s="1058"/>
    </row>
    <row r="1784" spans="1:8" s="965" customFormat="1" ht="22.5" customHeight="1">
      <c r="A1784" s="1067">
        <v>67</v>
      </c>
      <c r="B1784" s="1067" t="s">
        <v>6110</v>
      </c>
      <c r="C1784" s="1061"/>
      <c r="D1784" s="1061"/>
      <c r="E1784" s="1062"/>
      <c r="F1784" s="1062"/>
      <c r="G1784" s="1062"/>
      <c r="H1784" s="1062"/>
    </row>
    <row r="1785" spans="1:8" s="965" customFormat="1">
      <c r="A1785" s="1067"/>
      <c r="B1785" s="1065" t="s">
        <v>5492</v>
      </c>
      <c r="C1785" s="1061"/>
      <c r="D1785" s="1061"/>
      <c r="E1785" s="1062"/>
      <c r="F1785" s="1062"/>
      <c r="G1785" s="1062"/>
      <c r="H1785" s="1062"/>
    </row>
    <row r="1786" spans="1:8" s="965" customFormat="1">
      <c r="A1786" s="1067"/>
      <c r="B1786" s="1065" t="s">
        <v>5521</v>
      </c>
      <c r="C1786" s="1061">
        <v>1</v>
      </c>
      <c r="D1786" s="1061">
        <v>1</v>
      </c>
      <c r="E1786" s="1062">
        <v>1</v>
      </c>
      <c r="F1786" s="1062"/>
      <c r="G1786" s="1062"/>
      <c r="H1786" s="1062">
        <f>PRODUCT(C1786:G1786)</f>
        <v>1</v>
      </c>
    </row>
    <row r="1787" spans="1:8" s="965" customFormat="1">
      <c r="A1787" s="1067"/>
      <c r="B1787" s="1065" t="s">
        <v>5494</v>
      </c>
      <c r="C1787" s="1061">
        <v>1</v>
      </c>
      <c r="D1787" s="1061">
        <v>1</v>
      </c>
      <c r="E1787" s="1062">
        <v>1</v>
      </c>
      <c r="F1787" s="1062"/>
      <c r="G1787" s="1062"/>
      <c r="H1787" s="1062">
        <f>PRODUCT(C1787:G1787)</f>
        <v>1</v>
      </c>
    </row>
    <row r="1788" spans="1:8" s="965" customFormat="1">
      <c r="A1788" s="1067"/>
      <c r="B1788" s="1065" t="s">
        <v>5495</v>
      </c>
      <c r="C1788" s="1061">
        <v>1</v>
      </c>
      <c r="D1788" s="1061">
        <v>1</v>
      </c>
      <c r="E1788" s="1062">
        <v>1</v>
      </c>
      <c r="F1788" s="1062"/>
      <c r="G1788" s="1062"/>
      <c r="H1788" s="1062">
        <f>PRODUCT(C1788:G1788)</f>
        <v>1</v>
      </c>
    </row>
    <row r="1789" spans="1:8" s="965" customFormat="1">
      <c r="A1789" s="1067"/>
      <c r="B1789" s="1065" t="s">
        <v>5522</v>
      </c>
      <c r="C1789" s="1061">
        <v>2</v>
      </c>
      <c r="D1789" s="1061">
        <v>2</v>
      </c>
      <c r="E1789" s="1062">
        <v>1</v>
      </c>
      <c r="F1789" s="1062"/>
      <c r="G1789" s="1062"/>
      <c r="H1789" s="1062">
        <f>PRODUCT(C1789:G1789)</f>
        <v>4</v>
      </c>
    </row>
    <row r="1790" spans="1:8" s="965" customFormat="1">
      <c r="A1790" s="1067"/>
      <c r="B1790" s="1065" t="s">
        <v>5502</v>
      </c>
      <c r="C1790" s="1061"/>
      <c r="D1790" s="1061"/>
      <c r="E1790" s="1062"/>
      <c r="F1790" s="1062"/>
      <c r="G1790" s="1062"/>
      <c r="H1790" s="1062"/>
    </row>
    <row r="1791" spans="1:8" s="965" customFormat="1">
      <c r="A1791" s="1067"/>
      <c r="B1791" s="1065" t="s">
        <v>5523</v>
      </c>
      <c r="C1791" s="1061">
        <v>2</v>
      </c>
      <c r="D1791" s="1061">
        <v>1</v>
      </c>
      <c r="E1791" s="1062">
        <v>1</v>
      </c>
      <c r="F1791" s="1062"/>
      <c r="G1791" s="1062"/>
      <c r="H1791" s="1062">
        <f t="shared" ref="H1791:H1799" si="74">PRODUCT(C1791:G1791)</f>
        <v>2</v>
      </c>
    </row>
    <row r="1792" spans="1:8" s="965" customFormat="1">
      <c r="A1792" s="1067"/>
      <c r="B1792" s="1065" t="s">
        <v>5455</v>
      </c>
      <c r="C1792" s="1061">
        <v>1</v>
      </c>
      <c r="D1792" s="1061">
        <v>1</v>
      </c>
      <c r="E1792" s="1062">
        <v>1</v>
      </c>
      <c r="F1792" s="1062"/>
      <c r="G1792" s="1062"/>
      <c r="H1792" s="1062">
        <f t="shared" si="74"/>
        <v>1</v>
      </c>
    </row>
    <row r="1793" spans="1:8" s="965" customFormat="1">
      <c r="A1793" s="1067"/>
      <c r="B1793" s="1065" t="s">
        <v>5504</v>
      </c>
      <c r="C1793" s="1061">
        <v>1</v>
      </c>
      <c r="D1793" s="1061">
        <v>2</v>
      </c>
      <c r="E1793" s="1062">
        <v>1</v>
      </c>
      <c r="F1793" s="1062"/>
      <c r="G1793" s="1062"/>
      <c r="H1793" s="1062">
        <f t="shared" si="74"/>
        <v>2</v>
      </c>
    </row>
    <row r="1794" spans="1:8" s="965" customFormat="1">
      <c r="A1794" s="1067"/>
      <c r="B1794" s="1065" t="s">
        <v>5524</v>
      </c>
      <c r="C1794" s="1061">
        <v>3</v>
      </c>
      <c r="D1794" s="1061">
        <v>1</v>
      </c>
      <c r="E1794" s="1062">
        <v>1</v>
      </c>
      <c r="F1794" s="1062"/>
      <c r="G1794" s="1062"/>
      <c r="H1794" s="1062">
        <f t="shared" si="74"/>
        <v>3</v>
      </c>
    </row>
    <row r="1795" spans="1:8" s="965" customFormat="1">
      <c r="A1795" s="1067"/>
      <c r="B1795" s="1065" t="s">
        <v>5506</v>
      </c>
      <c r="C1795" s="1061">
        <v>3</v>
      </c>
      <c r="D1795" s="1061">
        <v>1</v>
      </c>
      <c r="E1795" s="1062">
        <v>1</v>
      </c>
      <c r="F1795" s="1062"/>
      <c r="G1795" s="1062"/>
      <c r="H1795" s="1062">
        <f t="shared" si="74"/>
        <v>3</v>
      </c>
    </row>
    <row r="1796" spans="1:8" s="965" customFormat="1">
      <c r="A1796" s="1067"/>
      <c r="B1796" s="1065" t="s">
        <v>5525</v>
      </c>
      <c r="C1796" s="1061">
        <v>1</v>
      </c>
      <c r="D1796" s="1061">
        <v>2</v>
      </c>
      <c r="E1796" s="1062">
        <v>1</v>
      </c>
      <c r="F1796" s="1062"/>
      <c r="G1796" s="1062"/>
      <c r="H1796" s="1062">
        <f t="shared" si="74"/>
        <v>2</v>
      </c>
    </row>
    <row r="1797" spans="1:8" s="965" customFormat="1">
      <c r="A1797" s="1067"/>
      <c r="B1797" s="1065" t="s">
        <v>5526</v>
      </c>
      <c r="C1797" s="1061">
        <v>1</v>
      </c>
      <c r="D1797" s="1061">
        <v>2</v>
      </c>
      <c r="E1797" s="1062">
        <v>1</v>
      </c>
      <c r="F1797" s="1062"/>
      <c r="G1797" s="1062"/>
      <c r="H1797" s="1062">
        <f t="shared" si="74"/>
        <v>2</v>
      </c>
    </row>
    <row r="1798" spans="1:8" s="965" customFormat="1">
      <c r="A1798" s="1067"/>
      <c r="B1798" s="1065" t="s">
        <v>5527</v>
      </c>
      <c r="C1798" s="1061">
        <v>1</v>
      </c>
      <c r="D1798" s="1061">
        <v>1</v>
      </c>
      <c r="E1798" s="1062">
        <v>1</v>
      </c>
      <c r="F1798" s="1062"/>
      <c r="G1798" s="1062"/>
      <c r="H1798" s="1062">
        <f t="shared" si="74"/>
        <v>1</v>
      </c>
    </row>
    <row r="1799" spans="1:8" s="965" customFormat="1">
      <c r="A1799" s="1067"/>
      <c r="B1799" s="1065" t="s">
        <v>5512</v>
      </c>
      <c r="C1799" s="1061">
        <v>1</v>
      </c>
      <c r="D1799" s="1061">
        <v>1</v>
      </c>
      <c r="E1799" s="1062">
        <v>1</v>
      </c>
      <c r="F1799" s="1062"/>
      <c r="G1799" s="1062"/>
      <c r="H1799" s="1062">
        <f t="shared" si="74"/>
        <v>1</v>
      </c>
    </row>
    <row r="1800" spans="1:8" s="965" customFormat="1">
      <c r="A1800" s="1067"/>
      <c r="B1800" s="1067" t="s">
        <v>5514</v>
      </c>
      <c r="C1800" s="1061"/>
      <c r="D1800" s="1061"/>
      <c r="E1800" s="1062"/>
      <c r="F1800" s="1062"/>
      <c r="G1800" s="1062"/>
      <c r="H1800" s="1062"/>
    </row>
    <row r="1801" spans="1:8" s="965" customFormat="1">
      <c r="A1801" s="1067"/>
      <c r="B1801" s="1065" t="s">
        <v>5515</v>
      </c>
      <c r="C1801" s="1061">
        <v>2</v>
      </c>
      <c r="D1801" s="1061">
        <v>2</v>
      </c>
      <c r="E1801" s="1062">
        <v>1</v>
      </c>
      <c r="F1801" s="1062"/>
      <c r="G1801" s="1062"/>
      <c r="H1801" s="1062">
        <f t="shared" ref="H1801:H1806" si="75">PRODUCT(C1801:G1801)</f>
        <v>4</v>
      </c>
    </row>
    <row r="1802" spans="1:8" s="965" customFormat="1">
      <c r="A1802" s="1067"/>
      <c r="B1802" s="1065" t="s">
        <v>5506</v>
      </c>
      <c r="C1802" s="1061">
        <v>1</v>
      </c>
      <c r="D1802" s="1061">
        <v>2</v>
      </c>
      <c r="E1802" s="1062">
        <v>1</v>
      </c>
      <c r="F1802" s="1062"/>
      <c r="G1802" s="1062"/>
      <c r="H1802" s="1062">
        <f t="shared" si="75"/>
        <v>2</v>
      </c>
    </row>
    <row r="1803" spans="1:8" s="965" customFormat="1">
      <c r="A1803" s="1067"/>
      <c r="B1803" s="1065" t="s">
        <v>5528</v>
      </c>
      <c r="C1803" s="1061">
        <v>1</v>
      </c>
      <c r="D1803" s="1061">
        <v>1</v>
      </c>
      <c r="E1803" s="1062">
        <v>1</v>
      </c>
      <c r="F1803" s="1062"/>
      <c r="G1803" s="1062"/>
      <c r="H1803" s="1062">
        <f t="shared" si="75"/>
        <v>1</v>
      </c>
    </row>
    <row r="1804" spans="1:8" s="965" customFormat="1">
      <c r="A1804" s="1067"/>
      <c r="B1804" s="1065" t="s">
        <v>5227</v>
      </c>
      <c r="C1804" s="1061">
        <v>2</v>
      </c>
      <c r="D1804" s="1061">
        <v>1</v>
      </c>
      <c r="E1804" s="1062">
        <v>1</v>
      </c>
      <c r="F1804" s="1062"/>
      <c r="G1804" s="1062"/>
      <c r="H1804" s="1062">
        <f t="shared" si="75"/>
        <v>2</v>
      </c>
    </row>
    <row r="1805" spans="1:8" s="965" customFormat="1">
      <c r="A1805" s="1067"/>
      <c r="B1805" s="1065" t="s">
        <v>5516</v>
      </c>
      <c r="C1805" s="1061">
        <v>2</v>
      </c>
      <c r="D1805" s="1061">
        <v>1</v>
      </c>
      <c r="E1805" s="1062">
        <v>1</v>
      </c>
      <c r="F1805" s="1062"/>
      <c r="G1805" s="1062"/>
      <c r="H1805" s="1062">
        <f t="shared" si="75"/>
        <v>2</v>
      </c>
    </row>
    <row r="1806" spans="1:8" s="965" customFormat="1">
      <c r="A1806" s="1067"/>
      <c r="B1806" s="1065" t="s">
        <v>5500</v>
      </c>
      <c r="C1806" s="1061">
        <v>2</v>
      </c>
      <c r="D1806" s="1061">
        <v>1</v>
      </c>
      <c r="E1806" s="1062">
        <v>1</v>
      </c>
      <c r="F1806" s="1062"/>
      <c r="G1806" s="1062"/>
      <c r="H1806" s="1062">
        <f t="shared" si="75"/>
        <v>2</v>
      </c>
    </row>
    <row r="1807" spans="1:8" s="965" customFormat="1">
      <c r="A1807" s="1059"/>
      <c r="B1807" s="1064"/>
      <c r="C1807" s="1061"/>
      <c r="D1807" s="1061"/>
      <c r="E1807" s="1062"/>
      <c r="F1807" s="1062"/>
      <c r="G1807" s="1062"/>
      <c r="H1807" s="1084">
        <f>SUM(H1785:H1806)</f>
        <v>37</v>
      </c>
    </row>
    <row r="1808" spans="1:8" s="965" customFormat="1">
      <c r="A1808" s="1067"/>
      <c r="B1808" s="1065"/>
      <c r="C1808" s="1061"/>
      <c r="D1808" s="1061"/>
      <c r="E1808" s="1062"/>
      <c r="F1808" s="1062"/>
      <c r="G1808" s="1062"/>
      <c r="H1808" s="1062"/>
    </row>
    <row r="1809" spans="1:8" s="965" customFormat="1" ht="29.25">
      <c r="A1809" s="1067">
        <v>68</v>
      </c>
      <c r="B1809" s="1082" t="s">
        <v>6111</v>
      </c>
      <c r="C1809" s="1061"/>
      <c r="D1809" s="1061"/>
      <c r="E1809" s="1062"/>
      <c r="F1809" s="1062"/>
      <c r="G1809" s="1062"/>
      <c r="H1809" s="1062"/>
    </row>
    <row r="1810" spans="1:8" s="965" customFormat="1">
      <c r="A1810" s="1067"/>
      <c r="B1810" s="1065" t="s">
        <v>5492</v>
      </c>
      <c r="C1810" s="1061"/>
      <c r="D1810" s="1061"/>
      <c r="E1810" s="1062"/>
      <c r="F1810" s="1062"/>
      <c r="G1810" s="1062"/>
      <c r="H1810" s="1062"/>
    </row>
    <row r="1811" spans="1:8" s="965" customFormat="1">
      <c r="A1811" s="1067"/>
      <c r="B1811" s="1065" t="s">
        <v>5521</v>
      </c>
      <c r="C1811" s="1061">
        <v>1</v>
      </c>
      <c r="D1811" s="1061">
        <v>1</v>
      </c>
      <c r="E1811" s="1062">
        <v>1</v>
      </c>
      <c r="F1811" s="1062"/>
      <c r="G1811" s="1062"/>
      <c r="H1811" s="1062">
        <f>PRODUCT(C1811:G1811)</f>
        <v>1</v>
      </c>
    </row>
    <row r="1812" spans="1:8" s="965" customFormat="1">
      <c r="A1812" s="1067"/>
      <c r="B1812" s="1065" t="s">
        <v>5494</v>
      </c>
      <c r="C1812" s="1061">
        <v>1</v>
      </c>
      <c r="D1812" s="1061">
        <v>1</v>
      </c>
      <c r="E1812" s="1062">
        <v>1</v>
      </c>
      <c r="F1812" s="1062"/>
      <c r="G1812" s="1062"/>
      <c r="H1812" s="1062">
        <f>PRODUCT(C1812:G1812)</f>
        <v>1</v>
      </c>
    </row>
    <row r="1813" spans="1:8" s="965" customFormat="1">
      <c r="A1813" s="1067"/>
      <c r="B1813" s="1065" t="s">
        <v>5495</v>
      </c>
      <c r="C1813" s="1061">
        <v>1</v>
      </c>
      <c r="D1813" s="1061">
        <v>1</v>
      </c>
      <c r="E1813" s="1062">
        <v>1</v>
      </c>
      <c r="F1813" s="1062"/>
      <c r="G1813" s="1062"/>
      <c r="H1813" s="1062">
        <f>PRODUCT(C1813:G1813)</f>
        <v>1</v>
      </c>
    </row>
    <row r="1814" spans="1:8" s="965" customFormat="1">
      <c r="A1814" s="1067"/>
      <c r="B1814" s="1065" t="s">
        <v>5522</v>
      </c>
      <c r="C1814" s="1061">
        <v>2</v>
      </c>
      <c r="D1814" s="1061">
        <v>2</v>
      </c>
      <c r="E1814" s="1062">
        <v>1</v>
      </c>
      <c r="F1814" s="1062"/>
      <c r="G1814" s="1062"/>
      <c r="H1814" s="1062">
        <f>PRODUCT(C1814:G1814)</f>
        <v>4</v>
      </c>
    </row>
    <row r="1815" spans="1:8" s="965" customFormat="1">
      <c r="A1815" s="1067"/>
      <c r="B1815" s="1065" t="s">
        <v>5502</v>
      </c>
      <c r="C1815" s="1061"/>
      <c r="D1815" s="1061"/>
      <c r="E1815" s="1062"/>
      <c r="F1815" s="1062"/>
      <c r="G1815" s="1062"/>
      <c r="H1815" s="1062"/>
    </row>
    <row r="1816" spans="1:8" s="965" customFormat="1">
      <c r="A1816" s="1067"/>
      <c r="B1816" s="1065" t="s">
        <v>5523</v>
      </c>
      <c r="C1816" s="1061">
        <v>2</v>
      </c>
      <c r="D1816" s="1061">
        <v>2</v>
      </c>
      <c r="E1816" s="1062">
        <v>1</v>
      </c>
      <c r="F1816" s="1062"/>
      <c r="G1816" s="1062"/>
      <c r="H1816" s="1062">
        <f t="shared" ref="H1816:H1823" si="76">PRODUCT(C1816:G1816)</f>
        <v>4</v>
      </c>
    </row>
    <row r="1817" spans="1:8" s="965" customFormat="1">
      <c r="A1817" s="1067"/>
      <c r="B1817" s="1065" t="s">
        <v>5455</v>
      </c>
      <c r="C1817" s="1061">
        <v>1</v>
      </c>
      <c r="D1817" s="1061">
        <v>2</v>
      </c>
      <c r="E1817" s="1062">
        <v>1</v>
      </c>
      <c r="F1817" s="1062"/>
      <c r="G1817" s="1062"/>
      <c r="H1817" s="1062">
        <f t="shared" si="76"/>
        <v>2</v>
      </c>
    </row>
    <row r="1818" spans="1:8" s="965" customFormat="1">
      <c r="A1818" s="1067"/>
      <c r="B1818" s="1065" t="s">
        <v>5504</v>
      </c>
      <c r="C1818" s="1061">
        <v>2</v>
      </c>
      <c r="D1818" s="1061">
        <v>1</v>
      </c>
      <c r="E1818" s="1062">
        <v>1</v>
      </c>
      <c r="F1818" s="1062"/>
      <c r="G1818" s="1062"/>
      <c r="H1818" s="1062">
        <f t="shared" si="76"/>
        <v>2</v>
      </c>
    </row>
    <row r="1819" spans="1:8" s="965" customFormat="1">
      <c r="A1819" s="1067"/>
      <c r="B1819" s="1065" t="s">
        <v>5524</v>
      </c>
      <c r="C1819" s="1061">
        <v>3</v>
      </c>
      <c r="D1819" s="1061">
        <v>1</v>
      </c>
      <c r="E1819" s="1062">
        <v>1</v>
      </c>
      <c r="F1819" s="1062"/>
      <c r="G1819" s="1062"/>
      <c r="H1819" s="1062">
        <f t="shared" si="76"/>
        <v>3</v>
      </c>
    </row>
    <row r="1820" spans="1:8" s="965" customFormat="1">
      <c r="A1820" s="1067"/>
      <c r="B1820" s="1065" t="s">
        <v>5506</v>
      </c>
      <c r="C1820" s="1061">
        <v>3</v>
      </c>
      <c r="D1820" s="1061">
        <v>2</v>
      </c>
      <c r="E1820" s="1062">
        <v>1</v>
      </c>
      <c r="F1820" s="1062"/>
      <c r="G1820" s="1062"/>
      <c r="H1820" s="1062">
        <f t="shared" si="76"/>
        <v>6</v>
      </c>
    </row>
    <row r="1821" spans="1:8" s="965" customFormat="1">
      <c r="A1821" s="1067"/>
      <c r="B1821" s="1065" t="s">
        <v>5525</v>
      </c>
      <c r="C1821" s="1061">
        <v>2</v>
      </c>
      <c r="D1821" s="1061">
        <v>1</v>
      </c>
      <c r="E1821" s="1062">
        <v>1</v>
      </c>
      <c r="F1821" s="1062"/>
      <c r="G1821" s="1062"/>
      <c r="H1821" s="1062">
        <f t="shared" si="76"/>
        <v>2</v>
      </c>
    </row>
    <row r="1822" spans="1:8" s="965" customFormat="1">
      <c r="A1822" s="1067"/>
      <c r="B1822" s="1065" t="s">
        <v>5526</v>
      </c>
      <c r="C1822" s="1061">
        <v>1</v>
      </c>
      <c r="D1822" s="1061">
        <v>4</v>
      </c>
      <c r="E1822" s="1062">
        <v>1</v>
      </c>
      <c r="F1822" s="1062"/>
      <c r="G1822" s="1062"/>
      <c r="H1822" s="1062">
        <f t="shared" si="76"/>
        <v>4</v>
      </c>
    </row>
    <row r="1823" spans="1:8" s="965" customFormat="1">
      <c r="A1823" s="1067"/>
      <c r="B1823" s="1065" t="s">
        <v>5512</v>
      </c>
      <c r="C1823" s="1061">
        <v>1</v>
      </c>
      <c r="D1823" s="1061">
        <v>1</v>
      </c>
      <c r="E1823" s="1062">
        <v>1</v>
      </c>
      <c r="F1823" s="1062"/>
      <c r="G1823" s="1062"/>
      <c r="H1823" s="1062">
        <f t="shared" si="76"/>
        <v>1</v>
      </c>
    </row>
    <row r="1824" spans="1:8" s="965" customFormat="1">
      <c r="A1824" s="1067"/>
      <c r="B1824" s="1065" t="s">
        <v>5514</v>
      </c>
      <c r="C1824" s="1061"/>
      <c r="D1824" s="1061"/>
      <c r="E1824" s="1062"/>
      <c r="F1824" s="1062"/>
      <c r="G1824" s="1062"/>
      <c r="H1824" s="1062"/>
    </row>
    <row r="1825" spans="1:8" s="965" customFormat="1">
      <c r="A1825" s="1067"/>
      <c r="B1825" s="1065" t="s">
        <v>5515</v>
      </c>
      <c r="C1825" s="1061">
        <v>2</v>
      </c>
      <c r="D1825" s="1061">
        <v>5</v>
      </c>
      <c r="E1825" s="1062">
        <v>1</v>
      </c>
      <c r="F1825" s="1062"/>
      <c r="G1825" s="1062"/>
      <c r="H1825" s="1062">
        <f>PRODUCT(C1825:G1825)</f>
        <v>10</v>
      </c>
    </row>
    <row r="1826" spans="1:8" s="965" customFormat="1">
      <c r="A1826" s="1067"/>
      <c r="B1826" s="1065" t="s">
        <v>5506</v>
      </c>
      <c r="C1826" s="1061">
        <v>1</v>
      </c>
      <c r="D1826" s="1061">
        <v>2</v>
      </c>
      <c r="E1826" s="1062">
        <v>1</v>
      </c>
      <c r="F1826" s="1062"/>
      <c r="G1826" s="1062"/>
      <c r="H1826" s="1062">
        <f>PRODUCT(C1826:G1826)</f>
        <v>2</v>
      </c>
    </row>
    <row r="1827" spans="1:8" s="965" customFormat="1">
      <c r="A1827" s="1067"/>
      <c r="B1827" s="1065" t="s">
        <v>5528</v>
      </c>
      <c r="C1827" s="1061">
        <v>1</v>
      </c>
      <c r="D1827" s="1061">
        <v>1</v>
      </c>
      <c r="E1827" s="1062">
        <v>1</v>
      </c>
      <c r="F1827" s="1062"/>
      <c r="G1827" s="1062"/>
      <c r="H1827" s="1062">
        <f>PRODUCT(C1827:G1827)</f>
        <v>1</v>
      </c>
    </row>
    <row r="1828" spans="1:8" s="965" customFormat="1">
      <c r="A1828" s="1067"/>
      <c r="B1828" s="1065" t="s">
        <v>5227</v>
      </c>
      <c r="C1828" s="1061">
        <v>1</v>
      </c>
      <c r="D1828" s="1061">
        <v>4</v>
      </c>
      <c r="E1828" s="1062">
        <v>1</v>
      </c>
      <c r="F1828" s="1062"/>
      <c r="G1828" s="1062"/>
      <c r="H1828" s="1062">
        <f>PRODUCT(C1828:G1828)</f>
        <v>4</v>
      </c>
    </row>
    <row r="1829" spans="1:8" s="965" customFormat="1">
      <c r="A1829" s="1067"/>
      <c r="B1829" s="1065" t="s">
        <v>5516</v>
      </c>
      <c r="C1829" s="1061">
        <v>2</v>
      </c>
      <c r="D1829" s="1061">
        <v>1</v>
      </c>
      <c r="E1829" s="1062">
        <v>1</v>
      </c>
      <c r="F1829" s="1062"/>
      <c r="G1829" s="1062"/>
      <c r="H1829" s="1062">
        <f>PRODUCT(C1829:G1829)</f>
        <v>2</v>
      </c>
    </row>
    <row r="1830" spans="1:8" s="965" customFormat="1">
      <c r="A1830" s="1067"/>
      <c r="B1830" s="1065"/>
      <c r="C1830" s="1061"/>
      <c r="D1830" s="1061"/>
      <c r="E1830" s="1062"/>
      <c r="F1830" s="1062"/>
      <c r="G1830" s="1062"/>
      <c r="H1830" s="1058">
        <f>SUM(H1810:H1829)</f>
        <v>50</v>
      </c>
    </row>
    <row r="1831" spans="1:8" s="965" customFormat="1">
      <c r="A1831" s="1067">
        <v>69</v>
      </c>
      <c r="B1831" s="1067" t="s">
        <v>5530</v>
      </c>
      <c r="C1831" s="1061"/>
      <c r="D1831" s="1061"/>
      <c r="E1831" s="1062"/>
      <c r="F1831" s="1062"/>
      <c r="G1831" s="1062"/>
      <c r="H1831" s="1062"/>
    </row>
    <row r="1832" spans="1:8" s="965" customFormat="1">
      <c r="A1832" s="1067"/>
      <c r="B1832" s="1065" t="s">
        <v>5492</v>
      </c>
      <c r="C1832" s="1061"/>
      <c r="D1832" s="1061"/>
      <c r="E1832" s="1062"/>
      <c r="F1832" s="1062"/>
      <c r="G1832" s="1062"/>
      <c r="H1832" s="1062"/>
    </row>
    <row r="1833" spans="1:8" s="965" customFormat="1">
      <c r="A1833" s="1067"/>
      <c r="B1833" s="1065" t="s">
        <v>5494</v>
      </c>
      <c r="C1833" s="1061">
        <v>1</v>
      </c>
      <c r="D1833" s="1061">
        <v>1</v>
      </c>
      <c r="E1833" s="1062">
        <v>1</v>
      </c>
      <c r="F1833" s="1062"/>
      <c r="G1833" s="1062"/>
      <c r="H1833" s="1062">
        <f>PRODUCT(C1833:G1833)</f>
        <v>1</v>
      </c>
    </row>
    <row r="1834" spans="1:8" s="965" customFormat="1">
      <c r="A1834" s="1067"/>
      <c r="B1834" s="1065" t="s">
        <v>5495</v>
      </c>
      <c r="C1834" s="1061">
        <v>1</v>
      </c>
      <c r="D1834" s="1061">
        <v>1</v>
      </c>
      <c r="E1834" s="1062">
        <v>1</v>
      </c>
      <c r="F1834" s="1062"/>
      <c r="G1834" s="1062"/>
      <c r="H1834" s="1062">
        <f>PRODUCT(C1834:G1834)</f>
        <v>1</v>
      </c>
    </row>
    <row r="1835" spans="1:8" s="965" customFormat="1">
      <c r="A1835" s="1067"/>
      <c r="B1835" s="1065" t="s">
        <v>5522</v>
      </c>
      <c r="C1835" s="1061">
        <v>2</v>
      </c>
      <c r="D1835" s="1061">
        <v>2</v>
      </c>
      <c r="E1835" s="1062">
        <v>1</v>
      </c>
      <c r="F1835" s="1062"/>
      <c r="G1835" s="1062"/>
      <c r="H1835" s="1062">
        <f>PRODUCT(C1835:G1835)</f>
        <v>4</v>
      </c>
    </row>
    <row r="1836" spans="1:8" s="965" customFormat="1">
      <c r="A1836" s="1067"/>
      <c r="B1836" s="1065" t="s">
        <v>5502</v>
      </c>
      <c r="C1836" s="1061"/>
      <c r="D1836" s="1061"/>
      <c r="E1836" s="1062"/>
      <c r="F1836" s="1062"/>
      <c r="G1836" s="1062"/>
      <c r="H1836" s="1062"/>
    </row>
    <row r="1837" spans="1:8" s="965" customFormat="1">
      <c r="A1837" s="1067"/>
      <c r="B1837" s="1065" t="s">
        <v>5523</v>
      </c>
      <c r="C1837" s="1061">
        <v>2</v>
      </c>
      <c r="D1837" s="1061">
        <v>2</v>
      </c>
      <c r="E1837" s="1062">
        <v>1</v>
      </c>
      <c r="F1837" s="1062"/>
      <c r="G1837" s="1062"/>
      <c r="H1837" s="1062">
        <f t="shared" ref="H1837:H1843" si="77">PRODUCT(C1837:G1837)</f>
        <v>4</v>
      </c>
    </row>
    <row r="1838" spans="1:8" s="965" customFormat="1">
      <c r="A1838" s="1067"/>
      <c r="B1838" s="1065" t="s">
        <v>5455</v>
      </c>
      <c r="C1838" s="1061">
        <v>1</v>
      </c>
      <c r="D1838" s="1061">
        <v>2</v>
      </c>
      <c r="E1838" s="1062">
        <v>1</v>
      </c>
      <c r="F1838" s="1062"/>
      <c r="G1838" s="1062"/>
      <c r="H1838" s="1062">
        <f t="shared" si="77"/>
        <v>2</v>
      </c>
    </row>
    <row r="1839" spans="1:8" s="965" customFormat="1">
      <c r="A1839" s="1067"/>
      <c r="B1839" s="1065" t="s">
        <v>5504</v>
      </c>
      <c r="C1839" s="1061">
        <v>2</v>
      </c>
      <c r="D1839" s="1061">
        <v>1</v>
      </c>
      <c r="E1839" s="1062">
        <v>1</v>
      </c>
      <c r="F1839" s="1062"/>
      <c r="G1839" s="1062"/>
      <c r="H1839" s="1062">
        <f t="shared" si="77"/>
        <v>2</v>
      </c>
    </row>
    <row r="1840" spans="1:8" s="965" customFormat="1">
      <c r="A1840" s="1067"/>
      <c r="B1840" s="1065" t="s">
        <v>5524</v>
      </c>
      <c r="C1840" s="1061">
        <v>3</v>
      </c>
      <c r="D1840" s="1061">
        <v>1</v>
      </c>
      <c r="E1840" s="1062">
        <v>1</v>
      </c>
      <c r="F1840" s="1062"/>
      <c r="G1840" s="1062"/>
      <c r="H1840" s="1062">
        <f t="shared" si="77"/>
        <v>3</v>
      </c>
    </row>
    <row r="1841" spans="1:8" s="965" customFormat="1">
      <c r="A1841" s="1067"/>
      <c r="B1841" s="1065" t="s">
        <v>5506</v>
      </c>
      <c r="C1841" s="1061">
        <v>3</v>
      </c>
      <c r="D1841" s="1061">
        <v>2</v>
      </c>
      <c r="E1841" s="1062">
        <v>1</v>
      </c>
      <c r="F1841" s="1062"/>
      <c r="G1841" s="1062"/>
      <c r="H1841" s="1062">
        <f t="shared" si="77"/>
        <v>6</v>
      </c>
    </row>
    <row r="1842" spans="1:8" s="965" customFormat="1">
      <c r="A1842" s="1067"/>
      <c r="B1842" s="1065" t="s">
        <v>5525</v>
      </c>
      <c r="C1842" s="1061">
        <v>2</v>
      </c>
      <c r="D1842" s="1061">
        <v>1</v>
      </c>
      <c r="E1842" s="1062">
        <v>1</v>
      </c>
      <c r="F1842" s="1062"/>
      <c r="G1842" s="1062"/>
      <c r="H1842" s="1062">
        <f t="shared" si="77"/>
        <v>2</v>
      </c>
    </row>
    <row r="1843" spans="1:8" s="965" customFormat="1">
      <c r="A1843" s="1067"/>
      <c r="B1843" s="1065" t="s">
        <v>5526</v>
      </c>
      <c r="C1843" s="1061">
        <v>1</v>
      </c>
      <c r="D1843" s="1061">
        <v>4</v>
      </c>
      <c r="E1843" s="1062">
        <v>1</v>
      </c>
      <c r="F1843" s="1062"/>
      <c r="G1843" s="1062"/>
      <c r="H1843" s="1062">
        <f t="shared" si="77"/>
        <v>4</v>
      </c>
    </row>
    <row r="1844" spans="1:8" s="965" customFormat="1">
      <c r="A1844" s="1067"/>
      <c r="B1844" s="1065" t="s">
        <v>5514</v>
      </c>
      <c r="C1844" s="1061"/>
      <c r="D1844" s="1061"/>
      <c r="E1844" s="1062"/>
      <c r="F1844" s="1062"/>
      <c r="G1844" s="1062"/>
      <c r="H1844" s="1062"/>
    </row>
    <row r="1845" spans="1:8" s="965" customFormat="1">
      <c r="A1845" s="1067"/>
      <c r="B1845" s="1065" t="s">
        <v>5515</v>
      </c>
      <c r="C1845" s="1061">
        <v>2</v>
      </c>
      <c r="D1845" s="1061">
        <v>4</v>
      </c>
      <c r="E1845" s="1062">
        <v>1</v>
      </c>
      <c r="F1845" s="1062"/>
      <c r="G1845" s="1062"/>
      <c r="H1845" s="1062">
        <f>PRODUCT(C1845:G1845)</f>
        <v>8</v>
      </c>
    </row>
    <row r="1846" spans="1:8" s="965" customFormat="1">
      <c r="A1846" s="1067"/>
      <c r="B1846" s="1065" t="s">
        <v>5506</v>
      </c>
      <c r="C1846" s="1061">
        <v>1</v>
      </c>
      <c r="D1846" s="1061">
        <v>2</v>
      </c>
      <c r="E1846" s="1062">
        <v>1</v>
      </c>
      <c r="F1846" s="1062"/>
      <c r="G1846" s="1062"/>
      <c r="H1846" s="1062">
        <f>PRODUCT(C1846:G1846)</f>
        <v>2</v>
      </c>
    </row>
    <row r="1847" spans="1:8" s="965" customFormat="1">
      <c r="A1847" s="1067"/>
      <c r="B1847" s="1065" t="s">
        <v>5227</v>
      </c>
      <c r="C1847" s="1061">
        <v>1</v>
      </c>
      <c r="D1847" s="1061">
        <v>4</v>
      </c>
      <c r="E1847" s="1062">
        <v>1</v>
      </c>
      <c r="F1847" s="1062"/>
      <c r="G1847" s="1062"/>
      <c r="H1847" s="1062">
        <f>PRODUCT(C1847:G1847)</f>
        <v>4</v>
      </c>
    </row>
    <row r="1848" spans="1:8" s="965" customFormat="1">
      <c r="A1848" s="1067"/>
      <c r="B1848" s="1065" t="s">
        <v>5516</v>
      </c>
      <c r="C1848" s="1061">
        <v>1</v>
      </c>
      <c r="D1848" s="1061">
        <v>1</v>
      </c>
      <c r="E1848" s="1062">
        <v>1</v>
      </c>
      <c r="F1848" s="1062"/>
      <c r="G1848" s="1062"/>
      <c r="H1848" s="1062">
        <f>PRODUCT(C1848:G1848)</f>
        <v>1</v>
      </c>
    </row>
    <row r="1849" spans="1:8" s="965" customFormat="1">
      <c r="A1849" s="1067"/>
      <c r="B1849" s="1065"/>
      <c r="C1849" s="1061"/>
      <c r="D1849" s="1061"/>
      <c r="E1849" s="1062"/>
      <c r="F1849" s="1062"/>
      <c r="G1849" s="1062"/>
      <c r="H1849" s="1058">
        <f>SUM(H1832:H1848)</f>
        <v>44</v>
      </c>
    </row>
    <row r="1850" spans="1:8" s="965" customFormat="1">
      <c r="A1850" s="1067"/>
      <c r="B1850" s="1065"/>
      <c r="C1850" s="1061"/>
      <c r="D1850" s="1061"/>
      <c r="E1850" s="1062"/>
      <c r="F1850" s="1062"/>
      <c r="G1850" s="1062"/>
      <c r="H1850" s="1062"/>
    </row>
    <row r="1851" spans="1:8" s="965" customFormat="1">
      <c r="A1851" s="1067">
        <v>70.2</v>
      </c>
      <c r="B1851" s="1067" t="s">
        <v>5532</v>
      </c>
      <c r="C1851" s="1061"/>
      <c r="D1851" s="1061"/>
      <c r="E1851" s="1062"/>
      <c r="F1851" s="1062"/>
      <c r="G1851" s="1062"/>
      <c r="H1851" s="1062"/>
    </row>
    <row r="1852" spans="1:8" s="965" customFormat="1">
      <c r="A1852" s="1067"/>
      <c r="B1852" s="1067" t="s">
        <v>5492</v>
      </c>
      <c r="C1852" s="1061"/>
      <c r="D1852" s="1061"/>
      <c r="E1852" s="1062"/>
      <c r="F1852" s="1062"/>
      <c r="G1852" s="1062"/>
      <c r="H1852" s="1062"/>
    </row>
    <row r="1853" spans="1:8" s="965" customFormat="1">
      <c r="A1853" s="1067"/>
      <c r="B1853" s="1065" t="s">
        <v>5493</v>
      </c>
      <c r="C1853" s="1061">
        <v>2</v>
      </c>
      <c r="D1853" s="1061">
        <v>6</v>
      </c>
      <c r="E1853" s="1062">
        <v>1</v>
      </c>
      <c r="F1853" s="1062"/>
      <c r="G1853" s="1062"/>
      <c r="H1853" s="1062">
        <f t="shared" ref="H1853:H1888" si="78">PRODUCT(C1853:G1853)</f>
        <v>12</v>
      </c>
    </row>
    <row r="1854" spans="1:8" s="965" customFormat="1">
      <c r="A1854" s="1067"/>
      <c r="B1854" s="1065" t="s">
        <v>5494</v>
      </c>
      <c r="C1854" s="1061">
        <v>1</v>
      </c>
      <c r="D1854" s="1061">
        <v>1</v>
      </c>
      <c r="E1854" s="1062">
        <v>1</v>
      </c>
      <c r="F1854" s="1062"/>
      <c r="G1854" s="1062"/>
      <c r="H1854" s="1062">
        <f t="shared" si="78"/>
        <v>1</v>
      </c>
    </row>
    <row r="1855" spans="1:8" s="965" customFormat="1">
      <c r="A1855" s="1067"/>
      <c r="B1855" s="1065" t="s">
        <v>5495</v>
      </c>
      <c r="C1855" s="1061">
        <v>1</v>
      </c>
      <c r="D1855" s="1061">
        <v>1</v>
      </c>
      <c r="E1855" s="1062">
        <v>1</v>
      </c>
      <c r="F1855" s="1062"/>
      <c r="G1855" s="1062"/>
      <c r="H1855" s="1062">
        <f t="shared" si="78"/>
        <v>1</v>
      </c>
    </row>
    <row r="1856" spans="1:8" s="965" customFormat="1">
      <c r="A1856" s="1067"/>
      <c r="B1856" s="1065" t="s">
        <v>4988</v>
      </c>
      <c r="C1856" s="1061">
        <v>1</v>
      </c>
      <c r="D1856" s="1061">
        <v>1</v>
      </c>
      <c r="E1856" s="1062">
        <v>1</v>
      </c>
      <c r="F1856" s="1062"/>
      <c r="G1856" s="1062"/>
      <c r="H1856" s="1062">
        <f t="shared" si="78"/>
        <v>1</v>
      </c>
    </row>
    <row r="1857" spans="1:8" s="965" customFormat="1">
      <c r="A1857" s="1067"/>
      <c r="B1857" s="1065" t="s">
        <v>5497</v>
      </c>
      <c r="C1857" s="1061">
        <v>1</v>
      </c>
      <c r="D1857" s="1061">
        <v>1</v>
      </c>
      <c r="E1857" s="1062">
        <v>1</v>
      </c>
      <c r="F1857" s="1062"/>
      <c r="G1857" s="1062"/>
      <c r="H1857" s="1062">
        <f t="shared" si="78"/>
        <v>1</v>
      </c>
    </row>
    <row r="1858" spans="1:8" s="965" customFormat="1">
      <c r="A1858" s="1067"/>
      <c r="B1858" s="1065" t="s">
        <v>5498</v>
      </c>
      <c r="C1858" s="1061">
        <v>2</v>
      </c>
      <c r="D1858" s="1061">
        <v>8</v>
      </c>
      <c r="E1858" s="1062">
        <v>1</v>
      </c>
      <c r="F1858" s="1062"/>
      <c r="G1858" s="1062"/>
      <c r="H1858" s="1062">
        <f t="shared" si="78"/>
        <v>16</v>
      </c>
    </row>
    <row r="1859" spans="1:8" s="965" customFormat="1">
      <c r="A1859" s="1067"/>
      <c r="B1859" s="1065" t="s">
        <v>5499</v>
      </c>
      <c r="C1859" s="1061">
        <v>1</v>
      </c>
      <c r="D1859" s="1061">
        <v>1</v>
      </c>
      <c r="E1859" s="1062">
        <v>1</v>
      </c>
      <c r="F1859" s="1062"/>
      <c r="G1859" s="1062"/>
      <c r="H1859" s="1062">
        <f t="shared" si="78"/>
        <v>1</v>
      </c>
    </row>
    <row r="1860" spans="1:8" s="965" customFormat="1">
      <c r="A1860" s="1067"/>
      <c r="B1860" s="1065" t="s">
        <v>5500</v>
      </c>
      <c r="C1860" s="1061">
        <v>2</v>
      </c>
      <c r="D1860" s="1061">
        <v>2</v>
      </c>
      <c r="E1860" s="1062">
        <v>1</v>
      </c>
      <c r="F1860" s="1062"/>
      <c r="G1860" s="1062"/>
      <c r="H1860" s="1062">
        <f t="shared" si="78"/>
        <v>4</v>
      </c>
    </row>
    <row r="1861" spans="1:8" s="965" customFormat="1">
      <c r="A1861" s="1067"/>
      <c r="B1861" s="1065" t="s">
        <v>5164</v>
      </c>
      <c r="C1861" s="1061">
        <v>1</v>
      </c>
      <c r="D1861" s="1061">
        <v>6</v>
      </c>
      <c r="E1861" s="1062">
        <v>1</v>
      </c>
      <c r="F1861" s="1062"/>
      <c r="G1861" s="1062"/>
      <c r="H1861" s="1062">
        <f t="shared" si="78"/>
        <v>6</v>
      </c>
    </row>
    <row r="1862" spans="1:8" s="965" customFormat="1">
      <c r="A1862" s="1067"/>
      <c r="B1862" s="1065" t="s">
        <v>5518</v>
      </c>
      <c r="C1862" s="1061">
        <v>1</v>
      </c>
      <c r="D1862" s="1061">
        <v>2</v>
      </c>
      <c r="E1862" s="1062">
        <v>1</v>
      </c>
      <c r="F1862" s="1062"/>
      <c r="G1862" s="1062"/>
      <c r="H1862" s="1062">
        <f t="shared" si="78"/>
        <v>2</v>
      </c>
    </row>
    <row r="1863" spans="1:8" s="965" customFormat="1">
      <c r="A1863" s="1067"/>
      <c r="B1863" s="1065" t="s">
        <v>5501</v>
      </c>
      <c r="C1863" s="1061">
        <v>1</v>
      </c>
      <c r="D1863" s="1061">
        <v>4</v>
      </c>
      <c r="E1863" s="1062">
        <v>1</v>
      </c>
      <c r="F1863" s="1062"/>
      <c r="G1863" s="1062"/>
      <c r="H1863" s="1062">
        <f t="shared" si="78"/>
        <v>4</v>
      </c>
    </row>
    <row r="1864" spans="1:8" s="965" customFormat="1">
      <c r="A1864" s="1067"/>
      <c r="B1864" s="1067" t="s">
        <v>5502</v>
      </c>
      <c r="C1864" s="1061"/>
      <c r="D1864" s="1061"/>
      <c r="E1864" s="1062"/>
      <c r="F1864" s="1062"/>
      <c r="G1864" s="1062"/>
      <c r="H1864" s="1062">
        <f t="shared" si="78"/>
        <v>0</v>
      </c>
    </row>
    <row r="1865" spans="1:8" s="965" customFormat="1">
      <c r="A1865" s="1067"/>
      <c r="B1865" s="1065" t="s">
        <v>5503</v>
      </c>
      <c r="C1865" s="1061">
        <v>1</v>
      </c>
      <c r="D1865" s="1061">
        <v>4</v>
      </c>
      <c r="E1865" s="1062">
        <v>1</v>
      </c>
      <c r="F1865" s="1062"/>
      <c r="G1865" s="1062"/>
      <c r="H1865" s="1062">
        <f t="shared" si="78"/>
        <v>4</v>
      </c>
    </row>
    <row r="1866" spans="1:8" s="965" customFormat="1">
      <c r="A1866" s="1067"/>
      <c r="B1866" s="1065" t="s">
        <v>5455</v>
      </c>
      <c r="C1866" s="1061">
        <v>1</v>
      </c>
      <c r="D1866" s="1061">
        <v>3</v>
      </c>
      <c r="E1866" s="1062">
        <v>1</v>
      </c>
      <c r="F1866" s="1062"/>
      <c r="G1866" s="1062"/>
      <c r="H1866" s="1062">
        <f t="shared" si="78"/>
        <v>3</v>
      </c>
    </row>
    <row r="1867" spans="1:8" s="965" customFormat="1">
      <c r="A1867" s="1067"/>
      <c r="B1867" s="1065" t="s">
        <v>5504</v>
      </c>
      <c r="C1867" s="1061">
        <v>1</v>
      </c>
      <c r="D1867" s="1061">
        <v>2</v>
      </c>
      <c r="E1867" s="1062">
        <v>1</v>
      </c>
      <c r="F1867" s="1062"/>
      <c r="G1867" s="1062"/>
      <c r="H1867" s="1062">
        <f t="shared" si="78"/>
        <v>2</v>
      </c>
    </row>
    <row r="1868" spans="1:8" s="965" customFormat="1" ht="24" customHeight="1">
      <c r="A1868" s="1067"/>
      <c r="B1868" s="1065" t="s">
        <v>5505</v>
      </c>
      <c r="C1868" s="1061">
        <v>1</v>
      </c>
      <c r="D1868" s="1061">
        <v>1</v>
      </c>
      <c r="E1868" s="1062">
        <v>1</v>
      </c>
      <c r="F1868" s="1062"/>
      <c r="G1868" s="1062"/>
      <c r="H1868" s="1062">
        <f t="shared" si="78"/>
        <v>1</v>
      </c>
    </row>
    <row r="1869" spans="1:8" s="965" customFormat="1">
      <c r="A1869" s="1067"/>
      <c r="B1869" s="1065" t="s">
        <v>4988</v>
      </c>
      <c r="C1869" s="1061">
        <v>1</v>
      </c>
      <c r="D1869" s="1061">
        <v>2</v>
      </c>
      <c r="E1869" s="1062">
        <v>1</v>
      </c>
      <c r="F1869" s="1062"/>
      <c r="G1869" s="1062"/>
      <c r="H1869" s="1062">
        <f t="shared" si="78"/>
        <v>2</v>
      </c>
    </row>
    <row r="1870" spans="1:8" s="965" customFormat="1">
      <c r="A1870" s="1067"/>
      <c r="B1870" s="1065" t="s">
        <v>5495</v>
      </c>
      <c r="C1870" s="1061">
        <v>1</v>
      </c>
      <c r="D1870" s="1061">
        <v>1</v>
      </c>
      <c r="E1870" s="1062">
        <v>1</v>
      </c>
      <c r="F1870" s="1062"/>
      <c r="G1870" s="1062"/>
      <c r="H1870" s="1062">
        <f t="shared" si="78"/>
        <v>1</v>
      </c>
    </row>
    <row r="1871" spans="1:8" s="965" customFormat="1">
      <c r="A1871" s="1067"/>
      <c r="B1871" s="1065" t="s">
        <v>5506</v>
      </c>
      <c r="C1871" s="1061">
        <v>1</v>
      </c>
      <c r="D1871" s="1061">
        <v>6</v>
      </c>
      <c r="E1871" s="1062">
        <v>1</v>
      </c>
      <c r="F1871" s="1062"/>
      <c r="G1871" s="1062"/>
      <c r="H1871" s="1062">
        <f t="shared" si="78"/>
        <v>6</v>
      </c>
    </row>
    <row r="1872" spans="1:8" s="965" customFormat="1">
      <c r="A1872" s="1067"/>
      <c r="B1872" s="1065" t="s">
        <v>5507</v>
      </c>
      <c r="C1872" s="1061">
        <v>1</v>
      </c>
      <c r="D1872" s="1061">
        <v>4</v>
      </c>
      <c r="E1872" s="1062">
        <v>1</v>
      </c>
      <c r="F1872" s="1062"/>
      <c r="G1872" s="1062"/>
      <c r="H1872" s="1062">
        <f t="shared" si="78"/>
        <v>4</v>
      </c>
    </row>
    <row r="1873" spans="1:8" s="965" customFormat="1">
      <c r="A1873" s="1067"/>
      <c r="B1873" s="1065" t="s">
        <v>5508</v>
      </c>
      <c r="C1873" s="1061">
        <v>1</v>
      </c>
      <c r="D1873" s="1061">
        <v>4</v>
      </c>
      <c r="E1873" s="1062">
        <v>1</v>
      </c>
      <c r="F1873" s="1062"/>
      <c r="G1873" s="1062"/>
      <c r="H1873" s="1062">
        <f t="shared" si="78"/>
        <v>4</v>
      </c>
    </row>
    <row r="1874" spans="1:8" s="965" customFormat="1">
      <c r="A1874" s="1067"/>
      <c r="B1874" s="1065" t="s">
        <v>5509</v>
      </c>
      <c r="C1874" s="1061">
        <v>1</v>
      </c>
      <c r="D1874" s="1061">
        <v>4</v>
      </c>
      <c r="E1874" s="1062">
        <v>1</v>
      </c>
      <c r="F1874" s="1062"/>
      <c r="G1874" s="1062"/>
      <c r="H1874" s="1062">
        <f t="shared" si="78"/>
        <v>4</v>
      </c>
    </row>
    <row r="1875" spans="1:8" s="965" customFormat="1">
      <c r="A1875" s="1067"/>
      <c r="B1875" s="1065" t="s">
        <v>5510</v>
      </c>
      <c r="C1875" s="1061">
        <v>1</v>
      </c>
      <c r="D1875" s="1061">
        <v>4</v>
      </c>
      <c r="E1875" s="1062">
        <v>1</v>
      </c>
      <c r="F1875" s="1062"/>
      <c r="G1875" s="1062"/>
      <c r="H1875" s="1062">
        <f t="shared" si="78"/>
        <v>4</v>
      </c>
    </row>
    <row r="1876" spans="1:8" s="965" customFormat="1">
      <c r="A1876" s="1067"/>
      <c r="B1876" s="1065" t="s">
        <v>5511</v>
      </c>
      <c r="C1876" s="1061">
        <v>1</v>
      </c>
      <c r="D1876" s="1061">
        <v>2</v>
      </c>
      <c r="E1876" s="1062">
        <v>1</v>
      </c>
      <c r="F1876" s="1062"/>
      <c r="G1876" s="1062"/>
      <c r="H1876" s="1062">
        <f t="shared" si="78"/>
        <v>2</v>
      </c>
    </row>
    <row r="1877" spans="1:8" s="965" customFormat="1">
      <c r="A1877" s="1067"/>
      <c r="B1877" s="1065" t="s">
        <v>5500</v>
      </c>
      <c r="C1877" s="1061">
        <v>1</v>
      </c>
      <c r="D1877" s="1061">
        <v>2</v>
      </c>
      <c r="E1877" s="1062">
        <v>1</v>
      </c>
      <c r="F1877" s="1062"/>
      <c r="G1877" s="1062"/>
      <c r="H1877" s="1062">
        <f t="shared" si="78"/>
        <v>2</v>
      </c>
    </row>
    <row r="1878" spans="1:8" s="965" customFormat="1">
      <c r="A1878" s="1067"/>
      <c r="B1878" s="1065" t="s">
        <v>5512</v>
      </c>
      <c r="C1878" s="1061">
        <v>1</v>
      </c>
      <c r="D1878" s="1061">
        <v>2</v>
      </c>
      <c r="E1878" s="1062">
        <v>1</v>
      </c>
      <c r="F1878" s="1062"/>
      <c r="G1878" s="1062"/>
      <c r="H1878" s="1062">
        <f t="shared" si="78"/>
        <v>2</v>
      </c>
    </row>
    <row r="1879" spans="1:8" s="965" customFormat="1">
      <c r="A1879" s="1067"/>
      <c r="B1879" s="1065" t="s">
        <v>5513</v>
      </c>
      <c r="C1879" s="1061">
        <v>1</v>
      </c>
      <c r="D1879" s="1061">
        <v>2</v>
      </c>
      <c r="E1879" s="1062">
        <v>1</v>
      </c>
      <c r="F1879" s="1062"/>
      <c r="G1879" s="1062"/>
      <c r="H1879" s="1062">
        <f t="shared" si="78"/>
        <v>2</v>
      </c>
    </row>
    <row r="1880" spans="1:8" s="965" customFormat="1">
      <c r="A1880" s="1067"/>
      <c r="B1880" s="1067" t="s">
        <v>5514</v>
      </c>
      <c r="C1880" s="1061"/>
      <c r="D1880" s="1061"/>
      <c r="E1880" s="1062"/>
      <c r="F1880" s="1062"/>
      <c r="G1880" s="1062"/>
      <c r="H1880" s="1062">
        <f t="shared" si="78"/>
        <v>0</v>
      </c>
    </row>
    <row r="1881" spans="1:8" s="965" customFormat="1">
      <c r="A1881" s="1067"/>
      <c r="B1881" s="1065" t="s">
        <v>5515</v>
      </c>
      <c r="C1881" s="1061">
        <v>1</v>
      </c>
      <c r="D1881" s="1061">
        <v>10</v>
      </c>
      <c r="E1881" s="1062">
        <v>1</v>
      </c>
      <c r="F1881" s="1062"/>
      <c r="G1881" s="1062"/>
      <c r="H1881" s="1062">
        <f t="shared" si="78"/>
        <v>10</v>
      </c>
    </row>
    <row r="1882" spans="1:8" s="965" customFormat="1">
      <c r="A1882" s="1067"/>
      <c r="B1882" s="1065" t="s">
        <v>5227</v>
      </c>
      <c r="C1882" s="1061">
        <v>1</v>
      </c>
      <c r="D1882" s="1061">
        <v>6</v>
      </c>
      <c r="E1882" s="1062">
        <v>1</v>
      </c>
      <c r="F1882" s="1062"/>
      <c r="G1882" s="1062"/>
      <c r="H1882" s="1062">
        <f t="shared" si="78"/>
        <v>6</v>
      </c>
    </row>
    <row r="1883" spans="1:8" s="965" customFormat="1">
      <c r="A1883" s="1067"/>
      <c r="B1883" s="1065" t="s">
        <v>5516</v>
      </c>
      <c r="C1883" s="1061">
        <v>1</v>
      </c>
      <c r="D1883" s="1061">
        <v>6</v>
      </c>
      <c r="E1883" s="1062">
        <v>1</v>
      </c>
      <c r="F1883" s="1062"/>
      <c r="G1883" s="1062"/>
      <c r="H1883" s="1062">
        <f t="shared" si="78"/>
        <v>6</v>
      </c>
    </row>
    <row r="1884" spans="1:8" s="965" customFormat="1">
      <c r="A1884" s="1067"/>
      <c r="B1884" s="1065" t="s">
        <v>5496</v>
      </c>
      <c r="C1884" s="1061">
        <v>1</v>
      </c>
      <c r="D1884" s="1061">
        <v>2</v>
      </c>
      <c r="E1884" s="1062">
        <v>1</v>
      </c>
      <c r="F1884" s="1062"/>
      <c r="G1884" s="1062"/>
      <c r="H1884" s="1062">
        <f t="shared" si="78"/>
        <v>2</v>
      </c>
    </row>
    <row r="1885" spans="1:8" s="965" customFormat="1">
      <c r="A1885" s="1067"/>
      <c r="B1885" s="1065" t="s">
        <v>5496</v>
      </c>
      <c r="C1885" s="1061">
        <v>1</v>
      </c>
      <c r="D1885" s="1061">
        <v>2</v>
      </c>
      <c r="E1885" s="1062">
        <v>1</v>
      </c>
      <c r="F1885" s="1062"/>
      <c r="G1885" s="1062"/>
      <c r="H1885" s="1062">
        <f t="shared" si="78"/>
        <v>2</v>
      </c>
    </row>
    <row r="1886" spans="1:8" s="965" customFormat="1">
      <c r="A1886" s="1067"/>
      <c r="B1886" s="1065" t="s">
        <v>5500</v>
      </c>
      <c r="C1886" s="1061">
        <v>1</v>
      </c>
      <c r="D1886" s="1061">
        <v>6</v>
      </c>
      <c r="E1886" s="1062">
        <v>1</v>
      </c>
      <c r="F1886" s="1062"/>
      <c r="G1886" s="1062"/>
      <c r="H1886" s="1062">
        <f t="shared" si="78"/>
        <v>6</v>
      </c>
    </row>
    <row r="1887" spans="1:8" s="965" customFormat="1">
      <c r="A1887" s="1067"/>
      <c r="B1887" s="1065" t="s">
        <v>5506</v>
      </c>
      <c r="C1887" s="1061">
        <v>1</v>
      </c>
      <c r="D1887" s="1061">
        <v>4</v>
      </c>
      <c r="E1887" s="1062">
        <v>1</v>
      </c>
      <c r="F1887" s="1062"/>
      <c r="G1887" s="1062"/>
      <c r="H1887" s="1062">
        <f t="shared" si="78"/>
        <v>4</v>
      </c>
    </row>
    <row r="1888" spans="1:8" s="965" customFormat="1">
      <c r="A1888" s="1067"/>
      <c r="B1888" s="1065" t="s">
        <v>5501</v>
      </c>
      <c r="C1888" s="1061">
        <v>1</v>
      </c>
      <c r="D1888" s="1061">
        <v>4</v>
      </c>
      <c r="E1888" s="1062">
        <v>1</v>
      </c>
      <c r="F1888" s="1062"/>
      <c r="G1888" s="1062"/>
      <c r="H1888" s="1062">
        <f t="shared" si="78"/>
        <v>4</v>
      </c>
    </row>
    <row r="1889" spans="1:8" s="965" customFormat="1">
      <c r="A1889" s="1067"/>
      <c r="B1889" s="1065"/>
      <c r="C1889" s="1061"/>
      <c r="D1889" s="1061"/>
      <c r="E1889" s="1062"/>
      <c r="F1889" s="1062"/>
      <c r="G1889" s="1062"/>
      <c r="H1889" s="1058">
        <f>SUM(H1852:H1888)</f>
        <v>132</v>
      </c>
    </row>
    <row r="1890" spans="1:8" s="965" customFormat="1">
      <c r="A1890" s="1067" t="s">
        <v>5533</v>
      </c>
      <c r="B1890" s="1067" t="s">
        <v>6114</v>
      </c>
      <c r="C1890" s="1061"/>
      <c r="D1890" s="1061"/>
      <c r="E1890" s="1062"/>
      <c r="F1890" s="1062"/>
      <c r="G1890" s="1062"/>
      <c r="H1890" s="1062"/>
    </row>
    <row r="1891" spans="1:8" s="965" customFormat="1">
      <c r="A1891" s="1067"/>
      <c r="B1891" s="1065" t="s">
        <v>4961</v>
      </c>
      <c r="C1891" s="1061">
        <v>3</v>
      </c>
      <c r="D1891" s="1061">
        <v>6</v>
      </c>
      <c r="E1891" s="1062">
        <v>1</v>
      </c>
      <c r="F1891" s="1062"/>
      <c r="G1891" s="1062"/>
      <c r="H1891" s="1062">
        <f>PRODUCT(C1891:G1891)</f>
        <v>18</v>
      </c>
    </row>
    <row r="1892" spans="1:8" s="965" customFormat="1">
      <c r="A1892" s="1067"/>
      <c r="B1892" s="1065" t="s">
        <v>5534</v>
      </c>
      <c r="C1892" s="1061">
        <v>3</v>
      </c>
      <c r="D1892" s="1061">
        <v>2</v>
      </c>
      <c r="E1892" s="1062">
        <v>1</v>
      </c>
      <c r="F1892" s="1062"/>
      <c r="G1892" s="1062"/>
      <c r="H1892" s="1062">
        <f>PRODUCT(C1892:G1892)</f>
        <v>6</v>
      </c>
    </row>
    <row r="1893" spans="1:8" s="965" customFormat="1">
      <c r="A1893" s="1067"/>
      <c r="B1893" s="1065"/>
      <c r="C1893" s="1061"/>
      <c r="D1893" s="1061"/>
      <c r="E1893" s="1062"/>
      <c r="F1893" s="1062"/>
      <c r="G1893" s="1062"/>
      <c r="H1893" s="1058">
        <f>SUM(H1891:H1892)</f>
        <v>24</v>
      </c>
    </row>
    <row r="1894" spans="1:8" s="965" customFormat="1">
      <c r="A1894" s="1067"/>
      <c r="B1894" s="1065"/>
      <c r="C1894" s="1061"/>
      <c r="D1894" s="1061"/>
      <c r="E1894" s="1062"/>
      <c r="F1894" s="1062"/>
      <c r="G1894" s="1062"/>
      <c r="H1894" s="1058"/>
    </row>
    <row r="1895" spans="1:8" s="965" customFormat="1">
      <c r="A1895" s="1067">
        <v>70.400000000000006</v>
      </c>
      <c r="B1895" s="1067" t="s">
        <v>6115</v>
      </c>
      <c r="C1895" s="1061"/>
      <c r="D1895" s="1061"/>
      <c r="E1895" s="1062"/>
      <c r="F1895" s="1062"/>
      <c r="G1895" s="1062"/>
      <c r="H1895" s="1062"/>
    </row>
    <row r="1896" spans="1:8" s="965" customFormat="1">
      <c r="A1896" s="1067"/>
      <c r="B1896" s="1065" t="s">
        <v>5535</v>
      </c>
      <c r="C1896" s="1061">
        <v>2</v>
      </c>
      <c r="D1896" s="1061">
        <v>3</v>
      </c>
      <c r="E1896" s="1062">
        <v>1</v>
      </c>
      <c r="F1896" s="1062"/>
      <c r="G1896" s="1062"/>
      <c r="H1896" s="1058">
        <f>PRODUCT(C1896:G1896)</f>
        <v>6</v>
      </c>
    </row>
    <row r="1897" spans="1:8" s="965" customFormat="1">
      <c r="A1897" s="1067"/>
      <c r="B1897" s="1065"/>
      <c r="C1897" s="1061"/>
      <c r="D1897" s="1061"/>
      <c r="E1897" s="1062"/>
      <c r="F1897" s="1062"/>
      <c r="G1897" s="1062"/>
      <c r="H1897" s="1058"/>
    </row>
    <row r="1898" spans="1:8" s="965" customFormat="1">
      <c r="A1898" s="1067"/>
      <c r="B1898" s="1067" t="s">
        <v>6116</v>
      </c>
      <c r="C1898" s="1061">
        <v>2</v>
      </c>
      <c r="D1898" s="1061">
        <v>3</v>
      </c>
      <c r="E1898" s="1062">
        <v>1</v>
      </c>
      <c r="F1898" s="1062"/>
      <c r="G1898" s="1062"/>
      <c r="H1898" s="1058">
        <f>PRODUCT(C1898:G1898)</f>
        <v>6</v>
      </c>
    </row>
    <row r="1899" spans="1:8" s="965" customFormat="1">
      <c r="A1899" s="1067"/>
      <c r="B1899" s="1067"/>
      <c r="C1899" s="1061"/>
      <c r="D1899" s="1061"/>
      <c r="E1899" s="1062"/>
      <c r="F1899" s="1062"/>
      <c r="G1899" s="1062"/>
      <c r="H1899" s="1058"/>
    </row>
    <row r="1900" spans="1:8" s="965" customFormat="1" ht="29.25">
      <c r="A1900" s="1067">
        <v>70.5</v>
      </c>
      <c r="B1900" s="1082" t="s">
        <v>5639</v>
      </c>
      <c r="C1900" s="1061"/>
      <c r="D1900" s="1061"/>
      <c r="E1900" s="1062"/>
      <c r="F1900" s="1062"/>
      <c r="G1900" s="1062"/>
      <c r="H1900" s="1058"/>
    </row>
    <row r="1901" spans="1:8" s="965" customFormat="1">
      <c r="A1901" s="1067"/>
      <c r="B1901" s="1065" t="s">
        <v>5492</v>
      </c>
      <c r="C1901" s="1061"/>
      <c r="D1901" s="1061"/>
      <c r="E1901" s="1062"/>
      <c r="F1901" s="1062"/>
      <c r="G1901" s="1062"/>
      <c r="H1901" s="1062"/>
    </row>
    <row r="1902" spans="1:8" s="965" customFormat="1">
      <c r="A1902" s="1067"/>
      <c r="B1902" s="1065" t="s">
        <v>5521</v>
      </c>
      <c r="C1902" s="1061">
        <v>1</v>
      </c>
      <c r="D1902" s="1061">
        <v>1</v>
      </c>
      <c r="E1902" s="1062">
        <v>1</v>
      </c>
      <c r="F1902" s="1062"/>
      <c r="G1902" s="1062"/>
      <c r="H1902" s="1062">
        <f>PRODUCT(C1902:G1902)</f>
        <v>1</v>
      </c>
    </row>
    <row r="1903" spans="1:8" s="965" customFormat="1">
      <c r="A1903" s="1067"/>
      <c r="B1903" s="1065" t="s">
        <v>5494</v>
      </c>
      <c r="C1903" s="1061">
        <v>1</v>
      </c>
      <c r="D1903" s="1061">
        <v>2</v>
      </c>
      <c r="E1903" s="1062">
        <v>1</v>
      </c>
      <c r="F1903" s="1062"/>
      <c r="G1903" s="1062"/>
      <c r="H1903" s="1062">
        <f>PRODUCT(C1903:G1903)</f>
        <v>2</v>
      </c>
    </row>
    <row r="1904" spans="1:8" s="965" customFormat="1">
      <c r="A1904" s="1067"/>
      <c r="B1904" s="1065" t="s">
        <v>5495</v>
      </c>
      <c r="C1904" s="1061">
        <v>1</v>
      </c>
      <c r="D1904" s="1061">
        <v>1</v>
      </c>
      <c r="E1904" s="1062">
        <v>1</v>
      </c>
      <c r="F1904" s="1062"/>
      <c r="G1904" s="1062"/>
      <c r="H1904" s="1062">
        <f>PRODUCT(C1904:G1904)</f>
        <v>1</v>
      </c>
    </row>
    <row r="1905" spans="1:8" s="965" customFormat="1">
      <c r="A1905" s="1067"/>
      <c r="B1905" s="1065" t="s">
        <v>5522</v>
      </c>
      <c r="C1905" s="1061">
        <v>2</v>
      </c>
      <c r="D1905" s="1061">
        <v>6</v>
      </c>
      <c r="E1905" s="1062">
        <v>1</v>
      </c>
      <c r="F1905" s="1062"/>
      <c r="G1905" s="1062"/>
      <c r="H1905" s="1062">
        <f>PRODUCT(C1905:G1905)</f>
        <v>12</v>
      </c>
    </row>
    <row r="1906" spans="1:8" s="965" customFormat="1">
      <c r="A1906" s="1067"/>
      <c r="B1906" s="1065" t="s">
        <v>5502</v>
      </c>
      <c r="C1906" s="1061"/>
      <c r="D1906" s="1061"/>
      <c r="E1906" s="1062"/>
      <c r="F1906" s="1062"/>
      <c r="G1906" s="1062"/>
      <c r="H1906" s="1062"/>
    </row>
    <row r="1907" spans="1:8" s="965" customFormat="1">
      <c r="A1907" s="1067"/>
      <c r="B1907" s="1065" t="s">
        <v>5523</v>
      </c>
      <c r="C1907" s="1061">
        <v>2</v>
      </c>
      <c r="D1907" s="1061">
        <v>4</v>
      </c>
      <c r="E1907" s="1062">
        <v>1</v>
      </c>
      <c r="F1907" s="1062"/>
      <c r="G1907" s="1062"/>
      <c r="H1907" s="1062">
        <f t="shared" ref="H1907:H1915" si="79">PRODUCT(C1907:G1907)</f>
        <v>8</v>
      </c>
    </row>
    <row r="1908" spans="1:8" s="965" customFormat="1">
      <c r="A1908" s="1067"/>
      <c r="B1908" s="1065" t="s">
        <v>5455</v>
      </c>
      <c r="C1908" s="1061">
        <v>1</v>
      </c>
      <c r="D1908" s="1061">
        <v>4</v>
      </c>
      <c r="E1908" s="1062">
        <v>1</v>
      </c>
      <c r="F1908" s="1062"/>
      <c r="G1908" s="1062"/>
      <c r="H1908" s="1062">
        <f t="shared" si="79"/>
        <v>4</v>
      </c>
    </row>
    <row r="1909" spans="1:8" s="965" customFormat="1">
      <c r="A1909" s="1067"/>
      <c r="B1909" s="1065" t="s">
        <v>5504</v>
      </c>
      <c r="C1909" s="1061">
        <v>2</v>
      </c>
      <c r="D1909" s="1061">
        <v>2</v>
      </c>
      <c r="E1909" s="1062">
        <v>1</v>
      </c>
      <c r="F1909" s="1062"/>
      <c r="G1909" s="1062"/>
      <c r="H1909" s="1062">
        <f t="shared" si="79"/>
        <v>4</v>
      </c>
    </row>
    <row r="1910" spans="1:8" s="716" customFormat="1">
      <c r="A1910" s="1067"/>
      <c r="B1910" s="1065" t="s">
        <v>5524</v>
      </c>
      <c r="C1910" s="1061">
        <v>3</v>
      </c>
      <c r="D1910" s="1061">
        <v>2</v>
      </c>
      <c r="E1910" s="1062">
        <v>1</v>
      </c>
      <c r="F1910" s="1062"/>
      <c r="G1910" s="1062"/>
      <c r="H1910" s="1062">
        <f t="shared" si="79"/>
        <v>6</v>
      </c>
    </row>
    <row r="1911" spans="1:8" s="716" customFormat="1">
      <c r="A1911" s="1067"/>
      <c r="B1911" s="1065" t="s">
        <v>5506</v>
      </c>
      <c r="C1911" s="1061">
        <v>3</v>
      </c>
      <c r="D1911" s="1061">
        <v>2</v>
      </c>
      <c r="E1911" s="1062">
        <v>1</v>
      </c>
      <c r="F1911" s="1062"/>
      <c r="G1911" s="1062"/>
      <c r="H1911" s="1062">
        <f t="shared" si="79"/>
        <v>6</v>
      </c>
    </row>
    <row r="1912" spans="1:8" s="716" customFormat="1">
      <c r="A1912" s="1067"/>
      <c r="B1912" s="1065" t="s">
        <v>5525</v>
      </c>
      <c r="C1912" s="1061">
        <v>2</v>
      </c>
      <c r="D1912" s="1061">
        <v>2</v>
      </c>
      <c r="E1912" s="1062">
        <v>1</v>
      </c>
      <c r="F1912" s="1062"/>
      <c r="G1912" s="1062"/>
      <c r="H1912" s="1062">
        <f t="shared" si="79"/>
        <v>4</v>
      </c>
    </row>
    <row r="1913" spans="1:8" s="716" customFormat="1">
      <c r="A1913" s="1067"/>
      <c r="B1913" s="1065" t="s">
        <v>5526</v>
      </c>
      <c r="C1913" s="1061">
        <v>1</v>
      </c>
      <c r="D1913" s="1061">
        <v>4</v>
      </c>
      <c r="E1913" s="1062">
        <v>1</v>
      </c>
      <c r="F1913" s="1062"/>
      <c r="G1913" s="1062"/>
      <c r="H1913" s="1062">
        <f t="shared" si="79"/>
        <v>4</v>
      </c>
    </row>
    <row r="1914" spans="1:8" s="716" customFormat="1">
      <c r="A1914" s="1067"/>
      <c r="B1914" s="1065" t="s">
        <v>5527</v>
      </c>
      <c r="C1914" s="1061">
        <v>1</v>
      </c>
      <c r="D1914" s="1061">
        <v>4</v>
      </c>
      <c r="E1914" s="1062">
        <v>1</v>
      </c>
      <c r="F1914" s="1062"/>
      <c r="G1914" s="1062"/>
      <c r="H1914" s="1062">
        <f t="shared" si="79"/>
        <v>4</v>
      </c>
    </row>
    <row r="1915" spans="1:8" s="716" customFormat="1">
      <c r="A1915" s="1067"/>
      <c r="B1915" s="1065" t="s">
        <v>5512</v>
      </c>
      <c r="C1915" s="1061">
        <v>1</v>
      </c>
      <c r="D1915" s="1061">
        <v>1</v>
      </c>
      <c r="E1915" s="1062">
        <v>1</v>
      </c>
      <c r="F1915" s="1062"/>
      <c r="G1915" s="1062"/>
      <c r="H1915" s="1062">
        <f t="shared" si="79"/>
        <v>1</v>
      </c>
    </row>
    <row r="1916" spans="1:8" s="716" customFormat="1">
      <c r="A1916" s="1067"/>
      <c r="B1916" s="1065" t="s">
        <v>5514</v>
      </c>
      <c r="C1916" s="1061"/>
      <c r="D1916" s="1061"/>
      <c r="E1916" s="1062"/>
      <c r="F1916" s="1062"/>
      <c r="G1916" s="1062"/>
      <c r="H1916" s="1062"/>
    </row>
    <row r="1917" spans="1:8" s="716" customFormat="1">
      <c r="A1917" s="1067"/>
      <c r="B1917" s="1065" t="s">
        <v>5515</v>
      </c>
      <c r="C1917" s="1061">
        <v>2</v>
      </c>
      <c r="D1917" s="1061">
        <v>5</v>
      </c>
      <c r="E1917" s="1062">
        <v>1</v>
      </c>
      <c r="F1917" s="1062"/>
      <c r="G1917" s="1062"/>
      <c r="H1917" s="1062">
        <f t="shared" ref="H1917:H1922" si="80">PRODUCT(C1917:G1917)</f>
        <v>10</v>
      </c>
    </row>
    <row r="1918" spans="1:8" s="716" customFormat="1">
      <c r="A1918" s="1067"/>
      <c r="B1918" s="1065" t="s">
        <v>5506</v>
      </c>
      <c r="C1918" s="1061">
        <v>1</v>
      </c>
      <c r="D1918" s="1061">
        <v>2</v>
      </c>
      <c r="E1918" s="1062">
        <v>1</v>
      </c>
      <c r="F1918" s="1062"/>
      <c r="G1918" s="1062"/>
      <c r="H1918" s="1062">
        <f t="shared" si="80"/>
        <v>2</v>
      </c>
    </row>
    <row r="1919" spans="1:8" s="716" customFormat="1">
      <c r="A1919" s="1067"/>
      <c r="B1919" s="1065" t="s">
        <v>5528</v>
      </c>
      <c r="C1919" s="1061">
        <v>1</v>
      </c>
      <c r="D1919" s="1061">
        <v>1</v>
      </c>
      <c r="E1919" s="1062">
        <v>1</v>
      </c>
      <c r="F1919" s="1062"/>
      <c r="G1919" s="1062"/>
      <c r="H1919" s="1062">
        <f t="shared" si="80"/>
        <v>1</v>
      </c>
    </row>
    <row r="1920" spans="1:8" s="716" customFormat="1">
      <c r="A1920" s="1067"/>
      <c r="B1920" s="1065" t="s">
        <v>5227</v>
      </c>
      <c r="C1920" s="1061">
        <v>2</v>
      </c>
      <c r="D1920" s="1061">
        <v>4</v>
      </c>
      <c r="E1920" s="1062">
        <v>1</v>
      </c>
      <c r="F1920" s="1062"/>
      <c r="G1920" s="1062"/>
      <c r="H1920" s="1062">
        <f t="shared" si="80"/>
        <v>8</v>
      </c>
    </row>
    <row r="1921" spans="1:8" s="716" customFormat="1">
      <c r="A1921" s="1067"/>
      <c r="B1921" s="1065" t="s">
        <v>5516</v>
      </c>
      <c r="C1921" s="1061">
        <v>2</v>
      </c>
      <c r="D1921" s="1061">
        <v>4</v>
      </c>
      <c r="E1921" s="1062">
        <v>1</v>
      </c>
      <c r="F1921" s="1062"/>
      <c r="G1921" s="1062"/>
      <c r="H1921" s="1062">
        <f t="shared" si="80"/>
        <v>8</v>
      </c>
    </row>
    <row r="1922" spans="1:8" s="716" customFormat="1">
      <c r="A1922" s="1067"/>
      <c r="B1922" s="1065" t="s">
        <v>5500</v>
      </c>
      <c r="C1922" s="1061">
        <v>2</v>
      </c>
      <c r="D1922" s="1061">
        <v>1</v>
      </c>
      <c r="E1922" s="1062">
        <v>1</v>
      </c>
      <c r="F1922" s="1062"/>
      <c r="G1922" s="1062"/>
      <c r="H1922" s="1062">
        <f t="shared" si="80"/>
        <v>2</v>
      </c>
    </row>
    <row r="1923" spans="1:8" s="716" customFormat="1">
      <c r="A1923" s="1067"/>
      <c r="B1923" s="1065"/>
      <c r="C1923" s="1061"/>
      <c r="D1923" s="1061"/>
      <c r="E1923" s="1062"/>
      <c r="F1923" s="1062"/>
      <c r="G1923" s="1062"/>
      <c r="H1923" s="1058">
        <f>SUM(H1901:H1922)</f>
        <v>88</v>
      </c>
    </row>
    <row r="1924" spans="1:8" s="716" customFormat="1">
      <c r="A1924" s="1067"/>
      <c r="B1924" s="1065"/>
      <c r="C1924" s="1061"/>
      <c r="D1924" s="1061"/>
      <c r="E1924" s="1062"/>
      <c r="F1924" s="1062"/>
      <c r="G1924" s="1062"/>
      <c r="H1924" s="1058">
        <f>SUM(H1923)</f>
        <v>88</v>
      </c>
    </row>
    <row r="1925" spans="1:8" s="965" customFormat="1" ht="57.75">
      <c r="A1925" s="1067"/>
      <c r="B1925" s="1069" t="s">
        <v>3471</v>
      </c>
      <c r="C1925" s="1061"/>
      <c r="D1925" s="1061"/>
      <c r="E1925" s="1062"/>
      <c r="F1925" s="1062"/>
      <c r="G1925" s="1062"/>
      <c r="H1925" s="1058"/>
    </row>
    <row r="1926" spans="1:8" s="965" customFormat="1">
      <c r="A1926" s="1403"/>
      <c r="B1926" s="1112" t="s">
        <v>5455</v>
      </c>
      <c r="C1926" s="1061">
        <v>1</v>
      </c>
      <c r="D1926" s="1061">
        <v>2</v>
      </c>
      <c r="E1926" s="1087">
        <v>30</v>
      </c>
      <c r="F1926" s="1087"/>
      <c r="G1926" s="1087"/>
      <c r="H1926" s="1087">
        <f>PRODUCT(C1926:G1926)</f>
        <v>60</v>
      </c>
    </row>
    <row r="1927" spans="1:8" s="965" customFormat="1">
      <c r="A1927" s="1403"/>
      <c r="B1927" s="1112" t="s">
        <v>5504</v>
      </c>
      <c r="C1927" s="1061">
        <v>1</v>
      </c>
      <c r="D1927" s="1061">
        <v>2</v>
      </c>
      <c r="E1927" s="1087">
        <v>30</v>
      </c>
      <c r="F1927" s="1087"/>
      <c r="G1927" s="1087"/>
      <c r="H1927" s="1087">
        <f>PRODUCT(C1927:G1927)</f>
        <v>60</v>
      </c>
    </row>
    <row r="1928" spans="1:8" s="965" customFormat="1">
      <c r="A1928" s="1403"/>
      <c r="B1928" s="1112" t="s">
        <v>5522</v>
      </c>
      <c r="C1928" s="1061">
        <v>2</v>
      </c>
      <c r="D1928" s="1061">
        <v>5</v>
      </c>
      <c r="E1928" s="1087">
        <v>15</v>
      </c>
      <c r="F1928" s="1087"/>
      <c r="G1928" s="1087"/>
      <c r="H1928" s="1087">
        <f>PRODUCT(C1928:G1928)</f>
        <v>150</v>
      </c>
    </row>
    <row r="1929" spans="1:8" s="965" customFormat="1">
      <c r="A1929" s="1067"/>
      <c r="B1929" s="1065"/>
      <c r="C1929" s="1061"/>
      <c r="D1929" s="1061"/>
      <c r="E1929" s="1062"/>
      <c r="F1929" s="1062"/>
      <c r="G1929" s="1062"/>
      <c r="H1929" s="1058">
        <f>SUM(H1926:H1928)</f>
        <v>270</v>
      </c>
    </row>
    <row r="1930" spans="1:8" s="716" customFormat="1" ht="57.75">
      <c r="A1930" s="1067"/>
      <c r="B1930" s="1069" t="s">
        <v>3512</v>
      </c>
      <c r="C1930" s="1061"/>
      <c r="D1930" s="1061"/>
      <c r="E1930" s="1062"/>
      <c r="F1930" s="1062"/>
      <c r="G1930" s="1062"/>
      <c r="H1930" s="1058"/>
    </row>
    <row r="1931" spans="1:8" s="965" customFormat="1">
      <c r="A1931" s="1067"/>
      <c r="B1931" s="1065" t="s">
        <v>5492</v>
      </c>
      <c r="C1931" s="1061"/>
      <c r="D1931" s="1061"/>
      <c r="E1931" s="1062"/>
      <c r="F1931" s="1062"/>
      <c r="G1931" s="1062"/>
      <c r="H1931" s="1062"/>
    </row>
    <row r="1932" spans="1:8" s="965" customFormat="1">
      <c r="A1932" s="1067"/>
      <c r="B1932" s="1065" t="s">
        <v>5494</v>
      </c>
      <c r="C1932" s="1061">
        <v>1</v>
      </c>
      <c r="D1932" s="1061">
        <v>1</v>
      </c>
      <c r="E1932" s="1062">
        <v>5</v>
      </c>
      <c r="F1932" s="1062"/>
      <c r="G1932" s="1062"/>
      <c r="H1932" s="1062">
        <f>PRODUCT(C1932:G1932)</f>
        <v>5</v>
      </c>
    </row>
    <row r="1933" spans="1:8" s="965" customFormat="1">
      <c r="A1933" s="1067"/>
      <c r="B1933" s="1065" t="s">
        <v>5495</v>
      </c>
      <c r="C1933" s="1061">
        <v>1</v>
      </c>
      <c r="D1933" s="1061">
        <v>1</v>
      </c>
      <c r="E1933" s="1062">
        <v>5.5</v>
      </c>
      <c r="F1933" s="1062"/>
      <c r="G1933" s="1062"/>
      <c r="H1933" s="1062">
        <f>PRODUCT(C1933:G1933)</f>
        <v>5.5</v>
      </c>
    </row>
    <row r="1934" spans="1:8" s="965" customFormat="1">
      <c r="A1934" s="1067"/>
      <c r="B1934" s="1065" t="s">
        <v>5522</v>
      </c>
      <c r="C1934" s="1061">
        <v>2</v>
      </c>
      <c r="D1934" s="1061">
        <v>2</v>
      </c>
      <c r="E1934" s="1062">
        <v>5</v>
      </c>
      <c r="F1934" s="1062"/>
      <c r="G1934" s="1062"/>
      <c r="H1934" s="1062">
        <f>PRODUCT(C1934:G1934)</f>
        <v>20</v>
      </c>
    </row>
    <row r="1935" spans="1:8" s="965" customFormat="1">
      <c r="A1935" s="1067"/>
      <c r="B1935" s="1065" t="s">
        <v>5502</v>
      </c>
      <c r="C1935" s="1061"/>
      <c r="D1935" s="1061"/>
      <c r="E1935" s="1062"/>
      <c r="F1935" s="1062"/>
      <c r="G1935" s="1062"/>
      <c r="H1935" s="1062"/>
    </row>
    <row r="1936" spans="1:8" s="965" customFormat="1">
      <c r="A1936" s="1067"/>
      <c r="B1936" s="1065" t="s">
        <v>5523</v>
      </c>
      <c r="C1936" s="1061">
        <v>2</v>
      </c>
      <c r="D1936" s="1061">
        <v>2</v>
      </c>
      <c r="E1936" s="1062">
        <v>10</v>
      </c>
      <c r="F1936" s="1062"/>
      <c r="G1936" s="1062"/>
      <c r="H1936" s="1062">
        <f t="shared" ref="H1936:H1942" si="81">PRODUCT(C1936:G1936)</f>
        <v>40</v>
      </c>
    </row>
    <row r="1937" spans="1:8" s="965" customFormat="1">
      <c r="A1937" s="1067"/>
      <c r="B1937" s="1065" t="s">
        <v>5455</v>
      </c>
      <c r="C1937" s="1061">
        <v>1</v>
      </c>
      <c r="D1937" s="1061">
        <v>2</v>
      </c>
      <c r="E1937" s="1062">
        <v>10</v>
      </c>
      <c r="F1937" s="1062"/>
      <c r="G1937" s="1062"/>
      <c r="H1937" s="1062">
        <f t="shared" si="81"/>
        <v>20</v>
      </c>
    </row>
    <row r="1938" spans="1:8" s="965" customFormat="1">
      <c r="A1938" s="1067"/>
      <c r="B1938" s="1065" t="s">
        <v>5504</v>
      </c>
      <c r="C1938" s="1061">
        <v>2</v>
      </c>
      <c r="D1938" s="1061">
        <v>1</v>
      </c>
      <c r="E1938" s="1062">
        <v>15</v>
      </c>
      <c r="F1938" s="1062"/>
      <c r="G1938" s="1062"/>
      <c r="H1938" s="1062">
        <f t="shared" si="81"/>
        <v>30</v>
      </c>
    </row>
    <row r="1939" spans="1:8" s="965" customFormat="1">
      <c r="A1939" s="1067"/>
      <c r="B1939" s="1065" t="s">
        <v>5524</v>
      </c>
      <c r="C1939" s="1061">
        <v>3</v>
      </c>
      <c r="D1939" s="1061">
        <v>1</v>
      </c>
      <c r="E1939" s="1062">
        <v>10</v>
      </c>
      <c r="F1939" s="1062"/>
      <c r="G1939" s="1062"/>
      <c r="H1939" s="1062">
        <f t="shared" si="81"/>
        <v>30</v>
      </c>
    </row>
    <row r="1940" spans="1:8" s="965" customFormat="1">
      <c r="A1940" s="1067"/>
      <c r="B1940" s="1065" t="s">
        <v>5506</v>
      </c>
      <c r="C1940" s="1061">
        <v>3</v>
      </c>
      <c r="D1940" s="1061">
        <v>2</v>
      </c>
      <c r="E1940" s="1062">
        <v>8</v>
      </c>
      <c r="F1940" s="1062"/>
      <c r="G1940" s="1062"/>
      <c r="H1940" s="1062">
        <f t="shared" si="81"/>
        <v>48</v>
      </c>
    </row>
    <row r="1941" spans="1:8" s="965" customFormat="1">
      <c r="A1941" s="1067"/>
      <c r="B1941" s="1065" t="s">
        <v>5525</v>
      </c>
      <c r="C1941" s="1061">
        <v>2</v>
      </c>
      <c r="D1941" s="1061">
        <v>1</v>
      </c>
      <c r="E1941" s="1062">
        <v>10</v>
      </c>
      <c r="F1941" s="1062"/>
      <c r="G1941" s="1062"/>
      <c r="H1941" s="1062">
        <f t="shared" si="81"/>
        <v>20</v>
      </c>
    </row>
    <row r="1942" spans="1:8" s="965" customFormat="1">
      <c r="A1942" s="1067"/>
      <c r="B1942" s="1065" t="s">
        <v>5526</v>
      </c>
      <c r="C1942" s="1061">
        <v>1</v>
      </c>
      <c r="D1942" s="1061">
        <v>4</v>
      </c>
      <c r="E1942" s="1062">
        <v>12</v>
      </c>
      <c r="F1942" s="1062"/>
      <c r="G1942" s="1062"/>
      <c r="H1942" s="1062">
        <f t="shared" si="81"/>
        <v>48</v>
      </c>
    </row>
    <row r="1943" spans="1:8" s="965" customFormat="1">
      <c r="A1943" s="1067"/>
      <c r="B1943" s="1067" t="s">
        <v>5514</v>
      </c>
      <c r="C1943" s="1061"/>
      <c r="D1943" s="1061"/>
      <c r="E1943" s="1062"/>
      <c r="F1943" s="1062"/>
      <c r="G1943" s="1062"/>
      <c r="H1943" s="1062"/>
    </row>
    <row r="1944" spans="1:8" s="965" customFormat="1">
      <c r="A1944" s="1067"/>
      <c r="B1944" s="1065" t="s">
        <v>5515</v>
      </c>
      <c r="C1944" s="1061">
        <v>2</v>
      </c>
      <c r="D1944" s="1061">
        <v>4</v>
      </c>
      <c r="E1944" s="1062">
        <v>5</v>
      </c>
      <c r="F1944" s="1062"/>
      <c r="G1944" s="1062"/>
      <c r="H1944" s="1062">
        <f>PRODUCT(C1944:G1944)</f>
        <v>40</v>
      </c>
    </row>
    <row r="1945" spans="1:8" s="965" customFormat="1">
      <c r="A1945" s="1067"/>
      <c r="B1945" s="1065" t="s">
        <v>5506</v>
      </c>
      <c r="C1945" s="1061">
        <v>1</v>
      </c>
      <c r="D1945" s="1061">
        <v>2</v>
      </c>
      <c r="E1945" s="1062">
        <v>5</v>
      </c>
      <c r="F1945" s="1062"/>
      <c r="G1945" s="1062"/>
      <c r="H1945" s="1062">
        <f>PRODUCT(C1945:G1945)</f>
        <v>10</v>
      </c>
    </row>
    <row r="1946" spans="1:8" s="965" customFormat="1">
      <c r="A1946" s="1067"/>
      <c r="B1946" s="1065" t="s">
        <v>5227</v>
      </c>
      <c r="C1946" s="1061">
        <v>1</v>
      </c>
      <c r="D1946" s="1061">
        <v>4</v>
      </c>
      <c r="E1946" s="1062">
        <v>2</v>
      </c>
      <c r="F1946" s="1062"/>
      <c r="G1946" s="1062"/>
      <c r="H1946" s="1062">
        <f>PRODUCT(C1946:G1946)</f>
        <v>8</v>
      </c>
    </row>
    <row r="1947" spans="1:8" s="965" customFormat="1">
      <c r="A1947" s="1067"/>
      <c r="B1947" s="1065" t="s">
        <v>5516</v>
      </c>
      <c r="C1947" s="1061">
        <v>1</v>
      </c>
      <c r="D1947" s="1061">
        <v>1</v>
      </c>
      <c r="E1947" s="1062">
        <v>9</v>
      </c>
      <c r="F1947" s="1062"/>
      <c r="G1947" s="1062"/>
      <c r="H1947" s="1062">
        <f>PRODUCT(C1947:G1947)</f>
        <v>9</v>
      </c>
    </row>
    <row r="1948" spans="1:8" s="965" customFormat="1">
      <c r="A1948" s="1067"/>
      <c r="B1948" s="1065"/>
      <c r="C1948" s="1061"/>
      <c r="D1948" s="1061"/>
      <c r="E1948" s="1062"/>
      <c r="F1948" s="1062"/>
      <c r="G1948" s="1062"/>
      <c r="H1948" s="1058">
        <f>SUM(H1931:H1947)</f>
        <v>333.5</v>
      </c>
    </row>
    <row r="1949" spans="1:8" s="716" customFormat="1">
      <c r="A1949" s="1067"/>
      <c r="B1949" s="1065"/>
      <c r="C1949" s="1061"/>
      <c r="D1949" s="1061"/>
      <c r="E1949" s="1062"/>
      <c r="F1949" s="1062"/>
      <c r="G1949" s="1062"/>
      <c r="H1949" s="1058"/>
    </row>
    <row r="1950" spans="1:8" s="965" customFormat="1">
      <c r="A1950" s="1067"/>
      <c r="B1950" s="1404" t="s">
        <v>6047</v>
      </c>
      <c r="C1950" s="1061"/>
      <c r="D1950" s="1061"/>
      <c r="E1950" s="1062"/>
      <c r="F1950" s="1062"/>
      <c r="G1950" s="1062"/>
      <c r="H1950" s="1058"/>
    </row>
    <row r="1951" spans="1:8" s="965" customFormat="1">
      <c r="A1951" s="1067"/>
      <c r="B1951" s="1112" t="s">
        <v>5455</v>
      </c>
      <c r="C1951" s="1061">
        <v>1</v>
      </c>
      <c r="D1951" s="1061">
        <v>2</v>
      </c>
      <c r="E1951" s="1087">
        <v>1</v>
      </c>
      <c r="F1951" s="1087"/>
      <c r="G1951" s="1087"/>
      <c r="H1951" s="1087">
        <f>PRODUCT(C1951:G1951)</f>
        <v>2</v>
      </c>
    </row>
    <row r="1952" spans="1:8" s="965" customFormat="1">
      <c r="A1952" s="1067"/>
      <c r="B1952" s="1112" t="s">
        <v>5504</v>
      </c>
      <c r="C1952" s="1061">
        <v>1</v>
      </c>
      <c r="D1952" s="1061">
        <v>2</v>
      </c>
      <c r="E1952" s="1087">
        <v>1</v>
      </c>
      <c r="F1952" s="1087"/>
      <c r="G1952" s="1087"/>
      <c r="H1952" s="1087">
        <f>PRODUCT(C1952:G1952)</f>
        <v>2</v>
      </c>
    </row>
    <row r="1953" spans="1:8" s="965" customFormat="1">
      <c r="A1953" s="1067"/>
      <c r="B1953" s="1112" t="s">
        <v>5522</v>
      </c>
      <c r="C1953" s="1061">
        <v>2</v>
      </c>
      <c r="D1953" s="1061">
        <v>5</v>
      </c>
      <c r="E1953" s="1087">
        <v>1</v>
      </c>
      <c r="F1953" s="1087"/>
      <c r="G1953" s="1087"/>
      <c r="H1953" s="1087">
        <f>PRODUCT(C1953:G1953)</f>
        <v>10</v>
      </c>
    </row>
    <row r="1954" spans="1:8" s="965" customFormat="1">
      <c r="A1954" s="1067"/>
      <c r="B1954" s="1065"/>
      <c r="C1954" s="1061"/>
      <c r="D1954" s="1061"/>
      <c r="E1954" s="1062"/>
      <c r="F1954" s="1062"/>
      <c r="G1954" s="1062"/>
      <c r="H1954" s="1077">
        <f>SUM(H1951:H1953)</f>
        <v>14</v>
      </c>
    </row>
    <row r="1955" spans="1:8" s="965" customFormat="1">
      <c r="A1955" s="1067"/>
      <c r="B1955" s="1065"/>
      <c r="C1955" s="1061"/>
      <c r="D1955" s="1061"/>
      <c r="E1955" s="1062"/>
      <c r="F1955" s="1062"/>
      <c r="G1955" s="1062"/>
      <c r="H1955" s="1058"/>
    </row>
    <row r="1956" spans="1:8" s="965" customFormat="1">
      <c r="A1956" s="1067">
        <v>72</v>
      </c>
      <c r="B1956" s="1065" t="s">
        <v>869</v>
      </c>
      <c r="C1956" s="1061"/>
      <c r="D1956" s="1061"/>
      <c r="E1956" s="1062"/>
      <c r="F1956" s="1062"/>
      <c r="G1956" s="1062"/>
      <c r="H1956" s="1058"/>
    </row>
    <row r="1957" spans="1:8" s="965" customFormat="1">
      <c r="A1957" s="1067"/>
      <c r="B1957" s="1065" t="s">
        <v>6048</v>
      </c>
      <c r="C1957" s="1061"/>
      <c r="D1957" s="1061"/>
      <c r="E1957" s="1062"/>
      <c r="F1957" s="1062"/>
      <c r="G1957" s="1062"/>
      <c r="H1957" s="1058">
        <f>H1924</f>
        <v>88</v>
      </c>
    </row>
    <row r="1958" spans="1:8" s="965" customFormat="1">
      <c r="A1958" s="1067"/>
      <c r="B1958" s="1065"/>
      <c r="C1958" s="1061"/>
      <c r="D1958" s="1061"/>
      <c r="E1958" s="1062"/>
      <c r="F1958" s="1062"/>
      <c r="G1958" s="1062"/>
      <c r="H1958" s="1058"/>
    </row>
    <row r="1959" spans="1:8" s="965" customFormat="1">
      <c r="A1959" s="1067">
        <v>74</v>
      </c>
      <c r="B1959" s="1065" t="s">
        <v>872</v>
      </c>
      <c r="C1959" s="1061"/>
      <c r="D1959" s="1061"/>
      <c r="E1959" s="1062"/>
      <c r="F1959" s="1062"/>
      <c r="G1959" s="1062"/>
      <c r="H1959" s="1058"/>
    </row>
    <row r="1960" spans="1:8" s="965" customFormat="1">
      <c r="A1960" s="1067"/>
      <c r="B1960" s="1065" t="s">
        <v>6048</v>
      </c>
      <c r="C1960" s="1061"/>
      <c r="D1960" s="1061"/>
      <c r="E1960" s="1062"/>
      <c r="F1960" s="1062"/>
      <c r="G1960" s="1062"/>
      <c r="H1960" s="1058">
        <f>H1924</f>
        <v>88</v>
      </c>
    </row>
    <row r="1961" spans="1:8" s="716" customFormat="1">
      <c r="A1961" s="1067"/>
      <c r="B1961" s="1065"/>
      <c r="C1961" s="1061"/>
      <c r="D1961" s="1061"/>
      <c r="E1961" s="1062"/>
      <c r="F1961" s="1062"/>
      <c r="G1961" s="1062"/>
      <c r="H1961" s="1058"/>
    </row>
    <row r="1962" spans="1:8" s="716" customFormat="1">
      <c r="A1962" s="1067">
        <v>77.3</v>
      </c>
      <c r="B1962" s="1067" t="s">
        <v>5536</v>
      </c>
      <c r="C1962" s="1061"/>
      <c r="D1962" s="1061"/>
      <c r="E1962" s="1062"/>
      <c r="F1962" s="1062"/>
      <c r="G1962" s="1062"/>
      <c r="H1962" s="1062"/>
    </row>
    <row r="1963" spans="1:8" s="716" customFormat="1">
      <c r="A1963" s="1067"/>
      <c r="B1963" s="1065" t="s">
        <v>5493</v>
      </c>
      <c r="C1963" s="1061">
        <v>4</v>
      </c>
      <c r="D1963" s="1061">
        <v>2</v>
      </c>
      <c r="E1963" s="1062"/>
      <c r="F1963" s="1062"/>
      <c r="G1963" s="1062"/>
      <c r="H1963" s="1058">
        <v>8</v>
      </c>
    </row>
    <row r="1964" spans="1:8" s="716" customFormat="1">
      <c r="A1964" s="1067"/>
      <c r="B1964" s="1065"/>
      <c r="C1964" s="1061"/>
      <c r="D1964" s="1061"/>
      <c r="E1964" s="1062"/>
      <c r="F1964" s="1062"/>
      <c r="G1964" s="1062"/>
      <c r="H1964" s="1058"/>
    </row>
    <row r="1965" spans="1:8" s="716" customFormat="1">
      <c r="A1965" s="1067">
        <v>77.400000000000006</v>
      </c>
      <c r="B1965" s="1067" t="s">
        <v>5537</v>
      </c>
      <c r="C1965" s="1061">
        <v>4</v>
      </c>
      <c r="D1965" s="1061">
        <v>1</v>
      </c>
      <c r="E1965" s="1062">
        <v>25</v>
      </c>
      <c r="F1965" s="1062"/>
      <c r="G1965" s="1062"/>
      <c r="H1965" s="1058">
        <f>PRODUCT(C1965:G1965)</f>
        <v>100</v>
      </c>
    </row>
    <row r="1966" spans="1:8">
      <c r="A1966" s="1067"/>
      <c r="B1966" s="1065"/>
      <c r="C1966" s="1061"/>
      <c r="D1966" s="1061"/>
      <c r="E1966" s="1062"/>
      <c r="F1966" s="1062"/>
      <c r="G1966" s="1062"/>
      <c r="H1966" s="1062"/>
    </row>
    <row r="1967" spans="1:8">
      <c r="A1967" s="1067">
        <v>78</v>
      </c>
      <c r="B1967" s="1067" t="s">
        <v>5538</v>
      </c>
      <c r="C1967" s="1061">
        <v>1</v>
      </c>
      <c r="D1967" s="1061">
        <v>1</v>
      </c>
      <c r="E1967" s="1062"/>
      <c r="F1967" s="1062"/>
      <c r="G1967" s="1062"/>
      <c r="H1967" s="1058">
        <v>1</v>
      </c>
    </row>
    <row r="1968" spans="1:8">
      <c r="A1968" s="1067"/>
      <c r="B1968" s="1067"/>
      <c r="C1968" s="1061"/>
      <c r="D1968" s="1061"/>
      <c r="E1968" s="1062"/>
      <c r="F1968" s="1062"/>
      <c r="G1968" s="1062"/>
      <c r="H1968" s="1058"/>
    </row>
    <row r="1969" spans="1:8">
      <c r="A1969" s="1067">
        <v>80</v>
      </c>
      <c r="B1969" s="1067" t="s">
        <v>5539</v>
      </c>
      <c r="C1969" s="1061"/>
      <c r="D1969" s="1061"/>
      <c r="E1969" s="1062"/>
      <c r="F1969" s="1062"/>
      <c r="G1969" s="1062"/>
      <c r="H1969" s="1062"/>
    </row>
    <row r="1970" spans="1:8">
      <c r="A1970" s="1067"/>
      <c r="B1970" s="1065" t="s">
        <v>4990</v>
      </c>
      <c r="C1970" s="1061">
        <v>1</v>
      </c>
      <c r="D1970" s="1061">
        <v>1</v>
      </c>
      <c r="E1970" s="1062"/>
      <c r="F1970" s="1062"/>
      <c r="G1970" s="1062"/>
      <c r="H1970" s="1058">
        <v>3</v>
      </c>
    </row>
    <row r="1971" spans="1:8">
      <c r="A1971" s="1067"/>
      <c r="B1971" s="1065"/>
      <c r="C1971" s="1061"/>
      <c r="D1971" s="1061"/>
      <c r="E1971" s="1062"/>
      <c r="F1971" s="1062"/>
      <c r="G1971" s="1062"/>
      <c r="H1971" s="1058"/>
    </row>
    <row r="1972" spans="1:8">
      <c r="A1972" s="1067">
        <v>82</v>
      </c>
      <c r="B1972" s="1067" t="s">
        <v>5540</v>
      </c>
      <c r="C1972" s="1061">
        <v>1</v>
      </c>
      <c r="D1972" s="1061">
        <v>10</v>
      </c>
      <c r="E1972" s="1062"/>
      <c r="F1972" s="1062"/>
      <c r="G1972" s="1062"/>
      <c r="H1972" s="1058">
        <f>PRODUCT(C1972:G1972)</f>
        <v>10</v>
      </c>
    </row>
    <row r="1973" spans="1:8">
      <c r="A1973" s="1067"/>
      <c r="B1973" s="1065"/>
      <c r="C1973" s="1061"/>
      <c r="D1973" s="1061"/>
      <c r="E1973" s="1062"/>
      <c r="F1973" s="1062"/>
      <c r="G1973" s="1062"/>
      <c r="H1973" s="1062"/>
    </row>
    <row r="1974" spans="1:8" s="965" customFormat="1">
      <c r="A1974" s="1067">
        <v>86</v>
      </c>
      <c r="B1974" s="1067" t="s">
        <v>5541</v>
      </c>
      <c r="C1974" s="1061"/>
      <c r="D1974" s="1061"/>
      <c r="E1974" s="1062"/>
      <c r="F1974" s="1062"/>
      <c r="G1974" s="1062"/>
      <c r="H1974" s="1062"/>
    </row>
    <row r="1975" spans="1:8" s="965" customFormat="1">
      <c r="A1975" s="1059"/>
      <c r="B1975" s="1076" t="s">
        <v>5086</v>
      </c>
      <c r="C1975" s="1061">
        <v>1</v>
      </c>
      <c r="D1975" s="1061">
        <v>1</v>
      </c>
      <c r="E1975" s="1062">
        <v>6.93</v>
      </c>
      <c r="F1975" s="1062">
        <v>13.72</v>
      </c>
      <c r="G1975" s="1068"/>
      <c r="H1975" s="1063">
        <f>PRODUCT(C1975:G1975)</f>
        <v>95.08</v>
      </c>
    </row>
    <row r="1976" spans="1:8" s="965" customFormat="1">
      <c r="A1976" s="1059"/>
      <c r="B1976" s="1076" t="s">
        <v>5087</v>
      </c>
      <c r="C1976" s="1061">
        <v>1</v>
      </c>
      <c r="D1976" s="1061">
        <v>0.5</v>
      </c>
      <c r="E1976" s="1062">
        <v>4.57</v>
      </c>
      <c r="F1976" s="1062">
        <v>3.73</v>
      </c>
      <c r="G1976" s="1068"/>
      <c r="H1976" s="1063">
        <f>PRODUCT(C1976:G1976)</f>
        <v>8.52</v>
      </c>
    </row>
    <row r="1977" spans="1:8" s="965" customFormat="1" ht="18.75" customHeight="1">
      <c r="A1977" s="1059"/>
      <c r="B1977" s="1076" t="s">
        <v>5088</v>
      </c>
      <c r="C1977" s="1066">
        <v>1</v>
      </c>
      <c r="D1977" s="1066">
        <v>1</v>
      </c>
      <c r="E1977" s="1062">
        <v>24.46</v>
      </c>
      <c r="F1977" s="1062">
        <v>9.2200000000000006</v>
      </c>
      <c r="G1977" s="1068"/>
      <c r="H1977" s="1063">
        <f>PRODUCT(C1977:G1977)</f>
        <v>225.52</v>
      </c>
    </row>
    <row r="1978" spans="1:8" s="965" customFormat="1" ht="17.25">
      <c r="A1978" s="1059"/>
      <c r="B1978" s="1076" t="s">
        <v>5089</v>
      </c>
      <c r="C1978" s="1061">
        <v>1</v>
      </c>
      <c r="D1978" s="1061">
        <v>0.25</v>
      </c>
      <c r="E1978" s="1068">
        <v>3.14</v>
      </c>
      <c r="F1978" s="1062" t="s">
        <v>5090</v>
      </c>
      <c r="G1978" s="1068"/>
      <c r="H1978" s="1063">
        <v>67.31</v>
      </c>
    </row>
    <row r="1979" spans="1:8" s="965" customFormat="1">
      <c r="A1979" s="1059"/>
      <c r="B1979" s="1076" t="s">
        <v>5091</v>
      </c>
      <c r="C1979" s="1061">
        <v>1</v>
      </c>
      <c r="D1979" s="1061">
        <v>1</v>
      </c>
      <c r="E1979" s="1068">
        <v>6.82</v>
      </c>
      <c r="F1979" s="1068">
        <v>1.83</v>
      </c>
      <c r="G1979" s="1068"/>
      <c r="H1979" s="1063">
        <f>PRODUCT(C1979:G1979)</f>
        <v>12.48</v>
      </c>
    </row>
    <row r="1980" spans="1:8" s="965" customFormat="1">
      <c r="A1980" s="1059"/>
      <c r="B1980" s="1076" t="s">
        <v>5092</v>
      </c>
      <c r="C1980" s="1061">
        <v>1</v>
      </c>
      <c r="D1980" s="1061">
        <v>1</v>
      </c>
      <c r="E1980" s="1068">
        <v>8.76</v>
      </c>
      <c r="F1980" s="1068">
        <v>1.83</v>
      </c>
      <c r="G1980" s="1068"/>
      <c r="H1980" s="1063">
        <f>PRODUCT(C1980:G1980)</f>
        <v>16.03</v>
      </c>
    </row>
    <row r="1981" spans="1:8" s="965" customFormat="1">
      <c r="A1981" s="1059"/>
      <c r="B1981" s="1076" t="s">
        <v>5093</v>
      </c>
      <c r="C1981" s="1061">
        <v>1</v>
      </c>
      <c r="D1981" s="1061">
        <v>1</v>
      </c>
      <c r="E1981" s="1062">
        <v>2.44</v>
      </c>
      <c r="F1981" s="1062">
        <v>3.66</v>
      </c>
      <c r="G1981" s="1068"/>
      <c r="H1981" s="1063">
        <f>PRODUCT(C1981:G1981)</f>
        <v>8.93</v>
      </c>
    </row>
    <row r="1982" spans="1:8" s="965" customFormat="1">
      <c r="A1982" s="1067"/>
      <c r="B1982" s="1065"/>
      <c r="C1982" s="1061"/>
      <c r="D1982" s="1061"/>
      <c r="E1982" s="1068"/>
      <c r="F1982" s="1068"/>
      <c r="G1982" s="1062"/>
      <c r="H1982" s="1058">
        <f>SUM(H1975:H1981)</f>
        <v>433.87</v>
      </c>
    </row>
    <row r="1983" spans="1:8" s="965" customFormat="1">
      <c r="A1983" s="1067"/>
      <c r="B1983" s="1065"/>
      <c r="C1983" s="1061"/>
      <c r="D1983" s="1061"/>
      <c r="E1983" s="1062"/>
      <c r="F1983" s="1072" t="s">
        <v>4121</v>
      </c>
      <c r="G1983" s="1100">
        <f>ROUNDUP(H1982,1)</f>
        <v>433.9</v>
      </c>
      <c r="H1983" s="1074" t="s">
        <v>5542</v>
      </c>
    </row>
    <row r="1984" spans="1:8" s="965" customFormat="1">
      <c r="A1984" s="1429">
        <v>112.1</v>
      </c>
      <c r="B1984" s="1430" t="s">
        <v>1852</v>
      </c>
      <c r="C1984" s="1066"/>
      <c r="D1984" s="1066"/>
      <c r="E1984" s="1066"/>
      <c r="F1984" s="1066"/>
      <c r="G1984" s="1066"/>
      <c r="H1984" s="1062"/>
    </row>
    <row r="1985" spans="1:8" s="965" customFormat="1">
      <c r="A1985" s="1065"/>
      <c r="B1985" s="1065" t="s">
        <v>5543</v>
      </c>
      <c r="C1985" s="1066">
        <v>3</v>
      </c>
      <c r="D1985" s="1066">
        <v>2</v>
      </c>
      <c r="E1985" s="1066">
        <v>1</v>
      </c>
      <c r="F1985" s="1066"/>
      <c r="G1985" s="1066"/>
      <c r="H1985" s="1058">
        <f>PRODUCT(C1985:G1985)</f>
        <v>6</v>
      </c>
    </row>
    <row r="1986" spans="1:8" s="965" customFormat="1">
      <c r="A1986" s="1067"/>
      <c r="B1986" s="1067"/>
      <c r="C1986" s="1061"/>
      <c r="D1986" s="1061"/>
      <c r="E1986" s="1062"/>
      <c r="F1986" s="1062"/>
      <c r="G1986" s="1062"/>
      <c r="H1986" s="1058"/>
    </row>
    <row r="1987" spans="1:8" s="965" customFormat="1">
      <c r="A1987" s="1065">
        <v>344.2</v>
      </c>
      <c r="B1987" s="1065" t="s">
        <v>5544</v>
      </c>
      <c r="C1987" s="1065">
        <v>3</v>
      </c>
      <c r="D1987" s="1065">
        <v>3</v>
      </c>
      <c r="E1987" s="1087">
        <v>1</v>
      </c>
      <c r="F1987" s="1087"/>
      <c r="G1987" s="1087"/>
      <c r="H1987" s="1087">
        <f>PRODUCT(C1987:G1987)</f>
        <v>9</v>
      </c>
    </row>
    <row r="1988" spans="1:8" s="965" customFormat="1">
      <c r="A1988" s="1065"/>
      <c r="B1988" s="1065"/>
      <c r="C1988" s="1065"/>
      <c r="D1988" s="1065"/>
      <c r="E1988" s="1087"/>
      <c r="F1988" s="1087"/>
      <c r="G1988" s="1087"/>
      <c r="H1988" s="1087"/>
    </row>
    <row r="1989" spans="1:8" s="965" customFormat="1">
      <c r="A1989" s="1065">
        <v>383.1</v>
      </c>
      <c r="B1989" s="1065" t="s">
        <v>5545</v>
      </c>
      <c r="C1989" s="1065">
        <v>30</v>
      </c>
      <c r="D1989" s="1065">
        <v>3</v>
      </c>
      <c r="E1989" s="1087">
        <v>1.4</v>
      </c>
      <c r="F1989" s="1087"/>
      <c r="G1989" s="1087"/>
      <c r="H1989" s="1087">
        <f>PRODUCT(C1989:G1989)</f>
        <v>126</v>
      </c>
    </row>
    <row r="1990" spans="1:8" s="965" customFormat="1">
      <c r="A1990" s="1065"/>
      <c r="B1990" s="1065"/>
      <c r="C1990" s="1065"/>
      <c r="D1990" s="1065"/>
      <c r="E1990" s="1087"/>
      <c r="F1990" s="1072" t="s">
        <v>4121</v>
      </c>
      <c r="G1990" s="1100">
        <f>ROUNDUP(H1989,1)</f>
        <v>126</v>
      </c>
      <c r="H1990" s="1074" t="s">
        <v>5457</v>
      </c>
    </row>
    <row r="1991" spans="1:8" ht="31.5">
      <c r="B1991" s="1085" t="s">
        <v>5546</v>
      </c>
    </row>
    <row r="1992" spans="1:8">
      <c r="B1992" s="1085" t="s">
        <v>5455</v>
      </c>
      <c r="C1992" s="1061">
        <v>1</v>
      </c>
      <c r="D1992" s="1061">
        <v>2</v>
      </c>
      <c r="E1992" s="1087"/>
      <c r="F1992" s="1087"/>
      <c r="G1992" s="1087"/>
      <c r="H1992" s="1087">
        <f>PRODUCT(C1992:G1992)</f>
        <v>2</v>
      </c>
    </row>
    <row r="1993" spans="1:8">
      <c r="B1993" s="1085" t="s">
        <v>5504</v>
      </c>
      <c r="C1993" s="1061">
        <v>1</v>
      </c>
      <c r="D1993" s="1061">
        <v>2</v>
      </c>
      <c r="E1993" s="1087"/>
      <c r="F1993" s="1087"/>
      <c r="G1993" s="1087"/>
      <c r="H1993" s="1087">
        <f>PRODUCT(C1993:G1993)</f>
        <v>2</v>
      </c>
    </row>
    <row r="1994" spans="1:8">
      <c r="B1994" s="1085" t="s">
        <v>5522</v>
      </c>
      <c r="C1994" s="1061">
        <v>2</v>
      </c>
      <c r="D1994" s="1061">
        <v>5</v>
      </c>
      <c r="E1994" s="1087"/>
      <c r="F1994" s="1087"/>
      <c r="G1994" s="1087"/>
      <c r="H1994" s="1087">
        <f>PRODUCT(C1994:G1994)</f>
        <v>10</v>
      </c>
    </row>
    <row r="1995" spans="1:8">
      <c r="C1995" s="1403"/>
      <c r="D1995" s="1403"/>
      <c r="E1995" s="1403"/>
      <c r="F1995" s="1403"/>
      <c r="G1995" s="1448" t="s">
        <v>1375</v>
      </c>
      <c r="H1995" s="1457">
        <f>SUM(H1992:H1994)</f>
        <v>14</v>
      </c>
    </row>
    <row r="1996" spans="1:8" ht="33" customHeight="1">
      <c r="B1996" s="1085" t="s">
        <v>5547</v>
      </c>
    </row>
    <row r="1997" spans="1:8">
      <c r="B1997" s="1085" t="s">
        <v>5455</v>
      </c>
      <c r="C1997" s="1061">
        <v>1</v>
      </c>
      <c r="D1997" s="1061">
        <v>2</v>
      </c>
      <c r="E1997" s="1087"/>
      <c r="F1997" s="1087"/>
      <c r="G1997" s="1087"/>
      <c r="H1997" s="1087">
        <f>PRODUCT(C1997:G1997)</f>
        <v>2</v>
      </c>
    </row>
    <row r="1998" spans="1:8">
      <c r="B1998" s="1085" t="s">
        <v>5504</v>
      </c>
      <c r="C1998" s="1061">
        <v>1</v>
      </c>
      <c r="D1998" s="1061">
        <v>2</v>
      </c>
      <c r="E1998" s="1087"/>
      <c r="F1998" s="1087"/>
      <c r="G1998" s="1087"/>
      <c r="H1998" s="1087">
        <f>PRODUCT(C1998:G1998)</f>
        <v>2</v>
      </c>
    </row>
    <row r="1999" spans="1:8">
      <c r="B1999" s="1085" t="s">
        <v>5522</v>
      </c>
      <c r="C1999" s="1061">
        <v>2</v>
      </c>
      <c r="D1999" s="1061">
        <v>5</v>
      </c>
      <c r="E1999" s="1087"/>
      <c r="F1999" s="1087"/>
      <c r="G1999" s="1087"/>
      <c r="H1999" s="1087">
        <f>PRODUCT(C1999:G1999)</f>
        <v>10</v>
      </c>
    </row>
    <row r="2000" spans="1:8">
      <c r="C2000" s="1403"/>
      <c r="D2000" s="1403"/>
      <c r="E2000" s="1403"/>
      <c r="F2000" s="1403"/>
      <c r="G2000" s="1448" t="s">
        <v>1375</v>
      </c>
      <c r="H2000" s="1457">
        <f>SUM(H1997:H1999)</f>
        <v>14</v>
      </c>
    </row>
    <row r="2001" spans="2:8" ht="31.5">
      <c r="B2001" s="1085" t="s">
        <v>5548</v>
      </c>
      <c r="C2001" s="1403"/>
      <c r="D2001" s="1403"/>
      <c r="E2001" s="1403"/>
      <c r="F2001" s="1403"/>
      <c r="G2001" s="1403"/>
      <c r="H2001" s="1403"/>
    </row>
    <row r="2002" spans="2:8">
      <c r="B2002" s="1085" t="s">
        <v>5455</v>
      </c>
      <c r="C2002" s="1061">
        <v>1</v>
      </c>
      <c r="D2002" s="1061">
        <v>2</v>
      </c>
      <c r="E2002" s="1087">
        <v>1</v>
      </c>
      <c r="F2002" s="1087"/>
      <c r="G2002" s="1087"/>
      <c r="H2002" s="1087">
        <f>PRODUCT(C2002:G2002)</f>
        <v>2</v>
      </c>
    </row>
    <row r="2003" spans="2:8">
      <c r="B2003" s="1085" t="s">
        <v>5504</v>
      </c>
      <c r="C2003" s="1061">
        <v>1</v>
      </c>
      <c r="D2003" s="1061">
        <v>2</v>
      </c>
      <c r="E2003" s="1087">
        <v>1</v>
      </c>
      <c r="F2003" s="1087"/>
      <c r="G2003" s="1087"/>
      <c r="H2003" s="1087">
        <f>PRODUCT(C2003:G2003)</f>
        <v>2</v>
      </c>
    </row>
    <row r="2004" spans="2:8">
      <c r="B2004" s="1085" t="s">
        <v>5522</v>
      </c>
      <c r="C2004" s="1061">
        <v>2</v>
      </c>
      <c r="D2004" s="1061">
        <v>5</v>
      </c>
      <c r="E2004" s="1087">
        <v>1</v>
      </c>
      <c r="F2004" s="1087"/>
      <c r="G2004" s="1087"/>
      <c r="H2004" s="1087">
        <f>PRODUCT(C2004:G2004)</f>
        <v>10</v>
      </c>
    </row>
    <row r="2005" spans="2:8">
      <c r="C2005" s="1403"/>
      <c r="D2005" s="1403"/>
      <c r="E2005" s="1403"/>
      <c r="F2005" s="1403"/>
      <c r="G2005" s="1448" t="s">
        <v>1375</v>
      </c>
      <c r="H2005" s="1448">
        <f>SUM(H2002:H2004)</f>
        <v>14</v>
      </c>
    </row>
    <row r="2006" spans="2:8" ht="31.5">
      <c r="B2006" s="1085" t="s">
        <v>5549</v>
      </c>
      <c r="C2006" s="1403"/>
      <c r="D2006" s="1403"/>
      <c r="E2006" s="1403"/>
      <c r="F2006" s="1403"/>
      <c r="G2006" s="1403"/>
      <c r="H2006" s="1403"/>
    </row>
    <row r="2007" spans="2:8">
      <c r="B2007" s="1085" t="s">
        <v>5455</v>
      </c>
      <c r="C2007" s="1061">
        <v>1</v>
      </c>
      <c r="D2007" s="1061">
        <v>2</v>
      </c>
      <c r="E2007" s="1087">
        <v>5</v>
      </c>
      <c r="F2007" s="1087"/>
      <c r="G2007" s="1087"/>
      <c r="H2007" s="1087">
        <f>PRODUCT(C2007:G2007)</f>
        <v>10</v>
      </c>
    </row>
    <row r="2008" spans="2:8">
      <c r="B2008" s="1085" t="s">
        <v>5504</v>
      </c>
      <c r="C2008" s="1061">
        <v>1</v>
      </c>
      <c r="D2008" s="1061">
        <v>2</v>
      </c>
      <c r="E2008" s="1087">
        <v>5</v>
      </c>
      <c r="F2008" s="1087"/>
      <c r="G2008" s="1087"/>
      <c r="H2008" s="1087">
        <f>PRODUCT(C2008:G2008)</f>
        <v>10</v>
      </c>
    </row>
    <row r="2009" spans="2:8">
      <c r="B2009" s="1085" t="s">
        <v>5522</v>
      </c>
      <c r="C2009" s="1061">
        <v>2</v>
      </c>
      <c r="D2009" s="1061">
        <v>5</v>
      </c>
      <c r="E2009" s="1087">
        <v>5</v>
      </c>
      <c r="F2009" s="1087"/>
      <c r="G2009" s="1087"/>
      <c r="H2009" s="1087">
        <f>PRODUCT(C2009:G2009)</f>
        <v>50</v>
      </c>
    </row>
    <row r="2010" spans="2:8">
      <c r="G2010" s="1091" t="s">
        <v>794</v>
      </c>
      <c r="H2010" s="1092">
        <f>SUM(H2007:H2009)</f>
        <v>70</v>
      </c>
    </row>
    <row r="2012" spans="2:8" ht="31.5">
      <c r="B2012" s="1085" t="s">
        <v>5550</v>
      </c>
    </row>
    <row r="2013" spans="2:8">
      <c r="B2013" s="1085" t="s">
        <v>5455</v>
      </c>
      <c r="C2013" s="1061">
        <v>1</v>
      </c>
      <c r="D2013" s="1061">
        <v>2</v>
      </c>
      <c r="E2013" s="1087">
        <v>6</v>
      </c>
      <c r="F2013" s="1087"/>
      <c r="G2013" s="1087"/>
      <c r="H2013" s="1087">
        <f>PRODUCT(C2013:G2013)</f>
        <v>12</v>
      </c>
    </row>
    <row r="2014" spans="2:8">
      <c r="B2014" s="1085" t="s">
        <v>5504</v>
      </c>
      <c r="C2014" s="1061">
        <v>1</v>
      </c>
      <c r="D2014" s="1061">
        <v>2</v>
      </c>
      <c r="E2014" s="1087">
        <v>12</v>
      </c>
      <c r="F2014" s="1087"/>
      <c r="G2014" s="1087"/>
      <c r="H2014" s="1087">
        <f>PRODUCT(C2014:G2014)</f>
        <v>24</v>
      </c>
    </row>
    <row r="2015" spans="2:8">
      <c r="B2015" s="1085" t="s">
        <v>5522</v>
      </c>
      <c r="C2015" s="1061">
        <v>2</v>
      </c>
      <c r="D2015" s="1061">
        <v>5</v>
      </c>
      <c r="E2015" s="1087">
        <v>10</v>
      </c>
      <c r="F2015" s="1087"/>
      <c r="G2015" s="1087"/>
      <c r="H2015" s="1087">
        <f>PRODUCT(C2015:G2015)</f>
        <v>100</v>
      </c>
    </row>
    <row r="2016" spans="2:8">
      <c r="G2016" s="1091" t="s">
        <v>794</v>
      </c>
      <c r="H2016" s="1091">
        <f>SUM(H2013:H2015)</f>
        <v>136</v>
      </c>
    </row>
    <row r="2017" spans="2:8">
      <c r="B2017" s="1291" t="s">
        <v>6112</v>
      </c>
    </row>
    <row r="2018" spans="2:8">
      <c r="B2018" s="1075" t="s">
        <v>5344</v>
      </c>
      <c r="C2018" s="1061"/>
      <c r="D2018" s="1061"/>
      <c r="E2018" s="1062"/>
      <c r="F2018" s="1072"/>
      <c r="G2018" s="1111"/>
      <c r="H2018" s="1074"/>
    </row>
    <row r="2019" spans="2:8">
      <c r="B2019" s="1076" t="s">
        <v>5556</v>
      </c>
      <c r="C2019" s="1061">
        <v>1</v>
      </c>
      <c r="D2019" s="1061">
        <v>1</v>
      </c>
      <c r="E2019" s="1062">
        <v>1.83</v>
      </c>
      <c r="F2019" s="1062">
        <v>1.75</v>
      </c>
      <c r="G2019" s="1062"/>
      <c r="H2019" s="1063">
        <f>PRODUCT(C2019:G2019)</f>
        <v>3.2</v>
      </c>
    </row>
    <row r="2020" spans="2:8">
      <c r="B2020" s="1076" t="s">
        <v>5507</v>
      </c>
      <c r="C2020" s="1061">
        <v>1</v>
      </c>
      <c r="D2020" s="1061">
        <v>1</v>
      </c>
      <c r="E2020" s="1062">
        <v>1.83</v>
      </c>
      <c r="F2020" s="1062">
        <v>1.22</v>
      </c>
      <c r="G2020" s="1062"/>
      <c r="H2020" s="1063">
        <f>PRODUCT(C2020:G2020)</f>
        <v>2.23</v>
      </c>
    </row>
    <row r="2021" spans="2:8">
      <c r="B2021" s="1075" t="s">
        <v>5310</v>
      </c>
      <c r="C2021" s="1061"/>
      <c r="D2021" s="1061"/>
      <c r="E2021" s="1062"/>
      <c r="F2021" s="1062"/>
      <c r="G2021" s="1062"/>
      <c r="H2021" s="1063"/>
    </row>
    <row r="2022" spans="2:8">
      <c r="B2022" s="1076" t="s">
        <v>5507</v>
      </c>
      <c r="C2022" s="1061">
        <v>1</v>
      </c>
      <c r="D2022" s="1061">
        <v>1</v>
      </c>
      <c r="E2022" s="1062">
        <v>2.5499999999999998</v>
      </c>
      <c r="F2022" s="1062">
        <v>2.3199999999999998</v>
      </c>
      <c r="G2022" s="1062"/>
      <c r="H2022" s="1063">
        <f>PRODUCT(C2022:G2022)</f>
        <v>5.92</v>
      </c>
    </row>
    <row r="2023" spans="2:8">
      <c r="B2023" s="1076" t="s">
        <v>4987</v>
      </c>
      <c r="C2023" s="1061">
        <v>1</v>
      </c>
      <c r="D2023" s="1061">
        <v>2</v>
      </c>
      <c r="E2023" s="1062">
        <v>1.22</v>
      </c>
      <c r="F2023" s="1062">
        <v>1.22</v>
      </c>
      <c r="G2023" s="1062"/>
      <c r="H2023" s="1063">
        <f>PRODUCT(C2023:G2023)</f>
        <v>2.98</v>
      </c>
    </row>
    <row r="2024" spans="2:8">
      <c r="B2024" s="1076" t="s">
        <v>5556</v>
      </c>
      <c r="C2024" s="1061">
        <v>1</v>
      </c>
      <c r="D2024" s="1061">
        <v>1</v>
      </c>
      <c r="E2024" s="1062">
        <v>4.2699999999999996</v>
      </c>
      <c r="F2024" s="1062">
        <v>1.74</v>
      </c>
      <c r="G2024" s="1062"/>
      <c r="H2024" s="1063">
        <f>PRODUCT(C2024:G2024)</f>
        <v>7.43</v>
      </c>
    </row>
    <row r="2025" spans="2:8">
      <c r="B2025" s="1076" t="s">
        <v>4989</v>
      </c>
      <c r="C2025" s="1061">
        <v>1</v>
      </c>
      <c r="D2025" s="1061">
        <v>2</v>
      </c>
      <c r="E2025" s="1062">
        <v>1.22</v>
      </c>
      <c r="F2025" s="1062">
        <v>1.22</v>
      </c>
      <c r="G2025" s="1062"/>
      <c r="H2025" s="1063">
        <f>SUM(H2019:H2024)</f>
        <v>21.76</v>
      </c>
    </row>
    <row r="2026" spans="2:8">
      <c r="B2026" s="1112" t="s">
        <v>5557</v>
      </c>
      <c r="C2026" s="1061">
        <v>1</v>
      </c>
      <c r="D2026" s="1061">
        <v>1</v>
      </c>
      <c r="E2026" s="1062">
        <v>2.74</v>
      </c>
      <c r="F2026" s="1062">
        <v>1.67</v>
      </c>
      <c r="G2026" s="1062"/>
      <c r="H2026" s="1063"/>
    </row>
    <row r="2027" spans="2:8">
      <c r="B2027" s="1075" t="s">
        <v>5311</v>
      </c>
      <c r="C2027" s="1061"/>
      <c r="D2027" s="1061"/>
      <c r="E2027" s="1062"/>
      <c r="F2027" s="1062"/>
      <c r="G2027" s="1062"/>
      <c r="H2027" s="1063"/>
    </row>
    <row r="2028" spans="2:8">
      <c r="B2028" s="1076" t="s">
        <v>5507</v>
      </c>
      <c r="C2028" s="1061">
        <v>1</v>
      </c>
      <c r="D2028" s="1061">
        <v>1</v>
      </c>
      <c r="E2028" s="1062">
        <v>2.5499999999999998</v>
      </c>
      <c r="F2028" s="1062">
        <v>2.3199999999999998</v>
      </c>
      <c r="G2028" s="1062"/>
      <c r="H2028" s="1063">
        <f>PRODUCT(C2028:G2028)</f>
        <v>5.92</v>
      </c>
    </row>
    <row r="2029" spans="2:8">
      <c r="B2029" s="1076" t="s">
        <v>4987</v>
      </c>
      <c r="C2029" s="1061">
        <v>1</v>
      </c>
      <c r="D2029" s="1061">
        <v>2</v>
      </c>
      <c r="E2029" s="1062">
        <v>1.22</v>
      </c>
      <c r="F2029" s="1062">
        <v>1.22</v>
      </c>
      <c r="G2029" s="1062"/>
      <c r="H2029" s="1063">
        <f>PRODUCT(C2029:G2029)</f>
        <v>2.98</v>
      </c>
    </row>
    <row r="2030" spans="2:8">
      <c r="B2030" s="1076" t="s">
        <v>5556</v>
      </c>
      <c r="C2030" s="1061">
        <v>1</v>
      </c>
      <c r="D2030" s="1061">
        <v>1</v>
      </c>
      <c r="E2030" s="1062">
        <v>4.2699999999999996</v>
      </c>
      <c r="F2030" s="1062">
        <v>1.74</v>
      </c>
      <c r="G2030" s="1062"/>
      <c r="H2030" s="1063">
        <f>PRODUCT(C2030:G2030)</f>
        <v>7.43</v>
      </c>
    </row>
    <row r="2031" spans="2:8">
      <c r="B2031" s="1076" t="s">
        <v>4989</v>
      </c>
      <c r="C2031" s="1061">
        <v>1</v>
      </c>
      <c r="D2031" s="1061">
        <v>2</v>
      </c>
      <c r="E2031" s="1062">
        <v>1.22</v>
      </c>
      <c r="F2031" s="1062">
        <v>1.22</v>
      </c>
      <c r="G2031" s="1062"/>
      <c r="H2031" s="1063">
        <f>PRODUCT(C2031:G2031)</f>
        <v>2.98</v>
      </c>
    </row>
    <row r="2032" spans="2:8">
      <c r="B2032" s="1076"/>
      <c r="C2032" s="1061"/>
      <c r="D2032" s="1061"/>
      <c r="E2032" s="1062"/>
      <c r="F2032" s="1062"/>
      <c r="G2032" s="1062"/>
      <c r="H2032" s="1063">
        <f>+SUM(H2019:H2031)</f>
        <v>62.83</v>
      </c>
    </row>
    <row r="2033" spans="2:8">
      <c r="B2033" s="1064"/>
      <c r="C2033" s="1061"/>
      <c r="D2033" s="1061"/>
      <c r="E2033" s="1062"/>
      <c r="F2033" s="1072" t="s">
        <v>4121</v>
      </c>
      <c r="G2033" s="1100">
        <f>ROUNDUP(H2032,1)</f>
        <v>62.9</v>
      </c>
      <c r="H2033" s="1074" t="s">
        <v>2199</v>
      </c>
    </row>
    <row r="2034" spans="2:8" ht="283.5">
      <c r="B2034" s="1085" t="s">
        <v>5688</v>
      </c>
    </row>
    <row r="2035" spans="2:8">
      <c r="B2035" s="1085" t="s">
        <v>5690</v>
      </c>
      <c r="C2035" s="1091">
        <v>3</v>
      </c>
      <c r="D2035" s="1091">
        <v>4</v>
      </c>
      <c r="E2035" s="1091">
        <v>3</v>
      </c>
      <c r="G2035" s="1091">
        <v>1.1000000000000001</v>
      </c>
      <c r="H2035" s="1063">
        <f t="shared" ref="H2035:H2036" si="82">PRODUCT(C2035:G2035)</f>
        <v>39.6</v>
      </c>
    </row>
    <row r="2036" spans="2:8">
      <c r="B2036" s="1085" t="s">
        <v>5691</v>
      </c>
      <c r="C2036" s="1091">
        <v>3</v>
      </c>
      <c r="D2036" s="1091">
        <v>2</v>
      </c>
      <c r="E2036" s="1091">
        <v>4.4000000000000004</v>
      </c>
      <c r="G2036" s="1091">
        <v>1.1000000000000001</v>
      </c>
      <c r="H2036" s="1063">
        <f t="shared" si="82"/>
        <v>29.04</v>
      </c>
    </row>
    <row r="2037" spans="2:8">
      <c r="H2037" s="1091">
        <f>SUM(H2035:H2036)</f>
        <v>68.64</v>
      </c>
    </row>
    <row r="2038" spans="2:8">
      <c r="F2038" s="1072" t="s">
        <v>4121</v>
      </c>
      <c r="G2038" s="1100">
        <f>ROUNDUP(H2037,1)</f>
        <v>68.7</v>
      </c>
      <c r="H2038" s="1074" t="s">
        <v>2199</v>
      </c>
    </row>
    <row r="2040" spans="2:8" ht="63">
      <c r="B2040" s="1085" t="s">
        <v>6070</v>
      </c>
    </row>
    <row r="2041" spans="2:8">
      <c r="B2041" s="1085" t="s">
        <v>5825</v>
      </c>
      <c r="C2041" s="1091">
        <v>1</v>
      </c>
      <c r="D2041" s="1091">
        <v>1</v>
      </c>
      <c r="E2041" s="1091">
        <v>1</v>
      </c>
      <c r="H2041" s="1063">
        <f t="shared" ref="H2041" si="83">PRODUCT(C2041:G2041)</f>
        <v>1</v>
      </c>
    </row>
    <row r="2044" spans="2:8">
      <c r="B2044" s="1085" t="s">
        <v>6083</v>
      </c>
    </row>
    <row r="2045" spans="2:8">
      <c r="B2045" s="1085" t="s">
        <v>6084</v>
      </c>
    </row>
    <row r="2046" spans="2:8" ht="21.75" customHeight="1">
      <c r="B2046" s="1446" t="s">
        <v>6085</v>
      </c>
    </row>
    <row r="2047" spans="2:8">
      <c r="B2047" s="1446" t="s">
        <v>6086</v>
      </c>
      <c r="C2047" s="1447">
        <v>1</v>
      </c>
      <c r="D2047" s="1447">
        <v>29</v>
      </c>
      <c r="E2047" s="1091">
        <v>1</v>
      </c>
      <c r="H2047" s="1077">
        <f t="shared" ref="H2047:H2075" si="84">PRODUCT(C2047:G2047)</f>
        <v>29</v>
      </c>
    </row>
    <row r="2048" spans="2:8">
      <c r="B2048" s="1446"/>
      <c r="C2048" s="1447"/>
      <c r="D2048" s="1447"/>
      <c r="H2048" s="1063"/>
    </row>
    <row r="2049" spans="2:8">
      <c r="B2049" s="1085" t="s">
        <v>6087</v>
      </c>
      <c r="C2049" s="1447"/>
      <c r="D2049" s="1447"/>
      <c r="H2049" s="1063"/>
    </row>
    <row r="2050" spans="2:8">
      <c r="B2050" s="1445" t="s">
        <v>6088</v>
      </c>
      <c r="C2050" s="1447">
        <v>1</v>
      </c>
      <c r="D2050" s="1447">
        <v>6</v>
      </c>
      <c r="E2050" s="1091">
        <v>1</v>
      </c>
      <c r="H2050" s="1063">
        <f t="shared" si="84"/>
        <v>6</v>
      </c>
    </row>
    <row r="2051" spans="2:8">
      <c r="B2051" s="1445" t="s">
        <v>6089</v>
      </c>
      <c r="C2051" s="1447">
        <v>1</v>
      </c>
      <c r="D2051" s="1447">
        <v>6</v>
      </c>
      <c r="E2051" s="1091">
        <v>1</v>
      </c>
      <c r="H2051" s="1063">
        <f t="shared" si="84"/>
        <v>6</v>
      </c>
    </row>
    <row r="2052" spans="2:8">
      <c r="B2052" s="1445" t="s">
        <v>6090</v>
      </c>
      <c r="C2052" s="1447">
        <v>1</v>
      </c>
      <c r="D2052" s="1447">
        <v>8</v>
      </c>
      <c r="E2052" s="1091">
        <v>1</v>
      </c>
      <c r="H2052" s="1063">
        <f t="shared" si="84"/>
        <v>8</v>
      </c>
    </row>
    <row r="2053" spans="2:8">
      <c r="B2053" s="1445" t="s">
        <v>6091</v>
      </c>
      <c r="C2053" s="1447">
        <v>1</v>
      </c>
      <c r="D2053" s="1447">
        <v>7</v>
      </c>
      <c r="E2053" s="1091">
        <v>1</v>
      </c>
      <c r="H2053" s="1063">
        <f t="shared" si="84"/>
        <v>7</v>
      </c>
    </row>
    <row r="2054" spans="2:8">
      <c r="B2054" s="1445" t="s">
        <v>6092</v>
      </c>
      <c r="C2054" s="1447">
        <v>1</v>
      </c>
      <c r="D2054" s="1447">
        <v>8</v>
      </c>
      <c r="E2054" s="1091">
        <v>1</v>
      </c>
      <c r="H2054" s="1063">
        <f t="shared" si="84"/>
        <v>8</v>
      </c>
    </row>
    <row r="2055" spans="2:8">
      <c r="B2055" s="1445" t="s">
        <v>6093</v>
      </c>
      <c r="C2055" s="1447">
        <v>1</v>
      </c>
      <c r="D2055" s="1447">
        <v>8</v>
      </c>
      <c r="E2055" s="1091">
        <v>1</v>
      </c>
      <c r="H2055" s="1063">
        <f t="shared" si="84"/>
        <v>8</v>
      </c>
    </row>
    <row r="2056" spans="2:8">
      <c r="B2056" s="1445" t="s">
        <v>6094</v>
      </c>
      <c r="C2056" s="1447">
        <v>1</v>
      </c>
      <c r="D2056" s="1447">
        <v>10</v>
      </c>
      <c r="E2056" s="1091">
        <v>1</v>
      </c>
      <c r="H2056" s="1063">
        <f t="shared" si="84"/>
        <v>10</v>
      </c>
    </row>
    <row r="2057" spans="2:8">
      <c r="B2057" s="1445" t="s">
        <v>6095</v>
      </c>
      <c r="C2057" s="1447">
        <v>1</v>
      </c>
      <c r="D2057" s="1447">
        <v>6</v>
      </c>
      <c r="E2057" s="1091">
        <v>1</v>
      </c>
      <c r="H2057" s="1063">
        <f t="shared" si="84"/>
        <v>6</v>
      </c>
    </row>
    <row r="2058" spans="2:8">
      <c r="B2058" s="1445" t="s">
        <v>6096</v>
      </c>
      <c r="C2058" s="1447">
        <v>1</v>
      </c>
      <c r="D2058" s="1447">
        <v>9</v>
      </c>
      <c r="E2058" s="1091">
        <v>1</v>
      </c>
      <c r="H2058" s="1063">
        <f t="shared" si="84"/>
        <v>9</v>
      </c>
    </row>
    <row r="2059" spans="2:8">
      <c r="B2059" s="1445" t="s">
        <v>6097</v>
      </c>
      <c r="C2059" s="1447">
        <v>1</v>
      </c>
      <c r="D2059" s="1447">
        <v>6</v>
      </c>
      <c r="E2059" s="1091">
        <v>1</v>
      </c>
      <c r="H2059" s="1063">
        <f t="shared" si="84"/>
        <v>6</v>
      </c>
    </row>
    <row r="2060" spans="2:8">
      <c r="B2060" s="1445" t="s">
        <v>6098</v>
      </c>
      <c r="C2060" s="1447">
        <v>1</v>
      </c>
      <c r="D2060" s="1447">
        <v>7</v>
      </c>
      <c r="E2060" s="1091">
        <v>1</v>
      </c>
      <c r="H2060" s="1063">
        <f t="shared" si="84"/>
        <v>7</v>
      </c>
    </row>
    <row r="2061" spans="2:8">
      <c r="B2061" s="1445" t="s">
        <v>6099</v>
      </c>
      <c r="C2061" s="1447">
        <v>1</v>
      </c>
      <c r="D2061" s="1447">
        <v>14</v>
      </c>
      <c r="E2061" s="1091">
        <v>1</v>
      </c>
      <c r="H2061" s="1063">
        <f t="shared" si="84"/>
        <v>14</v>
      </c>
    </row>
    <row r="2062" spans="2:8">
      <c r="B2062" s="1445" t="s">
        <v>6090</v>
      </c>
      <c r="C2062" s="1447">
        <v>1</v>
      </c>
      <c r="D2062" s="1447">
        <v>8</v>
      </c>
      <c r="E2062" s="1091">
        <v>1</v>
      </c>
      <c r="H2062" s="1063">
        <f t="shared" si="84"/>
        <v>8</v>
      </c>
    </row>
    <row r="2063" spans="2:8">
      <c r="B2063" s="1445" t="s">
        <v>6091</v>
      </c>
      <c r="C2063" s="1447">
        <v>1</v>
      </c>
      <c r="D2063" s="1447">
        <v>7</v>
      </c>
      <c r="E2063" s="1091">
        <v>1</v>
      </c>
      <c r="H2063" s="1063">
        <f t="shared" si="84"/>
        <v>7</v>
      </c>
    </row>
    <row r="2064" spans="2:8">
      <c r="B2064" s="1445" t="s">
        <v>6100</v>
      </c>
      <c r="C2064" s="1447">
        <v>1</v>
      </c>
      <c r="D2064" s="1447">
        <v>7</v>
      </c>
      <c r="E2064" s="1091">
        <v>1</v>
      </c>
      <c r="H2064" s="1063">
        <f t="shared" si="84"/>
        <v>7</v>
      </c>
    </row>
    <row r="2065" spans="2:8">
      <c r="B2065" s="1445" t="s">
        <v>6101</v>
      </c>
      <c r="C2065" s="1447">
        <v>1</v>
      </c>
      <c r="D2065" s="1447">
        <v>16</v>
      </c>
      <c r="E2065" s="1091">
        <v>1</v>
      </c>
      <c r="H2065" s="1063">
        <f t="shared" si="84"/>
        <v>16</v>
      </c>
    </row>
    <row r="2066" spans="2:8">
      <c r="B2066" s="1445" t="s">
        <v>6102</v>
      </c>
      <c r="C2066" s="1447">
        <v>1</v>
      </c>
      <c r="D2066" s="1447">
        <v>20</v>
      </c>
      <c r="E2066" s="1091">
        <v>1</v>
      </c>
      <c r="H2066" s="1063">
        <f t="shared" si="84"/>
        <v>20</v>
      </c>
    </row>
    <row r="2067" spans="2:8">
      <c r="B2067" s="1445" t="s">
        <v>6103</v>
      </c>
      <c r="C2067" s="1447">
        <v>1</v>
      </c>
      <c r="D2067" s="1447">
        <v>15</v>
      </c>
      <c r="E2067" s="1091">
        <v>1</v>
      </c>
      <c r="H2067" s="1063">
        <f t="shared" si="84"/>
        <v>15</v>
      </c>
    </row>
    <row r="2068" spans="2:8">
      <c r="B2068" s="1445" t="s">
        <v>6104</v>
      </c>
      <c r="C2068" s="1447">
        <v>1</v>
      </c>
      <c r="D2068" s="1447">
        <v>11</v>
      </c>
      <c r="E2068" s="1091">
        <v>1</v>
      </c>
      <c r="H2068" s="1063">
        <f t="shared" si="84"/>
        <v>11</v>
      </c>
    </row>
    <row r="2069" spans="2:8">
      <c r="B2069" s="1445" t="s">
        <v>6105</v>
      </c>
      <c r="C2069" s="1447">
        <v>1</v>
      </c>
      <c r="D2069" s="1447">
        <v>9</v>
      </c>
      <c r="E2069" s="1091">
        <v>1</v>
      </c>
      <c r="H2069" s="1063">
        <f t="shared" si="84"/>
        <v>9</v>
      </c>
    </row>
    <row r="2070" spans="2:8">
      <c r="B2070" s="1445" t="s">
        <v>6106</v>
      </c>
      <c r="C2070" s="1447">
        <v>1</v>
      </c>
      <c r="D2070" s="1447">
        <v>5</v>
      </c>
      <c r="E2070" s="1091">
        <v>1</v>
      </c>
      <c r="H2070" s="1063">
        <f t="shared" si="84"/>
        <v>5</v>
      </c>
    </row>
    <row r="2071" spans="2:8">
      <c r="B2071" s="1445" t="s">
        <v>6107</v>
      </c>
      <c r="C2071" s="1447">
        <v>1</v>
      </c>
      <c r="D2071" s="1447">
        <v>12</v>
      </c>
      <c r="E2071" s="1091">
        <v>1</v>
      </c>
      <c r="H2071" s="1063">
        <f t="shared" si="84"/>
        <v>12</v>
      </c>
    </row>
    <row r="2072" spans="2:8">
      <c r="B2072" s="1445" t="s">
        <v>6108</v>
      </c>
      <c r="C2072" s="1447">
        <v>1</v>
      </c>
      <c r="D2072" s="1447">
        <v>10</v>
      </c>
      <c r="E2072" s="1091">
        <v>1</v>
      </c>
      <c r="H2072" s="1063">
        <f t="shared" si="84"/>
        <v>10</v>
      </c>
    </row>
    <row r="2073" spans="2:8">
      <c r="B2073" s="1445" t="s">
        <v>6100</v>
      </c>
      <c r="C2073" s="1447">
        <v>1</v>
      </c>
      <c r="D2073" s="1447">
        <v>7</v>
      </c>
      <c r="E2073" s="1091">
        <v>1</v>
      </c>
      <c r="H2073" s="1063">
        <f t="shared" si="84"/>
        <v>7</v>
      </c>
    </row>
    <row r="2074" spans="2:8">
      <c r="B2074" s="1445" t="s">
        <v>6090</v>
      </c>
      <c r="C2074" s="1447">
        <v>1</v>
      </c>
      <c r="D2074" s="1447">
        <v>8</v>
      </c>
      <c r="E2074" s="1091">
        <v>1</v>
      </c>
      <c r="H2074" s="1063">
        <f t="shared" si="84"/>
        <v>8</v>
      </c>
    </row>
    <row r="2075" spans="2:8">
      <c r="B2075" s="1445" t="s">
        <v>6091</v>
      </c>
      <c r="C2075" s="1447">
        <v>1</v>
      </c>
      <c r="D2075" s="1447">
        <v>7</v>
      </c>
      <c r="E2075" s="1091">
        <v>1</v>
      </c>
      <c r="H2075" s="1063">
        <f t="shared" si="84"/>
        <v>7</v>
      </c>
    </row>
    <row r="2076" spans="2:8">
      <c r="B2076" s="1445"/>
      <c r="H2076" s="1092">
        <f>+SUM(H2050:H2075)</f>
        <v>237</v>
      </c>
    </row>
    <row r="2077" spans="2:8">
      <c r="B2077" s="1445"/>
    </row>
    <row r="2078" spans="2:8">
      <c r="B2078" s="1445"/>
    </row>
  </sheetData>
  <mergeCells count="4">
    <mergeCell ref="A1:H1"/>
    <mergeCell ref="A2:H2"/>
    <mergeCell ref="A3:H3"/>
    <mergeCell ref="C4:D4"/>
  </mergeCells>
  <pageMargins left="0.7" right="0.7" top="0.75" bottom="0.75" header="0.3" footer="0.3"/>
  <pageSetup paperSize="9" scale="88" orientation="portrait" r:id="rId1"/>
</worksheet>
</file>

<file path=xl/worksheets/sheet12.xml><?xml version="1.0" encoding="utf-8"?>
<worksheet xmlns="http://schemas.openxmlformats.org/spreadsheetml/2006/main" xmlns:r="http://schemas.openxmlformats.org/officeDocument/2006/relationships">
  <sheetPr syncVertical="1" syncRef="A593" transitionEvaluation="1">
    <tabColor rgb="FFFFFF00"/>
  </sheetPr>
  <dimension ref="A1:IS4082"/>
  <sheetViews>
    <sheetView view="pageBreakPreview" topLeftCell="A593" zoomScale="70" zoomScaleNormal="75" zoomScaleSheetLayoutView="70" workbookViewId="0">
      <selection activeCell="H604" sqref="H604"/>
    </sheetView>
  </sheetViews>
  <sheetFormatPr defaultColWidth="7.44140625" defaultRowHeight="24" customHeight="1"/>
  <cols>
    <col min="1" max="1" width="7.77734375" customWidth="1"/>
    <col min="2" max="2" width="26.6640625" customWidth="1"/>
    <col min="3" max="3" width="16.21875" customWidth="1"/>
    <col min="4" max="4" width="13.77734375" customWidth="1"/>
    <col min="5" max="5" width="8.5546875" customWidth="1"/>
    <col min="6" max="6" width="8.33203125" customWidth="1"/>
    <col min="7" max="7" width="10.109375" style="3" customWidth="1"/>
    <col min="8" max="8" width="39.21875" customWidth="1"/>
    <col min="9" max="9" width="14.33203125" customWidth="1"/>
    <col min="10" max="10" width="11.44140625" style="11" customWidth="1"/>
    <col min="11" max="11" width="12.88671875" customWidth="1"/>
    <col min="12" max="12" width="9.77734375" customWidth="1"/>
    <col min="13" max="13" width="11.21875" customWidth="1"/>
    <col min="14" max="14" width="8.5546875" bestFit="1" customWidth="1"/>
    <col min="15" max="15" width="42.6640625" customWidth="1"/>
    <col min="16" max="16" width="15.5546875" customWidth="1"/>
    <col min="17" max="17" width="10.6640625" customWidth="1"/>
    <col min="18" max="18" width="11.77734375" customWidth="1"/>
    <col min="19" max="19" width="10.88671875" style="51" customWidth="1"/>
    <col min="20" max="20" width="9.21875" customWidth="1"/>
    <col min="21" max="21" width="46.6640625" customWidth="1"/>
    <col min="22" max="22" width="12.109375" customWidth="1"/>
    <col min="23" max="23" width="31.21875" customWidth="1"/>
    <col min="24" max="24" width="12.6640625" customWidth="1"/>
    <col min="25" max="25" width="10.109375" customWidth="1"/>
    <col min="26" max="26" width="12.6640625" customWidth="1"/>
    <col min="27" max="27" width="22.33203125" hidden="1" customWidth="1"/>
    <col min="28" max="28" width="10.44140625" customWidth="1"/>
    <col min="29" max="29" width="16.21875" customWidth="1"/>
    <col min="30" max="30" width="24.44140625" customWidth="1"/>
    <col min="31" max="31" width="14.44140625" customWidth="1"/>
    <col min="32" max="32" width="11.77734375" customWidth="1"/>
    <col min="33" max="33" width="11.109375" customWidth="1"/>
    <col min="34" max="34" width="15.77734375" customWidth="1"/>
    <col min="35" max="35" width="9" bestFit="1" customWidth="1"/>
    <col min="36" max="36" width="8.109375" bestFit="1" customWidth="1"/>
    <col min="37" max="37" width="8.88671875" customWidth="1"/>
    <col min="40" max="40" width="8" bestFit="1"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4258</v>
      </c>
      <c r="E1" s="1" t="s">
        <v>940</v>
      </c>
      <c r="H1" s="34" t="s">
        <v>233</v>
      </c>
      <c r="O1" s="1" t="s">
        <v>233</v>
      </c>
      <c r="T1" s="4"/>
      <c r="U1" s="381" t="s">
        <v>1979</v>
      </c>
      <c r="V1" s="381"/>
      <c r="W1" s="2" t="s">
        <v>940</v>
      </c>
      <c r="X1" s="4"/>
      <c r="Y1" s="4"/>
      <c r="Z1" s="4"/>
      <c r="AA1" s="4"/>
      <c r="AB1" s="4"/>
      <c r="AC1" s="4"/>
      <c r="AD1" s="4"/>
      <c r="AE1" s="4"/>
    </row>
    <row r="2" spans="1:37" ht="24" customHeight="1">
      <c r="B2" s="5" t="s">
        <v>1980</v>
      </c>
      <c r="E2" s="1" t="s">
        <v>940</v>
      </c>
      <c r="H2" s="2" t="s">
        <v>620</v>
      </c>
      <c r="O2" s="2" t="s">
        <v>620</v>
      </c>
      <c r="U2" s="1525" t="s">
        <v>306</v>
      </c>
      <c r="V2" s="1526"/>
      <c r="W2" s="1526"/>
      <c r="X2" s="1526"/>
    </row>
    <row r="3" spans="1:37" ht="24" customHeight="1">
      <c r="A3" s="1" t="s">
        <v>1529</v>
      </c>
      <c r="B3" s="380" t="s">
        <v>5710</v>
      </c>
      <c r="C3" s="1" t="s">
        <v>4657</v>
      </c>
      <c r="E3" s="1" t="s">
        <v>940</v>
      </c>
      <c r="F3" s="42" t="s">
        <v>1529</v>
      </c>
      <c r="G3" s="7" t="s">
        <v>940</v>
      </c>
      <c r="H3" s="39" t="str">
        <f>B3</f>
        <v>Theni Town</v>
      </c>
      <c r="J3" s="34" t="str">
        <f>C3</f>
        <v>2021-2022</v>
      </c>
      <c r="M3" s="1" t="s">
        <v>1529</v>
      </c>
      <c r="N3" s="1" t="s">
        <v>940</v>
      </c>
      <c r="O3" s="8" t="str">
        <f>B3</f>
        <v>Theni Town</v>
      </c>
      <c r="Q3" s="8" t="str">
        <f>C3</f>
        <v>2021-2022</v>
      </c>
      <c r="T3" s="1" t="s">
        <v>1529</v>
      </c>
      <c r="U3" s="8" t="str">
        <f>O3</f>
        <v>Theni Town</v>
      </c>
      <c r="W3" s="9" t="str">
        <f>C3</f>
        <v>2021-2022</v>
      </c>
      <c r="AA3" s="1"/>
    </row>
    <row r="4" spans="1:37" ht="24" customHeight="1">
      <c r="F4" s="5" t="s">
        <v>1530</v>
      </c>
      <c r="G4" s="5" t="s">
        <v>1530</v>
      </c>
      <c r="H4" s="5" t="s">
        <v>1530</v>
      </c>
      <c r="I4" s="5" t="s">
        <v>1530</v>
      </c>
      <c r="J4" s="5" t="s">
        <v>1530</v>
      </c>
      <c r="K4" s="5" t="s">
        <v>1530</v>
      </c>
      <c r="M4" s="5" t="s">
        <v>1530</v>
      </c>
      <c r="N4" s="5" t="s">
        <v>1530</v>
      </c>
      <c r="O4" s="5" t="s">
        <v>1530</v>
      </c>
      <c r="P4" s="5" t="s">
        <v>1530</v>
      </c>
      <c r="Q4" s="5" t="s">
        <v>1530</v>
      </c>
      <c r="R4" s="5" t="s">
        <v>1530</v>
      </c>
      <c r="U4" s="1" t="s">
        <v>940</v>
      </c>
      <c r="W4" s="1" t="s">
        <v>940</v>
      </c>
      <c r="X4" s="1" t="s">
        <v>234</v>
      </c>
      <c r="Y4" s="1"/>
      <c r="AC4" s="1" t="s">
        <v>940</v>
      </c>
      <c r="AG4" s="1" t="s">
        <v>1531</v>
      </c>
    </row>
    <row r="5" spans="1:37" ht="24" customHeight="1">
      <c r="A5" s="5" t="s">
        <v>1530</v>
      </c>
      <c r="B5" s="5" t="s">
        <v>1530</v>
      </c>
      <c r="C5" s="5" t="s">
        <v>1530</v>
      </c>
      <c r="D5" s="5" t="s">
        <v>1530</v>
      </c>
      <c r="E5" s="1" t="s">
        <v>940</v>
      </c>
      <c r="F5" s="42" t="s">
        <v>1532</v>
      </c>
      <c r="G5" s="7" t="s">
        <v>940</v>
      </c>
      <c r="H5" s="59" t="s">
        <v>1533</v>
      </c>
      <c r="I5" s="59" t="s">
        <v>1534</v>
      </c>
      <c r="J5" s="59" t="s">
        <v>1535</v>
      </c>
      <c r="K5" s="59" t="s">
        <v>1536</v>
      </c>
      <c r="M5" s="2" t="s">
        <v>1532</v>
      </c>
      <c r="N5" s="1" t="s">
        <v>940</v>
      </c>
      <c r="O5" s="2" t="s">
        <v>1533</v>
      </c>
      <c r="P5" s="2" t="s">
        <v>1534</v>
      </c>
      <c r="Q5" s="2" t="s">
        <v>1535</v>
      </c>
      <c r="R5" s="2" t="s">
        <v>1536</v>
      </c>
      <c r="T5" s="5"/>
      <c r="U5" s="5" t="s">
        <v>1530</v>
      </c>
      <c r="V5" s="5" t="s">
        <v>1530</v>
      </c>
      <c r="W5" s="5" t="s">
        <v>1530</v>
      </c>
      <c r="X5" s="5" t="s">
        <v>1530</v>
      </c>
      <c r="Y5" s="5" t="s">
        <v>1530</v>
      </c>
      <c r="Z5" s="5" t="s">
        <v>1530</v>
      </c>
      <c r="AA5" s="5" t="s">
        <v>1530</v>
      </c>
      <c r="AB5" s="5" t="s">
        <v>1530</v>
      </c>
      <c r="AC5" s="5" t="s">
        <v>1530</v>
      </c>
      <c r="AD5" s="5" t="s">
        <v>1530</v>
      </c>
      <c r="AE5" s="5" t="s">
        <v>1530</v>
      </c>
    </row>
    <row r="6" spans="1:37" ht="24" customHeight="1">
      <c r="A6" s="1" t="s">
        <v>662</v>
      </c>
      <c r="B6" s="1" t="s">
        <v>1533</v>
      </c>
      <c r="C6" s="1" t="s">
        <v>1534</v>
      </c>
      <c r="D6" s="1" t="s">
        <v>1535</v>
      </c>
      <c r="F6" s="5" t="s">
        <v>1530</v>
      </c>
      <c r="G6" s="5" t="s">
        <v>1530</v>
      </c>
      <c r="H6" s="5" t="s">
        <v>1530</v>
      </c>
      <c r="I6" s="5" t="s">
        <v>1530</v>
      </c>
      <c r="J6" s="5" t="s">
        <v>1530</v>
      </c>
      <c r="K6" s="5" t="s">
        <v>1530</v>
      </c>
      <c r="M6" s="5" t="s">
        <v>1530</v>
      </c>
      <c r="N6" s="5" t="s">
        <v>1530</v>
      </c>
      <c r="O6" s="5" t="s">
        <v>1530</v>
      </c>
      <c r="P6" s="5" t="s">
        <v>1530</v>
      </c>
      <c r="Q6" s="5" t="s">
        <v>1530</v>
      </c>
      <c r="R6" s="5" t="s">
        <v>1530</v>
      </c>
      <c r="T6" s="2" t="s">
        <v>662</v>
      </c>
      <c r="U6" s="2" t="s">
        <v>54</v>
      </c>
      <c r="V6" s="2" t="s">
        <v>2159</v>
      </c>
      <c r="W6" s="2" t="s">
        <v>2160</v>
      </c>
      <c r="X6" s="2" t="s">
        <v>2161</v>
      </c>
      <c r="Y6" s="2" t="s">
        <v>2162</v>
      </c>
      <c r="Z6" s="2" t="s">
        <v>2163</v>
      </c>
      <c r="AA6" s="833" t="s">
        <v>1043</v>
      </c>
      <c r="AB6" s="1" t="s">
        <v>2164</v>
      </c>
      <c r="AC6" s="1" t="s">
        <v>2165</v>
      </c>
      <c r="AD6" s="2" t="s">
        <v>2166</v>
      </c>
    </row>
    <row r="7" spans="1:37" ht="24" customHeight="1">
      <c r="A7" s="5" t="s">
        <v>1530</v>
      </c>
      <c r="B7" s="5" t="s">
        <v>1530</v>
      </c>
      <c r="C7" s="5" t="s">
        <v>1530</v>
      </c>
      <c r="D7" s="5" t="s">
        <v>1530</v>
      </c>
      <c r="G7" s="7" t="s">
        <v>2167</v>
      </c>
      <c r="H7" s="1" t="s">
        <v>2168</v>
      </c>
      <c r="O7" s="1" t="s">
        <v>2169</v>
      </c>
      <c r="X7" s="2" t="s">
        <v>2170</v>
      </c>
      <c r="Y7" s="2" t="s">
        <v>2165</v>
      </c>
      <c r="Z7" s="2" t="s">
        <v>2171</v>
      </c>
      <c r="AA7" s="833" t="s">
        <v>941</v>
      </c>
      <c r="AB7" s="1" t="s">
        <v>2172</v>
      </c>
      <c r="AC7" s="1" t="s">
        <v>2173</v>
      </c>
      <c r="AE7" s="838"/>
    </row>
    <row r="8" spans="1:37" ht="24" customHeight="1">
      <c r="B8" s="1" t="s">
        <v>2174</v>
      </c>
      <c r="H8" s="5" t="s">
        <v>1530</v>
      </c>
      <c r="O8" s="5" t="s">
        <v>1530</v>
      </c>
      <c r="T8" s="5" t="s">
        <v>1530</v>
      </c>
      <c r="U8" s="5" t="s">
        <v>1530</v>
      </c>
      <c r="V8" s="5" t="s">
        <v>1530</v>
      </c>
      <c r="W8" s="5" t="s">
        <v>1530</v>
      </c>
      <c r="X8" s="5" t="s">
        <v>1530</v>
      </c>
      <c r="Y8" s="5" t="s">
        <v>1530</v>
      </c>
      <c r="Z8" s="5" t="s">
        <v>1530</v>
      </c>
      <c r="AA8" s="834" t="s">
        <v>1044</v>
      </c>
      <c r="AB8" s="5" t="s">
        <v>1530</v>
      </c>
      <c r="AC8" s="5" t="s">
        <v>1530</v>
      </c>
      <c r="AD8" s="5" t="s">
        <v>1530</v>
      </c>
      <c r="AE8" s="5" t="s">
        <v>1530</v>
      </c>
      <c r="AG8" s="382" t="s">
        <v>884</v>
      </c>
      <c r="AH8" s="382" t="s">
        <v>885</v>
      </c>
      <c r="AI8" s="383" t="s">
        <v>886</v>
      </c>
      <c r="AJ8" s="383" t="s">
        <v>887</v>
      </c>
      <c r="AK8" s="383" t="s">
        <v>1787</v>
      </c>
    </row>
    <row r="9" spans="1:37" ht="24" customHeight="1">
      <c r="B9" s="1" t="s">
        <v>827</v>
      </c>
      <c r="F9" s="8">
        <v>0.96</v>
      </c>
      <c r="G9" s="7" t="s">
        <v>828</v>
      </c>
      <c r="H9" s="1" t="s">
        <v>829</v>
      </c>
      <c r="I9" s="8">
        <f>(C70)</f>
        <v>5960</v>
      </c>
      <c r="J9" s="1" t="s">
        <v>828</v>
      </c>
      <c r="K9" s="8">
        <f>(F9*I9)</f>
        <v>5721.6</v>
      </c>
      <c r="M9" s="8">
        <v>0.5</v>
      </c>
      <c r="N9" s="1" t="s">
        <v>828</v>
      </c>
      <c r="O9" s="1" t="s">
        <v>830</v>
      </c>
      <c r="P9" s="8">
        <f>(C88)</f>
        <v>974</v>
      </c>
      <c r="Q9" s="1" t="s">
        <v>828</v>
      </c>
      <c r="R9" s="8">
        <f>(M9*P9)</f>
        <v>487</v>
      </c>
      <c r="T9" s="2" t="s">
        <v>831</v>
      </c>
      <c r="U9" s="1" t="s">
        <v>4456</v>
      </c>
      <c r="V9" s="1" t="s">
        <v>833</v>
      </c>
      <c r="W9" s="826" t="s">
        <v>4991</v>
      </c>
      <c r="X9" s="8">
        <f>'lead  charge'!D12</f>
        <v>14</v>
      </c>
      <c r="Y9" s="423">
        <v>445</v>
      </c>
      <c r="Z9" s="835">
        <f>'lead  charge'!E12</f>
        <v>149.38</v>
      </c>
      <c r="AA9" s="2"/>
      <c r="AB9" s="1">
        <v>0</v>
      </c>
      <c r="AC9" s="1">
        <f>SUM(Y9+Z9+AA9+AB9)</f>
        <v>594.38</v>
      </c>
      <c r="AD9" s="530" t="s">
        <v>1376</v>
      </c>
      <c r="AE9" s="443">
        <f>AF9</f>
        <v>861</v>
      </c>
      <c r="AF9" s="423">
        <v>861</v>
      </c>
      <c r="AG9" s="8">
        <f>AF9*1.1</f>
        <v>947.1</v>
      </c>
      <c r="AH9">
        <f>AF9*1.2</f>
        <v>1033.2</v>
      </c>
      <c r="AI9">
        <f>AF9*1.5</f>
        <v>1291.5</v>
      </c>
      <c r="AJ9">
        <f>AF9*1.05</f>
        <v>904.05</v>
      </c>
      <c r="AK9">
        <f>AF9*1.25</f>
        <v>1076.25</v>
      </c>
    </row>
    <row r="10" spans="1:37" ht="24" customHeight="1">
      <c r="A10" s="220">
        <v>1</v>
      </c>
      <c r="B10" s="530" t="s">
        <v>834</v>
      </c>
      <c r="C10" s="222">
        <f>AE9</f>
        <v>861</v>
      </c>
      <c r="D10" s="221" t="s">
        <v>835</v>
      </c>
      <c r="F10" s="8">
        <v>1</v>
      </c>
      <c r="G10" s="7" t="s">
        <v>836</v>
      </c>
      <c r="H10" s="1" t="s">
        <v>837</v>
      </c>
      <c r="I10" s="8">
        <f>(C81)</f>
        <v>1400.82</v>
      </c>
      <c r="J10" s="1" t="s">
        <v>836</v>
      </c>
      <c r="K10" s="8">
        <f>(F10*I10)</f>
        <v>1400.82</v>
      </c>
      <c r="M10" s="8">
        <v>1</v>
      </c>
      <c r="N10" s="1" t="s">
        <v>836</v>
      </c>
      <c r="O10" s="1" t="s">
        <v>837</v>
      </c>
      <c r="P10" s="8">
        <f>(C81)</f>
        <v>1400.82</v>
      </c>
      <c r="Q10" s="1" t="s">
        <v>836</v>
      </c>
      <c r="R10" s="8">
        <f>(M10*P10)</f>
        <v>1400.82</v>
      </c>
      <c r="T10" s="2" t="s">
        <v>838</v>
      </c>
      <c r="U10" s="1" t="s">
        <v>4457</v>
      </c>
      <c r="V10" s="1" t="s">
        <v>833</v>
      </c>
      <c r="W10" s="826" t="str">
        <f>W9</f>
        <v>Karuthamalai</v>
      </c>
      <c r="X10" s="8">
        <f>'lead  charge'!D12</f>
        <v>14</v>
      </c>
      <c r="Y10" s="423">
        <v>642</v>
      </c>
      <c r="Z10" s="835">
        <f>Z9</f>
        <v>149.38</v>
      </c>
      <c r="AA10" s="2"/>
      <c r="AB10" s="11">
        <v>0</v>
      </c>
      <c r="AC10" s="1">
        <f t="shared" ref="AC10:AC36" si="0">SUM(Y10+Z10+AA10+AB10)</f>
        <v>791.38</v>
      </c>
      <c r="AD10" s="530" t="s">
        <v>191</v>
      </c>
      <c r="AE10" s="443">
        <f t="shared" ref="AE10:AE76" si="1">AF10</f>
        <v>804</v>
      </c>
      <c r="AF10" s="423">
        <v>804</v>
      </c>
      <c r="AG10" s="8">
        <f t="shared" ref="AG10:AG53" si="2">AF10*1.1</f>
        <v>884.4</v>
      </c>
      <c r="AH10">
        <f t="shared" ref="AH10:AH76" si="3">AF10*1.2</f>
        <v>964.8</v>
      </c>
      <c r="AI10">
        <f t="shared" ref="AI10:AI53" si="4">AF10*1.5</f>
        <v>1206</v>
      </c>
      <c r="AJ10">
        <f t="shared" ref="AJ10:AJ63" si="5">AF10*1.05</f>
        <v>844.2</v>
      </c>
      <c r="AK10">
        <f t="shared" ref="AK10:AK53" si="6">AF10*1.25</f>
        <v>1005</v>
      </c>
    </row>
    <row r="11" spans="1:37" ht="24" customHeight="1">
      <c r="A11" s="220">
        <f t="shared" ref="A11:A35" si="7">(A10+1)</f>
        <v>2</v>
      </c>
      <c r="B11" s="530" t="s">
        <v>840</v>
      </c>
      <c r="C11" s="222">
        <f>AE10</f>
        <v>804</v>
      </c>
      <c r="D11" s="221">
        <f>AE9</f>
        <v>861</v>
      </c>
      <c r="F11" s="8">
        <v>1</v>
      </c>
      <c r="G11" s="7" t="s">
        <v>836</v>
      </c>
      <c r="H11" s="1" t="s">
        <v>841</v>
      </c>
      <c r="I11" s="8">
        <f>(C18)</f>
        <v>100</v>
      </c>
      <c r="J11" s="1" t="s">
        <v>836</v>
      </c>
      <c r="K11" s="8">
        <f>(F11*I11)</f>
        <v>100</v>
      </c>
      <c r="M11" s="8">
        <v>1</v>
      </c>
      <c r="N11" s="1" t="s">
        <v>836</v>
      </c>
      <c r="O11" s="1" t="s">
        <v>842</v>
      </c>
      <c r="P11" s="8">
        <f>(C67)</f>
        <v>242</v>
      </c>
      <c r="Q11" s="1" t="s">
        <v>836</v>
      </c>
      <c r="R11" s="8">
        <f>(M11*P11)</f>
        <v>242</v>
      </c>
      <c r="T11" s="2" t="s">
        <v>843</v>
      </c>
      <c r="U11" s="1" t="s">
        <v>3924</v>
      </c>
      <c r="V11" s="1" t="s">
        <v>833</v>
      </c>
      <c r="W11" s="826" t="str">
        <f>W10</f>
        <v>Karuthamalai</v>
      </c>
      <c r="X11" s="8">
        <f>'lead  charge'!D10:D10</f>
        <v>14</v>
      </c>
      <c r="Y11" s="423">
        <f>ROUND((595+661+977)/3,2)</f>
        <v>744.33</v>
      </c>
      <c r="Z11" s="835">
        <f>'lead  charge'!E10</f>
        <v>149.38</v>
      </c>
      <c r="AA11" s="2"/>
      <c r="AB11" s="11">
        <v>0</v>
      </c>
      <c r="AC11" s="1">
        <f t="shared" si="0"/>
        <v>893.71</v>
      </c>
      <c r="AD11" s="530" t="s">
        <v>845</v>
      </c>
      <c r="AE11" s="443">
        <f t="shared" si="1"/>
        <v>562</v>
      </c>
      <c r="AF11" s="423">
        <v>562</v>
      </c>
      <c r="AG11" s="8">
        <f t="shared" si="2"/>
        <v>618.20000000000005</v>
      </c>
      <c r="AH11">
        <f t="shared" si="3"/>
        <v>674.4</v>
      </c>
      <c r="AI11">
        <f t="shared" si="4"/>
        <v>843</v>
      </c>
      <c r="AJ11">
        <f t="shared" si="5"/>
        <v>590.1</v>
      </c>
      <c r="AK11">
        <f t="shared" si="6"/>
        <v>702.5</v>
      </c>
    </row>
    <row r="12" spans="1:37" ht="24" customHeight="1">
      <c r="A12" s="220">
        <f t="shared" si="7"/>
        <v>3</v>
      </c>
      <c r="B12" s="530" t="s">
        <v>418</v>
      </c>
      <c r="C12" s="222">
        <f>AE11</f>
        <v>562</v>
      </c>
      <c r="D12" s="221" t="s">
        <v>835</v>
      </c>
      <c r="G12" s="7" t="s">
        <v>419</v>
      </c>
      <c r="H12" s="1" t="s">
        <v>420</v>
      </c>
      <c r="I12" s="1" t="s">
        <v>940</v>
      </c>
      <c r="J12" s="1" t="s">
        <v>419</v>
      </c>
      <c r="K12" s="8">
        <v>0</v>
      </c>
      <c r="N12" s="1" t="s">
        <v>419</v>
      </c>
      <c r="O12" s="1" t="s">
        <v>420</v>
      </c>
      <c r="P12" s="1" t="s">
        <v>940</v>
      </c>
      <c r="Q12" s="1" t="s">
        <v>419</v>
      </c>
      <c r="R12" s="8">
        <v>0</v>
      </c>
      <c r="T12" s="2" t="s">
        <v>421</v>
      </c>
      <c r="U12" s="1" t="s">
        <v>1452</v>
      </c>
      <c r="V12" s="1" t="s">
        <v>833</v>
      </c>
      <c r="W12" s="826" t="str">
        <f>W11</f>
        <v>Karuthamalai</v>
      </c>
      <c r="X12" s="8">
        <f>X11</f>
        <v>14</v>
      </c>
      <c r="Y12" s="423">
        <v>977</v>
      </c>
      <c r="Z12" s="835">
        <f>Z11</f>
        <v>149.38</v>
      </c>
      <c r="AA12" s="2"/>
      <c r="AB12" s="11">
        <v>0</v>
      </c>
      <c r="AC12" s="1">
        <f t="shared" si="0"/>
        <v>1126.3800000000001</v>
      </c>
      <c r="AD12" s="530" t="s">
        <v>1453</v>
      </c>
      <c r="AE12" s="443">
        <f t="shared" si="1"/>
        <v>461</v>
      </c>
      <c r="AF12" s="423">
        <v>461</v>
      </c>
      <c r="AG12" s="8">
        <f t="shared" si="2"/>
        <v>507.1</v>
      </c>
      <c r="AH12">
        <f t="shared" si="3"/>
        <v>553.20000000000005</v>
      </c>
      <c r="AI12">
        <f t="shared" si="4"/>
        <v>691.5</v>
      </c>
      <c r="AJ12">
        <f t="shared" si="5"/>
        <v>484.05</v>
      </c>
      <c r="AK12">
        <f t="shared" si="6"/>
        <v>576.25</v>
      </c>
    </row>
    <row r="13" spans="1:37" ht="24" customHeight="1">
      <c r="A13" s="220">
        <f t="shared" si="7"/>
        <v>4</v>
      </c>
      <c r="B13" s="530" t="s">
        <v>1454</v>
      </c>
      <c r="C13" s="222">
        <f>AE12</f>
        <v>461</v>
      </c>
      <c r="D13" s="221" t="s">
        <v>835</v>
      </c>
      <c r="K13" s="5" t="s">
        <v>1530</v>
      </c>
      <c r="R13" s="5" t="s">
        <v>1530</v>
      </c>
      <c r="T13" s="2" t="s">
        <v>1455</v>
      </c>
      <c r="U13" s="1" t="s">
        <v>1456</v>
      </c>
      <c r="V13" s="1" t="s">
        <v>833</v>
      </c>
      <c r="W13" s="826" t="str">
        <f t="shared" ref="W13:W15" si="8">W12</f>
        <v>Karuthamalai</v>
      </c>
      <c r="X13" s="8">
        <f>X11</f>
        <v>14</v>
      </c>
      <c r="Y13" s="423">
        <v>1329</v>
      </c>
      <c r="Z13" s="835">
        <f>Z12</f>
        <v>149.38</v>
      </c>
      <c r="AA13" s="2"/>
      <c r="AB13" s="11">
        <v>0</v>
      </c>
      <c r="AC13" s="1">
        <f t="shared" si="0"/>
        <v>1478.38</v>
      </c>
      <c r="AD13" s="530" t="s">
        <v>1457</v>
      </c>
      <c r="AE13" s="443">
        <f t="shared" si="1"/>
        <v>688</v>
      </c>
      <c r="AF13" s="423">
        <v>688</v>
      </c>
      <c r="AG13" s="8">
        <f t="shared" si="2"/>
        <v>756.8</v>
      </c>
      <c r="AH13">
        <f t="shared" si="3"/>
        <v>825.6</v>
      </c>
      <c r="AI13">
        <f t="shared" si="4"/>
        <v>1032</v>
      </c>
      <c r="AJ13">
        <f t="shared" si="5"/>
        <v>722.4</v>
      </c>
      <c r="AK13">
        <f t="shared" si="6"/>
        <v>860</v>
      </c>
    </row>
    <row r="14" spans="1:37" ht="24" customHeight="1">
      <c r="A14" s="220">
        <f t="shared" si="7"/>
        <v>5</v>
      </c>
      <c r="B14" s="530" t="s">
        <v>1458</v>
      </c>
      <c r="C14" s="222">
        <f>AE13</f>
        <v>688</v>
      </c>
      <c r="D14" s="222">
        <f>AE14</f>
        <v>666</v>
      </c>
      <c r="H14" s="1" t="s">
        <v>1459</v>
      </c>
      <c r="K14" s="39">
        <f>SUM(K9:K12)</f>
        <v>7222.42</v>
      </c>
      <c r="N14" s="8">
        <f>SUM(K9:K12)</f>
        <v>7222.42</v>
      </c>
      <c r="O14" s="1" t="s">
        <v>1459</v>
      </c>
      <c r="R14" s="8">
        <f>SUM(R9:R12)</f>
        <v>2129.8200000000002</v>
      </c>
      <c r="T14" s="2" t="s">
        <v>1937</v>
      </c>
      <c r="U14" s="1" t="s">
        <v>110</v>
      </c>
      <c r="V14" s="1" t="s">
        <v>833</v>
      </c>
      <c r="W14" s="826" t="str">
        <f t="shared" si="8"/>
        <v>Karuthamalai</v>
      </c>
      <c r="X14" s="8">
        <f>X11</f>
        <v>14</v>
      </c>
      <c r="Y14" s="423">
        <v>1432</v>
      </c>
      <c r="Z14" s="835">
        <f>Z13</f>
        <v>149.38</v>
      </c>
      <c r="AA14" s="2"/>
      <c r="AB14" s="11">
        <v>0</v>
      </c>
      <c r="AC14" s="1">
        <f t="shared" si="0"/>
        <v>1581.38</v>
      </c>
      <c r="AD14" s="530" t="s">
        <v>111</v>
      </c>
      <c r="AE14" s="443">
        <f t="shared" si="1"/>
        <v>666</v>
      </c>
      <c r="AF14" s="423">
        <v>666</v>
      </c>
      <c r="AG14" s="8">
        <f t="shared" si="2"/>
        <v>732.6</v>
      </c>
      <c r="AH14">
        <f t="shared" si="3"/>
        <v>799.2</v>
      </c>
      <c r="AI14">
        <f t="shared" si="4"/>
        <v>999</v>
      </c>
      <c r="AJ14">
        <f t="shared" si="5"/>
        <v>699.3</v>
      </c>
      <c r="AK14">
        <f t="shared" si="6"/>
        <v>832.5</v>
      </c>
    </row>
    <row r="15" spans="1:37" ht="24" customHeight="1">
      <c r="A15" s="220">
        <f t="shared" si="7"/>
        <v>6</v>
      </c>
      <c r="B15" s="530" t="s">
        <v>112</v>
      </c>
      <c r="C15" s="222">
        <f>AE15</f>
        <v>747</v>
      </c>
      <c r="D15" s="221" t="s">
        <v>835</v>
      </c>
      <c r="K15" s="5" t="s">
        <v>1530</v>
      </c>
      <c r="R15" s="5" t="s">
        <v>1530</v>
      </c>
      <c r="T15" s="2" t="s">
        <v>113</v>
      </c>
      <c r="U15" s="1" t="s">
        <v>114</v>
      </c>
      <c r="V15" s="1" t="s">
        <v>833</v>
      </c>
      <c r="W15" s="826" t="str">
        <f t="shared" si="8"/>
        <v>Karuthamalai</v>
      </c>
      <c r="X15" s="8">
        <f>X11</f>
        <v>14</v>
      </c>
      <c r="Y15" s="423">
        <v>1029</v>
      </c>
      <c r="Z15" s="835">
        <f>Z14</f>
        <v>149.38</v>
      </c>
      <c r="AA15" s="2"/>
      <c r="AB15" s="11">
        <v>0</v>
      </c>
      <c r="AC15" s="1">
        <f t="shared" si="0"/>
        <v>1178.3800000000001</v>
      </c>
      <c r="AD15" s="530" t="s">
        <v>115</v>
      </c>
      <c r="AE15" s="443">
        <f t="shared" si="1"/>
        <v>747</v>
      </c>
      <c r="AF15" s="423">
        <v>747</v>
      </c>
      <c r="AG15" s="8">
        <f t="shared" si="2"/>
        <v>821.7</v>
      </c>
      <c r="AH15">
        <f t="shared" si="3"/>
        <v>896.4</v>
      </c>
      <c r="AI15">
        <f t="shared" si="4"/>
        <v>1120.5</v>
      </c>
      <c r="AJ15">
        <f t="shared" si="5"/>
        <v>784.35</v>
      </c>
      <c r="AK15">
        <f t="shared" si="6"/>
        <v>933.75</v>
      </c>
    </row>
    <row r="16" spans="1:37" ht="46.5" customHeight="1">
      <c r="A16" s="220">
        <f t="shared" si="7"/>
        <v>7</v>
      </c>
      <c r="B16" s="530" t="s">
        <v>116</v>
      </c>
      <c r="C16" s="222">
        <f>AE19</f>
        <v>842</v>
      </c>
      <c r="D16" s="222">
        <f>AE20</f>
        <v>804</v>
      </c>
      <c r="G16" s="7" t="s">
        <v>2167</v>
      </c>
      <c r="H16" s="1" t="s">
        <v>117</v>
      </c>
      <c r="N16" s="1" t="s">
        <v>2167</v>
      </c>
      <c r="O16" s="1" t="s">
        <v>118</v>
      </c>
      <c r="T16" s="2" t="s">
        <v>119</v>
      </c>
      <c r="U16" s="1" t="s">
        <v>4458</v>
      </c>
      <c r="V16" s="1" t="s">
        <v>833</v>
      </c>
      <c r="W16" s="961" t="s">
        <v>4992</v>
      </c>
      <c r="X16" s="8">
        <f>'lead  charge'!D11</f>
        <v>11</v>
      </c>
      <c r="Y16" s="440">
        <f>Y49</f>
        <v>1280</v>
      </c>
      <c r="Z16" s="835">
        <f>'lead  charge'!E11</f>
        <v>120.82</v>
      </c>
      <c r="AA16" s="2"/>
      <c r="AB16" s="11">
        <v>0</v>
      </c>
      <c r="AC16" s="1">
        <f t="shared" si="0"/>
        <v>1400.82</v>
      </c>
      <c r="AD16" s="530" t="s">
        <v>2157</v>
      </c>
      <c r="AE16" s="443">
        <f t="shared" si="1"/>
        <v>724</v>
      </c>
      <c r="AF16" s="423">
        <v>724</v>
      </c>
      <c r="AG16" s="8">
        <f t="shared" si="2"/>
        <v>796.4</v>
      </c>
      <c r="AH16">
        <f t="shared" si="3"/>
        <v>868.8</v>
      </c>
      <c r="AI16">
        <f t="shared" si="4"/>
        <v>1086</v>
      </c>
      <c r="AJ16">
        <f t="shared" si="5"/>
        <v>760.2</v>
      </c>
      <c r="AK16">
        <f t="shared" si="6"/>
        <v>905</v>
      </c>
    </row>
    <row r="17" spans="1:37" ht="46.5" customHeight="1">
      <c r="A17" s="220">
        <f t="shared" si="7"/>
        <v>8</v>
      </c>
      <c r="B17" s="530" t="s">
        <v>3914</v>
      </c>
      <c r="C17" s="222">
        <f>AE17</f>
        <v>760</v>
      </c>
      <c r="D17" s="222">
        <f>AE18</f>
        <v>739</v>
      </c>
      <c r="H17" s="5" t="s">
        <v>1530</v>
      </c>
      <c r="O17" s="1" t="s">
        <v>1000</v>
      </c>
      <c r="T17" s="2" t="s">
        <v>1001</v>
      </c>
      <c r="U17" s="1" t="s">
        <v>1002</v>
      </c>
      <c r="V17" s="1" t="s">
        <v>833</v>
      </c>
      <c r="W17" s="961" t="str">
        <f>W16</f>
        <v>NCM  M-Sand unit,Shanmugasundarapuram village,Aundipatty taluk.</v>
      </c>
      <c r="X17" s="8">
        <f>X16</f>
        <v>11</v>
      </c>
      <c r="Y17" s="440">
        <f>Y16</f>
        <v>1280</v>
      </c>
      <c r="Z17" s="835">
        <f>Z16</f>
        <v>120.82</v>
      </c>
      <c r="AA17" s="2"/>
      <c r="AB17" s="11">
        <v>0</v>
      </c>
      <c r="AC17" s="1">
        <f t="shared" si="0"/>
        <v>1400.82</v>
      </c>
      <c r="AD17" s="530" t="s">
        <v>1003</v>
      </c>
      <c r="AE17" s="443">
        <f t="shared" si="1"/>
        <v>760</v>
      </c>
      <c r="AF17" s="423">
        <v>760</v>
      </c>
      <c r="AG17" s="8">
        <f t="shared" si="2"/>
        <v>836</v>
      </c>
      <c r="AH17">
        <f t="shared" si="3"/>
        <v>912</v>
      </c>
      <c r="AI17">
        <f t="shared" si="4"/>
        <v>1140</v>
      </c>
      <c r="AJ17">
        <f t="shared" si="5"/>
        <v>798</v>
      </c>
      <c r="AK17">
        <f t="shared" si="6"/>
        <v>950</v>
      </c>
    </row>
    <row r="18" spans="1:37" ht="24" customHeight="1">
      <c r="A18" s="220">
        <f t="shared" si="7"/>
        <v>9</v>
      </c>
      <c r="B18" s="530" t="s">
        <v>3915</v>
      </c>
      <c r="C18" s="222">
        <f>AE24</f>
        <v>100</v>
      </c>
      <c r="D18" s="221" t="s">
        <v>1005</v>
      </c>
      <c r="F18" s="8">
        <v>0.72</v>
      </c>
      <c r="G18" s="7" t="s">
        <v>828</v>
      </c>
      <c r="H18" s="1" t="s">
        <v>829</v>
      </c>
      <c r="I18" s="8">
        <f>(C70)</f>
        <v>5960</v>
      </c>
      <c r="J18" s="1" t="s">
        <v>828</v>
      </c>
      <c r="K18" s="8">
        <f>(F18*I18)</f>
        <v>4291.2</v>
      </c>
      <c r="O18" s="1" t="s">
        <v>1386</v>
      </c>
      <c r="T18" s="2" t="s">
        <v>1387</v>
      </c>
      <c r="U18" s="1" t="s">
        <v>4459</v>
      </c>
      <c r="V18" s="1" t="s">
        <v>1388</v>
      </c>
      <c r="W18" s="826" t="s">
        <v>4978</v>
      </c>
      <c r="X18" s="8">
        <f>'lead  charge'!G10</f>
        <v>3</v>
      </c>
      <c r="Y18" s="423">
        <v>5570</v>
      </c>
      <c r="Z18" s="835">
        <f>'lead  charge'!H10</f>
        <v>28.17</v>
      </c>
      <c r="AA18" s="2"/>
      <c r="AB18" s="11">
        <v>0</v>
      </c>
      <c r="AC18" s="1">
        <f t="shared" si="0"/>
        <v>5598.17</v>
      </c>
      <c r="AD18" s="530" t="s">
        <v>1389</v>
      </c>
      <c r="AE18" s="443">
        <f t="shared" si="1"/>
        <v>739</v>
      </c>
      <c r="AF18" s="423">
        <v>739</v>
      </c>
      <c r="AG18" s="8">
        <f t="shared" si="2"/>
        <v>812.9</v>
      </c>
      <c r="AH18">
        <f t="shared" si="3"/>
        <v>886.8</v>
      </c>
      <c r="AI18">
        <f t="shared" si="4"/>
        <v>1108.5</v>
      </c>
      <c r="AJ18">
        <f t="shared" si="5"/>
        <v>775.95</v>
      </c>
      <c r="AK18">
        <f t="shared" si="6"/>
        <v>923.75</v>
      </c>
    </row>
    <row r="19" spans="1:37" ht="24" customHeight="1">
      <c r="A19" s="220">
        <f t="shared" si="7"/>
        <v>10</v>
      </c>
      <c r="B19" s="530" t="s">
        <v>4477</v>
      </c>
      <c r="C19" s="52">
        <f t="shared" ref="C19:C24" si="9">AE44</f>
        <v>68</v>
      </c>
      <c r="D19" s="221" t="s">
        <v>836</v>
      </c>
      <c r="F19" s="8">
        <v>1</v>
      </c>
      <c r="G19" s="7" t="s">
        <v>836</v>
      </c>
      <c r="H19" s="1" t="s">
        <v>837</v>
      </c>
      <c r="I19" s="8">
        <f>I36</f>
        <v>1400.82</v>
      </c>
      <c r="J19" s="1" t="s">
        <v>836</v>
      </c>
      <c r="K19" s="8">
        <f>(F19*I19)</f>
        <v>1400.82</v>
      </c>
      <c r="O19" s="1" t="s">
        <v>70</v>
      </c>
      <c r="T19" s="2" t="s">
        <v>71</v>
      </c>
      <c r="U19" s="1" t="s">
        <v>4460</v>
      </c>
      <c r="V19" s="1" t="s">
        <v>836</v>
      </c>
      <c r="W19" s="827" t="str">
        <f>W18</f>
        <v>Varataru</v>
      </c>
      <c r="X19" s="8">
        <f>'lead  charge'!P10</f>
        <v>3</v>
      </c>
      <c r="Y19" s="423">
        <v>688</v>
      </c>
      <c r="Z19" s="836">
        <f>'lead  charge'!Q10</f>
        <v>22.92</v>
      </c>
      <c r="AA19" s="2"/>
      <c r="AB19" s="11">
        <v>0</v>
      </c>
      <c r="AC19" s="1">
        <f t="shared" si="0"/>
        <v>710.92</v>
      </c>
      <c r="AD19" s="530" t="s">
        <v>73</v>
      </c>
      <c r="AE19" s="443">
        <f t="shared" si="1"/>
        <v>842</v>
      </c>
      <c r="AF19" s="423">
        <v>842</v>
      </c>
      <c r="AG19" s="8">
        <f t="shared" si="2"/>
        <v>926.2</v>
      </c>
      <c r="AH19">
        <f t="shared" si="3"/>
        <v>1010.4</v>
      </c>
      <c r="AI19">
        <f t="shared" si="4"/>
        <v>1263</v>
      </c>
      <c r="AJ19">
        <f t="shared" si="5"/>
        <v>884.1</v>
      </c>
      <c r="AK19">
        <f t="shared" si="6"/>
        <v>1052.5</v>
      </c>
    </row>
    <row r="20" spans="1:37" ht="24" customHeight="1">
      <c r="A20" s="220">
        <f t="shared" si="7"/>
        <v>11</v>
      </c>
      <c r="B20" s="530" t="s">
        <v>349</v>
      </c>
      <c r="C20" s="52">
        <f t="shared" si="9"/>
        <v>137.19999999999999</v>
      </c>
      <c r="D20" s="221" t="s">
        <v>836</v>
      </c>
      <c r="F20" s="8">
        <v>1</v>
      </c>
      <c r="G20" s="7" t="s">
        <v>836</v>
      </c>
      <c r="H20" s="1" t="s">
        <v>841</v>
      </c>
      <c r="I20" s="8">
        <f>(C18)</f>
        <v>100</v>
      </c>
      <c r="J20" s="1" t="s">
        <v>836</v>
      </c>
      <c r="K20" s="8">
        <f>(F20*I20)</f>
        <v>100</v>
      </c>
      <c r="O20" s="1" t="s">
        <v>1013</v>
      </c>
      <c r="T20" s="2" t="s">
        <v>1903</v>
      </c>
      <c r="U20" s="1" t="s">
        <v>1904</v>
      </c>
      <c r="V20" s="1" t="s">
        <v>836</v>
      </c>
      <c r="W20" s="827" t="str">
        <f>W18</f>
        <v>Varataru</v>
      </c>
      <c r="X20" s="8">
        <f>X19</f>
        <v>3</v>
      </c>
      <c r="Y20" s="423">
        <v>767</v>
      </c>
      <c r="Z20" s="835">
        <f>Z19</f>
        <v>22.92</v>
      </c>
      <c r="AA20" s="2"/>
      <c r="AB20" s="11">
        <v>0</v>
      </c>
      <c r="AC20" s="1">
        <f t="shared" si="0"/>
        <v>789.92</v>
      </c>
      <c r="AD20" s="530" t="s">
        <v>1905</v>
      </c>
      <c r="AE20" s="443">
        <f t="shared" si="1"/>
        <v>804</v>
      </c>
      <c r="AF20" s="423">
        <v>804</v>
      </c>
      <c r="AG20" s="8">
        <f t="shared" si="2"/>
        <v>884.4</v>
      </c>
      <c r="AH20">
        <f t="shared" si="3"/>
        <v>964.8</v>
      </c>
      <c r="AI20">
        <f t="shared" si="4"/>
        <v>1206</v>
      </c>
      <c r="AJ20">
        <f t="shared" si="5"/>
        <v>844.2</v>
      </c>
      <c r="AK20">
        <f t="shared" si="6"/>
        <v>1005</v>
      </c>
    </row>
    <row r="21" spans="1:37" ht="24" customHeight="1">
      <c r="A21" s="220">
        <f t="shared" si="7"/>
        <v>12</v>
      </c>
      <c r="B21" s="530" t="s">
        <v>2178</v>
      </c>
      <c r="C21" s="52">
        <f t="shared" si="9"/>
        <v>137.19999999999999</v>
      </c>
      <c r="D21" s="221" t="s">
        <v>836</v>
      </c>
      <c r="G21" s="7" t="s">
        <v>419</v>
      </c>
      <c r="H21" s="1" t="s">
        <v>420</v>
      </c>
      <c r="I21" s="1" t="s">
        <v>940</v>
      </c>
      <c r="J21" s="1" t="s">
        <v>419</v>
      </c>
      <c r="K21" s="8">
        <v>0</v>
      </c>
      <c r="O21" s="5" t="s">
        <v>1530</v>
      </c>
      <c r="T21" s="2" t="s">
        <v>2179</v>
      </c>
      <c r="U21" s="1" t="s">
        <v>4461</v>
      </c>
      <c r="V21" s="1" t="s">
        <v>1388</v>
      </c>
      <c r="W21" s="826" t="s">
        <v>2181</v>
      </c>
      <c r="X21" s="8">
        <f>'lead  charge'!J12</f>
        <v>0</v>
      </c>
      <c r="Y21" s="423">
        <v>16106</v>
      </c>
      <c r="Z21" s="835">
        <f>'lead  charge'!K11</f>
        <v>0</v>
      </c>
      <c r="AA21" s="2"/>
      <c r="AB21" s="11">
        <v>0</v>
      </c>
      <c r="AC21" s="1">
        <f t="shared" si="0"/>
        <v>16106</v>
      </c>
      <c r="AD21" s="530" t="s">
        <v>2182</v>
      </c>
      <c r="AE21" s="443">
        <f t="shared" si="1"/>
        <v>661</v>
      </c>
      <c r="AF21" s="423">
        <v>661</v>
      </c>
      <c r="AG21" s="8">
        <f t="shared" si="2"/>
        <v>727.1</v>
      </c>
      <c r="AH21">
        <f t="shared" si="3"/>
        <v>793.2</v>
      </c>
      <c r="AI21">
        <f t="shared" si="4"/>
        <v>991.5</v>
      </c>
      <c r="AJ21">
        <f t="shared" si="5"/>
        <v>694.05</v>
      </c>
      <c r="AK21">
        <f t="shared" si="6"/>
        <v>826.25</v>
      </c>
    </row>
    <row r="22" spans="1:37" ht="24" customHeight="1">
      <c r="A22" s="220">
        <f t="shared" si="7"/>
        <v>13</v>
      </c>
      <c r="B22" s="530" t="s">
        <v>4478</v>
      </c>
      <c r="C22" s="52">
        <f t="shared" si="9"/>
        <v>103.3</v>
      </c>
      <c r="D22" s="221" t="s">
        <v>836</v>
      </c>
      <c r="K22" s="5" t="s">
        <v>1530</v>
      </c>
      <c r="M22" s="8">
        <v>1</v>
      </c>
      <c r="N22" s="1" t="s">
        <v>836</v>
      </c>
      <c r="O22" s="1" t="s">
        <v>1931</v>
      </c>
      <c r="P22" s="8">
        <f>C82</f>
        <v>1400.82</v>
      </c>
      <c r="Q22" s="1" t="s">
        <v>836</v>
      </c>
      <c r="R22" s="8">
        <f>(M22*P22)</f>
        <v>1400.82</v>
      </c>
      <c r="T22" s="2" t="s">
        <v>1932</v>
      </c>
      <c r="U22" s="1" t="s">
        <v>4462</v>
      </c>
      <c r="V22" s="1" t="s">
        <v>833</v>
      </c>
      <c r="W22" s="828" t="s">
        <v>2181</v>
      </c>
      <c r="X22" s="8"/>
      <c r="Y22" s="423">
        <v>1322</v>
      </c>
      <c r="Z22" s="835"/>
      <c r="AA22" s="2"/>
      <c r="AB22" s="11">
        <v>0</v>
      </c>
      <c r="AC22" s="1">
        <f t="shared" si="0"/>
        <v>1322</v>
      </c>
      <c r="AD22" s="530" t="s">
        <v>1934</v>
      </c>
      <c r="AE22" s="443">
        <f t="shared" si="1"/>
        <v>637</v>
      </c>
      <c r="AF22" s="423">
        <v>637</v>
      </c>
      <c r="AG22" s="8">
        <f t="shared" si="2"/>
        <v>700.7</v>
      </c>
      <c r="AH22">
        <f t="shared" si="3"/>
        <v>764.4</v>
      </c>
      <c r="AI22">
        <f t="shared" si="4"/>
        <v>955.5</v>
      </c>
      <c r="AJ22">
        <f t="shared" si="5"/>
        <v>668.85</v>
      </c>
      <c r="AK22">
        <f t="shared" si="6"/>
        <v>796.25</v>
      </c>
    </row>
    <row r="23" spans="1:37" ht="24" customHeight="1">
      <c r="A23" s="220">
        <f t="shared" si="7"/>
        <v>14</v>
      </c>
      <c r="B23" s="530" t="s">
        <v>268</v>
      </c>
      <c r="C23" s="52">
        <f t="shared" si="9"/>
        <v>203.5</v>
      </c>
      <c r="D23" s="221" t="s">
        <v>836</v>
      </c>
      <c r="H23" s="1" t="s">
        <v>1459</v>
      </c>
      <c r="K23" s="39">
        <f>SUM(K18:K21)</f>
        <v>5792.02</v>
      </c>
      <c r="M23" s="8">
        <v>1</v>
      </c>
      <c r="N23" s="1" t="s">
        <v>836</v>
      </c>
      <c r="O23" s="1" t="s">
        <v>269</v>
      </c>
      <c r="P23" s="8">
        <f>C88</f>
        <v>974</v>
      </c>
      <c r="Q23" s="1" t="s">
        <v>836</v>
      </c>
      <c r="R23" s="8">
        <f>(M23*P23)</f>
        <v>974</v>
      </c>
      <c r="T23" s="2" t="s">
        <v>796</v>
      </c>
      <c r="U23" s="1" t="s">
        <v>4463</v>
      </c>
      <c r="V23" s="1" t="s">
        <v>833</v>
      </c>
      <c r="W23" s="828" t="s">
        <v>4549</v>
      </c>
      <c r="X23" s="8">
        <f>'lead  charge'!P11</f>
        <v>0</v>
      </c>
      <c r="Y23" s="423">
        <v>974</v>
      </c>
      <c r="Z23" s="835">
        <f>'lead  charge'!Q11</f>
        <v>0</v>
      </c>
      <c r="AA23" s="2"/>
      <c r="AB23" s="11">
        <v>0</v>
      </c>
      <c r="AC23" s="1">
        <f t="shared" si="0"/>
        <v>974</v>
      </c>
      <c r="AD23" s="530" t="s">
        <v>798</v>
      </c>
      <c r="AE23" s="443">
        <f t="shared" si="1"/>
        <v>663</v>
      </c>
      <c r="AF23" s="423">
        <v>663</v>
      </c>
      <c r="AG23" s="8">
        <f t="shared" si="2"/>
        <v>729.3</v>
      </c>
      <c r="AH23">
        <f t="shared" si="3"/>
        <v>795.6</v>
      </c>
      <c r="AI23">
        <f t="shared" si="4"/>
        <v>994.5</v>
      </c>
      <c r="AJ23">
        <f t="shared" si="5"/>
        <v>696.15</v>
      </c>
      <c r="AK23">
        <f t="shared" si="6"/>
        <v>828.75</v>
      </c>
    </row>
    <row r="24" spans="1:37" ht="24" customHeight="1">
      <c r="A24" s="220">
        <f t="shared" si="7"/>
        <v>15</v>
      </c>
      <c r="B24" s="530" t="s">
        <v>799</v>
      </c>
      <c r="C24" s="52">
        <f t="shared" si="9"/>
        <v>203.5</v>
      </c>
      <c r="D24" s="221" t="s">
        <v>836</v>
      </c>
      <c r="K24" s="5" t="s">
        <v>1530</v>
      </c>
      <c r="M24" s="8">
        <v>1.5</v>
      </c>
      <c r="N24" s="1" t="s">
        <v>836</v>
      </c>
      <c r="O24" s="1" t="s">
        <v>1730</v>
      </c>
      <c r="P24" s="8">
        <f>C18</f>
        <v>100</v>
      </c>
      <c r="Q24" s="1" t="s">
        <v>836</v>
      </c>
      <c r="R24" s="8">
        <f>(M24*P24)</f>
        <v>150</v>
      </c>
      <c r="T24" s="2" t="s">
        <v>1731</v>
      </c>
      <c r="U24" s="1" t="s">
        <v>4464</v>
      </c>
      <c r="V24" s="1" t="s">
        <v>833</v>
      </c>
      <c r="W24" s="826" t="s">
        <v>1732</v>
      </c>
      <c r="X24">
        <f>X25</f>
        <v>0</v>
      </c>
      <c r="Y24" s="423">
        <v>34300</v>
      </c>
      <c r="Z24" s="837">
        <f>Z25</f>
        <v>0</v>
      </c>
      <c r="AA24" s="4"/>
      <c r="AB24" s="11">
        <v>0</v>
      </c>
      <c r="AC24" s="1">
        <f t="shared" si="0"/>
        <v>34300</v>
      </c>
      <c r="AD24" s="1" t="s">
        <v>4639</v>
      </c>
      <c r="AE24" s="443">
        <f t="shared" si="1"/>
        <v>100</v>
      </c>
      <c r="AF24" s="423">
        <v>100</v>
      </c>
      <c r="AG24" s="8">
        <f t="shared" si="2"/>
        <v>110</v>
      </c>
      <c r="AH24">
        <f t="shared" si="3"/>
        <v>120</v>
      </c>
      <c r="AI24">
        <f t="shared" si="4"/>
        <v>150</v>
      </c>
      <c r="AJ24">
        <f t="shared" si="5"/>
        <v>105</v>
      </c>
      <c r="AK24">
        <f t="shared" si="6"/>
        <v>125</v>
      </c>
    </row>
    <row r="25" spans="1:37" ht="24" customHeight="1">
      <c r="A25" s="220">
        <f t="shared" si="7"/>
        <v>16</v>
      </c>
      <c r="B25" s="530" t="s">
        <v>3916</v>
      </c>
      <c r="C25" s="222">
        <f>AE25</f>
        <v>81.3</v>
      </c>
      <c r="D25" s="221" t="s">
        <v>836</v>
      </c>
      <c r="G25" s="7" t="s">
        <v>2167</v>
      </c>
      <c r="H25" s="1" t="s">
        <v>1301</v>
      </c>
      <c r="M25" s="8">
        <v>1.5</v>
      </c>
      <c r="N25" s="1" t="s">
        <v>836</v>
      </c>
      <c r="O25" s="1" t="s">
        <v>1302</v>
      </c>
      <c r="P25" s="8">
        <f>C27</f>
        <v>29.5</v>
      </c>
      <c r="Q25" s="1" t="s">
        <v>836</v>
      </c>
      <c r="R25" s="8">
        <f>(M25*P25)</f>
        <v>44.25</v>
      </c>
      <c r="T25" s="2" t="s">
        <v>1303</v>
      </c>
      <c r="U25" s="80" t="s">
        <v>1304</v>
      </c>
      <c r="V25" s="1" t="s">
        <v>833</v>
      </c>
      <c r="W25" s="828" t="s">
        <v>1732</v>
      </c>
      <c r="X25">
        <f>'lead  charge'!P12</f>
        <v>0</v>
      </c>
      <c r="Y25" s="423">
        <v>39400</v>
      </c>
      <c r="Z25" s="837">
        <f>'lead  charge'!Q12</f>
        <v>0</v>
      </c>
      <c r="AA25" s="4"/>
      <c r="AB25" s="11">
        <v>0</v>
      </c>
      <c r="AC25" s="1">
        <f>SUM(Y25+Z25+AA25+AB25)</f>
        <v>39400</v>
      </c>
      <c r="AD25" s="1" t="s">
        <v>4640</v>
      </c>
      <c r="AE25" s="443">
        <f t="shared" si="1"/>
        <v>81.3</v>
      </c>
      <c r="AF25" s="423">
        <v>81.3</v>
      </c>
      <c r="AG25" s="8">
        <f t="shared" si="2"/>
        <v>89.43</v>
      </c>
      <c r="AH25">
        <f t="shared" si="3"/>
        <v>97.56</v>
      </c>
      <c r="AI25">
        <f t="shared" si="4"/>
        <v>121.95</v>
      </c>
      <c r="AJ25">
        <f t="shared" si="5"/>
        <v>85.37</v>
      </c>
      <c r="AK25">
        <f t="shared" si="6"/>
        <v>101.63</v>
      </c>
    </row>
    <row r="26" spans="1:37" ht="24" customHeight="1">
      <c r="A26" s="220">
        <f t="shared" si="7"/>
        <v>17</v>
      </c>
      <c r="B26" s="530" t="s">
        <v>3917</v>
      </c>
      <c r="C26" s="222">
        <f>AE28</f>
        <v>33.6</v>
      </c>
      <c r="D26" s="221" t="s">
        <v>1970</v>
      </c>
      <c r="H26" s="5" t="s">
        <v>1530</v>
      </c>
      <c r="N26" s="1" t="s">
        <v>419</v>
      </c>
      <c r="O26" s="1" t="s">
        <v>420</v>
      </c>
      <c r="P26" s="1" t="s">
        <v>940</v>
      </c>
      <c r="Q26" s="1" t="s">
        <v>419</v>
      </c>
      <c r="R26" s="8">
        <v>0</v>
      </c>
      <c r="T26" s="2" t="s">
        <v>1971</v>
      </c>
      <c r="U26" s="1" t="s">
        <v>4465</v>
      </c>
      <c r="V26" s="1" t="s">
        <v>833</v>
      </c>
      <c r="W26" s="828" t="s">
        <v>1732</v>
      </c>
      <c r="X26">
        <f>X25</f>
        <v>0</v>
      </c>
      <c r="Y26" s="423">
        <v>111600</v>
      </c>
      <c r="Z26" s="837">
        <f>'lead  charge'!Q12</f>
        <v>0</v>
      </c>
      <c r="AA26" s="4"/>
      <c r="AB26" s="11">
        <v>0</v>
      </c>
      <c r="AC26" s="1">
        <f>SUM(Y26+Z26+AA26+AB26)</f>
        <v>111600</v>
      </c>
      <c r="AD26" s="1" t="s">
        <v>4641</v>
      </c>
      <c r="AE26" s="443">
        <f t="shared" si="1"/>
        <v>60.2</v>
      </c>
      <c r="AF26" s="423">
        <v>60.2</v>
      </c>
      <c r="AG26" s="8">
        <f t="shared" si="2"/>
        <v>66.22</v>
      </c>
      <c r="AH26">
        <f t="shared" si="3"/>
        <v>72.239999999999995</v>
      </c>
      <c r="AI26">
        <f t="shared" si="4"/>
        <v>90.3</v>
      </c>
      <c r="AJ26">
        <f t="shared" si="5"/>
        <v>63.21</v>
      </c>
      <c r="AK26">
        <f t="shared" si="6"/>
        <v>75.25</v>
      </c>
    </row>
    <row r="27" spans="1:37" ht="24" customHeight="1">
      <c r="A27" s="220">
        <f t="shared" si="7"/>
        <v>18</v>
      </c>
      <c r="B27" s="530" t="s">
        <v>3918</v>
      </c>
      <c r="C27" s="222">
        <f>AE27</f>
        <v>29.5</v>
      </c>
      <c r="D27" s="221" t="s">
        <v>1970</v>
      </c>
      <c r="E27" s="440">
        <f>(66.4+88.7+101.7)/3</f>
        <v>85.6</v>
      </c>
      <c r="F27" s="8">
        <v>0.48</v>
      </c>
      <c r="G27" s="7" t="s">
        <v>828</v>
      </c>
      <c r="H27" s="1" t="s">
        <v>829</v>
      </c>
      <c r="I27" s="8">
        <f>(C70)</f>
        <v>5960</v>
      </c>
      <c r="J27" s="1" t="s">
        <v>828</v>
      </c>
      <c r="K27" s="8">
        <f>(F27*I27)</f>
        <v>2860.8</v>
      </c>
      <c r="R27" s="5" t="s">
        <v>1530</v>
      </c>
      <c r="T27" s="2" t="s">
        <v>1433</v>
      </c>
      <c r="U27" s="1" t="s">
        <v>4466</v>
      </c>
      <c r="V27" s="1" t="s">
        <v>833</v>
      </c>
      <c r="W27" s="828" t="s">
        <v>1732</v>
      </c>
      <c r="X27">
        <f>X26</f>
        <v>0</v>
      </c>
      <c r="Y27" s="423">
        <v>99400</v>
      </c>
      <c r="Z27" s="837">
        <f>Z26</f>
        <v>0</v>
      </c>
      <c r="AA27" s="4"/>
      <c r="AB27" s="11">
        <v>0</v>
      </c>
      <c r="AC27" s="1">
        <f>SUM(Y27+Z27+AA27+AB27)</f>
        <v>99400</v>
      </c>
      <c r="AD27" s="1" t="s">
        <v>4642</v>
      </c>
      <c r="AE27" s="443">
        <f t="shared" si="1"/>
        <v>29.5</v>
      </c>
      <c r="AF27" s="423">
        <v>29.5</v>
      </c>
      <c r="AG27" s="8">
        <f t="shared" si="2"/>
        <v>32.450000000000003</v>
      </c>
      <c r="AH27">
        <f t="shared" si="3"/>
        <v>35.4</v>
      </c>
      <c r="AI27">
        <f t="shared" si="4"/>
        <v>44.25</v>
      </c>
      <c r="AJ27">
        <f t="shared" si="5"/>
        <v>30.98</v>
      </c>
      <c r="AK27">
        <f t="shared" si="6"/>
        <v>36.880000000000003</v>
      </c>
    </row>
    <row r="28" spans="1:37" ht="24" customHeight="1">
      <c r="A28" s="220">
        <f t="shared" si="7"/>
        <v>19</v>
      </c>
      <c r="B28" s="1" t="s">
        <v>4658</v>
      </c>
      <c r="C28" s="539">
        <f>E27</f>
        <v>85.6</v>
      </c>
      <c r="D28" s="221" t="s">
        <v>419</v>
      </c>
      <c r="E28">
        <v>254.4</v>
      </c>
      <c r="F28" s="8">
        <v>1</v>
      </c>
      <c r="G28" s="7" t="s">
        <v>836</v>
      </c>
      <c r="H28" s="1" t="s">
        <v>837</v>
      </c>
      <c r="I28" s="8">
        <f>(C81)</f>
        <v>1400.82</v>
      </c>
      <c r="J28" s="1" t="s">
        <v>836</v>
      </c>
      <c r="K28" s="8">
        <f>(F28*I28)</f>
        <v>1400.82</v>
      </c>
      <c r="O28" s="1" t="s">
        <v>164</v>
      </c>
      <c r="R28" s="8">
        <f>SUM(R22:R26)</f>
        <v>2569.0700000000002</v>
      </c>
      <c r="T28" s="2" t="s">
        <v>852</v>
      </c>
      <c r="U28" s="1" t="s">
        <v>4467</v>
      </c>
      <c r="V28" s="1" t="s">
        <v>833</v>
      </c>
      <c r="W28" s="828" t="s">
        <v>1732</v>
      </c>
      <c r="X28">
        <f>X27</f>
        <v>0</v>
      </c>
      <c r="Y28" s="423">
        <v>95000</v>
      </c>
      <c r="Z28" s="837">
        <f>Z27</f>
        <v>0</v>
      </c>
      <c r="AA28" s="4"/>
      <c r="AB28" s="11">
        <v>0</v>
      </c>
      <c r="AC28" s="1">
        <f>SUM(Y28+Z28+AA28+AB28)</f>
        <v>95000</v>
      </c>
      <c r="AD28" s="1" t="s">
        <v>4643</v>
      </c>
      <c r="AE28" s="443">
        <f t="shared" si="1"/>
        <v>33.6</v>
      </c>
      <c r="AF28" s="423">
        <v>33.6</v>
      </c>
      <c r="AG28" s="8">
        <f t="shared" si="2"/>
        <v>36.96</v>
      </c>
      <c r="AH28">
        <f t="shared" si="3"/>
        <v>40.32</v>
      </c>
      <c r="AI28">
        <f t="shared" si="4"/>
        <v>50.4</v>
      </c>
      <c r="AJ28">
        <f t="shared" si="5"/>
        <v>35.28</v>
      </c>
      <c r="AK28">
        <f t="shared" si="6"/>
        <v>42</v>
      </c>
    </row>
    <row r="29" spans="1:37" ht="24" customHeight="1">
      <c r="A29" s="220">
        <f t="shared" si="7"/>
        <v>20</v>
      </c>
      <c r="B29" s="530" t="s">
        <v>3919</v>
      </c>
      <c r="C29" s="222">
        <f>AE23</f>
        <v>663</v>
      </c>
      <c r="D29" s="221" t="s">
        <v>739</v>
      </c>
      <c r="E29">
        <f>E28/3</f>
        <v>84.8</v>
      </c>
      <c r="F29" s="8">
        <v>1</v>
      </c>
      <c r="G29" s="7" t="s">
        <v>836</v>
      </c>
      <c r="H29" s="1" t="s">
        <v>841</v>
      </c>
      <c r="I29" s="8">
        <f>(C18)</f>
        <v>100</v>
      </c>
      <c r="J29" s="1" t="s">
        <v>836</v>
      </c>
      <c r="K29" s="8">
        <f>(F29*I29)</f>
        <v>100</v>
      </c>
      <c r="R29" s="5" t="s">
        <v>1530</v>
      </c>
      <c r="T29" s="2" t="s">
        <v>740</v>
      </c>
      <c r="U29" s="1" t="s">
        <v>4468</v>
      </c>
      <c r="V29" s="1" t="s">
        <v>1388</v>
      </c>
      <c r="W29" s="827" t="str">
        <f>W18</f>
        <v>Varataru</v>
      </c>
      <c r="X29" s="8">
        <f>X18</f>
        <v>3</v>
      </c>
      <c r="Y29" s="423">
        <v>4195</v>
      </c>
      <c r="Z29" s="835">
        <f>'lead  charge'!H10</f>
        <v>28.17</v>
      </c>
      <c r="AA29" s="4"/>
      <c r="AB29" s="11">
        <v>0</v>
      </c>
      <c r="AC29" s="1">
        <f>SUM(Y29+Z29+AA29+AB29)</f>
        <v>4223.17</v>
      </c>
      <c r="AD29" s="1" t="s">
        <v>4644</v>
      </c>
      <c r="AE29" s="443">
        <f t="shared" si="1"/>
        <v>96.6</v>
      </c>
      <c r="AF29" s="423">
        <v>96.6</v>
      </c>
      <c r="AG29" s="8">
        <f t="shared" si="2"/>
        <v>106.26</v>
      </c>
      <c r="AH29">
        <f t="shared" si="3"/>
        <v>115.92</v>
      </c>
      <c r="AI29">
        <f t="shared" si="4"/>
        <v>144.9</v>
      </c>
      <c r="AJ29">
        <f t="shared" si="5"/>
        <v>101.43</v>
      </c>
      <c r="AK29">
        <f t="shared" si="6"/>
        <v>120.75</v>
      </c>
    </row>
    <row r="30" spans="1:37" ht="24" customHeight="1">
      <c r="A30" s="220">
        <f t="shared" si="7"/>
        <v>21</v>
      </c>
      <c r="B30" s="530" t="s">
        <v>3920</v>
      </c>
      <c r="C30" s="222">
        <f>AE33</f>
        <v>11800</v>
      </c>
      <c r="D30" s="746">
        <f>AE31</f>
        <v>1105</v>
      </c>
      <c r="G30" s="7" t="s">
        <v>419</v>
      </c>
      <c r="H30" s="1" t="s">
        <v>420</v>
      </c>
      <c r="I30" s="1" t="s">
        <v>940</v>
      </c>
      <c r="J30" s="1" t="s">
        <v>419</v>
      </c>
      <c r="K30" s="8">
        <v>0</v>
      </c>
      <c r="O30" s="1" t="s">
        <v>743</v>
      </c>
      <c r="R30" s="8">
        <f>(R28/1.5)</f>
        <v>1712.71</v>
      </c>
      <c r="T30" s="2" t="s">
        <v>2086</v>
      </c>
      <c r="U30" s="1" t="s">
        <v>4469</v>
      </c>
      <c r="V30" s="1" t="s">
        <v>1388</v>
      </c>
      <c r="W30" s="828" t="s">
        <v>1732</v>
      </c>
      <c r="X30" s="8"/>
      <c r="Y30" s="423">
        <v>11790</v>
      </c>
      <c r="Z30" s="835"/>
      <c r="AA30" s="2"/>
      <c r="AB30" s="11">
        <v>0</v>
      </c>
      <c r="AC30" s="1">
        <f t="shared" si="0"/>
        <v>11790</v>
      </c>
      <c r="AD30" s="1" t="s">
        <v>4645</v>
      </c>
      <c r="AE30" s="443">
        <f t="shared" si="1"/>
        <v>1325</v>
      </c>
      <c r="AF30" s="423">
        <v>1325</v>
      </c>
      <c r="AG30" s="8">
        <f t="shared" si="2"/>
        <v>1457.5</v>
      </c>
      <c r="AH30">
        <f t="shared" si="3"/>
        <v>1590</v>
      </c>
      <c r="AI30">
        <f t="shared" si="4"/>
        <v>1987.5</v>
      </c>
      <c r="AJ30">
        <f t="shared" si="5"/>
        <v>1391.25</v>
      </c>
      <c r="AK30">
        <f t="shared" si="6"/>
        <v>1656.25</v>
      </c>
    </row>
    <row r="31" spans="1:37" ht="24" customHeight="1">
      <c r="A31" s="220">
        <f t="shared" si="7"/>
        <v>22</v>
      </c>
      <c r="B31" s="530" t="s">
        <v>3921</v>
      </c>
      <c r="C31" s="222">
        <f>AE30</f>
        <v>1325</v>
      </c>
      <c r="D31" s="746">
        <f>AE32</f>
        <v>1239</v>
      </c>
      <c r="K31" s="5" t="s">
        <v>1530</v>
      </c>
      <c r="O31" s="1" t="s">
        <v>234</v>
      </c>
      <c r="R31" s="5" t="s">
        <v>1980</v>
      </c>
      <c r="T31" s="2" t="s">
        <v>19</v>
      </c>
      <c r="U31" s="1" t="s">
        <v>20</v>
      </c>
      <c r="V31" s="1" t="s">
        <v>828</v>
      </c>
      <c r="W31" s="826" t="s">
        <v>1732</v>
      </c>
      <c r="X31" s="8">
        <f>'lead  charge'!D14</f>
        <v>0</v>
      </c>
      <c r="Y31" s="423">
        <v>5960</v>
      </c>
      <c r="Z31" s="835">
        <f>'lead  charge'!E14</f>
        <v>0</v>
      </c>
      <c r="AA31" s="2"/>
      <c r="AB31" s="11"/>
      <c r="AC31" s="1">
        <f>SUM(Y31+Z31+AA31+AB31)</f>
        <v>5960</v>
      </c>
      <c r="AD31" s="1" t="s">
        <v>4646</v>
      </c>
      <c r="AE31" s="443">
        <f t="shared" si="1"/>
        <v>1105</v>
      </c>
      <c r="AF31" s="423">
        <v>1105</v>
      </c>
      <c r="AG31" s="8">
        <f t="shared" si="2"/>
        <v>1215.5</v>
      </c>
      <c r="AH31">
        <f t="shared" si="3"/>
        <v>1326</v>
      </c>
      <c r="AI31">
        <f t="shared" si="4"/>
        <v>1657.5</v>
      </c>
      <c r="AJ31">
        <f t="shared" si="5"/>
        <v>1160.25</v>
      </c>
      <c r="AK31">
        <f t="shared" si="6"/>
        <v>1381.25</v>
      </c>
    </row>
    <row r="32" spans="1:37" ht="24" customHeight="1">
      <c r="A32" s="220">
        <f t="shared" si="7"/>
        <v>23</v>
      </c>
      <c r="B32" s="530" t="s">
        <v>1735</v>
      </c>
      <c r="C32" s="162">
        <v>2.5</v>
      </c>
      <c r="D32" s="222">
        <f>AE34</f>
        <v>1035</v>
      </c>
      <c r="H32" s="1" t="s">
        <v>1459</v>
      </c>
      <c r="K32" s="39">
        <f>SUM(K27:K30)</f>
        <v>4361.62</v>
      </c>
      <c r="T32" s="2" t="s">
        <v>1736</v>
      </c>
      <c r="U32" s="1" t="s">
        <v>1737</v>
      </c>
      <c r="V32" s="1" t="s">
        <v>828</v>
      </c>
      <c r="W32" s="826" t="s">
        <v>2181</v>
      </c>
      <c r="X32" s="8">
        <f>'lead  charge'!D15</f>
        <v>0</v>
      </c>
      <c r="Y32" s="423">
        <v>51750</v>
      </c>
      <c r="Z32" s="835">
        <f>Z31</f>
        <v>0</v>
      </c>
      <c r="AA32" s="2"/>
      <c r="AB32" s="11">
        <v>0</v>
      </c>
      <c r="AC32" s="62">
        <f>SUM(Y32+Z32+AA32+AB32)</f>
        <v>51750</v>
      </c>
      <c r="AD32" s="1" t="s">
        <v>4647</v>
      </c>
      <c r="AE32" s="443">
        <f t="shared" si="1"/>
        <v>1239</v>
      </c>
      <c r="AF32" s="423">
        <v>1239</v>
      </c>
      <c r="AG32" s="8">
        <f t="shared" si="2"/>
        <v>1362.9</v>
      </c>
      <c r="AH32">
        <f t="shared" si="3"/>
        <v>1486.8</v>
      </c>
      <c r="AI32">
        <f t="shared" si="4"/>
        <v>1858.5</v>
      </c>
      <c r="AJ32">
        <f t="shared" si="5"/>
        <v>1300.95</v>
      </c>
      <c r="AK32">
        <f t="shared" si="6"/>
        <v>1548.75</v>
      </c>
    </row>
    <row r="33" spans="1:37" ht="24" customHeight="1">
      <c r="A33" s="220">
        <f t="shared" si="7"/>
        <v>24</v>
      </c>
      <c r="B33" s="530" t="s">
        <v>414</v>
      </c>
      <c r="C33" s="162">
        <v>3.64</v>
      </c>
      <c r="D33" s="222">
        <f>AE35</f>
        <v>925</v>
      </c>
      <c r="K33" s="5" t="s">
        <v>1530</v>
      </c>
      <c r="T33" s="12" t="s">
        <v>415</v>
      </c>
      <c r="U33" s="1" t="s">
        <v>1361</v>
      </c>
      <c r="V33" s="1" t="s">
        <v>828</v>
      </c>
      <c r="W33" s="826" t="s">
        <v>2181</v>
      </c>
      <c r="X33" s="8">
        <f>X32</f>
        <v>0</v>
      </c>
      <c r="Y33" s="423">
        <f>Y32</f>
        <v>51750</v>
      </c>
      <c r="Z33" s="835">
        <f>Z32</f>
        <v>0</v>
      </c>
      <c r="AA33" s="2"/>
      <c r="AB33" s="11">
        <v>0</v>
      </c>
      <c r="AC33" s="62">
        <f t="shared" si="0"/>
        <v>51750</v>
      </c>
      <c r="AD33" s="1" t="s">
        <v>4648</v>
      </c>
      <c r="AE33" s="443">
        <f t="shared" si="1"/>
        <v>11800</v>
      </c>
      <c r="AF33" s="423">
        <v>11800</v>
      </c>
      <c r="AG33" s="8">
        <f t="shared" si="2"/>
        <v>12980</v>
      </c>
      <c r="AH33">
        <f t="shared" si="3"/>
        <v>14160</v>
      </c>
      <c r="AI33">
        <f t="shared" si="4"/>
        <v>17700</v>
      </c>
      <c r="AJ33">
        <f t="shared" si="5"/>
        <v>12390</v>
      </c>
      <c r="AK33">
        <f t="shared" si="6"/>
        <v>14750</v>
      </c>
    </row>
    <row r="34" spans="1:37" ht="24" customHeight="1">
      <c r="A34" s="220">
        <f t="shared" si="7"/>
        <v>25</v>
      </c>
      <c r="B34" s="530" t="s">
        <v>4479</v>
      </c>
      <c r="C34" s="423">
        <f>47.3*1000</f>
        <v>47300</v>
      </c>
      <c r="D34" s="52">
        <f>C34</f>
        <v>47300</v>
      </c>
      <c r="G34" s="7" t="s">
        <v>2167</v>
      </c>
      <c r="H34" s="1" t="s">
        <v>1258</v>
      </c>
      <c r="N34" s="1" t="s">
        <v>2167</v>
      </c>
      <c r="O34" s="1" t="s">
        <v>1208</v>
      </c>
      <c r="T34" s="12" t="s">
        <v>1363</v>
      </c>
      <c r="U34" s="1" t="s">
        <v>1364</v>
      </c>
      <c r="V34" s="1" t="s">
        <v>1388</v>
      </c>
      <c r="W34" s="827" t="str">
        <f>W18</f>
        <v>Varataru</v>
      </c>
      <c r="X34" s="8">
        <f>X29</f>
        <v>3</v>
      </c>
      <c r="Y34" s="423">
        <f>Y29</f>
        <v>4195</v>
      </c>
      <c r="Z34" s="835">
        <f>Z29</f>
        <v>28.17</v>
      </c>
      <c r="AA34" s="2"/>
      <c r="AB34" s="11">
        <v>0</v>
      </c>
      <c r="AC34" s="1">
        <f t="shared" si="0"/>
        <v>4223.17</v>
      </c>
      <c r="AD34" s="1" t="s">
        <v>4649</v>
      </c>
      <c r="AE34" s="443">
        <f t="shared" si="1"/>
        <v>1035</v>
      </c>
      <c r="AF34" s="423">
        <v>1035</v>
      </c>
      <c r="AG34" s="8">
        <f t="shared" si="2"/>
        <v>1138.5</v>
      </c>
      <c r="AH34">
        <f t="shared" si="3"/>
        <v>1242</v>
      </c>
      <c r="AI34">
        <f t="shared" si="4"/>
        <v>1552.5</v>
      </c>
      <c r="AJ34">
        <f t="shared" si="5"/>
        <v>1086.75</v>
      </c>
      <c r="AK34">
        <f t="shared" si="6"/>
        <v>1293.75</v>
      </c>
    </row>
    <row r="35" spans="1:37" ht="24" customHeight="1">
      <c r="A35" s="220">
        <f t="shared" si="7"/>
        <v>26</v>
      </c>
      <c r="B35" s="530" t="s">
        <v>201</v>
      </c>
      <c r="C35" s="222">
        <f>AC38</f>
        <v>346.64</v>
      </c>
      <c r="D35" s="223"/>
      <c r="F35" s="8">
        <v>0.36</v>
      </c>
      <c r="G35" s="7" t="s">
        <v>828</v>
      </c>
      <c r="H35" s="1" t="s">
        <v>829</v>
      </c>
      <c r="I35" s="8">
        <f>C70</f>
        <v>5960</v>
      </c>
      <c r="J35" s="1" t="s">
        <v>828</v>
      </c>
      <c r="K35" s="8">
        <f>(F35*I35)</f>
        <v>2145.6</v>
      </c>
      <c r="O35" s="1" t="s">
        <v>611</v>
      </c>
      <c r="T35" s="2" t="s">
        <v>1365</v>
      </c>
      <c r="U35" s="731" t="s">
        <v>4709</v>
      </c>
      <c r="V35" s="1" t="s">
        <v>833</v>
      </c>
      <c r="W35" s="826" t="str">
        <f>W11</f>
        <v>Karuthamalai</v>
      </c>
      <c r="X35" s="8">
        <f>X11</f>
        <v>14</v>
      </c>
      <c r="Y35" s="898">
        <v>924</v>
      </c>
      <c r="Z35" s="835">
        <f>Z11</f>
        <v>149.38</v>
      </c>
      <c r="AA35" s="2"/>
      <c r="AB35" s="11"/>
      <c r="AC35" s="1">
        <f t="shared" si="0"/>
        <v>1073.3800000000001</v>
      </c>
      <c r="AD35" s="1" t="s">
        <v>4650</v>
      </c>
      <c r="AE35" s="443">
        <f t="shared" si="1"/>
        <v>925</v>
      </c>
      <c r="AF35" s="423">
        <v>925</v>
      </c>
      <c r="AG35" s="8">
        <f t="shared" si="2"/>
        <v>1017.5</v>
      </c>
      <c r="AH35">
        <f t="shared" si="3"/>
        <v>1110</v>
      </c>
      <c r="AI35">
        <f t="shared" si="4"/>
        <v>1387.5</v>
      </c>
      <c r="AJ35">
        <f t="shared" si="5"/>
        <v>971.25</v>
      </c>
      <c r="AK35">
        <f t="shared" si="6"/>
        <v>1156.25</v>
      </c>
    </row>
    <row r="36" spans="1:37" ht="24" customHeight="1">
      <c r="A36" s="223" t="s">
        <v>940</v>
      </c>
      <c r="B36" s="1" t="s">
        <v>4659</v>
      </c>
      <c r="C36" s="52">
        <v>9.3000000000000007</v>
      </c>
      <c r="D36" s="223"/>
      <c r="F36" s="8">
        <v>1</v>
      </c>
      <c r="G36" s="7" t="s">
        <v>836</v>
      </c>
      <c r="H36" s="1" t="s">
        <v>837</v>
      </c>
      <c r="I36" s="8">
        <f>AC16</f>
        <v>1400.82</v>
      </c>
      <c r="J36" s="1" t="s">
        <v>836</v>
      </c>
      <c r="K36" s="8">
        <f>(F36*I36)</f>
        <v>1400.82</v>
      </c>
      <c r="O36" s="5" t="s">
        <v>1530</v>
      </c>
      <c r="T36" s="2" t="s">
        <v>219</v>
      </c>
      <c r="U36" s="731" t="s">
        <v>369</v>
      </c>
      <c r="V36" s="1" t="s">
        <v>833</v>
      </c>
      <c r="W36" s="826" t="str">
        <f>W12</f>
        <v>Karuthamalai</v>
      </c>
      <c r="X36" s="8">
        <f>X11</f>
        <v>14</v>
      </c>
      <c r="Y36" s="898">
        <f>ROUND((1072+1011)/2,2)</f>
        <v>1041.5</v>
      </c>
      <c r="Z36" s="835">
        <f>Z11</f>
        <v>149.38</v>
      </c>
      <c r="AA36" s="2"/>
      <c r="AB36" s="11">
        <v>0</v>
      </c>
      <c r="AC36" s="1">
        <f t="shared" si="0"/>
        <v>1190.8800000000001</v>
      </c>
      <c r="AD36" s="1" t="s">
        <v>4651</v>
      </c>
      <c r="AE36" s="443">
        <f t="shared" si="1"/>
        <v>143.9</v>
      </c>
      <c r="AF36" s="423">
        <v>143.9</v>
      </c>
      <c r="AG36" s="8">
        <f t="shared" si="2"/>
        <v>158.29</v>
      </c>
      <c r="AH36">
        <f t="shared" si="3"/>
        <v>172.68</v>
      </c>
      <c r="AI36">
        <f t="shared" si="4"/>
        <v>215.85</v>
      </c>
      <c r="AJ36">
        <f t="shared" si="5"/>
        <v>151.1</v>
      </c>
      <c r="AK36">
        <f t="shared" si="6"/>
        <v>179.88</v>
      </c>
    </row>
    <row r="37" spans="1:37" ht="24" customHeight="1">
      <c r="A37" s="223"/>
      <c r="B37" s="1" t="s">
        <v>4660</v>
      </c>
      <c r="C37" s="106">
        <v>47.8</v>
      </c>
      <c r="D37" s="223"/>
      <c r="F37" s="8">
        <v>1</v>
      </c>
      <c r="G37" s="7" t="s">
        <v>836</v>
      </c>
      <c r="H37" s="1" t="s">
        <v>841</v>
      </c>
      <c r="I37" s="8">
        <f>C18</f>
        <v>100</v>
      </c>
      <c r="J37" s="1" t="s">
        <v>836</v>
      </c>
      <c r="K37" s="8">
        <f>(F37*I37)</f>
        <v>100</v>
      </c>
      <c r="M37" s="8">
        <v>9</v>
      </c>
      <c r="N37" s="1" t="s">
        <v>836</v>
      </c>
      <c r="O37" s="1" t="s">
        <v>611</v>
      </c>
      <c r="P37" s="8">
        <f>(C84)</f>
        <v>710.92</v>
      </c>
      <c r="Q37" s="1" t="s">
        <v>836</v>
      </c>
      <c r="R37" s="8">
        <f>(M37*P37)</f>
        <v>6398.28</v>
      </c>
      <c r="T37" s="2" t="s">
        <v>1619</v>
      </c>
      <c r="U37" s="731" t="s">
        <v>387</v>
      </c>
      <c r="V37" s="1" t="s">
        <v>833</v>
      </c>
      <c r="W37" s="826" t="str">
        <f>W13</f>
        <v>Karuthamalai</v>
      </c>
      <c r="X37" s="8">
        <f>X36</f>
        <v>14</v>
      </c>
      <c r="Y37" s="898">
        <f>ROUND((640+781+1050+1050)/4,2)</f>
        <v>880.25</v>
      </c>
      <c r="Z37" s="835">
        <f>Z11</f>
        <v>149.38</v>
      </c>
      <c r="AA37" s="2"/>
      <c r="AB37" s="11">
        <v>0</v>
      </c>
      <c r="AC37" s="1">
        <f>SUM(Y37+Z37+AA37+AB37)</f>
        <v>1029.6300000000001</v>
      </c>
      <c r="AD37" s="1" t="s">
        <v>4652</v>
      </c>
      <c r="AE37" s="443">
        <f t="shared" si="1"/>
        <v>747</v>
      </c>
      <c r="AF37" s="423">
        <v>747</v>
      </c>
      <c r="AG37" s="8">
        <f t="shared" si="2"/>
        <v>821.7</v>
      </c>
      <c r="AH37">
        <f t="shared" si="3"/>
        <v>896.4</v>
      </c>
      <c r="AI37">
        <f t="shared" si="4"/>
        <v>1120.5</v>
      </c>
      <c r="AJ37">
        <f t="shared" si="5"/>
        <v>784.35</v>
      </c>
      <c r="AK37">
        <f t="shared" si="6"/>
        <v>933.75</v>
      </c>
    </row>
    <row r="38" spans="1:37" ht="24" customHeight="1">
      <c r="A38" s="220">
        <f>(A35+1)</f>
        <v>27</v>
      </c>
      <c r="B38" s="530" t="s">
        <v>1620</v>
      </c>
      <c r="C38" s="162">
        <v>40</v>
      </c>
      <c r="D38" s="221" t="s">
        <v>835</v>
      </c>
      <c r="G38" s="7" t="s">
        <v>419</v>
      </c>
      <c r="H38" s="1" t="s">
        <v>420</v>
      </c>
      <c r="I38" s="1" t="s">
        <v>940</v>
      </c>
      <c r="J38" s="1" t="s">
        <v>419</v>
      </c>
      <c r="K38" s="8">
        <v>0</v>
      </c>
      <c r="M38" s="8">
        <v>4.5</v>
      </c>
      <c r="N38" s="1" t="s">
        <v>836</v>
      </c>
      <c r="O38" s="1" t="s">
        <v>1578</v>
      </c>
      <c r="P38" s="8">
        <f>(K80)</f>
        <v>2573.62</v>
      </c>
      <c r="Q38" s="1" t="s">
        <v>836</v>
      </c>
      <c r="R38" s="8">
        <f>(M38*P38)</f>
        <v>11581.29</v>
      </c>
      <c r="T38" s="2" t="s">
        <v>200</v>
      </c>
      <c r="U38" s="1" t="s">
        <v>4470</v>
      </c>
      <c r="V38" s="1" t="s">
        <v>833</v>
      </c>
      <c r="W38" s="826" t="s">
        <v>4979</v>
      </c>
      <c r="X38" s="8">
        <f>'lead  charge'!D13</f>
        <v>12</v>
      </c>
      <c r="Y38" s="441">
        <v>216.3</v>
      </c>
      <c r="Z38" s="835">
        <f>'lead  charge'!E13</f>
        <v>130.34</v>
      </c>
      <c r="AA38" s="2"/>
      <c r="AB38" s="11">
        <v>0</v>
      </c>
      <c r="AC38" s="1">
        <f>SUM(Y38+Z38+AA38+AB38)</f>
        <v>346.64</v>
      </c>
      <c r="AD38" s="1" t="s">
        <v>4653</v>
      </c>
      <c r="AE38" s="443">
        <f t="shared" si="1"/>
        <v>724</v>
      </c>
      <c r="AF38" s="423">
        <v>724</v>
      </c>
      <c r="AG38" s="8">
        <f t="shared" si="2"/>
        <v>796.4</v>
      </c>
      <c r="AH38">
        <f t="shared" si="3"/>
        <v>868.8</v>
      </c>
      <c r="AI38">
        <f t="shared" si="4"/>
        <v>1086</v>
      </c>
      <c r="AJ38">
        <f t="shared" si="5"/>
        <v>760.2</v>
      </c>
      <c r="AK38">
        <f t="shared" si="6"/>
        <v>905</v>
      </c>
    </row>
    <row r="39" spans="1:37" ht="24" customHeight="1">
      <c r="A39" s="220">
        <f t="shared" ref="A39:A61" si="10">(A38+1)</f>
        <v>28</v>
      </c>
      <c r="B39" s="530" t="s">
        <v>202</v>
      </c>
      <c r="C39" s="162">
        <v>41</v>
      </c>
      <c r="D39" s="222">
        <v>500</v>
      </c>
      <c r="K39" s="5" t="s">
        <v>1530</v>
      </c>
      <c r="M39" s="8">
        <v>1.8</v>
      </c>
      <c r="N39" s="1" t="s">
        <v>835</v>
      </c>
      <c r="O39" s="1" t="s">
        <v>1654</v>
      </c>
      <c r="P39" s="8">
        <f>(C11)</f>
        <v>804</v>
      </c>
      <c r="Q39" s="1" t="s">
        <v>835</v>
      </c>
      <c r="R39" s="8">
        <f>(M39*P39)</f>
        <v>1447.2</v>
      </c>
      <c r="T39" s="2">
        <v>31</v>
      </c>
      <c r="U39" s="1" t="s">
        <v>4471</v>
      </c>
      <c r="V39" s="1" t="s">
        <v>833</v>
      </c>
      <c r="W39" s="1" t="s">
        <v>4980</v>
      </c>
      <c r="X39" s="8">
        <f>'lead  charge'!D16</f>
        <v>20</v>
      </c>
      <c r="Y39" s="441">
        <v>161.69999999999999</v>
      </c>
      <c r="Z39" s="835">
        <f>'lead  charge'!E16</f>
        <v>206.5</v>
      </c>
      <c r="AA39" s="2"/>
      <c r="AB39" s="11">
        <v>0</v>
      </c>
      <c r="AC39" s="1">
        <f>SUM(Y39+Z39+AA39+AB39)</f>
        <v>368.2</v>
      </c>
      <c r="AD39" s="1" t="s">
        <v>4654</v>
      </c>
      <c r="AE39" s="443">
        <f t="shared" si="1"/>
        <v>64.5</v>
      </c>
      <c r="AF39" s="423">
        <v>64.5</v>
      </c>
      <c r="AG39" s="8">
        <f t="shared" si="2"/>
        <v>70.95</v>
      </c>
      <c r="AH39">
        <f t="shared" si="3"/>
        <v>77.400000000000006</v>
      </c>
      <c r="AI39">
        <f t="shared" si="4"/>
        <v>96.75</v>
      </c>
      <c r="AJ39">
        <f t="shared" si="5"/>
        <v>67.73</v>
      </c>
      <c r="AK39">
        <f t="shared" si="6"/>
        <v>80.63</v>
      </c>
    </row>
    <row r="40" spans="1:37" ht="24" customHeight="1">
      <c r="A40" s="220">
        <f t="shared" si="10"/>
        <v>29</v>
      </c>
      <c r="B40" s="530" t="s">
        <v>979</v>
      </c>
      <c r="C40" s="162">
        <v>28</v>
      </c>
      <c r="D40" s="545">
        <v>116.2</v>
      </c>
      <c r="H40" s="1" t="s">
        <v>1459</v>
      </c>
      <c r="K40" s="39">
        <f>SUM(K35:K38)</f>
        <v>3646.42</v>
      </c>
      <c r="M40" s="8">
        <v>17.7</v>
      </c>
      <c r="N40" s="1" t="s">
        <v>835</v>
      </c>
      <c r="O40" s="1" t="s">
        <v>1836</v>
      </c>
      <c r="P40" s="8">
        <f>(C12)</f>
        <v>562</v>
      </c>
      <c r="Q40" s="1" t="s">
        <v>835</v>
      </c>
      <c r="R40" s="8">
        <f>(M40*P40)</f>
        <v>9947.4</v>
      </c>
      <c r="T40" s="5"/>
      <c r="W40" s="5"/>
      <c r="Y40" s="442"/>
      <c r="Z40" s="837"/>
      <c r="AD40" s="442"/>
      <c r="AE40" s="443">
        <f t="shared" si="1"/>
        <v>0</v>
      </c>
      <c r="AF40" s="442"/>
      <c r="AG40" s="8"/>
    </row>
    <row r="41" spans="1:37" ht="24" customHeight="1">
      <c r="A41" s="220"/>
      <c r="B41" s="530"/>
      <c r="C41" s="162"/>
      <c r="D41" s="545"/>
      <c r="H41" s="1"/>
      <c r="K41" s="39"/>
      <c r="M41" s="8"/>
      <c r="N41" s="1"/>
      <c r="O41" s="1"/>
      <c r="P41" s="8"/>
      <c r="Q41" s="1"/>
      <c r="R41" s="8"/>
      <c r="T41" s="5"/>
      <c r="W41" s="5"/>
      <c r="Y41" s="442"/>
      <c r="Z41" s="837"/>
      <c r="AD41" s="442"/>
      <c r="AE41" s="443"/>
      <c r="AF41" s="442"/>
      <c r="AG41" s="8"/>
    </row>
    <row r="42" spans="1:37" ht="24" customHeight="1">
      <c r="A42" s="220"/>
      <c r="B42" s="530"/>
      <c r="C42" s="162"/>
      <c r="D42" s="545"/>
      <c r="H42" s="1"/>
      <c r="K42" s="39"/>
      <c r="M42" s="8"/>
      <c r="N42" s="1"/>
      <c r="O42" s="1"/>
      <c r="P42" s="8"/>
      <c r="Q42" s="1"/>
      <c r="R42" s="8"/>
      <c r="T42" s="5"/>
      <c r="W42" s="5"/>
      <c r="Y42" s="442"/>
      <c r="Z42" s="837"/>
      <c r="AD42" s="442"/>
      <c r="AE42" s="443"/>
      <c r="AF42" s="442"/>
      <c r="AG42" s="8"/>
    </row>
    <row r="43" spans="1:37" ht="24" customHeight="1">
      <c r="A43" s="220"/>
      <c r="B43" s="530"/>
      <c r="C43" s="162"/>
      <c r="D43" s="545"/>
      <c r="H43" s="1"/>
      <c r="K43" s="39"/>
      <c r="M43" s="8"/>
      <c r="N43" s="1"/>
      <c r="O43" s="1"/>
      <c r="P43" s="8"/>
      <c r="Q43" s="1"/>
      <c r="R43" s="8"/>
      <c r="T43" s="5"/>
      <c r="W43" s="5"/>
      <c r="Y43" s="442"/>
      <c r="Z43" s="837"/>
      <c r="AD43" s="442"/>
      <c r="AE43" s="443"/>
      <c r="AF43" s="442"/>
      <c r="AG43" s="8"/>
    </row>
    <row r="44" spans="1:37" ht="24" customHeight="1">
      <c r="A44" s="220">
        <f>(A40+1)</f>
        <v>30</v>
      </c>
      <c r="B44" s="530" t="s">
        <v>1712</v>
      </c>
      <c r="C44" s="222">
        <f>AE22</f>
        <v>637</v>
      </c>
      <c r="D44" s="221" t="s">
        <v>739</v>
      </c>
      <c r="K44" s="5" t="s">
        <v>1530</v>
      </c>
      <c r="M44" s="8">
        <v>14.1</v>
      </c>
      <c r="N44" s="1" t="s">
        <v>835</v>
      </c>
      <c r="O44" s="1" t="s">
        <v>299</v>
      </c>
      <c r="P44" s="8">
        <f>(C13)</f>
        <v>461</v>
      </c>
      <c r="Q44" s="1" t="s">
        <v>835</v>
      </c>
      <c r="R44" s="8">
        <f>(M44*P44)</f>
        <v>6500.1</v>
      </c>
      <c r="U44" s="1" t="s">
        <v>4472</v>
      </c>
      <c r="V44" s="1" t="s">
        <v>1388</v>
      </c>
      <c r="W44" s="1" t="str">
        <f>W34</f>
        <v>Varataru</v>
      </c>
      <c r="X44" s="8">
        <f>'lead  charge'!M10</f>
        <v>0</v>
      </c>
      <c r="Y44" s="423">
        <v>6435</v>
      </c>
      <c r="Z44" s="835">
        <f>'lead  charge'!N10</f>
        <v>0</v>
      </c>
      <c r="AA44" s="2">
        <v>0</v>
      </c>
      <c r="AB44" s="11">
        <v>0</v>
      </c>
      <c r="AC44" s="1">
        <f t="shared" ref="AC44:AC50" si="11">SUM(Y44+Z44+AA44+AB44)</f>
        <v>6435</v>
      </c>
      <c r="AD44" s="907" t="s">
        <v>4708</v>
      </c>
      <c r="AE44" s="443">
        <f t="shared" si="1"/>
        <v>68</v>
      </c>
      <c r="AF44" s="423">
        <v>68</v>
      </c>
      <c r="AG44" s="8">
        <f t="shared" si="2"/>
        <v>74.8</v>
      </c>
      <c r="AH44">
        <f t="shared" si="3"/>
        <v>81.599999999999994</v>
      </c>
      <c r="AI44">
        <f t="shared" si="4"/>
        <v>102</v>
      </c>
      <c r="AJ44">
        <f t="shared" si="5"/>
        <v>71.400000000000006</v>
      </c>
      <c r="AK44">
        <f t="shared" si="6"/>
        <v>85</v>
      </c>
    </row>
    <row r="45" spans="1:37" ht="24" customHeight="1">
      <c r="A45" s="220">
        <f t="shared" si="10"/>
        <v>31</v>
      </c>
      <c r="B45" s="530" t="s">
        <v>1713</v>
      </c>
      <c r="C45" s="162">
        <v>5</v>
      </c>
      <c r="D45" s="159" t="s">
        <v>1714</v>
      </c>
      <c r="G45" s="7" t="s">
        <v>2167</v>
      </c>
      <c r="H45" s="1" t="s">
        <v>1571</v>
      </c>
      <c r="N45" s="1" t="s">
        <v>419</v>
      </c>
      <c r="O45" s="1" t="s">
        <v>420</v>
      </c>
      <c r="Q45" s="1" t="s">
        <v>419</v>
      </c>
      <c r="R45" s="8">
        <v>0</v>
      </c>
      <c r="U45" s="1" t="s">
        <v>4473</v>
      </c>
      <c r="V45" s="1" t="s">
        <v>1388</v>
      </c>
      <c r="W45" s="1" t="str">
        <f>W44</f>
        <v>Varataru</v>
      </c>
      <c r="X45" s="8">
        <f>X44</f>
        <v>0</v>
      </c>
      <c r="Y45" s="423">
        <v>6630</v>
      </c>
      <c r="Z45" s="835">
        <f>Z44</f>
        <v>0</v>
      </c>
      <c r="AA45" s="2">
        <v>0</v>
      </c>
      <c r="AB45" s="11">
        <v>0</v>
      </c>
      <c r="AC45" s="1">
        <f t="shared" si="11"/>
        <v>6630</v>
      </c>
      <c r="AD45" s="907" t="s">
        <v>349</v>
      </c>
      <c r="AE45" s="443">
        <f t="shared" si="1"/>
        <v>137.19999999999999</v>
      </c>
      <c r="AF45" s="423">
        <v>137.19999999999999</v>
      </c>
      <c r="AG45" s="8">
        <f t="shared" si="2"/>
        <v>150.91999999999999</v>
      </c>
      <c r="AH45">
        <f t="shared" si="3"/>
        <v>164.64</v>
      </c>
      <c r="AI45">
        <f t="shared" si="4"/>
        <v>205.8</v>
      </c>
      <c r="AJ45">
        <f t="shared" si="5"/>
        <v>144.06</v>
      </c>
      <c r="AK45">
        <f t="shared" si="6"/>
        <v>171.5</v>
      </c>
    </row>
    <row r="46" spans="1:37" ht="24" customHeight="1">
      <c r="A46" s="220">
        <f t="shared" si="10"/>
        <v>32</v>
      </c>
      <c r="B46" s="1" t="s">
        <v>4661</v>
      </c>
      <c r="C46" s="423">
        <v>8.1</v>
      </c>
      <c r="D46" s="159" t="s">
        <v>739</v>
      </c>
      <c r="H46" s="5" t="s">
        <v>1530</v>
      </c>
      <c r="R46" s="5" t="s">
        <v>1530</v>
      </c>
      <c r="U46" s="1" t="s">
        <v>4474</v>
      </c>
      <c r="V46" s="1" t="s">
        <v>2070</v>
      </c>
      <c r="W46" t="str">
        <f>W11</f>
        <v>Karuthamalai</v>
      </c>
      <c r="X46">
        <f>'lead  charge'!P13</f>
        <v>0</v>
      </c>
      <c r="Y46" s="423">
        <v>122.5</v>
      </c>
      <c r="Z46" s="835">
        <f>'lead  charge'!Q13</f>
        <v>0</v>
      </c>
      <c r="AA46" s="2">
        <v>0</v>
      </c>
      <c r="AB46" s="11">
        <v>0</v>
      </c>
      <c r="AC46" s="1">
        <f t="shared" si="11"/>
        <v>122.5</v>
      </c>
      <c r="AD46" s="907" t="s">
        <v>2178</v>
      </c>
      <c r="AE46" s="443">
        <f t="shared" si="1"/>
        <v>137.19999999999999</v>
      </c>
      <c r="AF46" s="423">
        <f>AF45</f>
        <v>137.19999999999999</v>
      </c>
      <c r="AG46" s="8">
        <f t="shared" si="2"/>
        <v>150.91999999999999</v>
      </c>
      <c r="AH46">
        <f t="shared" si="3"/>
        <v>164.64</v>
      </c>
      <c r="AI46">
        <f t="shared" si="4"/>
        <v>205.8</v>
      </c>
      <c r="AJ46">
        <f t="shared" si="5"/>
        <v>144.06</v>
      </c>
      <c r="AK46">
        <f t="shared" si="6"/>
        <v>171.5</v>
      </c>
    </row>
    <row r="47" spans="1:37" ht="24" customHeight="1">
      <c r="A47" s="220">
        <f t="shared" si="10"/>
        <v>33</v>
      </c>
      <c r="B47" s="530" t="s">
        <v>246</v>
      </c>
      <c r="C47" s="423">
        <v>7.1</v>
      </c>
      <c r="D47" s="159" t="s">
        <v>739</v>
      </c>
      <c r="F47" s="13">
        <v>0.28799999999999998</v>
      </c>
      <c r="G47" s="7" t="s">
        <v>828</v>
      </c>
      <c r="H47" s="1" t="s">
        <v>829</v>
      </c>
      <c r="I47" s="8">
        <f>(C70)</f>
        <v>5960</v>
      </c>
      <c r="J47" s="1" t="s">
        <v>828</v>
      </c>
      <c r="K47" s="8">
        <f>(F47*I47)</f>
        <v>1716.48</v>
      </c>
      <c r="O47" s="1" t="s">
        <v>583</v>
      </c>
      <c r="R47" s="8">
        <f>SUM(R37:R45)</f>
        <v>35874.269999999997</v>
      </c>
      <c r="U47" s="1" t="s">
        <v>4475</v>
      </c>
      <c r="V47" s="1" t="s">
        <v>2070</v>
      </c>
      <c r="W47" t="str">
        <f>W46</f>
        <v>Karuthamalai</v>
      </c>
      <c r="X47">
        <f>X11</f>
        <v>14</v>
      </c>
      <c r="Y47" s="423">
        <f>ROUND((661+977)/2,2)</f>
        <v>819</v>
      </c>
      <c r="Z47" s="835">
        <f>Z11</f>
        <v>149.38</v>
      </c>
      <c r="AA47" s="2">
        <v>0</v>
      </c>
      <c r="AB47" s="11">
        <v>0</v>
      </c>
      <c r="AC47" s="1">
        <f t="shared" si="11"/>
        <v>968.38</v>
      </c>
      <c r="AD47" s="907" t="s">
        <v>4655</v>
      </c>
      <c r="AE47" s="443">
        <f t="shared" si="1"/>
        <v>103.3</v>
      </c>
      <c r="AF47" s="423">
        <v>103.3</v>
      </c>
      <c r="AG47" s="8">
        <f t="shared" si="2"/>
        <v>113.63</v>
      </c>
      <c r="AH47">
        <f t="shared" si="3"/>
        <v>123.96</v>
      </c>
      <c r="AI47">
        <f t="shared" si="4"/>
        <v>154.94999999999999</v>
      </c>
      <c r="AJ47">
        <f t="shared" si="5"/>
        <v>108.47</v>
      </c>
      <c r="AK47">
        <f t="shared" si="6"/>
        <v>129.13</v>
      </c>
    </row>
    <row r="48" spans="1:37" ht="24" customHeight="1">
      <c r="A48" s="220">
        <f t="shared" si="10"/>
        <v>34</v>
      </c>
      <c r="B48" s="530" t="s">
        <v>1845</v>
      </c>
      <c r="C48" s="423">
        <v>9.6999999999999993</v>
      </c>
      <c r="D48" s="159" t="s">
        <v>739</v>
      </c>
      <c r="F48" s="8">
        <v>1</v>
      </c>
      <c r="G48" s="7" t="s">
        <v>836</v>
      </c>
      <c r="H48" s="1" t="s">
        <v>837</v>
      </c>
      <c r="I48" s="8">
        <f>I36</f>
        <v>1400.82</v>
      </c>
      <c r="J48" s="1" t="s">
        <v>836</v>
      </c>
      <c r="K48" s="8">
        <f>(F48*I48)</f>
        <v>1400.82</v>
      </c>
      <c r="R48" s="5" t="s">
        <v>1530</v>
      </c>
      <c r="U48" s="1" t="s">
        <v>4476</v>
      </c>
      <c r="W48" t="str">
        <f>W44</f>
        <v>Varataru</v>
      </c>
      <c r="X48">
        <f>'lead  charge'!M10</f>
        <v>0</v>
      </c>
      <c r="Y48" s="423">
        <v>6435</v>
      </c>
      <c r="Z48" s="837">
        <f>Z44</f>
        <v>0</v>
      </c>
      <c r="AC48" s="1">
        <f t="shared" si="11"/>
        <v>6435</v>
      </c>
      <c r="AD48" s="907" t="s">
        <v>268</v>
      </c>
      <c r="AE48" s="443">
        <f t="shared" si="1"/>
        <v>203.5</v>
      </c>
      <c r="AF48" s="423">
        <v>203.5</v>
      </c>
      <c r="AG48" s="8">
        <f t="shared" si="2"/>
        <v>223.85</v>
      </c>
      <c r="AH48">
        <f t="shared" si="3"/>
        <v>244.2</v>
      </c>
      <c r="AI48">
        <f t="shared" si="4"/>
        <v>305.25</v>
      </c>
      <c r="AJ48">
        <f t="shared" si="5"/>
        <v>213.68</v>
      </c>
      <c r="AK48">
        <f t="shared" si="6"/>
        <v>254.38</v>
      </c>
    </row>
    <row r="49" spans="1:44" ht="24" customHeight="1">
      <c r="A49" s="220">
        <f t="shared" si="10"/>
        <v>35</v>
      </c>
      <c r="B49" s="530" t="s">
        <v>75</v>
      </c>
      <c r="C49" s="423">
        <v>11.7</v>
      </c>
      <c r="D49" s="159" t="s">
        <v>739</v>
      </c>
      <c r="F49" s="8">
        <v>1</v>
      </c>
      <c r="G49" s="7" t="s">
        <v>836</v>
      </c>
      <c r="H49" s="1" t="s">
        <v>841</v>
      </c>
      <c r="I49" s="8">
        <f>(C18)</f>
        <v>100</v>
      </c>
      <c r="J49" s="1" t="s">
        <v>836</v>
      </c>
      <c r="K49" s="8">
        <f>(F49*I49)</f>
        <v>100</v>
      </c>
      <c r="U49" s="1" t="s">
        <v>4455</v>
      </c>
      <c r="V49" s="1" t="s">
        <v>833</v>
      </c>
      <c r="W49" s="1"/>
      <c r="X49" s="8">
        <f>'lead  charge'!D11</f>
        <v>11</v>
      </c>
      <c r="Y49" s="440">
        <v>1280</v>
      </c>
      <c r="Z49" s="835">
        <f>'lead  charge'!E11</f>
        <v>120.82</v>
      </c>
      <c r="AA49" s="2"/>
      <c r="AB49" s="11">
        <v>0</v>
      </c>
      <c r="AC49" s="1">
        <f t="shared" si="11"/>
        <v>1400.82</v>
      </c>
      <c r="AD49" s="907" t="s">
        <v>799</v>
      </c>
      <c r="AE49" s="443">
        <f t="shared" si="1"/>
        <v>203.5</v>
      </c>
      <c r="AF49" s="423">
        <f>AF48</f>
        <v>203.5</v>
      </c>
      <c r="AG49" s="8">
        <f t="shared" si="2"/>
        <v>223.85</v>
      </c>
      <c r="AH49">
        <f t="shared" si="3"/>
        <v>244.2</v>
      </c>
      <c r="AI49">
        <f t="shared" si="4"/>
        <v>305.25</v>
      </c>
      <c r="AJ49">
        <f t="shared" si="5"/>
        <v>213.68</v>
      </c>
      <c r="AK49">
        <f t="shared" si="6"/>
        <v>254.38</v>
      </c>
    </row>
    <row r="50" spans="1:44" ht="24" customHeight="1">
      <c r="A50" s="220">
        <f t="shared" si="10"/>
        <v>36</v>
      </c>
      <c r="B50" s="530" t="s">
        <v>77</v>
      </c>
      <c r="C50" s="423">
        <v>15.8</v>
      </c>
      <c r="D50" s="159" t="s">
        <v>739</v>
      </c>
      <c r="G50" s="7" t="s">
        <v>419</v>
      </c>
      <c r="H50" s="1" t="s">
        <v>420</v>
      </c>
      <c r="I50" s="1" t="s">
        <v>940</v>
      </c>
      <c r="J50" s="1" t="s">
        <v>419</v>
      </c>
      <c r="K50" s="8">
        <v>0</v>
      </c>
      <c r="O50" s="1" t="s">
        <v>743</v>
      </c>
      <c r="R50" s="8">
        <f>(R47/10)</f>
        <v>3587.43</v>
      </c>
      <c r="U50" s="1" t="s">
        <v>4259</v>
      </c>
      <c r="V50" s="1" t="s">
        <v>833</v>
      </c>
      <c r="W50" s="1"/>
      <c r="X50" s="8">
        <f>X49</f>
        <v>11</v>
      </c>
      <c r="Y50" s="440">
        <f>Y49</f>
        <v>1280</v>
      </c>
      <c r="Z50" s="835">
        <f>Z49</f>
        <v>120.82</v>
      </c>
      <c r="AA50" s="2"/>
      <c r="AB50" s="11">
        <v>0</v>
      </c>
      <c r="AC50" s="1">
        <f t="shared" si="11"/>
        <v>1400.82</v>
      </c>
      <c r="AD50" s="908"/>
      <c r="AE50" s="443">
        <f t="shared" si="1"/>
        <v>0</v>
      </c>
      <c r="AF50" s="443"/>
      <c r="AG50" s="8">
        <f t="shared" si="2"/>
        <v>0</v>
      </c>
      <c r="AH50">
        <f t="shared" si="3"/>
        <v>0</v>
      </c>
      <c r="AI50">
        <f t="shared" si="4"/>
        <v>0</v>
      </c>
      <c r="AJ50">
        <f t="shared" si="5"/>
        <v>0</v>
      </c>
      <c r="AK50">
        <f t="shared" si="6"/>
        <v>0</v>
      </c>
    </row>
    <row r="51" spans="1:44" ht="24" customHeight="1">
      <c r="A51" s="220">
        <f t="shared" si="10"/>
        <v>37</v>
      </c>
      <c r="B51" s="530" t="s">
        <v>1209</v>
      </c>
      <c r="C51" s="423">
        <v>20.3</v>
      </c>
      <c r="D51" s="423">
        <v>35.6</v>
      </c>
      <c r="K51" s="5" t="s">
        <v>1530</v>
      </c>
      <c r="R51" s="5" t="s">
        <v>1980</v>
      </c>
      <c r="U51" s="5" t="s">
        <v>1530</v>
      </c>
      <c r="V51" s="5" t="s">
        <v>1530</v>
      </c>
      <c r="W51" s="5" t="s">
        <v>1530</v>
      </c>
      <c r="X51" s="5" t="s">
        <v>1530</v>
      </c>
      <c r="Y51" s="776" t="s">
        <v>1530</v>
      </c>
      <c r="Z51" s="835" t="s">
        <v>1530</v>
      </c>
      <c r="AA51" s="5" t="s">
        <v>1530</v>
      </c>
      <c r="AB51" s="5" t="s">
        <v>1530</v>
      </c>
      <c r="AC51" s="5" t="s">
        <v>1530</v>
      </c>
      <c r="AD51" s="909" t="s">
        <v>1530</v>
      </c>
      <c r="AE51" s="443" t="str">
        <f t="shared" si="1"/>
        <v>-</v>
      </c>
      <c r="AF51" s="776" t="s">
        <v>1530</v>
      </c>
      <c r="AG51" s="5" t="s">
        <v>1530</v>
      </c>
      <c r="AH51" s="5" t="s">
        <v>1530</v>
      </c>
      <c r="AI51" s="5" t="s">
        <v>1530</v>
      </c>
      <c r="AJ51">
        <f t="shared" si="5"/>
        <v>0</v>
      </c>
      <c r="AK51" s="5" t="s">
        <v>1530</v>
      </c>
    </row>
    <row r="52" spans="1:44" ht="24" customHeight="1">
      <c r="A52" s="220">
        <f t="shared" si="10"/>
        <v>38</v>
      </c>
      <c r="B52" s="530" t="s">
        <v>1648</v>
      </c>
      <c r="C52" s="423">
        <v>22</v>
      </c>
      <c r="D52" s="423">
        <v>25</v>
      </c>
      <c r="H52" s="1" t="s">
        <v>1459</v>
      </c>
      <c r="K52" s="39">
        <f>SUM(K47:K50)</f>
        <v>3217.3</v>
      </c>
      <c r="N52" s="1" t="s">
        <v>2167</v>
      </c>
      <c r="O52" s="1" t="s">
        <v>1305</v>
      </c>
      <c r="Z52" s="837"/>
      <c r="AD52" s="907" t="s">
        <v>4656</v>
      </c>
      <c r="AE52" s="443">
        <f t="shared" si="1"/>
        <v>3.65</v>
      </c>
      <c r="AF52" s="423">
        <v>3.65</v>
      </c>
      <c r="AG52" s="8">
        <f t="shared" si="2"/>
        <v>4.0199999999999996</v>
      </c>
      <c r="AH52">
        <f t="shared" si="3"/>
        <v>4.38</v>
      </c>
      <c r="AI52">
        <f t="shared" si="4"/>
        <v>5.48</v>
      </c>
      <c r="AJ52">
        <f t="shared" si="5"/>
        <v>3.83</v>
      </c>
      <c r="AK52">
        <f t="shared" si="6"/>
        <v>4.5599999999999996</v>
      </c>
    </row>
    <row r="53" spans="1:44" ht="24" customHeight="1">
      <c r="A53" s="220">
        <f t="shared" si="10"/>
        <v>39</v>
      </c>
      <c r="B53" s="530" t="s">
        <v>3922</v>
      </c>
      <c r="C53" s="423">
        <v>11.5</v>
      </c>
      <c r="D53" s="159" t="s">
        <v>739</v>
      </c>
      <c r="K53" s="5" t="s">
        <v>1530</v>
      </c>
      <c r="O53" s="1" t="s">
        <v>1430</v>
      </c>
      <c r="Z53" s="837"/>
      <c r="AD53" s="907" t="s">
        <v>4487</v>
      </c>
      <c r="AE53" s="443">
        <f t="shared" si="1"/>
        <v>4.5999999999999996</v>
      </c>
      <c r="AF53" s="423">
        <v>4.5999999999999996</v>
      </c>
      <c r="AG53" s="8">
        <f t="shared" si="2"/>
        <v>5.0599999999999996</v>
      </c>
      <c r="AH53">
        <f t="shared" si="3"/>
        <v>5.52</v>
      </c>
      <c r="AI53">
        <f t="shared" si="4"/>
        <v>6.9</v>
      </c>
      <c r="AJ53">
        <f t="shared" si="5"/>
        <v>4.83</v>
      </c>
      <c r="AK53">
        <f t="shared" si="6"/>
        <v>5.75</v>
      </c>
    </row>
    <row r="54" spans="1:44" ht="24" customHeight="1">
      <c r="A54" s="220">
        <f t="shared" si="10"/>
        <v>40</v>
      </c>
      <c r="B54" s="530" t="s">
        <v>1576</v>
      </c>
      <c r="C54" s="423">
        <v>11.7</v>
      </c>
      <c r="D54" s="159" t="s">
        <v>739</v>
      </c>
      <c r="G54" s="7" t="s">
        <v>2167</v>
      </c>
      <c r="H54" s="1" t="s">
        <v>1577</v>
      </c>
      <c r="O54" s="5" t="s">
        <v>1530</v>
      </c>
      <c r="Z54" s="837"/>
      <c r="AD54" s="907" t="s">
        <v>4847</v>
      </c>
      <c r="AE54" s="443">
        <f t="shared" si="1"/>
        <v>0</v>
      </c>
      <c r="AF54" s="423"/>
      <c r="AG54" s="8"/>
    </row>
    <row r="55" spans="1:44" ht="24" customHeight="1">
      <c r="A55" s="220">
        <f t="shared" si="10"/>
        <v>41</v>
      </c>
      <c r="B55" s="530" t="s">
        <v>1653</v>
      </c>
      <c r="C55" s="423">
        <v>24.2</v>
      </c>
      <c r="D55" s="159" t="s">
        <v>739</v>
      </c>
      <c r="H55" s="5" t="s">
        <v>1530</v>
      </c>
      <c r="M55" s="805">
        <v>9</v>
      </c>
      <c r="N55" s="732" t="s">
        <v>836</v>
      </c>
      <c r="O55" s="732" t="s">
        <v>1430</v>
      </c>
      <c r="P55" s="805">
        <f>(C76)</f>
        <v>1581.38</v>
      </c>
      <c r="Q55" s="732" t="s">
        <v>836</v>
      </c>
      <c r="R55" s="805">
        <f>(M55*P55)</f>
        <v>14232.42</v>
      </c>
      <c r="Z55" s="837"/>
      <c r="AD55" s="907" t="s">
        <v>4849</v>
      </c>
      <c r="AE55" s="443">
        <f t="shared" si="1"/>
        <v>185</v>
      </c>
      <c r="AF55" s="435">
        <v>185</v>
      </c>
      <c r="AG55" s="8">
        <f t="shared" ref="AG55:AG61" si="12">AF55*1.1</f>
        <v>203.5</v>
      </c>
      <c r="AH55">
        <f>AF55*1.2</f>
        <v>222</v>
      </c>
      <c r="AI55">
        <f>AF55*1.5</f>
        <v>277.5</v>
      </c>
      <c r="AJ55">
        <f>AF55*1.05</f>
        <v>194.25</v>
      </c>
      <c r="AK55">
        <f t="shared" ref="AK55:AK61" si="13">AF55*1.25</f>
        <v>231.25</v>
      </c>
    </row>
    <row r="56" spans="1:44" ht="24" customHeight="1">
      <c r="A56" s="220">
        <f t="shared" si="10"/>
        <v>42</v>
      </c>
      <c r="B56" s="530" t="s">
        <v>1835</v>
      </c>
      <c r="C56" s="423">
        <v>32.700000000000003</v>
      </c>
      <c r="D56" s="423">
        <v>71.7</v>
      </c>
      <c r="F56" s="8">
        <v>0.24</v>
      </c>
      <c r="G56" s="7" t="s">
        <v>828</v>
      </c>
      <c r="H56" s="1" t="s">
        <v>829</v>
      </c>
      <c r="I56" s="8">
        <f>(C70)</f>
        <v>5960</v>
      </c>
      <c r="J56" s="1" t="s">
        <v>828</v>
      </c>
      <c r="K56" s="8">
        <f>(F56*I56)</f>
        <v>1430.4</v>
      </c>
      <c r="M56" s="8">
        <v>4.5</v>
      </c>
      <c r="N56" s="1" t="s">
        <v>836</v>
      </c>
      <c r="O56" s="1" t="s">
        <v>117</v>
      </c>
      <c r="P56" s="8">
        <f>(K23)</f>
        <v>5792.02</v>
      </c>
      <c r="Q56" s="1" t="s">
        <v>836</v>
      </c>
      <c r="R56" s="8">
        <f>(M56*P56)</f>
        <v>26064.09</v>
      </c>
      <c r="Z56" s="837"/>
      <c r="AD56" s="907" t="s">
        <v>4848</v>
      </c>
      <c r="AE56" s="443">
        <f t="shared" si="1"/>
        <v>285</v>
      </c>
      <c r="AF56" s="435">
        <v>285</v>
      </c>
      <c r="AG56" s="8">
        <f t="shared" si="12"/>
        <v>313.5</v>
      </c>
      <c r="AH56">
        <f>AF56*1.2</f>
        <v>342</v>
      </c>
      <c r="AI56">
        <f>AF56*1.5</f>
        <v>427.5</v>
      </c>
      <c r="AJ56">
        <f>AF56*1.05</f>
        <v>299.25</v>
      </c>
      <c r="AK56">
        <f t="shared" si="13"/>
        <v>356.25</v>
      </c>
    </row>
    <row r="57" spans="1:44" ht="24" customHeight="1">
      <c r="A57" s="220">
        <f t="shared" si="10"/>
        <v>43</v>
      </c>
      <c r="B57" s="530" t="s">
        <v>298</v>
      </c>
      <c r="C57" s="423">
        <v>36.799999999999997</v>
      </c>
      <c r="D57" s="423">
        <v>54.1</v>
      </c>
      <c r="F57" s="8">
        <v>1</v>
      </c>
      <c r="G57" s="7" t="s">
        <v>836</v>
      </c>
      <c r="H57" s="1" t="s">
        <v>837</v>
      </c>
      <c r="I57" s="8">
        <f>(C81)</f>
        <v>1400.82</v>
      </c>
      <c r="J57" s="1" t="s">
        <v>836</v>
      </c>
      <c r="K57" s="8">
        <f>(F57*I57)</f>
        <v>1400.82</v>
      </c>
      <c r="M57" s="8">
        <v>1.8</v>
      </c>
      <c r="N57" s="1" t="s">
        <v>835</v>
      </c>
      <c r="O57" s="1" t="s">
        <v>1654</v>
      </c>
      <c r="P57" s="8">
        <f>(C11)</f>
        <v>804</v>
      </c>
      <c r="Q57" s="1" t="s">
        <v>835</v>
      </c>
      <c r="R57" s="8">
        <f>(M57*P57)</f>
        <v>1447.2</v>
      </c>
      <c r="Z57" s="837"/>
      <c r="AD57" s="907" t="s">
        <v>4858</v>
      </c>
      <c r="AE57" s="443">
        <f t="shared" si="1"/>
        <v>7.9</v>
      </c>
      <c r="AF57" s="435">
        <v>7.9</v>
      </c>
      <c r="AG57" s="8">
        <f t="shared" si="12"/>
        <v>8.69</v>
      </c>
      <c r="AH57">
        <f>AF57*1.2</f>
        <v>9.48</v>
      </c>
      <c r="AI57">
        <f>AF57*1.5</f>
        <v>11.85</v>
      </c>
      <c r="AJ57">
        <f>AF57*1.05</f>
        <v>8.3000000000000007</v>
      </c>
      <c r="AK57">
        <f t="shared" si="13"/>
        <v>9.8800000000000008</v>
      </c>
    </row>
    <row r="58" spans="1:44" ht="24" customHeight="1">
      <c r="A58" s="220">
        <f t="shared" si="10"/>
        <v>44</v>
      </c>
      <c r="B58" s="530" t="s">
        <v>301</v>
      </c>
      <c r="C58" s="423">
        <v>40.9</v>
      </c>
      <c r="D58" s="423">
        <v>43</v>
      </c>
      <c r="F58" s="8">
        <v>1</v>
      </c>
      <c r="G58" s="7" t="s">
        <v>836</v>
      </c>
      <c r="H58" s="1" t="s">
        <v>841</v>
      </c>
      <c r="I58" s="8">
        <f>(C18)</f>
        <v>100</v>
      </c>
      <c r="J58" s="1" t="s">
        <v>836</v>
      </c>
      <c r="K58" s="8">
        <f>(F58*I58)</f>
        <v>100</v>
      </c>
      <c r="M58" s="8">
        <v>17.7</v>
      </c>
      <c r="N58" s="1" t="s">
        <v>835</v>
      </c>
      <c r="O58" s="1" t="s">
        <v>1836</v>
      </c>
      <c r="P58" s="8">
        <f>(C12)</f>
        <v>562</v>
      </c>
      <c r="Q58" s="1" t="s">
        <v>835</v>
      </c>
      <c r="R58" s="8">
        <f>(M58*P58)</f>
        <v>9947.4</v>
      </c>
      <c r="Z58" s="837"/>
      <c r="AD58" s="907" t="s">
        <v>4859</v>
      </c>
      <c r="AE58" s="443">
        <f t="shared" si="1"/>
        <v>8.5</v>
      </c>
      <c r="AF58" s="435">
        <v>8.5</v>
      </c>
      <c r="AG58" s="8">
        <f t="shared" si="12"/>
        <v>9.35</v>
      </c>
      <c r="AH58">
        <f>AF58*1.2</f>
        <v>10.199999999999999</v>
      </c>
      <c r="AI58">
        <f>AF58*1.5</f>
        <v>12.75</v>
      </c>
      <c r="AJ58">
        <f>AF58*1.05</f>
        <v>8.93</v>
      </c>
      <c r="AK58">
        <f t="shared" si="13"/>
        <v>10.63</v>
      </c>
    </row>
    <row r="59" spans="1:44" ht="24" customHeight="1">
      <c r="A59" s="220">
        <f t="shared" si="10"/>
        <v>45</v>
      </c>
      <c r="B59" s="530" t="s">
        <v>302</v>
      </c>
      <c r="C59" s="162">
        <v>12.1</v>
      </c>
      <c r="D59" s="221" t="s">
        <v>419</v>
      </c>
      <c r="G59" s="7" t="s">
        <v>419</v>
      </c>
      <c r="H59" s="1" t="s">
        <v>420</v>
      </c>
      <c r="I59" s="1" t="s">
        <v>940</v>
      </c>
      <c r="J59" s="1" t="s">
        <v>419</v>
      </c>
      <c r="K59" s="8">
        <v>0</v>
      </c>
      <c r="M59" s="8">
        <v>14.1</v>
      </c>
      <c r="N59" s="1" t="s">
        <v>835</v>
      </c>
      <c r="O59" s="1" t="s">
        <v>299</v>
      </c>
      <c r="P59" s="8">
        <f>(C13)</f>
        <v>461</v>
      </c>
      <c r="Q59" s="1" t="s">
        <v>835</v>
      </c>
      <c r="R59" s="8">
        <f>(M59*P59)</f>
        <v>6500.1</v>
      </c>
      <c r="AD59" s="907" t="s">
        <v>4861</v>
      </c>
      <c r="AE59" s="443">
        <f t="shared" si="1"/>
        <v>8.85</v>
      </c>
      <c r="AF59" s="435">
        <v>8.85</v>
      </c>
      <c r="AG59" s="8">
        <f t="shared" si="12"/>
        <v>9.74</v>
      </c>
      <c r="AH59">
        <f t="shared" si="3"/>
        <v>10.62</v>
      </c>
      <c r="AI59">
        <f t="shared" ref="AI59:AI64" si="14">AF59*1.5</f>
        <v>13.28</v>
      </c>
      <c r="AJ59">
        <f t="shared" si="5"/>
        <v>9.2899999999999991</v>
      </c>
      <c r="AK59">
        <f t="shared" si="13"/>
        <v>11.06</v>
      </c>
    </row>
    <row r="60" spans="1:44" ht="24" customHeight="1">
      <c r="A60" s="220">
        <f t="shared" si="10"/>
        <v>46</v>
      </c>
      <c r="B60" s="1" t="s">
        <v>4662</v>
      </c>
      <c r="C60" s="903">
        <v>35</v>
      </c>
      <c r="D60" s="221" t="s">
        <v>419</v>
      </c>
      <c r="K60" s="5" t="s">
        <v>1530</v>
      </c>
      <c r="N60" s="1" t="s">
        <v>419</v>
      </c>
      <c r="O60" s="1" t="s">
        <v>420</v>
      </c>
      <c r="Q60" s="1" t="s">
        <v>419</v>
      </c>
      <c r="R60" s="8">
        <v>0</v>
      </c>
      <c r="AD60" s="907" t="s">
        <v>4867</v>
      </c>
      <c r="AE60" s="443">
        <f t="shared" si="1"/>
        <v>1334</v>
      </c>
      <c r="AF60" s="435">
        <v>1334</v>
      </c>
      <c r="AG60" s="1">
        <f t="shared" si="12"/>
        <v>1467.4</v>
      </c>
      <c r="AH60">
        <f t="shared" si="3"/>
        <v>1600.8</v>
      </c>
      <c r="AI60">
        <f t="shared" si="14"/>
        <v>2001</v>
      </c>
      <c r="AJ60">
        <f t="shared" si="5"/>
        <v>1400.7</v>
      </c>
      <c r="AK60">
        <f t="shared" si="13"/>
        <v>1667.5</v>
      </c>
    </row>
    <row r="61" spans="1:44" ht="24" customHeight="1">
      <c r="A61" s="220">
        <f t="shared" si="10"/>
        <v>47</v>
      </c>
      <c r="B61" s="1" t="s">
        <v>4663</v>
      </c>
      <c r="C61" s="423">
        <v>11.8</v>
      </c>
      <c r="D61" s="221" t="s">
        <v>419</v>
      </c>
      <c r="H61" s="1" t="s">
        <v>1459</v>
      </c>
      <c r="K61" s="39">
        <f>SUM(K56:K59)</f>
        <v>2931.22</v>
      </c>
      <c r="R61" s="5" t="s">
        <v>1530</v>
      </c>
      <c r="AD61" s="1" t="s">
        <v>4897</v>
      </c>
      <c r="AE61" s="443">
        <f t="shared" si="1"/>
        <v>1239</v>
      </c>
      <c r="AF61" s="423">
        <v>1239</v>
      </c>
      <c r="AG61" s="8">
        <f t="shared" si="12"/>
        <v>1362.9</v>
      </c>
      <c r="AH61">
        <f>AF61*1.2</f>
        <v>1486.8</v>
      </c>
      <c r="AI61">
        <f t="shared" si="14"/>
        <v>1858.5</v>
      </c>
      <c r="AJ61">
        <f>AF61*1.05</f>
        <v>1300.95</v>
      </c>
      <c r="AK61">
        <f t="shared" si="13"/>
        <v>1548.75</v>
      </c>
    </row>
    <row r="62" spans="1:44" ht="24" customHeight="1">
      <c r="A62" s="223"/>
      <c r="B62" s="442"/>
      <c r="C62" s="223"/>
      <c r="D62" s="223"/>
      <c r="F62" s="1" t="s">
        <v>940</v>
      </c>
      <c r="O62" s="1" t="s">
        <v>583</v>
      </c>
      <c r="R62" s="8">
        <f>SUM(R55:R60)</f>
        <v>58191.21</v>
      </c>
      <c r="AE62" s="443">
        <f t="shared" si="1"/>
        <v>0</v>
      </c>
      <c r="AH62">
        <f t="shared" si="3"/>
        <v>0</v>
      </c>
      <c r="AI62">
        <f t="shared" si="14"/>
        <v>0</v>
      </c>
      <c r="AJ62">
        <f t="shared" si="5"/>
        <v>0</v>
      </c>
      <c r="AP62" s="37" t="s">
        <v>4254</v>
      </c>
    </row>
    <row r="63" spans="1:44" ht="24" customHeight="1">
      <c r="A63" s="220">
        <f>(A61+1)</f>
        <v>48</v>
      </c>
      <c r="B63" s="1" t="s">
        <v>4664</v>
      </c>
      <c r="C63" s="423">
        <v>27.6</v>
      </c>
      <c r="D63" s="530" t="s">
        <v>1997</v>
      </c>
      <c r="K63" s="5" t="s">
        <v>1530</v>
      </c>
      <c r="R63" s="5" t="s">
        <v>1530</v>
      </c>
      <c r="AE63" s="443">
        <f t="shared" si="1"/>
        <v>0</v>
      </c>
      <c r="AG63" s="1"/>
      <c r="AH63">
        <f t="shared" si="3"/>
        <v>0</v>
      </c>
      <c r="AI63">
        <f t="shared" si="14"/>
        <v>0</v>
      </c>
      <c r="AJ63">
        <f t="shared" si="5"/>
        <v>0</v>
      </c>
      <c r="AN63" s="25">
        <v>6.5</v>
      </c>
      <c r="AO63" s="7" t="s">
        <v>2167</v>
      </c>
      <c r="AP63" s="530" t="s">
        <v>3664</v>
      </c>
      <c r="AR63" s="11"/>
    </row>
    <row r="64" spans="1:44" ht="24" customHeight="1">
      <c r="A64" s="220">
        <f t="shared" ref="A64:A94" si="15">(A63+1)</f>
        <v>49</v>
      </c>
      <c r="B64" s="1" t="s">
        <v>4707</v>
      </c>
      <c r="C64" s="423">
        <f>AE29</f>
        <v>96.6</v>
      </c>
      <c r="D64" s="423">
        <f>AE36</f>
        <v>143.9</v>
      </c>
      <c r="G64" s="7" t="s">
        <v>2167</v>
      </c>
      <c r="H64" s="1" t="s">
        <v>1999</v>
      </c>
      <c r="O64" s="1" t="s">
        <v>743</v>
      </c>
      <c r="R64" s="8">
        <f>(R62/10)</f>
        <v>5819.12</v>
      </c>
      <c r="AE64" s="443">
        <f t="shared" si="1"/>
        <v>0</v>
      </c>
      <c r="AG64" s="1"/>
      <c r="AH64">
        <f t="shared" si="3"/>
        <v>0</v>
      </c>
      <c r="AI64">
        <f t="shared" si="14"/>
        <v>0</v>
      </c>
      <c r="AO64" s="3"/>
      <c r="AP64" s="530" t="s">
        <v>3665</v>
      </c>
      <c r="AR64" s="11"/>
    </row>
    <row r="65" spans="1:45" ht="24" customHeight="1">
      <c r="A65" s="220">
        <f t="shared" si="15"/>
        <v>50</v>
      </c>
      <c r="B65" s="1" t="s">
        <v>4665</v>
      </c>
      <c r="C65" s="423">
        <v>611</v>
      </c>
      <c r="D65" s="530" t="s">
        <v>835</v>
      </c>
      <c r="H65" s="5" t="s">
        <v>1530</v>
      </c>
      <c r="R65" s="5" t="s">
        <v>1980</v>
      </c>
      <c r="AE65" s="443">
        <f t="shared" si="1"/>
        <v>0</v>
      </c>
      <c r="AG65" s="1"/>
      <c r="AH65">
        <f t="shared" si="3"/>
        <v>0</v>
      </c>
      <c r="AO65" s="3"/>
      <c r="AP65" s="5" t="s">
        <v>1530</v>
      </c>
      <c r="AR65" s="11"/>
    </row>
    <row r="66" spans="1:45" ht="24" customHeight="1">
      <c r="A66" s="220">
        <f t="shared" si="15"/>
        <v>51</v>
      </c>
      <c r="B66" s="621" t="s">
        <v>1972</v>
      </c>
      <c r="C66" s="545">
        <v>42</v>
      </c>
      <c r="D66" s="530" t="s">
        <v>419</v>
      </c>
      <c r="F66" s="13">
        <v>0.20599999999999999</v>
      </c>
      <c r="G66" s="7" t="s">
        <v>828</v>
      </c>
      <c r="H66" s="1" t="s">
        <v>829</v>
      </c>
      <c r="I66" s="8">
        <f>(C70)</f>
        <v>5960</v>
      </c>
      <c r="J66" s="1" t="s">
        <v>828</v>
      </c>
      <c r="K66" s="8">
        <f>(F66*I66)</f>
        <v>1227.76</v>
      </c>
      <c r="N66" s="1" t="s">
        <v>2167</v>
      </c>
      <c r="O66" s="1" t="s">
        <v>922</v>
      </c>
      <c r="AB66" s="56"/>
      <c r="AE66" s="443">
        <f t="shared" si="1"/>
        <v>0</v>
      </c>
      <c r="AG66" s="1"/>
      <c r="AH66">
        <f t="shared" si="3"/>
        <v>0</v>
      </c>
      <c r="AN66" s="8">
        <v>1300</v>
      </c>
      <c r="AO66" s="7" t="s">
        <v>1368</v>
      </c>
      <c r="AP66" s="8" t="str">
        <f>AP64</f>
        <v>Bricks of size 23x11x7 cm</v>
      </c>
      <c r="AQ66" s="8">
        <f>AC48</f>
        <v>6435</v>
      </c>
      <c r="AR66" s="1" t="s">
        <v>1538</v>
      </c>
      <c r="AS66" s="8">
        <f>(AN66*AQ66)/1000</f>
        <v>8365.5</v>
      </c>
    </row>
    <row r="67" spans="1:45" ht="24" customHeight="1">
      <c r="A67" s="220">
        <f t="shared" si="15"/>
        <v>52</v>
      </c>
      <c r="B67" s="1" t="s">
        <v>4666</v>
      </c>
      <c r="C67" s="423">
        <v>242</v>
      </c>
      <c r="D67" s="530" t="s">
        <v>836</v>
      </c>
      <c r="F67" s="8">
        <v>1</v>
      </c>
      <c r="G67" s="7" t="s">
        <v>836</v>
      </c>
      <c r="H67" s="1" t="s">
        <v>837</v>
      </c>
      <c r="I67" s="8">
        <f>(C81)</f>
        <v>1400.82</v>
      </c>
      <c r="J67" s="1" t="s">
        <v>836</v>
      </c>
      <c r="K67" s="8">
        <f>(F67*I67)</f>
        <v>1400.82</v>
      </c>
      <c r="O67" s="1" t="s">
        <v>397</v>
      </c>
      <c r="AE67" s="443">
        <f t="shared" si="1"/>
        <v>0</v>
      </c>
      <c r="AG67" s="1"/>
      <c r="AH67">
        <f t="shared" si="3"/>
        <v>0</v>
      </c>
      <c r="AN67" s="13">
        <v>0.70799999999999996</v>
      </c>
      <c r="AO67" s="7" t="s">
        <v>836</v>
      </c>
      <c r="AP67" s="1" t="s">
        <v>1571</v>
      </c>
      <c r="AQ67" s="8">
        <f>K52</f>
        <v>3217.3</v>
      </c>
      <c r="AR67" s="1" t="s">
        <v>836</v>
      </c>
      <c r="AS67" s="8">
        <f>(AN67*AQ67)</f>
        <v>2277.85</v>
      </c>
    </row>
    <row r="68" spans="1:45" s="716" customFormat="1" ht="24" customHeight="1">
      <c r="A68" s="829">
        <f t="shared" si="15"/>
        <v>53</v>
      </c>
      <c r="B68" s="732" t="s">
        <v>4667</v>
      </c>
      <c r="C68" s="830">
        <v>349</v>
      </c>
      <c r="D68" s="904" t="s">
        <v>1307</v>
      </c>
      <c r="F68" s="805">
        <v>1</v>
      </c>
      <c r="G68" s="831" t="s">
        <v>836</v>
      </c>
      <c r="H68" s="732" t="s">
        <v>841</v>
      </c>
      <c r="I68" s="805">
        <f>(C18)</f>
        <v>100</v>
      </c>
      <c r="J68" s="732" t="s">
        <v>836</v>
      </c>
      <c r="K68" s="805">
        <f>(F68*I68)</f>
        <v>100</v>
      </c>
      <c r="M68"/>
      <c r="N68"/>
      <c r="O68" s="5" t="s">
        <v>1530</v>
      </c>
      <c r="P68"/>
      <c r="Q68"/>
      <c r="R68"/>
      <c r="S68" s="832"/>
      <c r="AE68" s="443">
        <f t="shared" si="1"/>
        <v>0</v>
      </c>
      <c r="AG68" s="732"/>
      <c r="AH68" s="716">
        <f t="shared" si="3"/>
        <v>0</v>
      </c>
      <c r="AN68" s="805">
        <v>1</v>
      </c>
      <c r="AO68" s="831" t="s">
        <v>835</v>
      </c>
      <c r="AP68" s="732" t="s">
        <v>1938</v>
      </c>
      <c r="AQ68" s="805">
        <f>V316</f>
        <v>861</v>
      </c>
      <c r="AR68" s="732" t="s">
        <v>835</v>
      </c>
      <c r="AS68" s="805">
        <f>(AN68*AQ68)</f>
        <v>861</v>
      </c>
    </row>
    <row r="69" spans="1:45" ht="24" customHeight="1">
      <c r="A69" s="220">
        <f t="shared" si="15"/>
        <v>54</v>
      </c>
      <c r="B69" s="530" t="s">
        <v>1437</v>
      </c>
      <c r="C69" s="423">
        <f>AE18</f>
        <v>739</v>
      </c>
      <c r="D69" s="530" t="s">
        <v>835</v>
      </c>
      <c r="G69" s="7" t="s">
        <v>419</v>
      </c>
      <c r="H69" s="1" t="s">
        <v>420</v>
      </c>
      <c r="I69" s="1" t="s">
        <v>940</v>
      </c>
      <c r="J69" s="1" t="s">
        <v>419</v>
      </c>
      <c r="K69" s="8">
        <v>0</v>
      </c>
      <c r="M69" s="8">
        <v>4600</v>
      </c>
      <c r="N69" s="1" t="s">
        <v>1368</v>
      </c>
      <c r="O69" s="1" t="s">
        <v>1072</v>
      </c>
      <c r="P69" s="8">
        <f>AC44</f>
        <v>6435</v>
      </c>
      <c r="Q69" s="1" t="s">
        <v>1538</v>
      </c>
      <c r="R69" s="8">
        <f>(M69*P69)/1000</f>
        <v>29601</v>
      </c>
      <c r="AE69" s="443">
        <f t="shared" si="1"/>
        <v>0</v>
      </c>
      <c r="AG69" s="1"/>
      <c r="AH69">
        <f t="shared" si="3"/>
        <v>0</v>
      </c>
      <c r="AN69" s="8">
        <v>3</v>
      </c>
      <c r="AO69" s="7" t="s">
        <v>835</v>
      </c>
      <c r="AP69" s="1" t="s">
        <v>1654</v>
      </c>
      <c r="AQ69" s="8">
        <f>V317</f>
        <v>804</v>
      </c>
      <c r="AR69" s="1" t="s">
        <v>835</v>
      </c>
      <c r="AS69" s="8">
        <f>(AN69*AQ69)</f>
        <v>2412</v>
      </c>
    </row>
    <row r="70" spans="1:45" ht="24" customHeight="1">
      <c r="A70" s="220">
        <f t="shared" si="15"/>
        <v>55</v>
      </c>
      <c r="B70" s="530" t="s">
        <v>829</v>
      </c>
      <c r="C70" s="423">
        <f>AC31</f>
        <v>5960</v>
      </c>
      <c r="D70" s="530" t="s">
        <v>828</v>
      </c>
      <c r="K70" s="5" t="s">
        <v>1530</v>
      </c>
      <c r="M70" s="8">
        <v>2.5</v>
      </c>
      <c r="N70" s="1" t="s">
        <v>836</v>
      </c>
      <c r="O70" s="1" t="s">
        <v>1571</v>
      </c>
      <c r="P70" s="8">
        <f>(K52)</f>
        <v>3217.3</v>
      </c>
      <c r="Q70" s="1" t="s">
        <v>836</v>
      </c>
      <c r="R70" s="8">
        <f>(M70*P70)</f>
        <v>8043.25</v>
      </c>
      <c r="AE70" s="443">
        <f t="shared" si="1"/>
        <v>0</v>
      </c>
      <c r="AG70" s="1"/>
      <c r="AH70">
        <f t="shared" si="3"/>
        <v>0</v>
      </c>
      <c r="AN70" s="8">
        <v>2</v>
      </c>
      <c r="AO70" s="7" t="s">
        <v>835</v>
      </c>
      <c r="AP70" s="1" t="s">
        <v>1836</v>
      </c>
      <c r="AQ70" s="8">
        <f>V318</f>
        <v>562</v>
      </c>
      <c r="AR70" s="1" t="s">
        <v>835</v>
      </c>
      <c r="AS70" s="8">
        <f>(AN70*AQ70)</f>
        <v>1124</v>
      </c>
    </row>
    <row r="71" spans="1:45" ht="24" customHeight="1">
      <c r="A71" s="220">
        <f t="shared" si="15"/>
        <v>56</v>
      </c>
      <c r="B71" s="530" t="s">
        <v>1438</v>
      </c>
      <c r="C71" s="423">
        <f t="shared" ref="C71:C77" si="16">AC9</f>
        <v>594.38</v>
      </c>
      <c r="D71" s="530" t="s">
        <v>836</v>
      </c>
      <c r="H71" s="1" t="s">
        <v>1459</v>
      </c>
      <c r="K71" s="39">
        <f>SUM(K66:K69)</f>
        <v>2728.58</v>
      </c>
      <c r="M71" s="8">
        <v>3.5</v>
      </c>
      <c r="N71" s="1" t="s">
        <v>835</v>
      </c>
      <c r="O71" s="1" t="s">
        <v>1938</v>
      </c>
      <c r="P71" s="8">
        <f>(C10)</f>
        <v>861</v>
      </c>
      <c r="Q71" s="1" t="s">
        <v>835</v>
      </c>
      <c r="R71" s="8">
        <f>(M71*P71)</f>
        <v>3013.5</v>
      </c>
      <c r="AE71" s="443">
        <f t="shared" si="1"/>
        <v>0</v>
      </c>
      <c r="AG71" s="1"/>
      <c r="AH71">
        <f t="shared" si="3"/>
        <v>0</v>
      </c>
      <c r="AN71" s="8">
        <v>6</v>
      </c>
      <c r="AO71" s="7" t="s">
        <v>835</v>
      </c>
      <c r="AP71" s="1" t="s">
        <v>299</v>
      </c>
      <c r="AQ71" s="8">
        <f>V319</f>
        <v>461</v>
      </c>
      <c r="AR71" s="1" t="s">
        <v>835</v>
      </c>
      <c r="AS71" s="8">
        <f>(AN71*AQ71)</f>
        <v>2766</v>
      </c>
    </row>
    <row r="72" spans="1:45" ht="24" customHeight="1">
      <c r="A72" s="220">
        <f t="shared" si="15"/>
        <v>57</v>
      </c>
      <c r="B72" s="530" t="s">
        <v>839</v>
      </c>
      <c r="C72" s="423">
        <f t="shared" si="16"/>
        <v>791.38</v>
      </c>
      <c r="D72" s="530" t="s">
        <v>836</v>
      </c>
      <c r="K72" s="5" t="s">
        <v>1530</v>
      </c>
      <c r="M72" s="8">
        <v>10.6</v>
      </c>
      <c r="N72" s="1" t="s">
        <v>835</v>
      </c>
      <c r="O72" s="1" t="s">
        <v>1654</v>
      </c>
      <c r="P72" s="8">
        <f>(C11)</f>
        <v>804</v>
      </c>
      <c r="Q72" s="1" t="s">
        <v>835</v>
      </c>
      <c r="R72" s="8">
        <f>(M72*P72)</f>
        <v>8522.4</v>
      </c>
      <c r="AE72" s="443">
        <f t="shared" si="1"/>
        <v>0</v>
      </c>
      <c r="AG72" s="1"/>
      <c r="AH72">
        <f t="shared" si="3"/>
        <v>0</v>
      </c>
      <c r="AO72" s="7" t="s">
        <v>419</v>
      </c>
      <c r="AP72" s="1" t="s">
        <v>420</v>
      </c>
      <c r="AR72" s="1" t="s">
        <v>419</v>
      </c>
      <c r="AS72" s="8">
        <v>0</v>
      </c>
    </row>
    <row r="73" spans="1:45" ht="24" customHeight="1">
      <c r="A73" s="220">
        <f t="shared" si="15"/>
        <v>58</v>
      </c>
      <c r="B73" s="530" t="s">
        <v>1439</v>
      </c>
      <c r="C73" s="423">
        <f t="shared" si="16"/>
        <v>893.71</v>
      </c>
      <c r="D73" s="530" t="s">
        <v>836</v>
      </c>
      <c r="G73" s="7" t="s">
        <v>2167</v>
      </c>
      <c r="H73" s="1" t="s">
        <v>1578</v>
      </c>
      <c r="M73" s="8">
        <v>7.1</v>
      </c>
      <c r="N73" s="1" t="s">
        <v>835</v>
      </c>
      <c r="O73" s="1" t="s">
        <v>1836</v>
      </c>
      <c r="P73" s="8">
        <f>(C12)</f>
        <v>562</v>
      </c>
      <c r="Q73" s="1" t="s">
        <v>835</v>
      </c>
      <c r="R73" s="8">
        <f>(M73*P73)</f>
        <v>3990.2</v>
      </c>
      <c r="AE73" s="443">
        <f t="shared" si="1"/>
        <v>0</v>
      </c>
      <c r="AG73" s="1"/>
      <c r="AH73">
        <f t="shared" si="3"/>
        <v>0</v>
      </c>
      <c r="AO73" s="3"/>
      <c r="AR73" s="11"/>
      <c r="AS73" s="5" t="s">
        <v>1530</v>
      </c>
    </row>
    <row r="74" spans="1:45" ht="24" customHeight="1">
      <c r="A74" s="220">
        <f t="shared" si="15"/>
        <v>59</v>
      </c>
      <c r="B74" s="530" t="s">
        <v>1440</v>
      </c>
      <c r="C74" s="423">
        <f t="shared" si="16"/>
        <v>1126.3800000000001</v>
      </c>
      <c r="D74" s="530" t="s">
        <v>836</v>
      </c>
      <c r="H74" s="5" t="s">
        <v>1530</v>
      </c>
      <c r="M74" s="443">
        <v>21.2</v>
      </c>
      <c r="N74" s="1" t="s">
        <v>835</v>
      </c>
      <c r="O74" s="1" t="s">
        <v>299</v>
      </c>
      <c r="P74" s="8">
        <f>(C13)</f>
        <v>461</v>
      </c>
      <c r="Q74" s="1" t="s">
        <v>835</v>
      </c>
      <c r="R74" s="8">
        <f>(M74*P74)</f>
        <v>9773.2000000000007</v>
      </c>
      <c r="AE74" s="443">
        <f t="shared" si="1"/>
        <v>0</v>
      </c>
      <c r="AG74" s="1"/>
      <c r="AH74">
        <f t="shared" si="3"/>
        <v>0</v>
      </c>
      <c r="AO74" s="3"/>
      <c r="AP74" s="1" t="s">
        <v>3666</v>
      </c>
      <c r="AR74" s="11"/>
      <c r="AS74" s="8">
        <f>SUM(AS66:AS72)</f>
        <v>17806.349999999999</v>
      </c>
    </row>
    <row r="75" spans="1:45" ht="24" customHeight="1">
      <c r="A75" s="220">
        <f t="shared" si="15"/>
        <v>60</v>
      </c>
      <c r="B75" s="530" t="s">
        <v>1441</v>
      </c>
      <c r="C75" s="423">
        <f t="shared" si="16"/>
        <v>1478.38</v>
      </c>
      <c r="D75" s="530" t="s">
        <v>836</v>
      </c>
      <c r="F75" s="8">
        <v>0.18</v>
      </c>
      <c r="G75" s="7" t="s">
        <v>828</v>
      </c>
      <c r="H75" s="1" t="s">
        <v>829</v>
      </c>
      <c r="I75" s="8">
        <f>(C70)</f>
        <v>5960</v>
      </c>
      <c r="J75" s="1" t="s">
        <v>828</v>
      </c>
      <c r="K75" s="8">
        <f>(F75*I75)</f>
        <v>1072.8</v>
      </c>
      <c r="N75" s="1" t="s">
        <v>419</v>
      </c>
      <c r="O75" s="1" t="s">
        <v>420</v>
      </c>
      <c r="Q75" s="1" t="s">
        <v>419</v>
      </c>
      <c r="R75" s="8">
        <v>0</v>
      </c>
      <c r="AE75" s="443">
        <f t="shared" si="1"/>
        <v>0</v>
      </c>
      <c r="AG75" s="1"/>
      <c r="AH75">
        <f t="shared" si="3"/>
        <v>0</v>
      </c>
      <c r="AO75" s="3"/>
      <c r="AR75" s="11"/>
      <c r="AS75" s="5" t="s">
        <v>1530</v>
      </c>
    </row>
    <row r="76" spans="1:45" ht="24" customHeight="1">
      <c r="A76" s="220">
        <f t="shared" si="15"/>
        <v>61</v>
      </c>
      <c r="B76" s="530" t="s">
        <v>623</v>
      </c>
      <c r="C76" s="423">
        <f t="shared" si="16"/>
        <v>1581.38</v>
      </c>
      <c r="D76" s="530" t="s">
        <v>836</v>
      </c>
      <c r="F76" s="8">
        <v>1</v>
      </c>
      <c r="G76" s="7" t="s">
        <v>836</v>
      </c>
      <c r="H76" s="1" t="s">
        <v>837</v>
      </c>
      <c r="I76" s="8">
        <f>(C81)</f>
        <v>1400.82</v>
      </c>
      <c r="J76" s="1" t="s">
        <v>836</v>
      </c>
      <c r="K76" s="8">
        <f>(F76*I76)</f>
        <v>1400.82</v>
      </c>
      <c r="R76" s="5" t="s">
        <v>1530</v>
      </c>
      <c r="AE76" s="443">
        <f t="shared" si="1"/>
        <v>0</v>
      </c>
      <c r="AG76" s="1"/>
      <c r="AH76">
        <f t="shared" si="3"/>
        <v>0</v>
      </c>
      <c r="AO76" s="3"/>
      <c r="AP76" s="59" t="s">
        <v>743</v>
      </c>
      <c r="AR76" s="11"/>
      <c r="AS76" s="39">
        <f>(AS74/2.83168)</f>
        <v>6288.26</v>
      </c>
    </row>
    <row r="77" spans="1:45" ht="24" customHeight="1">
      <c r="A77" s="220">
        <f t="shared" si="15"/>
        <v>62</v>
      </c>
      <c r="B77" s="530" t="s">
        <v>919</v>
      </c>
      <c r="C77" s="423">
        <f t="shared" si="16"/>
        <v>1178.3800000000001</v>
      </c>
      <c r="D77" s="530" t="s">
        <v>836</v>
      </c>
      <c r="F77" s="8">
        <v>1</v>
      </c>
      <c r="G77" s="7" t="s">
        <v>836</v>
      </c>
      <c r="H77" s="1" t="s">
        <v>841</v>
      </c>
      <c r="I77" s="8">
        <f>(C18)</f>
        <v>100</v>
      </c>
      <c r="J77" s="1" t="s">
        <v>836</v>
      </c>
      <c r="K77" s="8">
        <f>(F77*I77)</f>
        <v>100</v>
      </c>
      <c r="O77" s="1" t="s">
        <v>583</v>
      </c>
      <c r="R77" s="8">
        <f>SUM(R69:R75)</f>
        <v>62943.55</v>
      </c>
      <c r="AE77" s="443">
        <f t="shared" ref="AE77:AE131" si="17">AF77</f>
        <v>0</v>
      </c>
      <c r="AG77" s="1"/>
      <c r="AH77">
        <f t="shared" ref="AH77:AH126" si="18">AF77*1.2</f>
        <v>0</v>
      </c>
      <c r="AO77" s="3"/>
      <c r="AR77" s="11"/>
      <c r="AS77" s="5" t="s">
        <v>1980</v>
      </c>
    </row>
    <row r="78" spans="1:45" ht="24" customHeight="1">
      <c r="A78" s="220">
        <f t="shared" si="15"/>
        <v>63</v>
      </c>
      <c r="B78" s="530" t="s">
        <v>920</v>
      </c>
      <c r="C78" s="162">
        <v>175</v>
      </c>
      <c r="D78" s="221" t="s">
        <v>2167</v>
      </c>
      <c r="G78" s="7" t="s">
        <v>419</v>
      </c>
      <c r="H78" s="1" t="s">
        <v>420</v>
      </c>
      <c r="I78" s="1" t="s">
        <v>940</v>
      </c>
      <c r="J78" s="1" t="s">
        <v>419</v>
      </c>
      <c r="K78" s="8">
        <v>0</v>
      </c>
      <c r="R78" s="5" t="s">
        <v>1530</v>
      </c>
      <c r="AE78" s="443">
        <f t="shared" si="17"/>
        <v>0</v>
      </c>
      <c r="AG78" s="1"/>
      <c r="AH78">
        <f t="shared" si="18"/>
        <v>0</v>
      </c>
      <c r="AO78" s="3"/>
      <c r="AP78" s="1" t="s">
        <v>361</v>
      </c>
      <c r="AR78" s="11"/>
      <c r="AS78" s="8">
        <f>AS76+C19</f>
        <v>6356.26</v>
      </c>
    </row>
    <row r="79" spans="1:45" ht="24" customHeight="1">
      <c r="A79" s="220">
        <f t="shared" si="15"/>
        <v>64</v>
      </c>
      <c r="B79" s="530" t="s">
        <v>921</v>
      </c>
      <c r="C79" s="162">
        <v>460</v>
      </c>
      <c r="D79" s="545">
        <v>290</v>
      </c>
      <c r="E79" t="s">
        <v>4122</v>
      </c>
      <c r="K79" s="5" t="s">
        <v>1530</v>
      </c>
      <c r="O79" s="1" t="s">
        <v>743</v>
      </c>
      <c r="R79" s="8">
        <f>(R77/10)</f>
        <v>6294.36</v>
      </c>
      <c r="AE79" s="443">
        <f t="shared" si="17"/>
        <v>0</v>
      </c>
      <c r="AG79" s="1"/>
      <c r="AH79">
        <f t="shared" si="18"/>
        <v>0</v>
      </c>
      <c r="AO79" s="3"/>
      <c r="AP79" s="1" t="s">
        <v>363</v>
      </c>
      <c r="AR79" s="11"/>
      <c r="AS79" s="8">
        <f>AS78+C20</f>
        <v>6493.46</v>
      </c>
    </row>
    <row r="80" spans="1:45" ht="24" customHeight="1">
      <c r="A80" s="220">
        <f t="shared" si="15"/>
        <v>65</v>
      </c>
      <c r="B80" s="530" t="s">
        <v>1495</v>
      </c>
      <c r="C80" s="222">
        <f>AC34</f>
        <v>4223.17</v>
      </c>
      <c r="D80" s="221" t="s">
        <v>836</v>
      </c>
      <c r="H80" s="1" t="s">
        <v>1459</v>
      </c>
      <c r="K80" s="39">
        <f>SUM(K75:K78)</f>
        <v>2573.62</v>
      </c>
      <c r="R80" s="5" t="s">
        <v>1980</v>
      </c>
      <c r="AE80" s="443">
        <f t="shared" si="17"/>
        <v>0</v>
      </c>
      <c r="AG80" s="1"/>
      <c r="AH80">
        <f t="shared" si="18"/>
        <v>0</v>
      </c>
      <c r="AO80" s="3"/>
      <c r="AP80" s="1" t="s">
        <v>2149</v>
      </c>
      <c r="AR80" s="11"/>
      <c r="AS80" s="8">
        <f>AS79+C20</f>
        <v>6630.66</v>
      </c>
    </row>
    <row r="81" spans="1:45" ht="24" customHeight="1">
      <c r="A81" s="220">
        <f t="shared" si="15"/>
        <v>66</v>
      </c>
      <c r="B81" s="530" t="s">
        <v>1366</v>
      </c>
      <c r="C81" s="222">
        <f t="shared" ref="C81:C94" si="19">AC16</f>
        <v>1400.82</v>
      </c>
      <c r="D81" s="221" t="s">
        <v>836</v>
      </c>
      <c r="K81" s="5" t="s">
        <v>1530</v>
      </c>
      <c r="AE81" s="443">
        <f t="shared" si="17"/>
        <v>0</v>
      </c>
      <c r="AG81" s="1"/>
      <c r="AH81">
        <f t="shared" si="18"/>
        <v>0</v>
      </c>
      <c r="AO81" s="3"/>
      <c r="AP81" s="1" t="s">
        <v>355</v>
      </c>
      <c r="AR81" s="11"/>
      <c r="AS81" s="8">
        <f>AS80+C20</f>
        <v>6767.86</v>
      </c>
    </row>
    <row r="82" spans="1:45" ht="24" customHeight="1">
      <c r="A82" s="220">
        <f t="shared" si="15"/>
        <v>67</v>
      </c>
      <c r="B82" s="530" t="s">
        <v>1002</v>
      </c>
      <c r="C82" s="222">
        <f t="shared" si="19"/>
        <v>1400.82</v>
      </c>
      <c r="D82" s="221" t="s">
        <v>836</v>
      </c>
      <c r="F82" s="25">
        <v>1.1000000000000001</v>
      </c>
      <c r="G82" s="7" t="s">
        <v>940</v>
      </c>
      <c r="H82" s="1" t="s">
        <v>1367</v>
      </c>
      <c r="S82" s="21">
        <v>1.1000000000000001</v>
      </c>
      <c r="T82" s="7" t="s">
        <v>940</v>
      </c>
      <c r="U82" s="34" t="s">
        <v>2081</v>
      </c>
      <c r="W82" s="11"/>
      <c r="AE82" s="443">
        <f t="shared" si="17"/>
        <v>0</v>
      </c>
      <c r="AG82" s="1"/>
      <c r="AH82">
        <f t="shared" si="18"/>
        <v>0</v>
      </c>
      <c r="AO82" s="3"/>
      <c r="AP82" s="1" t="s">
        <v>453</v>
      </c>
      <c r="AR82" s="11"/>
      <c r="AS82" s="8">
        <f>AS81+C20</f>
        <v>6905.06</v>
      </c>
    </row>
    <row r="83" spans="1:45" ht="24" customHeight="1">
      <c r="A83" s="220">
        <f t="shared" si="15"/>
        <v>68</v>
      </c>
      <c r="B83" s="530" t="s">
        <v>1423</v>
      </c>
      <c r="C83" s="222">
        <f t="shared" si="19"/>
        <v>5598.17</v>
      </c>
      <c r="D83" s="221" t="s">
        <v>1424</v>
      </c>
      <c r="F83" s="14" t="s">
        <v>940</v>
      </c>
      <c r="H83" s="1" t="s">
        <v>1425</v>
      </c>
      <c r="S83" s="413" t="s">
        <v>940</v>
      </c>
      <c r="T83" s="3"/>
      <c r="U83" s="1" t="s">
        <v>1425</v>
      </c>
      <c r="W83" s="11"/>
      <c r="AE83" s="443">
        <f t="shared" si="17"/>
        <v>0</v>
      </c>
      <c r="AG83" s="1"/>
      <c r="AH83">
        <f t="shared" si="18"/>
        <v>0</v>
      </c>
      <c r="AQ83" s="52"/>
      <c r="AS83" s="1"/>
    </row>
    <row r="84" spans="1:45" ht="24" customHeight="1">
      <c r="A84" s="220">
        <f t="shared" si="15"/>
        <v>69</v>
      </c>
      <c r="B84" s="530" t="s">
        <v>64</v>
      </c>
      <c r="C84" s="222">
        <f t="shared" si="19"/>
        <v>710.92</v>
      </c>
      <c r="D84" s="221" t="s">
        <v>836</v>
      </c>
      <c r="F84" s="8">
        <v>10</v>
      </c>
      <c r="G84" s="7" t="s">
        <v>836</v>
      </c>
      <c r="H84" s="1" t="s">
        <v>1138</v>
      </c>
      <c r="I84" s="8">
        <f>(C64)</f>
        <v>96.6</v>
      </c>
      <c r="J84" s="1" t="s">
        <v>836</v>
      </c>
      <c r="K84" s="8">
        <f>(F84*I84)</f>
        <v>966</v>
      </c>
      <c r="S84" s="13">
        <v>10</v>
      </c>
      <c r="T84" s="7" t="s">
        <v>836</v>
      </c>
      <c r="U84" s="1" t="s">
        <v>1138</v>
      </c>
      <c r="V84" s="8">
        <f>AE39</f>
        <v>64.5</v>
      </c>
      <c r="W84" s="1" t="s">
        <v>836</v>
      </c>
      <c r="X84" s="8">
        <f>(S84*V84)</f>
        <v>645</v>
      </c>
      <c r="AE84" s="443">
        <f t="shared" si="17"/>
        <v>0</v>
      </c>
      <c r="AG84" s="1"/>
      <c r="AH84">
        <f t="shared" si="18"/>
        <v>0</v>
      </c>
      <c r="AQ84" s="52"/>
      <c r="AS84" s="1"/>
    </row>
    <row r="85" spans="1:45" ht="24" customHeight="1">
      <c r="A85" s="220">
        <f t="shared" si="15"/>
        <v>70</v>
      </c>
      <c r="B85" s="530" t="s">
        <v>1939</v>
      </c>
      <c r="C85" s="222">
        <f t="shared" si="19"/>
        <v>789.92</v>
      </c>
      <c r="D85" s="221" t="s">
        <v>836</v>
      </c>
      <c r="F85" s="8">
        <v>10</v>
      </c>
      <c r="G85" s="7" t="s">
        <v>836</v>
      </c>
      <c r="H85" s="1" t="s">
        <v>1940</v>
      </c>
      <c r="I85" s="8">
        <f>(C64)</f>
        <v>96.6</v>
      </c>
      <c r="J85" s="1" t="s">
        <v>836</v>
      </c>
      <c r="K85" s="8">
        <f>(F85*I85)</f>
        <v>966</v>
      </c>
      <c r="L85">
        <f>I85+I84</f>
        <v>193.2</v>
      </c>
      <c r="S85" s="13">
        <v>10</v>
      </c>
      <c r="T85" s="7" t="s">
        <v>836</v>
      </c>
      <c r="U85" s="1" t="s">
        <v>1940</v>
      </c>
      <c r="V85" s="8">
        <f>V84</f>
        <v>64.5</v>
      </c>
      <c r="W85" s="1" t="s">
        <v>836</v>
      </c>
      <c r="X85" s="8">
        <f>(S85*V85)</f>
        <v>645</v>
      </c>
      <c r="AE85" s="443">
        <f t="shared" si="17"/>
        <v>0</v>
      </c>
      <c r="AG85" s="1"/>
      <c r="AH85">
        <f t="shared" si="18"/>
        <v>0</v>
      </c>
      <c r="AQ85" s="52"/>
      <c r="AS85" s="1"/>
    </row>
    <row r="86" spans="1:45" ht="24" customHeight="1">
      <c r="A86" s="220">
        <f t="shared" si="15"/>
        <v>71</v>
      </c>
      <c r="B86" s="530" t="s">
        <v>1941</v>
      </c>
      <c r="C86" s="222">
        <f t="shared" si="19"/>
        <v>16106</v>
      </c>
      <c r="D86" s="221" t="s">
        <v>1424</v>
      </c>
      <c r="E86" s="905">
        <v>8710</v>
      </c>
      <c r="F86" s="8">
        <v>10</v>
      </c>
      <c r="G86" s="7" t="s">
        <v>836</v>
      </c>
      <c r="H86" s="1" t="s">
        <v>1942</v>
      </c>
      <c r="I86" s="8">
        <f>(C26)/3</f>
        <v>11.2</v>
      </c>
      <c r="J86" s="1" t="s">
        <v>836</v>
      </c>
      <c r="K86" s="8">
        <f>(F86*I86)</f>
        <v>112</v>
      </c>
      <c r="S86" s="13">
        <v>10</v>
      </c>
      <c r="T86" s="7" t="s">
        <v>836</v>
      </c>
      <c r="U86" s="1" t="s">
        <v>1942</v>
      </c>
      <c r="V86" s="8">
        <f>AE27/3</f>
        <v>9.83</v>
      </c>
      <c r="W86" s="1" t="s">
        <v>836</v>
      </c>
      <c r="X86" s="8">
        <f>(S86*V86)</f>
        <v>98.3</v>
      </c>
      <c r="AE86" s="443">
        <f t="shared" si="17"/>
        <v>0</v>
      </c>
      <c r="AG86" s="1"/>
      <c r="AH86">
        <f t="shared" si="18"/>
        <v>0</v>
      </c>
      <c r="AQ86" s="52"/>
      <c r="AS86" s="1"/>
    </row>
    <row r="87" spans="1:45" ht="24" customHeight="1">
      <c r="A87" s="220">
        <f t="shared" si="15"/>
        <v>72</v>
      </c>
      <c r="B87" s="530" t="s">
        <v>1943</v>
      </c>
      <c r="C87" s="222">
        <f t="shared" si="19"/>
        <v>1322</v>
      </c>
      <c r="D87" s="221" t="s">
        <v>836</v>
      </c>
      <c r="G87" s="7" t="s">
        <v>419</v>
      </c>
      <c r="H87" s="1" t="s">
        <v>420</v>
      </c>
      <c r="J87" s="1" t="s">
        <v>419</v>
      </c>
      <c r="K87" s="8">
        <v>0</v>
      </c>
      <c r="T87" s="7" t="s">
        <v>419</v>
      </c>
      <c r="U87" s="1" t="s">
        <v>420</v>
      </c>
      <c r="W87" s="1" t="s">
        <v>419</v>
      </c>
      <c r="X87" s="8">
        <v>0</v>
      </c>
      <c r="AE87" s="443">
        <f t="shared" si="17"/>
        <v>0</v>
      </c>
      <c r="AG87" s="1"/>
      <c r="AH87">
        <f t="shared" si="18"/>
        <v>0</v>
      </c>
      <c r="AN87" s="12">
        <v>9</v>
      </c>
      <c r="AO87" s="7" t="s">
        <v>2167</v>
      </c>
      <c r="AP87" s="1" t="s">
        <v>3667</v>
      </c>
      <c r="AR87" s="11"/>
    </row>
    <row r="88" spans="1:45" ht="24" customHeight="1">
      <c r="A88" s="220">
        <f t="shared" si="15"/>
        <v>73</v>
      </c>
      <c r="B88" s="530" t="s">
        <v>1933</v>
      </c>
      <c r="C88" s="222">
        <f t="shared" si="19"/>
        <v>974</v>
      </c>
      <c r="D88" s="221" t="s">
        <v>836</v>
      </c>
      <c r="K88" s="5" t="s">
        <v>1530</v>
      </c>
      <c r="T88" s="3"/>
      <c r="W88" s="11"/>
      <c r="X88" s="5" t="s">
        <v>1530</v>
      </c>
      <c r="AE88" s="443">
        <f t="shared" si="17"/>
        <v>0</v>
      </c>
      <c r="AG88" s="1"/>
      <c r="AH88">
        <f t="shared" si="18"/>
        <v>0</v>
      </c>
      <c r="AO88" s="3"/>
      <c r="AP88" s="1" t="str">
        <f>AP64</f>
        <v>Bricks of size 23x11x7 cm</v>
      </c>
      <c r="AR88" s="11"/>
    </row>
    <row r="89" spans="1:45" ht="24" customHeight="1">
      <c r="A89" s="220">
        <f t="shared" si="15"/>
        <v>74</v>
      </c>
      <c r="B89" s="530" t="s">
        <v>3804</v>
      </c>
      <c r="C89" s="222">
        <f t="shared" si="19"/>
        <v>34300</v>
      </c>
      <c r="D89" s="221" t="s">
        <v>836</v>
      </c>
      <c r="H89" s="1" t="s">
        <v>583</v>
      </c>
      <c r="K89" s="8">
        <f>SUM(K84:K87)</f>
        <v>2044</v>
      </c>
      <c r="T89" s="3"/>
      <c r="U89" s="1" t="s">
        <v>583</v>
      </c>
      <c r="W89" s="11"/>
      <c r="X89" s="8">
        <f>SUM(X84:X87)</f>
        <v>1388.3</v>
      </c>
      <c r="AE89" s="443">
        <f t="shared" si="17"/>
        <v>0</v>
      </c>
      <c r="AG89" s="1"/>
      <c r="AH89">
        <f t="shared" si="18"/>
        <v>0</v>
      </c>
      <c r="AO89" s="3"/>
      <c r="AP89" s="5" t="s">
        <v>1530</v>
      </c>
      <c r="AR89" s="11"/>
    </row>
    <row r="90" spans="1:45" ht="24" customHeight="1">
      <c r="A90" s="220">
        <f t="shared" si="15"/>
        <v>75</v>
      </c>
      <c r="B90" s="530" t="s">
        <v>1945</v>
      </c>
      <c r="C90" s="222">
        <f t="shared" si="19"/>
        <v>39400</v>
      </c>
      <c r="D90" s="221" t="s">
        <v>836</v>
      </c>
      <c r="K90" s="5" t="s">
        <v>1530</v>
      </c>
      <c r="T90" s="3"/>
      <c r="W90" s="11"/>
      <c r="X90" s="5" t="s">
        <v>1530</v>
      </c>
      <c r="AE90" s="443">
        <f t="shared" si="17"/>
        <v>0</v>
      </c>
      <c r="AG90" s="1"/>
      <c r="AH90">
        <f t="shared" si="18"/>
        <v>0</v>
      </c>
      <c r="AN90" s="8">
        <f>AN66</f>
        <v>1300</v>
      </c>
      <c r="AO90" s="7" t="s">
        <v>1368</v>
      </c>
      <c r="AP90" s="8" t="str">
        <f>AP64</f>
        <v>Bricks of size 23x11x7 cm</v>
      </c>
      <c r="AQ90" s="8">
        <f>AC48</f>
        <v>6435</v>
      </c>
      <c r="AR90" s="1" t="s">
        <v>1538</v>
      </c>
      <c r="AS90" s="8">
        <f>AQ90*AN90/1000</f>
        <v>8365.5</v>
      </c>
    </row>
    <row r="91" spans="1:45" ht="36" customHeight="1">
      <c r="A91" s="220">
        <f t="shared" si="15"/>
        <v>76</v>
      </c>
      <c r="B91" s="530" t="s">
        <v>1946</v>
      </c>
      <c r="C91" s="222">
        <f t="shared" si="19"/>
        <v>111600</v>
      </c>
      <c r="D91" s="221" t="s">
        <v>836</v>
      </c>
      <c r="H91" s="34" t="s">
        <v>1976</v>
      </c>
      <c r="I91" s="37" t="s">
        <v>1342</v>
      </c>
      <c r="J91" s="99"/>
      <c r="K91" s="39">
        <f>(K89/10)</f>
        <v>204.4</v>
      </c>
      <c r="T91" s="3"/>
      <c r="U91" s="34" t="s">
        <v>1976</v>
      </c>
      <c r="V91" s="37" t="s">
        <v>1342</v>
      </c>
      <c r="W91" s="99"/>
      <c r="X91" s="39">
        <f>(X89/10)</f>
        <v>138.83000000000001</v>
      </c>
      <c r="AE91" s="443">
        <f t="shared" si="17"/>
        <v>0</v>
      </c>
      <c r="AG91" s="1"/>
      <c r="AH91">
        <f t="shared" si="18"/>
        <v>0</v>
      </c>
      <c r="AN91" s="13">
        <f>AN67</f>
        <v>0.70799999999999996</v>
      </c>
      <c r="AO91" s="7" t="s">
        <v>836</v>
      </c>
      <c r="AP91" s="1" t="s">
        <v>1577</v>
      </c>
      <c r="AQ91" s="8">
        <f>K61</f>
        <v>2931.22</v>
      </c>
      <c r="AR91" s="1" t="s">
        <v>836</v>
      </c>
      <c r="AS91" s="8">
        <f>AQ91*AN91</f>
        <v>2075.3000000000002</v>
      </c>
    </row>
    <row r="92" spans="1:45" ht="19.5" customHeight="1">
      <c r="A92" s="220">
        <f t="shared" si="15"/>
        <v>77</v>
      </c>
      <c r="B92" s="530" t="s">
        <v>277</v>
      </c>
      <c r="C92" s="222">
        <f t="shared" si="19"/>
        <v>99400</v>
      </c>
      <c r="D92" s="221" t="s">
        <v>836</v>
      </c>
      <c r="I92" s="37" t="s">
        <v>1310</v>
      </c>
      <c r="J92" s="99"/>
      <c r="K92" s="42">
        <f>ROUND(K91+C36,2)</f>
        <v>213.7</v>
      </c>
      <c r="T92" s="3"/>
      <c r="V92" s="37" t="s">
        <v>1310</v>
      </c>
      <c r="W92" s="99"/>
      <c r="X92" s="42">
        <f>ROUND(X91+C36,2)</f>
        <v>148.13</v>
      </c>
      <c r="AE92" s="443">
        <f t="shared" si="17"/>
        <v>0</v>
      </c>
      <c r="AG92" s="1"/>
      <c r="AH92">
        <f t="shared" si="18"/>
        <v>0</v>
      </c>
      <c r="AN92" s="8">
        <v>1</v>
      </c>
      <c r="AO92" s="7" t="s">
        <v>835</v>
      </c>
      <c r="AP92" s="1" t="s">
        <v>1938</v>
      </c>
      <c r="AQ92" s="8">
        <f>AQ68</f>
        <v>861</v>
      </c>
      <c r="AR92" s="1" t="s">
        <v>835</v>
      </c>
      <c r="AS92" s="8">
        <f>AQ92*AN92</f>
        <v>861</v>
      </c>
    </row>
    <row r="93" spans="1:45" ht="36" customHeight="1">
      <c r="A93" s="220">
        <f t="shared" si="15"/>
        <v>78</v>
      </c>
      <c r="B93" s="530" t="s">
        <v>278</v>
      </c>
      <c r="C93" s="222">
        <f>AC28</f>
        <v>95000</v>
      </c>
      <c r="D93" s="221" t="s">
        <v>836</v>
      </c>
      <c r="F93" s="12" t="s">
        <v>1471</v>
      </c>
      <c r="H93" s="38" t="s">
        <v>1874</v>
      </c>
      <c r="I93" s="37" t="s">
        <v>1342</v>
      </c>
      <c r="J93" s="99"/>
      <c r="K93" s="39">
        <f>K91-K86/10</f>
        <v>193.2</v>
      </c>
      <c r="S93" s="21" t="s">
        <v>1471</v>
      </c>
      <c r="T93" s="3"/>
      <c r="U93" s="38" t="s">
        <v>155</v>
      </c>
      <c r="V93" s="37" t="s">
        <v>1342</v>
      </c>
      <c r="W93" s="99"/>
      <c r="X93" s="39">
        <f>X91-X86/10</f>
        <v>129</v>
      </c>
      <c r="AE93" s="443">
        <f t="shared" si="17"/>
        <v>0</v>
      </c>
      <c r="AG93" s="1"/>
      <c r="AH93">
        <f t="shared" si="18"/>
        <v>0</v>
      </c>
      <c r="AN93" s="8">
        <v>3</v>
      </c>
      <c r="AO93" s="7" t="s">
        <v>835</v>
      </c>
      <c r="AP93" s="1" t="s">
        <v>1654</v>
      </c>
      <c r="AQ93" s="8">
        <f>AQ69</f>
        <v>804</v>
      </c>
      <c r="AR93" s="1" t="s">
        <v>835</v>
      </c>
      <c r="AS93" s="8">
        <f>AQ93*AN93</f>
        <v>2412</v>
      </c>
    </row>
    <row r="94" spans="1:45" ht="24" customHeight="1">
      <c r="A94" s="220">
        <f t="shared" si="15"/>
        <v>79</v>
      </c>
      <c r="B94" s="530" t="s">
        <v>1496</v>
      </c>
      <c r="C94" s="222">
        <f t="shared" si="19"/>
        <v>4223.17</v>
      </c>
      <c r="D94" s="221" t="s">
        <v>1424</v>
      </c>
      <c r="I94" s="37" t="s">
        <v>1310</v>
      </c>
      <c r="J94" s="99"/>
      <c r="K94" s="42">
        <f>ROUND(K93+C36,2)</f>
        <v>202.5</v>
      </c>
      <c r="T94" s="3"/>
      <c r="V94" s="37" t="s">
        <v>1310</v>
      </c>
      <c r="W94" s="99"/>
      <c r="X94" s="42">
        <f>ROUND(X93+C36,2)</f>
        <v>138.30000000000001</v>
      </c>
      <c r="AE94" s="443">
        <f t="shared" si="17"/>
        <v>0</v>
      </c>
      <c r="AG94" s="1"/>
      <c r="AH94">
        <f t="shared" si="18"/>
        <v>0</v>
      </c>
      <c r="AN94" s="8">
        <v>2</v>
      </c>
      <c r="AO94" s="7" t="s">
        <v>835</v>
      </c>
      <c r="AP94" s="1" t="s">
        <v>1836</v>
      </c>
      <c r="AQ94" s="8">
        <f>AQ70</f>
        <v>562</v>
      </c>
      <c r="AR94" s="1" t="s">
        <v>835</v>
      </c>
      <c r="AS94" s="8">
        <f>AQ94*AN94</f>
        <v>1124</v>
      </c>
    </row>
    <row r="95" spans="1:45" ht="24" customHeight="1">
      <c r="A95" s="223"/>
      <c r="B95" s="223"/>
      <c r="C95" s="223"/>
      <c r="D95" s="223"/>
      <c r="F95" s="12" t="s">
        <v>2016</v>
      </c>
      <c r="G95" s="7" t="s">
        <v>940</v>
      </c>
      <c r="H95" s="1" t="s">
        <v>475</v>
      </c>
      <c r="S95" s="21"/>
      <c r="T95" s="7"/>
      <c r="U95" s="1"/>
      <c r="W95" s="11"/>
      <c r="AE95" s="443">
        <f t="shared" si="17"/>
        <v>0</v>
      </c>
      <c r="AH95">
        <f t="shared" si="18"/>
        <v>0</v>
      </c>
      <c r="AN95" s="8">
        <v>6</v>
      </c>
      <c r="AO95" s="7" t="s">
        <v>835</v>
      </c>
      <c r="AP95" s="1" t="s">
        <v>299</v>
      </c>
      <c r="AQ95" s="8">
        <f>AQ71</f>
        <v>461</v>
      </c>
      <c r="AR95" s="1" t="s">
        <v>835</v>
      </c>
      <c r="AS95" s="8">
        <f>AQ95*AN95</f>
        <v>2766</v>
      </c>
    </row>
    <row r="96" spans="1:45" ht="24" customHeight="1">
      <c r="A96" s="223"/>
      <c r="B96" s="223"/>
      <c r="C96" s="223"/>
      <c r="D96" s="223"/>
      <c r="F96" s="14" t="s">
        <v>940</v>
      </c>
      <c r="H96" s="5" t="s">
        <v>1530</v>
      </c>
      <c r="M96" t="s">
        <v>3177</v>
      </c>
      <c r="S96" s="413"/>
      <c r="T96" s="3"/>
      <c r="U96" s="5"/>
      <c r="W96" s="11"/>
      <c r="AE96" s="443">
        <f t="shared" si="17"/>
        <v>0</v>
      </c>
      <c r="AH96">
        <f t="shared" si="18"/>
        <v>0</v>
      </c>
      <c r="AO96" s="7" t="s">
        <v>419</v>
      </c>
      <c r="AP96" s="1" t="s">
        <v>420</v>
      </c>
      <c r="AR96" s="1" t="s">
        <v>419</v>
      </c>
      <c r="AS96" s="8">
        <v>0</v>
      </c>
    </row>
    <row r="97" spans="1:48" ht="24" customHeight="1">
      <c r="A97" s="223"/>
      <c r="B97" s="223"/>
      <c r="C97" s="223"/>
      <c r="D97" s="223"/>
      <c r="F97" s="8">
        <v>10</v>
      </c>
      <c r="G97" s="7" t="s">
        <v>836</v>
      </c>
      <c r="H97" s="1" t="s">
        <v>356</v>
      </c>
      <c r="I97" s="8">
        <f>D64</f>
        <v>143.9</v>
      </c>
      <c r="J97" s="1" t="s">
        <v>836</v>
      </c>
      <c r="K97" s="8">
        <f>(F97*I97)</f>
        <v>1439</v>
      </c>
      <c r="M97">
        <f>AE39</f>
        <v>64.5</v>
      </c>
      <c r="S97" s="13"/>
      <c r="T97" s="7"/>
      <c r="U97" s="1"/>
      <c r="V97" s="8"/>
      <c r="W97" s="1"/>
      <c r="X97" s="8"/>
      <c r="AE97" s="443">
        <f t="shared" si="17"/>
        <v>0</v>
      </c>
      <c r="AH97">
        <f t="shared" si="18"/>
        <v>0</v>
      </c>
      <c r="AO97" s="3"/>
      <c r="AR97" s="11"/>
      <c r="AS97" s="5" t="s">
        <v>1530</v>
      </c>
    </row>
    <row r="98" spans="1:48" ht="24" customHeight="1">
      <c r="A98" s="223"/>
      <c r="B98" s="223"/>
      <c r="C98" s="223"/>
      <c r="D98" s="223"/>
      <c r="F98" s="8">
        <v>10</v>
      </c>
      <c r="G98" s="7" t="s">
        <v>836</v>
      </c>
      <c r="H98" s="1" t="s">
        <v>1940</v>
      </c>
      <c r="I98" s="8">
        <f>D64</f>
        <v>143.9</v>
      </c>
      <c r="J98" s="1" t="s">
        <v>836</v>
      </c>
      <c r="K98" s="8">
        <f>(F98*I98)</f>
        <v>1439</v>
      </c>
      <c r="M98">
        <f>M97</f>
        <v>64.5</v>
      </c>
      <c r="S98" s="13"/>
      <c r="T98" s="7"/>
      <c r="U98" s="1"/>
      <c r="V98" s="8"/>
      <c r="W98" s="1"/>
      <c r="X98" s="8"/>
      <c r="AE98" s="443">
        <f t="shared" si="17"/>
        <v>0</v>
      </c>
      <c r="AH98">
        <f t="shared" si="18"/>
        <v>0</v>
      </c>
      <c r="AO98" s="3"/>
      <c r="AP98" s="1" t="s">
        <v>583</v>
      </c>
      <c r="AR98" s="11"/>
      <c r="AS98" s="8">
        <f>SUM(AS90:AS96)</f>
        <v>17603.8</v>
      </c>
    </row>
    <row r="99" spans="1:48" ht="24" customHeight="1">
      <c r="A99" s="223"/>
      <c r="B99" s="223"/>
      <c r="C99" s="223"/>
      <c r="D99" s="223"/>
      <c r="F99" s="8">
        <v>10</v>
      </c>
      <c r="G99" s="7" t="s">
        <v>836</v>
      </c>
      <c r="H99" s="1" t="s">
        <v>1942</v>
      </c>
      <c r="I99" s="8">
        <f>I86</f>
        <v>11.2</v>
      </c>
      <c r="J99" s="1" t="s">
        <v>836</v>
      </c>
      <c r="K99" s="8">
        <f>(F99*I99)</f>
        <v>112</v>
      </c>
      <c r="M99">
        <f>I99</f>
        <v>11.2</v>
      </c>
      <c r="S99" s="13"/>
      <c r="T99" s="7"/>
      <c r="U99" s="1"/>
      <c r="V99" s="8"/>
      <c r="W99" s="1"/>
      <c r="X99" s="8"/>
      <c r="AE99" s="443">
        <f t="shared" si="17"/>
        <v>0</v>
      </c>
      <c r="AH99">
        <f t="shared" si="18"/>
        <v>0</v>
      </c>
      <c r="AO99" s="3"/>
      <c r="AR99" s="11"/>
      <c r="AS99" s="5" t="s">
        <v>1530</v>
      </c>
    </row>
    <row r="100" spans="1:48" ht="24" customHeight="1">
      <c r="A100" s="223"/>
      <c r="B100" s="223"/>
      <c r="C100" s="223"/>
      <c r="D100" s="223"/>
      <c r="G100" s="7" t="s">
        <v>419</v>
      </c>
      <c r="H100" s="1" t="s">
        <v>420</v>
      </c>
      <c r="J100" s="1" t="s">
        <v>419</v>
      </c>
      <c r="K100" s="8">
        <v>0</v>
      </c>
      <c r="M100">
        <f>SUM(M97:M99)</f>
        <v>140.19999999999999</v>
      </c>
      <c r="T100" s="7"/>
      <c r="U100" s="1"/>
      <c r="W100" s="1"/>
      <c r="X100" s="8"/>
      <c r="AE100" s="443">
        <f t="shared" si="17"/>
        <v>0</v>
      </c>
      <c r="AH100">
        <f t="shared" si="18"/>
        <v>0</v>
      </c>
      <c r="AO100" s="3"/>
      <c r="AP100" s="2" t="s">
        <v>743</v>
      </c>
      <c r="AR100" s="11"/>
      <c r="AS100" s="8">
        <f>(AS98/2.83168)</f>
        <v>6216.73</v>
      </c>
    </row>
    <row r="101" spans="1:48" ht="24" customHeight="1">
      <c r="A101" s="223"/>
      <c r="B101" s="223"/>
      <c r="C101" s="223"/>
      <c r="D101" s="223"/>
      <c r="K101" s="5" t="s">
        <v>1530</v>
      </c>
      <c r="T101" s="3"/>
      <c r="W101" s="11"/>
      <c r="X101" s="5"/>
      <c r="AE101" s="443">
        <f t="shared" si="17"/>
        <v>0</v>
      </c>
      <c r="AH101">
        <f t="shared" si="18"/>
        <v>0</v>
      </c>
      <c r="AO101" s="3"/>
      <c r="AR101" s="11"/>
      <c r="AS101" s="5" t="s">
        <v>1980</v>
      </c>
    </row>
    <row r="102" spans="1:48" ht="24" customHeight="1">
      <c r="A102" s="223"/>
      <c r="B102" s="223"/>
      <c r="C102" s="223"/>
      <c r="D102" s="223"/>
      <c r="H102" s="1" t="s">
        <v>583</v>
      </c>
      <c r="K102" s="8">
        <f>SUM(K97:K100)</f>
        <v>2990</v>
      </c>
      <c r="T102" s="3"/>
      <c r="U102" s="1"/>
      <c r="W102" s="11"/>
      <c r="X102" s="8"/>
      <c r="AE102" s="443">
        <f t="shared" si="17"/>
        <v>0</v>
      </c>
      <c r="AH102">
        <f t="shared" si="18"/>
        <v>0</v>
      </c>
      <c r="AO102" s="3"/>
      <c r="AP102" s="1" t="s">
        <v>361</v>
      </c>
      <c r="AR102" s="11"/>
      <c r="AS102" s="39">
        <f>AS100+C19</f>
        <v>6284.73</v>
      </c>
      <c r="AU102">
        <f>AS102*22.69/100</f>
        <v>1426.01</v>
      </c>
      <c r="AV102">
        <f>AS102-AU102</f>
        <v>4858.72</v>
      </c>
    </row>
    <row r="103" spans="1:48" ht="24" customHeight="1">
      <c r="A103" s="223"/>
      <c r="B103" s="223"/>
      <c r="C103" s="223"/>
      <c r="D103" s="223"/>
      <c r="K103" s="5" t="s">
        <v>1530</v>
      </c>
      <c r="T103" s="3"/>
      <c r="W103" s="11"/>
      <c r="X103" s="5"/>
      <c r="AE103" s="443">
        <f t="shared" si="17"/>
        <v>0</v>
      </c>
      <c r="AH103">
        <f t="shared" si="18"/>
        <v>0</v>
      </c>
      <c r="AO103" s="3"/>
      <c r="AP103" s="1" t="s">
        <v>363</v>
      </c>
      <c r="AR103" s="11"/>
      <c r="AS103" s="39">
        <f>(AS102+C20)</f>
        <v>6421.93</v>
      </c>
      <c r="AU103">
        <f t="shared" ref="AU103:AU166" si="20">AS103*22.69/100</f>
        <v>1457.14</v>
      </c>
      <c r="AV103">
        <f t="shared" ref="AV103:AV166" si="21">AS103-AU103</f>
        <v>4964.79</v>
      </c>
    </row>
    <row r="104" spans="1:48" ht="24" customHeight="1">
      <c r="A104" s="223"/>
      <c r="B104" s="223"/>
      <c r="C104" s="223"/>
      <c r="D104" s="223"/>
      <c r="H104" s="34" t="s">
        <v>1976</v>
      </c>
      <c r="I104" s="37" t="s">
        <v>1342</v>
      </c>
      <c r="J104" s="99"/>
      <c r="K104" s="39">
        <f>(K102/10)</f>
        <v>299</v>
      </c>
      <c r="M104">
        <f>SUM(M97:M98)</f>
        <v>129</v>
      </c>
      <c r="T104" s="3"/>
      <c r="U104" s="34"/>
      <c r="V104" s="37"/>
      <c r="W104" s="99"/>
      <c r="X104" s="39"/>
      <c r="AE104" s="443">
        <f t="shared" si="17"/>
        <v>0</v>
      </c>
      <c r="AH104">
        <f t="shared" si="18"/>
        <v>0</v>
      </c>
      <c r="AO104" s="3"/>
      <c r="AP104" s="1" t="s">
        <v>2149</v>
      </c>
      <c r="AR104" s="11"/>
      <c r="AS104" s="39">
        <f>(AS103+C20)</f>
        <v>6559.13</v>
      </c>
      <c r="AU104">
        <f t="shared" si="20"/>
        <v>1488.27</v>
      </c>
      <c r="AV104">
        <f t="shared" si="21"/>
        <v>5070.8599999999997</v>
      </c>
    </row>
    <row r="105" spans="1:48" ht="24" customHeight="1">
      <c r="A105" s="223"/>
      <c r="B105" s="223"/>
      <c r="C105" s="223"/>
      <c r="D105" s="223"/>
      <c r="I105" s="37" t="s">
        <v>1310</v>
      </c>
      <c r="J105" s="99"/>
      <c r="K105" s="42">
        <f>ROUND(K104+C36,2)</f>
        <v>308.3</v>
      </c>
      <c r="T105" s="3"/>
      <c r="V105" s="37"/>
      <c r="W105" s="99"/>
      <c r="X105" s="42"/>
      <c r="AE105" s="443">
        <f t="shared" si="17"/>
        <v>0</v>
      </c>
      <c r="AH105">
        <f t="shared" si="18"/>
        <v>0</v>
      </c>
      <c r="AO105" s="3"/>
      <c r="AP105" s="1" t="s">
        <v>355</v>
      </c>
      <c r="AR105" s="11"/>
      <c r="AS105" s="39">
        <f>(AS104+C20)</f>
        <v>6696.33</v>
      </c>
      <c r="AU105">
        <f t="shared" si="20"/>
        <v>1519.4</v>
      </c>
      <c r="AV105">
        <f t="shared" si="21"/>
        <v>5176.93</v>
      </c>
    </row>
    <row r="106" spans="1:48" ht="24" customHeight="1">
      <c r="A106" s="223"/>
      <c r="B106" s="223"/>
      <c r="C106" s="223"/>
      <c r="D106" s="223"/>
      <c r="I106" s="37"/>
      <c r="J106" s="99"/>
      <c r="K106" s="41"/>
      <c r="T106" s="3"/>
      <c r="V106" s="37"/>
      <c r="W106" s="99"/>
      <c r="X106" s="41"/>
      <c r="AE106" s="443">
        <f t="shared" si="17"/>
        <v>0</v>
      </c>
      <c r="AH106">
        <f t="shared" si="18"/>
        <v>0</v>
      </c>
      <c r="AN106" s="1" t="s">
        <v>940</v>
      </c>
      <c r="AO106" s="3"/>
      <c r="AP106" s="1" t="s">
        <v>453</v>
      </c>
      <c r="AR106" s="11"/>
      <c r="AS106" s="39">
        <f>(AS105+C20)</f>
        <v>6833.53</v>
      </c>
      <c r="AU106">
        <f t="shared" si="20"/>
        <v>1550.53</v>
      </c>
      <c r="AV106">
        <f t="shared" si="21"/>
        <v>5283</v>
      </c>
    </row>
    <row r="107" spans="1:48" ht="30.75" customHeight="1">
      <c r="A107" s="223"/>
      <c r="B107" s="223"/>
      <c r="C107" s="223"/>
      <c r="D107" s="223"/>
      <c r="F107" s="25">
        <v>1.7</v>
      </c>
      <c r="H107" s="38" t="s">
        <v>624</v>
      </c>
      <c r="I107" s="37" t="s">
        <v>1342</v>
      </c>
      <c r="J107" s="99"/>
      <c r="K107" s="42">
        <f>ROUND(K104-K99/10,2)</f>
        <v>287.8</v>
      </c>
      <c r="S107" s="21"/>
      <c r="T107" s="3"/>
      <c r="U107" s="38"/>
      <c r="V107" s="37"/>
      <c r="W107" s="99"/>
      <c r="X107" s="42"/>
      <c r="AE107" s="443">
        <f t="shared" si="17"/>
        <v>0</v>
      </c>
      <c r="AH107">
        <f t="shared" si="18"/>
        <v>0</v>
      </c>
      <c r="AN107" s="12">
        <v>27</v>
      </c>
      <c r="AO107" s="7" t="s">
        <v>2167</v>
      </c>
      <c r="AP107" s="1" t="s">
        <v>3668</v>
      </c>
      <c r="AR107" s="11"/>
    </row>
    <row r="108" spans="1:48" ht="24" customHeight="1">
      <c r="A108" s="223"/>
      <c r="B108" s="223"/>
      <c r="C108" s="223"/>
      <c r="D108" s="223"/>
      <c r="I108" s="37" t="s">
        <v>1310</v>
      </c>
      <c r="J108" s="99"/>
      <c r="K108" s="42">
        <f>ROUND(K107+C36,2)</f>
        <v>297.10000000000002</v>
      </c>
      <c r="T108" s="3"/>
      <c r="V108" s="37"/>
      <c r="W108" s="99"/>
      <c r="X108" s="42"/>
      <c r="AE108" s="443">
        <f t="shared" si="17"/>
        <v>0</v>
      </c>
      <c r="AH108">
        <f t="shared" si="18"/>
        <v>0</v>
      </c>
      <c r="AO108" s="3"/>
      <c r="AP108" s="1" t="str">
        <f>AP88</f>
        <v>Bricks of size 23x11x7 cm</v>
      </c>
      <c r="AR108" s="11"/>
    </row>
    <row r="109" spans="1:48" ht="24" customHeight="1">
      <c r="A109" s="223"/>
      <c r="B109" s="223"/>
      <c r="C109" s="223"/>
      <c r="D109" s="223"/>
      <c r="K109" s="5"/>
      <c r="T109" s="3"/>
      <c r="W109" s="11"/>
      <c r="X109" s="5"/>
      <c r="AE109" s="443">
        <f t="shared" si="17"/>
        <v>0</v>
      </c>
      <c r="AH109">
        <f t="shared" si="18"/>
        <v>0</v>
      </c>
      <c r="AO109" s="3"/>
      <c r="AP109" s="5" t="s">
        <v>1530</v>
      </c>
      <c r="AR109" s="11"/>
    </row>
    <row r="110" spans="1:48" ht="24" customHeight="1">
      <c r="A110" s="223"/>
      <c r="B110" s="223"/>
      <c r="C110" s="223"/>
      <c r="D110" s="223"/>
      <c r="K110" s="5"/>
      <c r="T110" s="3"/>
      <c r="W110" s="11"/>
      <c r="X110" s="5"/>
      <c r="AE110" s="443">
        <f t="shared" si="17"/>
        <v>0</v>
      </c>
      <c r="AH110">
        <f t="shared" si="18"/>
        <v>0</v>
      </c>
      <c r="AN110" s="8">
        <v>1300</v>
      </c>
      <c r="AO110" s="7" t="s">
        <v>1368</v>
      </c>
      <c r="AP110" s="8" t="str">
        <f>AP64</f>
        <v>Bricks of size 23x11x7 cm</v>
      </c>
      <c r="AQ110" s="8">
        <f>AC48</f>
        <v>6435</v>
      </c>
      <c r="AR110" s="1" t="s">
        <v>1538</v>
      </c>
      <c r="AS110" s="8">
        <f>(AN110*AQ110)/1000</f>
        <v>8365.5</v>
      </c>
      <c r="AU110">
        <f t="shared" si="20"/>
        <v>1898.13</v>
      </c>
      <c r="AV110">
        <f t="shared" si="21"/>
        <v>6467.37</v>
      </c>
    </row>
    <row r="111" spans="1:48" ht="38.25" customHeight="1">
      <c r="A111" s="223"/>
      <c r="B111" s="223"/>
      <c r="C111" s="223"/>
      <c r="D111" s="223"/>
      <c r="F111" s="25">
        <v>1.4</v>
      </c>
      <c r="G111" s="7" t="s">
        <v>940</v>
      </c>
      <c r="H111" s="23" t="s">
        <v>407</v>
      </c>
      <c r="S111" s="21">
        <v>1.4</v>
      </c>
      <c r="T111" s="7" t="s">
        <v>940</v>
      </c>
      <c r="U111" s="23" t="s">
        <v>407</v>
      </c>
      <c r="W111" s="11"/>
      <c r="AE111" s="443">
        <f t="shared" si="17"/>
        <v>0</v>
      </c>
      <c r="AH111">
        <f t="shared" si="18"/>
        <v>0</v>
      </c>
      <c r="AN111" s="13">
        <v>0.70799999999999996</v>
      </c>
      <c r="AO111" s="7" t="s">
        <v>836</v>
      </c>
      <c r="AP111" s="1" t="s">
        <v>1258</v>
      </c>
      <c r="AQ111" s="8">
        <f>K40</f>
        <v>3646.42</v>
      </c>
      <c r="AR111" s="1" t="s">
        <v>836</v>
      </c>
      <c r="AS111" s="8">
        <f>(AN111*AQ111)</f>
        <v>2581.67</v>
      </c>
      <c r="AU111">
        <f t="shared" si="20"/>
        <v>585.78</v>
      </c>
      <c r="AV111">
        <f t="shared" si="21"/>
        <v>1995.89</v>
      </c>
    </row>
    <row r="112" spans="1:48" ht="24" customHeight="1">
      <c r="A112" s="223"/>
      <c r="B112" s="223"/>
      <c r="C112" s="223"/>
      <c r="D112" s="223"/>
      <c r="T112" s="3"/>
      <c r="W112" s="11"/>
      <c r="AE112" s="443">
        <f t="shared" si="17"/>
        <v>0</v>
      </c>
      <c r="AH112">
        <f t="shared" si="18"/>
        <v>0</v>
      </c>
      <c r="AN112" s="8">
        <v>1</v>
      </c>
      <c r="AO112" s="7" t="s">
        <v>835</v>
      </c>
      <c r="AP112" s="1" t="s">
        <v>1938</v>
      </c>
      <c r="AQ112" s="8">
        <f>AQ92</f>
        <v>861</v>
      </c>
      <c r="AR112" s="1" t="s">
        <v>835</v>
      </c>
      <c r="AS112" s="8">
        <f>(AN112*AQ112)</f>
        <v>861</v>
      </c>
      <c r="AU112">
        <f t="shared" si="20"/>
        <v>195.36</v>
      </c>
      <c r="AV112">
        <f t="shared" si="21"/>
        <v>665.64</v>
      </c>
    </row>
    <row r="113" spans="1:48" ht="24" customHeight="1">
      <c r="A113" s="223"/>
      <c r="B113" s="223"/>
      <c r="C113" s="223"/>
      <c r="D113" s="223"/>
      <c r="F113" s="8">
        <v>10</v>
      </c>
      <c r="G113" s="7" t="s">
        <v>836</v>
      </c>
      <c r="H113" s="1" t="s">
        <v>1138</v>
      </c>
      <c r="I113" s="8">
        <f>C64</f>
        <v>96.6</v>
      </c>
      <c r="J113" s="1" t="s">
        <v>836</v>
      </c>
      <c r="K113" s="8">
        <f>(F113*I113)</f>
        <v>966</v>
      </c>
      <c r="S113" s="13">
        <v>10</v>
      </c>
      <c r="T113" s="7" t="s">
        <v>836</v>
      </c>
      <c r="U113" s="1" t="s">
        <v>1138</v>
      </c>
      <c r="V113" s="8">
        <f>V84</f>
        <v>64.5</v>
      </c>
      <c r="W113" s="1" t="s">
        <v>836</v>
      </c>
      <c r="X113" s="8">
        <f>(S113*V113)</f>
        <v>645</v>
      </c>
      <c r="AE113" s="443">
        <f t="shared" si="17"/>
        <v>0</v>
      </c>
      <c r="AH113">
        <f t="shared" si="18"/>
        <v>0</v>
      </c>
      <c r="AN113" s="8">
        <v>3</v>
      </c>
      <c r="AO113" s="7" t="s">
        <v>835</v>
      </c>
      <c r="AP113" s="1" t="s">
        <v>1654</v>
      </c>
      <c r="AQ113" s="8">
        <f>AQ93</f>
        <v>804</v>
      </c>
      <c r="AR113" s="1" t="s">
        <v>835</v>
      </c>
      <c r="AS113" s="8">
        <f>(AN113*AQ113)</f>
        <v>2412</v>
      </c>
      <c r="AU113">
        <f t="shared" si="20"/>
        <v>547.28</v>
      </c>
      <c r="AV113">
        <f t="shared" si="21"/>
        <v>1864.72</v>
      </c>
    </row>
    <row r="114" spans="1:48" ht="24" customHeight="1">
      <c r="A114" s="223"/>
      <c r="B114" s="223"/>
      <c r="C114" s="223"/>
      <c r="D114" s="223"/>
      <c r="F114" s="8">
        <v>10</v>
      </c>
      <c r="G114" s="7" t="s">
        <v>836</v>
      </c>
      <c r="H114" s="1" t="s">
        <v>1942</v>
      </c>
      <c r="I114" s="8">
        <f>I86</f>
        <v>11.2</v>
      </c>
      <c r="J114" s="1" t="s">
        <v>836</v>
      </c>
      <c r="K114" s="8">
        <f>(F114*I114)</f>
        <v>112</v>
      </c>
      <c r="S114" s="13">
        <v>10</v>
      </c>
      <c r="T114" s="7" t="s">
        <v>836</v>
      </c>
      <c r="U114" s="1" t="s">
        <v>1942</v>
      </c>
      <c r="V114" s="8">
        <f>V86</f>
        <v>9.83</v>
      </c>
      <c r="W114" s="1" t="s">
        <v>836</v>
      </c>
      <c r="X114" s="8">
        <f>(S114*V114)</f>
        <v>98.3</v>
      </c>
      <c r="AE114" s="443">
        <f t="shared" si="17"/>
        <v>0</v>
      </c>
      <c r="AH114">
        <f t="shared" si="18"/>
        <v>0</v>
      </c>
      <c r="AN114" s="8">
        <v>2</v>
      </c>
      <c r="AO114" s="7" t="s">
        <v>835</v>
      </c>
      <c r="AP114" s="1" t="s">
        <v>1836</v>
      </c>
      <c r="AQ114" s="8">
        <f>AQ94</f>
        <v>562</v>
      </c>
      <c r="AR114" s="1" t="s">
        <v>835</v>
      </c>
      <c r="AS114" s="8">
        <f>(AN114*AQ114)</f>
        <v>1124</v>
      </c>
      <c r="AU114">
        <f t="shared" si="20"/>
        <v>255.04</v>
      </c>
      <c r="AV114">
        <f t="shared" si="21"/>
        <v>868.96</v>
      </c>
    </row>
    <row r="115" spans="1:48" ht="24" customHeight="1">
      <c r="A115" s="223"/>
      <c r="B115" s="223"/>
      <c r="C115" s="223"/>
      <c r="D115" s="223"/>
      <c r="G115" s="7" t="s">
        <v>419</v>
      </c>
      <c r="H115" s="1" t="s">
        <v>420</v>
      </c>
      <c r="J115" s="1" t="s">
        <v>419</v>
      </c>
      <c r="K115" s="8">
        <v>0</v>
      </c>
      <c r="T115" s="7" t="s">
        <v>419</v>
      </c>
      <c r="U115" s="1" t="s">
        <v>420</v>
      </c>
      <c r="W115" s="1" t="s">
        <v>419</v>
      </c>
      <c r="X115" s="8">
        <v>0</v>
      </c>
      <c r="AE115" s="443">
        <f t="shared" si="17"/>
        <v>0</v>
      </c>
      <c r="AH115">
        <f t="shared" si="18"/>
        <v>0</v>
      </c>
      <c r="AN115" s="8">
        <v>6</v>
      </c>
      <c r="AO115" s="7" t="s">
        <v>835</v>
      </c>
      <c r="AP115" s="1" t="s">
        <v>299</v>
      </c>
      <c r="AQ115" s="8">
        <f>AQ95</f>
        <v>461</v>
      </c>
      <c r="AR115" s="1" t="s">
        <v>835</v>
      </c>
      <c r="AS115" s="8">
        <f>(AN115*AQ115)</f>
        <v>2766</v>
      </c>
      <c r="AU115">
        <f t="shared" si="20"/>
        <v>627.61</v>
      </c>
      <c r="AV115">
        <f t="shared" si="21"/>
        <v>2138.39</v>
      </c>
    </row>
    <row r="116" spans="1:48" ht="24" customHeight="1">
      <c r="A116" s="223"/>
      <c r="B116" s="223"/>
      <c r="C116" s="223"/>
      <c r="D116" s="223"/>
      <c r="K116" s="5" t="s">
        <v>1530</v>
      </c>
      <c r="T116" s="3"/>
      <c r="W116" s="11"/>
      <c r="X116" s="5" t="s">
        <v>1530</v>
      </c>
      <c r="AE116" s="443">
        <f t="shared" si="17"/>
        <v>0</v>
      </c>
      <c r="AH116">
        <f t="shared" si="18"/>
        <v>0</v>
      </c>
      <c r="AO116" s="7" t="s">
        <v>419</v>
      </c>
      <c r="AP116" s="1" t="s">
        <v>420</v>
      </c>
      <c r="AR116" s="1" t="s">
        <v>419</v>
      </c>
      <c r="AS116" s="8">
        <v>0</v>
      </c>
      <c r="AU116">
        <f t="shared" si="20"/>
        <v>0</v>
      </c>
      <c r="AV116">
        <f t="shared" si="21"/>
        <v>0</v>
      </c>
    </row>
    <row r="117" spans="1:48" ht="24" customHeight="1">
      <c r="A117" s="223"/>
      <c r="B117" s="223"/>
      <c r="C117" s="223"/>
      <c r="D117" s="223"/>
      <c r="H117" s="1" t="s">
        <v>583</v>
      </c>
      <c r="K117" s="8">
        <f>SUM(K113:K115)</f>
        <v>1078</v>
      </c>
      <c r="T117" s="3"/>
      <c r="U117" s="1" t="s">
        <v>583</v>
      </c>
      <c r="W117" s="11"/>
      <c r="X117" s="8">
        <f>SUM(X113:X115)</f>
        <v>743.3</v>
      </c>
      <c r="AE117" s="443">
        <f t="shared" si="17"/>
        <v>0</v>
      </c>
      <c r="AH117">
        <f t="shared" si="18"/>
        <v>0</v>
      </c>
      <c r="AO117" s="3"/>
      <c r="AR117" s="11"/>
      <c r="AS117" s="5" t="s">
        <v>1530</v>
      </c>
      <c r="AU117">
        <f t="shared" si="20"/>
        <v>0</v>
      </c>
      <c r="AV117">
        <f t="shared" si="21"/>
        <v>0</v>
      </c>
    </row>
    <row r="118" spans="1:48" ht="24" customHeight="1">
      <c r="A118" s="223"/>
      <c r="B118" s="223"/>
      <c r="C118" s="223"/>
      <c r="D118" s="223"/>
      <c r="K118" s="5" t="s">
        <v>1530</v>
      </c>
      <c r="T118" s="3"/>
      <c r="W118" s="11"/>
      <c r="X118" s="5" t="s">
        <v>1530</v>
      </c>
      <c r="AE118" s="443">
        <f t="shared" si="17"/>
        <v>0</v>
      </c>
      <c r="AH118">
        <f t="shared" si="18"/>
        <v>0</v>
      </c>
      <c r="AO118" s="3"/>
      <c r="AP118" s="1" t="s">
        <v>583</v>
      </c>
      <c r="AR118" s="11"/>
      <c r="AS118" s="8">
        <f>SUM(AS110:AS116)</f>
        <v>18110.169999999998</v>
      </c>
      <c r="AU118">
        <f t="shared" si="20"/>
        <v>4109.2</v>
      </c>
      <c r="AV118">
        <f t="shared" si="21"/>
        <v>14000.97</v>
      </c>
    </row>
    <row r="119" spans="1:48" ht="24" customHeight="1">
      <c r="A119" s="223"/>
      <c r="B119" s="223"/>
      <c r="C119" s="223"/>
      <c r="D119" s="223"/>
      <c r="H119" s="1"/>
      <c r="K119" s="39">
        <f>(K117/10)</f>
        <v>107.8</v>
      </c>
      <c r="L119" s="37">
        <f>K119+C36</f>
        <v>117.1</v>
      </c>
      <c r="M119">
        <f>M97</f>
        <v>64.5</v>
      </c>
      <c r="T119" s="3"/>
      <c r="U119" s="1"/>
      <c r="W119" s="11"/>
      <c r="X119" s="39">
        <f>(X117/10)</f>
        <v>74.33</v>
      </c>
      <c r="AE119" s="443">
        <f t="shared" si="17"/>
        <v>0</v>
      </c>
      <c r="AH119">
        <f t="shared" si="18"/>
        <v>0</v>
      </c>
      <c r="AO119" s="3"/>
      <c r="AR119" s="11"/>
      <c r="AS119" s="5" t="s">
        <v>1530</v>
      </c>
      <c r="AU119">
        <f t="shared" si="20"/>
        <v>0</v>
      </c>
      <c r="AV119">
        <f t="shared" si="21"/>
        <v>0</v>
      </c>
    </row>
    <row r="120" spans="1:48" ht="24" customHeight="1">
      <c r="A120" s="223"/>
      <c r="B120" s="223"/>
      <c r="C120" s="223"/>
      <c r="D120" s="223"/>
      <c r="K120" s="5"/>
      <c r="T120" s="3"/>
      <c r="W120" s="11"/>
      <c r="X120" s="5"/>
      <c r="AE120" s="443">
        <f t="shared" si="17"/>
        <v>0</v>
      </c>
      <c r="AH120">
        <f t="shared" si="18"/>
        <v>0</v>
      </c>
      <c r="AO120" s="3"/>
      <c r="AP120" s="1" t="s">
        <v>743</v>
      </c>
      <c r="AR120" s="11"/>
      <c r="AS120" s="39">
        <f>(AS118/2.83168)</f>
        <v>6395.56</v>
      </c>
      <c r="AU120">
        <f t="shared" si="20"/>
        <v>1451.15</v>
      </c>
      <c r="AV120">
        <f t="shared" si="21"/>
        <v>4944.41</v>
      </c>
    </row>
    <row r="121" spans="1:48" ht="24" customHeight="1">
      <c r="A121" s="223"/>
      <c r="B121" s="223"/>
      <c r="C121" s="223"/>
      <c r="D121" s="223"/>
      <c r="F121" s="25">
        <v>1.5</v>
      </c>
      <c r="H121" s="1" t="s">
        <v>1962</v>
      </c>
      <c r="I121" s="37" t="s">
        <v>1342</v>
      </c>
      <c r="K121" s="39">
        <f>K119-K114/10</f>
        <v>96.6</v>
      </c>
      <c r="S121" s="21">
        <v>1.5</v>
      </c>
      <c r="T121" s="3"/>
      <c r="U121" s="1" t="s">
        <v>1962</v>
      </c>
      <c r="V121" s="37" t="s">
        <v>1342</v>
      </c>
      <c r="W121" s="11"/>
      <c r="X121" s="39">
        <f>X119-X114/10</f>
        <v>64.5</v>
      </c>
      <c r="AE121" s="443">
        <f t="shared" si="17"/>
        <v>0</v>
      </c>
      <c r="AH121">
        <f t="shared" si="18"/>
        <v>0</v>
      </c>
      <c r="AO121" s="3"/>
      <c r="AR121" s="11"/>
      <c r="AS121" s="5" t="s">
        <v>1980</v>
      </c>
      <c r="AU121">
        <f t="shared" si="20"/>
        <v>0</v>
      </c>
      <c r="AV121">
        <f t="shared" si="21"/>
        <v>0</v>
      </c>
    </row>
    <row r="122" spans="1:48" ht="24" customHeight="1">
      <c r="A122" s="223"/>
      <c r="B122" s="223"/>
      <c r="C122" s="223"/>
      <c r="D122" s="223"/>
      <c r="I122" s="37" t="s">
        <v>1310</v>
      </c>
      <c r="K122" s="42">
        <f>ROUND(K121+C36,2)</f>
        <v>105.9</v>
      </c>
      <c r="T122" s="3"/>
      <c r="V122" s="37" t="s">
        <v>1310</v>
      </c>
      <c r="W122" s="11"/>
      <c r="X122" s="42" t="e">
        <f>ROUND(X121+#REF!,2)</f>
        <v>#REF!</v>
      </c>
      <c r="AE122" s="443">
        <f t="shared" si="17"/>
        <v>0</v>
      </c>
      <c r="AH122">
        <f t="shared" si="18"/>
        <v>0</v>
      </c>
      <c r="AO122" s="3"/>
      <c r="AP122" s="1" t="s">
        <v>361</v>
      </c>
      <c r="AR122" s="11"/>
      <c r="AS122" s="8">
        <f>(AS120+C19)</f>
        <v>6463.56</v>
      </c>
      <c r="AT122">
        <f>AS122-AS120</f>
        <v>68</v>
      </c>
      <c r="AU122">
        <f t="shared" si="20"/>
        <v>1466.58</v>
      </c>
      <c r="AV122">
        <f t="shared" si="21"/>
        <v>4996.9799999999996</v>
      </c>
    </row>
    <row r="123" spans="1:48" ht="24" customHeight="1">
      <c r="A123" s="223"/>
      <c r="B123" s="223"/>
      <c r="C123" s="223"/>
      <c r="D123" s="223"/>
      <c r="I123" t="s">
        <v>3692</v>
      </c>
      <c r="K123" s="42">
        <f>ROUND(K122+C36,2)</f>
        <v>115.2</v>
      </c>
      <c r="T123" s="3"/>
      <c r="W123" s="11"/>
      <c r="X123" s="5"/>
      <c r="AE123" s="443">
        <f t="shared" si="17"/>
        <v>0</v>
      </c>
      <c r="AH123">
        <f t="shared" si="18"/>
        <v>0</v>
      </c>
      <c r="AO123" s="3"/>
      <c r="AP123" s="1" t="s">
        <v>363</v>
      </c>
      <c r="AR123" s="11"/>
      <c r="AS123" s="8">
        <f>(AS122+C20)</f>
        <v>6600.76</v>
      </c>
      <c r="AT123">
        <f>AS123-AS122</f>
        <v>137.19999999999999</v>
      </c>
      <c r="AU123">
        <f t="shared" si="20"/>
        <v>1497.71</v>
      </c>
      <c r="AV123">
        <f t="shared" si="21"/>
        <v>5103.05</v>
      </c>
    </row>
    <row r="124" spans="1:48" ht="24" customHeight="1">
      <c r="A124" s="223"/>
      <c r="B124" s="223"/>
      <c r="C124" s="223"/>
      <c r="D124" s="223"/>
      <c r="I124" t="s">
        <v>3693</v>
      </c>
      <c r="K124" s="42">
        <f>ROUND(K123+C36,2)</f>
        <v>124.5</v>
      </c>
      <c r="T124" s="3"/>
      <c r="W124" s="11"/>
      <c r="X124" s="5"/>
      <c r="AE124" s="443">
        <f t="shared" si="17"/>
        <v>0</v>
      </c>
      <c r="AH124">
        <f t="shared" si="18"/>
        <v>0</v>
      </c>
      <c r="AO124" s="3"/>
      <c r="AP124" s="1" t="s">
        <v>2149</v>
      </c>
      <c r="AR124" s="11"/>
      <c r="AS124" s="8">
        <f>(AS123+C20)</f>
        <v>6737.96</v>
      </c>
      <c r="AU124">
        <f t="shared" si="20"/>
        <v>1528.84</v>
      </c>
      <c r="AV124">
        <f t="shared" si="21"/>
        <v>5209.12</v>
      </c>
    </row>
    <row r="125" spans="1:48" ht="28.5" customHeight="1">
      <c r="A125" s="223"/>
      <c r="B125" s="223"/>
      <c r="C125" s="223"/>
      <c r="D125" s="223"/>
      <c r="F125" s="26">
        <v>1.8</v>
      </c>
      <c r="H125" s="23" t="s">
        <v>1988</v>
      </c>
      <c r="K125" s="5"/>
      <c r="M125" s="2" t="s">
        <v>359</v>
      </c>
      <c r="N125" s="7" t="s">
        <v>2167</v>
      </c>
      <c r="O125" s="1" t="s">
        <v>360</v>
      </c>
      <c r="Q125" s="11"/>
      <c r="S125" s="414"/>
      <c r="T125" s="3"/>
      <c r="U125" s="23"/>
      <c r="W125" s="11"/>
      <c r="X125" s="5"/>
      <c r="AE125" s="443">
        <f t="shared" si="17"/>
        <v>0</v>
      </c>
      <c r="AH125">
        <f t="shared" si="18"/>
        <v>0</v>
      </c>
      <c r="AO125" s="3"/>
      <c r="AP125" s="1" t="s">
        <v>355</v>
      </c>
      <c r="AR125" s="11"/>
      <c r="AS125" s="8">
        <f>AS124+C20</f>
        <v>6875.16</v>
      </c>
      <c r="AU125">
        <f t="shared" si="20"/>
        <v>1559.97</v>
      </c>
      <c r="AV125">
        <f t="shared" si="21"/>
        <v>5315.19</v>
      </c>
    </row>
    <row r="126" spans="1:48" ht="24" customHeight="1">
      <c r="A126" s="223"/>
      <c r="B126" s="223"/>
      <c r="C126" s="223"/>
      <c r="D126" s="223"/>
      <c r="K126" s="5"/>
      <c r="N126" s="3"/>
      <c r="O126" s="1" t="s">
        <v>3486</v>
      </c>
      <c r="Q126" s="11"/>
      <c r="T126" s="3"/>
      <c r="W126" s="11"/>
      <c r="X126" s="5"/>
      <c r="AE126" s="443">
        <f t="shared" si="17"/>
        <v>0</v>
      </c>
      <c r="AH126">
        <f t="shared" si="18"/>
        <v>0</v>
      </c>
      <c r="AO126" s="3"/>
      <c r="AP126" s="1" t="s">
        <v>453</v>
      </c>
      <c r="AR126" s="11"/>
      <c r="AS126" s="8">
        <f>AS125+C20</f>
        <v>7012.36</v>
      </c>
      <c r="AU126">
        <f t="shared" si="20"/>
        <v>1591.1</v>
      </c>
      <c r="AV126">
        <f t="shared" si="21"/>
        <v>5421.26</v>
      </c>
    </row>
    <row r="127" spans="1:48" ht="24" customHeight="1">
      <c r="A127" s="223"/>
      <c r="B127" s="223"/>
      <c r="C127" s="223"/>
      <c r="D127" s="223"/>
      <c r="F127" s="8">
        <v>10</v>
      </c>
      <c r="G127" s="7" t="s">
        <v>836</v>
      </c>
      <c r="H127" s="1" t="s">
        <v>356</v>
      </c>
      <c r="I127">
        <f>D64</f>
        <v>143.9</v>
      </c>
      <c r="J127" s="1" t="s">
        <v>836</v>
      </c>
      <c r="K127" s="8">
        <f>(F127*I127)</f>
        <v>1439</v>
      </c>
      <c r="N127" s="3"/>
      <c r="O127" s="5" t="s">
        <v>1530</v>
      </c>
      <c r="Q127" s="11"/>
      <c r="S127" s="13"/>
      <c r="T127" s="7"/>
      <c r="U127" s="1"/>
      <c r="W127" s="1" t="s">
        <v>836</v>
      </c>
      <c r="X127" s="8"/>
      <c r="AE127" s="443">
        <f t="shared" si="17"/>
        <v>0</v>
      </c>
      <c r="AO127" s="3"/>
      <c r="AP127" s="1" t="s">
        <v>1766</v>
      </c>
      <c r="AR127" s="11"/>
      <c r="AS127" s="8">
        <f>(AS122+AS123+AS124+AS125)/4</f>
        <v>6669.36</v>
      </c>
      <c r="AU127">
        <f t="shared" si="20"/>
        <v>1513.28</v>
      </c>
      <c r="AV127">
        <f t="shared" si="21"/>
        <v>5156.08</v>
      </c>
    </row>
    <row r="128" spans="1:48" ht="24" customHeight="1">
      <c r="A128" s="223"/>
      <c r="B128" s="223"/>
      <c r="C128" s="223"/>
      <c r="D128" s="223"/>
      <c r="G128" s="3" t="s">
        <v>625</v>
      </c>
      <c r="J128" s="11" t="s">
        <v>625</v>
      </c>
      <c r="K128" s="8">
        <v>0</v>
      </c>
      <c r="M128" s="8">
        <v>1</v>
      </c>
      <c r="N128" s="7" t="s">
        <v>836</v>
      </c>
      <c r="O128" s="1" t="s">
        <v>1855</v>
      </c>
      <c r="P128" s="8">
        <f>AC39</f>
        <v>368.2</v>
      </c>
      <c r="Q128" s="1" t="s">
        <v>836</v>
      </c>
      <c r="R128" s="8">
        <f>(M128*P128)</f>
        <v>368.2</v>
      </c>
      <c r="T128" s="3"/>
      <c r="W128" s="11" t="s">
        <v>625</v>
      </c>
      <c r="X128" s="8"/>
      <c r="AE128" s="443">
        <f t="shared" si="17"/>
        <v>0</v>
      </c>
      <c r="AO128" s="3"/>
    </row>
    <row r="129" spans="1:48" ht="24" customHeight="1">
      <c r="A129" s="223"/>
      <c r="B129" s="223"/>
      <c r="C129" s="223"/>
      <c r="D129" s="223"/>
      <c r="K129" s="5" t="s">
        <v>1530</v>
      </c>
      <c r="M129" s="8">
        <v>1</v>
      </c>
      <c r="N129" s="7" t="s">
        <v>836</v>
      </c>
      <c r="O129" s="1" t="s">
        <v>1302</v>
      </c>
      <c r="P129" s="8">
        <f>P144</f>
        <v>33.6</v>
      </c>
      <c r="Q129" s="1" t="s">
        <v>836</v>
      </c>
      <c r="R129" s="8">
        <f>(M129*P129)</f>
        <v>33.6</v>
      </c>
      <c r="T129" s="3"/>
      <c r="W129" s="11"/>
      <c r="X129" s="5"/>
      <c r="AE129" s="443">
        <f t="shared" si="17"/>
        <v>0</v>
      </c>
      <c r="AO129" s="3"/>
      <c r="AR129" s="11"/>
    </row>
    <row r="130" spans="1:48" ht="24" customHeight="1">
      <c r="A130" s="223"/>
      <c r="B130" s="223"/>
      <c r="C130" s="223"/>
      <c r="D130" s="223"/>
      <c r="H130" s="1" t="s">
        <v>583</v>
      </c>
      <c r="K130" s="8">
        <f>SUM(K127:K128)</f>
        <v>1439</v>
      </c>
      <c r="N130" s="7" t="s">
        <v>419</v>
      </c>
      <c r="O130" s="1" t="s">
        <v>420</v>
      </c>
      <c r="P130" s="1" t="s">
        <v>940</v>
      </c>
      <c r="Q130" s="1" t="s">
        <v>419</v>
      </c>
      <c r="R130" s="8">
        <v>0</v>
      </c>
      <c r="T130" s="3"/>
      <c r="U130" s="1"/>
      <c r="W130" s="11"/>
      <c r="X130" s="8"/>
      <c r="AE130" s="443">
        <f t="shared" si="17"/>
        <v>0</v>
      </c>
      <c r="AO130" s="3"/>
      <c r="AP130" s="59" t="s">
        <v>1768</v>
      </c>
      <c r="AR130" s="11"/>
    </row>
    <row r="131" spans="1:48" ht="24" customHeight="1">
      <c r="A131" s="223"/>
      <c r="B131" s="223"/>
      <c r="C131" s="223"/>
      <c r="D131" s="223"/>
      <c r="K131" s="5" t="s">
        <v>1530</v>
      </c>
      <c r="N131" s="3"/>
      <c r="Q131" s="11"/>
      <c r="R131" s="5" t="s">
        <v>1530</v>
      </c>
      <c r="T131" s="3"/>
      <c r="W131" s="11"/>
      <c r="X131" s="5"/>
      <c r="AE131" s="443">
        <f t="shared" si="17"/>
        <v>0</v>
      </c>
      <c r="AO131" s="3"/>
      <c r="AP131" s="5" t="s">
        <v>1530</v>
      </c>
      <c r="AR131" s="11"/>
    </row>
    <row r="132" spans="1:48" ht="38.25" customHeight="1">
      <c r="A132" s="223"/>
      <c r="B132" s="223"/>
      <c r="C132" s="223"/>
      <c r="D132" s="223"/>
      <c r="F132" s="43"/>
      <c r="H132" s="27" t="s">
        <v>2066</v>
      </c>
      <c r="I132" s="37" t="s">
        <v>1342</v>
      </c>
      <c r="K132" s="42">
        <f>ROUND(K130/10,2)</f>
        <v>143.9</v>
      </c>
      <c r="N132" s="3"/>
      <c r="O132" s="1" t="s">
        <v>1459</v>
      </c>
      <c r="Q132" s="11"/>
      <c r="R132" s="8">
        <f>SUM(R128:R130)</f>
        <v>401.8</v>
      </c>
      <c r="S132" s="415"/>
      <c r="T132" s="3"/>
      <c r="U132" s="27"/>
      <c r="V132" s="37"/>
      <c r="W132" s="11"/>
      <c r="X132" s="42"/>
      <c r="AE132" s="64">
        <f t="shared" ref="AE132:AE140" si="22">AF132</f>
        <v>0</v>
      </c>
      <c r="AN132" s="12">
        <v>10</v>
      </c>
      <c r="AO132" s="7" t="s">
        <v>2167</v>
      </c>
      <c r="AP132" s="1" t="s">
        <v>3669</v>
      </c>
      <c r="AR132" s="11"/>
    </row>
    <row r="133" spans="1:48" ht="24" customHeight="1">
      <c r="A133" s="223"/>
      <c r="B133" s="223"/>
      <c r="C133" s="223"/>
      <c r="D133" s="223"/>
      <c r="I133" s="37" t="s">
        <v>1310</v>
      </c>
      <c r="K133" s="42">
        <f>ROUND(K132+C36,2)</f>
        <v>153.19999999999999</v>
      </c>
      <c r="T133" s="3"/>
      <c r="V133" s="37"/>
      <c r="W133" s="11"/>
      <c r="X133" s="42"/>
      <c r="AE133" s="64">
        <f t="shared" si="22"/>
        <v>0</v>
      </c>
      <c r="AO133" s="3"/>
      <c r="AP133" s="8" t="str">
        <f>AP64</f>
        <v>Bricks of size 23x11x7 cm</v>
      </c>
      <c r="AR133" s="11"/>
    </row>
    <row r="134" spans="1:48" ht="24" customHeight="1">
      <c r="A134" s="223"/>
      <c r="B134" s="223"/>
      <c r="C134" s="223"/>
      <c r="D134" s="223"/>
      <c r="I134" s="37"/>
      <c r="K134" s="5"/>
      <c r="T134" s="3"/>
      <c r="V134" s="37"/>
      <c r="W134" s="11"/>
      <c r="X134" s="5"/>
      <c r="AE134" s="64">
        <f t="shared" si="22"/>
        <v>0</v>
      </c>
      <c r="AO134" s="3"/>
      <c r="AP134" s="5" t="s">
        <v>1530</v>
      </c>
      <c r="AR134" s="11"/>
    </row>
    <row r="135" spans="1:48" ht="24" customHeight="1">
      <c r="A135" s="223"/>
      <c r="B135" s="223"/>
      <c r="C135" s="223"/>
      <c r="D135" s="223"/>
      <c r="F135" s="25">
        <v>1.6</v>
      </c>
      <c r="H135" s="1" t="s">
        <v>766</v>
      </c>
      <c r="I135" s="37"/>
      <c r="S135" s="21">
        <v>1.6</v>
      </c>
      <c r="T135" s="3"/>
      <c r="U135" s="1" t="s">
        <v>766</v>
      </c>
      <c r="V135" s="37"/>
      <c r="W135" s="11"/>
      <c r="AE135" s="64">
        <f t="shared" si="22"/>
        <v>0</v>
      </c>
      <c r="AN135" s="8">
        <f>AN66</f>
        <v>1300</v>
      </c>
      <c r="AO135" s="7" t="s">
        <v>1368</v>
      </c>
      <c r="AP135" s="8" t="str">
        <f>AP64</f>
        <v>Bricks of size 23x11x7 cm</v>
      </c>
      <c r="AQ135" s="8">
        <f>AC48</f>
        <v>6435</v>
      </c>
      <c r="AR135" s="1" t="s">
        <v>1538</v>
      </c>
      <c r="AS135" s="8">
        <f>(AN135*AQ135)/1000</f>
        <v>8365.5</v>
      </c>
      <c r="AU135">
        <f t="shared" si="20"/>
        <v>1898.13</v>
      </c>
      <c r="AV135">
        <f t="shared" si="21"/>
        <v>6467.37</v>
      </c>
    </row>
    <row r="136" spans="1:48" ht="24" customHeight="1">
      <c r="A136" s="223"/>
      <c r="B136" s="223"/>
      <c r="C136" s="223"/>
      <c r="D136" s="223"/>
      <c r="H136" s="1" t="s">
        <v>357</v>
      </c>
      <c r="I136" s="37" t="s">
        <v>1342</v>
      </c>
      <c r="K136" s="39">
        <f>C64*1.5</f>
        <v>144.9</v>
      </c>
      <c r="L136" s="39"/>
      <c r="M136">
        <f>M119*1.5</f>
        <v>96.75</v>
      </c>
      <c r="T136" s="3"/>
      <c r="U136" s="1" t="s">
        <v>357</v>
      </c>
      <c r="V136" s="37" t="s">
        <v>1342</v>
      </c>
      <c r="W136" s="11"/>
      <c r="X136" s="39">
        <f>V84*1.5</f>
        <v>96.75</v>
      </c>
      <c r="AE136" s="64">
        <f t="shared" si="22"/>
        <v>0</v>
      </c>
      <c r="AN136" s="13">
        <v>0.70799999999999996</v>
      </c>
      <c r="AO136" s="7" t="s">
        <v>836</v>
      </c>
      <c r="AP136" s="1" t="s">
        <v>1258</v>
      </c>
      <c r="AQ136" s="8">
        <f>K40</f>
        <v>3646.42</v>
      </c>
      <c r="AR136" s="1" t="s">
        <v>836</v>
      </c>
      <c r="AS136" s="8">
        <f>(AN136*AQ136)</f>
        <v>2581.67</v>
      </c>
      <c r="AU136">
        <f t="shared" si="20"/>
        <v>585.78</v>
      </c>
      <c r="AV136">
        <f t="shared" si="21"/>
        <v>1995.89</v>
      </c>
    </row>
    <row r="137" spans="1:48" ht="24" customHeight="1">
      <c r="A137" s="223"/>
      <c r="B137" s="223"/>
      <c r="C137" s="223"/>
      <c r="D137" s="223"/>
      <c r="F137" s="1" t="s">
        <v>940</v>
      </c>
      <c r="H137" s="1" t="s">
        <v>358</v>
      </c>
      <c r="I137" s="37" t="s">
        <v>1310</v>
      </c>
      <c r="K137" s="42">
        <f>ROUND(K136+C36,2)</f>
        <v>154.19999999999999</v>
      </c>
      <c r="S137" s="413" t="s">
        <v>940</v>
      </c>
      <c r="T137" s="3"/>
      <c r="U137" s="1" t="s">
        <v>358</v>
      </c>
      <c r="V137" s="37" t="s">
        <v>1310</v>
      </c>
      <c r="W137" s="11"/>
      <c r="X137" s="42">
        <f>ROUND(X136+C36,2)</f>
        <v>106.05</v>
      </c>
      <c r="AE137" s="64">
        <f t="shared" si="22"/>
        <v>0</v>
      </c>
      <c r="AN137" s="8">
        <v>1</v>
      </c>
      <c r="AO137" s="7" t="s">
        <v>835</v>
      </c>
      <c r="AP137" s="1" t="s">
        <v>1938</v>
      </c>
      <c r="AQ137" s="8">
        <f>AQ112</f>
        <v>861</v>
      </c>
      <c r="AR137" s="1" t="s">
        <v>835</v>
      </c>
      <c r="AS137" s="8">
        <f>(AN137*AQ137)</f>
        <v>861</v>
      </c>
      <c r="AU137">
        <f t="shared" si="20"/>
        <v>195.36</v>
      </c>
      <c r="AV137">
        <f t="shared" si="21"/>
        <v>665.64</v>
      </c>
    </row>
    <row r="138" spans="1:48" ht="24" customHeight="1">
      <c r="A138" s="223"/>
      <c r="B138" s="223"/>
      <c r="C138" s="223"/>
      <c r="D138" s="223"/>
      <c r="K138" s="5" t="s">
        <v>1980</v>
      </c>
      <c r="T138" s="3"/>
      <c r="W138" s="11"/>
      <c r="X138" s="5" t="s">
        <v>1980</v>
      </c>
      <c r="AE138" s="64">
        <f t="shared" si="22"/>
        <v>0</v>
      </c>
      <c r="AN138" s="8">
        <v>3</v>
      </c>
      <c r="AO138" s="7" t="s">
        <v>835</v>
      </c>
      <c r="AP138" s="1" t="s">
        <v>1654</v>
      </c>
      <c r="AQ138" s="8">
        <f>AQ113</f>
        <v>804</v>
      </c>
      <c r="AR138" s="1" t="s">
        <v>835</v>
      </c>
      <c r="AS138" s="8">
        <f>(AN138*AQ138)</f>
        <v>2412</v>
      </c>
      <c r="AU138">
        <f t="shared" si="20"/>
        <v>547.28</v>
      </c>
      <c r="AV138">
        <f t="shared" si="21"/>
        <v>1864.72</v>
      </c>
    </row>
    <row r="139" spans="1:48" ht="24" customHeight="1">
      <c r="A139" s="223"/>
      <c r="B139" s="223"/>
      <c r="C139" s="223"/>
      <c r="D139" s="223"/>
      <c r="H139" s="34" t="s">
        <v>3649</v>
      </c>
      <c r="I139" s="37" t="s">
        <v>1342</v>
      </c>
      <c r="K139" s="39">
        <f>C64*1.25</f>
        <v>120.75</v>
      </c>
      <c r="T139" s="3"/>
      <c r="U139" s="34" t="s">
        <v>1329</v>
      </c>
      <c r="V139" s="37" t="s">
        <v>1342</v>
      </c>
      <c r="W139" s="11"/>
      <c r="X139" s="39">
        <f>V84*1.25</f>
        <v>80.63</v>
      </c>
      <c r="AE139" s="64">
        <f t="shared" si="22"/>
        <v>0</v>
      </c>
      <c r="AN139" s="8">
        <v>2</v>
      </c>
      <c r="AO139" s="7" t="s">
        <v>835</v>
      </c>
      <c r="AP139" s="1" t="s">
        <v>1836</v>
      </c>
      <c r="AQ139" s="8">
        <f>AQ114</f>
        <v>562</v>
      </c>
      <c r="AR139" s="1" t="s">
        <v>835</v>
      </c>
      <c r="AS139" s="8">
        <f>(AN139*AQ139)</f>
        <v>1124</v>
      </c>
      <c r="AU139">
        <f t="shared" si="20"/>
        <v>255.04</v>
      </c>
      <c r="AV139">
        <f t="shared" si="21"/>
        <v>868.96</v>
      </c>
    </row>
    <row r="140" spans="1:48" ht="24" customHeight="1">
      <c r="A140" s="220">
        <f>(A94+1)</f>
        <v>80</v>
      </c>
      <c r="B140" s="221" t="s">
        <v>1493</v>
      </c>
      <c r="C140" s="222">
        <f>AC30</f>
        <v>11790</v>
      </c>
      <c r="D140" s="568">
        <v>13.87</v>
      </c>
      <c r="E140" s="1" t="s">
        <v>940</v>
      </c>
      <c r="F140" s="2" t="s">
        <v>359</v>
      </c>
      <c r="G140" s="7" t="s">
        <v>2167</v>
      </c>
      <c r="H140" s="1" t="s">
        <v>360</v>
      </c>
      <c r="M140" s="2" t="s">
        <v>359</v>
      </c>
      <c r="N140" s="7" t="s">
        <v>2167</v>
      </c>
      <c r="O140" s="1" t="s">
        <v>360</v>
      </c>
      <c r="Q140" s="11"/>
      <c r="AE140" s="64">
        <f t="shared" si="22"/>
        <v>0</v>
      </c>
      <c r="AG140" s="1" t="s">
        <v>2175</v>
      </c>
      <c r="AN140" s="8">
        <v>6</v>
      </c>
      <c r="AO140" s="7" t="s">
        <v>835</v>
      </c>
      <c r="AP140" s="1" t="s">
        <v>299</v>
      </c>
      <c r="AQ140" s="8">
        <f>AQ115</f>
        <v>461</v>
      </c>
      <c r="AR140" s="1" t="s">
        <v>835</v>
      </c>
      <c r="AS140" s="8">
        <f>(AN140*AQ140)</f>
        <v>2766</v>
      </c>
      <c r="AU140">
        <f t="shared" si="20"/>
        <v>627.61</v>
      </c>
      <c r="AV140">
        <f t="shared" si="21"/>
        <v>2138.39</v>
      </c>
    </row>
    <row r="141" spans="1:48" ht="24" customHeight="1">
      <c r="A141" s="220">
        <f t="shared" ref="A141:A146" si="23">(A140+1)</f>
        <v>81</v>
      </c>
      <c r="B141" s="221" t="s">
        <v>362</v>
      </c>
      <c r="C141" s="222">
        <f>AC33</f>
        <v>51750</v>
      </c>
      <c r="D141" s="221" t="s">
        <v>828</v>
      </c>
      <c r="H141" s="1" t="s">
        <v>993</v>
      </c>
      <c r="N141" s="3"/>
      <c r="O141" s="1" t="s">
        <v>1854</v>
      </c>
      <c r="Q141" s="11"/>
      <c r="AE141" s="64">
        <f t="shared" ref="AE141:AE204" si="24">AF141</f>
        <v>0</v>
      </c>
      <c r="AG141" s="1" t="s">
        <v>2175</v>
      </c>
      <c r="AO141" s="7" t="s">
        <v>419</v>
      </c>
      <c r="AP141" s="1" t="s">
        <v>420</v>
      </c>
      <c r="AQ141" s="1" t="s">
        <v>940</v>
      </c>
      <c r="AR141" s="1" t="s">
        <v>419</v>
      </c>
      <c r="AS141" s="8">
        <v>0</v>
      </c>
      <c r="AU141">
        <f t="shared" si="20"/>
        <v>0</v>
      </c>
      <c r="AV141">
        <f t="shared" si="21"/>
        <v>0</v>
      </c>
    </row>
    <row r="142" spans="1:48" ht="24" customHeight="1">
      <c r="A142" s="220">
        <f t="shared" si="23"/>
        <v>82</v>
      </c>
      <c r="B142" s="221" t="s">
        <v>1740</v>
      </c>
      <c r="C142" s="222">
        <f>AC32</f>
        <v>51750</v>
      </c>
      <c r="D142" s="221" t="s">
        <v>828</v>
      </c>
      <c r="H142" s="5" t="s">
        <v>1530</v>
      </c>
      <c r="N142" s="3"/>
      <c r="O142" s="5" t="s">
        <v>1530</v>
      </c>
      <c r="Q142" s="11"/>
      <c r="AE142" s="64">
        <f t="shared" si="24"/>
        <v>0</v>
      </c>
      <c r="AG142" s="1" t="s">
        <v>2175</v>
      </c>
      <c r="AO142" s="3"/>
      <c r="AR142" s="11"/>
      <c r="AS142" s="5" t="s">
        <v>1530</v>
      </c>
      <c r="AU142">
        <f t="shared" si="20"/>
        <v>0</v>
      </c>
      <c r="AV142">
        <f t="shared" si="21"/>
        <v>0</v>
      </c>
    </row>
    <row r="143" spans="1:48" ht="24" customHeight="1">
      <c r="A143" s="220">
        <f t="shared" si="23"/>
        <v>83</v>
      </c>
      <c r="B143" s="221" t="s">
        <v>353</v>
      </c>
      <c r="C143" s="222">
        <f>AC33</f>
        <v>51750</v>
      </c>
      <c r="D143" s="221" t="s">
        <v>828</v>
      </c>
      <c r="F143" s="8">
        <v>1</v>
      </c>
      <c r="G143" s="7" t="s">
        <v>836</v>
      </c>
      <c r="H143" s="1" t="s">
        <v>354</v>
      </c>
      <c r="I143" s="8">
        <f>I36</f>
        <v>1400.82</v>
      </c>
      <c r="J143" s="1" t="s">
        <v>836</v>
      </c>
      <c r="K143" s="8">
        <f>(F143*I143)</f>
        <v>1400.82</v>
      </c>
      <c r="M143" s="8">
        <v>1</v>
      </c>
      <c r="N143" s="7" t="s">
        <v>836</v>
      </c>
      <c r="O143" s="1" t="s">
        <v>1855</v>
      </c>
      <c r="P143" s="8">
        <f>AC38</f>
        <v>346.64</v>
      </c>
      <c r="Q143" s="1" t="s">
        <v>836</v>
      </c>
      <c r="R143" s="8">
        <f>(M143*P143)</f>
        <v>346.64</v>
      </c>
      <c r="AE143" s="64">
        <f t="shared" si="24"/>
        <v>0</v>
      </c>
      <c r="AG143" s="1" t="s">
        <v>2175</v>
      </c>
      <c r="AO143" s="3"/>
      <c r="AP143" s="1" t="s">
        <v>583</v>
      </c>
      <c r="AR143" s="11"/>
      <c r="AS143" s="8">
        <f>SUM(AS135:AS141)</f>
        <v>18110.169999999998</v>
      </c>
      <c r="AU143">
        <f t="shared" si="20"/>
        <v>4109.2</v>
      </c>
      <c r="AV143">
        <f t="shared" si="21"/>
        <v>14000.97</v>
      </c>
    </row>
    <row r="144" spans="1:48" ht="24" customHeight="1">
      <c r="A144" s="220">
        <f t="shared" si="23"/>
        <v>84</v>
      </c>
      <c r="B144" s="221" t="s">
        <v>1491</v>
      </c>
      <c r="C144" s="222">
        <f>AC38</f>
        <v>346.64</v>
      </c>
      <c r="D144" s="221" t="s">
        <v>836</v>
      </c>
      <c r="F144" s="8">
        <v>1</v>
      </c>
      <c r="G144" s="7" t="s">
        <v>836</v>
      </c>
      <c r="H144" s="1" t="s">
        <v>1302</v>
      </c>
      <c r="I144" s="8">
        <f>C27</f>
        <v>29.5</v>
      </c>
      <c r="J144" s="1" t="s">
        <v>836</v>
      </c>
      <c r="K144" s="8">
        <f>(F144*I144)</f>
        <v>29.5</v>
      </c>
      <c r="M144" s="8">
        <v>1</v>
      </c>
      <c r="N144" s="7" t="s">
        <v>836</v>
      </c>
      <c r="O144" s="1" t="s">
        <v>1302</v>
      </c>
      <c r="P144" s="8">
        <f>C26</f>
        <v>33.6</v>
      </c>
      <c r="Q144" s="1" t="s">
        <v>836</v>
      </c>
      <c r="R144" s="8">
        <f>(M144*P144)</f>
        <v>33.6</v>
      </c>
      <c r="AE144" s="64">
        <f t="shared" si="24"/>
        <v>0</v>
      </c>
      <c r="AG144" s="1" t="s">
        <v>2175</v>
      </c>
      <c r="AO144" s="3"/>
      <c r="AR144" s="11"/>
      <c r="AS144" s="5" t="s">
        <v>1530</v>
      </c>
      <c r="AU144">
        <f t="shared" si="20"/>
        <v>0</v>
      </c>
      <c r="AV144">
        <f t="shared" si="21"/>
        <v>0</v>
      </c>
    </row>
    <row r="145" spans="1:48" ht="24" customHeight="1">
      <c r="A145" s="220">
        <f t="shared" si="23"/>
        <v>85</v>
      </c>
      <c r="B145" s="221" t="s">
        <v>185</v>
      </c>
      <c r="C145" s="545">
        <v>43563.69</v>
      </c>
      <c r="D145" s="221" t="s">
        <v>828</v>
      </c>
      <c r="G145" s="7" t="s">
        <v>419</v>
      </c>
      <c r="H145" s="1" t="s">
        <v>420</v>
      </c>
      <c r="I145" s="1" t="s">
        <v>940</v>
      </c>
      <c r="J145" s="1" t="s">
        <v>419</v>
      </c>
      <c r="K145" s="8">
        <v>0</v>
      </c>
      <c r="N145" s="7" t="s">
        <v>419</v>
      </c>
      <c r="O145" s="1" t="s">
        <v>420</v>
      </c>
      <c r="P145" s="1" t="s">
        <v>940</v>
      </c>
      <c r="Q145" s="1" t="s">
        <v>419</v>
      </c>
      <c r="R145" s="8">
        <v>0</v>
      </c>
      <c r="AE145" s="64">
        <f t="shared" si="24"/>
        <v>0</v>
      </c>
      <c r="AG145" s="1" t="s">
        <v>2175</v>
      </c>
      <c r="AO145" s="3"/>
      <c r="AP145" s="1" t="s">
        <v>743</v>
      </c>
      <c r="AR145" s="11"/>
      <c r="AS145" s="8">
        <f>(AS143/2.83168)</f>
        <v>6395.56</v>
      </c>
      <c r="AU145">
        <f t="shared" si="20"/>
        <v>1451.15</v>
      </c>
      <c r="AV145">
        <f t="shared" si="21"/>
        <v>4944.41</v>
      </c>
    </row>
    <row r="146" spans="1:48" ht="24" customHeight="1">
      <c r="A146" s="220">
        <f t="shared" si="23"/>
        <v>86</v>
      </c>
      <c r="B146" s="1" t="s">
        <v>4668</v>
      </c>
      <c r="C146" s="52">
        <v>50300</v>
      </c>
      <c r="D146" s="221" t="s">
        <v>828</v>
      </c>
      <c r="E146">
        <v>5</v>
      </c>
      <c r="K146" s="5" t="s">
        <v>1530</v>
      </c>
      <c r="N146" s="3"/>
      <c r="Q146" s="11"/>
      <c r="R146" s="5" t="s">
        <v>1530</v>
      </c>
      <c r="AE146" s="64">
        <f t="shared" si="24"/>
        <v>0</v>
      </c>
      <c r="AG146" s="1" t="s">
        <v>2175</v>
      </c>
      <c r="AO146" s="3"/>
      <c r="AR146" s="11"/>
      <c r="AS146" s="5" t="s">
        <v>1980</v>
      </c>
      <c r="AU146">
        <f t="shared" si="20"/>
        <v>0</v>
      </c>
      <c r="AV146">
        <f t="shared" si="21"/>
        <v>0</v>
      </c>
    </row>
    <row r="147" spans="1:48" ht="24" customHeight="1">
      <c r="A147" s="223"/>
      <c r="B147" s="221" t="s">
        <v>940</v>
      </c>
      <c r="C147" s="223"/>
      <c r="D147" s="223"/>
      <c r="H147" s="1" t="s">
        <v>187</v>
      </c>
      <c r="K147" s="39">
        <f>SUM(K141:K145)</f>
        <v>1430.32</v>
      </c>
      <c r="N147" s="3"/>
      <c r="O147" s="1" t="s">
        <v>1459</v>
      </c>
      <c r="Q147" s="11"/>
      <c r="R147" s="8">
        <f>SUM(R143:R145)</f>
        <v>380.24</v>
      </c>
      <c r="AE147" s="64">
        <f t="shared" si="24"/>
        <v>0</v>
      </c>
      <c r="AG147" s="1" t="s">
        <v>2175</v>
      </c>
      <c r="AO147" s="3"/>
      <c r="AR147" s="11"/>
      <c r="AU147">
        <f t="shared" si="20"/>
        <v>0</v>
      </c>
      <c r="AV147">
        <f t="shared" si="21"/>
        <v>0</v>
      </c>
    </row>
    <row r="148" spans="1:48" ht="24" customHeight="1">
      <c r="A148" s="220">
        <f>(A146+1)</f>
        <v>87</v>
      </c>
      <c r="B148" s="221" t="s">
        <v>188</v>
      </c>
      <c r="C148" s="162">
        <v>7.5</v>
      </c>
      <c r="D148" s="221" t="s">
        <v>419</v>
      </c>
      <c r="K148" s="5" t="s">
        <v>1530</v>
      </c>
      <c r="N148" s="3"/>
      <c r="O148" s="1" t="s">
        <v>1955</v>
      </c>
      <c r="Q148" s="11"/>
      <c r="R148" s="5" t="s">
        <v>1530</v>
      </c>
      <c r="AE148" s="64">
        <f t="shared" si="24"/>
        <v>0</v>
      </c>
      <c r="AG148" s="1" t="s">
        <v>2175</v>
      </c>
      <c r="AO148" s="7" t="s">
        <v>643</v>
      </c>
      <c r="AP148" s="1" t="s">
        <v>2856</v>
      </c>
      <c r="AR148" s="11"/>
      <c r="AU148">
        <f t="shared" si="20"/>
        <v>0</v>
      </c>
      <c r="AV148">
        <f t="shared" si="21"/>
        <v>0</v>
      </c>
    </row>
    <row r="149" spans="1:48" ht="24" customHeight="1">
      <c r="A149" s="223"/>
      <c r="B149" s="1" t="s">
        <v>4480</v>
      </c>
      <c r="C149" s="545">
        <v>15.5</v>
      </c>
      <c r="D149" s="223"/>
      <c r="F149" s="2" t="s">
        <v>189</v>
      </c>
      <c r="G149" s="7" t="s">
        <v>2167</v>
      </c>
      <c r="H149" s="1" t="s">
        <v>994</v>
      </c>
      <c r="AE149" s="64">
        <f t="shared" si="24"/>
        <v>0</v>
      </c>
      <c r="AO149" s="3"/>
      <c r="AP149" s="5" t="s">
        <v>1530</v>
      </c>
      <c r="AR149" s="11"/>
      <c r="AU149">
        <f t="shared" si="20"/>
        <v>0</v>
      </c>
      <c r="AV149">
        <f t="shared" si="21"/>
        <v>0</v>
      </c>
    </row>
    <row r="150" spans="1:48" ht="24" customHeight="1">
      <c r="A150" s="220">
        <f>(A148+1)</f>
        <v>88</v>
      </c>
      <c r="B150" s="221" t="s">
        <v>1590</v>
      </c>
      <c r="C150" s="545">
        <v>15.25</v>
      </c>
      <c r="D150" s="221" t="s">
        <v>1591</v>
      </c>
      <c r="H150" s="1" t="s">
        <v>995</v>
      </c>
      <c r="M150" s="2" t="s">
        <v>359</v>
      </c>
      <c r="N150" s="7" t="s">
        <v>2167</v>
      </c>
      <c r="O150" s="1" t="s">
        <v>360</v>
      </c>
      <c r="Q150" s="11"/>
      <c r="AE150" s="64">
        <f t="shared" si="24"/>
        <v>0</v>
      </c>
      <c r="AN150" s="8">
        <v>1.1000000000000001</v>
      </c>
      <c r="AO150" s="7" t="s">
        <v>836</v>
      </c>
      <c r="AP150" s="1" t="s">
        <v>1079</v>
      </c>
      <c r="AQ150" s="8">
        <f>(AS145)</f>
        <v>6395.56</v>
      </c>
      <c r="AR150" s="1" t="s">
        <v>836</v>
      </c>
      <c r="AS150" s="443">
        <f>(AN150*AQ150)</f>
        <v>7035.12</v>
      </c>
      <c r="AU150">
        <f t="shared" si="20"/>
        <v>1596.27</v>
      </c>
      <c r="AV150">
        <f t="shared" si="21"/>
        <v>5438.85</v>
      </c>
    </row>
    <row r="151" spans="1:48" ht="24" customHeight="1">
      <c r="A151" s="220">
        <f>(A150+1)</f>
        <v>89</v>
      </c>
      <c r="B151" s="1" t="s">
        <v>4669</v>
      </c>
      <c r="C151" s="423">
        <v>143.80000000000001</v>
      </c>
      <c r="D151" s="221" t="s">
        <v>1591</v>
      </c>
      <c r="H151" s="1" t="s">
        <v>452</v>
      </c>
      <c r="N151" s="3"/>
      <c r="O151" s="1" t="s">
        <v>3521</v>
      </c>
      <c r="Q151" s="11"/>
      <c r="AE151" s="64">
        <f t="shared" si="24"/>
        <v>0</v>
      </c>
      <c r="AN151" s="8">
        <v>1</v>
      </c>
      <c r="AO151" s="7" t="s">
        <v>739</v>
      </c>
      <c r="AP151" s="1" t="s">
        <v>1938</v>
      </c>
      <c r="AQ151" s="8">
        <f>AQ137</f>
        <v>861</v>
      </c>
      <c r="AR151" s="1" t="s">
        <v>835</v>
      </c>
      <c r="AS151" s="443">
        <f>(AN151*AQ151)</f>
        <v>861</v>
      </c>
      <c r="AU151">
        <f t="shared" si="20"/>
        <v>195.36</v>
      </c>
      <c r="AV151">
        <f t="shared" si="21"/>
        <v>665.64</v>
      </c>
    </row>
    <row r="152" spans="1:48" ht="24" customHeight="1">
      <c r="A152" s="223"/>
      <c r="B152" s="223" t="s">
        <v>4901</v>
      </c>
      <c r="C152" s="435">
        <v>42.8</v>
      </c>
      <c r="D152" s="223" t="s">
        <v>1591</v>
      </c>
      <c r="H152" s="1" t="s">
        <v>489</v>
      </c>
      <c r="N152" s="3"/>
      <c r="O152" s="5" t="s">
        <v>1530</v>
      </c>
      <c r="Q152" s="11"/>
      <c r="AE152" s="64">
        <f t="shared" si="24"/>
        <v>0</v>
      </c>
      <c r="AO152" s="7" t="s">
        <v>419</v>
      </c>
      <c r="AP152" s="1" t="s">
        <v>420</v>
      </c>
      <c r="AQ152" s="1" t="s">
        <v>940</v>
      </c>
      <c r="AR152" s="1" t="s">
        <v>419</v>
      </c>
      <c r="AS152" s="443">
        <v>0</v>
      </c>
      <c r="AU152">
        <f t="shared" si="20"/>
        <v>0</v>
      </c>
      <c r="AV152">
        <f t="shared" si="21"/>
        <v>0</v>
      </c>
    </row>
    <row r="153" spans="1:48" ht="24" customHeight="1">
      <c r="A153" s="223"/>
      <c r="B153" s="223"/>
      <c r="C153" s="223"/>
      <c r="D153" s="223"/>
      <c r="H153" s="1" t="s">
        <v>490</v>
      </c>
      <c r="M153" s="8">
        <v>1</v>
      </c>
      <c r="N153" s="7" t="s">
        <v>836</v>
      </c>
      <c r="O153" s="1" t="s">
        <v>3522</v>
      </c>
      <c r="P153" s="8">
        <f>AC46</f>
        <v>122.5</v>
      </c>
      <c r="Q153" s="1" t="s">
        <v>836</v>
      </c>
      <c r="R153" s="8">
        <f>(M153*P153)</f>
        <v>122.5</v>
      </c>
      <c r="AE153" s="64">
        <f t="shared" si="24"/>
        <v>0</v>
      </c>
      <c r="AO153" s="3"/>
      <c r="AR153" s="11"/>
      <c r="AS153" s="776" t="s">
        <v>1530</v>
      </c>
      <c r="AU153">
        <f t="shared" si="20"/>
        <v>0</v>
      </c>
      <c r="AV153">
        <f t="shared" si="21"/>
        <v>0</v>
      </c>
    </row>
    <row r="154" spans="1:48" ht="24" customHeight="1">
      <c r="A154" s="223"/>
      <c r="B154" s="223"/>
      <c r="C154" s="223"/>
      <c r="D154" s="223"/>
      <c r="H154" s="5" t="s">
        <v>1530</v>
      </c>
      <c r="M154" s="8">
        <v>1</v>
      </c>
      <c r="N154" s="7" t="s">
        <v>836</v>
      </c>
      <c r="O154" s="1" t="s">
        <v>1302</v>
      </c>
      <c r="P154" s="8">
        <f>AE28</f>
        <v>33.6</v>
      </c>
      <c r="Q154" s="1" t="s">
        <v>836</v>
      </c>
      <c r="R154" s="8">
        <f>(M154*P154)</f>
        <v>33.6</v>
      </c>
      <c r="AE154" s="64">
        <f t="shared" si="24"/>
        <v>0</v>
      </c>
      <c r="AO154" s="3"/>
      <c r="AP154" s="1" t="s">
        <v>411</v>
      </c>
      <c r="AR154" s="11"/>
      <c r="AS154" s="39">
        <f>SUM(AS150:AS152)</f>
        <v>7896.12</v>
      </c>
      <c r="AU154">
        <f t="shared" si="20"/>
        <v>1791.63</v>
      </c>
      <c r="AV154">
        <f t="shared" si="21"/>
        <v>6104.49</v>
      </c>
    </row>
    <row r="155" spans="1:48" ht="24" customHeight="1">
      <c r="A155" s="223"/>
      <c r="B155" s="223"/>
      <c r="C155" s="223"/>
      <c r="D155" s="223"/>
      <c r="F155" s="8">
        <v>0.7</v>
      </c>
      <c r="G155" s="7" t="s">
        <v>836</v>
      </c>
      <c r="H155" s="1" t="s">
        <v>1931</v>
      </c>
      <c r="I155" s="8">
        <f>C82</f>
        <v>1400.82</v>
      </c>
      <c r="J155" s="1" t="s">
        <v>836</v>
      </c>
      <c r="K155" s="8">
        <f t="shared" ref="K155:K160" si="25">(F155*I155)</f>
        <v>980.57</v>
      </c>
      <c r="N155" s="7" t="s">
        <v>419</v>
      </c>
      <c r="O155" s="1" t="s">
        <v>420</v>
      </c>
      <c r="P155" s="1" t="s">
        <v>940</v>
      </c>
      <c r="Q155" s="1" t="s">
        <v>419</v>
      </c>
      <c r="R155" s="8">
        <v>0</v>
      </c>
      <c r="AE155" s="64">
        <f t="shared" si="24"/>
        <v>0</v>
      </c>
      <c r="AO155" s="3"/>
      <c r="AR155" s="11"/>
      <c r="AS155" s="776" t="s">
        <v>1530</v>
      </c>
      <c r="AU155">
        <f t="shared" si="20"/>
        <v>0</v>
      </c>
      <c r="AV155">
        <f t="shared" si="21"/>
        <v>0</v>
      </c>
    </row>
    <row r="156" spans="1:48" ht="24" customHeight="1">
      <c r="A156" s="223"/>
      <c r="B156" s="223"/>
      <c r="C156" s="223"/>
      <c r="D156" s="223"/>
      <c r="F156" s="8">
        <v>0.7</v>
      </c>
      <c r="G156" s="7" t="s">
        <v>836</v>
      </c>
      <c r="H156" s="512" t="s">
        <v>491</v>
      </c>
      <c r="I156" s="511">
        <f>C815</f>
        <v>3.15</v>
      </c>
      <c r="J156" s="1" t="s">
        <v>836</v>
      </c>
      <c r="K156" s="8">
        <f t="shared" si="25"/>
        <v>2.21</v>
      </c>
      <c r="N156" s="3"/>
      <c r="Q156" s="11"/>
      <c r="R156" s="5" t="s">
        <v>1530</v>
      </c>
      <c r="AE156" s="64">
        <f t="shared" si="24"/>
        <v>0</v>
      </c>
      <c r="AO156" s="3"/>
      <c r="AP156" s="1" t="s">
        <v>521</v>
      </c>
      <c r="AR156" s="11"/>
      <c r="AS156" s="443">
        <f>(AS154/10)</f>
        <v>789.61</v>
      </c>
      <c r="AU156">
        <f t="shared" si="20"/>
        <v>179.16</v>
      </c>
      <c r="AV156">
        <f t="shared" si="21"/>
        <v>610.45000000000005</v>
      </c>
    </row>
    <row r="157" spans="1:48" ht="24" customHeight="1">
      <c r="A157" s="223"/>
      <c r="B157" s="223"/>
      <c r="C157" s="223"/>
      <c r="D157" s="223"/>
      <c r="F157" s="8">
        <v>0.72</v>
      </c>
      <c r="G157" s="7" t="s">
        <v>836</v>
      </c>
      <c r="H157" s="1" t="s">
        <v>1587</v>
      </c>
      <c r="I157" s="8">
        <f>C35</f>
        <v>346.64</v>
      </c>
      <c r="J157" s="1" t="s">
        <v>836</v>
      </c>
      <c r="K157" s="8">
        <f t="shared" si="25"/>
        <v>249.58</v>
      </c>
      <c r="N157" s="3"/>
      <c r="O157" s="1" t="s">
        <v>1459</v>
      </c>
      <c r="Q157" s="11"/>
      <c r="R157" s="8">
        <f>SUM(R153:R155)</f>
        <v>156.1</v>
      </c>
      <c r="AE157" s="64">
        <f t="shared" si="24"/>
        <v>0</v>
      </c>
      <c r="AO157" s="3"/>
      <c r="AR157" s="11"/>
      <c r="AS157" s="776" t="s">
        <v>1980</v>
      </c>
      <c r="AU157">
        <f t="shared" si="20"/>
        <v>0</v>
      </c>
      <c r="AV157">
        <f t="shared" si="21"/>
        <v>0</v>
      </c>
    </row>
    <row r="158" spans="1:48" ht="24" customHeight="1">
      <c r="A158" s="223"/>
      <c r="B158" s="223"/>
      <c r="C158" s="223"/>
      <c r="D158" s="223"/>
      <c r="F158" s="8">
        <v>0.72</v>
      </c>
      <c r="G158" s="7" t="s">
        <v>836</v>
      </c>
      <c r="H158" s="512" t="s">
        <v>491</v>
      </c>
      <c r="I158" s="511">
        <f>C815</f>
        <v>3.15</v>
      </c>
      <c r="J158" s="1" t="s">
        <v>836</v>
      </c>
      <c r="K158" s="8">
        <f t="shared" si="25"/>
        <v>2.27</v>
      </c>
      <c r="N158" s="3"/>
      <c r="O158" s="1" t="s">
        <v>1955</v>
      </c>
      <c r="Q158" s="11"/>
      <c r="R158" s="5" t="s">
        <v>1530</v>
      </c>
      <c r="AE158" s="64">
        <f t="shared" si="24"/>
        <v>0</v>
      </c>
      <c r="AO158" s="3"/>
      <c r="AP158" s="1" t="s">
        <v>361</v>
      </c>
      <c r="AR158" s="11">
        <f>AS158-AS156</f>
        <v>7.48</v>
      </c>
      <c r="AS158" s="39">
        <f>(AS156+C19/10*AN150)</f>
        <v>797.09</v>
      </c>
      <c r="AT158">
        <f>AS156-AS158</f>
        <v>-7.48</v>
      </c>
      <c r="AU158">
        <f t="shared" si="20"/>
        <v>180.86</v>
      </c>
      <c r="AV158">
        <f t="shared" si="21"/>
        <v>616.23</v>
      </c>
    </row>
    <row r="159" spans="1:48" ht="24" customHeight="1">
      <c r="A159" s="223"/>
      <c r="B159" s="223"/>
      <c r="C159" s="223"/>
      <c r="D159" s="223"/>
      <c r="F159" s="8">
        <v>1</v>
      </c>
      <c r="G159" s="7" t="s">
        <v>836</v>
      </c>
      <c r="H159" s="1" t="s">
        <v>1730</v>
      </c>
      <c r="I159" s="8">
        <f>C18</f>
        <v>100</v>
      </c>
      <c r="J159" s="1" t="s">
        <v>836</v>
      </c>
      <c r="K159" s="8">
        <f t="shared" si="25"/>
        <v>100</v>
      </c>
      <c r="AE159" s="64">
        <f t="shared" si="24"/>
        <v>0</v>
      </c>
      <c r="AO159" s="3"/>
      <c r="AP159" s="1" t="s">
        <v>363</v>
      </c>
      <c r="AR159" s="11">
        <f>AS159-AS158</f>
        <v>15.09</v>
      </c>
      <c r="AS159" s="39">
        <f>(AS158+C20/10*AN150)</f>
        <v>812.18</v>
      </c>
      <c r="AT159">
        <f>AS159-AS158</f>
        <v>15.09</v>
      </c>
      <c r="AU159">
        <f t="shared" si="20"/>
        <v>184.28</v>
      </c>
      <c r="AV159">
        <f t="shared" si="21"/>
        <v>627.9</v>
      </c>
    </row>
    <row r="160" spans="1:48" ht="24" customHeight="1">
      <c r="A160" s="223"/>
      <c r="B160" s="223"/>
      <c r="C160" s="223"/>
      <c r="D160" s="223"/>
      <c r="F160" s="8">
        <v>1</v>
      </c>
      <c r="G160" s="7" t="s">
        <v>836</v>
      </c>
      <c r="H160" s="512" t="s">
        <v>1588</v>
      </c>
      <c r="I160" s="576">
        <f>C149</f>
        <v>15.5</v>
      </c>
      <c r="J160" s="1" t="s">
        <v>836</v>
      </c>
      <c r="K160" s="8">
        <f t="shared" si="25"/>
        <v>15.5</v>
      </c>
      <c r="AE160" s="64">
        <f t="shared" si="24"/>
        <v>0</v>
      </c>
      <c r="AO160" s="3"/>
      <c r="AP160" s="1" t="s">
        <v>2149</v>
      </c>
      <c r="AR160" s="11">
        <f>AS160-AS159</f>
        <v>15.09</v>
      </c>
      <c r="AS160" s="39">
        <f>(AS159+C21/10*AN150)</f>
        <v>827.27</v>
      </c>
      <c r="AU160">
        <f t="shared" si="20"/>
        <v>187.71</v>
      </c>
      <c r="AV160">
        <f t="shared" si="21"/>
        <v>639.55999999999995</v>
      </c>
    </row>
    <row r="161" spans="1:48" ht="24" customHeight="1">
      <c r="A161" s="223"/>
      <c r="B161" s="223"/>
      <c r="C161" s="223"/>
      <c r="D161" s="223"/>
      <c r="H161" s="1" t="s">
        <v>1589</v>
      </c>
      <c r="AE161" s="64">
        <f t="shared" si="24"/>
        <v>0</v>
      </c>
      <c r="AO161" s="3"/>
      <c r="AP161" s="1" t="s">
        <v>355</v>
      </c>
      <c r="AR161" s="11">
        <f>AS161-AS160</f>
        <v>15.09</v>
      </c>
      <c r="AS161" s="39">
        <f>(AS160+C21/10*AN150)</f>
        <v>842.36</v>
      </c>
      <c r="AU161">
        <f t="shared" si="20"/>
        <v>191.13</v>
      </c>
      <c r="AV161">
        <f t="shared" si="21"/>
        <v>651.23</v>
      </c>
    </row>
    <row r="162" spans="1:48" ht="24" customHeight="1">
      <c r="A162" s="223"/>
      <c r="B162" s="223"/>
      <c r="C162" s="223"/>
      <c r="D162" s="223"/>
      <c r="G162" s="7" t="s">
        <v>419</v>
      </c>
      <c r="H162" s="1" t="s">
        <v>420</v>
      </c>
      <c r="I162" s="1" t="s">
        <v>940</v>
      </c>
      <c r="J162" s="1" t="s">
        <v>419</v>
      </c>
      <c r="K162" s="8">
        <v>0</v>
      </c>
      <c r="AE162" s="64">
        <f t="shared" si="24"/>
        <v>0</v>
      </c>
      <c r="AO162" s="3"/>
      <c r="AP162" s="1" t="s">
        <v>1477</v>
      </c>
      <c r="AR162" s="11">
        <f>AS162-AS161</f>
        <v>15.09</v>
      </c>
      <c r="AS162" s="39">
        <f>(AS161+C21/10*AN150)</f>
        <v>857.45</v>
      </c>
      <c r="AU162">
        <f t="shared" si="20"/>
        <v>194.56</v>
      </c>
      <c r="AV162">
        <f t="shared" si="21"/>
        <v>662.89</v>
      </c>
    </row>
    <row r="163" spans="1:48" ht="24" customHeight="1">
      <c r="A163" s="223"/>
      <c r="B163" s="223"/>
      <c r="C163" s="223"/>
      <c r="D163" s="223"/>
      <c r="K163" s="5" t="s">
        <v>1530</v>
      </c>
      <c r="M163" s="2" t="s">
        <v>634</v>
      </c>
      <c r="N163" s="7" t="s">
        <v>2167</v>
      </c>
      <c r="O163" s="1" t="s">
        <v>515</v>
      </c>
      <c r="Q163" s="11"/>
      <c r="AE163" s="64">
        <f t="shared" si="24"/>
        <v>0</v>
      </c>
      <c r="AN163" s="777">
        <v>11</v>
      </c>
      <c r="AO163" s="408" t="s">
        <v>2167</v>
      </c>
      <c r="AP163" s="34" t="s">
        <v>3670</v>
      </c>
      <c r="AQ163" s="37"/>
      <c r="AR163" s="99"/>
      <c r="AS163" s="37"/>
      <c r="AU163">
        <f t="shared" si="20"/>
        <v>0</v>
      </c>
      <c r="AV163">
        <f t="shared" si="21"/>
        <v>0</v>
      </c>
    </row>
    <row r="164" spans="1:48" ht="24" customHeight="1">
      <c r="A164" s="223"/>
      <c r="B164" s="223"/>
      <c r="C164" s="223"/>
      <c r="D164" s="223"/>
      <c r="H164" s="59" t="s">
        <v>187</v>
      </c>
      <c r="K164" s="39">
        <f>SUM(K155:K162)</f>
        <v>1350.13</v>
      </c>
      <c r="N164" s="3"/>
      <c r="O164" s="1" t="s">
        <v>637</v>
      </c>
      <c r="Q164" s="11"/>
      <c r="AE164" s="64">
        <f t="shared" si="24"/>
        <v>0</v>
      </c>
      <c r="AN164" s="37"/>
      <c r="AO164" s="73"/>
      <c r="AP164" s="39" t="str">
        <f>AP64</f>
        <v>Bricks of size 23x11x7 cm</v>
      </c>
      <c r="AQ164" s="37"/>
      <c r="AR164" s="99"/>
      <c r="AS164" s="37"/>
      <c r="AU164">
        <f t="shared" si="20"/>
        <v>0</v>
      </c>
      <c r="AV164">
        <f t="shared" si="21"/>
        <v>0</v>
      </c>
    </row>
    <row r="165" spans="1:48" ht="24" customHeight="1">
      <c r="A165" s="223"/>
      <c r="B165" s="223"/>
      <c r="C165" s="223"/>
      <c r="D165" s="223"/>
      <c r="K165" s="5" t="s">
        <v>1530</v>
      </c>
      <c r="N165" s="3"/>
      <c r="O165" s="5" t="s">
        <v>1530</v>
      </c>
      <c r="Q165" s="11"/>
      <c r="AE165" s="64">
        <f t="shared" si="24"/>
        <v>0</v>
      </c>
      <c r="AO165" s="3"/>
      <c r="AP165" s="5" t="s">
        <v>1530</v>
      </c>
      <c r="AR165" s="11"/>
      <c r="AU165">
        <f t="shared" si="20"/>
        <v>0</v>
      </c>
      <c r="AV165">
        <f t="shared" si="21"/>
        <v>0</v>
      </c>
    </row>
    <row r="166" spans="1:48" ht="24" customHeight="1">
      <c r="A166" s="223"/>
      <c r="B166" s="223"/>
      <c r="C166" s="223"/>
      <c r="D166" s="223"/>
      <c r="H166" s="1" t="s">
        <v>940</v>
      </c>
      <c r="K166" s="1" t="s">
        <v>940</v>
      </c>
      <c r="M166" s="8">
        <v>9</v>
      </c>
      <c r="N166" s="7" t="s">
        <v>836</v>
      </c>
      <c r="O166" s="1" t="s">
        <v>1584</v>
      </c>
      <c r="P166" s="8">
        <f>I198</f>
        <v>1178.3800000000001</v>
      </c>
      <c r="Q166" s="1" t="s">
        <v>836</v>
      </c>
      <c r="R166" s="8">
        <f>(M166*P166)</f>
        <v>10605.42</v>
      </c>
      <c r="AE166" s="64">
        <f t="shared" si="24"/>
        <v>0</v>
      </c>
      <c r="AN166" s="8">
        <f>AN66</f>
        <v>1300</v>
      </c>
      <c r="AO166" s="7" t="s">
        <v>1368</v>
      </c>
      <c r="AP166" s="8" t="str">
        <f>AP64</f>
        <v>Bricks of size 23x11x7 cm</v>
      </c>
      <c r="AQ166" s="8">
        <f>AC48</f>
        <v>6435</v>
      </c>
      <c r="AR166" s="1" t="s">
        <v>1478</v>
      </c>
      <c r="AS166" s="8">
        <f>(AN166*AQ166)/1000</f>
        <v>8365.5</v>
      </c>
      <c r="AU166">
        <f t="shared" si="20"/>
        <v>1898.13</v>
      </c>
      <c r="AV166">
        <f t="shared" si="21"/>
        <v>6467.37</v>
      </c>
    </row>
    <row r="167" spans="1:48" ht="24" customHeight="1">
      <c r="A167" s="223"/>
      <c r="B167" s="223"/>
      <c r="C167" s="223"/>
      <c r="D167" s="223"/>
      <c r="K167" s="1" t="s">
        <v>940</v>
      </c>
      <c r="M167" s="8">
        <v>4.5</v>
      </c>
      <c r="N167" s="7" t="s">
        <v>836</v>
      </c>
      <c r="O167" s="1" t="s">
        <v>1258</v>
      </c>
      <c r="P167" s="8">
        <f>K40</f>
        <v>3646.42</v>
      </c>
      <c r="Q167" s="1" t="s">
        <v>836</v>
      </c>
      <c r="R167" s="8">
        <f>(M167*P167)</f>
        <v>16408.89</v>
      </c>
      <c r="AE167" s="64">
        <f t="shared" si="24"/>
        <v>0</v>
      </c>
      <c r="AN167" s="13">
        <f>AN136</f>
        <v>0.70799999999999996</v>
      </c>
      <c r="AO167" s="7" t="s">
        <v>836</v>
      </c>
      <c r="AP167" s="1" t="s">
        <v>1258</v>
      </c>
      <c r="AQ167" s="8">
        <f>AQ136</f>
        <v>3646.42</v>
      </c>
      <c r="AR167" s="1" t="s">
        <v>836</v>
      </c>
      <c r="AS167" s="8">
        <f>(AN167*AQ167)</f>
        <v>2581.67</v>
      </c>
      <c r="AU167">
        <f t="shared" ref="AU167:AU220" si="26">AS167*22.69/100</f>
        <v>585.78</v>
      </c>
      <c r="AV167">
        <f t="shared" ref="AV167:AV220" si="27">AS167-AU167</f>
        <v>1995.89</v>
      </c>
    </row>
    <row r="168" spans="1:48" ht="24" customHeight="1">
      <c r="A168" s="224">
        <v>2.2999999999999998</v>
      </c>
      <c r="B168" s="221" t="s">
        <v>231</v>
      </c>
      <c r="C168" s="899">
        <f>AC19+I171</f>
        <v>744.52</v>
      </c>
      <c r="D168" s="223"/>
      <c r="F168" s="25">
        <v>2.6</v>
      </c>
      <c r="G168" s="7" t="s">
        <v>2167</v>
      </c>
      <c r="H168" s="1" t="s">
        <v>1132</v>
      </c>
      <c r="M168" s="8">
        <v>1.8</v>
      </c>
      <c r="N168" s="7" t="s">
        <v>835</v>
      </c>
      <c r="O168" s="1" t="s">
        <v>1654</v>
      </c>
      <c r="P168" s="8">
        <f>I200</f>
        <v>804</v>
      </c>
      <c r="Q168" s="1" t="s">
        <v>835</v>
      </c>
      <c r="R168" s="8">
        <f>(M168*P168)</f>
        <v>1447.2</v>
      </c>
      <c r="AE168" s="64">
        <f t="shared" si="24"/>
        <v>0</v>
      </c>
      <c r="AN168" s="8">
        <v>1</v>
      </c>
      <c r="AO168" s="7" t="s">
        <v>835</v>
      </c>
      <c r="AP168" s="1" t="s">
        <v>1938</v>
      </c>
      <c r="AQ168" s="8">
        <f>AQ137</f>
        <v>861</v>
      </c>
      <c r="AR168" s="1" t="s">
        <v>835</v>
      </c>
      <c r="AS168" s="8">
        <f>(AN168*AQ168)</f>
        <v>861</v>
      </c>
      <c r="AU168">
        <f t="shared" si="26"/>
        <v>195.36</v>
      </c>
      <c r="AV168">
        <f t="shared" si="27"/>
        <v>665.64</v>
      </c>
    </row>
    <row r="169" spans="1:48" ht="24" customHeight="1">
      <c r="A169" s="224">
        <v>2.4</v>
      </c>
      <c r="B169" s="221" t="s">
        <v>750</v>
      </c>
      <c r="C169" s="899">
        <f>AC20+I171</f>
        <v>823.52</v>
      </c>
      <c r="D169" s="223"/>
      <c r="H169" s="5" t="s">
        <v>1530</v>
      </c>
      <c r="M169" s="8">
        <v>17.7</v>
      </c>
      <c r="N169" s="7" t="s">
        <v>835</v>
      </c>
      <c r="O169" s="1" t="s">
        <v>1836</v>
      </c>
      <c r="P169" s="8">
        <f>I201</f>
        <v>562</v>
      </c>
      <c r="Q169" s="1" t="s">
        <v>835</v>
      </c>
      <c r="R169" s="8">
        <f>(M169*P169)</f>
        <v>9947.4</v>
      </c>
      <c r="AE169" s="64">
        <f t="shared" si="24"/>
        <v>0</v>
      </c>
      <c r="AN169" s="8">
        <v>3</v>
      </c>
      <c r="AO169" s="7" t="s">
        <v>835</v>
      </c>
      <c r="AP169" s="1" t="s">
        <v>1654</v>
      </c>
      <c r="AQ169" s="8">
        <f>AQ138</f>
        <v>804</v>
      </c>
      <c r="AR169" s="1" t="s">
        <v>835</v>
      </c>
      <c r="AS169" s="8">
        <f>(AN169*AQ169)</f>
        <v>2412</v>
      </c>
      <c r="AU169">
        <f t="shared" si="26"/>
        <v>547.28</v>
      </c>
      <c r="AV169">
        <f t="shared" si="27"/>
        <v>1864.72</v>
      </c>
    </row>
    <row r="170" spans="1:48" ht="24" customHeight="1">
      <c r="A170" s="223"/>
      <c r="B170" s="223"/>
      <c r="C170" s="223"/>
      <c r="D170" s="223"/>
      <c r="F170" s="8">
        <v>1</v>
      </c>
      <c r="G170" s="7" t="s">
        <v>836</v>
      </c>
      <c r="H170" s="1" t="s">
        <v>1050</v>
      </c>
      <c r="I170" s="8">
        <f>AC15</f>
        <v>1178.3800000000001</v>
      </c>
      <c r="J170" s="1" t="s">
        <v>836</v>
      </c>
      <c r="K170" s="8">
        <f>(F170*I170)</f>
        <v>1178.3800000000001</v>
      </c>
      <c r="M170" s="8">
        <v>14.1</v>
      </c>
      <c r="N170" s="7" t="s">
        <v>835</v>
      </c>
      <c r="O170" s="1" t="s">
        <v>299</v>
      </c>
      <c r="P170" s="8">
        <f>I202</f>
        <v>461</v>
      </c>
      <c r="Q170" s="1" t="s">
        <v>835</v>
      </c>
      <c r="R170" s="8">
        <f>(M170*P170)</f>
        <v>6500.1</v>
      </c>
      <c r="AE170" s="64">
        <f t="shared" si="24"/>
        <v>0</v>
      </c>
      <c r="AN170" s="8">
        <v>2</v>
      </c>
      <c r="AO170" s="7" t="s">
        <v>835</v>
      </c>
      <c r="AP170" s="1" t="s">
        <v>1836</v>
      </c>
      <c r="AQ170" s="8">
        <f>AQ139</f>
        <v>562</v>
      </c>
      <c r="AR170" s="1" t="s">
        <v>835</v>
      </c>
      <c r="AS170" s="8">
        <f>(AN170*AQ170)</f>
        <v>1124</v>
      </c>
      <c r="AU170">
        <f t="shared" si="26"/>
        <v>255.04</v>
      </c>
      <c r="AV170">
        <f t="shared" si="27"/>
        <v>868.96</v>
      </c>
    </row>
    <row r="171" spans="1:48" ht="24" customHeight="1">
      <c r="A171" s="223"/>
      <c r="B171" s="223"/>
      <c r="C171" s="223"/>
      <c r="D171" s="223"/>
      <c r="F171" s="8">
        <v>1</v>
      </c>
      <c r="G171" s="7" t="s">
        <v>836</v>
      </c>
      <c r="H171" s="1" t="s">
        <v>1302</v>
      </c>
      <c r="I171" s="8">
        <f>C26</f>
        <v>33.6</v>
      </c>
      <c r="J171" s="1" t="s">
        <v>836</v>
      </c>
      <c r="K171" s="8">
        <f>(F171*I171)</f>
        <v>33.6</v>
      </c>
      <c r="N171" s="7" t="s">
        <v>419</v>
      </c>
      <c r="O171" s="1" t="s">
        <v>420</v>
      </c>
      <c r="Q171" s="1" t="s">
        <v>419</v>
      </c>
      <c r="R171" s="8">
        <v>0</v>
      </c>
      <c r="AE171" s="64">
        <f t="shared" si="24"/>
        <v>0</v>
      </c>
      <c r="AN171" s="8">
        <v>6</v>
      </c>
      <c r="AO171" s="7" t="s">
        <v>835</v>
      </c>
      <c r="AP171" s="1" t="s">
        <v>299</v>
      </c>
      <c r="AQ171" s="8">
        <f>AQ140</f>
        <v>461</v>
      </c>
      <c r="AR171" s="1" t="s">
        <v>835</v>
      </c>
      <c r="AS171" s="8">
        <f>(AN171*AQ171)</f>
        <v>2766</v>
      </c>
      <c r="AU171">
        <f t="shared" si="26"/>
        <v>627.61</v>
      </c>
      <c r="AV171">
        <f t="shared" si="27"/>
        <v>2138.39</v>
      </c>
    </row>
    <row r="172" spans="1:48" ht="24" customHeight="1">
      <c r="A172" s="223"/>
      <c r="B172" s="223"/>
      <c r="C172" s="223"/>
      <c r="D172" s="223"/>
      <c r="G172" s="7" t="s">
        <v>419</v>
      </c>
      <c r="H172" s="1" t="s">
        <v>420</v>
      </c>
      <c r="I172" s="1" t="s">
        <v>940</v>
      </c>
      <c r="J172" s="1" t="s">
        <v>419</v>
      </c>
      <c r="K172" s="8">
        <v>0</v>
      </c>
      <c r="N172" s="3"/>
      <c r="Q172" s="11"/>
      <c r="R172" s="5" t="s">
        <v>1530</v>
      </c>
      <c r="AE172" s="64">
        <f t="shared" si="24"/>
        <v>0</v>
      </c>
      <c r="AO172" s="7" t="s">
        <v>419</v>
      </c>
      <c r="AP172" s="1" t="s">
        <v>420</v>
      </c>
      <c r="AQ172" s="1" t="s">
        <v>940</v>
      </c>
      <c r="AR172" s="1" t="s">
        <v>419</v>
      </c>
      <c r="AS172" s="8">
        <v>0</v>
      </c>
      <c r="AU172">
        <f t="shared" si="26"/>
        <v>0</v>
      </c>
      <c r="AV172">
        <f t="shared" si="27"/>
        <v>0</v>
      </c>
    </row>
    <row r="173" spans="1:48" ht="24" customHeight="1">
      <c r="A173" s="223"/>
      <c r="B173" s="223"/>
      <c r="C173" s="223"/>
      <c r="D173" s="223"/>
      <c r="K173" s="5" t="s">
        <v>1530</v>
      </c>
      <c r="N173" s="3"/>
      <c r="Q173" s="11"/>
      <c r="R173" s="8">
        <f>SUM(R166:R171)</f>
        <v>44909.01</v>
      </c>
      <c r="AE173" s="64">
        <f t="shared" si="24"/>
        <v>0</v>
      </c>
      <c r="AO173" s="3"/>
      <c r="AR173" s="11"/>
      <c r="AS173" s="5" t="s">
        <v>1530</v>
      </c>
      <c r="AU173">
        <f t="shared" si="26"/>
        <v>0</v>
      </c>
      <c r="AV173">
        <f t="shared" si="27"/>
        <v>0</v>
      </c>
    </row>
    <row r="174" spans="1:48" ht="24" customHeight="1">
      <c r="A174" s="223"/>
      <c r="B174" s="223"/>
      <c r="C174" s="223"/>
      <c r="D174" s="223"/>
      <c r="H174" s="59" t="s">
        <v>187</v>
      </c>
      <c r="K174" s="39">
        <f>SUM(K169:K172)</f>
        <v>1211.98</v>
      </c>
      <c r="N174" s="3"/>
      <c r="O174" s="61" t="s">
        <v>583</v>
      </c>
      <c r="Q174" s="11"/>
      <c r="R174" s="5" t="s">
        <v>1530</v>
      </c>
      <c r="AE174" s="64">
        <f t="shared" si="24"/>
        <v>0</v>
      </c>
      <c r="AO174" s="3"/>
      <c r="AP174" s="1" t="s">
        <v>583</v>
      </c>
      <c r="AR174" s="11"/>
      <c r="AS174" s="8">
        <f>SUM(AS166:AS172)</f>
        <v>18110.169999999998</v>
      </c>
      <c r="AU174">
        <f t="shared" si="26"/>
        <v>4109.2</v>
      </c>
      <c r="AV174">
        <f t="shared" si="27"/>
        <v>14000.97</v>
      </c>
    </row>
    <row r="175" spans="1:48" ht="24" customHeight="1">
      <c r="A175" s="223"/>
      <c r="B175" s="223"/>
      <c r="C175" s="223"/>
      <c r="D175" s="223"/>
      <c r="K175" s="5" t="s">
        <v>1530</v>
      </c>
      <c r="N175" s="3"/>
      <c r="Q175" s="11"/>
      <c r="R175" s="39">
        <f>(R173/10)</f>
        <v>4490.8999999999996</v>
      </c>
      <c r="AE175" s="64">
        <f t="shared" si="24"/>
        <v>0</v>
      </c>
      <c r="AO175" s="3"/>
      <c r="AR175" s="11"/>
      <c r="AS175" s="5" t="s">
        <v>1530</v>
      </c>
      <c r="AU175">
        <f t="shared" si="26"/>
        <v>0</v>
      </c>
      <c r="AV175">
        <f t="shared" si="27"/>
        <v>0</v>
      </c>
    </row>
    <row r="176" spans="1:48" ht="24" customHeight="1">
      <c r="A176" s="223"/>
      <c r="B176" s="223"/>
      <c r="C176" s="223"/>
      <c r="D176" s="223"/>
      <c r="F176" s="25">
        <v>2.7</v>
      </c>
      <c r="G176" s="7" t="s">
        <v>2167</v>
      </c>
      <c r="H176" s="1" t="s">
        <v>1920</v>
      </c>
      <c r="N176" s="3"/>
      <c r="O176" s="59" t="s">
        <v>743</v>
      </c>
      <c r="Q176" s="11"/>
      <c r="R176" s="5" t="s">
        <v>1980</v>
      </c>
      <c r="AE176" s="64">
        <f t="shared" si="24"/>
        <v>0</v>
      </c>
      <c r="AO176" s="3"/>
      <c r="AP176" s="1" t="s">
        <v>743</v>
      </c>
      <c r="AR176" s="11"/>
      <c r="AS176" s="8">
        <f>(AS174/2.83168)</f>
        <v>6395.56</v>
      </c>
      <c r="AU176">
        <f t="shared" si="26"/>
        <v>1451.15</v>
      </c>
      <c r="AV176">
        <f t="shared" si="27"/>
        <v>4944.41</v>
      </c>
    </row>
    <row r="177" spans="1:48" ht="24" customHeight="1">
      <c r="A177" s="223"/>
      <c r="B177" s="223"/>
      <c r="C177" s="223"/>
      <c r="D177" s="223"/>
      <c r="H177" s="5" t="s">
        <v>1530</v>
      </c>
      <c r="AE177" s="64">
        <f t="shared" si="24"/>
        <v>0</v>
      </c>
      <c r="AO177" s="3"/>
      <c r="AR177" s="11"/>
      <c r="AS177" s="5" t="s">
        <v>1980</v>
      </c>
      <c r="AU177">
        <f t="shared" si="26"/>
        <v>0</v>
      </c>
      <c r="AV177">
        <f t="shared" si="27"/>
        <v>0</v>
      </c>
    </row>
    <row r="178" spans="1:48" ht="24" customHeight="1">
      <c r="A178" s="223"/>
      <c r="B178" s="223"/>
      <c r="C178" s="223"/>
      <c r="D178" s="223"/>
      <c r="F178" s="8">
        <v>1</v>
      </c>
      <c r="G178" s="7" t="s">
        <v>836</v>
      </c>
      <c r="H178" s="1" t="s">
        <v>800</v>
      </c>
      <c r="I178" s="8">
        <f>AC14</f>
        <v>1581.38</v>
      </c>
      <c r="J178" s="1" t="s">
        <v>836</v>
      </c>
      <c r="K178" s="8">
        <f>(F178*I178)</f>
        <v>1581.38</v>
      </c>
      <c r="AE178" s="64">
        <f t="shared" si="24"/>
        <v>0</v>
      </c>
      <c r="AN178" s="1" t="s">
        <v>234</v>
      </c>
      <c r="AO178" s="3"/>
      <c r="AR178" s="11"/>
      <c r="AU178">
        <f t="shared" si="26"/>
        <v>0</v>
      </c>
      <c r="AV178">
        <f t="shared" si="27"/>
        <v>0</v>
      </c>
    </row>
    <row r="179" spans="1:48" ht="24" customHeight="1">
      <c r="A179" s="223"/>
      <c r="B179" s="223"/>
      <c r="C179" s="223"/>
      <c r="D179" s="223"/>
      <c r="F179" s="8">
        <v>1</v>
      </c>
      <c r="G179" s="7" t="s">
        <v>836</v>
      </c>
      <c r="H179" s="1" t="s">
        <v>1302</v>
      </c>
      <c r="I179" s="8">
        <f>C26</f>
        <v>33.6</v>
      </c>
      <c r="J179" s="1" t="s">
        <v>836</v>
      </c>
      <c r="K179" s="8">
        <f>(F179*I179)</f>
        <v>33.6</v>
      </c>
      <c r="AE179" s="64">
        <f t="shared" si="24"/>
        <v>0</v>
      </c>
      <c r="AO179" s="3"/>
      <c r="AR179" s="11"/>
      <c r="AU179">
        <f t="shared" si="26"/>
        <v>0</v>
      </c>
      <c r="AV179">
        <f t="shared" si="27"/>
        <v>0</v>
      </c>
    </row>
    <row r="180" spans="1:48" ht="24" customHeight="1">
      <c r="A180" s="223"/>
      <c r="B180" s="223"/>
      <c r="C180" s="223"/>
      <c r="D180" s="223"/>
      <c r="G180" s="7" t="s">
        <v>419</v>
      </c>
      <c r="H180" s="1" t="s">
        <v>420</v>
      </c>
      <c r="I180" s="1" t="s">
        <v>940</v>
      </c>
      <c r="J180" s="1" t="s">
        <v>419</v>
      </c>
      <c r="K180" s="8">
        <v>0</v>
      </c>
      <c r="AE180" s="64">
        <f t="shared" si="24"/>
        <v>0</v>
      </c>
      <c r="AO180" s="7" t="s">
        <v>1484</v>
      </c>
      <c r="AP180" s="1" t="s">
        <v>400</v>
      </c>
      <c r="AR180" s="11"/>
      <c r="AU180">
        <f t="shared" si="26"/>
        <v>0</v>
      </c>
      <c r="AV180">
        <f t="shared" si="27"/>
        <v>0</v>
      </c>
    </row>
    <row r="181" spans="1:48" ht="24" customHeight="1">
      <c r="A181" s="223"/>
      <c r="B181" s="223"/>
      <c r="C181" s="223"/>
      <c r="D181" s="223"/>
      <c r="K181" s="5" t="s">
        <v>1530</v>
      </c>
      <c r="AE181" s="64">
        <f t="shared" si="24"/>
        <v>0</v>
      </c>
      <c r="AO181" s="3"/>
      <c r="AP181" s="5" t="s">
        <v>1530</v>
      </c>
      <c r="AR181" s="11"/>
      <c r="AU181">
        <f t="shared" si="26"/>
        <v>0</v>
      </c>
      <c r="AV181">
        <f t="shared" si="27"/>
        <v>0</v>
      </c>
    </row>
    <row r="182" spans="1:48" ht="24" customHeight="1">
      <c r="A182" s="223"/>
      <c r="B182" s="223"/>
      <c r="C182" s="223"/>
      <c r="D182" s="223"/>
      <c r="H182" s="59" t="s">
        <v>187</v>
      </c>
      <c r="K182" s="39">
        <f>SUM(K177:K180)</f>
        <v>1614.98</v>
      </c>
      <c r="AE182" s="64">
        <f t="shared" si="24"/>
        <v>0</v>
      </c>
      <c r="AN182" s="8">
        <v>0.7</v>
      </c>
      <c r="AO182" s="7" t="s">
        <v>836</v>
      </c>
      <c r="AP182" s="1" t="s">
        <v>2195</v>
      </c>
      <c r="AQ182" s="8">
        <f>AQ150</f>
        <v>6395.56</v>
      </c>
      <c r="AR182" s="1" t="s">
        <v>835</v>
      </c>
      <c r="AS182" s="8">
        <f>(AN182*AQ182)</f>
        <v>4476.8900000000003</v>
      </c>
      <c r="AU182">
        <f t="shared" si="26"/>
        <v>1015.81</v>
      </c>
      <c r="AV182">
        <f t="shared" si="27"/>
        <v>3461.08</v>
      </c>
    </row>
    <row r="183" spans="1:48" ht="24" customHeight="1">
      <c r="K183" s="5" t="s">
        <v>1530</v>
      </c>
      <c r="M183" s="8">
        <v>2.5</v>
      </c>
      <c r="N183" s="1" t="s">
        <v>836</v>
      </c>
      <c r="O183" s="1" t="s">
        <v>1577</v>
      </c>
      <c r="P183" s="8">
        <f>(K61)</f>
        <v>2931.22</v>
      </c>
      <c r="Q183" s="1" t="s">
        <v>836</v>
      </c>
      <c r="R183" s="8">
        <f>(M183*P183)</f>
        <v>7328.05</v>
      </c>
      <c r="AE183" s="64">
        <f t="shared" si="24"/>
        <v>0</v>
      </c>
      <c r="AG183" s="1" t="s">
        <v>2175</v>
      </c>
      <c r="AN183" s="8">
        <v>1</v>
      </c>
      <c r="AO183" s="7" t="s">
        <v>739</v>
      </c>
      <c r="AP183" s="1" t="s">
        <v>1938</v>
      </c>
      <c r="AQ183" s="8">
        <f>AQ168</f>
        <v>861</v>
      </c>
      <c r="AR183" s="1" t="s">
        <v>835</v>
      </c>
      <c r="AS183" s="8">
        <f>(AN183*AQ183)</f>
        <v>861</v>
      </c>
      <c r="AU183">
        <f t="shared" si="26"/>
        <v>195.36</v>
      </c>
      <c r="AV183">
        <f t="shared" si="27"/>
        <v>665.64</v>
      </c>
    </row>
    <row r="184" spans="1:48" ht="24" customHeight="1">
      <c r="H184" s="1" t="s">
        <v>940</v>
      </c>
      <c r="M184" s="8">
        <v>3.5</v>
      </c>
      <c r="N184" s="1" t="s">
        <v>835</v>
      </c>
      <c r="O184" s="1" t="s">
        <v>1938</v>
      </c>
      <c r="P184" s="8">
        <f>(C10)</f>
        <v>861</v>
      </c>
      <c r="Q184" s="1" t="s">
        <v>835</v>
      </c>
      <c r="R184" s="8">
        <f>(M184*P184)</f>
        <v>3013.5</v>
      </c>
      <c r="AE184" s="64">
        <f t="shared" si="24"/>
        <v>0</v>
      </c>
      <c r="AG184" s="1" t="s">
        <v>2175</v>
      </c>
      <c r="AO184" s="7" t="s">
        <v>419</v>
      </c>
      <c r="AP184" s="1" t="s">
        <v>420</v>
      </c>
      <c r="AQ184" s="1" t="s">
        <v>940</v>
      </c>
      <c r="AR184" s="1" t="s">
        <v>419</v>
      </c>
      <c r="AS184" s="8">
        <v>0</v>
      </c>
      <c r="AU184">
        <f t="shared" si="26"/>
        <v>0</v>
      </c>
      <c r="AV184">
        <f t="shared" si="27"/>
        <v>0</v>
      </c>
    </row>
    <row r="185" spans="1:48" ht="24" customHeight="1">
      <c r="F185" s="2" t="s">
        <v>1593</v>
      </c>
      <c r="H185" s="1" t="s">
        <v>910</v>
      </c>
      <c r="AE185" s="64">
        <f t="shared" si="24"/>
        <v>0</v>
      </c>
      <c r="AO185" s="3"/>
      <c r="AR185" s="11"/>
      <c r="AS185" s="5" t="s">
        <v>1530</v>
      </c>
      <c r="AU185">
        <f t="shared" si="26"/>
        <v>0</v>
      </c>
      <c r="AV185">
        <f t="shared" si="27"/>
        <v>0</v>
      </c>
    </row>
    <row r="186" spans="1:48" ht="24" customHeight="1">
      <c r="A186" s="223"/>
      <c r="B186" s="223"/>
      <c r="C186" s="223"/>
      <c r="D186" s="223"/>
      <c r="AE186" s="64">
        <f t="shared" si="24"/>
        <v>0</v>
      </c>
      <c r="AO186" s="3"/>
      <c r="AP186" s="1" t="s">
        <v>411</v>
      </c>
      <c r="AR186" s="11"/>
      <c r="AS186" s="39">
        <f>SUM(AS182:AS184)</f>
        <v>5337.89</v>
      </c>
      <c r="AU186">
        <f t="shared" si="26"/>
        <v>1211.17</v>
      </c>
      <c r="AV186">
        <f t="shared" si="27"/>
        <v>4126.72</v>
      </c>
    </row>
    <row r="187" spans="1:48" ht="24" customHeight="1">
      <c r="A187" s="223"/>
      <c r="B187" s="223"/>
      <c r="C187" s="223"/>
      <c r="D187" s="223"/>
      <c r="F187" s="8">
        <v>1</v>
      </c>
      <c r="G187" s="7" t="s">
        <v>836</v>
      </c>
      <c r="H187" s="1" t="s">
        <v>63</v>
      </c>
      <c r="I187" s="8">
        <f>C35</f>
        <v>346.64</v>
      </c>
      <c r="J187" s="1" t="s">
        <v>836</v>
      </c>
      <c r="K187" s="8">
        <f>(F187*I187)</f>
        <v>346.64</v>
      </c>
      <c r="AE187" s="64">
        <f t="shared" si="24"/>
        <v>0</v>
      </c>
      <c r="AO187" s="3"/>
      <c r="AR187" s="11"/>
      <c r="AS187" s="5" t="s">
        <v>1530</v>
      </c>
      <c r="AU187">
        <f t="shared" si="26"/>
        <v>0</v>
      </c>
      <c r="AV187">
        <f t="shared" si="27"/>
        <v>0</v>
      </c>
    </row>
    <row r="188" spans="1:48" ht="24" customHeight="1">
      <c r="A188" s="223"/>
      <c r="B188" s="223"/>
      <c r="C188" s="223"/>
      <c r="D188" s="223"/>
      <c r="F188" s="8">
        <v>1</v>
      </c>
      <c r="G188" s="7" t="s">
        <v>836</v>
      </c>
      <c r="H188" s="1" t="s">
        <v>491</v>
      </c>
      <c r="I188" s="492">
        <f>C815</f>
        <v>3.15</v>
      </c>
      <c r="J188" s="1" t="s">
        <v>836</v>
      </c>
      <c r="K188" s="8">
        <f>(F188*I188)</f>
        <v>3.15</v>
      </c>
      <c r="AE188" s="64">
        <f t="shared" si="24"/>
        <v>0</v>
      </c>
      <c r="AO188" s="3"/>
      <c r="AP188" s="1" t="s">
        <v>521</v>
      </c>
      <c r="AR188" s="11"/>
      <c r="AS188" s="8">
        <f>(AS186/10)</f>
        <v>533.79</v>
      </c>
      <c r="AU188">
        <f t="shared" si="26"/>
        <v>121.12</v>
      </c>
      <c r="AV188">
        <f t="shared" si="27"/>
        <v>412.67</v>
      </c>
    </row>
    <row r="189" spans="1:48" ht="24" customHeight="1">
      <c r="A189" s="223"/>
      <c r="B189" s="223"/>
      <c r="C189" s="223"/>
      <c r="D189" s="223"/>
      <c r="F189" s="8">
        <v>1</v>
      </c>
      <c r="G189" s="7" t="s">
        <v>836</v>
      </c>
      <c r="H189" s="1" t="s">
        <v>1588</v>
      </c>
      <c r="I189" s="492">
        <f>C149</f>
        <v>15.5</v>
      </c>
      <c r="J189" s="1" t="s">
        <v>836</v>
      </c>
      <c r="K189" s="8">
        <f>(F189*I189)</f>
        <v>15.5</v>
      </c>
      <c r="AE189" s="64">
        <f t="shared" si="24"/>
        <v>0</v>
      </c>
      <c r="AO189" s="3"/>
      <c r="AR189" s="11"/>
      <c r="AS189" s="5" t="s">
        <v>1980</v>
      </c>
      <c r="AU189">
        <f t="shared" si="26"/>
        <v>0</v>
      </c>
      <c r="AV189">
        <f t="shared" si="27"/>
        <v>0</v>
      </c>
    </row>
    <row r="190" spans="1:48" ht="24" customHeight="1">
      <c r="A190" s="223"/>
      <c r="B190" s="223"/>
      <c r="C190" s="223"/>
      <c r="D190" s="223"/>
      <c r="H190" s="1" t="s">
        <v>1589</v>
      </c>
      <c r="AE190" s="64">
        <f t="shared" si="24"/>
        <v>0</v>
      </c>
      <c r="AO190" s="3"/>
      <c r="AP190" s="1" t="s">
        <v>361</v>
      </c>
      <c r="AR190" s="11">
        <f>AS190-AS188</f>
        <v>4.76</v>
      </c>
      <c r="AS190" s="39">
        <f>(AS188+C19/10*AN182)</f>
        <v>538.54999999999995</v>
      </c>
      <c r="AU190">
        <f t="shared" si="26"/>
        <v>122.2</v>
      </c>
      <c r="AV190">
        <f t="shared" si="27"/>
        <v>416.35</v>
      </c>
    </row>
    <row r="191" spans="1:48" ht="24" customHeight="1">
      <c r="A191" s="223"/>
      <c r="B191" s="223"/>
      <c r="C191" s="223"/>
      <c r="D191" s="223"/>
      <c r="K191" s="5" t="s">
        <v>1530</v>
      </c>
      <c r="AE191" s="64">
        <f t="shared" si="24"/>
        <v>0</v>
      </c>
      <c r="AO191" s="3"/>
      <c r="AP191" s="1" t="s">
        <v>363</v>
      </c>
      <c r="AR191" s="11">
        <f>AS191-AS190</f>
        <v>9.6</v>
      </c>
      <c r="AS191" s="39">
        <f>(AS190+C20/10*AN182)</f>
        <v>548.15</v>
      </c>
      <c r="AU191">
        <f t="shared" si="26"/>
        <v>124.38</v>
      </c>
      <c r="AV191">
        <f t="shared" si="27"/>
        <v>423.77</v>
      </c>
    </row>
    <row r="192" spans="1:48" ht="24" customHeight="1">
      <c r="A192" s="223"/>
      <c r="B192" s="223"/>
      <c r="C192" s="223"/>
      <c r="D192" s="223"/>
      <c r="H192" s="59" t="s">
        <v>187</v>
      </c>
      <c r="K192" s="39">
        <f>SUM(K185:K190)</f>
        <v>365.29</v>
      </c>
      <c r="AE192" s="64">
        <f t="shared" si="24"/>
        <v>0</v>
      </c>
      <c r="AO192" s="3"/>
      <c r="AP192" s="1" t="s">
        <v>2149</v>
      </c>
      <c r="AR192" s="11">
        <f>AS192-AS191</f>
        <v>9.6</v>
      </c>
      <c r="AS192" s="39">
        <f>(AS191+C21/10*AN182)</f>
        <v>557.75</v>
      </c>
      <c r="AU192">
        <f t="shared" si="26"/>
        <v>126.55</v>
      </c>
      <c r="AV192">
        <f t="shared" si="27"/>
        <v>431.2</v>
      </c>
    </row>
    <row r="193" spans="1:48" ht="24" customHeight="1">
      <c r="A193" s="223"/>
      <c r="B193" s="223"/>
      <c r="C193" s="223"/>
      <c r="D193" s="223"/>
      <c r="F193" s="1" t="s">
        <v>940</v>
      </c>
      <c r="K193" s="5" t="s">
        <v>1530</v>
      </c>
      <c r="AE193" s="64">
        <f t="shared" si="24"/>
        <v>0</v>
      </c>
      <c r="AO193" s="3"/>
      <c r="AP193" s="1" t="s">
        <v>355</v>
      </c>
      <c r="AR193" s="11">
        <f>AS193-AS192</f>
        <v>9.6</v>
      </c>
      <c r="AS193" s="39">
        <f>(AS192+C21/10*AN182)</f>
        <v>567.35</v>
      </c>
      <c r="AU193">
        <f t="shared" si="26"/>
        <v>128.72999999999999</v>
      </c>
      <c r="AV193">
        <f t="shared" si="27"/>
        <v>438.62</v>
      </c>
    </row>
    <row r="194" spans="1:48" ht="24" customHeight="1">
      <c r="A194" s="223"/>
      <c r="B194" s="223"/>
      <c r="C194" s="223"/>
      <c r="D194" s="223"/>
      <c r="K194" s="1" t="s">
        <v>940</v>
      </c>
      <c r="AE194" s="64">
        <f t="shared" si="24"/>
        <v>0</v>
      </c>
      <c r="AO194" s="3"/>
      <c r="AP194" s="1" t="s">
        <v>801</v>
      </c>
      <c r="AR194" s="11">
        <f>AS194-AS193</f>
        <v>9.6</v>
      </c>
      <c r="AS194" s="39">
        <f>(AS193+C21/10*AN182)</f>
        <v>576.95000000000005</v>
      </c>
      <c r="AU194">
        <f t="shared" si="26"/>
        <v>130.91</v>
      </c>
      <c r="AV194">
        <f t="shared" si="27"/>
        <v>446.04</v>
      </c>
    </row>
    <row r="195" spans="1:48" ht="24" customHeight="1">
      <c r="A195" s="220">
        <f>(A151+1)</f>
        <v>90</v>
      </c>
      <c r="B195" s="221" t="s">
        <v>632</v>
      </c>
      <c r="C195" s="545">
        <v>65</v>
      </c>
      <c r="D195" s="221" t="s">
        <v>633</v>
      </c>
      <c r="F195" s="2">
        <v>3.1</v>
      </c>
      <c r="H195" s="959"/>
      <c r="I195" s="959"/>
      <c r="J195" s="959"/>
      <c r="K195" s="959"/>
      <c r="M195" s="2" t="s">
        <v>634</v>
      </c>
      <c r="N195" s="7" t="s">
        <v>2167</v>
      </c>
      <c r="O195" s="1" t="s">
        <v>204</v>
      </c>
      <c r="Q195" s="11"/>
      <c r="S195" s="2" t="s">
        <v>634</v>
      </c>
      <c r="T195" s="7" t="s">
        <v>2167</v>
      </c>
      <c r="U195" s="1" t="s">
        <v>204</v>
      </c>
      <c r="W195" s="11"/>
      <c r="AE195" s="64">
        <f t="shared" si="24"/>
        <v>0</v>
      </c>
      <c r="AG195" s="1" t="s">
        <v>2175</v>
      </c>
      <c r="AP195" s="1"/>
      <c r="AR195" s="11"/>
      <c r="AS195" s="39"/>
      <c r="AU195">
        <f t="shared" si="26"/>
        <v>0</v>
      </c>
      <c r="AV195">
        <f t="shared" si="27"/>
        <v>0</v>
      </c>
    </row>
    <row r="196" spans="1:48" ht="24" customHeight="1">
      <c r="A196" s="220">
        <f t="shared" ref="A196:A211" si="28">(A195+1)</f>
        <v>91</v>
      </c>
      <c r="B196" s="221" t="s">
        <v>636</v>
      </c>
      <c r="C196" s="545">
        <v>25</v>
      </c>
      <c r="D196" s="221" t="s">
        <v>633</v>
      </c>
      <c r="H196" s="1" t="s">
        <v>637</v>
      </c>
      <c r="N196" s="3"/>
      <c r="O196" s="1" t="s">
        <v>1430</v>
      </c>
      <c r="Q196" s="11"/>
      <c r="S196"/>
      <c r="T196" s="3"/>
      <c r="U196" s="1" t="s">
        <v>637</v>
      </c>
      <c r="W196" s="11"/>
      <c r="AE196" s="64">
        <f t="shared" si="24"/>
        <v>0</v>
      </c>
      <c r="AG196" s="1" t="s">
        <v>2175</v>
      </c>
      <c r="AP196" s="1"/>
      <c r="AR196" s="11"/>
      <c r="AS196" s="39"/>
      <c r="AU196">
        <f t="shared" si="26"/>
        <v>0</v>
      </c>
      <c r="AV196">
        <f t="shared" si="27"/>
        <v>0</v>
      </c>
    </row>
    <row r="197" spans="1:48" ht="24" customHeight="1">
      <c r="A197" s="220">
        <f t="shared" si="28"/>
        <v>92</v>
      </c>
      <c r="B197" s="1" t="s">
        <v>4670</v>
      </c>
      <c r="C197" s="423">
        <v>268.60000000000002</v>
      </c>
      <c r="D197" s="221" t="s">
        <v>633</v>
      </c>
      <c r="H197" s="5" t="s">
        <v>1530</v>
      </c>
      <c r="N197" s="3"/>
      <c r="O197" s="5" t="s">
        <v>1530</v>
      </c>
      <c r="Q197" s="11"/>
      <c r="S197"/>
      <c r="T197" s="3"/>
      <c r="U197" s="5" t="s">
        <v>1530</v>
      </c>
      <c r="W197" s="11"/>
      <c r="AE197" s="64">
        <f t="shared" si="24"/>
        <v>0</v>
      </c>
      <c r="AG197" s="1" t="s">
        <v>2175</v>
      </c>
      <c r="AU197">
        <f t="shared" si="26"/>
        <v>0</v>
      </c>
      <c r="AV197">
        <f t="shared" si="27"/>
        <v>0</v>
      </c>
    </row>
    <row r="198" spans="1:48" ht="24" customHeight="1">
      <c r="A198" s="220">
        <f t="shared" si="28"/>
        <v>93</v>
      </c>
      <c r="B198" s="1" t="s">
        <v>4671</v>
      </c>
      <c r="C198" s="423">
        <v>236.6</v>
      </c>
      <c r="D198" s="545">
        <v>96.11</v>
      </c>
      <c r="F198" s="8">
        <v>9</v>
      </c>
      <c r="G198" s="7" t="s">
        <v>836</v>
      </c>
      <c r="H198" s="1" t="s">
        <v>1584</v>
      </c>
      <c r="I198" s="8">
        <f>(C77)</f>
        <v>1178.3800000000001</v>
      </c>
      <c r="J198" s="1" t="s">
        <v>836</v>
      </c>
      <c r="K198" s="8">
        <f>(F198*I198)</f>
        <v>10605.42</v>
      </c>
      <c r="M198" s="8">
        <v>9</v>
      </c>
      <c r="N198" s="7" t="s">
        <v>836</v>
      </c>
      <c r="O198" s="1" t="s">
        <v>659</v>
      </c>
      <c r="P198" s="8">
        <f>(C76)</f>
        <v>1581.38</v>
      </c>
      <c r="Q198" s="1" t="s">
        <v>836</v>
      </c>
      <c r="R198" s="8">
        <f>(M198*P198)</f>
        <v>14232.42</v>
      </c>
      <c r="S198" s="8">
        <v>9</v>
      </c>
      <c r="T198" s="7" t="s">
        <v>836</v>
      </c>
      <c r="U198" s="1" t="s">
        <v>1584</v>
      </c>
      <c r="V198" s="8">
        <f>(C77)</f>
        <v>1178.3800000000001</v>
      </c>
      <c r="W198" s="1" t="s">
        <v>836</v>
      </c>
      <c r="X198" s="8">
        <f>(S198*V198)</f>
        <v>10605.42</v>
      </c>
      <c r="AE198" s="64">
        <f t="shared" si="24"/>
        <v>0</v>
      </c>
      <c r="AG198" s="1" t="s">
        <v>2175</v>
      </c>
      <c r="AP198" s="1"/>
      <c r="AR198" s="11"/>
      <c r="AS198" s="39"/>
      <c r="AU198">
        <f t="shared" si="26"/>
        <v>0</v>
      </c>
      <c r="AV198">
        <f t="shared" si="27"/>
        <v>0</v>
      </c>
    </row>
    <row r="199" spans="1:48" ht="24" customHeight="1">
      <c r="A199" s="220">
        <f t="shared" si="28"/>
        <v>94</v>
      </c>
      <c r="B199" s="1" t="s">
        <v>4672</v>
      </c>
      <c r="C199" s="423">
        <v>146.1</v>
      </c>
      <c r="D199" s="221" t="s">
        <v>633</v>
      </c>
      <c r="F199" s="8">
        <v>4.5</v>
      </c>
      <c r="G199" s="7" t="s">
        <v>836</v>
      </c>
      <c r="H199" s="1" t="s">
        <v>1571</v>
      </c>
      <c r="I199" s="8">
        <f>(K52)</f>
        <v>3217.3</v>
      </c>
      <c r="J199" s="1" t="s">
        <v>836</v>
      </c>
      <c r="K199" s="8">
        <f>(F199*I199)</f>
        <v>14477.85</v>
      </c>
      <c r="M199" s="8">
        <v>4.5</v>
      </c>
      <c r="N199" s="7" t="s">
        <v>836</v>
      </c>
      <c r="O199" s="1" t="s">
        <v>1301</v>
      </c>
      <c r="P199" s="8">
        <f>K32</f>
        <v>4361.62</v>
      </c>
      <c r="Q199" s="1" t="s">
        <v>836</v>
      </c>
      <c r="R199" s="8">
        <f>(M199*P199)</f>
        <v>19627.29</v>
      </c>
      <c r="S199" s="8">
        <v>4.5</v>
      </c>
      <c r="T199" s="7" t="s">
        <v>836</v>
      </c>
      <c r="U199" s="1" t="s">
        <v>1301</v>
      </c>
      <c r="V199" s="8">
        <f>P199</f>
        <v>4361.62</v>
      </c>
      <c r="W199" s="1" t="s">
        <v>836</v>
      </c>
      <c r="X199" s="8">
        <f>(S199*V199)</f>
        <v>19627.29</v>
      </c>
      <c r="AE199" s="64">
        <f t="shared" si="24"/>
        <v>0</v>
      </c>
      <c r="AG199" s="1" t="s">
        <v>2175</v>
      </c>
      <c r="AP199" s="1"/>
      <c r="AS199" s="39"/>
      <c r="AU199">
        <f t="shared" si="26"/>
        <v>0</v>
      </c>
      <c r="AV199">
        <f t="shared" si="27"/>
        <v>0</v>
      </c>
    </row>
    <row r="200" spans="1:48" ht="24" customHeight="1">
      <c r="A200" s="220">
        <f t="shared" si="28"/>
        <v>95</v>
      </c>
      <c r="B200" s="221" t="s">
        <v>805</v>
      </c>
      <c r="C200" s="545">
        <v>0.25</v>
      </c>
      <c r="D200" s="221" t="s">
        <v>835</v>
      </c>
      <c r="F200" s="8">
        <v>1.8</v>
      </c>
      <c r="G200" s="7" t="s">
        <v>835</v>
      </c>
      <c r="H200" s="1" t="s">
        <v>1654</v>
      </c>
      <c r="I200" s="8">
        <f>(C11)</f>
        <v>804</v>
      </c>
      <c r="J200" s="1" t="s">
        <v>835</v>
      </c>
      <c r="K200" s="8">
        <f>(F200*I200)</f>
        <v>1447.2</v>
      </c>
      <c r="M200" s="8">
        <v>1.8</v>
      </c>
      <c r="N200" s="7" t="s">
        <v>835</v>
      </c>
      <c r="O200" s="1" t="s">
        <v>1654</v>
      </c>
      <c r="P200" s="8">
        <f>I200</f>
        <v>804</v>
      </c>
      <c r="Q200" s="1" t="s">
        <v>835</v>
      </c>
      <c r="R200" s="8">
        <f>(M200*P200)</f>
        <v>1447.2</v>
      </c>
      <c r="S200" s="8">
        <v>1.8</v>
      </c>
      <c r="T200" s="7" t="s">
        <v>835</v>
      </c>
      <c r="U200" s="1" t="s">
        <v>1654</v>
      </c>
      <c r="V200" s="8">
        <f>P200</f>
        <v>804</v>
      </c>
      <c r="W200" s="1" t="s">
        <v>835</v>
      </c>
      <c r="X200" s="8">
        <f>(S200*V200)</f>
        <v>1447.2</v>
      </c>
      <c r="AE200" s="64">
        <f t="shared" si="24"/>
        <v>0</v>
      </c>
      <c r="AG200" s="1" t="s">
        <v>2175</v>
      </c>
      <c r="AP200" s="1"/>
      <c r="AS200" s="39"/>
      <c r="AU200">
        <f t="shared" si="26"/>
        <v>0</v>
      </c>
      <c r="AV200">
        <f t="shared" si="27"/>
        <v>0</v>
      </c>
    </row>
    <row r="201" spans="1:48" ht="24" customHeight="1">
      <c r="A201" s="220">
        <f t="shared" si="28"/>
        <v>96</v>
      </c>
      <c r="B201" s="1" t="s">
        <v>4673</v>
      </c>
      <c r="C201" s="423">
        <v>36.299999999999997</v>
      </c>
      <c r="D201" s="530" t="s">
        <v>578</v>
      </c>
      <c r="F201" s="8">
        <v>17.7</v>
      </c>
      <c r="G201" s="7" t="s">
        <v>835</v>
      </c>
      <c r="H201" s="1" t="s">
        <v>1836</v>
      </c>
      <c r="I201" s="8">
        <f>(C12)</f>
        <v>562</v>
      </c>
      <c r="J201" s="1" t="s">
        <v>835</v>
      </c>
      <c r="K201" s="8">
        <f>(F201*I201)</f>
        <v>9947.4</v>
      </c>
      <c r="M201" s="8">
        <v>17.7</v>
      </c>
      <c r="N201" s="7" t="s">
        <v>835</v>
      </c>
      <c r="O201" s="1" t="s">
        <v>1836</v>
      </c>
      <c r="P201" s="8">
        <f>I201</f>
        <v>562</v>
      </c>
      <c r="Q201" s="1" t="s">
        <v>835</v>
      </c>
      <c r="R201" s="8">
        <f>(M201*P201)</f>
        <v>9947.4</v>
      </c>
      <c r="S201" s="8">
        <v>17.7</v>
      </c>
      <c r="T201" s="7" t="s">
        <v>835</v>
      </c>
      <c r="U201" s="1" t="s">
        <v>1836</v>
      </c>
      <c r="V201" s="8">
        <f>P201</f>
        <v>562</v>
      </c>
      <c r="W201" s="1" t="s">
        <v>835</v>
      </c>
      <c r="X201" s="8">
        <f>(S201*V201)</f>
        <v>9947.4</v>
      </c>
      <c r="AE201" s="64">
        <f t="shared" si="24"/>
        <v>0</v>
      </c>
      <c r="AG201" s="1" t="s">
        <v>2175</v>
      </c>
      <c r="AP201" s="1"/>
      <c r="AS201" s="39"/>
      <c r="AU201">
        <f t="shared" si="26"/>
        <v>0</v>
      </c>
      <c r="AV201">
        <f t="shared" si="27"/>
        <v>0</v>
      </c>
    </row>
    <row r="202" spans="1:48" ht="24" customHeight="1">
      <c r="A202" s="220">
        <f t="shared" si="28"/>
        <v>97</v>
      </c>
      <c r="B202" s="1" t="s">
        <v>4674</v>
      </c>
      <c r="C202" s="423">
        <v>339</v>
      </c>
      <c r="D202" s="423">
        <v>104</v>
      </c>
      <c r="E202" s="221" t="s">
        <v>578</v>
      </c>
      <c r="F202" s="8">
        <v>14.1</v>
      </c>
      <c r="G202" s="7" t="s">
        <v>835</v>
      </c>
      <c r="H202" s="1" t="s">
        <v>299</v>
      </c>
      <c r="I202" s="8">
        <f>(C13)</f>
        <v>461</v>
      </c>
      <c r="J202" s="1" t="s">
        <v>835</v>
      </c>
      <c r="K202" s="8">
        <f>(F202*I202)</f>
        <v>6500.1</v>
      </c>
      <c r="M202" s="8">
        <v>14.1</v>
      </c>
      <c r="N202" s="7" t="s">
        <v>835</v>
      </c>
      <c r="O202" s="1" t="s">
        <v>299</v>
      </c>
      <c r="P202" s="8">
        <f>I202</f>
        <v>461</v>
      </c>
      <c r="Q202" s="1" t="s">
        <v>835</v>
      </c>
      <c r="R202" s="8">
        <f>(M202*P202)</f>
        <v>6500.1</v>
      </c>
      <c r="S202" s="8">
        <v>14.1</v>
      </c>
      <c r="T202" s="7" t="s">
        <v>835</v>
      </c>
      <c r="U202" s="1" t="s">
        <v>299</v>
      </c>
      <c r="V202" s="8">
        <f>P202</f>
        <v>461</v>
      </c>
      <c r="W202" s="1" t="s">
        <v>835</v>
      </c>
      <c r="X202" s="8">
        <f>(S202*V202)</f>
        <v>6500.1</v>
      </c>
      <c r="AE202" s="64">
        <f t="shared" si="24"/>
        <v>0</v>
      </c>
      <c r="AG202" s="1" t="s">
        <v>2175</v>
      </c>
      <c r="AP202" s="1"/>
      <c r="AS202" s="39"/>
      <c r="AU202">
        <f t="shared" si="26"/>
        <v>0</v>
      </c>
      <c r="AV202">
        <f t="shared" si="27"/>
        <v>0</v>
      </c>
    </row>
    <row r="203" spans="1:48" ht="24" customHeight="1">
      <c r="A203" s="220">
        <f t="shared" si="28"/>
        <v>98</v>
      </c>
      <c r="B203" s="1" t="s">
        <v>4675</v>
      </c>
      <c r="C203" s="423">
        <v>164</v>
      </c>
      <c r="D203" s="530" t="s">
        <v>739</v>
      </c>
      <c r="G203" s="7" t="s">
        <v>419</v>
      </c>
      <c r="H203" s="1" t="s">
        <v>420</v>
      </c>
      <c r="J203" s="1" t="s">
        <v>419</v>
      </c>
      <c r="K203" s="8">
        <v>0</v>
      </c>
      <c r="N203" s="7" t="s">
        <v>419</v>
      </c>
      <c r="O203" s="1" t="s">
        <v>420</v>
      </c>
      <c r="Q203" s="1" t="s">
        <v>419</v>
      </c>
      <c r="R203" s="8">
        <v>0</v>
      </c>
      <c r="S203"/>
      <c r="T203" s="7" t="s">
        <v>419</v>
      </c>
      <c r="U203" s="1" t="s">
        <v>420</v>
      </c>
      <c r="W203" s="1" t="s">
        <v>419</v>
      </c>
      <c r="X203" s="8">
        <v>0</v>
      </c>
      <c r="AE203" s="64">
        <f t="shared" si="24"/>
        <v>0</v>
      </c>
      <c r="AG203" s="1" t="s">
        <v>2175</v>
      </c>
      <c r="AU203">
        <f t="shared" si="26"/>
        <v>0</v>
      </c>
      <c r="AV203">
        <f t="shared" si="27"/>
        <v>0</v>
      </c>
    </row>
    <row r="204" spans="1:48" ht="24" customHeight="1">
      <c r="A204" s="220">
        <f t="shared" si="28"/>
        <v>99</v>
      </c>
      <c r="B204" s="1" t="s">
        <v>4676</v>
      </c>
      <c r="C204" s="423">
        <v>1190</v>
      </c>
      <c r="D204" s="530" t="s">
        <v>739</v>
      </c>
      <c r="K204" s="5" t="s">
        <v>1530</v>
      </c>
      <c r="N204" s="3"/>
      <c r="Q204" s="11"/>
      <c r="R204" s="5" t="s">
        <v>1530</v>
      </c>
      <c r="S204"/>
      <c r="T204" s="3"/>
      <c r="W204" s="11"/>
      <c r="X204" s="5" t="s">
        <v>1530</v>
      </c>
      <c r="AE204" s="64">
        <f t="shared" si="24"/>
        <v>0</v>
      </c>
      <c r="AG204" s="1" t="s">
        <v>2175</v>
      </c>
      <c r="AU204">
        <f t="shared" si="26"/>
        <v>0</v>
      </c>
      <c r="AV204">
        <f t="shared" si="27"/>
        <v>0</v>
      </c>
    </row>
    <row r="205" spans="1:48" ht="24" customHeight="1">
      <c r="A205" s="220">
        <f t="shared" si="28"/>
        <v>100</v>
      </c>
      <c r="B205" s="221" t="s">
        <v>1110</v>
      </c>
      <c r="C205" s="162">
        <v>47.2</v>
      </c>
      <c r="D205" s="221" t="s">
        <v>739</v>
      </c>
      <c r="K205" s="8">
        <f>SUM(K198:K203)</f>
        <v>42977.97</v>
      </c>
      <c r="N205" s="3"/>
      <c r="Q205" s="11"/>
      <c r="R205" s="8">
        <f>SUM(R198:R203)</f>
        <v>51754.41</v>
      </c>
      <c r="S205"/>
      <c r="T205" s="3"/>
      <c r="W205" s="11"/>
      <c r="X205" s="8">
        <f>SUM(X198:X203)</f>
        <v>48127.41</v>
      </c>
      <c r="AE205" s="64">
        <f t="shared" ref="AE205:AE268" si="29">AF205</f>
        <v>0</v>
      </c>
      <c r="AG205" s="1" t="s">
        <v>2175</v>
      </c>
      <c r="AU205">
        <f t="shared" si="26"/>
        <v>0</v>
      </c>
      <c r="AV205">
        <f t="shared" si="27"/>
        <v>0</v>
      </c>
    </row>
    <row r="206" spans="1:48" ht="24" customHeight="1">
      <c r="A206" s="220">
        <f t="shared" si="28"/>
        <v>101</v>
      </c>
      <c r="B206" s="1" t="s">
        <v>4677</v>
      </c>
      <c r="C206" s="423">
        <v>126.8</v>
      </c>
      <c r="D206" s="221" t="s">
        <v>739</v>
      </c>
      <c r="E206" s="435">
        <v>162.9</v>
      </c>
      <c r="H206" s="61" t="s">
        <v>583</v>
      </c>
      <c r="K206" s="5" t="s">
        <v>1530</v>
      </c>
      <c r="N206" s="3"/>
      <c r="O206" s="1" t="s">
        <v>583</v>
      </c>
      <c r="Q206" s="11"/>
      <c r="R206" s="5" t="s">
        <v>1530</v>
      </c>
      <c r="S206"/>
      <c r="T206" s="3"/>
      <c r="U206" s="1" t="s">
        <v>583</v>
      </c>
      <c r="W206" s="11"/>
      <c r="X206" s="5" t="s">
        <v>1530</v>
      </c>
      <c r="AE206" s="64">
        <f t="shared" si="29"/>
        <v>0</v>
      </c>
      <c r="AG206" s="1" t="s">
        <v>300</v>
      </c>
      <c r="AU206">
        <f t="shared" si="26"/>
        <v>0</v>
      </c>
      <c r="AV206">
        <f t="shared" si="27"/>
        <v>0</v>
      </c>
    </row>
    <row r="207" spans="1:48" ht="24" customHeight="1">
      <c r="A207" s="220">
        <f t="shared" si="28"/>
        <v>102</v>
      </c>
      <c r="B207" s="1" t="s">
        <v>4678</v>
      </c>
      <c r="C207" s="423">
        <v>62.8</v>
      </c>
      <c r="D207" s="221" t="s">
        <v>739</v>
      </c>
      <c r="K207" s="39">
        <f>(K205/10)</f>
        <v>4297.8</v>
      </c>
      <c r="N207" s="3"/>
      <c r="Q207" s="11"/>
      <c r="R207" s="8">
        <f>(R205/10)</f>
        <v>5175.4399999999996</v>
      </c>
      <c r="S207"/>
      <c r="T207" s="3"/>
      <c r="W207" s="11"/>
      <c r="X207" s="8">
        <f>(X205/10)</f>
        <v>4812.74</v>
      </c>
      <c r="AE207" s="64">
        <f t="shared" si="29"/>
        <v>0</v>
      </c>
      <c r="AU207">
        <f t="shared" si="26"/>
        <v>0</v>
      </c>
      <c r="AV207">
        <f t="shared" si="27"/>
        <v>0</v>
      </c>
    </row>
    <row r="208" spans="1:48" ht="24" customHeight="1">
      <c r="A208" s="220">
        <f t="shared" si="28"/>
        <v>103</v>
      </c>
      <c r="B208" s="530" t="s">
        <v>590</v>
      </c>
      <c r="C208" s="423">
        <v>101</v>
      </c>
      <c r="D208" s="221" t="s">
        <v>739</v>
      </c>
      <c r="H208" s="59" t="s">
        <v>743</v>
      </c>
      <c r="K208" s="39"/>
      <c r="N208" s="3"/>
      <c r="O208" s="1" t="s">
        <v>743</v>
      </c>
      <c r="Q208" s="11"/>
      <c r="R208" s="5" t="s">
        <v>1980</v>
      </c>
      <c r="S208"/>
      <c r="T208" s="3"/>
      <c r="U208" s="1" t="s">
        <v>743</v>
      </c>
      <c r="W208" s="11"/>
      <c r="X208" s="5" t="s">
        <v>1980</v>
      </c>
      <c r="AE208" s="64">
        <f t="shared" si="29"/>
        <v>0</v>
      </c>
      <c r="AU208">
        <f t="shared" si="26"/>
        <v>0</v>
      </c>
      <c r="AV208">
        <f t="shared" si="27"/>
        <v>0</v>
      </c>
    </row>
    <row r="209" spans="1:48" ht="24" customHeight="1">
      <c r="A209" s="220">
        <f t="shared" si="28"/>
        <v>104</v>
      </c>
      <c r="B209" s="1" t="s">
        <v>4679</v>
      </c>
      <c r="C209" s="423">
        <v>100.6</v>
      </c>
      <c r="D209" s="221" t="s">
        <v>739</v>
      </c>
      <c r="E209" s="435">
        <v>138</v>
      </c>
      <c r="K209" s="39"/>
      <c r="AE209" s="64">
        <f t="shared" si="29"/>
        <v>0</v>
      </c>
      <c r="AG209" s="1" t="s">
        <v>2175</v>
      </c>
      <c r="AU209">
        <f t="shared" si="26"/>
        <v>0</v>
      </c>
      <c r="AV209">
        <f t="shared" si="27"/>
        <v>0</v>
      </c>
    </row>
    <row r="210" spans="1:48" ht="24" customHeight="1">
      <c r="A210" s="220">
        <f t="shared" si="28"/>
        <v>105</v>
      </c>
      <c r="B210" s="1" t="s">
        <v>4680</v>
      </c>
      <c r="C210" s="423">
        <v>225.4</v>
      </c>
      <c r="D210" s="221" t="s">
        <v>654</v>
      </c>
      <c r="F210" s="2" t="s">
        <v>655</v>
      </c>
      <c r="G210" s="7" t="s">
        <v>2167</v>
      </c>
      <c r="H210" s="1" t="s">
        <v>953</v>
      </c>
      <c r="K210" s="39"/>
      <c r="AE210" s="64">
        <f t="shared" si="29"/>
        <v>0</v>
      </c>
      <c r="AU210">
        <f t="shared" si="26"/>
        <v>0</v>
      </c>
      <c r="AV210">
        <f t="shared" si="27"/>
        <v>0</v>
      </c>
    </row>
    <row r="211" spans="1:48" ht="24" customHeight="1">
      <c r="A211" s="220">
        <f t="shared" si="28"/>
        <v>106</v>
      </c>
      <c r="B211" s="1" t="s">
        <v>4681</v>
      </c>
      <c r="C211" s="423">
        <v>164.5</v>
      </c>
      <c r="D211" s="221" t="s">
        <v>739</v>
      </c>
      <c r="H211" s="1" t="s">
        <v>1430</v>
      </c>
      <c r="N211" s="1" t="s">
        <v>657</v>
      </c>
      <c r="O211" s="1" t="s">
        <v>658</v>
      </c>
      <c r="AE211" s="64">
        <f t="shared" si="29"/>
        <v>0</v>
      </c>
      <c r="AU211">
        <f t="shared" si="26"/>
        <v>0</v>
      </c>
      <c r="AV211">
        <f t="shared" si="27"/>
        <v>0</v>
      </c>
    </row>
    <row r="212" spans="1:48" ht="24" customHeight="1">
      <c r="A212" s="223"/>
      <c r="B212" s="223"/>
      <c r="C212" s="223"/>
      <c r="D212" s="223"/>
      <c r="H212" s="5" t="s">
        <v>1530</v>
      </c>
      <c r="O212" s="5" t="s">
        <v>1530</v>
      </c>
      <c r="AE212" s="64">
        <f t="shared" si="29"/>
        <v>0</v>
      </c>
      <c r="AU212">
        <f t="shared" si="26"/>
        <v>0</v>
      </c>
      <c r="AV212">
        <f t="shared" si="27"/>
        <v>0</v>
      </c>
    </row>
    <row r="213" spans="1:48" ht="24" customHeight="1">
      <c r="A213" s="223"/>
      <c r="B213" s="223"/>
      <c r="C213" s="223"/>
      <c r="D213" s="223"/>
      <c r="F213" s="8">
        <v>9</v>
      </c>
      <c r="G213" s="7" t="s">
        <v>836</v>
      </c>
      <c r="H213" s="1" t="s">
        <v>659</v>
      </c>
      <c r="I213" s="8">
        <f>C76</f>
        <v>1581.38</v>
      </c>
      <c r="J213" s="1" t="s">
        <v>836</v>
      </c>
      <c r="K213" s="8">
        <f>(F213*I213)</f>
        <v>14232.42</v>
      </c>
      <c r="M213" s="15">
        <v>1.153E-2</v>
      </c>
      <c r="N213" s="1" t="s">
        <v>836</v>
      </c>
      <c r="O213" s="1" t="s">
        <v>660</v>
      </c>
      <c r="P213" s="8">
        <f>C91</f>
        <v>111600</v>
      </c>
      <c r="Q213" s="1" t="s">
        <v>836</v>
      </c>
      <c r="R213" s="8">
        <f t="shared" ref="R213:R222" si="30">(M213*P213)</f>
        <v>1286.75</v>
      </c>
      <c r="AE213" s="64">
        <f t="shared" si="29"/>
        <v>0</v>
      </c>
      <c r="AU213">
        <f t="shared" si="26"/>
        <v>0</v>
      </c>
      <c r="AV213">
        <f t="shared" si="27"/>
        <v>0</v>
      </c>
    </row>
    <row r="214" spans="1:48" ht="24" customHeight="1">
      <c r="A214" s="223"/>
      <c r="B214" s="223"/>
      <c r="C214" s="223"/>
      <c r="D214" s="223"/>
      <c r="F214" s="8">
        <v>4.5</v>
      </c>
      <c r="G214" s="7" t="s">
        <v>836</v>
      </c>
      <c r="H214" s="1" t="s">
        <v>117</v>
      </c>
      <c r="I214" s="8">
        <f>K23</f>
        <v>5792.02</v>
      </c>
      <c r="J214" s="1" t="s">
        <v>836</v>
      </c>
      <c r="K214" s="8">
        <f>(F214*I214)</f>
        <v>26064.09</v>
      </c>
      <c r="M214" s="15">
        <v>1.013E-2</v>
      </c>
      <c r="N214" s="1" t="s">
        <v>836</v>
      </c>
      <c r="O214" s="1" t="s">
        <v>661</v>
      </c>
      <c r="P214" s="8">
        <f>C92</f>
        <v>99400</v>
      </c>
      <c r="Q214" s="1" t="s">
        <v>836</v>
      </c>
      <c r="R214" s="8">
        <f t="shared" si="30"/>
        <v>1006.92</v>
      </c>
      <c r="AE214" s="64">
        <f t="shared" si="29"/>
        <v>0</v>
      </c>
      <c r="AU214">
        <f t="shared" si="26"/>
        <v>0</v>
      </c>
      <c r="AV214">
        <f t="shared" si="27"/>
        <v>0</v>
      </c>
    </row>
    <row r="215" spans="1:48" ht="24" customHeight="1">
      <c r="A215" s="223"/>
      <c r="B215" s="223"/>
      <c r="C215" s="223"/>
      <c r="D215" s="223"/>
      <c r="F215" s="8">
        <v>1.8</v>
      </c>
      <c r="G215" s="7" t="s">
        <v>835</v>
      </c>
      <c r="H215" s="1" t="s">
        <v>1654</v>
      </c>
      <c r="I215" s="8">
        <f>C11</f>
        <v>804</v>
      </c>
      <c r="J215" s="1" t="s">
        <v>835</v>
      </c>
      <c r="K215" s="8">
        <f>(F215*I215)</f>
        <v>1447.2</v>
      </c>
      <c r="M215" s="15">
        <v>0.77780000000000005</v>
      </c>
      <c r="N215" s="1" t="s">
        <v>578</v>
      </c>
      <c r="O215" s="1" t="s">
        <v>2011</v>
      </c>
      <c r="P215" s="8">
        <f>C786</f>
        <v>387.4</v>
      </c>
      <c r="Q215" s="1" t="s">
        <v>578</v>
      </c>
      <c r="R215" s="8">
        <f t="shared" si="30"/>
        <v>301.32</v>
      </c>
      <c r="AE215" s="64">
        <f t="shared" si="29"/>
        <v>0</v>
      </c>
      <c r="AU215">
        <f t="shared" si="26"/>
        <v>0</v>
      </c>
      <c r="AV215">
        <f t="shared" si="27"/>
        <v>0</v>
      </c>
    </row>
    <row r="216" spans="1:48" ht="24" customHeight="1">
      <c r="A216" s="223"/>
      <c r="B216" s="223"/>
      <c r="C216" s="223"/>
      <c r="D216" s="223"/>
      <c r="F216" s="8">
        <v>17.7</v>
      </c>
      <c r="G216" s="7" t="s">
        <v>835</v>
      </c>
      <c r="H216" s="1" t="s">
        <v>1836</v>
      </c>
      <c r="I216" s="8">
        <f>C12</f>
        <v>562</v>
      </c>
      <c r="J216" s="1" t="s">
        <v>835</v>
      </c>
      <c r="K216" s="8">
        <f>(F216*I216)</f>
        <v>9947.4</v>
      </c>
      <c r="M216" s="15">
        <v>1.23</v>
      </c>
      <c r="N216" s="1" t="s">
        <v>578</v>
      </c>
      <c r="O216" s="1" t="s">
        <v>2012</v>
      </c>
      <c r="P216" s="8">
        <f>D30</f>
        <v>1105</v>
      </c>
      <c r="Q216" s="1" t="s">
        <v>578</v>
      </c>
      <c r="R216" s="8">
        <f t="shared" si="30"/>
        <v>1359.15</v>
      </c>
      <c r="AE216" s="64">
        <f t="shared" si="29"/>
        <v>0</v>
      </c>
      <c r="AU216">
        <f t="shared" si="26"/>
        <v>0</v>
      </c>
      <c r="AV216">
        <f t="shared" si="27"/>
        <v>0</v>
      </c>
    </row>
    <row r="217" spans="1:48" ht="24" customHeight="1">
      <c r="A217" s="223"/>
      <c r="B217" s="223"/>
      <c r="C217" s="223"/>
      <c r="D217" s="223"/>
      <c r="F217" s="8">
        <v>14.1</v>
      </c>
      <c r="G217" s="7" t="s">
        <v>835</v>
      </c>
      <c r="H217" s="1" t="s">
        <v>299</v>
      </c>
      <c r="I217" s="8">
        <f>C13</f>
        <v>461</v>
      </c>
      <c r="J217" s="1" t="s">
        <v>835</v>
      </c>
      <c r="K217" s="8">
        <f>(F217*I217)</f>
        <v>6500.1</v>
      </c>
      <c r="M217" s="8">
        <v>2</v>
      </c>
      <c r="N217" s="1" t="s">
        <v>835</v>
      </c>
      <c r="O217" s="1" t="s">
        <v>2013</v>
      </c>
      <c r="P217" s="8">
        <f>C287</f>
        <v>60</v>
      </c>
      <c r="Q217" s="1" t="s">
        <v>835</v>
      </c>
      <c r="R217" s="8">
        <f t="shared" si="30"/>
        <v>120</v>
      </c>
      <c r="AE217" s="64">
        <f t="shared" si="29"/>
        <v>0</v>
      </c>
      <c r="AU217">
        <f t="shared" si="26"/>
        <v>0</v>
      </c>
      <c r="AV217">
        <f t="shared" si="27"/>
        <v>0</v>
      </c>
    </row>
    <row r="218" spans="1:48" ht="24" customHeight="1">
      <c r="A218" s="223"/>
      <c r="B218" s="223"/>
      <c r="C218" s="223"/>
      <c r="D218" s="223"/>
      <c r="G218" s="7" t="s">
        <v>419</v>
      </c>
      <c r="H218" s="1" t="s">
        <v>420</v>
      </c>
      <c r="J218" s="1" t="s">
        <v>419</v>
      </c>
      <c r="K218" s="8">
        <v>0</v>
      </c>
      <c r="M218" s="8">
        <v>3</v>
      </c>
      <c r="N218" s="1" t="s">
        <v>835</v>
      </c>
      <c r="O218" s="1" t="s">
        <v>2014</v>
      </c>
      <c r="P218" s="8">
        <f>C282</f>
        <v>83</v>
      </c>
      <c r="Q218" s="1" t="s">
        <v>835</v>
      </c>
      <c r="R218" s="8">
        <f t="shared" si="30"/>
        <v>249</v>
      </c>
      <c r="AE218" s="64">
        <f t="shared" si="29"/>
        <v>0</v>
      </c>
      <c r="AU218">
        <f t="shared" si="26"/>
        <v>0</v>
      </c>
      <c r="AV218">
        <f t="shared" si="27"/>
        <v>0</v>
      </c>
    </row>
    <row r="219" spans="1:48" ht="24" customHeight="1">
      <c r="A219" s="223"/>
      <c r="B219" s="223"/>
      <c r="C219" s="223"/>
      <c r="D219" s="223"/>
      <c r="K219" s="5" t="s">
        <v>1530</v>
      </c>
      <c r="M219" s="8">
        <v>1</v>
      </c>
      <c r="N219" s="1" t="s">
        <v>835</v>
      </c>
      <c r="O219" s="1" t="s">
        <v>1910</v>
      </c>
      <c r="P219" s="8">
        <f>C289</f>
        <v>167.6</v>
      </c>
      <c r="Q219" s="1" t="s">
        <v>835</v>
      </c>
      <c r="R219" s="8">
        <f t="shared" si="30"/>
        <v>167.6</v>
      </c>
      <c r="T219">
        <v>0</v>
      </c>
      <c r="AE219" s="64">
        <f t="shared" si="29"/>
        <v>0</v>
      </c>
      <c r="AU219">
        <f t="shared" si="26"/>
        <v>0</v>
      </c>
      <c r="AV219">
        <f t="shared" si="27"/>
        <v>0</v>
      </c>
    </row>
    <row r="220" spans="1:48" ht="24" customHeight="1">
      <c r="A220" s="223"/>
      <c r="B220" s="223"/>
      <c r="C220" s="223"/>
      <c r="D220" s="223"/>
      <c r="K220" s="8">
        <f>SUM(K213:K218)</f>
        <v>58191.21</v>
      </c>
      <c r="M220" s="8">
        <v>1</v>
      </c>
      <c r="N220" s="1" t="s">
        <v>835</v>
      </c>
      <c r="O220" s="1" t="s">
        <v>1911</v>
      </c>
      <c r="P220" s="8">
        <f>C291</f>
        <v>7.3</v>
      </c>
      <c r="Q220" s="1" t="s">
        <v>835</v>
      </c>
      <c r="R220" s="8">
        <f t="shared" si="30"/>
        <v>7.3</v>
      </c>
      <c r="AE220" s="64">
        <f t="shared" si="29"/>
        <v>0</v>
      </c>
      <c r="AU220">
        <f t="shared" si="26"/>
        <v>0</v>
      </c>
      <c r="AV220">
        <f t="shared" si="27"/>
        <v>0</v>
      </c>
    </row>
    <row r="221" spans="1:48" ht="24" customHeight="1">
      <c r="A221" s="223"/>
      <c r="B221" s="223"/>
      <c r="C221" s="223"/>
      <c r="D221" s="223"/>
      <c r="H221" s="1" t="s">
        <v>583</v>
      </c>
      <c r="K221" s="5" t="s">
        <v>1530</v>
      </c>
      <c r="M221" s="8">
        <v>1</v>
      </c>
      <c r="N221" s="1" t="s">
        <v>835</v>
      </c>
      <c r="O221" s="1" t="s">
        <v>3482</v>
      </c>
      <c r="P221" s="8">
        <f>C601</f>
        <v>53.4</v>
      </c>
      <c r="Q221" s="1" t="s">
        <v>835</v>
      </c>
      <c r="R221" s="8">
        <f t="shared" si="30"/>
        <v>53.4</v>
      </c>
      <c r="AE221" s="64">
        <f t="shared" si="29"/>
        <v>0</v>
      </c>
    </row>
    <row r="222" spans="1:48" ht="24" customHeight="1">
      <c r="A222" s="223"/>
      <c r="B222" s="223"/>
      <c r="C222" s="223"/>
      <c r="D222" s="223"/>
      <c r="K222" s="39">
        <f>(K220/10)</f>
        <v>5819.12</v>
      </c>
      <c r="M222" s="8">
        <v>1</v>
      </c>
      <c r="N222" s="1" t="s">
        <v>835</v>
      </c>
      <c r="O222" s="1" t="s">
        <v>1913</v>
      </c>
      <c r="P222" s="8">
        <f>D601</f>
        <v>45.9</v>
      </c>
      <c r="Q222" s="1" t="s">
        <v>835</v>
      </c>
      <c r="R222" s="8">
        <f t="shared" si="30"/>
        <v>45.9</v>
      </c>
      <c r="AE222" s="64">
        <f t="shared" si="29"/>
        <v>0</v>
      </c>
    </row>
    <row r="223" spans="1:48" ht="24" customHeight="1">
      <c r="A223" s="223"/>
      <c r="B223" s="223"/>
      <c r="C223" s="223"/>
      <c r="D223" s="223"/>
      <c r="H223" s="59" t="s">
        <v>743</v>
      </c>
      <c r="K223" s="5" t="s">
        <v>1980</v>
      </c>
      <c r="R223" s="5" t="s">
        <v>1530</v>
      </c>
      <c r="AE223" s="64">
        <f t="shared" si="29"/>
        <v>0</v>
      </c>
    </row>
    <row r="224" spans="1:48" ht="24" customHeight="1">
      <c r="A224" s="223"/>
      <c r="B224" s="223"/>
      <c r="C224" s="223"/>
      <c r="D224" s="223"/>
      <c r="O224" s="2" t="s">
        <v>1914</v>
      </c>
      <c r="R224" s="8">
        <f>SUM(R213:R222)</f>
        <v>4597.34</v>
      </c>
      <c r="AE224" s="64">
        <f t="shared" si="29"/>
        <v>0</v>
      </c>
    </row>
    <row r="225" spans="1:31" ht="24" customHeight="1">
      <c r="A225" s="223"/>
      <c r="B225" s="223"/>
      <c r="C225" s="223"/>
      <c r="D225" s="223"/>
      <c r="F225" s="2" t="s">
        <v>1991</v>
      </c>
      <c r="G225" s="7" t="s">
        <v>2167</v>
      </c>
      <c r="H225" s="1" t="s">
        <v>954</v>
      </c>
      <c r="N225" s="1" t="s">
        <v>940</v>
      </c>
      <c r="R225" s="5" t="s">
        <v>1530</v>
      </c>
      <c r="AE225" s="64">
        <f t="shared" si="29"/>
        <v>0</v>
      </c>
    </row>
    <row r="226" spans="1:31" ht="24" customHeight="1">
      <c r="A226" s="223"/>
      <c r="B226" s="223"/>
      <c r="C226" s="223"/>
      <c r="D226" s="223"/>
      <c r="H226" s="1" t="s">
        <v>1992</v>
      </c>
      <c r="M226" s="1" t="s">
        <v>940</v>
      </c>
      <c r="AE226" s="64">
        <f t="shared" si="29"/>
        <v>0</v>
      </c>
    </row>
    <row r="227" spans="1:31" ht="24" customHeight="1">
      <c r="A227" s="223"/>
      <c r="B227" s="223"/>
      <c r="C227" s="223"/>
      <c r="D227" s="223"/>
      <c r="H227" s="5" t="s">
        <v>1530</v>
      </c>
      <c r="O227" s="2" t="s">
        <v>521</v>
      </c>
      <c r="R227" s="8">
        <f>R224/M216</f>
        <v>3737.67</v>
      </c>
      <c r="AE227" s="64">
        <f t="shared" si="29"/>
        <v>0</v>
      </c>
    </row>
    <row r="228" spans="1:31" ht="24" customHeight="1">
      <c r="A228" s="223"/>
      <c r="B228" s="223"/>
      <c r="C228" s="223"/>
      <c r="D228" s="223"/>
      <c r="F228" s="8">
        <v>9</v>
      </c>
      <c r="G228" s="7" t="s">
        <v>836</v>
      </c>
      <c r="H228" s="1" t="s">
        <v>1746</v>
      </c>
      <c r="I228" s="8">
        <f>AC20</f>
        <v>789.92</v>
      </c>
      <c r="J228" s="1" t="s">
        <v>836</v>
      </c>
      <c r="K228" s="8">
        <f>(F228*I228)</f>
        <v>7109.28</v>
      </c>
      <c r="M228" s="1" t="s">
        <v>300</v>
      </c>
      <c r="AE228" s="64">
        <f t="shared" si="29"/>
        <v>0</v>
      </c>
    </row>
    <row r="229" spans="1:31" ht="24" customHeight="1">
      <c r="A229" s="223"/>
      <c r="B229" s="223"/>
      <c r="C229" s="223"/>
      <c r="D229" s="223"/>
      <c r="F229" s="8">
        <v>4.5</v>
      </c>
      <c r="G229" s="7" t="s">
        <v>836</v>
      </c>
      <c r="H229" s="1" t="s">
        <v>1578</v>
      </c>
      <c r="I229" s="8">
        <f>K80</f>
        <v>2573.62</v>
      </c>
      <c r="J229" s="1" t="s">
        <v>836</v>
      </c>
      <c r="K229" s="8">
        <f>(F229*I229)</f>
        <v>11581.29</v>
      </c>
      <c r="AE229" s="64">
        <f t="shared" si="29"/>
        <v>0</v>
      </c>
    </row>
    <row r="230" spans="1:31" ht="24" customHeight="1">
      <c r="A230" s="223"/>
      <c r="B230" s="223"/>
      <c r="C230" s="223"/>
      <c r="D230" s="223"/>
      <c r="F230" s="8">
        <v>1.8</v>
      </c>
      <c r="G230" s="7" t="s">
        <v>835</v>
      </c>
      <c r="H230" s="1" t="s">
        <v>1654</v>
      </c>
      <c r="I230" s="8">
        <f>C11</f>
        <v>804</v>
      </c>
      <c r="J230" s="1" t="s">
        <v>835</v>
      </c>
      <c r="K230" s="8">
        <f>(F230*I230)</f>
        <v>1447.2</v>
      </c>
      <c r="AE230" s="64">
        <f t="shared" si="29"/>
        <v>0</v>
      </c>
    </row>
    <row r="231" spans="1:31" ht="24" customHeight="1">
      <c r="A231" s="223"/>
      <c r="B231" s="223"/>
      <c r="C231" s="223"/>
      <c r="D231" s="223"/>
      <c r="F231" s="8">
        <v>17.7</v>
      </c>
      <c r="G231" s="7" t="s">
        <v>835</v>
      </c>
      <c r="H231" s="1" t="s">
        <v>1836</v>
      </c>
      <c r="I231" s="8">
        <f>C12</f>
        <v>562</v>
      </c>
      <c r="J231" s="1" t="s">
        <v>835</v>
      </c>
      <c r="K231" s="8">
        <f>(F231*I231)</f>
        <v>9947.4</v>
      </c>
      <c r="M231" s="2" t="s">
        <v>1991</v>
      </c>
      <c r="N231" s="7" t="s">
        <v>2167</v>
      </c>
      <c r="O231" s="1" t="s">
        <v>512</v>
      </c>
      <c r="Q231" s="11"/>
      <c r="AE231" s="64">
        <f t="shared" si="29"/>
        <v>0</v>
      </c>
    </row>
    <row r="232" spans="1:31" ht="24" customHeight="1">
      <c r="A232" s="223"/>
      <c r="B232" s="223"/>
      <c r="C232" s="223"/>
      <c r="D232" s="223"/>
      <c r="F232" s="8">
        <v>14.1</v>
      </c>
      <c r="G232" s="7" t="s">
        <v>835</v>
      </c>
      <c r="H232" s="1" t="s">
        <v>299</v>
      </c>
      <c r="I232" s="8">
        <f>C13</f>
        <v>461</v>
      </c>
      <c r="J232" s="1" t="s">
        <v>835</v>
      </c>
      <c r="K232" s="8">
        <f>(F232*I232)</f>
        <v>6500.1</v>
      </c>
      <c r="N232" s="3"/>
      <c r="O232" s="1" t="s">
        <v>3808</v>
      </c>
      <c r="Q232" s="11"/>
      <c r="AE232" s="64">
        <f t="shared" si="29"/>
        <v>0</v>
      </c>
    </row>
    <row r="233" spans="1:31" ht="24" customHeight="1">
      <c r="A233" s="223"/>
      <c r="B233" s="223"/>
      <c r="C233" s="223"/>
      <c r="D233" s="223"/>
      <c r="G233" s="7" t="s">
        <v>419</v>
      </c>
      <c r="H233" s="1" t="s">
        <v>420</v>
      </c>
      <c r="J233" s="1" t="s">
        <v>419</v>
      </c>
      <c r="K233" s="8">
        <v>0</v>
      </c>
      <c r="N233" s="3"/>
      <c r="O233" s="5" t="s">
        <v>1530</v>
      </c>
      <c r="Q233" s="11"/>
      <c r="AE233" s="64">
        <f t="shared" si="29"/>
        <v>0</v>
      </c>
    </row>
    <row r="234" spans="1:31" ht="24" customHeight="1">
      <c r="A234" s="223"/>
      <c r="B234" s="223"/>
      <c r="C234" s="223"/>
      <c r="D234" s="223"/>
      <c r="K234" s="5" t="s">
        <v>1530</v>
      </c>
      <c r="M234" s="8">
        <v>9</v>
      </c>
      <c r="N234" s="7" t="s">
        <v>836</v>
      </c>
      <c r="O234" s="1" t="s">
        <v>2190</v>
      </c>
      <c r="P234" s="8">
        <f>AC15</f>
        <v>1178.3800000000001</v>
      </c>
      <c r="Q234" s="1" t="s">
        <v>836</v>
      </c>
      <c r="R234" s="8">
        <f>(M234*P234)</f>
        <v>10605.42</v>
      </c>
      <c r="AE234" s="64">
        <f t="shared" si="29"/>
        <v>0</v>
      </c>
    </row>
    <row r="235" spans="1:31" ht="24" customHeight="1">
      <c r="A235" s="223"/>
      <c r="B235" s="223"/>
      <c r="C235" s="223"/>
      <c r="D235" s="223"/>
      <c r="K235" s="8">
        <f>SUM(K228:K233)</f>
        <v>36585.269999999997</v>
      </c>
      <c r="M235" s="8">
        <v>4.5</v>
      </c>
      <c r="N235" s="7" t="s">
        <v>836</v>
      </c>
      <c r="O235" s="1" t="s">
        <v>1258</v>
      </c>
      <c r="P235" s="8">
        <f>K40</f>
        <v>3646.42</v>
      </c>
      <c r="Q235" s="1" t="s">
        <v>836</v>
      </c>
      <c r="R235" s="8">
        <f>(M235*P235)</f>
        <v>16408.89</v>
      </c>
      <c r="AE235" s="64">
        <f t="shared" si="29"/>
        <v>0</v>
      </c>
    </row>
    <row r="236" spans="1:31" ht="24" customHeight="1">
      <c r="A236" s="223"/>
      <c r="B236" s="223"/>
      <c r="C236" s="223"/>
      <c r="D236" s="223"/>
      <c r="H236" s="1" t="s">
        <v>583</v>
      </c>
      <c r="K236" s="5" t="s">
        <v>1530</v>
      </c>
      <c r="M236" s="8">
        <v>1.8</v>
      </c>
      <c r="N236" s="7" t="s">
        <v>835</v>
      </c>
      <c r="O236" s="1" t="s">
        <v>1654</v>
      </c>
      <c r="P236" s="8">
        <f>I230</f>
        <v>804</v>
      </c>
      <c r="Q236" s="1" t="s">
        <v>835</v>
      </c>
      <c r="R236" s="8">
        <f>(M236*P236)</f>
        <v>1447.2</v>
      </c>
      <c r="AE236" s="64">
        <f t="shared" si="29"/>
        <v>0</v>
      </c>
    </row>
    <row r="237" spans="1:31" ht="24" customHeight="1">
      <c r="A237" s="223"/>
      <c r="B237" s="223"/>
      <c r="C237" s="223"/>
      <c r="D237" s="223"/>
      <c r="K237" s="39">
        <f>(K235/10)</f>
        <v>3658.53</v>
      </c>
      <c r="M237" s="8">
        <v>17.7</v>
      </c>
      <c r="N237" s="7" t="s">
        <v>835</v>
      </c>
      <c r="O237" s="1" t="s">
        <v>1836</v>
      </c>
      <c r="P237" s="8">
        <f>I231</f>
        <v>562</v>
      </c>
      <c r="Q237" s="1" t="s">
        <v>835</v>
      </c>
      <c r="R237" s="8">
        <f>(M237*P237)</f>
        <v>9947.4</v>
      </c>
      <c r="AE237" s="64">
        <f t="shared" si="29"/>
        <v>0</v>
      </c>
    </row>
    <row r="238" spans="1:31" ht="24" customHeight="1">
      <c r="A238" s="223"/>
      <c r="B238" s="223"/>
      <c r="C238" s="223"/>
      <c r="D238" s="223"/>
      <c r="H238" s="59" t="s">
        <v>743</v>
      </c>
      <c r="K238" s="5" t="s">
        <v>1980</v>
      </c>
      <c r="M238" s="8">
        <v>14.1</v>
      </c>
      <c r="N238" s="7" t="s">
        <v>835</v>
      </c>
      <c r="O238" s="1" t="s">
        <v>299</v>
      </c>
      <c r="P238" s="8">
        <f>I232</f>
        <v>461</v>
      </c>
      <c r="Q238" s="1" t="s">
        <v>835</v>
      </c>
      <c r="R238" s="8">
        <f>(M238*P238)</f>
        <v>6500.1</v>
      </c>
      <c r="AE238" s="64">
        <f t="shared" si="29"/>
        <v>0</v>
      </c>
    </row>
    <row r="239" spans="1:31" ht="24" customHeight="1">
      <c r="A239" s="223"/>
      <c r="B239" s="223"/>
      <c r="C239" s="223"/>
      <c r="D239" s="223"/>
      <c r="N239" s="7" t="s">
        <v>419</v>
      </c>
      <c r="O239" s="1" t="s">
        <v>420</v>
      </c>
      <c r="Q239" s="1" t="s">
        <v>419</v>
      </c>
      <c r="R239" s="8">
        <v>0</v>
      </c>
      <c r="AE239" s="64">
        <f t="shared" si="29"/>
        <v>0</v>
      </c>
    </row>
    <row r="240" spans="1:31" ht="24" customHeight="1">
      <c r="A240" s="223"/>
      <c r="B240" s="223"/>
      <c r="C240" s="223"/>
      <c r="D240" s="223"/>
      <c r="N240" s="3"/>
      <c r="Q240" s="11"/>
      <c r="R240" s="5" t="s">
        <v>1530</v>
      </c>
      <c r="AE240" s="64">
        <f t="shared" si="29"/>
        <v>0</v>
      </c>
    </row>
    <row r="241" spans="1:31" ht="24" customHeight="1">
      <c r="A241" s="223"/>
      <c r="B241" s="223"/>
      <c r="C241" s="223"/>
      <c r="D241" s="223"/>
      <c r="F241" s="25">
        <v>3.6</v>
      </c>
      <c r="H241" s="1" t="s">
        <v>3</v>
      </c>
      <c r="N241" s="3"/>
      <c r="Q241" s="11"/>
      <c r="R241" s="8">
        <f>SUM(R234:R239)</f>
        <v>44909.01</v>
      </c>
      <c r="AE241" s="64">
        <f t="shared" si="29"/>
        <v>0</v>
      </c>
    </row>
    <row r="242" spans="1:31" ht="24" customHeight="1">
      <c r="A242" s="223"/>
      <c r="B242" s="223"/>
      <c r="C242" s="223"/>
      <c r="D242" s="223"/>
      <c r="H242" s="1" t="s">
        <v>609</v>
      </c>
      <c r="N242" s="3"/>
      <c r="O242" s="1" t="s">
        <v>583</v>
      </c>
      <c r="Q242" s="11"/>
      <c r="R242" s="5" t="s">
        <v>1530</v>
      </c>
      <c r="AE242" s="64">
        <f t="shared" si="29"/>
        <v>0</v>
      </c>
    </row>
    <row r="243" spans="1:31" ht="24" customHeight="1">
      <c r="A243" s="223"/>
      <c r="B243" s="223"/>
      <c r="C243" s="223"/>
      <c r="D243" s="223"/>
      <c r="H243" s="5" t="s">
        <v>1980</v>
      </c>
      <c r="N243" s="3"/>
      <c r="Q243" s="11"/>
      <c r="R243" s="39">
        <f>(R241/10)</f>
        <v>4490.8999999999996</v>
      </c>
      <c r="AE243" s="64">
        <f t="shared" si="29"/>
        <v>0</v>
      </c>
    </row>
    <row r="244" spans="1:31" ht="24" customHeight="1">
      <c r="A244" s="223"/>
      <c r="B244" s="223"/>
      <c r="C244" s="223"/>
      <c r="D244" s="223"/>
      <c r="F244" s="8">
        <v>1.25</v>
      </c>
      <c r="G244" s="7" t="s">
        <v>1289</v>
      </c>
      <c r="H244" s="1" t="s">
        <v>1447</v>
      </c>
      <c r="I244" s="492">
        <f>C815</f>
        <v>3.15</v>
      </c>
      <c r="J244" s="1" t="s">
        <v>1289</v>
      </c>
      <c r="K244" s="8">
        <f>(F244*I244)</f>
        <v>3.94</v>
      </c>
      <c r="N244" s="3"/>
      <c r="O244" s="59" t="s">
        <v>743</v>
      </c>
      <c r="Q244" s="11"/>
      <c r="R244" s="5" t="s">
        <v>1980</v>
      </c>
      <c r="AE244" s="64">
        <f t="shared" si="29"/>
        <v>0</v>
      </c>
    </row>
    <row r="245" spans="1:31" ht="24" customHeight="1">
      <c r="A245" s="223"/>
      <c r="B245" s="223"/>
      <c r="C245" s="223"/>
      <c r="D245" s="223"/>
      <c r="F245" s="8">
        <v>0.75</v>
      </c>
      <c r="G245" s="7" t="s">
        <v>1289</v>
      </c>
      <c r="H245" s="1" t="s">
        <v>716</v>
      </c>
      <c r="I245" s="8">
        <f>AC37</f>
        <v>1029.6300000000001</v>
      </c>
      <c r="J245" s="1" t="s">
        <v>1289</v>
      </c>
      <c r="K245" s="8">
        <f>(F245*I245)</f>
        <v>772.22</v>
      </c>
      <c r="AE245" s="64">
        <f t="shared" si="29"/>
        <v>0</v>
      </c>
    </row>
    <row r="246" spans="1:31" ht="24" customHeight="1">
      <c r="A246" s="223"/>
      <c r="B246" s="223"/>
      <c r="C246" s="223"/>
      <c r="D246" s="223"/>
      <c r="F246" s="8">
        <v>0.5</v>
      </c>
      <c r="G246" s="7" t="s">
        <v>1289</v>
      </c>
      <c r="H246" s="1" t="s">
        <v>2019</v>
      </c>
      <c r="I246" s="8">
        <f>AC36</f>
        <v>1190.8800000000001</v>
      </c>
      <c r="J246" s="1" t="s">
        <v>1289</v>
      </c>
      <c r="K246" s="8">
        <f>(F246*I246)</f>
        <v>595.44000000000005</v>
      </c>
      <c r="AE246" s="64">
        <f t="shared" si="29"/>
        <v>0</v>
      </c>
    </row>
    <row r="247" spans="1:31" ht="24" customHeight="1">
      <c r="A247" s="223"/>
      <c r="B247" s="223"/>
      <c r="C247" s="223"/>
      <c r="D247" s="223"/>
      <c r="F247" s="8">
        <v>0.45</v>
      </c>
      <c r="G247" s="7" t="s">
        <v>1289</v>
      </c>
      <c r="H247" s="1" t="s">
        <v>888</v>
      </c>
      <c r="I247" s="8">
        <f>AC38</f>
        <v>346.64</v>
      </c>
      <c r="J247" s="1" t="s">
        <v>1289</v>
      </c>
      <c r="K247" s="8">
        <f>(F247*I247)</f>
        <v>155.99</v>
      </c>
      <c r="AE247" s="64">
        <f t="shared" si="29"/>
        <v>0</v>
      </c>
    </row>
    <row r="248" spans="1:31" ht="24" customHeight="1">
      <c r="A248" s="223"/>
      <c r="B248" s="223"/>
      <c r="C248" s="223"/>
      <c r="D248" s="223"/>
      <c r="F248" s="8">
        <v>10</v>
      </c>
      <c r="G248" s="7" t="s">
        <v>222</v>
      </c>
      <c r="H248" s="1" t="s">
        <v>1848</v>
      </c>
      <c r="I248" s="492">
        <v>17.82</v>
      </c>
      <c r="J248" s="1" t="s">
        <v>222</v>
      </c>
      <c r="K248" s="8">
        <f>(F248*I248)</f>
        <v>178.2</v>
      </c>
      <c r="AE248" s="64">
        <f t="shared" si="29"/>
        <v>0</v>
      </c>
    </row>
    <row r="249" spans="1:31" ht="24" customHeight="1">
      <c r="A249" s="223"/>
      <c r="B249" s="223"/>
      <c r="C249" s="223"/>
      <c r="D249" s="223"/>
      <c r="H249" s="1" t="s">
        <v>1849</v>
      </c>
      <c r="K249" s="5" t="s">
        <v>1530</v>
      </c>
      <c r="AE249" s="64">
        <f t="shared" si="29"/>
        <v>0</v>
      </c>
    </row>
    <row r="250" spans="1:31" ht="24" customHeight="1">
      <c r="A250" s="223"/>
      <c r="B250" s="223"/>
      <c r="C250" s="223"/>
      <c r="D250" s="223"/>
      <c r="H250" s="1" t="s">
        <v>1850</v>
      </c>
      <c r="K250" s="8">
        <f>SUM(K244:K248)</f>
        <v>1705.79</v>
      </c>
      <c r="AE250" s="64">
        <f t="shared" si="29"/>
        <v>0</v>
      </c>
    </row>
    <row r="251" spans="1:31" ht="24" customHeight="1">
      <c r="A251" s="223"/>
      <c r="B251" s="223"/>
      <c r="C251" s="223"/>
      <c r="D251" s="223"/>
      <c r="K251" s="5" t="s">
        <v>1530</v>
      </c>
      <c r="AE251" s="64">
        <f t="shared" si="29"/>
        <v>0</v>
      </c>
    </row>
    <row r="252" spans="1:31" ht="24" customHeight="1">
      <c r="A252" s="223"/>
      <c r="B252" s="223"/>
      <c r="C252" s="223"/>
      <c r="D252" s="223"/>
      <c r="H252" s="59" t="s">
        <v>1851</v>
      </c>
      <c r="K252" s="39">
        <f>K250/10</f>
        <v>170.58</v>
      </c>
      <c r="AE252" s="64">
        <f t="shared" si="29"/>
        <v>0</v>
      </c>
    </row>
    <row r="253" spans="1:31" ht="24" customHeight="1">
      <c r="A253" s="223"/>
      <c r="B253" s="223"/>
      <c r="C253" s="223"/>
      <c r="D253" s="223"/>
      <c r="K253" s="5" t="s">
        <v>1980</v>
      </c>
      <c r="AE253" s="64">
        <f t="shared" si="29"/>
        <v>0</v>
      </c>
    </row>
    <row r="254" spans="1:31" ht="24" customHeight="1">
      <c r="A254" s="223"/>
      <c r="B254" s="223"/>
      <c r="C254" s="223"/>
      <c r="D254" s="223"/>
      <c r="AE254" s="64">
        <f t="shared" si="29"/>
        <v>0</v>
      </c>
    </row>
    <row r="255" spans="1:31" ht="24" customHeight="1">
      <c r="A255" s="223"/>
      <c r="B255" s="223"/>
      <c r="C255" s="223"/>
      <c r="D255" s="223"/>
      <c r="F255" s="25">
        <v>3.7</v>
      </c>
      <c r="H255" s="1" t="s">
        <v>4</v>
      </c>
      <c r="AE255" s="64">
        <f t="shared" si="29"/>
        <v>0</v>
      </c>
    </row>
    <row r="256" spans="1:31" ht="24" customHeight="1">
      <c r="A256" s="223"/>
      <c r="B256" s="223"/>
      <c r="C256" s="223"/>
      <c r="D256" s="223"/>
      <c r="H256" s="5" t="s">
        <v>1530</v>
      </c>
      <c r="AE256" s="64">
        <f t="shared" si="29"/>
        <v>0</v>
      </c>
    </row>
    <row r="257" spans="1:33" ht="24" customHeight="1">
      <c r="A257" s="223"/>
      <c r="B257" s="223"/>
      <c r="C257" s="223"/>
      <c r="D257" s="223"/>
      <c r="F257" s="8">
        <v>2.7</v>
      </c>
      <c r="G257" s="7" t="s">
        <v>1289</v>
      </c>
      <c r="H257" s="1" t="s">
        <v>150</v>
      </c>
      <c r="I257" s="8">
        <f>AC35</f>
        <v>1073.3800000000001</v>
      </c>
      <c r="J257" s="1" t="s">
        <v>1289</v>
      </c>
      <c r="K257" s="8">
        <f>(F257*I257)</f>
        <v>2898.13</v>
      </c>
      <c r="AE257" s="64">
        <f t="shared" si="29"/>
        <v>0</v>
      </c>
    </row>
    <row r="258" spans="1:33" ht="24" customHeight="1">
      <c r="A258" s="223"/>
      <c r="B258" s="223"/>
      <c r="C258" s="223"/>
      <c r="D258" s="223"/>
      <c r="F258" s="16">
        <v>0.14499999999999999</v>
      </c>
      <c r="G258" s="7" t="s">
        <v>1289</v>
      </c>
      <c r="H258" s="1" t="s">
        <v>875</v>
      </c>
      <c r="I258" s="8">
        <f>AC17</f>
        <v>1400.82</v>
      </c>
      <c r="J258" s="1" t="s">
        <v>1289</v>
      </c>
      <c r="K258" s="8">
        <f>(F258*I258)</f>
        <v>203.12</v>
      </c>
      <c r="AE258" s="64">
        <f t="shared" si="29"/>
        <v>0</v>
      </c>
    </row>
    <row r="259" spans="1:33" ht="24" customHeight="1">
      <c r="A259" s="223"/>
      <c r="B259" s="223"/>
      <c r="C259" s="223"/>
      <c r="D259" s="223"/>
      <c r="F259" s="8">
        <v>218.8</v>
      </c>
      <c r="G259" s="7" t="s">
        <v>876</v>
      </c>
      <c r="H259" s="1" t="s">
        <v>877</v>
      </c>
      <c r="I259" s="8">
        <f>C145</f>
        <v>43563.69</v>
      </c>
      <c r="J259" s="1" t="s">
        <v>876</v>
      </c>
      <c r="K259" s="8">
        <f>(F259*I259)/1000</f>
        <v>9531.74</v>
      </c>
      <c r="AE259" s="64">
        <f t="shared" si="29"/>
        <v>0</v>
      </c>
    </row>
    <row r="260" spans="1:33" ht="24" customHeight="1">
      <c r="A260" s="223"/>
      <c r="B260" s="223"/>
      <c r="C260" s="223"/>
      <c r="D260" s="223"/>
      <c r="F260" s="8">
        <v>100</v>
      </c>
      <c r="G260" s="7" t="s">
        <v>222</v>
      </c>
      <c r="H260" s="1" t="s">
        <v>878</v>
      </c>
      <c r="I260" s="492">
        <v>14.3</v>
      </c>
      <c r="J260" s="1" t="s">
        <v>222</v>
      </c>
      <c r="K260" s="8">
        <f>(F260*I260)</f>
        <v>1430</v>
      </c>
      <c r="AE260" s="64">
        <f t="shared" si="29"/>
        <v>0</v>
      </c>
    </row>
    <row r="261" spans="1:33" ht="24" customHeight="1">
      <c r="A261" s="223"/>
      <c r="B261" s="223"/>
      <c r="C261" s="223"/>
      <c r="D261" s="223"/>
      <c r="K261" s="5" t="s">
        <v>1530</v>
      </c>
      <c r="AE261" s="64">
        <f t="shared" si="29"/>
        <v>0</v>
      </c>
    </row>
    <row r="262" spans="1:33" ht="24" customHeight="1">
      <c r="A262" s="223"/>
      <c r="B262" s="223"/>
      <c r="C262" s="223"/>
      <c r="D262" s="223"/>
      <c r="H262" s="1" t="s">
        <v>879</v>
      </c>
      <c r="K262" s="8">
        <f>SUM(K257:K260)</f>
        <v>14062.99</v>
      </c>
      <c r="AE262" s="64">
        <f t="shared" si="29"/>
        <v>0</v>
      </c>
    </row>
    <row r="263" spans="1:33" ht="24" customHeight="1">
      <c r="A263" s="223"/>
      <c r="B263" s="223"/>
      <c r="C263" s="223"/>
      <c r="D263" s="223"/>
      <c r="K263" s="5" t="s">
        <v>1530</v>
      </c>
      <c r="AE263" s="64">
        <f t="shared" si="29"/>
        <v>0</v>
      </c>
    </row>
    <row r="264" spans="1:33" ht="24" customHeight="1">
      <c r="A264" s="223"/>
      <c r="B264" s="223"/>
      <c r="C264" s="223"/>
      <c r="D264" s="223"/>
      <c r="H264" s="59" t="s">
        <v>1851</v>
      </c>
      <c r="K264" s="39">
        <f>K262/100</f>
        <v>140.63</v>
      </c>
      <c r="AE264" s="64">
        <f t="shared" si="29"/>
        <v>0</v>
      </c>
    </row>
    <row r="265" spans="1:33" ht="24" customHeight="1">
      <c r="A265" s="223"/>
      <c r="B265" s="223"/>
      <c r="C265" s="223"/>
      <c r="D265" s="223"/>
      <c r="F265" s="1" t="s">
        <v>940</v>
      </c>
      <c r="G265" s="7" t="s">
        <v>940</v>
      </c>
      <c r="K265" s="5" t="s">
        <v>1980</v>
      </c>
      <c r="AE265" s="64">
        <f t="shared" si="29"/>
        <v>0</v>
      </c>
    </row>
    <row r="266" spans="1:33" ht="24" customHeight="1">
      <c r="A266" s="223"/>
      <c r="B266" s="223"/>
      <c r="C266" s="223"/>
      <c r="D266" s="223"/>
      <c r="AE266" s="64">
        <f t="shared" si="29"/>
        <v>0</v>
      </c>
    </row>
    <row r="267" spans="1:33" ht="24" customHeight="1">
      <c r="A267" s="223"/>
      <c r="B267" s="223"/>
      <c r="C267" s="223"/>
      <c r="D267" s="223"/>
      <c r="AE267" s="64">
        <f t="shared" si="29"/>
        <v>0</v>
      </c>
    </row>
    <row r="268" spans="1:33" ht="24" customHeight="1">
      <c r="A268" s="220">
        <f>(A209+1)</f>
        <v>105</v>
      </c>
      <c r="B268" s="900" t="s">
        <v>4682</v>
      </c>
      <c r="C268" s="423">
        <v>139.30000000000001</v>
      </c>
      <c r="D268" s="221" t="s">
        <v>739</v>
      </c>
      <c r="F268" s="2" t="s">
        <v>642</v>
      </c>
      <c r="H268" s="1" t="s">
        <v>1550</v>
      </c>
      <c r="N268" s="1" t="s">
        <v>643</v>
      </c>
      <c r="O268" s="1" t="s">
        <v>802</v>
      </c>
      <c r="AE268" s="64">
        <f t="shared" si="29"/>
        <v>0</v>
      </c>
      <c r="AG268" s="1" t="s">
        <v>2175</v>
      </c>
    </row>
    <row r="269" spans="1:33" ht="24" customHeight="1">
      <c r="A269" s="220">
        <f t="shared" ref="A269:A283" si="31">(A268+1)</f>
        <v>106</v>
      </c>
      <c r="B269" s="900" t="s">
        <v>4683</v>
      </c>
      <c r="C269" s="423">
        <v>168.7</v>
      </c>
      <c r="D269" s="221" t="s">
        <v>739</v>
      </c>
      <c r="H269" s="5" t="s">
        <v>1980</v>
      </c>
      <c r="O269" s="5" t="s">
        <v>1530</v>
      </c>
      <c r="AE269" s="64">
        <f t="shared" ref="AE269:AE310" si="32">AF269</f>
        <v>0</v>
      </c>
      <c r="AG269" s="1" t="s">
        <v>2175</v>
      </c>
    </row>
    <row r="270" spans="1:33" ht="24" customHeight="1">
      <c r="A270" s="220">
        <f t="shared" si="31"/>
        <v>107</v>
      </c>
      <c r="B270" s="620" t="s">
        <v>4481</v>
      </c>
      <c r="C270" s="171">
        <v>63</v>
      </c>
      <c r="D270" s="423">
        <v>148.6</v>
      </c>
      <c r="G270" s="7" t="s">
        <v>2167</v>
      </c>
      <c r="H270" s="1" t="s">
        <v>372</v>
      </c>
      <c r="M270" s="8">
        <v>1.1399999999999999</v>
      </c>
      <c r="N270" s="1" t="s">
        <v>836</v>
      </c>
      <c r="O270" s="1" t="s">
        <v>2195</v>
      </c>
      <c r="P270" s="8">
        <f>(K423)</f>
        <v>5816.78</v>
      </c>
      <c r="Q270" s="1" t="s">
        <v>835</v>
      </c>
      <c r="R270" s="8">
        <f>(M270*P270)</f>
        <v>6631.13</v>
      </c>
      <c r="AE270" s="64">
        <f t="shared" si="32"/>
        <v>0</v>
      </c>
      <c r="AG270" s="1" t="s">
        <v>2175</v>
      </c>
    </row>
    <row r="271" spans="1:33" ht="39" customHeight="1">
      <c r="A271" s="220">
        <f t="shared" si="31"/>
        <v>108</v>
      </c>
      <c r="B271" s="23" t="s">
        <v>4684</v>
      </c>
      <c r="C271" s="423">
        <v>17600</v>
      </c>
      <c r="D271" s="221" t="s">
        <v>836</v>
      </c>
      <c r="H271" s="1" t="s">
        <v>2185</v>
      </c>
      <c r="M271" s="8">
        <v>1</v>
      </c>
      <c r="N271" s="1" t="s">
        <v>739</v>
      </c>
      <c r="O271" s="1" t="s">
        <v>1938</v>
      </c>
      <c r="P271" s="8">
        <f>(C10)</f>
        <v>861</v>
      </c>
      <c r="Q271" s="1" t="s">
        <v>835</v>
      </c>
      <c r="R271" s="8">
        <f>(M271*P271)</f>
        <v>861</v>
      </c>
      <c r="AE271" s="64">
        <f t="shared" si="32"/>
        <v>0</v>
      </c>
      <c r="AG271" s="1" t="s">
        <v>2175</v>
      </c>
    </row>
    <row r="272" spans="1:33" ht="24" customHeight="1">
      <c r="A272" s="220">
        <f t="shared" si="31"/>
        <v>109</v>
      </c>
      <c r="B272" s="1" t="s">
        <v>4685</v>
      </c>
      <c r="C272" s="423">
        <v>15500</v>
      </c>
      <c r="D272" s="221" t="s">
        <v>836</v>
      </c>
      <c r="H272" s="5" t="s">
        <v>1530</v>
      </c>
      <c r="N272" s="1" t="s">
        <v>419</v>
      </c>
      <c r="O272" s="1" t="s">
        <v>420</v>
      </c>
      <c r="P272" s="1" t="s">
        <v>940</v>
      </c>
      <c r="Q272" s="1" t="s">
        <v>419</v>
      </c>
      <c r="R272" s="8">
        <v>0.05</v>
      </c>
      <c r="AE272" s="64">
        <f t="shared" si="32"/>
        <v>0</v>
      </c>
      <c r="AG272" s="1" t="s">
        <v>2175</v>
      </c>
    </row>
    <row r="273" spans="1:33" ht="24" customHeight="1">
      <c r="A273" s="220">
        <f t="shared" si="31"/>
        <v>110</v>
      </c>
      <c r="B273" s="1" t="s">
        <v>4686</v>
      </c>
      <c r="C273" s="423">
        <v>25.2</v>
      </c>
      <c r="D273" s="221" t="s">
        <v>739</v>
      </c>
      <c r="F273" s="8">
        <v>9</v>
      </c>
      <c r="G273" s="7" t="s">
        <v>836</v>
      </c>
      <c r="H273" s="1" t="s">
        <v>409</v>
      </c>
      <c r="I273" s="8">
        <f>(C76)</f>
        <v>1581.38</v>
      </c>
      <c r="J273" s="1" t="s">
        <v>836</v>
      </c>
      <c r="K273" s="8">
        <f t="shared" ref="K273:K278" si="33">(F273*I273)</f>
        <v>14232.42</v>
      </c>
      <c r="R273" s="5" t="s">
        <v>1530</v>
      </c>
      <c r="AE273" s="64">
        <f t="shared" si="32"/>
        <v>0</v>
      </c>
      <c r="AG273" s="1" t="s">
        <v>2175</v>
      </c>
    </row>
    <row r="274" spans="1:33" ht="24" customHeight="1">
      <c r="A274" s="220">
        <f t="shared" si="31"/>
        <v>111</v>
      </c>
      <c r="B274" s="1" t="s">
        <v>4687</v>
      </c>
      <c r="C274" s="423">
        <v>49.4</v>
      </c>
      <c r="D274" s="221" t="s">
        <v>1591</v>
      </c>
      <c r="E274" s="435">
        <v>155</v>
      </c>
      <c r="F274" s="13">
        <v>3.2309999999999999</v>
      </c>
      <c r="G274" s="7" t="s">
        <v>828</v>
      </c>
      <c r="H274" s="1" t="s">
        <v>829</v>
      </c>
      <c r="I274" s="8">
        <f>(C70)</f>
        <v>5960</v>
      </c>
      <c r="J274" s="1" t="s">
        <v>828</v>
      </c>
      <c r="K274" s="8">
        <f t="shared" si="33"/>
        <v>19256.759999999998</v>
      </c>
      <c r="O274" s="1" t="s">
        <v>411</v>
      </c>
      <c r="R274" s="8">
        <f>SUM(R270:R272)</f>
        <v>7492.18</v>
      </c>
      <c r="AE274" s="64">
        <f t="shared" si="32"/>
        <v>0</v>
      </c>
      <c r="AG274" s="1" t="s">
        <v>2175</v>
      </c>
    </row>
    <row r="275" spans="1:33" ht="24" customHeight="1">
      <c r="A275" s="220">
        <f t="shared" si="31"/>
        <v>112</v>
      </c>
      <c r="B275" s="1" t="s">
        <v>4688</v>
      </c>
      <c r="C275" s="423">
        <v>303.89999999999998</v>
      </c>
      <c r="D275" s="545">
        <v>452.09</v>
      </c>
      <c r="E275" s="623">
        <v>250</v>
      </c>
      <c r="F275" s="8">
        <v>4.5</v>
      </c>
      <c r="G275" s="7" t="s">
        <v>836</v>
      </c>
      <c r="H275" s="1" t="s">
        <v>837</v>
      </c>
      <c r="I275" s="8">
        <f>(C81)</f>
        <v>1400.82</v>
      </c>
      <c r="J275" s="1" t="s">
        <v>836</v>
      </c>
      <c r="K275" s="8">
        <f t="shared" si="33"/>
        <v>6303.69</v>
      </c>
      <c r="R275" s="5" t="s">
        <v>1530</v>
      </c>
      <c r="AE275" s="64">
        <f t="shared" si="32"/>
        <v>0</v>
      </c>
      <c r="AG275" s="1" t="s">
        <v>2175</v>
      </c>
    </row>
    <row r="276" spans="1:33" ht="24" customHeight="1">
      <c r="A276" s="220">
        <f t="shared" si="31"/>
        <v>113</v>
      </c>
      <c r="B276" s="1" t="s">
        <v>4689</v>
      </c>
      <c r="C276" s="423">
        <v>142.69999999999999</v>
      </c>
      <c r="D276" s="221" t="s">
        <v>1714</v>
      </c>
      <c r="F276" s="8">
        <v>3.5</v>
      </c>
      <c r="G276" s="7" t="s">
        <v>835</v>
      </c>
      <c r="H276" s="1" t="s">
        <v>1654</v>
      </c>
      <c r="I276" s="8">
        <f>(C11)</f>
        <v>804</v>
      </c>
      <c r="J276" s="1" t="s">
        <v>835</v>
      </c>
      <c r="K276" s="8">
        <f t="shared" si="33"/>
        <v>2814</v>
      </c>
      <c r="O276" s="1" t="s">
        <v>521</v>
      </c>
      <c r="R276" s="8">
        <f>(R274/10)</f>
        <v>749.22</v>
      </c>
      <c r="AE276" s="64">
        <f t="shared" si="32"/>
        <v>0</v>
      </c>
      <c r="AG276" s="1" t="s">
        <v>2175</v>
      </c>
    </row>
    <row r="277" spans="1:33" ht="24" customHeight="1">
      <c r="A277" s="220">
        <f t="shared" si="31"/>
        <v>114</v>
      </c>
      <c r="B277" s="1" t="s">
        <v>4690</v>
      </c>
      <c r="C277" s="423">
        <v>51.8</v>
      </c>
      <c r="D277" s="221" t="s">
        <v>739</v>
      </c>
      <c r="F277" s="8">
        <v>21.2</v>
      </c>
      <c r="G277" s="7" t="s">
        <v>835</v>
      </c>
      <c r="H277" s="1" t="s">
        <v>1836</v>
      </c>
      <c r="I277" s="8">
        <f>(C12)</f>
        <v>562</v>
      </c>
      <c r="J277" s="1" t="s">
        <v>835</v>
      </c>
      <c r="K277" s="8">
        <f t="shared" si="33"/>
        <v>11914.4</v>
      </c>
      <c r="R277" s="5" t="s">
        <v>1980</v>
      </c>
      <c r="Y277" s="51">
        <v>1.51</v>
      </c>
      <c r="Z277" s="51">
        <v>1.08</v>
      </c>
      <c r="AB277">
        <v>55.07</v>
      </c>
      <c r="AC277">
        <f>Y277*AB277</f>
        <v>83.16</v>
      </c>
      <c r="AD277">
        <f>Z277*AB277</f>
        <v>59.48</v>
      </c>
      <c r="AE277" s="64">
        <f t="shared" si="32"/>
        <v>0</v>
      </c>
      <c r="AG277" s="1" t="s">
        <v>2175</v>
      </c>
    </row>
    <row r="278" spans="1:33" ht="24" customHeight="1">
      <c r="A278" s="220">
        <f t="shared" si="31"/>
        <v>115</v>
      </c>
      <c r="B278" s="1" t="s">
        <v>4691</v>
      </c>
      <c r="C278" s="423">
        <v>45.25</v>
      </c>
      <c r="D278" s="221" t="s">
        <v>739</v>
      </c>
      <c r="F278" s="8">
        <v>35.299999999999997</v>
      </c>
      <c r="G278" s="7" t="s">
        <v>835</v>
      </c>
      <c r="H278" s="1" t="s">
        <v>299</v>
      </c>
      <c r="I278" s="8">
        <f>(C13)</f>
        <v>461</v>
      </c>
      <c r="J278" s="1" t="s">
        <v>835</v>
      </c>
      <c r="K278" s="8">
        <f t="shared" si="33"/>
        <v>16273.3</v>
      </c>
      <c r="N278" s="1" t="s">
        <v>1094</v>
      </c>
      <c r="O278" s="1" t="s">
        <v>361</v>
      </c>
      <c r="R278" s="8">
        <f>(R276+C19/10*M270)</f>
        <v>756.97</v>
      </c>
      <c r="Y278" s="51">
        <v>0.216</v>
      </c>
      <c r="Z278" s="51">
        <v>0.216</v>
      </c>
      <c r="AB278">
        <v>993.48</v>
      </c>
      <c r="AC278">
        <f>Y278*AB278</f>
        <v>214.59</v>
      </c>
      <c r="AD278">
        <f>Z278*AB278</f>
        <v>214.59</v>
      </c>
      <c r="AE278" s="64">
        <f t="shared" si="32"/>
        <v>0</v>
      </c>
      <c r="AG278" s="1" t="s">
        <v>2175</v>
      </c>
    </row>
    <row r="279" spans="1:33" ht="24" customHeight="1">
      <c r="A279" s="220">
        <f t="shared" si="31"/>
        <v>116</v>
      </c>
      <c r="B279" s="221" t="s">
        <v>627</v>
      </c>
      <c r="C279" s="162">
        <v>16.440000000000001</v>
      </c>
      <c r="D279" s="221" t="s">
        <v>739</v>
      </c>
      <c r="G279" s="7" t="s">
        <v>419</v>
      </c>
      <c r="H279" s="1" t="s">
        <v>420</v>
      </c>
      <c r="I279" s="1" t="s">
        <v>940</v>
      </c>
      <c r="J279" s="1" t="s">
        <v>419</v>
      </c>
      <c r="K279" s="8">
        <v>0</v>
      </c>
      <c r="N279" s="1" t="s">
        <v>628</v>
      </c>
      <c r="O279" s="1" t="s">
        <v>363</v>
      </c>
      <c r="R279" s="8">
        <f>(R278+C20/10*M270)</f>
        <v>772.61</v>
      </c>
      <c r="Y279" s="51">
        <v>0.71599999999999997</v>
      </c>
      <c r="Z279" s="51">
        <v>0.48699999999999999</v>
      </c>
      <c r="AB279">
        <v>1762.91</v>
      </c>
      <c r="AC279">
        <f>Y279*AB279</f>
        <v>1262.24</v>
      </c>
      <c r="AD279">
        <f>Z279*AB279</f>
        <v>858.54</v>
      </c>
      <c r="AE279" s="64">
        <f t="shared" si="32"/>
        <v>0</v>
      </c>
      <c r="AG279" s="1" t="s">
        <v>2175</v>
      </c>
    </row>
    <row r="280" spans="1:33" ht="24" customHeight="1">
      <c r="A280" s="220">
        <f t="shared" si="31"/>
        <v>117</v>
      </c>
      <c r="B280" s="1" t="s">
        <v>4692</v>
      </c>
      <c r="C280" s="423">
        <v>31.8</v>
      </c>
      <c r="D280" s="903">
        <v>6.25</v>
      </c>
      <c r="K280" s="5" t="s">
        <v>1530</v>
      </c>
      <c r="N280" s="1" t="s">
        <v>640</v>
      </c>
      <c r="O280" s="1" t="s">
        <v>2149</v>
      </c>
      <c r="R280" s="8">
        <f>(R279+C21/10*M270)</f>
        <v>788.25</v>
      </c>
      <c r="Y280" s="51">
        <v>7.35</v>
      </c>
      <c r="Z280" s="51">
        <v>5.36</v>
      </c>
      <c r="AB280">
        <v>69.709999999999994</v>
      </c>
      <c r="AC280">
        <f>Y280*AB280</f>
        <v>512.37</v>
      </c>
      <c r="AD280">
        <f>Z280*AB280</f>
        <v>373.65</v>
      </c>
      <c r="AE280" s="64">
        <f t="shared" si="32"/>
        <v>0</v>
      </c>
      <c r="AG280" s="1" t="s">
        <v>2175</v>
      </c>
    </row>
    <row r="281" spans="1:33" ht="24" customHeight="1">
      <c r="A281" s="220">
        <f t="shared" si="31"/>
        <v>118</v>
      </c>
      <c r="B281" s="1" t="s">
        <v>4693</v>
      </c>
      <c r="C281" s="423">
        <v>361</v>
      </c>
      <c r="D281" s="221" t="s">
        <v>578</v>
      </c>
      <c r="H281" s="1" t="s">
        <v>2089</v>
      </c>
      <c r="K281" s="8">
        <f>SUM(K273:K279)</f>
        <v>70794.570000000007</v>
      </c>
      <c r="N281" s="1" t="s">
        <v>2090</v>
      </c>
      <c r="O281" s="1" t="s">
        <v>355</v>
      </c>
      <c r="R281" s="8">
        <f>(R280+C21/10*M270)</f>
        <v>803.89</v>
      </c>
      <c r="Y281" s="51">
        <v>3.2000000000000001E-2</v>
      </c>
      <c r="Z281" s="51">
        <v>3.2000000000000001E-2</v>
      </c>
      <c r="AB281">
        <v>2824.15</v>
      </c>
      <c r="AC281">
        <f>Y281*AB281</f>
        <v>90.37</v>
      </c>
      <c r="AD281">
        <f>Z281*AB281</f>
        <v>90.37</v>
      </c>
      <c r="AE281" s="64">
        <f t="shared" si="32"/>
        <v>0</v>
      </c>
      <c r="AG281" s="1" t="s">
        <v>2175</v>
      </c>
    </row>
    <row r="282" spans="1:33" ht="24" customHeight="1">
      <c r="A282" s="220">
        <f t="shared" si="31"/>
        <v>119</v>
      </c>
      <c r="B282" s="1" t="s">
        <v>4694</v>
      </c>
      <c r="C282" s="423">
        <v>83</v>
      </c>
      <c r="D282" s="221" t="s">
        <v>739</v>
      </c>
      <c r="K282" s="5" t="s">
        <v>1530</v>
      </c>
      <c r="Z282" s="51"/>
      <c r="AD282">
        <v>13.38</v>
      </c>
      <c r="AE282" s="64">
        <f t="shared" si="32"/>
        <v>0</v>
      </c>
      <c r="AG282" s="1" t="s">
        <v>2175</v>
      </c>
    </row>
    <row r="283" spans="1:33" ht="24" customHeight="1">
      <c r="A283" s="220">
        <f t="shared" si="31"/>
        <v>120</v>
      </c>
      <c r="B283" s="1" t="s">
        <v>4695</v>
      </c>
      <c r="C283" s="423">
        <v>66.599999999999994</v>
      </c>
      <c r="D283" s="221" t="s">
        <v>739</v>
      </c>
      <c r="H283" s="59" t="s">
        <v>743</v>
      </c>
      <c r="K283" s="39">
        <f>(K281/10)</f>
        <v>7079.46</v>
      </c>
      <c r="R283" s="1" t="s">
        <v>940</v>
      </c>
      <c r="AC283">
        <f>SUM(AC277:AC282)</f>
        <v>2162.73</v>
      </c>
      <c r="AD283">
        <f>SUM(AD277:AD282)</f>
        <v>1610.01</v>
      </c>
      <c r="AE283" s="64">
        <f t="shared" si="32"/>
        <v>0</v>
      </c>
      <c r="AG283" s="1" t="s">
        <v>2175</v>
      </c>
    </row>
    <row r="284" spans="1:33" ht="24" customHeight="1">
      <c r="A284" s="223"/>
      <c r="B284" s="442"/>
      <c r="C284" s="435"/>
      <c r="D284" s="223"/>
      <c r="F284" s="1" t="s">
        <v>940</v>
      </c>
      <c r="N284" s="1" t="s">
        <v>643</v>
      </c>
      <c r="O284" s="1" t="s">
        <v>2091</v>
      </c>
      <c r="AE284" s="64">
        <f t="shared" si="32"/>
        <v>0</v>
      </c>
    </row>
    <row r="285" spans="1:33" ht="24" customHeight="1">
      <c r="A285" s="220">
        <f>(A283+1)</f>
        <v>121</v>
      </c>
      <c r="B285" s="1" t="s">
        <v>4696</v>
      </c>
      <c r="C285" s="423">
        <v>45.7</v>
      </c>
      <c r="D285" s="221" t="s">
        <v>739</v>
      </c>
      <c r="O285" s="1" t="s">
        <v>1528</v>
      </c>
      <c r="AE285" s="64">
        <f t="shared" si="32"/>
        <v>0</v>
      </c>
      <c r="AG285" s="1" t="s">
        <v>2175</v>
      </c>
    </row>
    <row r="286" spans="1:33" ht="24" customHeight="1">
      <c r="A286" s="220">
        <f t="shared" ref="A286:A349" si="34">(A285+1)</f>
        <v>122</v>
      </c>
      <c r="B286" s="1" t="s">
        <v>4697</v>
      </c>
      <c r="C286" s="423">
        <v>36.9</v>
      </c>
      <c r="D286" s="221" t="s">
        <v>739</v>
      </c>
      <c r="F286" s="8">
        <v>1</v>
      </c>
      <c r="G286" s="7" t="s">
        <v>836</v>
      </c>
      <c r="H286" s="1" t="s">
        <v>43</v>
      </c>
      <c r="K286" s="8">
        <f>(C25)</f>
        <v>81.3</v>
      </c>
      <c r="O286" s="5" t="s">
        <v>1530</v>
      </c>
      <c r="AE286" s="64">
        <f t="shared" si="32"/>
        <v>0</v>
      </c>
      <c r="AG286" s="1" t="s">
        <v>2175</v>
      </c>
    </row>
    <row r="287" spans="1:33" ht="24" customHeight="1">
      <c r="A287" s="220">
        <f t="shared" si="34"/>
        <v>123</v>
      </c>
      <c r="B287" s="1" t="s">
        <v>4698</v>
      </c>
      <c r="C287" s="423">
        <v>60</v>
      </c>
      <c r="D287" s="221" t="s">
        <v>739</v>
      </c>
      <c r="K287" s="5" t="s">
        <v>1530</v>
      </c>
      <c r="M287" s="8">
        <v>10</v>
      </c>
      <c r="N287" s="1" t="s">
        <v>578</v>
      </c>
      <c r="O287" s="1" t="s">
        <v>44</v>
      </c>
      <c r="P287" s="8">
        <f>(K1244)</f>
        <v>1096.5999999999999</v>
      </c>
      <c r="Q287" s="1" t="s">
        <v>578</v>
      </c>
      <c r="R287" s="8">
        <f>(M287*P287)</f>
        <v>10966</v>
      </c>
      <c r="AE287" s="64">
        <f t="shared" si="32"/>
        <v>0</v>
      </c>
      <c r="AG287" s="1" t="s">
        <v>2175</v>
      </c>
    </row>
    <row r="288" spans="1:33" ht="24" customHeight="1">
      <c r="A288" s="220">
        <f t="shared" si="34"/>
        <v>124</v>
      </c>
      <c r="B288" s="1" t="s">
        <v>4699</v>
      </c>
      <c r="C288" s="423">
        <v>36.799999999999997</v>
      </c>
      <c r="D288" s="221" t="s">
        <v>739</v>
      </c>
      <c r="E288" s="435">
        <v>52.8</v>
      </c>
      <c r="H288" s="1" t="s">
        <v>571</v>
      </c>
      <c r="K288" s="39">
        <f>SUM(K283:K286)</f>
        <v>7160.76</v>
      </c>
      <c r="M288" s="8">
        <v>1.1000000000000001</v>
      </c>
      <c r="N288" s="1" t="s">
        <v>835</v>
      </c>
      <c r="O288" s="1" t="s">
        <v>1654</v>
      </c>
      <c r="P288" s="8">
        <f>(C11)</f>
        <v>804</v>
      </c>
      <c r="Q288" s="1" t="s">
        <v>835</v>
      </c>
      <c r="R288" s="8">
        <f>(M288*P288)</f>
        <v>884.4</v>
      </c>
      <c r="AE288" s="64">
        <f t="shared" si="32"/>
        <v>0</v>
      </c>
      <c r="AG288" s="1" t="s">
        <v>2175</v>
      </c>
    </row>
    <row r="289" spans="1:33" ht="24" customHeight="1">
      <c r="A289" s="220">
        <f t="shared" si="34"/>
        <v>125</v>
      </c>
      <c r="B289" s="1" t="s">
        <v>4700</v>
      </c>
      <c r="C289" s="423">
        <v>167.6</v>
      </c>
      <c r="D289" s="221" t="s">
        <v>739</v>
      </c>
      <c r="K289" s="5" t="s">
        <v>1530</v>
      </c>
      <c r="M289" s="8">
        <v>1.1000000000000001</v>
      </c>
      <c r="N289" s="1" t="s">
        <v>835</v>
      </c>
      <c r="O289" s="1" t="s">
        <v>1836</v>
      </c>
      <c r="P289" s="8">
        <f>(C12)</f>
        <v>562</v>
      </c>
      <c r="Q289" s="1" t="s">
        <v>835</v>
      </c>
      <c r="R289" s="8">
        <f>(M289*P289)</f>
        <v>618.20000000000005</v>
      </c>
      <c r="AE289" s="64">
        <f t="shared" si="32"/>
        <v>0</v>
      </c>
      <c r="AG289" s="1" t="s">
        <v>2175</v>
      </c>
    </row>
    <row r="290" spans="1:33" ht="24" customHeight="1">
      <c r="A290" s="220">
        <f t="shared" si="34"/>
        <v>126</v>
      </c>
      <c r="B290" s="1" t="s">
        <v>4701</v>
      </c>
      <c r="C290" s="423">
        <v>94.1</v>
      </c>
      <c r="D290" s="221" t="s">
        <v>739</v>
      </c>
      <c r="H290" s="1" t="s">
        <v>361</v>
      </c>
      <c r="K290" s="39">
        <f>(K288+C22)</f>
        <v>7264.06</v>
      </c>
      <c r="L290">
        <v>54</v>
      </c>
      <c r="M290" s="8">
        <v>1.1000000000000001</v>
      </c>
      <c r="N290" s="1" t="s">
        <v>835</v>
      </c>
      <c r="O290" s="1" t="s">
        <v>234</v>
      </c>
      <c r="P290" s="8">
        <f>(C13)</f>
        <v>461</v>
      </c>
      <c r="Q290" s="1" t="s">
        <v>835</v>
      </c>
      <c r="R290" s="8">
        <f>(M290*P290)</f>
        <v>507.1</v>
      </c>
      <c r="AE290" s="64">
        <f t="shared" si="32"/>
        <v>0</v>
      </c>
      <c r="AG290" s="1" t="s">
        <v>2175</v>
      </c>
    </row>
    <row r="291" spans="1:33" ht="24" customHeight="1">
      <c r="A291" s="220">
        <f t="shared" si="34"/>
        <v>127</v>
      </c>
      <c r="B291" s="221" t="s">
        <v>4159</v>
      </c>
      <c r="C291" s="545">
        <v>7.3</v>
      </c>
      <c r="D291" s="221" t="s">
        <v>739</v>
      </c>
      <c r="H291" s="1" t="s">
        <v>363</v>
      </c>
      <c r="K291" s="39">
        <f>(K290+C23)</f>
        <v>7467.56</v>
      </c>
      <c r="L291">
        <v>107</v>
      </c>
      <c r="R291" s="5" t="s">
        <v>1530</v>
      </c>
      <c r="AE291" s="64">
        <f t="shared" si="32"/>
        <v>0</v>
      </c>
      <c r="AG291" s="1" t="s">
        <v>2175</v>
      </c>
    </row>
    <row r="292" spans="1:33" ht="24" customHeight="1">
      <c r="A292" s="220">
        <f t="shared" si="34"/>
        <v>128</v>
      </c>
      <c r="B292" s="221" t="s">
        <v>1111</v>
      </c>
      <c r="C292" s="545">
        <v>7.3</v>
      </c>
      <c r="D292" s="221" t="s">
        <v>739</v>
      </c>
      <c r="H292" s="1" t="s">
        <v>2149</v>
      </c>
      <c r="K292" s="39">
        <f>(K291+C24)</f>
        <v>7671.06</v>
      </c>
      <c r="O292" s="1" t="s">
        <v>411</v>
      </c>
      <c r="R292" s="8">
        <f>SUM(R287:R290)</f>
        <v>12975.7</v>
      </c>
      <c r="AE292" s="64">
        <f t="shared" si="32"/>
        <v>0</v>
      </c>
      <c r="AG292" s="1" t="s">
        <v>2175</v>
      </c>
    </row>
    <row r="293" spans="1:33" ht="24" customHeight="1">
      <c r="A293" s="220">
        <f t="shared" si="34"/>
        <v>129</v>
      </c>
      <c r="B293" s="221" t="s">
        <v>1112</v>
      </c>
      <c r="C293" s="162">
        <v>2.9</v>
      </c>
      <c r="D293" s="221" t="s">
        <v>1113</v>
      </c>
      <c r="H293" s="1" t="s">
        <v>355</v>
      </c>
      <c r="K293" s="39">
        <f>(K292+C24)</f>
        <v>7874.56</v>
      </c>
      <c r="R293" s="5" t="s">
        <v>1530</v>
      </c>
      <c r="AE293" s="64">
        <f t="shared" si="32"/>
        <v>0</v>
      </c>
      <c r="AG293" s="1" t="s">
        <v>2175</v>
      </c>
    </row>
    <row r="294" spans="1:33" ht="24" customHeight="1">
      <c r="A294" s="220">
        <f t="shared" si="34"/>
        <v>130</v>
      </c>
      <c r="B294" s="221" t="s">
        <v>1114</v>
      </c>
      <c r="C294" s="545">
        <v>11.8</v>
      </c>
      <c r="D294" s="221" t="s">
        <v>1113</v>
      </c>
      <c r="H294" s="1" t="s">
        <v>453</v>
      </c>
      <c r="K294" s="39">
        <f>(K293+C24)</f>
        <v>8078.06</v>
      </c>
      <c r="O294" s="1" t="s">
        <v>521</v>
      </c>
      <c r="R294" s="8">
        <f>(R292/10)</f>
        <v>1297.57</v>
      </c>
      <c r="AE294" s="64">
        <f t="shared" si="32"/>
        <v>0</v>
      </c>
      <c r="AG294" s="1" t="s">
        <v>2175</v>
      </c>
    </row>
    <row r="295" spans="1:33" ht="24" customHeight="1">
      <c r="A295" s="220">
        <f t="shared" si="34"/>
        <v>131</v>
      </c>
      <c r="B295" s="221" t="s">
        <v>454</v>
      </c>
      <c r="C295" s="545">
        <v>8.9</v>
      </c>
      <c r="D295" s="221" t="s">
        <v>739</v>
      </c>
      <c r="R295" s="5" t="s">
        <v>1980</v>
      </c>
      <c r="AE295" s="64">
        <f t="shared" si="32"/>
        <v>0</v>
      </c>
      <c r="AG295" s="1" t="s">
        <v>2175</v>
      </c>
    </row>
    <row r="296" spans="1:33" ht="24" customHeight="1">
      <c r="A296" s="220">
        <f t="shared" si="34"/>
        <v>132</v>
      </c>
      <c r="B296" s="221" t="s">
        <v>455</v>
      </c>
      <c r="C296" s="545">
        <v>6.1</v>
      </c>
      <c r="D296" s="221" t="s">
        <v>739</v>
      </c>
      <c r="F296" s="2" t="s">
        <v>1455</v>
      </c>
      <c r="G296" s="7" t="s">
        <v>2167</v>
      </c>
      <c r="H296" s="1" t="s">
        <v>456</v>
      </c>
      <c r="AE296" s="64">
        <f t="shared" si="32"/>
        <v>0</v>
      </c>
      <c r="AG296" s="1" t="s">
        <v>2175</v>
      </c>
    </row>
    <row r="297" spans="1:33" ht="24" customHeight="1">
      <c r="A297" s="220">
        <f t="shared" si="34"/>
        <v>133</v>
      </c>
      <c r="B297" s="221" t="s">
        <v>457</v>
      </c>
      <c r="C297" s="162">
        <v>5.75</v>
      </c>
      <c r="D297" s="221" t="s">
        <v>739</v>
      </c>
      <c r="H297" s="5" t="s">
        <v>1980</v>
      </c>
      <c r="N297" s="1" t="s">
        <v>2167</v>
      </c>
      <c r="O297" s="1" t="s">
        <v>1085</v>
      </c>
      <c r="AE297" s="64">
        <f t="shared" si="32"/>
        <v>0</v>
      </c>
      <c r="AG297" s="1" t="s">
        <v>2175</v>
      </c>
    </row>
    <row r="298" spans="1:33" ht="24" customHeight="1">
      <c r="A298" s="220">
        <f t="shared" si="34"/>
        <v>134</v>
      </c>
      <c r="B298" s="221" t="s">
        <v>1086</v>
      </c>
      <c r="C298" s="162">
        <v>8.5</v>
      </c>
      <c r="D298" s="221" t="s">
        <v>739</v>
      </c>
      <c r="F298" s="8">
        <v>10</v>
      </c>
      <c r="G298" s="7" t="s">
        <v>836</v>
      </c>
      <c r="H298" s="1" t="s">
        <v>832</v>
      </c>
      <c r="I298" s="8">
        <f>(C71)</f>
        <v>594.38</v>
      </c>
      <c r="J298" s="1" t="s">
        <v>836</v>
      </c>
      <c r="K298" s="8">
        <f t="shared" ref="K298:K304" si="35">(F298*I298)</f>
        <v>5943.8</v>
      </c>
      <c r="O298" s="5" t="s">
        <v>1530</v>
      </c>
      <c r="AE298" s="64">
        <f t="shared" si="32"/>
        <v>0</v>
      </c>
      <c r="AG298" s="1" t="s">
        <v>2175</v>
      </c>
    </row>
    <row r="299" spans="1:33" ht="24" customHeight="1">
      <c r="A299" s="220">
        <f t="shared" si="34"/>
        <v>135</v>
      </c>
      <c r="B299" s="221" t="s">
        <v>1213</v>
      </c>
      <c r="C299" s="162">
        <v>10</v>
      </c>
      <c r="D299" s="221" t="s">
        <v>739</v>
      </c>
      <c r="F299" s="8">
        <v>1</v>
      </c>
      <c r="G299" s="7" t="s">
        <v>836</v>
      </c>
      <c r="H299" s="1" t="s">
        <v>839</v>
      </c>
      <c r="I299" s="8">
        <f>(C72)</f>
        <v>791.38</v>
      </c>
      <c r="J299" s="1" t="s">
        <v>836</v>
      </c>
      <c r="K299" s="8">
        <f t="shared" si="35"/>
        <v>791.38</v>
      </c>
      <c r="M299" s="8">
        <v>0.14000000000000001</v>
      </c>
      <c r="N299" s="1" t="s">
        <v>836</v>
      </c>
      <c r="O299" s="1" t="s">
        <v>1301</v>
      </c>
      <c r="P299" s="8">
        <f>(K32)</f>
        <v>4361.62</v>
      </c>
      <c r="Q299" s="1" t="s">
        <v>836</v>
      </c>
      <c r="R299" s="8">
        <f>(M299*P299)</f>
        <v>610.63</v>
      </c>
      <c r="AE299" s="64">
        <f t="shared" si="32"/>
        <v>0</v>
      </c>
      <c r="AG299" s="1" t="s">
        <v>2175</v>
      </c>
    </row>
    <row r="300" spans="1:33" ht="24" customHeight="1">
      <c r="A300" s="220">
        <f t="shared" si="34"/>
        <v>136</v>
      </c>
      <c r="B300" s="221" t="s">
        <v>1214</v>
      </c>
      <c r="C300" s="545">
        <v>7</v>
      </c>
      <c r="D300" s="221" t="s">
        <v>739</v>
      </c>
      <c r="F300" s="8">
        <v>3.4</v>
      </c>
      <c r="G300" s="7" t="s">
        <v>836</v>
      </c>
      <c r="H300" s="1" t="s">
        <v>1571</v>
      </c>
      <c r="I300" s="8">
        <f>(K52)</f>
        <v>3217.3</v>
      </c>
      <c r="J300" s="1" t="s">
        <v>836</v>
      </c>
      <c r="K300" s="8">
        <f t="shared" si="35"/>
        <v>10938.82</v>
      </c>
      <c r="M300" s="8">
        <v>1.1000000000000001</v>
      </c>
      <c r="N300" s="1" t="s">
        <v>835</v>
      </c>
      <c r="O300" s="1" t="s">
        <v>1938</v>
      </c>
      <c r="P300" s="8">
        <f>(C10)</f>
        <v>861</v>
      </c>
      <c r="Q300" s="1" t="s">
        <v>835</v>
      </c>
      <c r="R300" s="8">
        <f>(M300*P300)</f>
        <v>947.1</v>
      </c>
      <c r="AE300" s="64">
        <f t="shared" si="32"/>
        <v>0</v>
      </c>
      <c r="AG300" s="1" t="s">
        <v>2175</v>
      </c>
    </row>
    <row r="301" spans="1:33" ht="24" customHeight="1">
      <c r="A301" s="220">
        <f t="shared" si="34"/>
        <v>137</v>
      </c>
      <c r="B301" s="221" t="s">
        <v>1215</v>
      </c>
      <c r="C301" s="162">
        <v>2.2000000000000002</v>
      </c>
      <c r="D301" s="221" t="s">
        <v>739</v>
      </c>
      <c r="F301" s="8">
        <v>7.1</v>
      </c>
      <c r="G301" s="7" t="s">
        <v>835</v>
      </c>
      <c r="H301" s="1" t="s">
        <v>1938</v>
      </c>
      <c r="I301" s="8">
        <f>(C10)</f>
        <v>861</v>
      </c>
      <c r="J301" s="1" t="s">
        <v>835</v>
      </c>
      <c r="K301" s="8">
        <f t="shared" si="35"/>
        <v>6113.1</v>
      </c>
      <c r="M301" s="8">
        <v>0.5</v>
      </c>
      <c r="N301" s="1" t="s">
        <v>835</v>
      </c>
      <c r="O301" s="1" t="s">
        <v>1836</v>
      </c>
      <c r="P301" s="8">
        <f>(C12)</f>
        <v>562</v>
      </c>
      <c r="Q301" s="1" t="s">
        <v>835</v>
      </c>
      <c r="R301" s="8">
        <f>(M301*P301)</f>
        <v>281</v>
      </c>
      <c r="AE301" s="64">
        <f t="shared" si="32"/>
        <v>0</v>
      </c>
      <c r="AG301" s="1" t="s">
        <v>2175</v>
      </c>
    </row>
    <row r="302" spans="1:33" ht="24" customHeight="1">
      <c r="A302" s="220">
        <f t="shared" si="34"/>
        <v>138</v>
      </c>
      <c r="B302" s="221" t="s">
        <v>1392</v>
      </c>
      <c r="C302" s="162">
        <v>10.5</v>
      </c>
      <c r="D302" s="221" t="s">
        <v>739</v>
      </c>
      <c r="F302" s="8">
        <v>10.6</v>
      </c>
      <c r="G302" s="7" t="s">
        <v>835</v>
      </c>
      <c r="H302" s="1" t="s">
        <v>1654</v>
      </c>
      <c r="I302" s="8">
        <f>(C11)</f>
        <v>804</v>
      </c>
      <c r="J302" s="1" t="s">
        <v>835</v>
      </c>
      <c r="K302" s="8">
        <f t="shared" si="35"/>
        <v>8522.4</v>
      </c>
      <c r="M302" s="8">
        <v>1.1000000000000001</v>
      </c>
      <c r="N302" s="1" t="s">
        <v>835</v>
      </c>
      <c r="O302" s="1" t="s">
        <v>299</v>
      </c>
      <c r="P302" s="8">
        <f>(C13)</f>
        <v>461</v>
      </c>
      <c r="Q302" s="1" t="s">
        <v>835</v>
      </c>
      <c r="R302" s="8">
        <f>(M302*P302)</f>
        <v>507.1</v>
      </c>
      <c r="AE302" s="64">
        <f t="shared" si="32"/>
        <v>0</v>
      </c>
      <c r="AG302" s="1" t="s">
        <v>2175</v>
      </c>
    </row>
    <row r="303" spans="1:33" ht="24" customHeight="1">
      <c r="A303" s="220">
        <f t="shared" si="34"/>
        <v>139</v>
      </c>
      <c r="B303" s="221" t="s">
        <v>1393</v>
      </c>
      <c r="C303" s="162">
        <v>5.5</v>
      </c>
      <c r="D303" s="221" t="s">
        <v>739</v>
      </c>
      <c r="F303" s="8">
        <v>14.1</v>
      </c>
      <c r="G303" s="7" t="s">
        <v>835</v>
      </c>
      <c r="H303" s="1" t="s">
        <v>1836</v>
      </c>
      <c r="I303" s="8">
        <f>(C12)</f>
        <v>562</v>
      </c>
      <c r="J303" s="1" t="s">
        <v>835</v>
      </c>
      <c r="K303" s="8">
        <f t="shared" si="35"/>
        <v>7924.2</v>
      </c>
      <c r="N303" s="1" t="s">
        <v>419</v>
      </c>
      <c r="O303" s="1" t="s">
        <v>420</v>
      </c>
      <c r="P303" s="1" t="s">
        <v>940</v>
      </c>
      <c r="Q303" s="1" t="s">
        <v>419</v>
      </c>
      <c r="R303" s="8">
        <v>0</v>
      </c>
      <c r="AE303" s="64">
        <f t="shared" si="32"/>
        <v>0</v>
      </c>
      <c r="AG303" s="1" t="s">
        <v>2175</v>
      </c>
    </row>
    <row r="304" spans="1:33" ht="24" customHeight="1">
      <c r="A304" s="220">
        <f t="shared" si="34"/>
        <v>140</v>
      </c>
      <c r="B304" s="221" t="s">
        <v>459</v>
      </c>
      <c r="C304" s="162">
        <v>21</v>
      </c>
      <c r="D304" s="221" t="s">
        <v>739</v>
      </c>
      <c r="F304" s="8">
        <v>14.1</v>
      </c>
      <c r="G304" s="7" t="s">
        <v>835</v>
      </c>
      <c r="H304" s="1" t="s">
        <v>299</v>
      </c>
      <c r="I304" s="8">
        <f>(C13)</f>
        <v>461</v>
      </c>
      <c r="J304" s="1" t="s">
        <v>835</v>
      </c>
      <c r="K304" s="8">
        <f t="shared" si="35"/>
        <v>6500.1</v>
      </c>
      <c r="R304" s="5" t="s">
        <v>1530</v>
      </c>
      <c r="AE304" s="64">
        <f t="shared" si="32"/>
        <v>0</v>
      </c>
      <c r="AG304" s="1" t="s">
        <v>2175</v>
      </c>
    </row>
    <row r="305" spans="1:33" ht="24" customHeight="1">
      <c r="A305" s="220">
        <f t="shared" si="34"/>
        <v>141</v>
      </c>
      <c r="B305" s="221" t="s">
        <v>460</v>
      </c>
      <c r="C305" s="162">
        <v>10</v>
      </c>
      <c r="D305" s="221" t="s">
        <v>739</v>
      </c>
      <c r="G305" s="7" t="s">
        <v>419</v>
      </c>
      <c r="H305" s="1" t="s">
        <v>420</v>
      </c>
      <c r="J305" s="1" t="s">
        <v>419</v>
      </c>
      <c r="K305" s="8">
        <v>0</v>
      </c>
      <c r="O305" s="1" t="s">
        <v>940</v>
      </c>
      <c r="R305" s="8">
        <f>SUM(R299:R303)</f>
        <v>2345.83</v>
      </c>
      <c r="AE305" s="64">
        <f t="shared" si="32"/>
        <v>0</v>
      </c>
      <c r="AG305" s="1" t="s">
        <v>2175</v>
      </c>
    </row>
    <row r="306" spans="1:33" ht="24" customHeight="1">
      <c r="A306" s="220">
        <f t="shared" si="34"/>
        <v>142</v>
      </c>
      <c r="B306" s="221" t="s">
        <v>1742</v>
      </c>
      <c r="C306" s="162">
        <v>4</v>
      </c>
      <c r="D306" s="221" t="s">
        <v>739</v>
      </c>
      <c r="K306" s="5" t="s">
        <v>1530</v>
      </c>
      <c r="R306" s="5" t="s">
        <v>1530</v>
      </c>
      <c r="AE306" s="64">
        <f t="shared" si="32"/>
        <v>0</v>
      </c>
      <c r="AG306" s="1" t="s">
        <v>2175</v>
      </c>
    </row>
    <row r="307" spans="1:33" ht="24" customHeight="1">
      <c r="A307" s="220">
        <f t="shared" si="34"/>
        <v>143</v>
      </c>
      <c r="B307" s="221" t="s">
        <v>1111</v>
      </c>
      <c r="C307" s="162">
        <v>8</v>
      </c>
      <c r="D307" s="221" t="s">
        <v>835</v>
      </c>
      <c r="H307" s="1" t="s">
        <v>583</v>
      </c>
      <c r="K307" s="8">
        <f>SUM(K298:K305)</f>
        <v>46733.8</v>
      </c>
      <c r="O307" s="1" t="s">
        <v>521</v>
      </c>
      <c r="R307" s="8">
        <f>(R305/10)</f>
        <v>234.58</v>
      </c>
      <c r="AE307" s="64">
        <f t="shared" si="32"/>
        <v>0</v>
      </c>
      <c r="AG307" s="1" t="s">
        <v>2175</v>
      </c>
    </row>
    <row r="308" spans="1:33" ht="24" customHeight="1">
      <c r="A308" s="220">
        <f t="shared" si="34"/>
        <v>144</v>
      </c>
      <c r="B308" s="221" t="s">
        <v>1112</v>
      </c>
      <c r="C308" s="162">
        <v>8.5</v>
      </c>
      <c r="D308" s="221" t="s">
        <v>739</v>
      </c>
      <c r="K308" s="5" t="s">
        <v>1530</v>
      </c>
      <c r="N308" s="1" t="s">
        <v>2167</v>
      </c>
      <c r="O308" s="1" t="s">
        <v>461</v>
      </c>
      <c r="R308" s="5" t="s">
        <v>1980</v>
      </c>
      <c r="AE308" s="64">
        <f t="shared" si="32"/>
        <v>0</v>
      </c>
      <c r="AG308" s="1" t="s">
        <v>2175</v>
      </c>
    </row>
    <row r="309" spans="1:33" ht="24" customHeight="1">
      <c r="A309" s="220">
        <f t="shared" si="34"/>
        <v>145</v>
      </c>
      <c r="B309" s="221" t="s">
        <v>573</v>
      </c>
      <c r="C309" s="162">
        <v>2.8</v>
      </c>
      <c r="D309" s="221" t="s">
        <v>739</v>
      </c>
      <c r="H309" s="59" t="s">
        <v>743</v>
      </c>
      <c r="K309" s="39">
        <f>(K307/10)</f>
        <v>4673.38</v>
      </c>
      <c r="O309" s="5" t="s">
        <v>1530</v>
      </c>
      <c r="AE309" s="64">
        <f t="shared" si="32"/>
        <v>0</v>
      </c>
      <c r="AG309" s="1" t="s">
        <v>2175</v>
      </c>
    </row>
    <row r="310" spans="1:33" ht="24" customHeight="1">
      <c r="A310" s="220">
        <f t="shared" si="34"/>
        <v>146</v>
      </c>
      <c r="B310" s="221" t="s">
        <v>1915</v>
      </c>
      <c r="C310" s="162">
        <v>1.8</v>
      </c>
      <c r="D310" s="221" t="s">
        <v>739</v>
      </c>
      <c r="K310" s="5" t="s">
        <v>1980</v>
      </c>
      <c r="M310" s="8">
        <v>0.14000000000000001</v>
      </c>
      <c r="N310" s="1" t="s">
        <v>836</v>
      </c>
      <c r="O310" s="1" t="s">
        <v>117</v>
      </c>
      <c r="P310" s="8">
        <f>(K23)</f>
        <v>5792.02</v>
      </c>
      <c r="Q310" s="1" t="s">
        <v>836</v>
      </c>
      <c r="R310" s="8">
        <f>(M310*P310)</f>
        <v>810.88</v>
      </c>
      <c r="AE310" s="64">
        <f t="shared" si="32"/>
        <v>0</v>
      </c>
      <c r="AG310" s="1" t="s">
        <v>2175</v>
      </c>
    </row>
    <row r="311" spans="1:33" ht="24" customHeight="1">
      <c r="A311" s="220">
        <f t="shared" si="34"/>
        <v>147</v>
      </c>
      <c r="B311" s="545" t="s">
        <v>4134</v>
      </c>
      <c r="C311" s="545">
        <v>3</v>
      </c>
      <c r="D311" s="221" t="s">
        <v>739</v>
      </c>
      <c r="F311" s="25">
        <v>6.5</v>
      </c>
      <c r="G311" s="7" t="s">
        <v>2167</v>
      </c>
      <c r="H311" s="1" t="s">
        <v>2749</v>
      </c>
      <c r="M311" s="8">
        <v>1.1000000000000001</v>
      </c>
      <c r="N311" s="1" t="s">
        <v>835</v>
      </c>
      <c r="O311" s="1" t="s">
        <v>1938</v>
      </c>
      <c r="P311" s="8">
        <f>(C10)</f>
        <v>861</v>
      </c>
      <c r="Q311" s="1" t="s">
        <v>835</v>
      </c>
      <c r="R311" s="8">
        <f>(M311*P311)</f>
        <v>947.1</v>
      </c>
      <c r="S311" s="51">
        <v>6.1</v>
      </c>
      <c r="T311" t="s">
        <v>2167</v>
      </c>
      <c r="U311" t="s">
        <v>2153</v>
      </c>
      <c r="AB311" s="12">
        <v>6</v>
      </c>
      <c r="AC311" s="7" t="s">
        <v>2167</v>
      </c>
      <c r="AD311" s="1" t="s">
        <v>3461</v>
      </c>
      <c r="AF311" s="11"/>
    </row>
    <row r="312" spans="1:33" ht="24" customHeight="1">
      <c r="A312" s="220">
        <f t="shared" si="34"/>
        <v>148</v>
      </c>
      <c r="B312" s="221" t="s">
        <v>1917</v>
      </c>
      <c r="C312" s="449" t="s">
        <v>940</v>
      </c>
      <c r="D312" s="450"/>
      <c r="H312" s="1" t="s">
        <v>2853</v>
      </c>
      <c r="M312" s="8">
        <v>0.5</v>
      </c>
      <c r="N312" s="1" t="s">
        <v>835</v>
      </c>
      <c r="O312" s="1" t="s">
        <v>1836</v>
      </c>
      <c r="P312" s="8">
        <f>(C12)</f>
        <v>562</v>
      </c>
      <c r="Q312" s="1" t="s">
        <v>835</v>
      </c>
      <c r="R312" s="8">
        <f>(M312*P312)</f>
        <v>281</v>
      </c>
      <c r="U312" t="s">
        <v>396</v>
      </c>
      <c r="AC312" s="3"/>
      <c r="AD312" s="1" t="s">
        <v>3462</v>
      </c>
      <c r="AF312" s="11"/>
    </row>
    <row r="313" spans="1:33" ht="24" customHeight="1">
      <c r="A313" s="220">
        <f t="shared" si="34"/>
        <v>149</v>
      </c>
      <c r="B313" s="221" t="s">
        <v>225</v>
      </c>
      <c r="C313" s="901">
        <v>66.44</v>
      </c>
      <c r="D313" s="543" t="s">
        <v>1714</v>
      </c>
      <c r="H313" s="5" t="s">
        <v>1530</v>
      </c>
      <c r="M313" s="8">
        <v>1.1000000000000001</v>
      </c>
      <c r="N313" s="1" t="s">
        <v>835</v>
      </c>
      <c r="O313" s="1" t="s">
        <v>299</v>
      </c>
      <c r="P313" s="8">
        <f>(C13)</f>
        <v>461</v>
      </c>
      <c r="Q313" s="1" t="s">
        <v>835</v>
      </c>
      <c r="R313" s="8">
        <f>(M313*P313)</f>
        <v>507.1</v>
      </c>
      <c r="U313" t="s">
        <v>1530</v>
      </c>
      <c r="AC313" s="3"/>
      <c r="AD313" s="5" t="s">
        <v>1530</v>
      </c>
      <c r="AF313" s="11"/>
    </row>
    <row r="314" spans="1:33" ht="24" customHeight="1">
      <c r="A314" s="220">
        <f t="shared" si="34"/>
        <v>150</v>
      </c>
      <c r="B314" s="221" t="s">
        <v>226</v>
      </c>
      <c r="C314" s="901">
        <v>83.5</v>
      </c>
      <c r="D314" s="543" t="s">
        <v>1714</v>
      </c>
      <c r="F314" s="8">
        <v>4800</v>
      </c>
      <c r="G314" s="7" t="s">
        <v>1368</v>
      </c>
      <c r="H314" s="8" t="str">
        <f>H312</f>
        <v>Bricks of size 22x11x7 cm</v>
      </c>
      <c r="I314" s="8">
        <f>C83</f>
        <v>5598.17</v>
      </c>
      <c r="J314" s="1" t="s">
        <v>1538</v>
      </c>
      <c r="K314" s="8">
        <f>(F314*I314)/1000</f>
        <v>26871.22</v>
      </c>
      <c r="N314" s="1" t="s">
        <v>419</v>
      </c>
      <c r="O314" s="1" t="s">
        <v>420</v>
      </c>
      <c r="P314" s="1" t="s">
        <v>940</v>
      </c>
      <c r="Q314" s="1" t="s">
        <v>419</v>
      </c>
      <c r="R314" s="8">
        <v>0</v>
      </c>
      <c r="S314" s="51">
        <v>4600</v>
      </c>
      <c r="T314" t="s">
        <v>1368</v>
      </c>
      <c r="U314" t="s">
        <v>396</v>
      </c>
      <c r="V314" s="33">
        <f>AC44</f>
        <v>6435</v>
      </c>
      <c r="W314" s="51" t="s">
        <v>1242</v>
      </c>
      <c r="X314">
        <f>(V314*S314)/1000</f>
        <v>29601</v>
      </c>
      <c r="AB314" s="8">
        <v>4240</v>
      </c>
      <c r="AC314" s="7" t="s">
        <v>1368</v>
      </c>
      <c r="AD314" s="8" t="str">
        <f>AD312</f>
        <v>Bricks of size 23x11.4x7.5 cm</v>
      </c>
      <c r="AE314" s="8">
        <f>AC45</f>
        <v>6630</v>
      </c>
      <c r="AF314" s="1" t="s">
        <v>1538</v>
      </c>
      <c r="AG314" s="8">
        <f>(AB314*AE314)/1000</f>
        <v>28111.200000000001</v>
      </c>
    </row>
    <row r="315" spans="1:33" ht="24" customHeight="1">
      <c r="A315" s="220">
        <f t="shared" si="34"/>
        <v>151</v>
      </c>
      <c r="B315" s="221" t="s">
        <v>227</v>
      </c>
      <c r="C315" s="901">
        <v>102.12</v>
      </c>
      <c r="D315" s="543" t="s">
        <v>1714</v>
      </c>
      <c r="F315" s="8">
        <v>2.5</v>
      </c>
      <c r="G315" s="7" t="s">
        <v>836</v>
      </c>
      <c r="H315" s="1" t="s">
        <v>1571</v>
      </c>
      <c r="I315" s="8">
        <f>K52</f>
        <v>3217.3</v>
      </c>
      <c r="J315" s="1" t="s">
        <v>836</v>
      </c>
      <c r="K315" s="8">
        <f>(F315*I315)</f>
        <v>8043.25</v>
      </c>
      <c r="R315" s="5" t="s">
        <v>1530</v>
      </c>
      <c r="S315" s="51">
        <v>2.5</v>
      </c>
      <c r="T315" t="s">
        <v>836</v>
      </c>
      <c r="U315" t="s">
        <v>1571</v>
      </c>
      <c r="V315" s="33">
        <f>K52</f>
        <v>3217.3</v>
      </c>
      <c r="W315" t="s">
        <v>836</v>
      </c>
      <c r="X315">
        <f>V315*S315</f>
        <v>8043.25</v>
      </c>
      <c r="AB315" s="8">
        <v>2</v>
      </c>
      <c r="AC315" s="7" t="s">
        <v>836</v>
      </c>
      <c r="AD315" s="1" t="s">
        <v>1571</v>
      </c>
      <c r="AE315" s="8">
        <f>K52</f>
        <v>3217.3</v>
      </c>
      <c r="AF315" s="1" t="s">
        <v>836</v>
      </c>
      <c r="AG315" s="8">
        <f>(AB315*AE315)</f>
        <v>6434.6</v>
      </c>
    </row>
    <row r="316" spans="1:33" ht="24" customHeight="1">
      <c r="A316" s="220">
        <f t="shared" si="34"/>
        <v>152</v>
      </c>
      <c r="B316" s="221" t="s">
        <v>2139</v>
      </c>
      <c r="C316" s="901">
        <v>182.52</v>
      </c>
      <c r="D316" s="543" t="s">
        <v>1714</v>
      </c>
      <c r="F316" s="8">
        <v>3.5</v>
      </c>
      <c r="G316" s="7" t="s">
        <v>835</v>
      </c>
      <c r="H316" s="1" t="s">
        <v>1938</v>
      </c>
      <c r="I316" s="8">
        <f>C10</f>
        <v>861</v>
      </c>
      <c r="J316" s="1" t="s">
        <v>835</v>
      </c>
      <c r="K316" s="8">
        <f>(F316*I316)</f>
        <v>3013.5</v>
      </c>
      <c r="O316" s="1" t="s">
        <v>411</v>
      </c>
      <c r="R316" s="8">
        <f>SUM(R310:R314)</f>
        <v>2546.08</v>
      </c>
      <c r="S316" s="51">
        <v>3.5</v>
      </c>
      <c r="T316" t="s">
        <v>835</v>
      </c>
      <c r="U316" t="s">
        <v>1938</v>
      </c>
      <c r="V316" s="33">
        <f>I316</f>
        <v>861</v>
      </c>
      <c r="W316" t="s">
        <v>835</v>
      </c>
      <c r="X316">
        <f>V316*S316</f>
        <v>3013.5</v>
      </c>
      <c r="AB316" s="8">
        <v>3.5</v>
      </c>
      <c r="AC316" s="7" t="s">
        <v>835</v>
      </c>
      <c r="AD316" s="1" t="s">
        <v>1938</v>
      </c>
      <c r="AE316" s="8">
        <f>V316</f>
        <v>861</v>
      </c>
      <c r="AF316" s="1" t="s">
        <v>835</v>
      </c>
      <c r="AG316" s="8">
        <f>(AB316*AE316)</f>
        <v>3013.5</v>
      </c>
    </row>
    <row r="317" spans="1:33" ht="24" customHeight="1">
      <c r="A317" s="220">
        <f t="shared" si="34"/>
        <v>153</v>
      </c>
      <c r="B317" s="221" t="s">
        <v>2140</v>
      </c>
      <c r="C317" s="902"/>
      <c r="D317" s="544"/>
      <c r="F317" s="8">
        <v>10.6</v>
      </c>
      <c r="G317" s="7" t="s">
        <v>835</v>
      </c>
      <c r="H317" s="1" t="s">
        <v>1654</v>
      </c>
      <c r="I317" s="8">
        <f>C11</f>
        <v>804</v>
      </c>
      <c r="J317" s="1" t="s">
        <v>835</v>
      </c>
      <c r="K317" s="8">
        <f>(F317*I317)</f>
        <v>8522.4</v>
      </c>
      <c r="R317" s="5" t="s">
        <v>1530</v>
      </c>
      <c r="S317" s="51">
        <v>10.6</v>
      </c>
      <c r="T317" t="s">
        <v>835</v>
      </c>
      <c r="U317" t="s">
        <v>1654</v>
      </c>
      <c r="V317" s="33">
        <f>I317</f>
        <v>804</v>
      </c>
      <c r="W317" t="s">
        <v>835</v>
      </c>
      <c r="X317">
        <f>V317*S317</f>
        <v>8522.4</v>
      </c>
      <c r="AB317" s="8">
        <v>10.6</v>
      </c>
      <c r="AC317" s="7" t="s">
        <v>835</v>
      </c>
      <c r="AD317" s="1" t="s">
        <v>1654</v>
      </c>
      <c r="AE317" s="8">
        <f>V317</f>
        <v>804</v>
      </c>
      <c r="AF317" s="1" t="s">
        <v>835</v>
      </c>
      <c r="AG317" s="8">
        <f>(AB317*AE317)</f>
        <v>8522.4</v>
      </c>
    </row>
    <row r="318" spans="1:33" ht="24" customHeight="1">
      <c r="A318" s="220">
        <f t="shared" si="34"/>
        <v>154</v>
      </c>
      <c r="B318" s="221" t="s">
        <v>225</v>
      </c>
      <c r="C318" s="901">
        <v>26.62</v>
      </c>
      <c r="D318" s="543" t="s">
        <v>739</v>
      </c>
      <c r="F318" s="8">
        <v>7.1</v>
      </c>
      <c r="G318" s="7" t="s">
        <v>835</v>
      </c>
      <c r="H318" s="1" t="s">
        <v>1836</v>
      </c>
      <c r="I318" s="8">
        <f>C12</f>
        <v>562</v>
      </c>
      <c r="J318" s="1" t="s">
        <v>835</v>
      </c>
      <c r="K318" s="8">
        <f>(F318*I318)</f>
        <v>3990.2</v>
      </c>
      <c r="O318" s="1" t="s">
        <v>521</v>
      </c>
      <c r="R318" s="8">
        <f>(R316/10)</f>
        <v>254.61</v>
      </c>
      <c r="S318" s="51">
        <v>7.1</v>
      </c>
      <c r="T318" t="s">
        <v>835</v>
      </c>
      <c r="U318" t="s">
        <v>1836</v>
      </c>
      <c r="V318" s="33">
        <f>I318</f>
        <v>562</v>
      </c>
      <c r="W318" t="s">
        <v>835</v>
      </c>
      <c r="X318">
        <f>V318*S318</f>
        <v>3990.2</v>
      </c>
      <c r="AB318" s="8">
        <v>7.1</v>
      </c>
      <c r="AC318" s="7" t="s">
        <v>835</v>
      </c>
      <c r="AD318" s="1" t="s">
        <v>1836</v>
      </c>
      <c r="AE318" s="8">
        <f>V318</f>
        <v>562</v>
      </c>
      <c r="AF318" s="1" t="s">
        <v>835</v>
      </c>
      <c r="AG318" s="8">
        <f>(AB318*AE318)</f>
        <v>3990.2</v>
      </c>
    </row>
    <row r="319" spans="1:33" ht="24" customHeight="1">
      <c r="A319" s="220">
        <f t="shared" si="34"/>
        <v>155</v>
      </c>
      <c r="B319" s="221" t="s">
        <v>226</v>
      </c>
      <c r="C319" s="901">
        <v>34.869999999999997</v>
      </c>
      <c r="D319" s="543" t="s">
        <v>739</v>
      </c>
      <c r="F319" s="8">
        <v>21.2</v>
      </c>
      <c r="G319" s="7" t="s">
        <v>835</v>
      </c>
      <c r="H319" s="1" t="s">
        <v>299</v>
      </c>
      <c r="I319" s="8">
        <f>C13</f>
        <v>461</v>
      </c>
      <c r="J319" s="1" t="s">
        <v>835</v>
      </c>
      <c r="K319" s="8">
        <f>(F319*I319)</f>
        <v>9773.2000000000007</v>
      </c>
      <c r="R319" s="5" t="s">
        <v>1980</v>
      </c>
      <c r="S319" s="51">
        <v>21.2</v>
      </c>
      <c r="T319" t="s">
        <v>835</v>
      </c>
      <c r="U319" t="s">
        <v>299</v>
      </c>
      <c r="V319" s="33">
        <f>I319</f>
        <v>461</v>
      </c>
      <c r="W319" t="s">
        <v>835</v>
      </c>
      <c r="X319">
        <f>V319*S319</f>
        <v>9773.2000000000007</v>
      </c>
      <c r="AB319" s="8">
        <v>21.2</v>
      </c>
      <c r="AC319" s="7" t="s">
        <v>835</v>
      </c>
      <c r="AD319" s="1" t="s">
        <v>299</v>
      </c>
      <c r="AE319" s="8">
        <f>V319</f>
        <v>461</v>
      </c>
      <c r="AF319" s="1" t="s">
        <v>835</v>
      </c>
      <c r="AG319" s="8">
        <f>(AB319*AE319)</f>
        <v>9773.2000000000007</v>
      </c>
    </row>
    <row r="320" spans="1:33" ht="24" customHeight="1">
      <c r="A320" s="220">
        <f t="shared" si="34"/>
        <v>156</v>
      </c>
      <c r="B320" s="221" t="s">
        <v>227</v>
      </c>
      <c r="C320" s="901">
        <v>45</v>
      </c>
      <c r="D320" s="543" t="s">
        <v>739</v>
      </c>
      <c r="G320" s="7" t="s">
        <v>419</v>
      </c>
      <c r="H320" s="1" t="s">
        <v>420</v>
      </c>
      <c r="J320" s="1" t="s">
        <v>419</v>
      </c>
      <c r="K320" s="8">
        <v>0</v>
      </c>
      <c r="N320" s="1" t="s">
        <v>2167</v>
      </c>
      <c r="O320" s="1" t="s">
        <v>2141</v>
      </c>
      <c r="T320" t="s">
        <v>419</v>
      </c>
      <c r="U320" t="s">
        <v>420</v>
      </c>
      <c r="W320" t="s">
        <v>419</v>
      </c>
      <c r="X320">
        <v>0</v>
      </c>
      <c r="AC320" s="7" t="s">
        <v>419</v>
      </c>
      <c r="AD320" s="1" t="s">
        <v>420</v>
      </c>
      <c r="AF320" s="1" t="s">
        <v>419</v>
      </c>
      <c r="AG320" s="8">
        <v>0</v>
      </c>
    </row>
    <row r="321" spans="1:34" ht="24" customHeight="1">
      <c r="A321" s="220">
        <f t="shared" si="34"/>
        <v>157</v>
      </c>
      <c r="B321" s="221" t="s">
        <v>2139</v>
      </c>
      <c r="C321" s="901">
        <v>99.75</v>
      </c>
      <c r="D321" s="543" t="s">
        <v>739</v>
      </c>
      <c r="K321" s="5" t="s">
        <v>1530</v>
      </c>
      <c r="O321" s="5" t="s">
        <v>1530</v>
      </c>
      <c r="X321" t="s">
        <v>1530</v>
      </c>
      <c r="AC321" s="3"/>
      <c r="AF321" s="11"/>
      <c r="AG321" s="5" t="s">
        <v>1530</v>
      </c>
    </row>
    <row r="322" spans="1:34" ht="24" customHeight="1">
      <c r="A322" s="220">
        <f t="shared" si="34"/>
        <v>158</v>
      </c>
      <c r="B322" s="221" t="s">
        <v>2104</v>
      </c>
      <c r="C322" s="902"/>
      <c r="D322" s="544"/>
      <c r="H322" s="1" t="s">
        <v>583</v>
      </c>
      <c r="K322" s="8">
        <f>SUM(K314:K320)</f>
        <v>60213.77</v>
      </c>
      <c r="M322" s="8">
        <v>0.1</v>
      </c>
      <c r="N322" s="1" t="s">
        <v>836</v>
      </c>
      <c r="O322" s="1" t="s">
        <v>117</v>
      </c>
      <c r="P322" s="8">
        <f>(K23)</f>
        <v>5792.02</v>
      </c>
      <c r="Q322" s="1" t="s">
        <v>836</v>
      </c>
      <c r="R322" s="8">
        <f>(M322*P322)</f>
        <v>579.20000000000005</v>
      </c>
      <c r="U322" t="s">
        <v>583</v>
      </c>
      <c r="X322">
        <f>SUM(X314:X321)</f>
        <v>62943.55</v>
      </c>
      <c r="AC322" s="3"/>
      <c r="AD322" s="1" t="s">
        <v>583</v>
      </c>
      <c r="AF322" s="11"/>
      <c r="AG322" s="8">
        <f>SUM(AG314:AG320)</f>
        <v>59845.1</v>
      </c>
    </row>
    <row r="323" spans="1:34" ht="24" customHeight="1">
      <c r="A323" s="220">
        <f t="shared" si="34"/>
        <v>159</v>
      </c>
      <c r="B323" s="221" t="s">
        <v>225</v>
      </c>
      <c r="C323" s="901">
        <v>43.47</v>
      </c>
      <c r="D323" s="543" t="s">
        <v>739</v>
      </c>
      <c r="K323" s="5" t="s">
        <v>1530</v>
      </c>
      <c r="M323" s="8">
        <v>1.1000000000000001</v>
      </c>
      <c r="N323" s="1" t="s">
        <v>835</v>
      </c>
      <c r="O323" s="1" t="s">
        <v>1938</v>
      </c>
      <c r="P323" s="8">
        <f>(C10)</f>
        <v>861</v>
      </c>
      <c r="Q323" s="1" t="s">
        <v>835</v>
      </c>
      <c r="R323" s="8">
        <f>(M323*P323)</f>
        <v>947.1</v>
      </c>
      <c r="X323" t="s">
        <v>1530</v>
      </c>
      <c r="AC323" s="3"/>
      <c r="AF323" s="11"/>
      <c r="AG323" s="5" t="s">
        <v>1530</v>
      </c>
    </row>
    <row r="324" spans="1:34" ht="24" customHeight="1">
      <c r="A324" s="220">
        <f t="shared" si="34"/>
        <v>160</v>
      </c>
      <c r="B324" s="221" t="s">
        <v>226</v>
      </c>
      <c r="C324" s="901">
        <v>50.34</v>
      </c>
      <c r="D324" s="543" t="s">
        <v>739</v>
      </c>
      <c r="H324" s="59" t="s">
        <v>743</v>
      </c>
      <c r="K324" s="39">
        <f>(K322/10)</f>
        <v>6021.38</v>
      </c>
      <c r="M324" s="8">
        <v>1.1000000000000001</v>
      </c>
      <c r="N324" s="1" t="s">
        <v>835</v>
      </c>
      <c r="O324" s="1" t="s">
        <v>1836</v>
      </c>
      <c r="P324" s="8">
        <f>(C12)</f>
        <v>562</v>
      </c>
      <c r="Q324" s="1" t="s">
        <v>835</v>
      </c>
      <c r="R324" s="8">
        <f>(M324*P324)</f>
        <v>618.20000000000005</v>
      </c>
      <c r="U324" t="s">
        <v>743</v>
      </c>
      <c r="X324" s="37">
        <f>X322/10</f>
        <v>6294.36</v>
      </c>
      <c r="AC324" s="3"/>
      <c r="AD324" s="59" t="s">
        <v>743</v>
      </c>
      <c r="AF324" s="11"/>
      <c r="AG324" s="39">
        <f>(AG322/10)</f>
        <v>5984.51</v>
      </c>
    </row>
    <row r="325" spans="1:34" ht="24" customHeight="1">
      <c r="A325" s="220">
        <f t="shared" si="34"/>
        <v>161</v>
      </c>
      <c r="B325" s="221" t="s">
        <v>227</v>
      </c>
      <c r="C325" s="901">
        <v>65.209999999999994</v>
      </c>
      <c r="D325" s="543" t="s">
        <v>739</v>
      </c>
      <c r="K325" s="5" t="s">
        <v>1980</v>
      </c>
      <c r="M325" s="8">
        <v>1.1000000000000001</v>
      </c>
      <c r="N325" s="1" t="s">
        <v>835</v>
      </c>
      <c r="O325" s="1" t="s">
        <v>299</v>
      </c>
      <c r="P325" s="8">
        <f>(C13)</f>
        <v>461</v>
      </c>
      <c r="Q325" s="1" t="s">
        <v>835</v>
      </c>
      <c r="R325" s="8">
        <f>(M325*P325)</f>
        <v>507.1</v>
      </c>
      <c r="AC325" s="3"/>
      <c r="AF325" s="11"/>
      <c r="AG325" s="5" t="s">
        <v>1980</v>
      </c>
    </row>
    <row r="326" spans="1:34" ht="24" customHeight="1">
      <c r="A326" s="220">
        <f t="shared" si="34"/>
        <v>162</v>
      </c>
      <c r="B326" s="221" t="s">
        <v>2139</v>
      </c>
      <c r="C326" s="901">
        <v>145.29</v>
      </c>
      <c r="D326" s="543" t="s">
        <v>739</v>
      </c>
      <c r="H326" s="1" t="s">
        <v>361</v>
      </c>
      <c r="K326" s="8">
        <f>(K324+C19)</f>
        <v>6089.38</v>
      </c>
      <c r="L326">
        <f>K326-K324</f>
        <v>68</v>
      </c>
      <c r="N326" s="1" t="s">
        <v>419</v>
      </c>
      <c r="O326" s="1" t="s">
        <v>420</v>
      </c>
      <c r="P326" s="1" t="s">
        <v>940</v>
      </c>
      <c r="Q326" s="1" t="s">
        <v>419</v>
      </c>
      <c r="R326" s="8">
        <v>0</v>
      </c>
      <c r="U326" t="s">
        <v>361</v>
      </c>
      <c r="X326">
        <f>X324+C19</f>
        <v>6362.36</v>
      </c>
      <c r="Y326">
        <f>X326-X324</f>
        <v>68</v>
      </c>
      <c r="AC326" s="3"/>
      <c r="AD326" s="1" t="s">
        <v>361</v>
      </c>
      <c r="AF326" s="11"/>
      <c r="AG326" s="8">
        <f>AG324+C19</f>
        <v>6052.51</v>
      </c>
      <c r="AH326">
        <f>AG326-AG324</f>
        <v>68</v>
      </c>
    </row>
    <row r="327" spans="1:34" ht="24" customHeight="1">
      <c r="A327" s="220">
        <f t="shared" si="34"/>
        <v>163</v>
      </c>
      <c r="B327" s="221" t="s">
        <v>2105</v>
      </c>
      <c r="C327" s="902"/>
      <c r="D327" s="544"/>
      <c r="H327" s="1" t="s">
        <v>363</v>
      </c>
      <c r="K327" s="8">
        <f>(K326+C20)</f>
        <v>6226.58</v>
      </c>
      <c r="L327">
        <f>K327-K326</f>
        <v>137.19999999999999</v>
      </c>
      <c r="R327" s="5" t="s">
        <v>1530</v>
      </c>
      <c r="U327" t="s">
        <v>363</v>
      </c>
      <c r="X327">
        <f>X326+C20</f>
        <v>6499.56</v>
      </c>
      <c r="Y327">
        <f>X327-X326</f>
        <v>137.19999999999999</v>
      </c>
      <c r="AC327" s="3"/>
      <c r="AD327" s="1" t="s">
        <v>363</v>
      </c>
      <c r="AF327" s="11"/>
      <c r="AG327" s="8">
        <f>AG326+C20</f>
        <v>6189.71</v>
      </c>
      <c r="AH327">
        <f>AG327-AG326</f>
        <v>137.19999999999999</v>
      </c>
    </row>
    <row r="328" spans="1:34" ht="24" customHeight="1">
      <c r="A328" s="220">
        <f t="shared" si="34"/>
        <v>164</v>
      </c>
      <c r="B328" s="221" t="s">
        <v>225</v>
      </c>
      <c r="C328" s="901">
        <v>14.91</v>
      </c>
      <c r="D328" s="543" t="s">
        <v>1714</v>
      </c>
      <c r="H328" s="1" t="s">
        <v>2149</v>
      </c>
      <c r="K328" s="8">
        <f>(K327+C21)</f>
        <v>6363.78</v>
      </c>
      <c r="M328">
        <f>(K328+K327)/2</f>
        <v>6295.18</v>
      </c>
      <c r="O328" s="1" t="s">
        <v>411</v>
      </c>
      <c r="R328" s="8">
        <f>SUM(R322:R326)</f>
        <v>2651.6</v>
      </c>
      <c r="U328" t="s">
        <v>2149</v>
      </c>
      <c r="X328">
        <f>X327+C20</f>
        <v>6636.76</v>
      </c>
      <c r="AC328" s="3"/>
      <c r="AD328" s="1" t="s">
        <v>2149</v>
      </c>
      <c r="AF328" s="11"/>
      <c r="AG328" s="8">
        <f>AG327+C20</f>
        <v>6326.91</v>
      </c>
      <c r="AH328">
        <f>AG327-AG326</f>
        <v>137.19999999999999</v>
      </c>
    </row>
    <row r="329" spans="1:34" ht="24" customHeight="1">
      <c r="A329" s="220">
        <f t="shared" si="34"/>
        <v>165</v>
      </c>
      <c r="B329" s="221" t="s">
        <v>226</v>
      </c>
      <c r="C329" s="901">
        <v>19.41</v>
      </c>
      <c r="D329" s="543" t="s">
        <v>1714</v>
      </c>
      <c r="H329" s="1" t="s">
        <v>355</v>
      </c>
      <c r="K329" s="8">
        <f>(K328+C21)</f>
        <v>6500.98</v>
      </c>
      <c r="R329" s="5" t="s">
        <v>1530</v>
      </c>
      <c r="U329" t="s">
        <v>355</v>
      </c>
      <c r="X329">
        <f>X328+C20</f>
        <v>6773.96</v>
      </c>
      <c r="AC329" s="3"/>
      <c r="AD329" s="1" t="s">
        <v>355</v>
      </c>
      <c r="AF329" s="11"/>
      <c r="AG329" s="8">
        <f>AG328+C20</f>
        <v>6464.11</v>
      </c>
    </row>
    <row r="330" spans="1:34" ht="24" customHeight="1">
      <c r="A330" s="220">
        <f t="shared" si="34"/>
        <v>166</v>
      </c>
      <c r="B330" s="221" t="s">
        <v>227</v>
      </c>
      <c r="C330" s="901">
        <v>22.22</v>
      </c>
      <c r="D330" s="543" t="s">
        <v>1714</v>
      </c>
      <c r="H330" s="1" t="s">
        <v>453</v>
      </c>
      <c r="K330" s="8">
        <f>(K329+C21)</f>
        <v>6638.18</v>
      </c>
      <c r="O330" s="1" t="s">
        <v>521</v>
      </c>
      <c r="R330" s="8">
        <f>(R328/10)</f>
        <v>265.16000000000003</v>
      </c>
      <c r="U330" t="s">
        <v>453</v>
      </c>
      <c r="X330">
        <f>X329+C20</f>
        <v>6911.16</v>
      </c>
      <c r="AC330" s="3"/>
      <c r="AD330" s="1" t="s">
        <v>453</v>
      </c>
      <c r="AF330" s="11"/>
      <c r="AG330" s="8">
        <f>AG329+C20</f>
        <v>6601.31</v>
      </c>
    </row>
    <row r="331" spans="1:34" ht="24" customHeight="1">
      <c r="A331" s="220"/>
      <c r="B331" s="221"/>
      <c r="C331" s="901"/>
      <c r="D331" s="543"/>
      <c r="H331" s="1"/>
      <c r="K331" s="8"/>
      <c r="O331" s="1"/>
      <c r="R331" s="8"/>
      <c r="AE331" s="52"/>
      <c r="AG331" s="1"/>
    </row>
    <row r="332" spans="1:34" ht="24" customHeight="1">
      <c r="A332" s="220"/>
      <c r="B332" s="221"/>
      <c r="C332" s="901"/>
      <c r="D332" s="543"/>
      <c r="F332" s="2" t="s">
        <v>607</v>
      </c>
      <c r="H332" s="1" t="s">
        <v>1551</v>
      </c>
      <c r="K332" s="739">
        <v>712</v>
      </c>
      <c r="L332" t="s">
        <v>1069</v>
      </c>
      <c r="O332" s="1"/>
      <c r="R332" s="8"/>
      <c r="AE332" s="52"/>
      <c r="AG332" s="1"/>
    </row>
    <row r="333" spans="1:34" ht="24" customHeight="1">
      <c r="A333" s="220"/>
      <c r="B333" s="221"/>
      <c r="C333" s="901"/>
      <c r="D333" s="543"/>
      <c r="H333" s="1" t="s">
        <v>4710</v>
      </c>
      <c r="K333" s="5" t="s">
        <v>1980</v>
      </c>
      <c r="O333" s="1"/>
      <c r="R333" s="8"/>
      <c r="AE333" s="52"/>
      <c r="AG333" s="1"/>
    </row>
    <row r="334" spans="1:34" ht="24" customHeight="1">
      <c r="A334" s="220"/>
      <c r="B334" s="221"/>
      <c r="C334" s="901"/>
      <c r="D334" s="543"/>
      <c r="H334" s="1"/>
      <c r="K334" s="8"/>
      <c r="O334" s="1"/>
      <c r="R334" s="8"/>
      <c r="AE334" s="52"/>
      <c r="AG334" s="1"/>
    </row>
    <row r="335" spans="1:34" ht="24" customHeight="1">
      <c r="A335" s="220">
        <f>(A330+1)</f>
        <v>167</v>
      </c>
      <c r="B335" s="221" t="s">
        <v>2139</v>
      </c>
      <c r="C335" s="901">
        <v>46.42</v>
      </c>
      <c r="D335" s="543" t="s">
        <v>1714</v>
      </c>
      <c r="F335" s="12">
        <v>9</v>
      </c>
      <c r="G335" s="7" t="s">
        <v>2167</v>
      </c>
      <c r="H335" s="1" t="s">
        <v>2750</v>
      </c>
      <c r="R335" s="5" t="s">
        <v>1980</v>
      </c>
      <c r="S335" s="51">
        <v>9</v>
      </c>
      <c r="T335" t="s">
        <v>2167</v>
      </c>
      <c r="U335" t="s">
        <v>2152</v>
      </c>
      <c r="AB335" s="12">
        <v>9</v>
      </c>
      <c r="AC335" s="7" t="s">
        <v>2167</v>
      </c>
      <c r="AD335" s="1" t="s">
        <v>3463</v>
      </c>
      <c r="AF335" s="11"/>
    </row>
    <row r="336" spans="1:34" ht="24" customHeight="1">
      <c r="A336" s="220">
        <f t="shared" si="34"/>
        <v>168</v>
      </c>
      <c r="B336" s="221" t="s">
        <v>2106</v>
      </c>
      <c r="C336" s="902"/>
      <c r="D336" s="544"/>
      <c r="H336" s="1" t="str">
        <f>H312</f>
        <v>Bricks of size 22x11x7 cm</v>
      </c>
      <c r="U336" t="s">
        <v>396</v>
      </c>
      <c r="AC336" s="3"/>
      <c r="AD336" s="1" t="str">
        <f>AD312</f>
        <v>Bricks of size 23x11.4x7.5 cm</v>
      </c>
      <c r="AF336" s="11"/>
    </row>
    <row r="337" spans="1:33" ht="24" customHeight="1">
      <c r="A337" s="220">
        <f t="shared" si="34"/>
        <v>169</v>
      </c>
      <c r="B337" s="221" t="s">
        <v>225</v>
      </c>
      <c r="C337" s="901">
        <v>8.58</v>
      </c>
      <c r="D337" s="543" t="s">
        <v>739</v>
      </c>
      <c r="H337" s="5" t="s">
        <v>1530</v>
      </c>
      <c r="N337" s="1" t="s">
        <v>2167</v>
      </c>
      <c r="O337" s="1" t="s">
        <v>2107</v>
      </c>
      <c r="U337" t="s">
        <v>1530</v>
      </c>
      <c r="AC337" s="3"/>
      <c r="AD337" s="5" t="s">
        <v>1530</v>
      </c>
      <c r="AF337" s="11"/>
    </row>
    <row r="338" spans="1:33" ht="24" customHeight="1">
      <c r="A338" s="220">
        <f t="shared" si="34"/>
        <v>170</v>
      </c>
      <c r="B338" s="221" t="s">
        <v>226</v>
      </c>
      <c r="C338" s="901">
        <v>12.26</v>
      </c>
      <c r="D338" s="543" t="s">
        <v>739</v>
      </c>
      <c r="F338" s="8">
        <f>F314</f>
        <v>4800</v>
      </c>
      <c r="G338" s="7" t="s">
        <v>1368</v>
      </c>
      <c r="H338" s="8" t="str">
        <f>H312</f>
        <v>Bricks of size 22x11x7 cm</v>
      </c>
      <c r="I338" s="8">
        <f>C83</f>
        <v>5598.17</v>
      </c>
      <c r="J338" s="1" t="s">
        <v>1538</v>
      </c>
      <c r="K338" s="8">
        <f>(F338*I338)/1000</f>
        <v>26871.22</v>
      </c>
      <c r="O338" s="5" t="s">
        <v>1530</v>
      </c>
      <c r="S338" s="51">
        <v>4600</v>
      </c>
      <c r="T338" t="s">
        <v>1368</v>
      </c>
      <c r="U338" t="s">
        <v>396</v>
      </c>
      <c r="V338">
        <f>AC44</f>
        <v>6435</v>
      </c>
      <c r="W338" t="s">
        <v>1538</v>
      </c>
      <c r="X338">
        <f>V338*S338/1000</f>
        <v>29601</v>
      </c>
      <c r="AB338" s="8">
        <f>AB314</f>
        <v>4240</v>
      </c>
      <c r="AC338" s="7" t="s">
        <v>1368</v>
      </c>
      <c r="AD338" s="8" t="str">
        <f>AD312</f>
        <v>Bricks of size 23x11.4x7.5 cm</v>
      </c>
      <c r="AE338" s="8">
        <f>AC45</f>
        <v>6630</v>
      </c>
      <c r="AF338" s="1" t="s">
        <v>1538</v>
      </c>
      <c r="AG338" s="8">
        <f>AE338*AB338/1000</f>
        <v>28111.200000000001</v>
      </c>
    </row>
    <row r="339" spans="1:33" ht="24" customHeight="1">
      <c r="A339" s="220">
        <f t="shared" si="34"/>
        <v>171</v>
      </c>
      <c r="B339" s="221" t="s">
        <v>227</v>
      </c>
      <c r="C339" s="901">
        <v>13.89</v>
      </c>
      <c r="D339" s="543" t="s">
        <v>739</v>
      </c>
      <c r="F339" s="8">
        <f>F315</f>
        <v>2.5</v>
      </c>
      <c r="G339" s="7" t="s">
        <v>836</v>
      </c>
      <c r="H339" s="1" t="s">
        <v>1577</v>
      </c>
      <c r="I339" s="8">
        <f>K61</f>
        <v>2931.22</v>
      </c>
      <c r="J339" s="1" t="s">
        <v>836</v>
      </c>
      <c r="K339" s="8">
        <f>(F339*I339)</f>
        <v>7328.05</v>
      </c>
      <c r="M339" s="8">
        <v>0.22</v>
      </c>
      <c r="N339" s="1" t="s">
        <v>836</v>
      </c>
      <c r="O339" s="1" t="s">
        <v>1571</v>
      </c>
      <c r="P339" s="8">
        <f>(K52)</f>
        <v>3217.3</v>
      </c>
      <c r="Q339" s="1" t="s">
        <v>836</v>
      </c>
      <c r="R339" s="8">
        <f>(M339*P339)</f>
        <v>707.81</v>
      </c>
      <c r="S339" s="51">
        <v>2.5</v>
      </c>
      <c r="T339" t="s">
        <v>836</v>
      </c>
      <c r="U339" t="s">
        <v>1577</v>
      </c>
      <c r="V339">
        <f>I339</f>
        <v>2931.22</v>
      </c>
      <c r="W339" t="s">
        <v>836</v>
      </c>
      <c r="X339">
        <f t="shared" ref="X339:X344" si="36">V339*S339</f>
        <v>7328.05</v>
      </c>
      <c r="AB339" s="8">
        <f>AB315</f>
        <v>2</v>
      </c>
      <c r="AC339" s="7" t="s">
        <v>836</v>
      </c>
      <c r="AD339" s="1" t="s">
        <v>1577</v>
      </c>
      <c r="AE339" s="8">
        <f>V339</f>
        <v>2931.22</v>
      </c>
      <c r="AF339" s="1" t="s">
        <v>836</v>
      </c>
      <c r="AG339" s="8">
        <f>AE339*AB339</f>
        <v>5862.44</v>
      </c>
    </row>
    <row r="340" spans="1:33" ht="24" customHeight="1">
      <c r="A340" s="220">
        <f t="shared" si="34"/>
        <v>172</v>
      </c>
      <c r="B340" s="221" t="s">
        <v>2139</v>
      </c>
      <c r="C340" s="901">
        <v>36.25</v>
      </c>
      <c r="D340" s="543" t="s">
        <v>739</v>
      </c>
      <c r="F340" s="8">
        <v>3.5</v>
      </c>
      <c r="G340" s="7" t="s">
        <v>835</v>
      </c>
      <c r="H340" s="1" t="s">
        <v>1938</v>
      </c>
      <c r="I340" s="8">
        <f>C10</f>
        <v>861</v>
      </c>
      <c r="J340" s="1" t="s">
        <v>835</v>
      </c>
      <c r="K340" s="8">
        <f>(F340*I340)</f>
        <v>3013.5</v>
      </c>
      <c r="M340" s="8">
        <v>2.2000000000000002</v>
      </c>
      <c r="N340" s="1" t="s">
        <v>835</v>
      </c>
      <c r="O340" s="1" t="s">
        <v>1938</v>
      </c>
      <c r="P340" s="8">
        <f>(C10)</f>
        <v>861</v>
      </c>
      <c r="Q340" s="1" t="s">
        <v>835</v>
      </c>
      <c r="R340" s="8">
        <f>(M340*P340)</f>
        <v>1894.2</v>
      </c>
      <c r="S340" s="51">
        <v>3.5</v>
      </c>
      <c r="T340" t="s">
        <v>835</v>
      </c>
      <c r="U340" t="s">
        <v>1938</v>
      </c>
      <c r="V340">
        <f>I340</f>
        <v>861</v>
      </c>
      <c r="W340" t="s">
        <v>835</v>
      </c>
      <c r="X340">
        <f t="shared" si="36"/>
        <v>3013.5</v>
      </c>
      <c r="AB340" s="8">
        <v>3.5</v>
      </c>
      <c r="AC340" s="7" t="s">
        <v>835</v>
      </c>
      <c r="AD340" s="1" t="s">
        <v>1938</v>
      </c>
      <c r="AE340" s="8">
        <f>V340</f>
        <v>861</v>
      </c>
      <c r="AF340" s="1" t="s">
        <v>835</v>
      </c>
      <c r="AG340" s="8">
        <f>AE340*AB340</f>
        <v>3013.5</v>
      </c>
    </row>
    <row r="341" spans="1:33" ht="24" customHeight="1">
      <c r="A341" s="220">
        <f t="shared" si="34"/>
        <v>173</v>
      </c>
      <c r="B341" s="221" t="s">
        <v>2108</v>
      </c>
      <c r="C341" s="902"/>
      <c r="D341" s="544"/>
      <c r="F341" s="8">
        <v>10.6</v>
      </c>
      <c r="G341" s="7" t="s">
        <v>835</v>
      </c>
      <c r="H341" s="1" t="s">
        <v>1654</v>
      </c>
      <c r="I341" s="8">
        <f>C11</f>
        <v>804</v>
      </c>
      <c r="J341" s="1" t="s">
        <v>835</v>
      </c>
      <c r="K341" s="8">
        <f>(F341*I341)</f>
        <v>8522.4</v>
      </c>
      <c r="M341" s="8">
        <v>0.5</v>
      </c>
      <c r="N341" s="1" t="s">
        <v>835</v>
      </c>
      <c r="O341" s="1" t="s">
        <v>1836</v>
      </c>
      <c r="P341" s="8">
        <f>(C12)</f>
        <v>562</v>
      </c>
      <c r="Q341" s="1" t="s">
        <v>835</v>
      </c>
      <c r="R341" s="8">
        <f>(M341*P341)</f>
        <v>281</v>
      </c>
      <c r="S341" s="51">
        <v>10.6</v>
      </c>
      <c r="T341" t="s">
        <v>835</v>
      </c>
      <c r="U341" t="s">
        <v>1654</v>
      </c>
      <c r="V341">
        <f>I341</f>
        <v>804</v>
      </c>
      <c r="W341" t="s">
        <v>835</v>
      </c>
      <c r="X341">
        <f t="shared" si="36"/>
        <v>8522.4</v>
      </c>
      <c r="AB341" s="8">
        <v>10.6</v>
      </c>
      <c r="AC341" s="7" t="s">
        <v>835</v>
      </c>
      <c r="AD341" s="1" t="s">
        <v>1654</v>
      </c>
      <c r="AE341" s="8">
        <f>V341</f>
        <v>804</v>
      </c>
      <c r="AF341" s="1" t="s">
        <v>835</v>
      </c>
      <c r="AG341" s="8">
        <f>AE341*AB341</f>
        <v>8522.4</v>
      </c>
    </row>
    <row r="342" spans="1:33" ht="24" customHeight="1">
      <c r="A342" s="220">
        <f t="shared" si="34"/>
        <v>174</v>
      </c>
      <c r="B342" s="221" t="s">
        <v>225</v>
      </c>
      <c r="C342" s="901">
        <v>15.7</v>
      </c>
      <c r="D342" s="543" t="s">
        <v>739</v>
      </c>
      <c r="F342" s="8">
        <v>7.1</v>
      </c>
      <c r="G342" s="7" t="s">
        <v>835</v>
      </c>
      <c r="H342" s="1" t="s">
        <v>1836</v>
      </c>
      <c r="I342" s="8">
        <f>C12</f>
        <v>562</v>
      </c>
      <c r="J342" s="1" t="s">
        <v>835</v>
      </c>
      <c r="K342" s="8">
        <f>(F342*I342)</f>
        <v>3990.2</v>
      </c>
      <c r="M342" s="8">
        <v>3.2</v>
      </c>
      <c r="N342" s="1" t="s">
        <v>835</v>
      </c>
      <c r="O342" s="1" t="s">
        <v>299</v>
      </c>
      <c r="P342" s="8">
        <f>(C13)</f>
        <v>461</v>
      </c>
      <c r="Q342" s="1" t="s">
        <v>835</v>
      </c>
      <c r="R342" s="8">
        <f>(M342*P342)</f>
        <v>1475.2</v>
      </c>
      <c r="S342" s="51">
        <v>7.1</v>
      </c>
      <c r="T342" t="s">
        <v>835</v>
      </c>
      <c r="U342" t="s">
        <v>1836</v>
      </c>
      <c r="V342">
        <f>I342</f>
        <v>562</v>
      </c>
      <c r="W342" t="s">
        <v>835</v>
      </c>
      <c r="X342">
        <f t="shared" si="36"/>
        <v>3990.2</v>
      </c>
      <c r="AB342" s="8">
        <v>7.1</v>
      </c>
      <c r="AC342" s="7" t="s">
        <v>835</v>
      </c>
      <c r="AD342" s="1" t="s">
        <v>1836</v>
      </c>
      <c r="AE342" s="8">
        <f>V342</f>
        <v>562</v>
      </c>
      <c r="AF342" s="1" t="s">
        <v>835</v>
      </c>
      <c r="AG342" s="8">
        <f>AE342*AB342</f>
        <v>3990.2</v>
      </c>
    </row>
    <row r="343" spans="1:33" ht="24" customHeight="1">
      <c r="A343" s="220">
        <f t="shared" si="34"/>
        <v>175</v>
      </c>
      <c r="B343" s="221" t="s">
        <v>226</v>
      </c>
      <c r="C343" s="901">
        <v>22.31</v>
      </c>
      <c r="D343" s="543" t="s">
        <v>739</v>
      </c>
      <c r="F343" s="8">
        <v>21.2</v>
      </c>
      <c r="G343" s="7" t="s">
        <v>835</v>
      </c>
      <c r="H343" s="1" t="s">
        <v>299</v>
      </c>
      <c r="I343" s="8">
        <f>C13</f>
        <v>461</v>
      </c>
      <c r="J343" s="1" t="s">
        <v>835</v>
      </c>
      <c r="K343" s="8">
        <f>(F343*I343)</f>
        <v>9773.2000000000007</v>
      </c>
      <c r="N343" s="1" t="s">
        <v>419</v>
      </c>
      <c r="O343" s="1" t="s">
        <v>420</v>
      </c>
      <c r="P343" s="1" t="s">
        <v>940</v>
      </c>
      <c r="Q343" s="1" t="s">
        <v>419</v>
      </c>
      <c r="R343" s="8">
        <v>0</v>
      </c>
      <c r="S343" s="51">
        <v>21.2</v>
      </c>
      <c r="T343" t="s">
        <v>835</v>
      </c>
      <c r="U343" t="s">
        <v>299</v>
      </c>
      <c r="V343">
        <f>I343</f>
        <v>461</v>
      </c>
      <c r="W343" t="s">
        <v>835</v>
      </c>
      <c r="X343">
        <f t="shared" si="36"/>
        <v>9773.2000000000007</v>
      </c>
      <c r="AB343" s="8">
        <v>21.2</v>
      </c>
      <c r="AC343" s="7" t="s">
        <v>835</v>
      </c>
      <c r="AD343" s="1" t="s">
        <v>299</v>
      </c>
      <c r="AE343" s="8">
        <f>V343</f>
        <v>461</v>
      </c>
      <c r="AF343" s="1" t="s">
        <v>835</v>
      </c>
      <c r="AG343" s="8">
        <f>AE343*AB343</f>
        <v>9773.2000000000007</v>
      </c>
    </row>
    <row r="344" spans="1:33" ht="24" customHeight="1">
      <c r="A344" s="220">
        <f t="shared" si="34"/>
        <v>176</v>
      </c>
      <c r="B344" s="221" t="s">
        <v>227</v>
      </c>
      <c r="C344" s="901">
        <v>25.24</v>
      </c>
      <c r="D344" s="543" t="s">
        <v>739</v>
      </c>
      <c r="G344" s="7" t="s">
        <v>419</v>
      </c>
      <c r="H344" s="1" t="s">
        <v>420</v>
      </c>
      <c r="J344" s="1" t="s">
        <v>419</v>
      </c>
      <c r="K344" s="8">
        <v>0</v>
      </c>
      <c r="R344" s="5" t="s">
        <v>1530</v>
      </c>
      <c r="T344" t="s">
        <v>419</v>
      </c>
      <c r="U344" t="s">
        <v>420</v>
      </c>
      <c r="W344" t="s">
        <v>419</v>
      </c>
      <c r="X344">
        <f t="shared" si="36"/>
        <v>0</v>
      </c>
      <c r="AC344" s="7" t="s">
        <v>419</v>
      </c>
      <c r="AD344" s="1" t="s">
        <v>420</v>
      </c>
      <c r="AF344" s="1" t="s">
        <v>419</v>
      </c>
      <c r="AG344" s="8">
        <v>0</v>
      </c>
    </row>
    <row r="345" spans="1:33" ht="24" customHeight="1">
      <c r="A345" s="220">
        <f t="shared" si="34"/>
        <v>177</v>
      </c>
      <c r="B345" s="221" t="s">
        <v>2139</v>
      </c>
      <c r="C345" s="901">
        <v>52.34</v>
      </c>
      <c r="D345" s="543" t="s">
        <v>739</v>
      </c>
      <c r="K345" s="5" t="s">
        <v>1530</v>
      </c>
      <c r="O345" s="1" t="s">
        <v>411</v>
      </c>
      <c r="R345" s="8">
        <f>SUM(R339:R343)</f>
        <v>4358.21</v>
      </c>
      <c r="X345" s="5" t="s">
        <v>1530</v>
      </c>
      <c r="AC345" s="3"/>
      <c r="AF345" s="11"/>
      <c r="AG345" s="5" t="s">
        <v>1530</v>
      </c>
    </row>
    <row r="346" spans="1:33" ht="24" customHeight="1">
      <c r="A346" s="220">
        <f t="shared" si="34"/>
        <v>178</v>
      </c>
      <c r="B346" s="221" t="s">
        <v>1008</v>
      </c>
      <c r="C346" s="902"/>
      <c r="D346" s="544"/>
      <c r="H346" s="1" t="s">
        <v>583</v>
      </c>
      <c r="K346" s="8">
        <f>SUM(K338:K344)</f>
        <v>59498.57</v>
      </c>
      <c r="R346" s="5" t="s">
        <v>1530</v>
      </c>
      <c r="U346" t="s">
        <v>583</v>
      </c>
      <c r="X346">
        <f>SUM(X338:X345)</f>
        <v>62228.35</v>
      </c>
      <c r="AC346" s="3"/>
      <c r="AD346" s="1" t="s">
        <v>583</v>
      </c>
      <c r="AF346" s="11"/>
      <c r="AG346" s="8">
        <f>SUM(AG338:AG344)</f>
        <v>59272.94</v>
      </c>
    </row>
    <row r="347" spans="1:33" ht="24" customHeight="1">
      <c r="A347" s="220">
        <f t="shared" si="34"/>
        <v>179</v>
      </c>
      <c r="B347" s="221" t="s">
        <v>225</v>
      </c>
      <c r="C347" s="901">
        <v>13.73</v>
      </c>
      <c r="D347" s="543" t="s">
        <v>739</v>
      </c>
      <c r="K347" s="5" t="s">
        <v>1530</v>
      </c>
      <c r="O347" s="1" t="s">
        <v>521</v>
      </c>
      <c r="R347" s="8">
        <f>(R345/10)</f>
        <v>435.82</v>
      </c>
      <c r="X347" s="5" t="s">
        <v>1530</v>
      </c>
      <c r="AC347" s="3"/>
      <c r="AF347" s="11"/>
      <c r="AG347" s="5" t="s">
        <v>1530</v>
      </c>
    </row>
    <row r="348" spans="1:33" ht="24" customHeight="1">
      <c r="A348" s="220">
        <f t="shared" si="34"/>
        <v>180</v>
      </c>
      <c r="B348" s="221" t="s">
        <v>226</v>
      </c>
      <c r="C348" s="901">
        <v>20.16</v>
      </c>
      <c r="D348" s="543" t="s">
        <v>739</v>
      </c>
      <c r="H348" s="2" t="s">
        <v>743</v>
      </c>
      <c r="K348" s="8">
        <f>(K346/10)</f>
        <v>5949.86</v>
      </c>
      <c r="R348" s="5" t="s">
        <v>1980</v>
      </c>
      <c r="U348" t="s">
        <v>743</v>
      </c>
      <c r="X348">
        <f>X346/10</f>
        <v>6222.84</v>
      </c>
      <c r="AC348" s="3"/>
      <c r="AD348" s="2" t="s">
        <v>743</v>
      </c>
      <c r="AF348" s="11"/>
      <c r="AG348" s="8">
        <f>(AG346/10)</f>
        <v>5927.29</v>
      </c>
    </row>
    <row r="349" spans="1:33" ht="24" customHeight="1">
      <c r="A349" s="220">
        <f t="shared" si="34"/>
        <v>181</v>
      </c>
      <c r="B349" s="221" t="s">
        <v>227</v>
      </c>
      <c r="C349" s="901">
        <v>22.73</v>
      </c>
      <c r="D349" s="543" t="s">
        <v>739</v>
      </c>
      <c r="K349" s="5" t="s">
        <v>1980</v>
      </c>
      <c r="N349" s="1" t="s">
        <v>2167</v>
      </c>
      <c r="O349" s="1" t="s">
        <v>1009</v>
      </c>
      <c r="X349" s="56" t="s">
        <v>1178</v>
      </c>
      <c r="AC349" s="3"/>
      <c r="AF349" s="11"/>
      <c r="AG349" s="5" t="s">
        <v>1980</v>
      </c>
    </row>
    <row r="350" spans="1:33" ht="24" customHeight="1">
      <c r="A350" s="220">
        <f t="shared" ref="A350:A413" si="37">(A349+1)</f>
        <v>182</v>
      </c>
      <c r="B350" s="221" t="s">
        <v>2139</v>
      </c>
      <c r="C350" s="901">
        <v>46.98</v>
      </c>
      <c r="D350" s="543" t="s">
        <v>940</v>
      </c>
      <c r="H350" s="1" t="s">
        <v>361</v>
      </c>
      <c r="K350" s="39">
        <f>(K348+C19)</f>
        <v>6017.86</v>
      </c>
      <c r="L350">
        <f>K350-K348</f>
        <v>68</v>
      </c>
      <c r="O350" s="5" t="s">
        <v>1530</v>
      </c>
      <c r="U350" s="37" t="s">
        <v>361</v>
      </c>
      <c r="X350" s="37">
        <f>X348+C19</f>
        <v>6290.84</v>
      </c>
      <c r="AC350" s="3"/>
      <c r="AD350" s="1" t="s">
        <v>361</v>
      </c>
      <c r="AF350" s="11"/>
      <c r="AG350" s="39">
        <f>(AG348+C19)</f>
        <v>5995.29</v>
      </c>
    </row>
    <row r="351" spans="1:33" ht="24" customHeight="1">
      <c r="A351" s="220">
        <f t="shared" si="37"/>
        <v>183</v>
      </c>
      <c r="B351" s="221" t="s">
        <v>1010</v>
      </c>
      <c r="C351" s="902"/>
      <c r="D351" s="544"/>
      <c r="H351" s="1" t="s">
        <v>363</v>
      </c>
      <c r="K351" s="39">
        <f>(K350+C20)</f>
        <v>6155.06</v>
      </c>
      <c r="L351">
        <f>K351-K350</f>
        <v>137.19999999999999</v>
      </c>
      <c r="M351" s="8">
        <v>0.22</v>
      </c>
      <c r="N351" s="1" t="s">
        <v>836</v>
      </c>
      <c r="O351" s="1" t="s">
        <v>1301</v>
      </c>
      <c r="P351" s="8">
        <f>(K32)</f>
        <v>4361.62</v>
      </c>
      <c r="Q351" s="1" t="s">
        <v>836</v>
      </c>
      <c r="R351" s="8">
        <f>(M351*P351)</f>
        <v>959.56</v>
      </c>
      <c r="U351" s="37" t="s">
        <v>363</v>
      </c>
      <c r="X351" s="37">
        <f>X350+C20</f>
        <v>6428.04</v>
      </c>
      <c r="AC351" s="3"/>
      <c r="AD351" s="1" t="s">
        <v>363</v>
      </c>
      <c r="AF351" s="11"/>
      <c r="AG351" s="39">
        <f>(AG350+C20)</f>
        <v>6132.49</v>
      </c>
    </row>
    <row r="352" spans="1:33" ht="24" customHeight="1">
      <c r="A352" s="220">
        <f t="shared" si="37"/>
        <v>184</v>
      </c>
      <c r="B352" s="221" t="s">
        <v>225</v>
      </c>
      <c r="C352" s="901">
        <v>19.3</v>
      </c>
      <c r="D352" s="543" t="s">
        <v>739</v>
      </c>
      <c r="H352" s="1" t="s">
        <v>2149</v>
      </c>
      <c r="K352" s="39">
        <f>(K351+C20)</f>
        <v>6292.26</v>
      </c>
      <c r="L352">
        <f>K352-K351</f>
        <v>137.19999999999999</v>
      </c>
      <c r="M352" s="8">
        <v>2.2000000000000002</v>
      </c>
      <c r="N352" s="1" t="s">
        <v>835</v>
      </c>
      <c r="O352" s="1" t="s">
        <v>1938</v>
      </c>
      <c r="P352" s="8">
        <f>(C10)</f>
        <v>861</v>
      </c>
      <c r="Q352" s="1" t="s">
        <v>835</v>
      </c>
      <c r="R352" s="8">
        <f>(M352*P352)</f>
        <v>1894.2</v>
      </c>
      <c r="U352" s="37" t="s">
        <v>2149</v>
      </c>
      <c r="X352" s="37">
        <f>X351+C20</f>
        <v>6565.24</v>
      </c>
      <c r="AC352" s="3"/>
      <c r="AD352" s="1" t="s">
        <v>2149</v>
      </c>
      <c r="AF352" s="11"/>
      <c r="AG352" s="39">
        <f>(AG351+C20)</f>
        <v>6269.69</v>
      </c>
    </row>
    <row r="353" spans="1:33" ht="24" customHeight="1">
      <c r="A353" s="220">
        <f t="shared" si="37"/>
        <v>185</v>
      </c>
      <c r="B353" s="221" t="s">
        <v>227</v>
      </c>
      <c r="C353" s="901">
        <v>33.46</v>
      </c>
      <c r="D353" s="543" t="s">
        <v>739</v>
      </c>
      <c r="H353" s="1" t="s">
        <v>355</v>
      </c>
      <c r="K353" s="39">
        <f>(K352+C21)</f>
        <v>6429.46</v>
      </c>
      <c r="M353" s="8">
        <v>0.5</v>
      </c>
      <c r="N353" s="1" t="s">
        <v>835</v>
      </c>
      <c r="O353" s="1" t="s">
        <v>1836</v>
      </c>
      <c r="P353" s="8">
        <f>(C12)</f>
        <v>562</v>
      </c>
      <c r="Q353" s="1" t="s">
        <v>835</v>
      </c>
      <c r="R353" s="8">
        <f>(M353*P353)</f>
        <v>281</v>
      </c>
      <c r="U353" s="37" t="s">
        <v>355</v>
      </c>
      <c r="X353" s="37">
        <f>X352+C20</f>
        <v>6702.44</v>
      </c>
      <c r="AC353" s="3"/>
      <c r="AD353" s="1" t="s">
        <v>355</v>
      </c>
      <c r="AF353" s="11"/>
      <c r="AG353" s="39">
        <f>(AG352+C20)</f>
        <v>6406.89</v>
      </c>
    </row>
    <row r="354" spans="1:33" ht="24" customHeight="1">
      <c r="A354" s="220">
        <f t="shared" si="37"/>
        <v>186</v>
      </c>
      <c r="B354" s="221" t="s">
        <v>2139</v>
      </c>
      <c r="C354" s="901">
        <v>53.62</v>
      </c>
      <c r="D354" s="543" t="s">
        <v>739</v>
      </c>
      <c r="F354" s="1" t="s">
        <v>940</v>
      </c>
      <c r="H354" s="1" t="s">
        <v>453</v>
      </c>
      <c r="K354" s="39">
        <f>(K353+C21)</f>
        <v>6566.66</v>
      </c>
      <c r="L354">
        <f>K354-K353</f>
        <v>137.19999999999999</v>
      </c>
      <c r="M354" s="8">
        <v>3.2</v>
      </c>
      <c r="N354" s="1" t="s">
        <v>835</v>
      </c>
      <c r="O354" s="1" t="s">
        <v>299</v>
      </c>
      <c r="P354" s="8">
        <f>(C13)</f>
        <v>461</v>
      </c>
      <c r="Q354" s="1" t="s">
        <v>835</v>
      </c>
      <c r="R354" s="8">
        <f>(M354*P354)</f>
        <v>1475.2</v>
      </c>
      <c r="S354" s="51" t="s">
        <v>940</v>
      </c>
      <c r="U354" s="37" t="s">
        <v>453</v>
      </c>
      <c r="X354" s="37">
        <f>X353+C20</f>
        <v>6839.64</v>
      </c>
      <c r="AB354" s="1" t="s">
        <v>940</v>
      </c>
      <c r="AC354" s="3"/>
      <c r="AD354" s="1" t="s">
        <v>453</v>
      </c>
      <c r="AF354" s="11"/>
      <c r="AG354" s="39">
        <f>(AG353+C20)</f>
        <v>6544.09</v>
      </c>
    </row>
    <row r="355" spans="1:33" ht="24" customHeight="1">
      <c r="A355" s="220">
        <f t="shared" si="37"/>
        <v>187</v>
      </c>
      <c r="B355" s="221" t="s">
        <v>125</v>
      </c>
      <c r="C355" s="902"/>
      <c r="D355" s="544"/>
      <c r="F355" s="12">
        <v>27</v>
      </c>
      <c r="G355" s="7" t="s">
        <v>2167</v>
      </c>
      <c r="H355" s="1" t="s">
        <v>2751</v>
      </c>
      <c r="L355">
        <f>K354+L354</f>
        <v>6703.86</v>
      </c>
      <c r="N355" s="1" t="s">
        <v>419</v>
      </c>
      <c r="O355" s="1" t="s">
        <v>420</v>
      </c>
      <c r="P355" s="1" t="s">
        <v>940</v>
      </c>
      <c r="Q355" s="1" t="s">
        <v>419</v>
      </c>
      <c r="R355" s="8">
        <v>0</v>
      </c>
      <c r="S355" s="51">
        <v>27</v>
      </c>
      <c r="T355" t="s">
        <v>2167</v>
      </c>
      <c r="U355" t="s">
        <v>103</v>
      </c>
      <c r="AB355" s="1"/>
      <c r="AC355" s="3"/>
      <c r="AD355" s="1">
        <v>5</v>
      </c>
      <c r="AF355" s="11"/>
      <c r="AG355" s="39">
        <f>(AG354+C20)</f>
        <v>6681.29</v>
      </c>
    </row>
    <row r="356" spans="1:33" ht="24" customHeight="1">
      <c r="A356" s="220">
        <f t="shared" si="37"/>
        <v>188</v>
      </c>
      <c r="B356" s="221" t="s">
        <v>225</v>
      </c>
      <c r="C356" s="901">
        <v>13.73</v>
      </c>
      <c r="D356" s="543" t="s">
        <v>739</v>
      </c>
      <c r="H356" s="1" t="str">
        <f>H336</f>
        <v>Bricks of size 22x11x7 cm</v>
      </c>
      <c r="L356">
        <f>L355+L354</f>
        <v>6841.06</v>
      </c>
      <c r="R356" s="5" t="s">
        <v>1530</v>
      </c>
      <c r="U356" t="s">
        <v>396</v>
      </c>
      <c r="AB356" s="1"/>
      <c r="AC356" s="3"/>
      <c r="AD356" s="1">
        <v>6</v>
      </c>
      <c r="AF356" s="11"/>
      <c r="AG356" s="39">
        <f>(AG355+C20)</f>
        <v>6818.49</v>
      </c>
    </row>
    <row r="357" spans="1:33" ht="24" customHeight="1">
      <c r="A357" s="220">
        <f t="shared" si="37"/>
        <v>189</v>
      </c>
      <c r="B357" s="221" t="s">
        <v>226</v>
      </c>
      <c r="C357" s="901">
        <v>20.16</v>
      </c>
      <c r="D357" s="543" t="s">
        <v>739</v>
      </c>
      <c r="H357" s="5" t="s">
        <v>1530</v>
      </c>
      <c r="O357" s="1" t="s">
        <v>411</v>
      </c>
      <c r="R357" s="8">
        <f>SUM(R351:R355)</f>
        <v>4609.96</v>
      </c>
      <c r="U357" t="s">
        <v>1530</v>
      </c>
      <c r="AB357" s="1"/>
      <c r="AC357" s="3"/>
      <c r="AD357" s="1">
        <v>7</v>
      </c>
      <c r="AF357" s="11"/>
      <c r="AG357" s="39">
        <f>(AG356+C20)</f>
        <v>6955.69</v>
      </c>
    </row>
    <row r="358" spans="1:33" ht="24" customHeight="1">
      <c r="A358" s="220">
        <f t="shared" si="37"/>
        <v>190</v>
      </c>
      <c r="B358" s="221" t="s">
        <v>227</v>
      </c>
      <c r="C358" s="901">
        <v>22.73</v>
      </c>
      <c r="D358" s="543" t="s">
        <v>739</v>
      </c>
      <c r="F358" s="8">
        <v>4800</v>
      </c>
      <c r="G358" s="7" t="s">
        <v>1368</v>
      </c>
      <c r="H358" s="8" t="str">
        <f>H312</f>
        <v>Bricks of size 22x11x7 cm</v>
      </c>
      <c r="I358" s="8">
        <f>C83</f>
        <v>5598.17</v>
      </c>
      <c r="J358" s="1" t="s">
        <v>1538</v>
      </c>
      <c r="K358" s="8">
        <f>(F358*I358)/1000</f>
        <v>26871.22</v>
      </c>
      <c r="R358" s="5" t="s">
        <v>1530</v>
      </c>
      <c r="S358" s="51">
        <v>4600</v>
      </c>
      <c r="T358" t="s">
        <v>1368</v>
      </c>
      <c r="U358" t="s">
        <v>396</v>
      </c>
      <c r="V358">
        <f>AC44</f>
        <v>6435</v>
      </c>
      <c r="W358" t="s">
        <v>1538</v>
      </c>
      <c r="X358">
        <f>V358*S358/1000</f>
        <v>29601</v>
      </c>
      <c r="AB358" s="1"/>
      <c r="AC358" s="3"/>
      <c r="AD358" s="1">
        <v>8</v>
      </c>
      <c r="AF358" s="11"/>
      <c r="AG358" s="39">
        <f>(AG357+C20)</f>
        <v>7092.89</v>
      </c>
    </row>
    <row r="359" spans="1:33" ht="24" customHeight="1">
      <c r="A359" s="220">
        <f t="shared" si="37"/>
        <v>191</v>
      </c>
      <c r="B359" s="221" t="s">
        <v>2139</v>
      </c>
      <c r="C359" s="901">
        <v>46.98</v>
      </c>
      <c r="D359" s="543" t="s">
        <v>739</v>
      </c>
      <c r="F359" s="8">
        <v>2.5</v>
      </c>
      <c r="G359" s="7" t="s">
        <v>836</v>
      </c>
      <c r="H359" s="1" t="s">
        <v>1258</v>
      </c>
      <c r="I359" s="8">
        <f>K40</f>
        <v>3646.42</v>
      </c>
      <c r="J359" s="1" t="s">
        <v>836</v>
      </c>
      <c r="K359" s="8">
        <f>(F359*I359)</f>
        <v>9116.0499999999993</v>
      </c>
      <c r="O359" s="1" t="s">
        <v>521</v>
      </c>
      <c r="R359" s="8">
        <f>(R357/10)</f>
        <v>461</v>
      </c>
      <c r="S359" s="51">
        <v>2.5</v>
      </c>
      <c r="T359" t="s">
        <v>836</v>
      </c>
      <c r="U359" t="s">
        <v>1258</v>
      </c>
      <c r="V359">
        <f>I359</f>
        <v>3646.42</v>
      </c>
      <c r="W359" t="s">
        <v>836</v>
      </c>
      <c r="X359">
        <f>V359*S359</f>
        <v>9116.0499999999993</v>
      </c>
      <c r="AB359" s="1"/>
      <c r="AC359" s="3"/>
      <c r="AD359" s="1">
        <v>9</v>
      </c>
      <c r="AF359" s="11"/>
      <c r="AG359" s="39">
        <f>(AG358+C20)</f>
        <v>7230.09</v>
      </c>
    </row>
    <row r="360" spans="1:33" ht="24" customHeight="1">
      <c r="A360" s="220">
        <f t="shared" si="37"/>
        <v>192</v>
      </c>
      <c r="B360" s="221" t="s">
        <v>780</v>
      </c>
      <c r="C360" s="902"/>
      <c r="D360" s="544"/>
      <c r="F360" s="8">
        <v>3.5</v>
      </c>
      <c r="G360" s="7" t="s">
        <v>835</v>
      </c>
      <c r="H360" s="1" t="s">
        <v>1938</v>
      </c>
      <c r="I360" s="8">
        <f>(C10)</f>
        <v>861</v>
      </c>
      <c r="J360" s="1" t="s">
        <v>835</v>
      </c>
      <c r="K360" s="8">
        <f>(F360*I360)</f>
        <v>3013.5</v>
      </c>
      <c r="R360" s="5" t="s">
        <v>1980</v>
      </c>
      <c r="S360" s="51">
        <v>3.5</v>
      </c>
      <c r="T360" t="s">
        <v>835</v>
      </c>
      <c r="U360" t="s">
        <v>1938</v>
      </c>
      <c r="V360">
        <f>I360</f>
        <v>861</v>
      </c>
      <c r="W360" t="s">
        <v>835</v>
      </c>
      <c r="X360">
        <f>V360*S360</f>
        <v>3013.5</v>
      </c>
      <c r="AB360" s="1"/>
      <c r="AC360" s="3"/>
      <c r="AD360" s="1">
        <v>10</v>
      </c>
      <c r="AF360" s="11"/>
      <c r="AG360" s="39">
        <f>(AG359+C20)</f>
        <v>7367.29</v>
      </c>
    </row>
    <row r="361" spans="1:33" ht="24" customHeight="1">
      <c r="A361" s="220">
        <f t="shared" si="37"/>
        <v>193</v>
      </c>
      <c r="B361" s="221" t="s">
        <v>225</v>
      </c>
      <c r="C361" s="901">
        <v>19.3</v>
      </c>
      <c r="D361" s="543" t="s">
        <v>739</v>
      </c>
      <c r="F361" s="8">
        <v>10.6</v>
      </c>
      <c r="G361" s="7" t="s">
        <v>835</v>
      </c>
      <c r="H361" s="1" t="s">
        <v>1654</v>
      </c>
      <c r="I361" s="8">
        <f>(C11)</f>
        <v>804</v>
      </c>
      <c r="J361" s="1" t="s">
        <v>835</v>
      </c>
      <c r="K361" s="8">
        <f>(F361*I361)</f>
        <v>8522.4</v>
      </c>
      <c r="N361" s="1" t="s">
        <v>2167</v>
      </c>
      <c r="O361" s="1" t="s">
        <v>781</v>
      </c>
      <c r="S361" s="51">
        <v>10.6</v>
      </c>
      <c r="T361" t="s">
        <v>835</v>
      </c>
      <c r="U361" t="s">
        <v>1654</v>
      </c>
      <c r="V361">
        <f>I361</f>
        <v>804</v>
      </c>
      <c r="W361" t="s">
        <v>835</v>
      </c>
      <c r="X361">
        <f>V361*S361</f>
        <v>8522.4</v>
      </c>
      <c r="AB361" s="1"/>
      <c r="AC361" s="3"/>
      <c r="AD361" s="1">
        <v>11</v>
      </c>
      <c r="AF361" s="11"/>
      <c r="AG361" s="39">
        <f>(AG360+C20)</f>
        <v>7504.49</v>
      </c>
    </row>
    <row r="362" spans="1:33" ht="24" customHeight="1">
      <c r="A362" s="220">
        <f t="shared" si="37"/>
        <v>194</v>
      </c>
      <c r="B362" s="221" t="s">
        <v>226</v>
      </c>
      <c r="C362" s="901">
        <v>25.74</v>
      </c>
      <c r="D362" s="543" t="s">
        <v>739</v>
      </c>
      <c r="F362" s="8">
        <v>7.1</v>
      </c>
      <c r="G362" s="7" t="s">
        <v>835</v>
      </c>
      <c r="H362" s="1" t="s">
        <v>1836</v>
      </c>
      <c r="I362" s="8">
        <f>(C12)</f>
        <v>562</v>
      </c>
      <c r="J362" s="1" t="s">
        <v>835</v>
      </c>
      <c r="K362" s="8">
        <f>(F362*I362)</f>
        <v>3990.2</v>
      </c>
      <c r="O362" s="1" t="s">
        <v>782</v>
      </c>
      <c r="S362" s="51">
        <v>7.1</v>
      </c>
      <c r="T362" t="s">
        <v>835</v>
      </c>
      <c r="U362" t="s">
        <v>1836</v>
      </c>
      <c r="V362">
        <f>I362</f>
        <v>562</v>
      </c>
      <c r="W362" t="s">
        <v>835</v>
      </c>
      <c r="X362">
        <f>V362*S362</f>
        <v>3990.2</v>
      </c>
      <c r="AB362" s="1"/>
      <c r="AC362" s="3"/>
      <c r="AD362" s="1">
        <v>12</v>
      </c>
      <c r="AF362" s="11"/>
      <c r="AG362" s="39">
        <f>(AG361+C20)</f>
        <v>7641.69</v>
      </c>
    </row>
    <row r="363" spans="1:33" ht="24" customHeight="1">
      <c r="A363" s="220">
        <f t="shared" si="37"/>
        <v>195</v>
      </c>
      <c r="B363" s="221" t="s">
        <v>227</v>
      </c>
      <c r="C363" s="901">
        <v>33.46</v>
      </c>
      <c r="D363" s="543" t="s">
        <v>739</v>
      </c>
      <c r="F363" s="8">
        <v>21.2</v>
      </c>
      <c r="G363" s="7" t="s">
        <v>835</v>
      </c>
      <c r="H363" s="1" t="s">
        <v>299</v>
      </c>
      <c r="I363" s="8">
        <f>(C13)</f>
        <v>461</v>
      </c>
      <c r="J363" s="1" t="s">
        <v>835</v>
      </c>
      <c r="K363" s="8">
        <f>(F363*I363)</f>
        <v>9773.2000000000007</v>
      </c>
      <c r="O363" s="1" t="s">
        <v>783</v>
      </c>
      <c r="S363" s="51">
        <v>21.2</v>
      </c>
      <c r="T363" t="s">
        <v>835</v>
      </c>
      <c r="U363" t="s">
        <v>299</v>
      </c>
      <c r="V363">
        <f>I363</f>
        <v>461</v>
      </c>
      <c r="W363" t="s">
        <v>835</v>
      </c>
      <c r="X363">
        <f>V363*S363</f>
        <v>9773.2000000000007</v>
      </c>
      <c r="AB363" s="1"/>
      <c r="AC363" s="3"/>
      <c r="AD363" s="1">
        <v>13</v>
      </c>
      <c r="AF363" s="11"/>
      <c r="AG363" s="39">
        <f>(AG362+C20)</f>
        <v>7778.89</v>
      </c>
    </row>
    <row r="364" spans="1:33" ht="24" customHeight="1">
      <c r="A364" s="220">
        <f t="shared" si="37"/>
        <v>196</v>
      </c>
      <c r="B364" s="221" t="s">
        <v>2139</v>
      </c>
      <c r="C364" s="901">
        <v>53.62</v>
      </c>
      <c r="D364" s="543" t="s">
        <v>940</v>
      </c>
      <c r="G364" s="7" t="s">
        <v>419</v>
      </c>
      <c r="H364" s="1" t="s">
        <v>420</v>
      </c>
      <c r="J364" s="1" t="s">
        <v>419</v>
      </c>
      <c r="K364" s="8">
        <v>0</v>
      </c>
      <c r="O364" s="5" t="s">
        <v>1530</v>
      </c>
      <c r="T364" t="s">
        <v>419</v>
      </c>
      <c r="U364" t="s">
        <v>420</v>
      </c>
      <c r="W364" t="s">
        <v>419</v>
      </c>
      <c r="X364">
        <v>0</v>
      </c>
      <c r="AB364" s="12">
        <v>27</v>
      </c>
      <c r="AC364" s="7" t="s">
        <v>2167</v>
      </c>
      <c r="AD364" s="1" t="s">
        <v>3464</v>
      </c>
      <c r="AF364" s="11"/>
    </row>
    <row r="365" spans="1:33" ht="24" customHeight="1">
      <c r="A365" s="220">
        <f t="shared" si="37"/>
        <v>197</v>
      </c>
      <c r="B365" s="221" t="s">
        <v>934</v>
      </c>
      <c r="C365" s="902"/>
      <c r="D365" s="544"/>
      <c r="K365" s="5" t="s">
        <v>1530</v>
      </c>
      <c r="M365" s="8">
        <v>0.22</v>
      </c>
      <c r="N365" s="1" t="s">
        <v>836</v>
      </c>
      <c r="O365" s="1" t="s">
        <v>1258</v>
      </c>
      <c r="P365" s="8">
        <f>(K40)</f>
        <v>3646.42</v>
      </c>
      <c r="Q365" s="1" t="s">
        <v>836</v>
      </c>
      <c r="R365" s="8">
        <f t="shared" ref="R365:R370" si="38">(M365*P365)</f>
        <v>802.21</v>
      </c>
      <c r="X365" s="5" t="s">
        <v>1530</v>
      </c>
      <c r="AC365" s="3"/>
      <c r="AD365" s="1" t="str">
        <f>AD336</f>
        <v>Bricks of size 23x11.4x7.5 cm</v>
      </c>
      <c r="AF365" s="11"/>
    </row>
    <row r="366" spans="1:33" ht="24" customHeight="1">
      <c r="A366" s="220">
        <f t="shared" si="37"/>
        <v>198</v>
      </c>
      <c r="B366" s="221" t="s">
        <v>225</v>
      </c>
      <c r="C366" s="901">
        <v>26.16</v>
      </c>
      <c r="D366" s="543" t="s">
        <v>739</v>
      </c>
      <c r="H366" s="1" t="s">
        <v>583</v>
      </c>
      <c r="K366" s="8">
        <f>SUM(K358:K364)</f>
        <v>61286.57</v>
      </c>
      <c r="M366" s="8">
        <v>2.2000000000000002</v>
      </c>
      <c r="N366" s="1" t="s">
        <v>835</v>
      </c>
      <c r="O366" s="1" t="s">
        <v>1938</v>
      </c>
      <c r="P366" s="8">
        <f>(C10)</f>
        <v>861</v>
      </c>
      <c r="Q366" s="1" t="s">
        <v>835</v>
      </c>
      <c r="R366" s="8">
        <f t="shared" si="38"/>
        <v>1894.2</v>
      </c>
      <c r="U366" t="s">
        <v>583</v>
      </c>
      <c r="X366">
        <f>SUM(X358:X364)</f>
        <v>64016.35</v>
      </c>
      <c r="AC366" s="3"/>
      <c r="AD366" s="5" t="s">
        <v>1530</v>
      </c>
      <c r="AF366" s="11"/>
    </row>
    <row r="367" spans="1:33" ht="24" customHeight="1">
      <c r="A367" s="220">
        <f t="shared" si="37"/>
        <v>199</v>
      </c>
      <c r="B367" s="221" t="s">
        <v>226</v>
      </c>
      <c r="C367" s="901">
        <v>34.32</v>
      </c>
      <c r="D367" s="543" t="s">
        <v>739</v>
      </c>
      <c r="K367" s="5" t="s">
        <v>1530</v>
      </c>
      <c r="M367" s="8">
        <v>0.5</v>
      </c>
      <c r="N367" s="1" t="s">
        <v>835</v>
      </c>
      <c r="O367" s="1" t="s">
        <v>1836</v>
      </c>
      <c r="P367" s="8">
        <f>(C12)</f>
        <v>562</v>
      </c>
      <c r="Q367" s="1" t="s">
        <v>835</v>
      </c>
      <c r="R367" s="8">
        <f t="shared" si="38"/>
        <v>281</v>
      </c>
      <c r="X367" s="5" t="s">
        <v>1530</v>
      </c>
      <c r="AB367" s="8">
        <v>4240</v>
      </c>
      <c r="AC367" s="7" t="s">
        <v>1368</v>
      </c>
      <c r="AD367" s="8" t="str">
        <f>AD312</f>
        <v>Bricks of size 23x11.4x7.5 cm</v>
      </c>
      <c r="AE367" s="8">
        <f>AC45</f>
        <v>6630</v>
      </c>
      <c r="AF367" s="1" t="s">
        <v>1538</v>
      </c>
      <c r="AG367" s="8">
        <f>(AB367*AE367)/1000</f>
        <v>28111.200000000001</v>
      </c>
    </row>
    <row r="368" spans="1:33" ht="24" customHeight="1">
      <c r="A368" s="220">
        <f t="shared" si="37"/>
        <v>200</v>
      </c>
      <c r="B368" s="221" t="s">
        <v>227</v>
      </c>
      <c r="C368" s="901">
        <v>40.33</v>
      </c>
      <c r="D368" s="543" t="s">
        <v>739</v>
      </c>
      <c r="H368" s="1" t="s">
        <v>743</v>
      </c>
      <c r="K368" s="8">
        <f>(K366/10)</f>
        <v>6128.66</v>
      </c>
      <c r="M368" s="8">
        <v>1.1000000000000001</v>
      </c>
      <c r="N368" s="1" t="s">
        <v>935</v>
      </c>
      <c r="O368" s="1" t="s">
        <v>936</v>
      </c>
      <c r="P368" s="8">
        <f>(C10)</f>
        <v>861</v>
      </c>
      <c r="Q368" s="1" t="s">
        <v>835</v>
      </c>
      <c r="R368" s="8">
        <f t="shared" si="38"/>
        <v>947.1</v>
      </c>
      <c r="U368" t="s">
        <v>743</v>
      </c>
      <c r="X368">
        <f>X366/10</f>
        <v>6401.64</v>
      </c>
      <c r="AB368" s="8">
        <v>2</v>
      </c>
      <c r="AC368" s="7" t="s">
        <v>836</v>
      </c>
      <c r="AD368" s="1" t="s">
        <v>1258</v>
      </c>
      <c r="AE368" s="8">
        <f>V359</f>
        <v>3646.42</v>
      </c>
      <c r="AF368" s="1" t="s">
        <v>836</v>
      </c>
      <c r="AG368" s="8">
        <f>(AB368*AE368)</f>
        <v>7292.84</v>
      </c>
    </row>
    <row r="369" spans="1:34" ht="24" customHeight="1">
      <c r="A369" s="220">
        <f t="shared" si="37"/>
        <v>201</v>
      </c>
      <c r="B369" s="221" t="s">
        <v>937</v>
      </c>
      <c r="C369" s="902"/>
      <c r="D369" s="543" t="s">
        <v>940</v>
      </c>
      <c r="K369" s="5" t="s">
        <v>1980</v>
      </c>
      <c r="M369" s="8">
        <v>3.2</v>
      </c>
      <c r="N369" s="1" t="s">
        <v>835</v>
      </c>
      <c r="O369" s="1" t="s">
        <v>299</v>
      </c>
      <c r="P369" s="8">
        <f>(C13)</f>
        <v>461</v>
      </c>
      <c r="Q369" s="1" t="s">
        <v>835</v>
      </c>
      <c r="R369" s="8">
        <f t="shared" si="38"/>
        <v>1475.2</v>
      </c>
      <c r="X369" s="56" t="s">
        <v>1178</v>
      </c>
      <c r="AB369" s="8">
        <v>3.5</v>
      </c>
      <c r="AC369" s="7" t="s">
        <v>835</v>
      </c>
      <c r="AD369" s="1" t="s">
        <v>1938</v>
      </c>
      <c r="AE369" s="8">
        <f>V360</f>
        <v>861</v>
      </c>
      <c r="AF369" s="1" t="s">
        <v>835</v>
      </c>
      <c r="AG369" s="8">
        <f>(AB369*AE369)</f>
        <v>3013.5</v>
      </c>
    </row>
    <row r="370" spans="1:34" ht="24" customHeight="1">
      <c r="A370" s="220">
        <f t="shared" si="37"/>
        <v>202</v>
      </c>
      <c r="B370" s="221" t="s">
        <v>225</v>
      </c>
      <c r="C370" s="901">
        <v>20.329999999999998</v>
      </c>
      <c r="D370" s="543" t="s">
        <v>739</v>
      </c>
      <c r="H370" s="1" t="s">
        <v>361</v>
      </c>
      <c r="J370" s="11">
        <f>K370-K368</f>
        <v>68</v>
      </c>
      <c r="K370" s="8">
        <f>(K368+C19)</f>
        <v>6196.66</v>
      </c>
      <c r="M370" s="8">
        <v>9.8000000000000007</v>
      </c>
      <c r="N370" s="1" t="s">
        <v>1591</v>
      </c>
      <c r="O370" s="1" t="s">
        <v>1592</v>
      </c>
      <c r="P370" s="8">
        <f>(C151)</f>
        <v>143.80000000000001</v>
      </c>
      <c r="Q370" s="1" t="s">
        <v>1591</v>
      </c>
      <c r="R370" s="8">
        <f t="shared" si="38"/>
        <v>1409.24</v>
      </c>
      <c r="U370" t="s">
        <v>361</v>
      </c>
      <c r="X370">
        <f>X368+C19</f>
        <v>6469.64</v>
      </c>
      <c r="Y370">
        <f>X368+X370+X371+X372+X373+X374</f>
        <v>40121.839999999997</v>
      </c>
      <c r="Z370">
        <f>Y370/6</f>
        <v>6686.97</v>
      </c>
      <c r="AB370" s="8">
        <v>10.6</v>
      </c>
      <c r="AC370" s="7" t="s">
        <v>835</v>
      </c>
      <c r="AD370" s="1" t="s">
        <v>1654</v>
      </c>
      <c r="AE370" s="8">
        <f>V361</f>
        <v>804</v>
      </c>
      <c r="AF370" s="1" t="s">
        <v>835</v>
      </c>
      <c r="AG370" s="8">
        <f>(AB370*AE370)</f>
        <v>8522.4</v>
      </c>
    </row>
    <row r="371" spans="1:34" ht="24" customHeight="1">
      <c r="A371" s="220">
        <f t="shared" si="37"/>
        <v>203</v>
      </c>
      <c r="B371" s="221" t="s">
        <v>226</v>
      </c>
      <c r="C371" s="901">
        <v>26.6</v>
      </c>
      <c r="D371" s="543" t="s">
        <v>739</v>
      </c>
      <c r="H371" s="1" t="s">
        <v>363</v>
      </c>
      <c r="J371" s="11">
        <f>K371-K370</f>
        <v>137.19999999999999</v>
      </c>
      <c r="K371" s="8">
        <f>(K370+C20)</f>
        <v>6333.86</v>
      </c>
      <c r="L371">
        <f>(K370+K371)/2</f>
        <v>6265.26</v>
      </c>
      <c r="N371" s="1" t="s">
        <v>419</v>
      </c>
      <c r="O371" s="1" t="s">
        <v>420</v>
      </c>
      <c r="P371" s="1" t="s">
        <v>940</v>
      </c>
      <c r="Q371" s="1" t="s">
        <v>419</v>
      </c>
      <c r="R371" s="8">
        <v>0</v>
      </c>
      <c r="U371" t="s">
        <v>363</v>
      </c>
      <c r="X371">
        <f>X370+C20</f>
        <v>6606.84</v>
      </c>
      <c r="Y371">
        <f>SUM(X370:X371)/2</f>
        <v>6538.24</v>
      </c>
      <c r="AB371" s="8">
        <v>7.1</v>
      </c>
      <c r="AC371" s="7" t="s">
        <v>835</v>
      </c>
      <c r="AD371" s="1" t="s">
        <v>1836</v>
      </c>
      <c r="AE371" s="8">
        <f>V362</f>
        <v>562</v>
      </c>
      <c r="AF371" s="1" t="s">
        <v>835</v>
      </c>
      <c r="AG371" s="8">
        <f>(AB371*AE371)</f>
        <v>3990.2</v>
      </c>
      <c r="AH371">
        <f>(AG380+AG379)/2</f>
        <v>6206.93</v>
      </c>
    </row>
    <row r="372" spans="1:34" ht="24" customHeight="1">
      <c r="A372" s="220">
        <f t="shared" si="37"/>
        <v>204</v>
      </c>
      <c r="B372" s="221" t="s">
        <v>227</v>
      </c>
      <c r="C372" s="901">
        <v>33.89</v>
      </c>
      <c r="D372" s="543" t="s">
        <v>739</v>
      </c>
      <c r="H372" s="1" t="s">
        <v>2149</v>
      </c>
      <c r="J372" s="11">
        <f>K372-K371</f>
        <v>137.19999999999999</v>
      </c>
      <c r="K372" s="8">
        <f>(K371+C21)</f>
        <v>6471.06</v>
      </c>
      <c r="L372">
        <f>SUM(K370:K372)/3</f>
        <v>6333.86</v>
      </c>
      <c r="R372" s="5" t="s">
        <v>1530</v>
      </c>
      <c r="U372" t="s">
        <v>2149</v>
      </c>
      <c r="X372">
        <f>X371+C20</f>
        <v>6744.04</v>
      </c>
      <c r="Y372">
        <f>SUM(X370:X372)/3</f>
        <v>6606.84</v>
      </c>
      <c r="AB372" s="8">
        <v>21.2</v>
      </c>
      <c r="AC372" s="7" t="s">
        <v>835</v>
      </c>
      <c r="AD372" s="1" t="s">
        <v>299</v>
      </c>
      <c r="AE372" s="8">
        <f>V363</f>
        <v>461</v>
      </c>
      <c r="AF372" s="1" t="s">
        <v>835</v>
      </c>
      <c r="AG372" s="8">
        <f>(AB372*AE372)</f>
        <v>9773.2000000000007</v>
      </c>
      <c r="AH372">
        <f>SUM(AG379:AG381)/3</f>
        <v>6275.53</v>
      </c>
    </row>
    <row r="373" spans="1:34" ht="24" customHeight="1">
      <c r="A373" s="220">
        <f t="shared" si="37"/>
        <v>205</v>
      </c>
      <c r="B373" s="221" t="s">
        <v>938</v>
      </c>
      <c r="C373" s="902"/>
      <c r="D373" s="544"/>
      <c r="H373" s="1" t="s">
        <v>355</v>
      </c>
      <c r="J373" s="11">
        <f>K373-K372</f>
        <v>137.19999999999999</v>
      </c>
      <c r="K373" s="8">
        <f>K372+C21</f>
        <v>6608.26</v>
      </c>
      <c r="O373" s="1" t="s">
        <v>411</v>
      </c>
      <c r="R373" s="8">
        <f>SUM(R365:R371)</f>
        <v>6808.95</v>
      </c>
      <c r="U373" t="s">
        <v>355</v>
      </c>
      <c r="X373">
        <f>X372+C20</f>
        <v>6881.24</v>
      </c>
      <c r="AC373" s="7" t="s">
        <v>419</v>
      </c>
      <c r="AD373" s="1" t="s">
        <v>420</v>
      </c>
      <c r="AF373" s="1" t="s">
        <v>419</v>
      </c>
      <c r="AG373" s="8">
        <v>0</v>
      </c>
    </row>
    <row r="374" spans="1:34" ht="24" customHeight="1">
      <c r="A374" s="220">
        <f t="shared" si="37"/>
        <v>206</v>
      </c>
      <c r="B374" s="221" t="s">
        <v>225</v>
      </c>
      <c r="C374" s="901">
        <v>13.29</v>
      </c>
      <c r="D374" s="543" t="s">
        <v>739</v>
      </c>
      <c r="H374" s="1" t="s">
        <v>453</v>
      </c>
      <c r="J374" s="11">
        <f>K374-K373</f>
        <v>137.19999999999999</v>
      </c>
      <c r="K374" s="8">
        <f>K373+C21</f>
        <v>6745.46</v>
      </c>
      <c r="R374" s="5" t="s">
        <v>1530</v>
      </c>
      <c r="U374" t="s">
        <v>453</v>
      </c>
      <c r="X374">
        <f>X373+C20</f>
        <v>7018.44</v>
      </c>
      <c r="AC374" s="3"/>
      <c r="AF374" s="11"/>
      <c r="AG374" s="5" t="s">
        <v>1530</v>
      </c>
    </row>
    <row r="375" spans="1:34" ht="24" customHeight="1">
      <c r="A375" s="220">
        <f t="shared" si="37"/>
        <v>207</v>
      </c>
      <c r="B375" s="221" t="s">
        <v>226</v>
      </c>
      <c r="C375" s="901">
        <v>18.02</v>
      </c>
      <c r="D375" s="543" t="s">
        <v>739</v>
      </c>
      <c r="H375" s="1" t="s">
        <v>1766</v>
      </c>
      <c r="J375" s="11">
        <f>SUM(K370+K371+K372)/3</f>
        <v>6333.86</v>
      </c>
      <c r="K375" s="8">
        <f>(K370+K371+K372+K373)/4</f>
        <v>6402.46</v>
      </c>
      <c r="O375" s="1" t="s">
        <v>521</v>
      </c>
      <c r="R375" s="8">
        <f>(R373/10)</f>
        <v>680.9</v>
      </c>
      <c r="U375" t="s">
        <v>1766</v>
      </c>
      <c r="W375">
        <v>2171.31</v>
      </c>
      <c r="X375">
        <f>SUM(X370:X373)/4</f>
        <v>6675.44</v>
      </c>
      <c r="AC375" s="3"/>
      <c r="AD375" s="1" t="s">
        <v>583</v>
      </c>
      <c r="AF375" s="11"/>
      <c r="AG375" s="8">
        <f>SUM(AG367:AG373)</f>
        <v>60703.34</v>
      </c>
    </row>
    <row r="376" spans="1:34" ht="24" customHeight="1">
      <c r="A376" s="220">
        <f t="shared" si="37"/>
        <v>208</v>
      </c>
      <c r="B376" s="221" t="s">
        <v>227</v>
      </c>
      <c r="C376" s="901">
        <v>23.17</v>
      </c>
      <c r="D376" s="543" t="s">
        <v>739</v>
      </c>
      <c r="R376" s="5" t="s">
        <v>1980</v>
      </c>
      <c r="AC376" s="3"/>
      <c r="AF376" s="11"/>
      <c r="AG376" s="5" t="s">
        <v>1530</v>
      </c>
    </row>
    <row r="377" spans="1:34" ht="24" customHeight="1">
      <c r="A377" s="220">
        <f t="shared" si="37"/>
        <v>209</v>
      </c>
      <c r="B377" s="221" t="s">
        <v>1767</v>
      </c>
      <c r="C377" s="902"/>
      <c r="D377" s="543" t="s">
        <v>940</v>
      </c>
      <c r="H377" s="2" t="s">
        <v>1768</v>
      </c>
      <c r="N377" s="1" t="s">
        <v>2167</v>
      </c>
      <c r="O377" s="1" t="s">
        <v>1769</v>
      </c>
      <c r="U377" t="s">
        <v>1768</v>
      </c>
      <c r="AC377" s="3"/>
      <c r="AD377" s="1" t="s">
        <v>743</v>
      </c>
      <c r="AF377" s="11"/>
      <c r="AG377" s="8">
        <f>(AG375/10)</f>
        <v>6070.33</v>
      </c>
    </row>
    <row r="378" spans="1:34" ht="24" customHeight="1">
      <c r="A378" s="220">
        <f t="shared" si="37"/>
        <v>210</v>
      </c>
      <c r="B378" s="221" t="s">
        <v>225</v>
      </c>
      <c r="C378" s="901">
        <v>9</v>
      </c>
      <c r="D378" s="543" t="s">
        <v>739</v>
      </c>
      <c r="H378" s="5" t="s">
        <v>1530</v>
      </c>
      <c r="O378" s="5" t="s">
        <v>1530</v>
      </c>
      <c r="U378" t="s">
        <v>1530</v>
      </c>
      <c r="AC378" s="3"/>
      <c r="AF378" s="11"/>
      <c r="AG378" s="5" t="s">
        <v>1980</v>
      </c>
    </row>
    <row r="379" spans="1:34" ht="24" customHeight="1">
      <c r="A379" s="220">
        <f t="shared" si="37"/>
        <v>211</v>
      </c>
      <c r="B379" s="221" t="s">
        <v>226</v>
      </c>
      <c r="C379" s="901">
        <v>11.58</v>
      </c>
      <c r="D379" s="543" t="s">
        <v>739</v>
      </c>
      <c r="F379" s="12">
        <v>10</v>
      </c>
      <c r="G379" s="7" t="s">
        <v>2167</v>
      </c>
      <c r="H379" s="1" t="s">
        <v>2695</v>
      </c>
      <c r="M379" s="8">
        <v>0.05</v>
      </c>
      <c r="N379" s="1" t="s">
        <v>836</v>
      </c>
      <c r="O379" s="1" t="s">
        <v>1933</v>
      </c>
      <c r="P379" s="8">
        <f>(C87)</f>
        <v>1322</v>
      </c>
      <c r="Q379" s="1" t="s">
        <v>836</v>
      </c>
      <c r="R379" s="8">
        <f>(M379*P379)</f>
        <v>66.099999999999994</v>
      </c>
      <c r="S379" s="51">
        <v>10</v>
      </c>
      <c r="T379" t="s">
        <v>2167</v>
      </c>
      <c r="U379" t="s">
        <v>1359</v>
      </c>
      <c r="AC379" s="3"/>
      <c r="AD379" s="1" t="s">
        <v>361</v>
      </c>
      <c r="AF379" s="11"/>
      <c r="AG379" s="8">
        <f>(AG377+C19)</f>
        <v>6138.33</v>
      </c>
    </row>
    <row r="380" spans="1:34" ht="24" customHeight="1">
      <c r="A380" s="220">
        <f t="shared" si="37"/>
        <v>212</v>
      </c>
      <c r="B380" s="221" t="s">
        <v>227</v>
      </c>
      <c r="C380" s="901">
        <v>14.15</v>
      </c>
      <c r="D380" s="543" t="s">
        <v>739</v>
      </c>
      <c r="H380" s="8" t="str">
        <f>H312</f>
        <v>Bricks of size 22x11x7 cm</v>
      </c>
      <c r="M380" s="8">
        <v>1.1000000000000001</v>
      </c>
      <c r="N380" s="1" t="s">
        <v>835</v>
      </c>
      <c r="O380" s="1" t="s">
        <v>1654</v>
      </c>
      <c r="P380" s="8">
        <f>(C11)</f>
        <v>804</v>
      </c>
      <c r="Q380" s="1" t="s">
        <v>835</v>
      </c>
      <c r="R380" s="8">
        <f>(M380*P380)</f>
        <v>884.4</v>
      </c>
      <c r="U380" t="s">
        <v>396</v>
      </c>
      <c r="AC380" s="3"/>
      <c r="AD380" s="1" t="s">
        <v>363</v>
      </c>
      <c r="AF380" s="11"/>
      <c r="AG380" s="8">
        <f>(AG379+C20)</f>
        <v>6275.53</v>
      </c>
    </row>
    <row r="381" spans="1:34" ht="24" customHeight="1">
      <c r="A381" s="220">
        <f t="shared" si="37"/>
        <v>213</v>
      </c>
      <c r="B381" s="221" t="s">
        <v>1770</v>
      </c>
      <c r="C381" s="902"/>
      <c r="D381" s="544"/>
      <c r="H381" s="5" t="s">
        <v>1530</v>
      </c>
      <c r="M381" s="8">
        <v>0.3</v>
      </c>
      <c r="N381" s="1" t="s">
        <v>835</v>
      </c>
      <c r="O381" s="1" t="s">
        <v>1836</v>
      </c>
      <c r="P381" s="8">
        <f>(C12)</f>
        <v>562</v>
      </c>
      <c r="Q381" s="1" t="s">
        <v>835</v>
      </c>
      <c r="R381" s="8">
        <f>(M381*P381)</f>
        <v>168.6</v>
      </c>
      <c r="U381" t="s">
        <v>1530</v>
      </c>
      <c r="AC381" s="3"/>
      <c r="AD381" s="1" t="s">
        <v>2149</v>
      </c>
      <c r="AF381" s="11"/>
      <c r="AG381" s="8">
        <f>(AG380+C20)</f>
        <v>6412.73</v>
      </c>
    </row>
    <row r="382" spans="1:34" ht="24" customHeight="1">
      <c r="A382" s="220">
        <f t="shared" si="37"/>
        <v>214</v>
      </c>
      <c r="B382" s="221" t="s">
        <v>225</v>
      </c>
      <c r="C382" s="901">
        <v>4.29</v>
      </c>
      <c r="D382" s="543" t="s">
        <v>739</v>
      </c>
      <c r="F382" s="8">
        <f>F314</f>
        <v>4800</v>
      </c>
      <c r="G382" s="7" t="s">
        <v>1368</v>
      </c>
      <c r="H382" s="8" t="str">
        <f>H312</f>
        <v>Bricks of size 22x11x7 cm</v>
      </c>
      <c r="I382" s="8">
        <f>(C83)</f>
        <v>5598.17</v>
      </c>
      <c r="J382" s="1" t="s">
        <v>1538</v>
      </c>
      <c r="K382" s="8">
        <f>(F382*I382)/1000</f>
        <v>26871.22</v>
      </c>
      <c r="M382" s="8">
        <v>1.9</v>
      </c>
      <c r="N382" s="1" t="s">
        <v>835</v>
      </c>
      <c r="O382" s="1" t="s">
        <v>299</v>
      </c>
      <c r="P382" s="8">
        <f>(C13)</f>
        <v>461</v>
      </c>
      <c r="Q382" s="1" t="s">
        <v>835</v>
      </c>
      <c r="R382" s="8">
        <f>(M382*P382)</f>
        <v>875.9</v>
      </c>
      <c r="S382" s="51">
        <v>4600</v>
      </c>
      <c r="T382" t="s">
        <v>1368</v>
      </c>
      <c r="U382" t="s">
        <v>396</v>
      </c>
      <c r="V382">
        <f>AC44</f>
        <v>6435</v>
      </c>
      <c r="W382" t="s">
        <v>1538</v>
      </c>
      <c r="X382">
        <f>S382*V382/1000</f>
        <v>29601</v>
      </c>
      <c r="AC382" s="3"/>
      <c r="AD382" s="1" t="s">
        <v>355</v>
      </c>
      <c r="AF382" s="11"/>
      <c r="AG382" s="8">
        <f>AG381+C20</f>
        <v>6549.93</v>
      </c>
    </row>
    <row r="383" spans="1:34" ht="24" customHeight="1">
      <c r="A383" s="220">
        <f t="shared" si="37"/>
        <v>215</v>
      </c>
      <c r="B383" s="221" t="s">
        <v>226</v>
      </c>
      <c r="C383" s="901">
        <v>6.01</v>
      </c>
      <c r="D383" s="543" t="s">
        <v>739</v>
      </c>
      <c r="F383" s="8">
        <v>1.59</v>
      </c>
      <c r="G383" s="7" t="s">
        <v>836</v>
      </c>
      <c r="H383" s="1" t="s">
        <v>1258</v>
      </c>
      <c r="I383" s="8">
        <f>(K40)</f>
        <v>3646.42</v>
      </c>
      <c r="J383" s="1" t="s">
        <v>836</v>
      </c>
      <c r="K383" s="8">
        <f>(F383*I383)</f>
        <v>5797.81</v>
      </c>
      <c r="N383" s="1" t="s">
        <v>419</v>
      </c>
      <c r="O383" s="1" t="s">
        <v>1771</v>
      </c>
      <c r="P383" s="1" t="s">
        <v>940</v>
      </c>
      <c r="Q383" s="1" t="s">
        <v>419</v>
      </c>
      <c r="R383" s="8">
        <v>1.46</v>
      </c>
      <c r="S383" s="51">
        <v>1.59</v>
      </c>
      <c r="T383" t="s">
        <v>836</v>
      </c>
      <c r="U383" t="s">
        <v>1258</v>
      </c>
      <c r="V383">
        <f>I383</f>
        <v>3646.42</v>
      </c>
      <c r="W383" t="s">
        <v>836</v>
      </c>
      <c r="X383">
        <f>V383*S383</f>
        <v>5797.81</v>
      </c>
      <c r="AC383" s="3"/>
      <c r="AD383" s="1" t="s">
        <v>453</v>
      </c>
      <c r="AF383" s="11"/>
      <c r="AG383" s="8">
        <f>AG382+C20</f>
        <v>6687.13</v>
      </c>
    </row>
    <row r="384" spans="1:34" ht="24" customHeight="1">
      <c r="A384" s="220">
        <f t="shared" si="37"/>
        <v>216</v>
      </c>
      <c r="B384" s="221" t="s">
        <v>227</v>
      </c>
      <c r="C384" s="901">
        <v>6.86</v>
      </c>
      <c r="D384" s="543" t="s">
        <v>739</v>
      </c>
      <c r="F384" s="8">
        <v>7</v>
      </c>
      <c r="G384" s="7" t="s">
        <v>835</v>
      </c>
      <c r="H384" s="1" t="s">
        <v>1938</v>
      </c>
      <c r="I384" s="8">
        <f>(C10)</f>
        <v>861</v>
      </c>
      <c r="J384" s="1" t="s">
        <v>835</v>
      </c>
      <c r="K384" s="8">
        <f>(F384*I384)</f>
        <v>6027</v>
      </c>
      <c r="R384" s="5" t="s">
        <v>1530</v>
      </c>
      <c r="S384" s="51">
        <v>7</v>
      </c>
      <c r="T384" t="s">
        <v>835</v>
      </c>
      <c r="U384" t="s">
        <v>1938</v>
      </c>
      <c r="V384">
        <f>I384</f>
        <v>861</v>
      </c>
      <c r="W384" t="s">
        <v>835</v>
      </c>
      <c r="X384">
        <f>V384*S384</f>
        <v>6027</v>
      </c>
      <c r="AC384" s="3"/>
      <c r="AD384" s="1" t="s">
        <v>1766</v>
      </c>
      <c r="AF384" s="11"/>
      <c r="AG384" s="8">
        <f>(AG379+AG380+AG381+AG382)/4</f>
        <v>6344.13</v>
      </c>
    </row>
    <row r="385" spans="1:45" ht="24" customHeight="1">
      <c r="A385" s="220">
        <f t="shared" si="37"/>
        <v>217</v>
      </c>
      <c r="B385" s="221" t="s">
        <v>1772</v>
      </c>
      <c r="C385" s="902"/>
      <c r="D385" s="543" t="s">
        <v>940</v>
      </c>
      <c r="F385" s="8">
        <v>7.1</v>
      </c>
      <c r="G385" s="7" t="s">
        <v>835</v>
      </c>
      <c r="H385" s="1" t="s">
        <v>1654</v>
      </c>
      <c r="I385" s="8">
        <f>(C11)</f>
        <v>804</v>
      </c>
      <c r="J385" s="1" t="s">
        <v>835</v>
      </c>
      <c r="K385" s="8">
        <f>(F385*I385)</f>
        <v>5708.4</v>
      </c>
      <c r="O385" s="1" t="s">
        <v>1773</v>
      </c>
      <c r="R385" s="8">
        <f>SUM(R378:R383)</f>
        <v>1996.46</v>
      </c>
      <c r="S385" s="51">
        <v>7.1</v>
      </c>
      <c r="T385" t="s">
        <v>835</v>
      </c>
      <c r="U385" t="s">
        <v>1654</v>
      </c>
      <c r="V385">
        <f>I385</f>
        <v>804</v>
      </c>
      <c r="W385" t="s">
        <v>835</v>
      </c>
      <c r="X385">
        <f>V385*S385</f>
        <v>5708.4</v>
      </c>
      <c r="AC385" s="3"/>
      <c r="AF385" s="11"/>
    </row>
    <row r="386" spans="1:45" ht="24" customHeight="1">
      <c r="A386" s="220">
        <f t="shared" si="37"/>
        <v>218</v>
      </c>
      <c r="B386" s="221" t="s">
        <v>225</v>
      </c>
      <c r="C386" s="901">
        <v>14.91</v>
      </c>
      <c r="D386" s="543" t="s">
        <v>739</v>
      </c>
      <c r="F386" s="8">
        <v>7.1</v>
      </c>
      <c r="G386" s="7" t="s">
        <v>835</v>
      </c>
      <c r="H386" s="1" t="s">
        <v>1836</v>
      </c>
      <c r="I386" s="8">
        <f>(C12)</f>
        <v>562</v>
      </c>
      <c r="J386" s="1" t="s">
        <v>835</v>
      </c>
      <c r="K386" s="8">
        <f>(F386*I386)</f>
        <v>3990.2</v>
      </c>
      <c r="R386" s="5" t="s">
        <v>1530</v>
      </c>
      <c r="S386" s="51">
        <v>7.1</v>
      </c>
      <c r="T386" t="s">
        <v>835</v>
      </c>
      <c r="U386" t="s">
        <v>1836</v>
      </c>
      <c r="V386">
        <f>I386</f>
        <v>562</v>
      </c>
      <c r="W386" t="s">
        <v>835</v>
      </c>
      <c r="X386">
        <f>V386*S386</f>
        <v>3990.2</v>
      </c>
      <c r="AC386" s="3"/>
      <c r="AD386" s="2" t="s">
        <v>1768</v>
      </c>
      <c r="AF386" s="11"/>
    </row>
    <row r="387" spans="1:45" ht="24" customHeight="1">
      <c r="A387" s="220">
        <f t="shared" si="37"/>
        <v>219</v>
      </c>
      <c r="B387" s="221" t="s">
        <v>226</v>
      </c>
      <c r="C387" s="901">
        <v>17.579999999999998</v>
      </c>
      <c r="D387" s="543" t="s">
        <v>739</v>
      </c>
      <c r="F387" s="8">
        <v>21.2</v>
      </c>
      <c r="G387" s="7" t="s">
        <v>835</v>
      </c>
      <c r="H387" s="1" t="s">
        <v>299</v>
      </c>
      <c r="I387" s="8">
        <f>(C13)</f>
        <v>461</v>
      </c>
      <c r="J387" s="1" t="s">
        <v>835</v>
      </c>
      <c r="K387" s="8">
        <f>(F387*I387)</f>
        <v>9773.2000000000007</v>
      </c>
      <c r="O387" s="1" t="s">
        <v>521</v>
      </c>
      <c r="R387" s="8">
        <f>(R385/100)</f>
        <v>19.96</v>
      </c>
      <c r="S387" s="51">
        <v>21.2</v>
      </c>
      <c r="T387" t="s">
        <v>835</v>
      </c>
      <c r="U387" t="s">
        <v>299</v>
      </c>
      <c r="V387">
        <f>I387</f>
        <v>461</v>
      </c>
      <c r="W387" t="s">
        <v>835</v>
      </c>
      <c r="X387">
        <f>V387*S387</f>
        <v>9773.2000000000007</v>
      </c>
      <c r="AC387" s="3"/>
      <c r="AD387" s="5" t="s">
        <v>1530</v>
      </c>
      <c r="AF387" s="11"/>
    </row>
    <row r="388" spans="1:45" ht="24" customHeight="1">
      <c r="A388" s="220">
        <f t="shared" si="37"/>
        <v>220</v>
      </c>
      <c r="B388" s="221" t="s">
        <v>227</v>
      </c>
      <c r="C388" s="901">
        <v>19.3</v>
      </c>
      <c r="D388" s="543" t="s">
        <v>739</v>
      </c>
      <c r="G388" s="7" t="s">
        <v>419</v>
      </c>
      <c r="H388" s="1" t="s">
        <v>420</v>
      </c>
      <c r="I388" s="1" t="s">
        <v>940</v>
      </c>
      <c r="J388" s="1" t="s">
        <v>419</v>
      </c>
      <c r="K388" s="8">
        <v>0</v>
      </c>
      <c r="R388" s="5" t="s">
        <v>1980</v>
      </c>
      <c r="T388" t="s">
        <v>419</v>
      </c>
      <c r="U388" t="s">
        <v>420</v>
      </c>
      <c r="V388" t="s">
        <v>940</v>
      </c>
      <c r="W388" t="s">
        <v>419</v>
      </c>
      <c r="X388">
        <v>0</v>
      </c>
      <c r="AB388" s="12">
        <v>10</v>
      </c>
      <c r="AC388" s="7" t="s">
        <v>2167</v>
      </c>
      <c r="AD388" s="1" t="s">
        <v>784</v>
      </c>
      <c r="AF388" s="11"/>
      <c r="AN388" s="12"/>
      <c r="AO388" s="7" t="s">
        <v>2167</v>
      </c>
      <c r="AP388" s="1" t="s">
        <v>4627</v>
      </c>
      <c r="AR388" s="11"/>
    </row>
    <row r="389" spans="1:45" ht="24" customHeight="1">
      <c r="A389" s="220">
        <f t="shared" si="37"/>
        <v>221</v>
      </c>
      <c r="B389" s="221" t="s">
        <v>1073</v>
      </c>
      <c r="C389" s="902"/>
      <c r="D389" s="544"/>
      <c r="K389" s="5" t="s">
        <v>1530</v>
      </c>
      <c r="X389" s="56" t="s">
        <v>398</v>
      </c>
      <c r="AC389" s="3"/>
      <c r="AD389" s="8" t="str">
        <f>AD312</f>
        <v>Bricks of size 23x11.4x7.5 cm</v>
      </c>
      <c r="AF389" s="11"/>
      <c r="AO389" s="3"/>
      <c r="AP389" s="8"/>
      <c r="AR389" s="11"/>
    </row>
    <row r="390" spans="1:45" ht="24" customHeight="1">
      <c r="A390" s="220">
        <f t="shared" si="37"/>
        <v>222</v>
      </c>
      <c r="B390" s="221" t="s">
        <v>225</v>
      </c>
      <c r="C390" s="901">
        <v>15.87</v>
      </c>
      <c r="D390" s="543" t="s">
        <v>739</v>
      </c>
      <c r="H390" s="1" t="s">
        <v>583</v>
      </c>
      <c r="K390" s="8">
        <f>SUM(K382:K388)</f>
        <v>58167.83</v>
      </c>
      <c r="U390" t="s">
        <v>583</v>
      </c>
      <c r="X390">
        <f>SUM(X382:X389)</f>
        <v>60897.61</v>
      </c>
      <c r="AC390" s="3"/>
      <c r="AD390" s="5" t="s">
        <v>1530</v>
      </c>
      <c r="AF390" s="11"/>
      <c r="AO390" s="3"/>
      <c r="AP390" s="5" t="s">
        <v>1530</v>
      </c>
      <c r="AR390" s="11"/>
    </row>
    <row r="391" spans="1:45" ht="35.25" customHeight="1">
      <c r="A391" s="220">
        <f t="shared" si="37"/>
        <v>223</v>
      </c>
      <c r="B391" s="221" t="s">
        <v>226</v>
      </c>
      <c r="C391" s="901">
        <v>20.16</v>
      </c>
      <c r="D391" s="543" t="s">
        <v>739</v>
      </c>
      <c r="K391" s="5" t="s">
        <v>1530</v>
      </c>
      <c r="N391" s="1" t="s">
        <v>643</v>
      </c>
      <c r="O391" s="1" t="s">
        <v>1074</v>
      </c>
      <c r="X391" s="56" t="s">
        <v>398</v>
      </c>
      <c r="AB391" s="8">
        <f>AB314</f>
        <v>4240</v>
      </c>
      <c r="AC391" s="7" t="s">
        <v>1368</v>
      </c>
      <c r="AD391" s="8" t="str">
        <f>AD312</f>
        <v>Bricks of size 23x11.4x7.5 cm</v>
      </c>
      <c r="AE391" s="8">
        <f>AC45</f>
        <v>6630</v>
      </c>
      <c r="AF391" s="1" t="s">
        <v>1538</v>
      </c>
      <c r="AG391" s="8">
        <f>(AB391*AE391)/1000</f>
        <v>28111.200000000001</v>
      </c>
      <c r="AN391" s="8">
        <v>91</v>
      </c>
      <c r="AO391" s="7" t="s">
        <v>1368</v>
      </c>
      <c r="AP391" s="879" t="s">
        <v>4628</v>
      </c>
      <c r="AQ391" s="423">
        <v>45.35</v>
      </c>
      <c r="AR391" s="1" t="s">
        <v>1341</v>
      </c>
      <c r="AS391" s="8">
        <f>(AN391*AQ391)</f>
        <v>4126.8500000000004</v>
      </c>
    </row>
    <row r="392" spans="1:45" ht="24" customHeight="1">
      <c r="A392" s="220">
        <f t="shared" si="37"/>
        <v>224</v>
      </c>
      <c r="B392" s="221" t="s">
        <v>227</v>
      </c>
      <c r="C392" s="901">
        <v>22.31</v>
      </c>
      <c r="D392" s="543" t="s">
        <v>739</v>
      </c>
      <c r="H392" s="1" t="s">
        <v>743</v>
      </c>
      <c r="K392" s="8">
        <f>(K390/10)</f>
        <v>5816.78</v>
      </c>
      <c r="O392" s="5" t="s">
        <v>1530</v>
      </c>
      <c r="U392" t="s">
        <v>743</v>
      </c>
      <c r="X392">
        <f>X390/10</f>
        <v>6089.76</v>
      </c>
      <c r="AB392" s="8">
        <v>1.27</v>
      </c>
      <c r="AC392" s="7" t="s">
        <v>836</v>
      </c>
      <c r="AD392" s="1" t="s">
        <v>1258</v>
      </c>
      <c r="AE392" s="8">
        <f>V383</f>
        <v>3646.42</v>
      </c>
      <c r="AF392" s="1" t="s">
        <v>836</v>
      </c>
      <c r="AG392" s="8">
        <f>(AB392*AE392)</f>
        <v>4630.95</v>
      </c>
      <c r="AN392" s="8">
        <v>0.11</v>
      </c>
      <c r="AO392" s="7" t="s">
        <v>836</v>
      </c>
      <c r="AP392" s="1" t="s">
        <v>1258</v>
      </c>
      <c r="AQ392" s="8">
        <f>AE392</f>
        <v>3646.42</v>
      </c>
      <c r="AR392" s="1" t="s">
        <v>836</v>
      </c>
      <c r="AS392" s="8">
        <f>(AN392*AQ392)</f>
        <v>401.11</v>
      </c>
    </row>
    <row r="393" spans="1:45" ht="24" customHeight="1">
      <c r="A393" s="220">
        <f t="shared" si="37"/>
        <v>225</v>
      </c>
      <c r="B393" s="221" t="s">
        <v>2144</v>
      </c>
      <c r="C393" s="450"/>
      <c r="D393" s="449" t="s">
        <v>940</v>
      </c>
      <c r="K393" s="5" t="s">
        <v>1980</v>
      </c>
      <c r="M393" s="8">
        <v>7.0000000000000007E-2</v>
      </c>
      <c r="N393" s="1" t="s">
        <v>836</v>
      </c>
      <c r="O393" s="1" t="s">
        <v>1933</v>
      </c>
      <c r="P393" s="8">
        <f>(C87)</f>
        <v>1322</v>
      </c>
      <c r="Q393" s="1" t="s">
        <v>836</v>
      </c>
      <c r="R393" s="8">
        <f>(M393*P393)</f>
        <v>92.54</v>
      </c>
      <c r="X393" s="56" t="s">
        <v>33</v>
      </c>
      <c r="AB393" s="8">
        <v>7</v>
      </c>
      <c r="AC393" s="7" t="s">
        <v>835</v>
      </c>
      <c r="AD393" s="1" t="s">
        <v>1938</v>
      </c>
      <c r="AE393" s="8">
        <f>V384</f>
        <v>861</v>
      </c>
      <c r="AF393" s="1" t="s">
        <v>835</v>
      </c>
      <c r="AG393" s="8">
        <f>(AB393*AE393)</f>
        <v>6027</v>
      </c>
      <c r="AN393" s="8">
        <v>1.25</v>
      </c>
      <c r="AO393" s="7" t="s">
        <v>835</v>
      </c>
      <c r="AP393" s="1" t="s">
        <v>1938</v>
      </c>
      <c r="AQ393" s="8">
        <f>AE393</f>
        <v>861</v>
      </c>
      <c r="AR393" s="1" t="s">
        <v>835</v>
      </c>
      <c r="AS393" s="8">
        <f>(AN393*AQ393)</f>
        <v>1076.25</v>
      </c>
    </row>
    <row r="394" spans="1:45" ht="24" customHeight="1">
      <c r="A394" s="220">
        <f t="shared" si="37"/>
        <v>226</v>
      </c>
      <c r="B394" s="1" t="s">
        <v>4702</v>
      </c>
      <c r="C394" s="423">
        <v>69.8</v>
      </c>
      <c r="D394" s="221" t="s">
        <v>1714</v>
      </c>
      <c r="M394" s="8">
        <v>1.6</v>
      </c>
      <c r="N394" s="1" t="s">
        <v>835</v>
      </c>
      <c r="O394" s="1" t="s">
        <v>1654</v>
      </c>
      <c r="P394" s="8">
        <f>(C11)</f>
        <v>804</v>
      </c>
      <c r="Q394" s="1" t="s">
        <v>835</v>
      </c>
      <c r="R394" s="8">
        <f>(M394*P394)</f>
        <v>1286.4000000000001</v>
      </c>
      <c r="AB394" s="8">
        <v>7.1</v>
      </c>
      <c r="AC394" s="7" t="s">
        <v>835</v>
      </c>
      <c r="AD394" s="1" t="s">
        <v>1654</v>
      </c>
      <c r="AE394" s="8">
        <f>V385</f>
        <v>804</v>
      </c>
      <c r="AF394" s="1" t="s">
        <v>835</v>
      </c>
      <c r="AG394" s="8">
        <f>(AB394*AE394)</f>
        <v>5708.4</v>
      </c>
      <c r="AN394" s="8"/>
      <c r="AO394" s="7"/>
      <c r="AP394" s="1"/>
      <c r="AQ394" s="8"/>
      <c r="AR394" s="1"/>
      <c r="AS394" s="8"/>
    </row>
    <row r="395" spans="1:45" ht="24" customHeight="1">
      <c r="A395" s="220">
        <f t="shared" si="37"/>
        <v>227</v>
      </c>
      <c r="B395" s="221" t="s">
        <v>1076</v>
      </c>
      <c r="C395" s="423">
        <v>98.6</v>
      </c>
      <c r="D395" s="221" t="s">
        <v>1714</v>
      </c>
      <c r="G395" s="7" t="s">
        <v>643</v>
      </c>
      <c r="H395" s="1" t="s">
        <v>2856</v>
      </c>
      <c r="M395" s="8">
        <v>0.5</v>
      </c>
      <c r="N395" s="1" t="s">
        <v>835</v>
      </c>
      <c r="O395" s="1" t="s">
        <v>1836</v>
      </c>
      <c r="P395" s="8">
        <f>(C12)</f>
        <v>562</v>
      </c>
      <c r="Q395" s="1" t="s">
        <v>835</v>
      </c>
      <c r="R395" s="8">
        <f>(M395*P395)</f>
        <v>281</v>
      </c>
      <c r="T395" t="s">
        <v>643</v>
      </c>
      <c r="U395" t="s">
        <v>399</v>
      </c>
      <c r="AB395" s="8">
        <v>7.1</v>
      </c>
      <c r="AC395" s="7" t="s">
        <v>835</v>
      </c>
      <c r="AD395" s="1" t="s">
        <v>1836</v>
      </c>
      <c r="AE395" s="8">
        <f>V386</f>
        <v>562</v>
      </c>
      <c r="AF395" s="1" t="s">
        <v>835</v>
      </c>
      <c r="AG395" s="8">
        <f>(AB395*AE395)</f>
        <v>3990.2</v>
      </c>
      <c r="AN395" s="8">
        <v>0.88</v>
      </c>
      <c r="AO395" s="7" t="s">
        <v>835</v>
      </c>
      <c r="AP395" s="1" t="s">
        <v>1836</v>
      </c>
      <c r="AQ395" s="8">
        <f>AE395</f>
        <v>562</v>
      </c>
      <c r="AR395" s="1" t="s">
        <v>835</v>
      </c>
      <c r="AS395" s="8">
        <f>(AN395*AQ395)</f>
        <v>494.56</v>
      </c>
    </row>
    <row r="396" spans="1:45" ht="24" customHeight="1">
      <c r="A396" s="220">
        <f t="shared" si="37"/>
        <v>228</v>
      </c>
      <c r="B396" s="221" t="s">
        <v>1077</v>
      </c>
      <c r="C396" s="423">
        <v>128</v>
      </c>
      <c r="D396" s="221" t="s">
        <v>1714</v>
      </c>
      <c r="H396" s="5" t="s">
        <v>1530</v>
      </c>
      <c r="M396" s="8">
        <v>2.7</v>
      </c>
      <c r="N396" s="1" t="s">
        <v>835</v>
      </c>
      <c r="O396" s="1" t="s">
        <v>299</v>
      </c>
      <c r="P396" s="8">
        <f>(C13)</f>
        <v>461</v>
      </c>
      <c r="Q396" s="1" t="s">
        <v>835</v>
      </c>
      <c r="R396" s="8">
        <f>(M396*P396)</f>
        <v>1244.7</v>
      </c>
      <c r="U396" t="s">
        <v>1530</v>
      </c>
      <c r="AB396" s="8">
        <v>21.2</v>
      </c>
      <c r="AC396" s="7" t="s">
        <v>835</v>
      </c>
      <c r="AD396" s="1" t="s">
        <v>299</v>
      </c>
      <c r="AE396" s="8">
        <f>V387</f>
        <v>461</v>
      </c>
      <c r="AF396" s="1" t="s">
        <v>835</v>
      </c>
      <c r="AG396" s="8">
        <f>(AB396*AE396)</f>
        <v>9773.2000000000007</v>
      </c>
      <c r="AN396" s="8">
        <v>0.88</v>
      </c>
      <c r="AO396" s="7" t="s">
        <v>835</v>
      </c>
      <c r="AP396" s="1" t="s">
        <v>299</v>
      </c>
      <c r="AQ396" s="8">
        <f>AE396</f>
        <v>461</v>
      </c>
      <c r="AR396" s="1" t="s">
        <v>835</v>
      </c>
      <c r="AS396" s="8">
        <f>(AN396*AQ396)</f>
        <v>405.68</v>
      </c>
    </row>
    <row r="397" spans="1:45" ht="24" customHeight="1">
      <c r="A397" s="220">
        <f t="shared" si="37"/>
        <v>229</v>
      </c>
      <c r="B397" s="221" t="s">
        <v>1078</v>
      </c>
      <c r="C397" s="423">
        <v>151.4</v>
      </c>
      <c r="D397" s="221" t="s">
        <v>1714</v>
      </c>
      <c r="F397" s="8">
        <v>1.1000000000000001</v>
      </c>
      <c r="G397" s="7" t="s">
        <v>836</v>
      </c>
      <c r="H397" s="1" t="s">
        <v>1079</v>
      </c>
      <c r="I397" s="8">
        <f>(K392)</f>
        <v>5816.78</v>
      </c>
      <c r="J397" s="1" t="s">
        <v>836</v>
      </c>
      <c r="K397" s="8">
        <f>(F397*I397)</f>
        <v>6398.46</v>
      </c>
      <c r="N397" s="1" t="s">
        <v>419</v>
      </c>
      <c r="O397" s="1" t="s">
        <v>1771</v>
      </c>
      <c r="P397" s="1" t="s">
        <v>940</v>
      </c>
      <c r="Q397" s="1" t="s">
        <v>419</v>
      </c>
      <c r="R397" s="8">
        <v>2.09</v>
      </c>
      <c r="S397" s="51">
        <v>1.1200000000000001</v>
      </c>
      <c r="T397" t="s">
        <v>836</v>
      </c>
      <c r="U397" t="s">
        <v>1079</v>
      </c>
      <c r="V397">
        <f>X392</f>
        <v>6089.76</v>
      </c>
      <c r="W397" t="s">
        <v>836</v>
      </c>
      <c r="X397">
        <f>V397*S397</f>
        <v>6820.53</v>
      </c>
      <c r="AC397" s="7" t="s">
        <v>419</v>
      </c>
      <c r="AD397" s="1" t="s">
        <v>420</v>
      </c>
      <c r="AE397" s="1" t="s">
        <v>940</v>
      </c>
      <c r="AF397" s="1" t="s">
        <v>419</v>
      </c>
      <c r="AG397" s="8">
        <v>0</v>
      </c>
      <c r="AO397" s="7" t="s">
        <v>419</v>
      </c>
      <c r="AP397" s="1" t="s">
        <v>420</v>
      </c>
      <c r="AQ397" s="1" t="s">
        <v>940</v>
      </c>
      <c r="AR397" s="1" t="s">
        <v>419</v>
      </c>
      <c r="AS397" s="8">
        <v>0</v>
      </c>
    </row>
    <row r="398" spans="1:45" ht="24" customHeight="1">
      <c r="A398" s="220">
        <f t="shared" si="37"/>
        <v>230</v>
      </c>
      <c r="B398" s="221" t="s">
        <v>1080</v>
      </c>
      <c r="C398" s="423">
        <v>163</v>
      </c>
      <c r="D398" s="221" t="s">
        <v>1714</v>
      </c>
      <c r="F398" s="8">
        <v>1</v>
      </c>
      <c r="G398" s="7" t="s">
        <v>739</v>
      </c>
      <c r="H398" s="1" t="s">
        <v>1938</v>
      </c>
      <c r="I398" s="8">
        <f>(C10)</f>
        <v>861</v>
      </c>
      <c r="J398" s="1" t="s">
        <v>835</v>
      </c>
      <c r="K398" s="8">
        <f>(F398*I398)</f>
        <v>861</v>
      </c>
      <c r="R398" s="5" t="s">
        <v>1530</v>
      </c>
      <c r="S398" s="51">
        <v>1</v>
      </c>
      <c r="T398" t="s">
        <v>739</v>
      </c>
      <c r="U398" t="s">
        <v>1938</v>
      </c>
      <c r="V398">
        <f>I398</f>
        <v>861</v>
      </c>
      <c r="W398" t="s">
        <v>835</v>
      </c>
      <c r="X398">
        <f>V398*S398</f>
        <v>861</v>
      </c>
      <c r="AC398" s="3"/>
      <c r="AF398" s="11"/>
      <c r="AG398" s="5" t="s">
        <v>1530</v>
      </c>
      <c r="AO398" s="3"/>
      <c r="AR398" s="11"/>
      <c r="AS398" s="5" t="s">
        <v>1530</v>
      </c>
    </row>
    <row r="399" spans="1:45" ht="24" customHeight="1">
      <c r="A399" s="220">
        <f t="shared" si="37"/>
        <v>231</v>
      </c>
      <c r="B399" s="221" t="s">
        <v>225</v>
      </c>
      <c r="C399" s="423">
        <v>209</v>
      </c>
      <c r="D399" s="221" t="s">
        <v>1714</v>
      </c>
      <c r="G399" s="7" t="s">
        <v>419</v>
      </c>
      <c r="H399" s="1" t="s">
        <v>420</v>
      </c>
      <c r="I399" s="1" t="s">
        <v>940</v>
      </c>
      <c r="J399" s="1" t="s">
        <v>419</v>
      </c>
      <c r="K399" s="8">
        <v>0</v>
      </c>
      <c r="O399" s="1" t="s">
        <v>1773</v>
      </c>
      <c r="R399" s="8">
        <f>SUM(R392:R397)</f>
        <v>2906.73</v>
      </c>
      <c r="T399" t="s">
        <v>419</v>
      </c>
      <c r="U399" t="s">
        <v>420</v>
      </c>
      <c r="V399" t="s">
        <v>940</v>
      </c>
      <c r="W399" t="s">
        <v>419</v>
      </c>
      <c r="X399">
        <v>0</v>
      </c>
      <c r="AC399" s="3"/>
      <c r="AD399" s="1" t="s">
        <v>583</v>
      </c>
      <c r="AF399" s="11"/>
      <c r="AG399" s="8">
        <f>SUM(AG391:AG397)</f>
        <v>58240.95</v>
      </c>
      <c r="AO399" s="3"/>
      <c r="AP399" s="1" t="s">
        <v>4629</v>
      </c>
      <c r="AR399" s="11"/>
      <c r="AS399" s="8">
        <f>SUM(AS391:AS397)</f>
        <v>6504.45</v>
      </c>
    </row>
    <row r="400" spans="1:45" ht="24" customHeight="1">
      <c r="A400" s="220">
        <f t="shared" si="37"/>
        <v>232</v>
      </c>
      <c r="B400" s="221" t="s">
        <v>3923</v>
      </c>
      <c r="C400" s="423">
        <v>244.4</v>
      </c>
      <c r="D400" s="221" t="s">
        <v>1714</v>
      </c>
      <c r="K400" s="5" t="s">
        <v>1530</v>
      </c>
      <c r="R400" s="5" t="s">
        <v>1530</v>
      </c>
      <c r="X400" s="56" t="s">
        <v>398</v>
      </c>
      <c r="AC400" s="3"/>
      <c r="AF400" s="11"/>
      <c r="AG400" s="5" t="s">
        <v>1530</v>
      </c>
      <c r="AO400" s="3"/>
      <c r="AR400" s="11"/>
      <c r="AS400" s="5" t="s">
        <v>1530</v>
      </c>
    </row>
    <row r="401" spans="1:45" ht="24" customHeight="1">
      <c r="A401" s="220">
        <f t="shared" si="37"/>
        <v>233</v>
      </c>
      <c r="B401" s="1" t="s">
        <v>4703</v>
      </c>
      <c r="C401" s="223"/>
      <c r="D401" s="223"/>
      <c r="H401" s="1" t="s">
        <v>411</v>
      </c>
      <c r="K401" s="8">
        <f>SUM(K397:K399)</f>
        <v>7259.46</v>
      </c>
      <c r="O401" s="1" t="s">
        <v>521</v>
      </c>
      <c r="R401" s="8">
        <f>(R399/100)</f>
        <v>29.07</v>
      </c>
      <c r="U401" t="s">
        <v>411</v>
      </c>
      <c r="X401">
        <f>SUM(X397:X399)</f>
        <v>7681.53</v>
      </c>
      <c r="AC401" s="3"/>
      <c r="AD401" s="1" t="s">
        <v>743</v>
      </c>
      <c r="AF401" s="11"/>
      <c r="AG401" s="8">
        <f>(AG399/10)</f>
        <v>5824.1</v>
      </c>
      <c r="AO401" s="3"/>
      <c r="AP401" s="1" t="s">
        <v>521</v>
      </c>
      <c r="AR401" s="11"/>
      <c r="AS401" s="8">
        <f>(AS399/10.71)</f>
        <v>607.32000000000005</v>
      </c>
    </row>
    <row r="402" spans="1:45" ht="24" customHeight="1">
      <c r="A402" s="220">
        <f t="shared" si="37"/>
        <v>234</v>
      </c>
      <c r="B402" s="221" t="s">
        <v>1075</v>
      </c>
      <c r="C402" s="423">
        <v>13.6</v>
      </c>
      <c r="D402" s="221" t="s">
        <v>835</v>
      </c>
      <c r="K402" s="5" t="s">
        <v>1530</v>
      </c>
      <c r="R402" s="5" t="s">
        <v>1980</v>
      </c>
      <c r="X402" s="56" t="s">
        <v>398</v>
      </c>
      <c r="AC402" s="3"/>
      <c r="AF402" s="11"/>
      <c r="AG402" s="5" t="s">
        <v>1980</v>
      </c>
      <c r="AO402" s="3"/>
      <c r="AR402" s="11"/>
      <c r="AS402" s="5" t="s">
        <v>1980</v>
      </c>
    </row>
    <row r="403" spans="1:45" ht="24" customHeight="1">
      <c r="A403" s="220">
        <f t="shared" si="37"/>
        <v>235</v>
      </c>
      <c r="B403" s="221" t="s">
        <v>1076</v>
      </c>
      <c r="C403" s="423">
        <v>23.2</v>
      </c>
      <c r="D403" s="221" t="s">
        <v>835</v>
      </c>
      <c r="H403" s="1" t="s">
        <v>521</v>
      </c>
      <c r="K403" s="39">
        <f>(K401/10)</f>
        <v>725.95</v>
      </c>
      <c r="N403" s="1" t="s">
        <v>643</v>
      </c>
      <c r="O403" s="1" t="s">
        <v>327</v>
      </c>
      <c r="U403" t="s">
        <v>521</v>
      </c>
      <c r="X403">
        <f>X401/10</f>
        <v>768.15</v>
      </c>
      <c r="AC403" s="3"/>
      <c r="AF403" s="11"/>
      <c r="AP403" s="1" t="s">
        <v>361</v>
      </c>
      <c r="AR403" s="11">
        <f>AF414</f>
        <v>7.75</v>
      </c>
      <c r="AS403" s="39">
        <f>AS401+AR403</f>
        <v>615.07000000000005</v>
      </c>
    </row>
    <row r="404" spans="1:45" ht="24" customHeight="1">
      <c r="A404" s="220">
        <f t="shared" si="37"/>
        <v>236</v>
      </c>
      <c r="B404" s="221" t="s">
        <v>1077</v>
      </c>
      <c r="C404" s="423">
        <v>52</v>
      </c>
      <c r="D404" s="221" t="s">
        <v>835</v>
      </c>
      <c r="K404" s="5" t="s">
        <v>1980</v>
      </c>
      <c r="O404" s="5" t="s">
        <v>1530</v>
      </c>
      <c r="X404" s="56" t="s">
        <v>33</v>
      </c>
      <c r="AC404" s="7" t="s">
        <v>643</v>
      </c>
      <c r="AD404" s="1" t="s">
        <v>3138</v>
      </c>
      <c r="AF404" s="11"/>
      <c r="AP404" s="1" t="s">
        <v>363</v>
      </c>
      <c r="AR404" s="11">
        <f>AF415</f>
        <v>15.64</v>
      </c>
      <c r="AS404" s="39">
        <f t="shared" ref="AS404:AS409" si="39">AS403+AR404</f>
        <v>630.71</v>
      </c>
    </row>
    <row r="405" spans="1:45" ht="24" customHeight="1">
      <c r="A405" s="220">
        <f t="shared" si="37"/>
        <v>237</v>
      </c>
      <c r="B405" s="221" t="s">
        <v>1078</v>
      </c>
      <c r="C405" s="423">
        <v>69.8</v>
      </c>
      <c r="D405" s="221" t="s">
        <v>835</v>
      </c>
      <c r="H405" s="1" t="s">
        <v>361</v>
      </c>
      <c r="J405" s="11">
        <f>K405-K403</f>
        <v>7.48</v>
      </c>
      <c r="K405" s="39">
        <f>(K403+C19/10*F397)</f>
        <v>733.43</v>
      </c>
      <c r="M405" s="8">
        <v>10</v>
      </c>
      <c r="N405" s="1" t="s">
        <v>578</v>
      </c>
      <c r="O405" s="1" t="s">
        <v>1074</v>
      </c>
      <c r="P405" s="8">
        <f>(R401)</f>
        <v>29.07</v>
      </c>
      <c r="Q405" s="1" t="s">
        <v>578</v>
      </c>
      <c r="R405" s="8">
        <f>(M405*P405)</f>
        <v>290.7</v>
      </c>
      <c r="U405" s="37" t="s">
        <v>361</v>
      </c>
      <c r="W405">
        <f>0.112*C19</f>
        <v>7.62</v>
      </c>
      <c r="X405" s="37">
        <f>X403+W405</f>
        <v>775.77</v>
      </c>
      <c r="AC405" s="3"/>
      <c r="AD405" s="5" t="s">
        <v>1530</v>
      </c>
      <c r="AF405" s="11"/>
      <c r="AP405" s="1" t="s">
        <v>2149</v>
      </c>
      <c r="AR405" s="11">
        <f>AR404</f>
        <v>15.64</v>
      </c>
      <c r="AS405" s="39">
        <f t="shared" si="39"/>
        <v>646.35</v>
      </c>
    </row>
    <row r="406" spans="1:45" ht="24" customHeight="1">
      <c r="A406" s="220">
        <f t="shared" si="37"/>
        <v>238</v>
      </c>
      <c r="B406" s="221" t="s">
        <v>1080</v>
      </c>
      <c r="C406" s="423">
        <v>87</v>
      </c>
      <c r="D406" s="221" t="s">
        <v>835</v>
      </c>
      <c r="H406" s="1" t="s">
        <v>363</v>
      </c>
      <c r="J406" s="11">
        <f>K406-K405</f>
        <v>15.09</v>
      </c>
      <c r="K406" s="39">
        <f>(K405+C20/10*F397)</f>
        <v>748.52</v>
      </c>
      <c r="M406" s="8">
        <v>10</v>
      </c>
      <c r="N406" s="1" t="s">
        <v>578</v>
      </c>
      <c r="O406" s="1" t="s">
        <v>1474</v>
      </c>
      <c r="P406" s="8">
        <f>(R401/2)</f>
        <v>14.54</v>
      </c>
      <c r="Q406" s="1" t="s">
        <v>578</v>
      </c>
      <c r="R406" s="8">
        <f>(M406*P406)</f>
        <v>145.4</v>
      </c>
      <c r="U406" s="37" t="s">
        <v>363</v>
      </c>
      <c r="W406">
        <f>0.112*C20</f>
        <v>15.37</v>
      </c>
      <c r="X406" s="37">
        <f>X405+W406</f>
        <v>791.14</v>
      </c>
      <c r="AB406" s="8">
        <v>1.1399999999999999</v>
      </c>
      <c r="AC406" s="7" t="s">
        <v>836</v>
      </c>
      <c r="AD406" s="1" t="s">
        <v>1079</v>
      </c>
      <c r="AE406" s="8">
        <f>(AG401)</f>
        <v>5824.1</v>
      </c>
      <c r="AF406" s="1" t="s">
        <v>836</v>
      </c>
      <c r="AG406" s="8">
        <f>(AB406*AE406)</f>
        <v>6639.47</v>
      </c>
      <c r="AP406" s="1" t="s">
        <v>355</v>
      </c>
      <c r="AR406" s="11">
        <f>AR405</f>
        <v>15.64</v>
      </c>
      <c r="AS406" s="39">
        <f t="shared" si="39"/>
        <v>661.99</v>
      </c>
    </row>
    <row r="407" spans="1:45" ht="24" customHeight="1">
      <c r="A407" s="220">
        <f t="shared" si="37"/>
        <v>239</v>
      </c>
      <c r="B407" s="221" t="s">
        <v>225</v>
      </c>
      <c r="C407" s="423">
        <v>116.3</v>
      </c>
      <c r="D407" s="221" t="s">
        <v>835</v>
      </c>
      <c r="H407" s="1" t="s">
        <v>2149</v>
      </c>
      <c r="K407" s="39">
        <f>(K406+C21/10*F397)</f>
        <v>763.61</v>
      </c>
      <c r="O407" s="1" t="s">
        <v>1475</v>
      </c>
      <c r="R407" s="5" t="s">
        <v>1530</v>
      </c>
      <c r="U407" s="37" t="s">
        <v>2149</v>
      </c>
      <c r="W407">
        <f>W406</f>
        <v>15.37</v>
      </c>
      <c r="X407" s="37">
        <f>X406+W407</f>
        <v>806.51</v>
      </c>
      <c r="AB407" s="8">
        <v>1</v>
      </c>
      <c r="AC407" s="7" t="s">
        <v>739</v>
      </c>
      <c r="AD407" s="1" t="s">
        <v>1938</v>
      </c>
      <c r="AE407" s="8">
        <f>AE393</f>
        <v>861</v>
      </c>
      <c r="AF407" s="1" t="s">
        <v>835</v>
      </c>
      <c r="AG407" s="8">
        <f>(AB407*AE407)</f>
        <v>861</v>
      </c>
      <c r="AP407" s="1" t="s">
        <v>1477</v>
      </c>
      <c r="AR407" s="11">
        <f>AR406</f>
        <v>15.64</v>
      </c>
      <c r="AS407" s="39">
        <f t="shared" si="39"/>
        <v>677.63</v>
      </c>
    </row>
    <row r="408" spans="1:45" ht="24" customHeight="1">
      <c r="A408" s="220">
        <f t="shared" si="37"/>
        <v>240</v>
      </c>
      <c r="B408" s="733" t="s">
        <v>4704</v>
      </c>
      <c r="C408" s="446">
        <v>242.55</v>
      </c>
      <c r="D408" s="734" t="s">
        <v>835</v>
      </c>
      <c r="H408" s="1" t="s">
        <v>355</v>
      </c>
      <c r="K408" s="39">
        <f>(K407+C21/10*F397)</f>
        <v>778.7</v>
      </c>
      <c r="R408" s="8">
        <f>SUM(R405:R406)</f>
        <v>436.1</v>
      </c>
      <c r="U408" s="37" t="s">
        <v>355</v>
      </c>
      <c r="W408">
        <f>W406</f>
        <v>15.37</v>
      </c>
      <c r="X408" s="37">
        <f>X407+W408</f>
        <v>821.88</v>
      </c>
      <c r="AC408" s="7" t="s">
        <v>419</v>
      </c>
      <c r="AD408" s="1" t="s">
        <v>420</v>
      </c>
      <c r="AE408" s="1" t="s">
        <v>940</v>
      </c>
      <c r="AF408" s="1" t="s">
        <v>419</v>
      </c>
      <c r="AG408" s="8">
        <v>0</v>
      </c>
      <c r="AP408" s="1" t="s">
        <v>3508</v>
      </c>
      <c r="AR408" s="11">
        <f>AR407</f>
        <v>15.64</v>
      </c>
      <c r="AS408" s="39">
        <f t="shared" si="39"/>
        <v>693.27</v>
      </c>
    </row>
    <row r="409" spans="1:45" ht="24" customHeight="1">
      <c r="A409" s="220">
        <f t="shared" si="37"/>
        <v>241</v>
      </c>
      <c r="B409" s="1" t="s">
        <v>4705</v>
      </c>
      <c r="C409" s="223"/>
      <c r="D409" s="221" t="s">
        <v>940</v>
      </c>
      <c r="H409" s="1" t="s">
        <v>1477</v>
      </c>
      <c r="K409" s="39">
        <f>(K408+C21/10*F397)</f>
        <v>793.79</v>
      </c>
      <c r="L409">
        <f>K409-K408</f>
        <v>15.09</v>
      </c>
      <c r="O409" s="1" t="s">
        <v>411</v>
      </c>
      <c r="R409" s="5" t="s">
        <v>1530</v>
      </c>
      <c r="U409" s="37" t="s">
        <v>1477</v>
      </c>
      <c r="W409">
        <f>W408</f>
        <v>15.37</v>
      </c>
      <c r="X409" s="37">
        <f>X408+W409</f>
        <v>837.25</v>
      </c>
      <c r="AC409" s="3"/>
      <c r="AF409" s="11"/>
      <c r="AG409" s="5" t="s">
        <v>1530</v>
      </c>
      <c r="AP409" s="1" t="s">
        <v>3509</v>
      </c>
      <c r="AR409" s="11">
        <f>AR408</f>
        <v>15.64</v>
      </c>
      <c r="AS409" s="39">
        <f t="shared" si="39"/>
        <v>708.91</v>
      </c>
    </row>
    <row r="410" spans="1:45" ht="24" customHeight="1">
      <c r="A410" s="220">
        <f t="shared" si="37"/>
        <v>242</v>
      </c>
      <c r="B410" s="221" t="s">
        <v>1075</v>
      </c>
      <c r="C410" s="423">
        <v>13.6</v>
      </c>
      <c r="D410" s="221" t="s">
        <v>835</v>
      </c>
      <c r="F410" s="12">
        <v>11</v>
      </c>
      <c r="G410" s="7" t="s">
        <v>2167</v>
      </c>
      <c r="H410" s="1" t="s">
        <v>779</v>
      </c>
      <c r="L410">
        <f>K409+L409</f>
        <v>808.88</v>
      </c>
      <c r="R410" s="8">
        <f>(R408/10)</f>
        <v>43.61</v>
      </c>
      <c r="S410" s="51">
        <v>11</v>
      </c>
      <c r="T410" t="s">
        <v>2167</v>
      </c>
      <c r="U410" t="s">
        <v>779</v>
      </c>
      <c r="AC410" s="3"/>
      <c r="AD410" s="1" t="s">
        <v>411</v>
      </c>
      <c r="AF410" s="11"/>
      <c r="AG410" s="8">
        <f>SUM(AG406:AG408)</f>
        <v>7500.47</v>
      </c>
    </row>
    <row r="411" spans="1:45" ht="24" customHeight="1">
      <c r="A411" s="220">
        <f t="shared" si="37"/>
        <v>243</v>
      </c>
      <c r="B411" s="221" t="s">
        <v>1076</v>
      </c>
      <c r="C411" s="423">
        <v>15.9</v>
      </c>
      <c r="D411" s="221" t="s">
        <v>835</v>
      </c>
      <c r="H411" s="8" t="str">
        <f>H312</f>
        <v>Bricks of size 22x11x7 cm</v>
      </c>
      <c r="O411" s="1" t="s">
        <v>521</v>
      </c>
      <c r="R411" s="5" t="s">
        <v>1980</v>
      </c>
      <c r="U411" t="s">
        <v>396</v>
      </c>
      <c r="AC411" s="3"/>
      <c r="AF411" s="11"/>
      <c r="AG411" s="5" t="s">
        <v>1530</v>
      </c>
    </row>
    <row r="412" spans="1:45" ht="24" customHeight="1">
      <c r="A412" s="220">
        <f t="shared" si="37"/>
        <v>244</v>
      </c>
      <c r="B412" s="221" t="s">
        <v>1077</v>
      </c>
      <c r="C412" s="423">
        <v>28.6</v>
      </c>
      <c r="D412" s="221" t="s">
        <v>835</v>
      </c>
      <c r="H412" s="5" t="s">
        <v>1530</v>
      </c>
      <c r="U412" t="s">
        <v>1530</v>
      </c>
      <c r="AC412" s="3"/>
      <c r="AD412" s="1" t="s">
        <v>521</v>
      </c>
      <c r="AF412" s="11"/>
      <c r="AG412" s="39">
        <f>(AG410/10)</f>
        <v>750.05</v>
      </c>
    </row>
    <row r="413" spans="1:45" ht="24" customHeight="1">
      <c r="A413" s="220">
        <f t="shared" si="37"/>
        <v>245</v>
      </c>
      <c r="B413" s="221" t="s">
        <v>1078</v>
      </c>
      <c r="C413" s="423">
        <v>46.5</v>
      </c>
      <c r="D413" s="221" t="s">
        <v>835</v>
      </c>
      <c r="F413" s="8">
        <f>F314</f>
        <v>4800</v>
      </c>
      <c r="G413" s="7" t="s">
        <v>1368</v>
      </c>
      <c r="H413" s="8" t="str">
        <f>H312</f>
        <v>Bricks of size 22x11x7 cm</v>
      </c>
      <c r="I413" s="8">
        <f>(C83)</f>
        <v>5598.17</v>
      </c>
      <c r="J413" s="1" t="s">
        <v>1478</v>
      </c>
      <c r="K413" s="8">
        <f>(F413*I413)/1000</f>
        <v>26871.22</v>
      </c>
      <c r="N413" s="1" t="s">
        <v>2167</v>
      </c>
      <c r="O413" s="1" t="s">
        <v>1479</v>
      </c>
      <c r="S413" s="51">
        <v>4600</v>
      </c>
      <c r="T413" t="s">
        <v>1368</v>
      </c>
      <c r="U413" t="s">
        <v>396</v>
      </c>
      <c r="V413">
        <f t="shared" ref="V413:V418" si="40">V382</f>
        <v>6435</v>
      </c>
      <c r="W413" t="s">
        <v>1478</v>
      </c>
      <c r="X413">
        <f>V413*S413/1000</f>
        <v>29601</v>
      </c>
      <c r="AC413" s="3"/>
      <c r="AF413" s="11"/>
      <c r="AG413" s="5" t="s">
        <v>1980</v>
      </c>
    </row>
    <row r="414" spans="1:45" ht="24" customHeight="1">
      <c r="A414" s="220">
        <f t="shared" ref="A414:A424" si="41">(A413+1)</f>
        <v>246</v>
      </c>
      <c r="B414" s="221" t="s">
        <v>1080</v>
      </c>
      <c r="C414" s="423">
        <v>58.1</v>
      </c>
      <c r="D414" s="221" t="s">
        <v>835</v>
      </c>
      <c r="F414" s="8">
        <f>F383</f>
        <v>1.59</v>
      </c>
      <c r="G414" s="7" t="s">
        <v>836</v>
      </c>
      <c r="H414" s="1" t="s">
        <v>1258</v>
      </c>
      <c r="I414" s="8">
        <f>(K40)</f>
        <v>3646.42</v>
      </c>
      <c r="J414" s="1" t="s">
        <v>836</v>
      </c>
      <c r="K414" s="8">
        <f>(F414*I414)</f>
        <v>5797.81</v>
      </c>
      <c r="O414" s="1" t="s">
        <v>1480</v>
      </c>
      <c r="S414" s="51">
        <v>1.59</v>
      </c>
      <c r="T414" t="s">
        <v>836</v>
      </c>
      <c r="U414" t="s">
        <v>1258</v>
      </c>
      <c r="V414">
        <f t="shared" si="40"/>
        <v>3646.42</v>
      </c>
      <c r="W414" t="s">
        <v>836</v>
      </c>
      <c r="X414">
        <f t="shared" ref="X414:X419" si="42">V414*S414</f>
        <v>5797.81</v>
      </c>
      <c r="AC414" s="3"/>
      <c r="AD414" s="1" t="s">
        <v>361</v>
      </c>
      <c r="AF414" s="11">
        <f>C19*0.114</f>
        <v>7.75</v>
      </c>
      <c r="AG414" s="39">
        <f>AG412+AF414</f>
        <v>757.8</v>
      </c>
    </row>
    <row r="415" spans="1:45" ht="24" customHeight="1">
      <c r="A415" s="220">
        <f t="shared" si="41"/>
        <v>247</v>
      </c>
      <c r="B415" s="221" t="s">
        <v>225</v>
      </c>
      <c r="C415" s="423">
        <v>69.8</v>
      </c>
      <c r="D415" s="221" t="s">
        <v>835</v>
      </c>
      <c r="F415" s="8">
        <v>7</v>
      </c>
      <c r="G415" s="7" t="s">
        <v>835</v>
      </c>
      <c r="H415" s="1" t="s">
        <v>1938</v>
      </c>
      <c r="I415" s="8">
        <f>(C10)</f>
        <v>861</v>
      </c>
      <c r="J415" s="1" t="s">
        <v>835</v>
      </c>
      <c r="K415" s="8">
        <f>(F415*I415)</f>
        <v>6027</v>
      </c>
      <c r="O415" s="5" t="s">
        <v>1530</v>
      </c>
      <c r="S415" s="51">
        <v>7</v>
      </c>
      <c r="T415" t="s">
        <v>835</v>
      </c>
      <c r="U415" t="s">
        <v>1938</v>
      </c>
      <c r="V415">
        <f t="shared" si="40"/>
        <v>861</v>
      </c>
      <c r="W415" t="s">
        <v>835</v>
      </c>
      <c r="X415">
        <f t="shared" si="42"/>
        <v>6027</v>
      </c>
      <c r="AC415" s="3"/>
      <c r="AD415" s="1" t="s">
        <v>363</v>
      </c>
      <c r="AF415" s="11">
        <f>C20*0.114</f>
        <v>15.64</v>
      </c>
      <c r="AG415" s="39">
        <f t="shared" ref="AG415:AG423" si="43">AG414+AF415</f>
        <v>773.44</v>
      </c>
    </row>
    <row r="416" spans="1:45" ht="24" customHeight="1">
      <c r="A416" s="220">
        <f t="shared" si="41"/>
        <v>248</v>
      </c>
      <c r="B416" s="733" t="s">
        <v>4706</v>
      </c>
      <c r="C416" s="446">
        <v>207.9</v>
      </c>
      <c r="D416" s="734" t="s">
        <v>835</v>
      </c>
      <c r="F416" s="8">
        <v>7.1</v>
      </c>
      <c r="G416" s="7" t="s">
        <v>835</v>
      </c>
      <c r="H416" s="1" t="s">
        <v>1654</v>
      </c>
      <c r="I416" s="8">
        <f>(C11)</f>
        <v>804</v>
      </c>
      <c r="J416" s="1" t="s">
        <v>835</v>
      </c>
      <c r="K416" s="8">
        <f>(F416*I416)</f>
        <v>5708.4</v>
      </c>
      <c r="M416" s="8">
        <v>10</v>
      </c>
      <c r="N416" s="1" t="s">
        <v>578</v>
      </c>
      <c r="O416" s="1" t="s">
        <v>1769</v>
      </c>
      <c r="P416" s="8">
        <f>(R387)</f>
        <v>19.96</v>
      </c>
      <c r="Q416" s="1" t="s">
        <v>578</v>
      </c>
      <c r="R416" s="8">
        <f>(M416*P416)</f>
        <v>199.6</v>
      </c>
      <c r="S416" s="51">
        <v>7.1</v>
      </c>
      <c r="T416" t="s">
        <v>835</v>
      </c>
      <c r="U416" t="s">
        <v>1654</v>
      </c>
      <c r="V416">
        <f t="shared" si="40"/>
        <v>804</v>
      </c>
      <c r="W416" t="s">
        <v>835</v>
      </c>
      <c r="X416">
        <f t="shared" si="42"/>
        <v>5708.4</v>
      </c>
      <c r="AC416" s="3"/>
      <c r="AD416" s="1" t="s">
        <v>2149</v>
      </c>
      <c r="AF416" s="11">
        <f t="shared" ref="AF416:AF425" si="44">AF415</f>
        <v>15.64</v>
      </c>
      <c r="AG416" s="39">
        <f t="shared" si="43"/>
        <v>789.08</v>
      </c>
    </row>
    <row r="417" spans="1:35" ht="24" customHeight="1">
      <c r="A417" s="220">
        <f t="shared" si="41"/>
        <v>249</v>
      </c>
      <c r="B417" s="540" t="s">
        <v>4482</v>
      </c>
      <c r="C417" s="223"/>
      <c r="D417" s="221" t="s">
        <v>940</v>
      </c>
      <c r="F417" s="8">
        <v>7.1</v>
      </c>
      <c r="G417" s="7" t="s">
        <v>835</v>
      </c>
      <c r="H417" s="1" t="s">
        <v>1836</v>
      </c>
      <c r="I417" s="8">
        <f>(C12)</f>
        <v>562</v>
      </c>
      <c r="J417" s="1" t="s">
        <v>835</v>
      </c>
      <c r="K417" s="8">
        <f>(F417*I417)</f>
        <v>3990.2</v>
      </c>
      <c r="M417" s="8">
        <v>10</v>
      </c>
      <c r="N417" s="1" t="s">
        <v>578</v>
      </c>
      <c r="O417" s="1" t="s">
        <v>327</v>
      </c>
      <c r="P417" s="8">
        <f>(R410)</f>
        <v>43.61</v>
      </c>
      <c r="Q417" s="1" t="s">
        <v>578</v>
      </c>
      <c r="R417" s="8">
        <f>(M417*P417)</f>
        <v>436.1</v>
      </c>
      <c r="S417" s="51">
        <v>7.1</v>
      </c>
      <c r="T417" t="s">
        <v>835</v>
      </c>
      <c r="U417" t="s">
        <v>1836</v>
      </c>
      <c r="V417">
        <f t="shared" si="40"/>
        <v>562</v>
      </c>
      <c r="W417" t="s">
        <v>835</v>
      </c>
      <c r="X417">
        <f t="shared" si="42"/>
        <v>3990.2</v>
      </c>
      <c r="AC417" s="3"/>
      <c r="AD417" s="1" t="s">
        <v>355</v>
      </c>
      <c r="AF417" s="11">
        <f t="shared" si="44"/>
        <v>15.64</v>
      </c>
      <c r="AG417" s="39">
        <f t="shared" si="43"/>
        <v>804.72</v>
      </c>
    </row>
    <row r="418" spans="1:35" ht="24" customHeight="1">
      <c r="A418" s="220">
        <f t="shared" si="41"/>
        <v>250</v>
      </c>
      <c r="B418" s="221" t="s">
        <v>1075</v>
      </c>
      <c r="C418" s="423">
        <v>15.9</v>
      </c>
      <c r="D418" s="221" t="s">
        <v>835</v>
      </c>
      <c r="F418" s="8">
        <v>21.2</v>
      </c>
      <c r="G418" s="7" t="s">
        <v>835</v>
      </c>
      <c r="H418" s="1" t="s">
        <v>299</v>
      </c>
      <c r="I418" s="8">
        <f>(C13)</f>
        <v>461</v>
      </c>
      <c r="J418" s="1" t="s">
        <v>835</v>
      </c>
      <c r="K418" s="8">
        <f>(F418*I418)</f>
        <v>9773.2000000000007</v>
      </c>
      <c r="O418" s="1" t="s">
        <v>940</v>
      </c>
      <c r="R418" s="5" t="s">
        <v>1530</v>
      </c>
      <c r="S418" s="51">
        <v>21.2</v>
      </c>
      <c r="T418" t="s">
        <v>835</v>
      </c>
      <c r="U418" t="s">
        <v>299</v>
      </c>
      <c r="V418">
        <f t="shared" si="40"/>
        <v>461</v>
      </c>
      <c r="W418" t="s">
        <v>835</v>
      </c>
      <c r="X418">
        <f t="shared" si="42"/>
        <v>9773.2000000000007</v>
      </c>
      <c r="AC418" s="3"/>
      <c r="AD418" s="1" t="s">
        <v>1477</v>
      </c>
      <c r="AF418" s="11">
        <f t="shared" si="44"/>
        <v>15.64</v>
      </c>
      <c r="AG418" s="39">
        <f t="shared" si="43"/>
        <v>820.36</v>
      </c>
    </row>
    <row r="419" spans="1:35" ht="24" customHeight="1">
      <c r="A419" s="220">
        <f t="shared" si="41"/>
        <v>251</v>
      </c>
      <c r="B419" s="221" t="s">
        <v>1076</v>
      </c>
      <c r="C419" s="423">
        <v>25.4</v>
      </c>
      <c r="D419" s="221" t="s">
        <v>835</v>
      </c>
      <c r="G419" s="7" t="s">
        <v>419</v>
      </c>
      <c r="H419" s="1" t="s">
        <v>420</v>
      </c>
      <c r="I419" s="1" t="s">
        <v>940</v>
      </c>
      <c r="J419" s="1" t="s">
        <v>419</v>
      </c>
      <c r="K419" s="8">
        <v>0</v>
      </c>
      <c r="R419" s="8">
        <f>SUM(R416:R417)</f>
        <v>635.70000000000005</v>
      </c>
      <c r="T419" t="s">
        <v>419</v>
      </c>
      <c r="U419" t="s">
        <v>420</v>
      </c>
      <c r="V419" t="s">
        <v>940</v>
      </c>
      <c r="W419" t="s">
        <v>419</v>
      </c>
      <c r="X419">
        <f t="shared" si="42"/>
        <v>0</v>
      </c>
      <c r="AC419" s="3"/>
      <c r="AD419" s="1" t="s">
        <v>3508</v>
      </c>
      <c r="AF419" s="11">
        <f t="shared" si="44"/>
        <v>15.64</v>
      </c>
      <c r="AG419" s="39">
        <f t="shared" si="43"/>
        <v>836</v>
      </c>
    </row>
    <row r="420" spans="1:35" ht="24" customHeight="1">
      <c r="A420" s="220">
        <f t="shared" si="41"/>
        <v>252</v>
      </c>
      <c r="B420" s="221" t="s">
        <v>1077</v>
      </c>
      <c r="C420" s="423">
        <v>58.1</v>
      </c>
      <c r="D420" s="221" t="s">
        <v>835</v>
      </c>
      <c r="K420" s="5" t="s">
        <v>1530</v>
      </c>
      <c r="O420" s="1" t="s">
        <v>411</v>
      </c>
      <c r="R420" s="5" t="s">
        <v>1530</v>
      </c>
      <c r="X420" s="56" t="s">
        <v>398</v>
      </c>
      <c r="AC420" s="3"/>
      <c r="AD420" s="1" t="s">
        <v>3509</v>
      </c>
      <c r="AF420" s="11">
        <f t="shared" si="44"/>
        <v>15.64</v>
      </c>
      <c r="AG420" s="39">
        <f t="shared" si="43"/>
        <v>851.64</v>
      </c>
    </row>
    <row r="421" spans="1:35" ht="24" customHeight="1">
      <c r="A421" s="220">
        <f t="shared" si="41"/>
        <v>253</v>
      </c>
      <c r="B421" s="221" t="s">
        <v>1078</v>
      </c>
      <c r="C421" s="423">
        <v>87</v>
      </c>
      <c r="D421" s="221" t="s">
        <v>835</v>
      </c>
      <c r="H421" s="1" t="s">
        <v>583</v>
      </c>
      <c r="K421" s="8">
        <f>SUM(K413:K419)</f>
        <v>58167.83</v>
      </c>
      <c r="R421" s="8">
        <f>(R419/10)</f>
        <v>63.57</v>
      </c>
      <c r="U421" t="s">
        <v>583</v>
      </c>
      <c r="X421">
        <f>SUM(X413:X419)</f>
        <v>60897.61</v>
      </c>
      <c r="AC421" s="3"/>
      <c r="AD421" s="1" t="s">
        <v>3510</v>
      </c>
      <c r="AF421" s="11">
        <f t="shared" si="44"/>
        <v>15.64</v>
      </c>
      <c r="AG421" s="39">
        <f t="shared" si="43"/>
        <v>867.28</v>
      </c>
    </row>
    <row r="422" spans="1:35" ht="24" customHeight="1">
      <c r="A422" s="220">
        <f t="shared" si="41"/>
        <v>254</v>
      </c>
      <c r="B422" s="221" t="s">
        <v>1080</v>
      </c>
      <c r="C422" s="423">
        <v>98.6</v>
      </c>
      <c r="D422" s="221" t="s">
        <v>835</v>
      </c>
      <c r="K422" s="5" t="s">
        <v>1530</v>
      </c>
      <c r="O422" s="1" t="s">
        <v>521</v>
      </c>
      <c r="R422" s="5" t="s">
        <v>1980</v>
      </c>
      <c r="X422" s="56" t="s">
        <v>398</v>
      </c>
      <c r="AC422" s="3"/>
      <c r="AD422" s="1" t="s">
        <v>3520</v>
      </c>
      <c r="AF422" s="11">
        <f t="shared" si="44"/>
        <v>15.64</v>
      </c>
      <c r="AG422" s="39">
        <f>AG421+AF422</f>
        <v>882.92</v>
      </c>
    </row>
    <row r="423" spans="1:35" ht="24" customHeight="1">
      <c r="A423" s="220">
        <f t="shared" si="41"/>
        <v>255</v>
      </c>
      <c r="B423" s="221" t="s">
        <v>225</v>
      </c>
      <c r="C423" s="423">
        <v>128</v>
      </c>
      <c r="D423" s="221" t="s">
        <v>835</v>
      </c>
      <c r="H423" s="1" t="s">
        <v>743</v>
      </c>
      <c r="K423" s="8">
        <f>(K421/10)</f>
        <v>5816.78</v>
      </c>
      <c r="U423" t="s">
        <v>743</v>
      </c>
      <c r="X423">
        <f>X421/10</f>
        <v>6089.76</v>
      </c>
      <c r="AC423" s="3"/>
      <c r="AD423" s="1" t="s">
        <v>3518</v>
      </c>
      <c r="AF423" s="11">
        <f t="shared" si="44"/>
        <v>15.64</v>
      </c>
      <c r="AG423" s="39">
        <f t="shared" si="43"/>
        <v>898.56</v>
      </c>
    </row>
    <row r="424" spans="1:35" ht="24" customHeight="1">
      <c r="A424" s="220">
        <f t="shared" si="41"/>
        <v>256</v>
      </c>
      <c r="B424" s="734" t="s">
        <v>3475</v>
      </c>
      <c r="C424" s="446">
        <v>280</v>
      </c>
      <c r="D424" s="734" t="s">
        <v>835</v>
      </c>
      <c r="K424" s="5" t="s">
        <v>1980</v>
      </c>
      <c r="X424" s="56" t="s">
        <v>33</v>
      </c>
      <c r="AB424" s="12">
        <v>11</v>
      </c>
      <c r="AC424" s="7" t="s">
        <v>2167</v>
      </c>
      <c r="AD424" s="1" t="s">
        <v>779</v>
      </c>
      <c r="AF424" s="11">
        <f t="shared" si="44"/>
        <v>15.64</v>
      </c>
      <c r="AG424" s="39">
        <f>AG423+AF424</f>
        <v>914.2</v>
      </c>
    </row>
    <row r="425" spans="1:35" ht="24" customHeight="1">
      <c r="A425" s="223"/>
      <c r="B425" s="223"/>
      <c r="C425" s="223"/>
      <c r="D425" s="223"/>
      <c r="F425" s="1" t="s">
        <v>234</v>
      </c>
      <c r="S425" s="51" t="s">
        <v>234</v>
      </c>
      <c r="AC425" s="3"/>
      <c r="AD425" s="8">
        <f>AD310</f>
        <v>0</v>
      </c>
      <c r="AF425" s="11">
        <f t="shared" si="44"/>
        <v>15.64</v>
      </c>
      <c r="AG425" s="39">
        <f>AG424+AF425</f>
        <v>929.84</v>
      </c>
      <c r="AH425" t="s">
        <v>4217</v>
      </c>
      <c r="AI425">
        <f>AG425+AF425</f>
        <v>945.48</v>
      </c>
    </row>
    <row r="426" spans="1:35" ht="24" customHeight="1">
      <c r="A426" s="220">
        <f>(A424+1)</f>
        <v>257</v>
      </c>
      <c r="B426" s="540" t="s">
        <v>4483</v>
      </c>
      <c r="C426" s="223"/>
      <c r="D426" s="221" t="s">
        <v>940</v>
      </c>
      <c r="O426" s="2" t="s">
        <v>1483</v>
      </c>
      <c r="AC426" s="3"/>
      <c r="AD426" s="5" t="s">
        <v>1530</v>
      </c>
      <c r="AF426" s="11"/>
      <c r="AH426" t="s">
        <v>4218</v>
      </c>
      <c r="AI426">
        <f>AI425+AF425</f>
        <v>961.12</v>
      </c>
    </row>
    <row r="427" spans="1:35" ht="24" customHeight="1">
      <c r="A427" s="220">
        <f t="shared" ref="A427:A497" si="45">(A426+1)</f>
        <v>258</v>
      </c>
      <c r="B427" s="221" t="s">
        <v>1075</v>
      </c>
      <c r="C427" s="423">
        <v>58.1</v>
      </c>
      <c r="D427" s="221" t="s">
        <v>835</v>
      </c>
      <c r="G427" s="7" t="s">
        <v>1484</v>
      </c>
      <c r="H427" s="1" t="s">
        <v>400</v>
      </c>
      <c r="O427" s="5" t="s">
        <v>1530</v>
      </c>
      <c r="T427" t="s">
        <v>1484</v>
      </c>
      <c r="U427" t="s">
        <v>400</v>
      </c>
      <c r="AB427" s="8">
        <f>AB314</f>
        <v>4240</v>
      </c>
      <c r="AC427" s="7" t="s">
        <v>1368</v>
      </c>
      <c r="AD427" s="8" t="str">
        <f>AD314</f>
        <v>Bricks of size 23x11.4x7.5 cm</v>
      </c>
      <c r="AE427" s="8">
        <f t="shared" ref="AE427:AE432" si="46">AE391</f>
        <v>6630</v>
      </c>
      <c r="AF427" s="1" t="s">
        <v>1478</v>
      </c>
      <c r="AG427" s="8">
        <f>(AB427*AE427)/1000</f>
        <v>28111.200000000001</v>
      </c>
    </row>
    <row r="428" spans="1:35" ht="24" customHeight="1">
      <c r="A428" s="220">
        <f t="shared" si="45"/>
        <v>259</v>
      </c>
      <c r="B428" s="221" t="s">
        <v>1076</v>
      </c>
      <c r="C428" s="423">
        <v>69.8</v>
      </c>
      <c r="D428" s="221" t="s">
        <v>835</v>
      </c>
      <c r="H428" s="5" t="s">
        <v>1530</v>
      </c>
      <c r="N428" s="1" t="s">
        <v>2167</v>
      </c>
      <c r="O428" s="1" t="s">
        <v>1974</v>
      </c>
      <c r="U428" t="s">
        <v>1530</v>
      </c>
      <c r="AB428" s="8">
        <v>1.27</v>
      </c>
      <c r="AC428" s="7" t="s">
        <v>836</v>
      </c>
      <c r="AD428" s="1" t="s">
        <v>1258</v>
      </c>
      <c r="AE428" s="8">
        <f t="shared" si="46"/>
        <v>3646.42</v>
      </c>
      <c r="AF428" s="1" t="s">
        <v>836</v>
      </c>
      <c r="AG428" s="8">
        <f>(AB428*AE428)</f>
        <v>4630.95</v>
      </c>
    </row>
    <row r="429" spans="1:35" ht="24" customHeight="1">
      <c r="A429" s="220">
        <f t="shared" si="45"/>
        <v>260</v>
      </c>
      <c r="B429" s="221" t="s">
        <v>1077</v>
      </c>
      <c r="C429" s="423">
        <v>98.6</v>
      </c>
      <c r="D429" s="221" t="s">
        <v>835</v>
      </c>
      <c r="F429" s="8">
        <v>0.7</v>
      </c>
      <c r="G429" s="7" t="s">
        <v>836</v>
      </c>
      <c r="H429" s="1" t="s">
        <v>2195</v>
      </c>
      <c r="I429" s="8">
        <f>(K423)</f>
        <v>5816.78</v>
      </c>
      <c r="J429" s="1" t="s">
        <v>835</v>
      </c>
      <c r="K429" s="8">
        <f>(F429*I429)</f>
        <v>4071.75</v>
      </c>
      <c r="O429" s="1" t="s">
        <v>1975</v>
      </c>
      <c r="S429" s="51">
        <v>0.7</v>
      </c>
      <c r="T429" t="s">
        <v>836</v>
      </c>
      <c r="U429" t="s">
        <v>2195</v>
      </c>
      <c r="V429">
        <f>X423</f>
        <v>6089.76</v>
      </c>
      <c r="W429" t="s">
        <v>835</v>
      </c>
      <c r="X429">
        <f>V429*S429</f>
        <v>4262.83</v>
      </c>
      <c r="AB429" s="8">
        <v>7</v>
      </c>
      <c r="AC429" s="7" t="s">
        <v>835</v>
      </c>
      <c r="AD429" s="1" t="s">
        <v>1938</v>
      </c>
      <c r="AE429" s="8">
        <f t="shared" si="46"/>
        <v>861</v>
      </c>
      <c r="AF429" s="1" t="s">
        <v>835</v>
      </c>
      <c r="AG429" s="8">
        <f>(AB429*AE429)</f>
        <v>6027</v>
      </c>
    </row>
    <row r="430" spans="1:35" ht="24" customHeight="1">
      <c r="A430" s="220">
        <f t="shared" si="45"/>
        <v>261</v>
      </c>
      <c r="B430" s="221" t="s">
        <v>1078</v>
      </c>
      <c r="C430" s="423">
        <v>127.5</v>
      </c>
      <c r="D430" s="221" t="s">
        <v>835</v>
      </c>
      <c r="F430" s="8">
        <v>1</v>
      </c>
      <c r="G430" s="7" t="s">
        <v>739</v>
      </c>
      <c r="H430" s="1" t="s">
        <v>1938</v>
      </c>
      <c r="I430" s="8">
        <f>(C10)</f>
        <v>861</v>
      </c>
      <c r="J430" s="1" t="s">
        <v>835</v>
      </c>
      <c r="K430" s="8">
        <f>(F430*I430)</f>
        <v>861</v>
      </c>
      <c r="O430" s="1" t="s">
        <v>151</v>
      </c>
      <c r="S430" s="51">
        <v>1</v>
      </c>
      <c r="T430" t="s">
        <v>739</v>
      </c>
      <c r="U430" t="s">
        <v>1938</v>
      </c>
      <c r="V430">
        <f>V398</f>
        <v>861</v>
      </c>
      <c r="W430" t="s">
        <v>835</v>
      </c>
      <c r="X430">
        <f>V430*S430</f>
        <v>861</v>
      </c>
      <c r="AB430" s="8">
        <v>7.1</v>
      </c>
      <c r="AC430" s="7" t="s">
        <v>835</v>
      </c>
      <c r="AD430" s="1" t="s">
        <v>1654</v>
      </c>
      <c r="AE430" s="8">
        <f t="shared" si="46"/>
        <v>804</v>
      </c>
      <c r="AF430" s="1" t="s">
        <v>835</v>
      </c>
      <c r="AG430" s="8">
        <f>(AB430*AE430)</f>
        <v>5708.4</v>
      </c>
    </row>
    <row r="431" spans="1:35" ht="24" customHeight="1">
      <c r="A431" s="220">
        <f t="shared" si="45"/>
        <v>262</v>
      </c>
      <c r="B431" s="221" t="s">
        <v>1080</v>
      </c>
      <c r="C431" s="423">
        <v>197.5</v>
      </c>
      <c r="D431" s="221" t="s">
        <v>835</v>
      </c>
      <c r="G431" s="7" t="s">
        <v>419</v>
      </c>
      <c r="H431" s="1" t="s">
        <v>420</v>
      </c>
      <c r="I431" s="1" t="s">
        <v>940</v>
      </c>
      <c r="J431" s="1" t="s">
        <v>419</v>
      </c>
      <c r="K431" s="8">
        <v>0</v>
      </c>
      <c r="O431" s="5" t="s">
        <v>1530</v>
      </c>
      <c r="T431" t="s">
        <v>419</v>
      </c>
      <c r="U431" t="s">
        <v>420</v>
      </c>
      <c r="V431" t="s">
        <v>940</v>
      </c>
      <c r="W431" t="s">
        <v>419</v>
      </c>
      <c r="X431">
        <v>0</v>
      </c>
      <c r="AB431" s="8">
        <f>AB318</f>
        <v>7.1</v>
      </c>
      <c r="AC431" s="7" t="s">
        <v>835</v>
      </c>
      <c r="AD431" s="1" t="s">
        <v>1836</v>
      </c>
      <c r="AE431" s="8">
        <f t="shared" si="46"/>
        <v>562</v>
      </c>
      <c r="AF431" s="1" t="s">
        <v>835</v>
      </c>
      <c r="AG431" s="8">
        <f>(AB431*AE431)</f>
        <v>3990.2</v>
      </c>
    </row>
    <row r="432" spans="1:35" ht="39" customHeight="1">
      <c r="A432" s="220">
        <f t="shared" si="45"/>
        <v>263</v>
      </c>
      <c r="B432" s="221" t="s">
        <v>225</v>
      </c>
      <c r="C432" s="423">
        <v>266.3</v>
      </c>
      <c r="D432" s="221" t="s">
        <v>835</v>
      </c>
      <c r="K432" s="5" t="s">
        <v>1530</v>
      </c>
      <c r="N432" s="1" t="s">
        <v>152</v>
      </c>
      <c r="O432" s="2" t="s">
        <v>153</v>
      </c>
      <c r="X432" s="56" t="s">
        <v>398</v>
      </c>
      <c r="AB432" s="8">
        <f>AB319</f>
        <v>21.2</v>
      </c>
      <c r="AC432" s="7" t="s">
        <v>835</v>
      </c>
      <c r="AD432" s="1" t="s">
        <v>299</v>
      </c>
      <c r="AE432" s="8">
        <f t="shared" si="46"/>
        <v>461</v>
      </c>
      <c r="AF432" s="1" t="s">
        <v>835</v>
      </c>
      <c r="AG432" s="8">
        <f>(AB432*AE432)</f>
        <v>9773.2000000000007</v>
      </c>
    </row>
    <row r="433" spans="1:33" ht="34.5" customHeight="1">
      <c r="A433" s="220">
        <f t="shared" si="45"/>
        <v>264</v>
      </c>
      <c r="B433" s="734" t="s">
        <v>1081</v>
      </c>
      <c r="C433" s="446">
        <v>551</v>
      </c>
      <c r="D433" s="734" t="s">
        <v>835</v>
      </c>
      <c r="H433" s="1" t="s">
        <v>411</v>
      </c>
      <c r="K433" s="8">
        <f>SUM(K429:K431)</f>
        <v>4932.75</v>
      </c>
      <c r="O433" s="5" t="s">
        <v>1530</v>
      </c>
      <c r="U433" t="s">
        <v>411</v>
      </c>
      <c r="X433">
        <f>SUM(X429:X431)</f>
        <v>5123.83</v>
      </c>
      <c r="AB433" s="8">
        <f>AB320</f>
        <v>0</v>
      </c>
      <c r="AC433" s="7" t="s">
        <v>419</v>
      </c>
      <c r="AD433" s="1" t="s">
        <v>420</v>
      </c>
      <c r="AE433" s="1" t="s">
        <v>940</v>
      </c>
      <c r="AF433" s="1" t="s">
        <v>419</v>
      </c>
      <c r="AG433" s="8">
        <v>0</v>
      </c>
    </row>
    <row r="434" spans="1:33" ht="24" customHeight="1">
      <c r="A434" s="220">
        <f t="shared" si="45"/>
        <v>265</v>
      </c>
      <c r="B434" s="221" t="s">
        <v>154</v>
      </c>
      <c r="C434" s="223"/>
      <c r="D434" s="221" t="s">
        <v>940</v>
      </c>
      <c r="K434" s="5" t="s">
        <v>1530</v>
      </c>
      <c r="M434" s="8">
        <v>8.1</v>
      </c>
      <c r="N434" s="1" t="s">
        <v>836</v>
      </c>
      <c r="O434" s="1" t="s">
        <v>586</v>
      </c>
      <c r="P434" s="8">
        <f>(C64)*2</f>
        <v>193.2</v>
      </c>
      <c r="Q434" s="1" t="s">
        <v>836</v>
      </c>
      <c r="R434" s="8">
        <f>(M434*P434)</f>
        <v>1564.92</v>
      </c>
      <c r="X434" s="56" t="s">
        <v>398</v>
      </c>
      <c r="AB434" s="8">
        <f>AB321</f>
        <v>0</v>
      </c>
      <c r="AC434" s="3"/>
      <c r="AF434" s="11"/>
      <c r="AG434" s="5" t="s">
        <v>1530</v>
      </c>
    </row>
    <row r="435" spans="1:33" ht="30.75" customHeight="1">
      <c r="A435" s="220">
        <f t="shared" si="45"/>
        <v>266</v>
      </c>
      <c r="B435" s="221" t="s">
        <v>1075</v>
      </c>
      <c r="C435" s="545">
        <v>1.8</v>
      </c>
      <c r="D435" s="221" t="s">
        <v>835</v>
      </c>
      <c r="H435" s="1" t="s">
        <v>521</v>
      </c>
      <c r="K435" s="8">
        <f>(K433/10)</f>
        <v>493.28</v>
      </c>
      <c r="M435" s="8">
        <v>8.1</v>
      </c>
      <c r="N435" s="1" t="s">
        <v>836</v>
      </c>
      <c r="O435" s="1" t="s">
        <v>2076</v>
      </c>
      <c r="P435" s="8">
        <f>(C26)</f>
        <v>33.6</v>
      </c>
      <c r="Q435" s="1" t="s">
        <v>836</v>
      </c>
      <c r="R435" s="8">
        <f>(M435*P435)</f>
        <v>272.16000000000003</v>
      </c>
      <c r="U435" t="s">
        <v>521</v>
      </c>
      <c r="X435">
        <f>X433/10</f>
        <v>512.38</v>
      </c>
      <c r="AB435" s="8">
        <f>AB322</f>
        <v>0</v>
      </c>
      <c r="AC435" s="3"/>
      <c r="AD435" s="1" t="s">
        <v>583</v>
      </c>
      <c r="AF435" s="11"/>
      <c r="AG435" s="8">
        <f>SUM(AG427:AG434)</f>
        <v>58240.95</v>
      </c>
    </row>
    <row r="436" spans="1:33" ht="42" customHeight="1">
      <c r="A436" s="220">
        <f t="shared" si="45"/>
        <v>267</v>
      </c>
      <c r="B436" s="221" t="s">
        <v>1076</v>
      </c>
      <c r="C436" s="545">
        <v>2.9</v>
      </c>
      <c r="D436" s="221" t="s">
        <v>835</v>
      </c>
      <c r="K436" s="5" t="s">
        <v>1980</v>
      </c>
      <c r="M436" s="8">
        <v>30</v>
      </c>
      <c r="N436" s="1" t="s">
        <v>1714</v>
      </c>
      <c r="O436" s="1" t="s">
        <v>2077</v>
      </c>
      <c r="P436" s="8">
        <f>(C45)</f>
        <v>5</v>
      </c>
      <c r="Q436" s="1" t="s">
        <v>1714</v>
      </c>
      <c r="R436" s="8">
        <f>(M436*P436)</f>
        <v>150</v>
      </c>
      <c r="X436" s="56" t="s">
        <v>33</v>
      </c>
      <c r="AC436" s="3"/>
      <c r="AF436" s="11"/>
      <c r="AG436" s="5" t="s">
        <v>1530</v>
      </c>
    </row>
    <row r="437" spans="1:33" ht="24" customHeight="1">
      <c r="A437" s="220">
        <f t="shared" si="45"/>
        <v>268</v>
      </c>
      <c r="B437" s="221" t="s">
        <v>1077</v>
      </c>
      <c r="C437" s="545">
        <v>4</v>
      </c>
      <c r="D437" s="221" t="s">
        <v>835</v>
      </c>
      <c r="H437" s="1" t="s">
        <v>361</v>
      </c>
      <c r="K437" s="39">
        <f>(K435+C19/10*F429)</f>
        <v>498.04</v>
      </c>
      <c r="O437" s="1" t="s">
        <v>2078</v>
      </c>
      <c r="U437" s="37" t="s">
        <v>361</v>
      </c>
      <c r="W437">
        <f>0.07*C19</f>
        <v>4.76</v>
      </c>
      <c r="X437" s="37">
        <f>X435+W437</f>
        <v>517.14</v>
      </c>
      <c r="AC437" s="3"/>
      <c r="AD437" s="1" t="s">
        <v>743</v>
      </c>
      <c r="AF437" s="11"/>
      <c r="AG437" s="8">
        <f>(AG435/10)</f>
        <v>5824.1</v>
      </c>
    </row>
    <row r="438" spans="1:33" ht="24" customHeight="1">
      <c r="A438" s="220">
        <f t="shared" si="45"/>
        <v>269</v>
      </c>
      <c r="B438" s="221" t="s">
        <v>1078</v>
      </c>
      <c r="C438" s="545">
        <v>6.86</v>
      </c>
      <c r="D438" s="221" t="s">
        <v>835</v>
      </c>
      <c r="H438" s="1" t="s">
        <v>363</v>
      </c>
      <c r="K438" s="39">
        <f>(K437+C20/10*F429)</f>
        <v>507.64</v>
      </c>
      <c r="O438" s="1" t="s">
        <v>2079</v>
      </c>
      <c r="U438" s="37" t="s">
        <v>363</v>
      </c>
      <c r="W438">
        <f>0.07*C20</f>
        <v>9.6</v>
      </c>
      <c r="X438" s="37">
        <f>X437+W438</f>
        <v>526.74</v>
      </c>
      <c r="AC438" s="3"/>
      <c r="AF438" s="11"/>
      <c r="AG438" s="5" t="s">
        <v>1980</v>
      </c>
    </row>
    <row r="439" spans="1:33" ht="24" customHeight="1">
      <c r="A439" s="220">
        <f t="shared" si="45"/>
        <v>270</v>
      </c>
      <c r="B439" s="221" t="s">
        <v>1080</v>
      </c>
      <c r="C439" s="545">
        <v>9.15</v>
      </c>
      <c r="D439" s="221" t="s">
        <v>835</v>
      </c>
      <c r="H439" s="1" t="s">
        <v>2149</v>
      </c>
      <c r="K439" s="39">
        <f>(K438+C21/10*F429)</f>
        <v>517.24</v>
      </c>
      <c r="O439" s="1" t="s">
        <v>2080</v>
      </c>
      <c r="U439" s="37" t="s">
        <v>2149</v>
      </c>
      <c r="W439">
        <f>W438</f>
        <v>9.6</v>
      </c>
      <c r="X439" s="37">
        <f>X438+W439</f>
        <v>536.34</v>
      </c>
      <c r="AB439" s="1" t="s">
        <v>234</v>
      </c>
      <c r="AC439" s="3"/>
      <c r="AF439" s="11"/>
    </row>
    <row r="440" spans="1:33" ht="24" customHeight="1">
      <c r="A440" s="220">
        <f t="shared" si="45"/>
        <v>271</v>
      </c>
      <c r="B440" s="221" t="s">
        <v>225</v>
      </c>
      <c r="C440" s="545">
        <v>14.59</v>
      </c>
      <c r="D440" s="221" t="s">
        <v>835</v>
      </c>
      <c r="H440" s="1" t="s">
        <v>355</v>
      </c>
      <c r="K440" s="39">
        <f>(K439+C21/10*F429)</f>
        <v>526.84</v>
      </c>
      <c r="O440" s="1" t="s">
        <v>2083</v>
      </c>
      <c r="U440" s="37" t="s">
        <v>355</v>
      </c>
      <c r="W440">
        <f>W439</f>
        <v>9.6</v>
      </c>
      <c r="X440" s="37">
        <f>X439+W440</f>
        <v>545.94000000000005</v>
      </c>
      <c r="AC440" s="3"/>
      <c r="AF440" s="11"/>
    </row>
    <row r="441" spans="1:33" ht="24" customHeight="1">
      <c r="A441" s="220"/>
      <c r="B441" s="221"/>
      <c r="C441" s="545"/>
      <c r="D441" s="221"/>
      <c r="H441" s="1" t="s">
        <v>801</v>
      </c>
      <c r="K441" s="39">
        <f>(K440+C20/10*F429)</f>
        <v>536.44000000000005</v>
      </c>
      <c r="O441" s="1"/>
      <c r="U441" s="37" t="s">
        <v>801</v>
      </c>
      <c r="W441">
        <f>W440</f>
        <v>9.6</v>
      </c>
      <c r="X441" s="37">
        <f>X440+W441</f>
        <v>555.54</v>
      </c>
      <c r="AC441" s="7" t="s">
        <v>1484</v>
      </c>
      <c r="AD441" s="1" t="s">
        <v>3741</v>
      </c>
      <c r="AF441" s="11"/>
    </row>
    <row r="442" spans="1:33" ht="24" customHeight="1">
      <c r="A442" s="220">
        <f>(A440+1)</f>
        <v>272</v>
      </c>
      <c r="B442" s="221" t="s">
        <v>1081</v>
      </c>
      <c r="C442" s="545">
        <v>21.74</v>
      </c>
      <c r="D442" s="221" t="s">
        <v>835</v>
      </c>
      <c r="H442" s="2" t="s">
        <v>2061</v>
      </c>
      <c r="M442" s="8">
        <v>8</v>
      </c>
      <c r="N442" s="1" t="s">
        <v>739</v>
      </c>
      <c r="O442" s="1" t="s">
        <v>2062</v>
      </c>
      <c r="P442" s="8">
        <f>(C46)</f>
        <v>8.1</v>
      </c>
      <c r="Q442" s="1" t="s">
        <v>739</v>
      </c>
      <c r="R442" s="8">
        <f>(M442*P442)</f>
        <v>64.8</v>
      </c>
      <c r="AC442" s="3"/>
      <c r="AD442" s="5" t="s">
        <v>1530</v>
      </c>
      <c r="AF442" s="11"/>
    </row>
    <row r="443" spans="1:33" ht="24" customHeight="1">
      <c r="A443" s="220">
        <f t="shared" si="45"/>
        <v>273</v>
      </c>
      <c r="B443" s="540" t="s">
        <v>4484</v>
      </c>
      <c r="C443" s="223"/>
      <c r="D443" s="221" t="s">
        <v>940</v>
      </c>
      <c r="H443" s="2" t="s">
        <v>2040</v>
      </c>
      <c r="M443" s="8">
        <v>8</v>
      </c>
      <c r="N443" s="1" t="s">
        <v>739</v>
      </c>
      <c r="O443" s="1" t="s">
        <v>437</v>
      </c>
      <c r="P443" s="8">
        <f>(C53)</f>
        <v>11.5</v>
      </c>
      <c r="Q443" s="1" t="s">
        <v>739</v>
      </c>
      <c r="R443" s="8">
        <f>(M443*P443)</f>
        <v>92</v>
      </c>
      <c r="AB443" s="8">
        <v>0.75</v>
      </c>
      <c r="AC443" s="7" t="s">
        <v>836</v>
      </c>
      <c r="AD443" s="1" t="s">
        <v>2195</v>
      </c>
      <c r="AE443" s="8">
        <f>AG437</f>
        <v>5824.1</v>
      </c>
      <c r="AF443" s="1" t="s">
        <v>835</v>
      </c>
      <c r="AG443" s="8">
        <f>(AB443*AE443)</f>
        <v>4368.08</v>
      </c>
    </row>
    <row r="444" spans="1:33" ht="38.25" customHeight="1">
      <c r="A444" s="220">
        <f t="shared" si="45"/>
        <v>274</v>
      </c>
      <c r="B444" s="221" t="s">
        <v>1075</v>
      </c>
      <c r="C444" s="423">
        <v>28.6</v>
      </c>
      <c r="D444" s="221" t="s">
        <v>835</v>
      </c>
      <c r="F444" s="12">
        <v>12</v>
      </c>
      <c r="G444" s="7" t="s">
        <v>2167</v>
      </c>
      <c r="H444" s="1" t="s">
        <v>438</v>
      </c>
      <c r="M444" s="8">
        <v>1</v>
      </c>
      <c r="N444" s="1" t="s">
        <v>419</v>
      </c>
      <c r="O444" s="1" t="s">
        <v>1630</v>
      </c>
      <c r="P444" s="8">
        <f>(C59)</f>
        <v>12.1</v>
      </c>
      <c r="Q444" s="1" t="s">
        <v>419</v>
      </c>
      <c r="R444" s="8">
        <f>(M444*P444)</f>
        <v>12.1</v>
      </c>
      <c r="AB444" s="8">
        <v>1</v>
      </c>
      <c r="AC444" s="7" t="s">
        <v>739</v>
      </c>
      <c r="AD444" s="1" t="s">
        <v>1938</v>
      </c>
      <c r="AE444" s="8">
        <f>AE429</f>
        <v>861</v>
      </c>
      <c r="AF444" s="1" t="s">
        <v>835</v>
      </c>
      <c r="AG444" s="8">
        <f>(AB444*AE444)</f>
        <v>861</v>
      </c>
    </row>
    <row r="445" spans="1:33" ht="24" customHeight="1">
      <c r="A445" s="220">
        <f t="shared" si="45"/>
        <v>275</v>
      </c>
      <c r="B445" s="221" t="s">
        <v>1076</v>
      </c>
      <c r="C445" s="423">
        <v>34.700000000000003</v>
      </c>
      <c r="D445" s="221" t="s">
        <v>835</v>
      </c>
      <c r="H445" s="1" t="s">
        <v>1072</v>
      </c>
      <c r="M445" s="8">
        <v>1</v>
      </c>
      <c r="N445" s="1" t="s">
        <v>419</v>
      </c>
      <c r="O445" s="1" t="s">
        <v>420</v>
      </c>
      <c r="Q445" s="1" t="s">
        <v>419</v>
      </c>
      <c r="R445" s="8">
        <v>0</v>
      </c>
      <c r="AC445" s="7" t="s">
        <v>419</v>
      </c>
      <c r="AD445" s="1" t="s">
        <v>420</v>
      </c>
      <c r="AE445" s="1" t="s">
        <v>940</v>
      </c>
      <c r="AF445" s="1" t="s">
        <v>419</v>
      </c>
      <c r="AG445" s="8">
        <v>0</v>
      </c>
    </row>
    <row r="446" spans="1:33" ht="24" customHeight="1">
      <c r="A446" s="220">
        <f t="shared" si="45"/>
        <v>276</v>
      </c>
      <c r="B446" s="221" t="s">
        <v>1077</v>
      </c>
      <c r="C446" s="423">
        <v>81.400000000000006</v>
      </c>
      <c r="D446" s="221" t="s">
        <v>835</v>
      </c>
      <c r="H446" s="5" t="s">
        <v>1530</v>
      </c>
      <c r="R446" s="5" t="s">
        <v>1530</v>
      </c>
      <c r="AC446" s="3"/>
      <c r="AF446" s="11"/>
      <c r="AG446" s="5" t="s">
        <v>1530</v>
      </c>
    </row>
    <row r="447" spans="1:33" ht="24" customHeight="1">
      <c r="A447" s="220">
        <f t="shared" si="45"/>
        <v>277</v>
      </c>
      <c r="B447" s="221" t="s">
        <v>1078</v>
      </c>
      <c r="C447" s="423">
        <v>98.6</v>
      </c>
      <c r="D447" s="221" t="s">
        <v>835</v>
      </c>
      <c r="F447" s="8">
        <v>6570</v>
      </c>
      <c r="G447" s="7" t="s">
        <v>1368</v>
      </c>
      <c r="H447" s="1" t="s">
        <v>1512</v>
      </c>
      <c r="I447" s="8">
        <f>(C80)</f>
        <v>4223.17</v>
      </c>
      <c r="J447" s="1" t="s">
        <v>1538</v>
      </c>
      <c r="K447" s="8">
        <f>(F447*I447)/1000</f>
        <v>27746.23</v>
      </c>
      <c r="O447" s="1" t="s">
        <v>1489</v>
      </c>
      <c r="R447" s="8">
        <f>SUM(R434:R445)</f>
        <v>2155.98</v>
      </c>
      <c r="AC447" s="3"/>
      <c r="AD447" s="1" t="s">
        <v>411</v>
      </c>
      <c r="AF447" s="11"/>
      <c r="AG447" s="8">
        <f>SUM(AG443:AG445)</f>
        <v>5229.08</v>
      </c>
    </row>
    <row r="448" spans="1:33" ht="24" customHeight="1">
      <c r="A448" s="220">
        <f t="shared" si="45"/>
        <v>278</v>
      </c>
      <c r="B448" s="221" t="s">
        <v>1080</v>
      </c>
      <c r="C448" s="423">
        <v>110.2</v>
      </c>
      <c r="D448" s="221" t="s">
        <v>835</v>
      </c>
      <c r="F448" s="8">
        <v>1.91</v>
      </c>
      <c r="G448" s="7" t="s">
        <v>836</v>
      </c>
      <c r="H448" s="1" t="s">
        <v>1258</v>
      </c>
      <c r="I448" s="8">
        <f>(K40)</f>
        <v>3646.42</v>
      </c>
      <c r="J448" s="1" t="s">
        <v>836</v>
      </c>
      <c r="K448" s="8">
        <f>(F448*I448)</f>
        <v>6964.66</v>
      </c>
      <c r="R448" s="5" t="s">
        <v>1530</v>
      </c>
      <c r="AC448" s="3"/>
      <c r="AF448" s="11"/>
      <c r="AG448" s="5" t="s">
        <v>1530</v>
      </c>
    </row>
    <row r="449" spans="1:36" ht="24" customHeight="1">
      <c r="A449" s="220">
        <f t="shared" si="45"/>
        <v>279</v>
      </c>
      <c r="B449" s="221" t="s">
        <v>225</v>
      </c>
      <c r="C449" s="423">
        <v>139.80000000000001</v>
      </c>
      <c r="D449" s="221" t="s">
        <v>835</v>
      </c>
      <c r="F449" s="8">
        <v>7</v>
      </c>
      <c r="G449" s="7" t="s">
        <v>835</v>
      </c>
      <c r="H449" s="1" t="s">
        <v>1938</v>
      </c>
      <c r="I449" s="8">
        <f>(C10)</f>
        <v>861</v>
      </c>
      <c r="J449" s="1" t="s">
        <v>835</v>
      </c>
      <c r="K449" s="8">
        <f>(F449*I449)</f>
        <v>6027</v>
      </c>
      <c r="O449" s="1" t="s">
        <v>1490</v>
      </c>
      <c r="R449" s="8">
        <f>(R447/30)</f>
        <v>71.87</v>
      </c>
      <c r="AC449" s="3"/>
      <c r="AD449" s="1" t="s">
        <v>521</v>
      </c>
      <c r="AF449" s="11"/>
      <c r="AG449" s="8">
        <f>(AG447/10)</f>
        <v>522.91</v>
      </c>
    </row>
    <row r="450" spans="1:36" ht="24" customHeight="1">
      <c r="A450" s="220">
        <f t="shared" si="45"/>
        <v>280</v>
      </c>
      <c r="B450" s="734" t="s">
        <v>3476</v>
      </c>
      <c r="C450" s="446">
        <v>363</v>
      </c>
      <c r="D450" s="734" t="s">
        <v>835</v>
      </c>
      <c r="F450" s="8">
        <v>3.6</v>
      </c>
      <c r="G450" s="7" t="s">
        <v>835</v>
      </c>
      <c r="H450" s="1" t="s">
        <v>1654</v>
      </c>
      <c r="I450" s="8">
        <f>(C11)</f>
        <v>804</v>
      </c>
      <c r="J450" s="1" t="s">
        <v>835</v>
      </c>
      <c r="K450" s="8">
        <f>(F450*I450)</f>
        <v>2894.4</v>
      </c>
      <c r="R450" s="5" t="s">
        <v>1530</v>
      </c>
      <c r="AC450" s="3"/>
      <c r="AF450" s="11"/>
      <c r="AG450" s="5" t="s">
        <v>1980</v>
      </c>
    </row>
    <row r="451" spans="1:36" ht="24" customHeight="1">
      <c r="A451" s="220">
        <f t="shared" si="45"/>
        <v>281</v>
      </c>
      <c r="B451" s="540" t="s">
        <v>4485</v>
      </c>
      <c r="C451" s="223"/>
      <c r="D451" s="221" t="s">
        <v>940</v>
      </c>
      <c r="F451" s="8">
        <v>7.1</v>
      </c>
      <c r="G451" s="7" t="s">
        <v>835</v>
      </c>
      <c r="H451" s="1" t="s">
        <v>1836</v>
      </c>
      <c r="I451" s="8">
        <f>(C12)</f>
        <v>562</v>
      </c>
      <c r="J451" s="1" t="s">
        <v>835</v>
      </c>
      <c r="K451" s="8">
        <f>(F451*I451)</f>
        <v>3990.2</v>
      </c>
      <c r="N451" s="1" t="s">
        <v>1500</v>
      </c>
      <c r="O451" s="2" t="s">
        <v>980</v>
      </c>
      <c r="AC451" s="3"/>
      <c r="AD451" s="1" t="s">
        <v>361</v>
      </c>
      <c r="AF451" s="11">
        <f>C19*0.075</f>
        <v>5.0999999999999996</v>
      </c>
      <c r="AG451" s="39">
        <f>AG449+AF451</f>
        <v>528.01</v>
      </c>
    </row>
    <row r="452" spans="1:36" ht="24" customHeight="1">
      <c r="A452" s="220">
        <f t="shared" si="45"/>
        <v>282</v>
      </c>
      <c r="B452" s="221" t="s">
        <v>1075</v>
      </c>
      <c r="C452" s="423">
        <v>23.2</v>
      </c>
      <c r="D452" s="221" t="s">
        <v>835</v>
      </c>
      <c r="F452" s="8">
        <v>14.1</v>
      </c>
      <c r="G452" s="7" t="s">
        <v>835</v>
      </c>
      <c r="H452" s="1" t="s">
        <v>299</v>
      </c>
      <c r="I452" s="8">
        <f>(C13)</f>
        <v>461</v>
      </c>
      <c r="J452" s="1" t="s">
        <v>835</v>
      </c>
      <c r="K452" s="8">
        <f>(F452*I452)</f>
        <v>6500.1</v>
      </c>
      <c r="O452" s="5" t="s">
        <v>1530</v>
      </c>
      <c r="AC452" s="3"/>
      <c r="AD452" s="1" t="s">
        <v>363</v>
      </c>
      <c r="AF452" s="11">
        <f>C20*0.075</f>
        <v>10.29</v>
      </c>
      <c r="AG452" s="39">
        <f t="shared" ref="AG452:AG461" si="47">AG451+AF452</f>
        <v>538.29999999999995</v>
      </c>
    </row>
    <row r="453" spans="1:36" ht="39" customHeight="1">
      <c r="A453" s="220">
        <f t="shared" si="45"/>
        <v>283</v>
      </c>
      <c r="B453" s="221" t="s">
        <v>1076</v>
      </c>
      <c r="C453" s="423">
        <v>34.700000000000003</v>
      </c>
      <c r="D453" s="221" t="s">
        <v>835</v>
      </c>
      <c r="G453" s="7" t="s">
        <v>419</v>
      </c>
      <c r="H453" s="1" t="s">
        <v>420</v>
      </c>
      <c r="I453" s="1" t="s">
        <v>940</v>
      </c>
      <c r="J453" s="1" t="s">
        <v>419</v>
      </c>
      <c r="K453" s="8">
        <v>0</v>
      </c>
      <c r="M453" s="8">
        <v>8.1</v>
      </c>
      <c r="N453" s="1" t="s">
        <v>836</v>
      </c>
      <c r="O453" s="1" t="s">
        <v>586</v>
      </c>
      <c r="P453" s="8">
        <f>(C64)*2</f>
        <v>193.2</v>
      </c>
      <c r="Q453" s="1" t="s">
        <v>836</v>
      </c>
      <c r="R453" s="8">
        <f>(M453*P453)</f>
        <v>1564.92</v>
      </c>
      <c r="AC453" s="3"/>
      <c r="AD453" s="1" t="s">
        <v>2149</v>
      </c>
      <c r="AF453" s="11">
        <f>C21*0.075</f>
        <v>10.29</v>
      </c>
      <c r="AG453" s="39">
        <f t="shared" si="47"/>
        <v>548.59</v>
      </c>
    </row>
    <row r="454" spans="1:36" ht="24" customHeight="1">
      <c r="A454" s="220">
        <f t="shared" si="45"/>
        <v>284</v>
      </c>
      <c r="B454" s="221" t="s">
        <v>1077</v>
      </c>
      <c r="C454" s="423">
        <v>43.7</v>
      </c>
      <c r="D454" s="221" t="s">
        <v>835</v>
      </c>
      <c r="K454" s="5" t="s">
        <v>1530</v>
      </c>
      <c r="M454" s="8">
        <v>8.1</v>
      </c>
      <c r="N454" s="1" t="s">
        <v>836</v>
      </c>
      <c r="O454" s="1" t="s">
        <v>2076</v>
      </c>
      <c r="P454" s="8">
        <f>(C26)</f>
        <v>33.6</v>
      </c>
      <c r="Q454" s="1" t="s">
        <v>836</v>
      </c>
      <c r="R454" s="8">
        <f>(M454*P454)</f>
        <v>272.16000000000003</v>
      </c>
      <c r="AC454" s="3"/>
      <c r="AD454" s="1" t="s">
        <v>355</v>
      </c>
      <c r="AF454" s="11">
        <f t="shared" ref="AF454:AF461" si="48">AF453</f>
        <v>10.29</v>
      </c>
      <c r="AG454" s="39">
        <f t="shared" si="47"/>
        <v>558.88</v>
      </c>
    </row>
    <row r="455" spans="1:36" ht="24" customHeight="1">
      <c r="A455" s="220">
        <f t="shared" si="45"/>
        <v>285</v>
      </c>
      <c r="B455" s="221" t="s">
        <v>1078</v>
      </c>
      <c r="C455" s="423">
        <v>58.1</v>
      </c>
      <c r="D455" s="221" t="s">
        <v>835</v>
      </c>
      <c r="H455" s="1" t="s">
        <v>583</v>
      </c>
      <c r="K455" s="8">
        <f>SUM(K447:K453)</f>
        <v>54122.59</v>
      </c>
      <c r="M455" s="8">
        <v>30</v>
      </c>
      <c r="N455" s="1" t="s">
        <v>1714</v>
      </c>
      <c r="O455" s="1" t="s">
        <v>2077</v>
      </c>
      <c r="P455" s="8">
        <f>(C45)</f>
        <v>5</v>
      </c>
      <c r="Q455" s="1" t="s">
        <v>1714</v>
      </c>
      <c r="R455" s="8">
        <f>(M455*P455)</f>
        <v>150</v>
      </c>
      <c r="AC455" s="3"/>
      <c r="AD455" s="1" t="s">
        <v>801</v>
      </c>
      <c r="AF455" s="11">
        <f t="shared" si="48"/>
        <v>10.29</v>
      </c>
      <c r="AG455" s="39">
        <f t="shared" si="47"/>
        <v>569.16999999999996</v>
      </c>
      <c r="AJ455">
        <f>40.81*0.075</f>
        <v>3.06</v>
      </c>
    </row>
    <row r="456" spans="1:36" ht="24" customHeight="1">
      <c r="A456" s="220">
        <f t="shared" si="45"/>
        <v>286</v>
      </c>
      <c r="B456" s="221" t="s">
        <v>1080</v>
      </c>
      <c r="C456" s="423">
        <v>69.8</v>
      </c>
      <c r="D456" s="221" t="s">
        <v>835</v>
      </c>
      <c r="K456" s="5" t="s">
        <v>1530</v>
      </c>
      <c r="O456" s="1" t="s">
        <v>2078</v>
      </c>
      <c r="AD456" s="1" t="s">
        <v>3508</v>
      </c>
      <c r="AE456" s="52">
        <f t="shared" ref="AE456:AE461" si="49">AG456</f>
        <v>579.46</v>
      </c>
      <c r="AF456" s="11">
        <f t="shared" si="48"/>
        <v>10.29</v>
      </c>
      <c r="AG456" s="39">
        <f t="shared" si="47"/>
        <v>579.46</v>
      </c>
    </row>
    <row r="457" spans="1:36" ht="24" customHeight="1">
      <c r="A457" s="220">
        <f t="shared" si="45"/>
        <v>287</v>
      </c>
      <c r="B457" s="221" t="s">
        <v>225</v>
      </c>
      <c r="C457" s="423">
        <v>87</v>
      </c>
      <c r="D457" s="221" t="s">
        <v>835</v>
      </c>
      <c r="H457" s="1" t="s">
        <v>743</v>
      </c>
      <c r="K457" s="8">
        <f>(K455/10)</f>
        <v>5412.26</v>
      </c>
      <c r="O457" s="1" t="s">
        <v>2079</v>
      </c>
      <c r="AD457" s="1" t="s">
        <v>3509</v>
      </c>
      <c r="AE457" s="52">
        <f t="shared" si="49"/>
        <v>589.75</v>
      </c>
      <c r="AF457" s="11">
        <f t="shared" si="48"/>
        <v>10.29</v>
      </c>
      <c r="AG457" s="39">
        <f t="shared" si="47"/>
        <v>589.75</v>
      </c>
    </row>
    <row r="458" spans="1:36" ht="24" customHeight="1">
      <c r="A458" s="220">
        <f t="shared" si="45"/>
        <v>288</v>
      </c>
      <c r="B458" s="734" t="s">
        <v>3476</v>
      </c>
      <c r="C458" s="446">
        <v>18.600000000000001</v>
      </c>
      <c r="D458" s="734" t="s">
        <v>835</v>
      </c>
      <c r="K458" s="5" t="s">
        <v>1980</v>
      </c>
      <c r="O458" s="1" t="s">
        <v>2080</v>
      </c>
      <c r="AD458" s="1" t="s">
        <v>3510</v>
      </c>
      <c r="AE458" s="52">
        <f t="shared" si="49"/>
        <v>600.04</v>
      </c>
      <c r="AF458" s="11">
        <f t="shared" si="48"/>
        <v>10.29</v>
      </c>
      <c r="AG458" s="39">
        <f t="shared" si="47"/>
        <v>600.04</v>
      </c>
    </row>
    <row r="459" spans="1:36" ht="24" customHeight="1">
      <c r="A459" s="220">
        <f t="shared" si="45"/>
        <v>289</v>
      </c>
      <c r="B459" s="221" t="s">
        <v>2204</v>
      </c>
      <c r="C459" s="223"/>
      <c r="D459" s="221" t="s">
        <v>940</v>
      </c>
      <c r="O459" s="1" t="s">
        <v>2083</v>
      </c>
      <c r="AD459" s="1" t="s">
        <v>3520</v>
      </c>
      <c r="AE459" s="52">
        <f t="shared" si="49"/>
        <v>610.33000000000004</v>
      </c>
      <c r="AF459" s="11">
        <f t="shared" si="48"/>
        <v>10.29</v>
      </c>
      <c r="AG459" s="39">
        <f t="shared" si="47"/>
        <v>610.33000000000004</v>
      </c>
    </row>
    <row r="460" spans="1:36" ht="24" customHeight="1">
      <c r="A460" s="220">
        <f t="shared" si="45"/>
        <v>290</v>
      </c>
      <c r="B460" s="221" t="s">
        <v>1075</v>
      </c>
      <c r="C460" s="222">
        <v>355.95</v>
      </c>
      <c r="D460" s="221" t="s">
        <v>835</v>
      </c>
      <c r="G460" s="7" t="s">
        <v>2167</v>
      </c>
      <c r="H460" s="1" t="s">
        <v>149</v>
      </c>
      <c r="M460" s="8">
        <v>8</v>
      </c>
      <c r="N460" s="1" t="s">
        <v>739</v>
      </c>
      <c r="O460" s="1" t="s">
        <v>2062</v>
      </c>
      <c r="P460" s="8">
        <f>(C47)</f>
        <v>7.1</v>
      </c>
      <c r="Q460" s="1" t="s">
        <v>739</v>
      </c>
      <c r="R460" s="8">
        <f>(M460*P460)</f>
        <v>56.8</v>
      </c>
      <c r="AD460" s="1" t="s">
        <v>3518</v>
      </c>
      <c r="AE460" s="52">
        <f t="shared" si="49"/>
        <v>620.62</v>
      </c>
      <c r="AF460" s="11">
        <f t="shared" si="48"/>
        <v>10.29</v>
      </c>
      <c r="AG460" s="39">
        <f t="shared" si="47"/>
        <v>620.62</v>
      </c>
    </row>
    <row r="461" spans="1:36" ht="24" customHeight="1">
      <c r="A461" s="220">
        <f t="shared" si="45"/>
        <v>291</v>
      </c>
      <c r="B461" s="221" t="s">
        <v>1076</v>
      </c>
      <c r="C461" s="222">
        <v>536.54999999999995</v>
      </c>
      <c r="D461" s="221" t="s">
        <v>835</v>
      </c>
      <c r="H461" s="5" t="s">
        <v>1530</v>
      </c>
      <c r="M461" s="8">
        <v>8</v>
      </c>
      <c r="N461" s="1" t="s">
        <v>739</v>
      </c>
      <c r="O461" s="1" t="s">
        <v>437</v>
      </c>
      <c r="P461" s="8">
        <f>(C54)</f>
        <v>11.7</v>
      </c>
      <c r="Q461" s="1" t="s">
        <v>739</v>
      </c>
      <c r="R461" s="8">
        <f>(M461*P461)</f>
        <v>93.6</v>
      </c>
      <c r="AE461" s="52">
        <f t="shared" si="49"/>
        <v>630.91</v>
      </c>
      <c r="AF461" s="11">
        <f t="shared" si="48"/>
        <v>10.29</v>
      </c>
      <c r="AG461" s="39">
        <f t="shared" si="47"/>
        <v>630.91</v>
      </c>
    </row>
    <row r="462" spans="1:36" ht="24" customHeight="1">
      <c r="A462" s="220">
        <f t="shared" si="45"/>
        <v>292</v>
      </c>
      <c r="B462" s="221" t="s">
        <v>1077</v>
      </c>
      <c r="C462" s="223">
        <v>789.6</v>
      </c>
      <c r="D462" s="221" t="s">
        <v>940</v>
      </c>
      <c r="F462" s="8">
        <v>0.5</v>
      </c>
      <c r="G462" s="7" t="s">
        <v>836</v>
      </c>
      <c r="H462" s="1" t="s">
        <v>2195</v>
      </c>
      <c r="I462" s="8">
        <f>(K457)</f>
        <v>5412.26</v>
      </c>
      <c r="J462" s="1" t="s">
        <v>835</v>
      </c>
      <c r="K462" s="8">
        <f>(F462*I462)</f>
        <v>2706.13</v>
      </c>
      <c r="M462" s="8">
        <v>1</v>
      </c>
      <c r="N462" s="1" t="s">
        <v>419</v>
      </c>
      <c r="O462" s="1" t="s">
        <v>1630</v>
      </c>
      <c r="P462" s="8">
        <f>(C59)</f>
        <v>12.1</v>
      </c>
      <c r="Q462" s="1" t="s">
        <v>419</v>
      </c>
      <c r="R462" s="8">
        <f>(M462*P462)</f>
        <v>12.1</v>
      </c>
      <c r="U462" s="619" t="s">
        <v>3911</v>
      </c>
      <c r="Y462" s="51"/>
      <c r="AA462" s="619" t="s">
        <v>4029</v>
      </c>
      <c r="AE462" s="52">
        <f>AG462</f>
        <v>641.20000000000005</v>
      </c>
      <c r="AF462" s="11">
        <f>AF461</f>
        <v>10.29</v>
      </c>
      <c r="AG462" s="39">
        <f>AG461+AF462</f>
        <v>641.20000000000005</v>
      </c>
    </row>
    <row r="463" spans="1:36" ht="24" customHeight="1">
      <c r="A463" s="220">
        <f t="shared" si="45"/>
        <v>293</v>
      </c>
      <c r="B463" s="221" t="s">
        <v>4486</v>
      </c>
      <c r="C463" s="423">
        <f>AE52</f>
        <v>3.65</v>
      </c>
      <c r="D463" s="221" t="s">
        <v>835</v>
      </c>
      <c r="F463" s="8">
        <v>1</v>
      </c>
      <c r="G463" s="7" t="s">
        <v>739</v>
      </c>
      <c r="H463" s="1" t="s">
        <v>1938</v>
      </c>
      <c r="I463" s="8">
        <f>(C10)</f>
        <v>861</v>
      </c>
      <c r="J463" s="1" t="s">
        <v>835</v>
      </c>
      <c r="K463" s="8">
        <f>(F463*I463)</f>
        <v>861</v>
      </c>
      <c r="M463" s="8">
        <v>1</v>
      </c>
      <c r="N463" s="1" t="s">
        <v>419</v>
      </c>
      <c r="O463" s="1" t="s">
        <v>420</v>
      </c>
      <c r="Q463" s="1" t="s">
        <v>419</v>
      </c>
      <c r="R463" s="8">
        <v>0</v>
      </c>
      <c r="S463" s="2" t="s">
        <v>1556</v>
      </c>
      <c r="T463" s="7" t="s">
        <v>2167</v>
      </c>
      <c r="U463" s="1" t="s">
        <v>849</v>
      </c>
      <c r="W463" s="11"/>
      <c r="Y463" s="2" t="s">
        <v>1556</v>
      </c>
      <c r="Z463" s="7" t="s">
        <v>2167</v>
      </c>
      <c r="AA463" s="1" t="s">
        <v>849</v>
      </c>
      <c r="AC463" s="11"/>
      <c r="AE463" s="52">
        <f>AG463</f>
        <v>651.49</v>
      </c>
      <c r="AF463" s="11">
        <f>AF462</f>
        <v>10.29</v>
      </c>
      <c r="AG463" s="39">
        <f>AG462+AF463</f>
        <v>651.49</v>
      </c>
    </row>
    <row r="464" spans="1:36" ht="24" customHeight="1">
      <c r="A464" s="220">
        <f t="shared" si="45"/>
        <v>294</v>
      </c>
      <c r="B464" s="221" t="s">
        <v>4487</v>
      </c>
      <c r="C464" s="423">
        <f>AE53</f>
        <v>4.5999999999999996</v>
      </c>
      <c r="D464" s="221" t="s">
        <v>835</v>
      </c>
      <c r="G464" s="7" t="s">
        <v>419</v>
      </c>
      <c r="H464" s="1" t="s">
        <v>420</v>
      </c>
      <c r="I464" s="1" t="s">
        <v>940</v>
      </c>
      <c r="J464" s="1" t="s">
        <v>419</v>
      </c>
      <c r="K464" s="8">
        <v>0</v>
      </c>
      <c r="R464" s="5" t="s">
        <v>1530</v>
      </c>
      <c r="S464"/>
      <c r="T464" s="3"/>
      <c r="U464" s="1" t="s">
        <v>1055</v>
      </c>
      <c r="W464" s="11"/>
      <c r="Z464" s="3"/>
      <c r="AA464" s="1" t="s">
        <v>1055</v>
      </c>
      <c r="AC464" s="11"/>
      <c r="AE464" s="52">
        <f t="shared" ref="AE464:AE484" si="50">AG464</f>
        <v>661.78</v>
      </c>
      <c r="AF464" s="11">
        <f>AF463</f>
        <v>10.29</v>
      </c>
      <c r="AG464" s="39">
        <f>AG463+AF464</f>
        <v>661.78</v>
      </c>
    </row>
    <row r="465" spans="1:33" ht="24" customHeight="1">
      <c r="A465" s="220">
        <f t="shared" si="45"/>
        <v>295</v>
      </c>
      <c r="B465" s="221" t="s">
        <v>1042</v>
      </c>
      <c r="C465" s="903">
        <v>350</v>
      </c>
      <c r="D465" s="903">
        <v>375</v>
      </c>
      <c r="K465" s="5" t="s">
        <v>1530</v>
      </c>
      <c r="O465" s="1" t="s">
        <v>1489</v>
      </c>
      <c r="R465" s="8">
        <f>SUM(R453:R463)</f>
        <v>2149.58</v>
      </c>
      <c r="S465"/>
      <c r="T465" s="3"/>
      <c r="U465" s="1" t="s">
        <v>3903</v>
      </c>
      <c r="W465" s="11"/>
      <c r="Z465" s="3"/>
      <c r="AA465" s="1" t="s">
        <v>3903</v>
      </c>
      <c r="AC465" s="11"/>
      <c r="AE465" s="52">
        <f t="shared" si="50"/>
        <v>672.07</v>
      </c>
      <c r="AF465" s="11">
        <f>AF464</f>
        <v>10.29</v>
      </c>
      <c r="AG465" s="39">
        <f>AG464+AF465</f>
        <v>672.07</v>
      </c>
    </row>
    <row r="466" spans="1:33" ht="24" customHeight="1">
      <c r="A466" s="220">
        <f t="shared" si="45"/>
        <v>296</v>
      </c>
      <c r="B466" s="221" t="s">
        <v>2017</v>
      </c>
      <c r="C466" s="903">
        <v>400</v>
      </c>
      <c r="D466" s="903">
        <v>425</v>
      </c>
      <c r="H466" s="1" t="s">
        <v>411</v>
      </c>
      <c r="K466" s="8">
        <f>SUM(K462:K464)</f>
        <v>3567.13</v>
      </c>
      <c r="R466" s="5" t="s">
        <v>1530</v>
      </c>
      <c r="S466"/>
      <c r="T466" s="3"/>
      <c r="U466" s="5" t="s">
        <v>1530</v>
      </c>
      <c r="W466" s="11"/>
      <c r="Z466" s="3"/>
      <c r="AA466" s="5" t="s">
        <v>1530</v>
      </c>
      <c r="AC466" s="11"/>
      <c r="AE466" s="52">
        <f t="shared" si="50"/>
        <v>682.36</v>
      </c>
      <c r="AF466" s="11">
        <f>AF465</f>
        <v>10.29</v>
      </c>
      <c r="AG466" s="39">
        <f>AG465+AF466</f>
        <v>682.36</v>
      </c>
    </row>
    <row r="467" spans="1:33" ht="60.75" customHeight="1">
      <c r="A467" s="220">
        <f t="shared" si="45"/>
        <v>297</v>
      </c>
      <c r="B467" s="221" t="s">
        <v>1020</v>
      </c>
      <c r="C467" s="903">
        <v>450</v>
      </c>
      <c r="D467" s="903">
        <v>500</v>
      </c>
      <c r="K467" s="5" t="s">
        <v>1530</v>
      </c>
      <c r="O467" s="1" t="s">
        <v>1490</v>
      </c>
      <c r="R467" s="8">
        <f>(R465/30)</f>
        <v>71.650000000000006</v>
      </c>
      <c r="S467" s="8">
        <v>0.01</v>
      </c>
      <c r="T467" s="7" t="s">
        <v>836</v>
      </c>
      <c r="U467" s="23" t="s">
        <v>3912</v>
      </c>
      <c r="V467" s="8">
        <f>Z721</f>
        <v>7047.16</v>
      </c>
      <c r="W467" s="1" t="s">
        <v>836</v>
      </c>
      <c r="X467" s="8">
        <f>(S467*V467)</f>
        <v>70.47</v>
      </c>
      <c r="Y467" s="8">
        <v>0.01</v>
      </c>
      <c r="Z467" s="7" t="s">
        <v>836</v>
      </c>
      <c r="AA467" s="23" t="s">
        <v>4030</v>
      </c>
      <c r="AB467" s="8">
        <f>Y691</f>
        <v>7584.57</v>
      </c>
      <c r="AC467" s="1" t="s">
        <v>836</v>
      </c>
      <c r="AD467" s="8">
        <f>(Y467*AB467)</f>
        <v>75.849999999999994</v>
      </c>
      <c r="AE467" s="52" t="str">
        <f t="shared" si="50"/>
        <v>|</v>
      </c>
      <c r="AG467" s="1" t="s">
        <v>2175</v>
      </c>
    </row>
    <row r="468" spans="1:33" ht="24" customHeight="1">
      <c r="A468" s="220">
        <f t="shared" si="45"/>
        <v>298</v>
      </c>
      <c r="B468" s="221" t="s">
        <v>1885</v>
      </c>
      <c r="C468" s="903">
        <v>77.819999999999993</v>
      </c>
      <c r="D468" s="221" t="s">
        <v>835</v>
      </c>
      <c r="H468" s="1" t="s">
        <v>521</v>
      </c>
      <c r="K468" s="8">
        <f>(K466/10)</f>
        <v>356.71</v>
      </c>
      <c r="R468" s="5" t="s">
        <v>1530</v>
      </c>
      <c r="S468" s="8">
        <v>0.01</v>
      </c>
      <c r="T468" s="7" t="s">
        <v>836</v>
      </c>
      <c r="U468" s="1" t="s">
        <v>949</v>
      </c>
      <c r="V468" s="8"/>
      <c r="W468" s="1" t="s">
        <v>419</v>
      </c>
      <c r="X468" s="8">
        <v>1.1499999999999999</v>
      </c>
      <c r="Y468" s="8">
        <v>0.01</v>
      </c>
      <c r="Z468" s="7" t="s">
        <v>836</v>
      </c>
      <c r="AA468" s="1" t="s">
        <v>949</v>
      </c>
      <c r="AB468" s="8"/>
      <c r="AC468" s="1" t="s">
        <v>419</v>
      </c>
      <c r="AD468" s="8">
        <v>1.1499999999999999</v>
      </c>
      <c r="AE468" s="52" t="str">
        <f t="shared" si="50"/>
        <v>|</v>
      </c>
      <c r="AG468" s="1" t="s">
        <v>2175</v>
      </c>
    </row>
    <row r="469" spans="1:33" ht="24" customHeight="1">
      <c r="A469" s="220">
        <f t="shared" si="45"/>
        <v>299</v>
      </c>
      <c r="B469" s="221" t="s">
        <v>1886</v>
      </c>
      <c r="C469" s="903">
        <v>99.74</v>
      </c>
      <c r="D469" s="221" t="s">
        <v>835</v>
      </c>
      <c r="K469" s="5" t="s">
        <v>1980</v>
      </c>
      <c r="N469" s="1" t="s">
        <v>1887</v>
      </c>
      <c r="O469" s="2" t="s">
        <v>1888</v>
      </c>
      <c r="S469"/>
      <c r="T469" s="3"/>
      <c r="U469" s="1" t="s">
        <v>128</v>
      </c>
      <c r="V469" s="8"/>
      <c r="W469" s="11"/>
      <c r="Z469" s="3"/>
      <c r="AA469" s="1" t="s">
        <v>128</v>
      </c>
      <c r="AB469" s="8"/>
      <c r="AC469" s="11"/>
      <c r="AE469" s="52" t="str">
        <f t="shared" si="50"/>
        <v>|</v>
      </c>
      <c r="AG469" s="1" t="s">
        <v>2175</v>
      </c>
    </row>
    <row r="470" spans="1:33" ht="24" customHeight="1">
      <c r="A470" s="220">
        <f t="shared" si="45"/>
        <v>300</v>
      </c>
      <c r="B470" s="221" t="s">
        <v>1077</v>
      </c>
      <c r="C470" s="903">
        <v>165</v>
      </c>
      <c r="D470" s="221" t="s">
        <v>835</v>
      </c>
      <c r="H470" s="1" t="s">
        <v>361</v>
      </c>
      <c r="K470" s="39">
        <f>(K468+C19/10*F462)</f>
        <v>360.11</v>
      </c>
      <c r="O470" s="5" t="s">
        <v>1530</v>
      </c>
      <c r="S470"/>
      <c r="T470" s="3"/>
      <c r="V470" s="8"/>
      <c r="W470" s="11"/>
      <c r="X470" s="5" t="s">
        <v>1530</v>
      </c>
      <c r="Z470" s="3"/>
      <c r="AB470" s="8"/>
      <c r="AC470" s="11"/>
      <c r="AD470" s="5" t="s">
        <v>1530</v>
      </c>
      <c r="AE470" s="52" t="str">
        <f t="shared" si="50"/>
        <v>|</v>
      </c>
      <c r="AG470" s="1" t="s">
        <v>2175</v>
      </c>
    </row>
    <row r="471" spans="1:33" ht="24" customHeight="1">
      <c r="A471" s="220">
        <f t="shared" si="45"/>
        <v>301</v>
      </c>
      <c r="B471" s="221" t="s">
        <v>1078</v>
      </c>
      <c r="C471" s="903">
        <v>258</v>
      </c>
      <c r="D471" s="221" t="s">
        <v>835</v>
      </c>
      <c r="H471" s="1" t="s">
        <v>363</v>
      </c>
      <c r="K471" s="39">
        <f>(K470+C20/10*F462)</f>
        <v>366.97</v>
      </c>
      <c r="M471" s="8">
        <v>8.1</v>
      </c>
      <c r="N471" s="1" t="s">
        <v>836</v>
      </c>
      <c r="O471" s="1" t="s">
        <v>586</v>
      </c>
      <c r="P471" s="8">
        <f>(C64)*2</f>
        <v>193.2</v>
      </c>
      <c r="Q471" s="1" t="s">
        <v>836</v>
      </c>
      <c r="R471" s="8">
        <f>(M471*P471)</f>
        <v>1564.92</v>
      </c>
      <c r="S471"/>
      <c r="T471" s="3"/>
      <c r="U471" s="1" t="s">
        <v>1429</v>
      </c>
      <c r="V471" s="8"/>
      <c r="W471" s="11"/>
      <c r="X471" s="8">
        <f>SUM(X467:X469)</f>
        <v>71.62</v>
      </c>
      <c r="Z471" s="3"/>
      <c r="AA471" s="1" t="s">
        <v>1429</v>
      </c>
      <c r="AB471" s="8"/>
      <c r="AC471" s="11"/>
      <c r="AD471" s="8">
        <f>SUM(AD467:AD469)</f>
        <v>77</v>
      </c>
      <c r="AE471" s="52" t="str">
        <f t="shared" si="50"/>
        <v>|</v>
      </c>
      <c r="AG471" s="1" t="s">
        <v>2175</v>
      </c>
    </row>
    <row r="472" spans="1:33" ht="24" customHeight="1">
      <c r="A472" s="220">
        <f t="shared" si="45"/>
        <v>302</v>
      </c>
      <c r="B472" s="221" t="s">
        <v>1080</v>
      </c>
      <c r="C472" s="903">
        <v>298</v>
      </c>
      <c r="D472" s="221" t="s">
        <v>835</v>
      </c>
      <c r="H472" s="1" t="s">
        <v>2149</v>
      </c>
      <c r="K472" s="39">
        <f>(K471+C21/10*F462)</f>
        <v>373.83</v>
      </c>
      <c r="M472" s="8">
        <v>8.1</v>
      </c>
      <c r="N472" s="1" t="s">
        <v>836</v>
      </c>
      <c r="O472" s="1" t="s">
        <v>2076</v>
      </c>
      <c r="P472" s="8">
        <f>(C26)</f>
        <v>33.6</v>
      </c>
      <c r="Q472" s="1" t="s">
        <v>836</v>
      </c>
      <c r="R472" s="8">
        <f>(M472*P472)</f>
        <v>272.16000000000003</v>
      </c>
      <c r="S472"/>
      <c r="T472" s="3"/>
      <c r="V472" s="8"/>
      <c r="W472" s="11"/>
      <c r="X472" s="5" t="s">
        <v>1530</v>
      </c>
      <c r="Z472" s="3"/>
      <c r="AB472" s="8"/>
      <c r="AC472" s="11"/>
      <c r="AD472" s="5" t="s">
        <v>1530</v>
      </c>
      <c r="AE472" s="52" t="str">
        <f t="shared" si="50"/>
        <v>|</v>
      </c>
      <c r="AG472" s="1" t="s">
        <v>2175</v>
      </c>
    </row>
    <row r="473" spans="1:33" ht="24" customHeight="1">
      <c r="A473" s="220">
        <f t="shared" si="45"/>
        <v>303</v>
      </c>
      <c r="B473" s="221" t="s">
        <v>225</v>
      </c>
      <c r="C473" s="903">
        <v>398</v>
      </c>
      <c r="D473" s="221" t="s">
        <v>835</v>
      </c>
      <c r="H473" s="1" t="s">
        <v>355</v>
      </c>
      <c r="K473" s="39">
        <f>(K472+C21/10*F462)</f>
        <v>380.69</v>
      </c>
      <c r="L473">
        <f t="shared" ref="L473:L479" si="51">K473-K472</f>
        <v>6.86</v>
      </c>
      <c r="M473" s="8">
        <v>30</v>
      </c>
      <c r="N473" s="1" t="s">
        <v>1714</v>
      </c>
      <c r="O473" s="1" t="s">
        <v>2077</v>
      </c>
      <c r="P473" s="8">
        <f>(C45)</f>
        <v>5</v>
      </c>
      <c r="Q473" s="1" t="s">
        <v>1714</v>
      </c>
      <c r="R473" s="8">
        <f>(M473*P473)</f>
        <v>150</v>
      </c>
      <c r="S473"/>
      <c r="T473" s="3"/>
      <c r="U473" s="1" t="s">
        <v>743</v>
      </c>
      <c r="V473" s="8"/>
      <c r="W473" s="11"/>
      <c r="X473" s="8">
        <f>ROUND(X471*100,0)</f>
        <v>7162</v>
      </c>
      <c r="Z473" s="3"/>
      <c r="AA473" s="1" t="s">
        <v>743</v>
      </c>
      <c r="AB473" s="8"/>
      <c r="AC473" s="11"/>
      <c r="AD473" s="8">
        <f>ROUND(AD471*100,0)</f>
        <v>7700</v>
      </c>
      <c r="AE473" s="52" t="str">
        <f t="shared" si="50"/>
        <v>|</v>
      </c>
      <c r="AG473" s="1" t="s">
        <v>2175</v>
      </c>
    </row>
    <row r="474" spans="1:33" ht="15.75">
      <c r="A474" s="220">
        <f t="shared" si="45"/>
        <v>304</v>
      </c>
      <c r="B474" s="221" t="s">
        <v>1081</v>
      </c>
      <c r="C474" s="905"/>
      <c r="D474" s="221" t="s">
        <v>835</v>
      </c>
      <c r="H474" s="1" t="s">
        <v>1477</v>
      </c>
      <c r="K474" s="39">
        <f>(K473+C21/10*F462)</f>
        <v>387.55</v>
      </c>
      <c r="L474">
        <f t="shared" si="51"/>
        <v>6.86</v>
      </c>
      <c r="O474" s="1" t="s">
        <v>2078</v>
      </c>
      <c r="S474" s="1" t="s">
        <v>940</v>
      </c>
      <c r="T474" s="3"/>
      <c r="V474" s="8"/>
      <c r="W474" s="11"/>
      <c r="Y474" s="1" t="s">
        <v>940</v>
      </c>
      <c r="Z474" s="3"/>
      <c r="AB474" s="8"/>
      <c r="AC474" s="11"/>
      <c r="AE474" s="52" t="str">
        <f t="shared" si="50"/>
        <v>|</v>
      </c>
      <c r="AG474" s="1" t="s">
        <v>2175</v>
      </c>
    </row>
    <row r="475" spans="1:33" ht="15.75">
      <c r="A475" s="220"/>
      <c r="B475" s="221"/>
      <c r="C475" s="223"/>
      <c r="D475" s="221"/>
      <c r="H475" s="1">
        <v>5</v>
      </c>
      <c r="K475" s="39">
        <f>(K474+C21/10*F462)</f>
        <v>394.41</v>
      </c>
      <c r="L475">
        <f t="shared" si="51"/>
        <v>6.86</v>
      </c>
      <c r="O475" s="1"/>
      <c r="S475"/>
      <c r="T475" s="3"/>
      <c r="V475" s="8"/>
      <c r="W475" s="11"/>
      <c r="X475" s="5" t="s">
        <v>1980</v>
      </c>
      <c r="Z475" s="3"/>
      <c r="AB475" s="8"/>
      <c r="AC475" s="11"/>
      <c r="AD475" s="5" t="s">
        <v>1980</v>
      </c>
      <c r="AE475" s="52"/>
      <c r="AG475" s="1"/>
    </row>
    <row r="476" spans="1:33" ht="15.75">
      <c r="A476" s="220"/>
      <c r="B476" s="221"/>
      <c r="C476" s="223"/>
      <c r="D476" s="221"/>
      <c r="H476" s="1">
        <v>6</v>
      </c>
      <c r="K476" s="39">
        <f>(K475+C21/10*F462)</f>
        <v>401.27</v>
      </c>
      <c r="L476">
        <f t="shared" si="51"/>
        <v>6.86</v>
      </c>
      <c r="O476" s="1"/>
      <c r="S476"/>
      <c r="T476" s="7" t="s">
        <v>643</v>
      </c>
      <c r="U476" s="1" t="s">
        <v>956</v>
      </c>
      <c r="V476" s="8"/>
      <c r="W476" s="11"/>
      <c r="Z476" s="7" t="s">
        <v>643</v>
      </c>
      <c r="AA476" s="1" t="s">
        <v>956</v>
      </c>
      <c r="AB476" s="8"/>
      <c r="AC476" s="11"/>
      <c r="AE476" s="52"/>
      <c r="AG476" s="1"/>
    </row>
    <row r="477" spans="1:33" ht="15.75">
      <c r="A477" s="220"/>
      <c r="B477" s="221"/>
      <c r="C477" s="223"/>
      <c r="D477" s="221"/>
      <c r="H477" s="1">
        <v>7</v>
      </c>
      <c r="K477" s="39">
        <f>(K476+C21/10*F462)</f>
        <v>408.13</v>
      </c>
      <c r="L477">
        <f t="shared" si="51"/>
        <v>6.86</v>
      </c>
      <c r="O477" s="1"/>
      <c r="S477"/>
      <c r="T477" s="3"/>
      <c r="U477" s="1" t="s">
        <v>1599</v>
      </c>
      <c r="V477" s="8"/>
      <c r="W477" s="11"/>
      <c r="Z477" s="3"/>
      <c r="AA477" s="1" t="s">
        <v>1599</v>
      </c>
      <c r="AB477" s="8"/>
      <c r="AC477" s="11"/>
      <c r="AE477" s="52"/>
      <c r="AG477" s="1"/>
    </row>
    <row r="478" spans="1:33" ht="15.75">
      <c r="A478" s="220"/>
      <c r="B478" s="221"/>
      <c r="C478" s="223"/>
      <c r="D478" s="221"/>
      <c r="H478" s="1">
        <v>8</v>
      </c>
      <c r="K478" s="39">
        <f>(K477+C21/10*F462)</f>
        <v>414.99</v>
      </c>
      <c r="L478">
        <f t="shared" si="51"/>
        <v>6.86</v>
      </c>
      <c r="O478" s="1"/>
      <c r="S478"/>
      <c r="T478" s="3"/>
      <c r="U478" s="5" t="s">
        <v>1530</v>
      </c>
      <c r="V478" s="8"/>
      <c r="W478" s="11"/>
      <c r="Z478" s="3"/>
      <c r="AA478" s="5" t="s">
        <v>1530</v>
      </c>
      <c r="AB478" s="8"/>
      <c r="AC478" s="11"/>
      <c r="AE478" s="52"/>
      <c r="AG478" s="1"/>
    </row>
    <row r="479" spans="1:33" ht="15.75">
      <c r="A479" s="220"/>
      <c r="B479" s="221"/>
      <c r="C479" s="223"/>
      <c r="D479" s="221"/>
      <c r="H479" s="1">
        <v>9</v>
      </c>
      <c r="K479" s="39">
        <f>(K478+C21/10*F462)</f>
        <v>421.85</v>
      </c>
      <c r="L479">
        <f t="shared" si="51"/>
        <v>6.86</v>
      </c>
      <c r="O479" s="1"/>
      <c r="S479" s="13">
        <v>1.4E-2</v>
      </c>
      <c r="T479" s="7" t="s">
        <v>836</v>
      </c>
      <c r="U479" s="1" t="s">
        <v>1275</v>
      </c>
      <c r="V479" s="8">
        <f>X473</f>
        <v>7162</v>
      </c>
      <c r="W479" s="1" t="s">
        <v>836</v>
      </c>
      <c r="X479" s="8">
        <f>(S479*V479)</f>
        <v>100.27</v>
      </c>
      <c r="Y479" s="13">
        <v>1.4E-2</v>
      </c>
      <c r="Z479" s="7" t="s">
        <v>836</v>
      </c>
      <c r="AA479" s="1" t="s">
        <v>1275</v>
      </c>
      <c r="AB479" s="8">
        <f>AD473</f>
        <v>7700</v>
      </c>
      <c r="AC479" s="1" t="s">
        <v>836</v>
      </c>
      <c r="AD479" s="8">
        <f>(Y479*AB479)</f>
        <v>107.8</v>
      </c>
      <c r="AE479" s="52"/>
      <c r="AG479" s="1"/>
    </row>
    <row r="480" spans="1:33" ht="15.75">
      <c r="A480" s="220"/>
      <c r="B480" s="221"/>
      <c r="C480" s="223"/>
      <c r="D480" s="221"/>
      <c r="H480" s="1">
        <v>10</v>
      </c>
      <c r="K480" s="39">
        <f>(K479+C21/10*F462)</f>
        <v>428.71</v>
      </c>
      <c r="L480">
        <f>K480-K479</f>
        <v>6.86</v>
      </c>
      <c r="O480" s="1"/>
      <c r="S480" s="13"/>
      <c r="T480" s="3"/>
      <c r="U480" s="1" t="s">
        <v>1717</v>
      </c>
      <c r="V480" s="8"/>
      <c r="W480" s="11"/>
      <c r="X480" s="1" t="s">
        <v>940</v>
      </c>
      <c r="Y480" s="13"/>
      <c r="Z480" s="3"/>
      <c r="AA480" s="1" t="s">
        <v>1717</v>
      </c>
      <c r="AB480" s="8"/>
      <c r="AC480" s="11"/>
      <c r="AD480" s="1" t="s">
        <v>940</v>
      </c>
      <c r="AE480" s="52"/>
      <c r="AG480" s="1"/>
    </row>
    <row r="481" spans="1:33" ht="15.75">
      <c r="A481" s="220"/>
      <c r="B481" s="221"/>
      <c r="C481" s="223"/>
      <c r="D481" s="221"/>
      <c r="H481" s="1"/>
      <c r="K481" s="39">
        <f>(K480+C21/10*F462)</f>
        <v>435.57</v>
      </c>
      <c r="L481">
        <f>K481-K480</f>
        <v>6.86</v>
      </c>
      <c r="O481" s="1"/>
      <c r="S481" s="8">
        <v>0.5</v>
      </c>
      <c r="T481" s="7" t="s">
        <v>739</v>
      </c>
      <c r="U481" s="1" t="s">
        <v>1938</v>
      </c>
      <c r="V481" s="8">
        <f>C10</f>
        <v>861</v>
      </c>
      <c r="W481" s="1" t="s">
        <v>739</v>
      </c>
      <c r="X481" s="8">
        <f>(S481*V481)</f>
        <v>430.5</v>
      </c>
      <c r="Y481" s="8">
        <v>0.5</v>
      </c>
      <c r="Z481" s="7" t="s">
        <v>739</v>
      </c>
      <c r="AA481" s="1" t="s">
        <v>1938</v>
      </c>
      <c r="AB481" s="8">
        <f>V481</f>
        <v>861</v>
      </c>
      <c r="AC481" s="1" t="s">
        <v>739</v>
      </c>
      <c r="AD481" s="8">
        <f>(Y481*AB481)</f>
        <v>430.5</v>
      </c>
      <c r="AE481" s="52"/>
      <c r="AG481" s="1"/>
    </row>
    <row r="482" spans="1:33" ht="15.75">
      <c r="A482" s="220">
        <f>(A474+1)</f>
        <v>305</v>
      </c>
      <c r="B482" s="540" t="s">
        <v>4488</v>
      </c>
      <c r="C482" s="223"/>
      <c r="D482" s="221" t="s">
        <v>835</v>
      </c>
      <c r="F482" s="2" t="s">
        <v>1889</v>
      </c>
      <c r="G482" s="7" t="s">
        <v>2167</v>
      </c>
      <c r="H482" s="1" t="s">
        <v>1890</v>
      </c>
      <c r="K482" s="39">
        <f>(K481+C21/10*F462)</f>
        <v>442.43</v>
      </c>
      <c r="L482">
        <f>K482-K481</f>
        <v>6.86</v>
      </c>
      <c r="O482" s="1" t="s">
        <v>2079</v>
      </c>
      <c r="S482" s="8">
        <v>0.75</v>
      </c>
      <c r="T482" s="7" t="s">
        <v>739</v>
      </c>
      <c r="U482" s="1" t="s">
        <v>1836</v>
      </c>
      <c r="V482" s="8">
        <f>C12</f>
        <v>562</v>
      </c>
      <c r="W482" s="1" t="s">
        <v>739</v>
      </c>
      <c r="X482" s="8">
        <f>(S482*V482)</f>
        <v>421.5</v>
      </c>
      <c r="Y482" s="8">
        <v>0.75</v>
      </c>
      <c r="Z482" s="7" t="s">
        <v>739</v>
      </c>
      <c r="AA482" s="1" t="s">
        <v>1836</v>
      </c>
      <c r="AB482" s="8">
        <f>V482</f>
        <v>562</v>
      </c>
      <c r="AC482" s="1" t="s">
        <v>739</v>
      </c>
      <c r="AD482" s="8">
        <f>(Y482*AB482)</f>
        <v>421.5</v>
      </c>
      <c r="AE482" s="52" t="str">
        <f t="shared" si="50"/>
        <v>|</v>
      </c>
      <c r="AG482" s="1" t="s">
        <v>2175</v>
      </c>
    </row>
    <row r="483" spans="1:33" ht="50.25" customHeight="1">
      <c r="A483" s="220">
        <f t="shared" si="45"/>
        <v>306</v>
      </c>
      <c r="B483" s="221" t="s">
        <v>1075</v>
      </c>
      <c r="C483" s="222">
        <v>168</v>
      </c>
      <c r="D483" s="221" t="s">
        <v>835</v>
      </c>
      <c r="H483" s="1" t="s">
        <v>2154</v>
      </c>
      <c r="O483" s="1" t="s">
        <v>2080</v>
      </c>
      <c r="S483"/>
      <c r="T483" s="7" t="s">
        <v>419</v>
      </c>
      <c r="U483" s="1" t="s">
        <v>420</v>
      </c>
      <c r="V483" s="8"/>
      <c r="W483" s="1" t="s">
        <v>419</v>
      </c>
      <c r="X483" s="8">
        <v>0</v>
      </c>
      <c r="Z483" s="7" t="s">
        <v>419</v>
      </c>
      <c r="AA483" s="1" t="s">
        <v>420</v>
      </c>
      <c r="AB483" s="8">
        <f>V483</f>
        <v>0</v>
      </c>
      <c r="AC483" s="1" t="s">
        <v>419</v>
      </c>
      <c r="AD483" s="8">
        <v>0</v>
      </c>
      <c r="AE483" s="52" t="str">
        <f t="shared" si="50"/>
        <v>|</v>
      </c>
      <c r="AG483" s="1" t="s">
        <v>2175</v>
      </c>
    </row>
    <row r="484" spans="1:33" ht="30.75" customHeight="1">
      <c r="A484" s="220">
        <f t="shared" si="45"/>
        <v>307</v>
      </c>
      <c r="B484" s="221" t="s">
        <v>1076</v>
      </c>
      <c r="C484" s="423">
        <v>347</v>
      </c>
      <c r="D484" s="221" t="s">
        <v>835</v>
      </c>
      <c r="H484" s="5" t="s">
        <v>1530</v>
      </c>
      <c r="O484" s="1" t="s">
        <v>2083</v>
      </c>
      <c r="S484"/>
      <c r="T484" s="3"/>
      <c r="V484" s="8"/>
      <c r="W484" s="11"/>
      <c r="X484" s="5" t="s">
        <v>1530</v>
      </c>
      <c r="Z484" s="3"/>
      <c r="AB484" s="8"/>
      <c r="AC484" s="11"/>
      <c r="AD484" s="5" t="s">
        <v>1530</v>
      </c>
      <c r="AE484" s="52" t="str">
        <f t="shared" si="50"/>
        <v>|</v>
      </c>
      <c r="AG484" s="1" t="s">
        <v>2175</v>
      </c>
    </row>
    <row r="485" spans="1:33" ht="24" customHeight="1">
      <c r="A485" s="220">
        <f t="shared" si="45"/>
        <v>308</v>
      </c>
      <c r="B485" s="221" t="s">
        <v>1077</v>
      </c>
      <c r="C485" s="423">
        <v>587</v>
      </c>
      <c r="D485" s="221" t="s">
        <v>835</v>
      </c>
      <c r="F485" s="8">
        <v>1</v>
      </c>
      <c r="G485" s="7" t="s">
        <v>836</v>
      </c>
      <c r="H485" s="1" t="s">
        <v>2155</v>
      </c>
      <c r="I485" s="8">
        <f>(C26)</f>
        <v>33.6</v>
      </c>
      <c r="J485" s="1" t="s">
        <v>836</v>
      </c>
      <c r="K485" s="39">
        <f>(F485*I485)</f>
        <v>33.6</v>
      </c>
      <c r="M485" s="8">
        <v>8</v>
      </c>
      <c r="N485" s="1" t="s">
        <v>739</v>
      </c>
      <c r="O485" s="1" t="s">
        <v>2062</v>
      </c>
      <c r="P485" s="8">
        <f>(C48)</f>
        <v>9.6999999999999993</v>
      </c>
      <c r="Q485" s="1" t="s">
        <v>739</v>
      </c>
      <c r="R485" s="8">
        <f>(M485*P485)</f>
        <v>77.599999999999994</v>
      </c>
      <c r="S485"/>
      <c r="T485" s="3"/>
      <c r="U485" s="1" t="s">
        <v>100</v>
      </c>
      <c r="V485" s="8"/>
      <c r="W485" s="11"/>
      <c r="X485" s="8">
        <f>SUM(X479:X483)</f>
        <v>952.27</v>
      </c>
      <c r="Z485" s="3"/>
      <c r="AA485" s="1" t="s">
        <v>100</v>
      </c>
      <c r="AB485" s="8"/>
      <c r="AC485" s="11"/>
      <c r="AD485" s="8">
        <f>SUM(AD479:AD483)</f>
        <v>959.8</v>
      </c>
      <c r="AE485" s="52" t="str">
        <f t="shared" ref="AE485:AE556" si="52">AG485</f>
        <v>|</v>
      </c>
      <c r="AG485" s="1" t="s">
        <v>2175</v>
      </c>
    </row>
    <row r="486" spans="1:33" ht="24" customHeight="1">
      <c r="A486" s="220">
        <f t="shared" si="45"/>
        <v>309</v>
      </c>
      <c r="B486" s="221" t="s">
        <v>1078</v>
      </c>
      <c r="C486" s="423">
        <v>753</v>
      </c>
      <c r="D486" s="221" t="s">
        <v>835</v>
      </c>
      <c r="K486" s="5" t="s">
        <v>1980</v>
      </c>
      <c r="M486" s="8">
        <v>8</v>
      </c>
      <c r="N486" s="1" t="s">
        <v>739</v>
      </c>
      <c r="O486" s="1" t="s">
        <v>437</v>
      </c>
      <c r="P486" s="8">
        <f>(C55)</f>
        <v>24.2</v>
      </c>
      <c r="Q486" s="1" t="s">
        <v>739</v>
      </c>
      <c r="R486" s="8">
        <f>(M486*P486)</f>
        <v>193.6</v>
      </c>
      <c r="S486"/>
      <c r="T486" s="3"/>
      <c r="V486" s="8"/>
      <c r="W486" s="11"/>
      <c r="X486" s="5" t="s">
        <v>1530</v>
      </c>
      <c r="Z486" s="3"/>
      <c r="AB486" s="8"/>
      <c r="AC486" s="11"/>
      <c r="AD486" s="5" t="s">
        <v>1530</v>
      </c>
      <c r="AE486" s="52" t="str">
        <f t="shared" si="52"/>
        <v>|</v>
      </c>
      <c r="AG486" s="1" t="s">
        <v>2175</v>
      </c>
    </row>
    <row r="487" spans="1:33" ht="24" customHeight="1">
      <c r="A487" s="220">
        <f t="shared" si="45"/>
        <v>310</v>
      </c>
      <c r="B487" s="221" t="s">
        <v>1080</v>
      </c>
      <c r="C487" s="423">
        <v>968</v>
      </c>
      <c r="D487" s="221" t="s">
        <v>835</v>
      </c>
      <c r="F487" s="25">
        <v>7.3</v>
      </c>
      <c r="G487" s="7" t="s">
        <v>2167</v>
      </c>
      <c r="H487" s="1" t="s">
        <v>2156</v>
      </c>
      <c r="M487" s="8">
        <v>1</v>
      </c>
      <c r="N487" s="1" t="s">
        <v>419</v>
      </c>
      <c r="O487" s="1" t="s">
        <v>1630</v>
      </c>
      <c r="P487" s="8">
        <f>(C59)</f>
        <v>12.1</v>
      </c>
      <c r="Q487" s="1" t="s">
        <v>419</v>
      </c>
      <c r="R487" s="8">
        <f>(M487*P487)</f>
        <v>12.1</v>
      </c>
      <c r="S487"/>
      <c r="T487" s="3"/>
      <c r="U487" s="1" t="s">
        <v>521</v>
      </c>
      <c r="W487" s="11"/>
      <c r="X487" s="8">
        <f>(X485/0.372)</f>
        <v>2559.87</v>
      </c>
      <c r="Z487" s="3"/>
      <c r="AA487" s="1" t="s">
        <v>521</v>
      </c>
      <c r="AC487" s="11"/>
      <c r="AD487" s="8">
        <f>(AD485/0.372)</f>
        <v>2580.11</v>
      </c>
      <c r="AE487" s="52" t="str">
        <f t="shared" si="52"/>
        <v>|</v>
      </c>
      <c r="AG487" s="1" t="s">
        <v>2175</v>
      </c>
    </row>
    <row r="488" spans="1:33" ht="24" customHeight="1">
      <c r="A488" s="220">
        <f t="shared" si="45"/>
        <v>311</v>
      </c>
      <c r="B488" s="221" t="s">
        <v>225</v>
      </c>
      <c r="C488" s="423">
        <v>1229</v>
      </c>
      <c r="D488" s="221" t="s">
        <v>835</v>
      </c>
      <c r="F488" s="1" t="s">
        <v>940</v>
      </c>
      <c r="H488" s="1" t="s">
        <v>928</v>
      </c>
      <c r="M488" s="8">
        <v>1</v>
      </c>
      <c r="N488" s="1" t="s">
        <v>419</v>
      </c>
      <c r="O488" s="1" t="s">
        <v>420</v>
      </c>
      <c r="Q488" s="1" t="s">
        <v>419</v>
      </c>
      <c r="R488" s="8">
        <v>0</v>
      </c>
      <c r="S488"/>
      <c r="T488" s="3"/>
      <c r="W488" s="11"/>
      <c r="X488" s="5" t="s">
        <v>1980</v>
      </c>
      <c r="Z488" s="3"/>
      <c r="AC488" s="11"/>
      <c r="AD488" s="5" t="s">
        <v>1980</v>
      </c>
      <c r="AE488" s="52" t="str">
        <f t="shared" si="52"/>
        <v>|</v>
      </c>
      <c r="AG488" s="1" t="s">
        <v>2175</v>
      </c>
    </row>
    <row r="489" spans="1:33" ht="24" customHeight="1">
      <c r="A489" s="220">
        <f t="shared" si="45"/>
        <v>312</v>
      </c>
      <c r="B489" s="221" t="s">
        <v>1081</v>
      </c>
      <c r="C489" s="435">
        <v>1508</v>
      </c>
      <c r="D489" s="221" t="s">
        <v>835</v>
      </c>
      <c r="F489" s="1" t="s">
        <v>940</v>
      </c>
      <c r="H489" s="5" t="s">
        <v>2214</v>
      </c>
      <c r="R489" s="5" t="s">
        <v>1530</v>
      </c>
      <c r="S489"/>
      <c r="T489" s="3"/>
      <c r="U489" s="1" t="s">
        <v>361</v>
      </c>
      <c r="V489">
        <f>X487</f>
        <v>2559.87</v>
      </c>
      <c r="W489" s="11">
        <f>J662</f>
        <v>3.89</v>
      </c>
      <c r="X489" s="39">
        <f>V489+W489</f>
        <v>2563.7600000000002</v>
      </c>
      <c r="Z489" s="3"/>
      <c r="AA489" s="1" t="s">
        <v>361</v>
      </c>
      <c r="AB489">
        <f>AD487</f>
        <v>2580.11</v>
      </c>
      <c r="AC489" s="11">
        <f>W489</f>
        <v>3.89</v>
      </c>
      <c r="AD489" s="39">
        <f>AB489+AC489</f>
        <v>2584</v>
      </c>
      <c r="AE489" s="52" t="str">
        <f t="shared" si="52"/>
        <v>|</v>
      </c>
      <c r="AG489" s="1" t="s">
        <v>2175</v>
      </c>
    </row>
    <row r="490" spans="1:33" ht="24" customHeight="1">
      <c r="A490" s="220">
        <f t="shared" si="45"/>
        <v>313</v>
      </c>
      <c r="B490" s="540" t="s">
        <v>4489</v>
      </c>
      <c r="C490" s="223"/>
      <c r="D490" s="221"/>
      <c r="F490" s="8">
        <v>0.13</v>
      </c>
      <c r="G490" s="7" t="s">
        <v>836</v>
      </c>
      <c r="H490" s="1" t="s">
        <v>1258</v>
      </c>
      <c r="I490" s="8">
        <f>(K40)</f>
        <v>3646.42</v>
      </c>
      <c r="J490" s="1" t="s">
        <v>836</v>
      </c>
      <c r="K490" s="8">
        <f t="shared" ref="K490:K495" si="53">(F490*I490)</f>
        <v>474.03</v>
      </c>
      <c r="O490" s="1" t="s">
        <v>1489</v>
      </c>
      <c r="R490" s="8">
        <f>SUM(R471:R488)</f>
        <v>2270.38</v>
      </c>
      <c r="S490"/>
      <c r="T490" s="3"/>
      <c r="U490" s="1" t="s">
        <v>363</v>
      </c>
      <c r="V490">
        <f>X489</f>
        <v>2563.7600000000002</v>
      </c>
      <c r="W490" s="11">
        <f>J665</f>
        <v>7.66</v>
      </c>
      <c r="X490" s="39">
        <f>V490+W490</f>
        <v>2571.42</v>
      </c>
      <c r="Z490" s="3"/>
      <c r="AA490" s="1" t="s">
        <v>363</v>
      </c>
      <c r="AB490">
        <f>AD489</f>
        <v>2584</v>
      </c>
      <c r="AC490" s="11">
        <f>W490</f>
        <v>7.66</v>
      </c>
      <c r="AD490" s="39">
        <f>AB490+AC490</f>
        <v>2591.66</v>
      </c>
      <c r="AE490" s="52" t="str">
        <f t="shared" si="52"/>
        <v>|</v>
      </c>
      <c r="AG490" s="1" t="s">
        <v>2175</v>
      </c>
    </row>
    <row r="491" spans="1:33" ht="24" customHeight="1">
      <c r="A491" s="220">
        <f t="shared" si="45"/>
        <v>314</v>
      </c>
      <c r="B491" s="221" t="s">
        <v>1075</v>
      </c>
      <c r="C491" s="423">
        <v>168</v>
      </c>
      <c r="D491" s="221" t="s">
        <v>835</v>
      </c>
      <c r="F491" s="8">
        <v>0.7</v>
      </c>
      <c r="G491" s="7" t="s">
        <v>739</v>
      </c>
      <c r="H491" s="1" t="s">
        <v>1938</v>
      </c>
      <c r="I491" s="8">
        <f>(C10)</f>
        <v>861</v>
      </c>
      <c r="J491" s="1" t="s">
        <v>739</v>
      </c>
      <c r="K491" s="8">
        <f t="shared" si="53"/>
        <v>602.70000000000005</v>
      </c>
      <c r="R491" s="5" t="s">
        <v>1530</v>
      </c>
      <c r="S491"/>
      <c r="T491" s="3"/>
      <c r="U491" s="1" t="s">
        <v>2149</v>
      </c>
      <c r="V491">
        <f>X490</f>
        <v>2571.42</v>
      </c>
      <c r="W491" s="11">
        <f>J666</f>
        <v>7.66</v>
      </c>
      <c r="X491" s="39">
        <f>V491+W491</f>
        <v>2579.08</v>
      </c>
      <c r="Z491" s="3"/>
      <c r="AA491" s="1" t="s">
        <v>2149</v>
      </c>
      <c r="AB491">
        <f>AD490</f>
        <v>2591.66</v>
      </c>
      <c r="AC491" s="11">
        <f>W491</f>
        <v>7.66</v>
      </c>
      <c r="AD491" s="39">
        <f>AB491+AC491</f>
        <v>2599.3200000000002</v>
      </c>
      <c r="AE491" s="52" t="str">
        <f t="shared" si="52"/>
        <v>|</v>
      </c>
      <c r="AG491" s="1" t="s">
        <v>2175</v>
      </c>
    </row>
    <row r="492" spans="1:33" ht="33.75" customHeight="1">
      <c r="A492" s="220">
        <f t="shared" si="45"/>
        <v>315</v>
      </c>
      <c r="B492" s="221" t="s">
        <v>1076</v>
      </c>
      <c r="C492" s="423">
        <v>239</v>
      </c>
      <c r="D492" s="221" t="s">
        <v>835</v>
      </c>
      <c r="F492" s="8">
        <v>0.7</v>
      </c>
      <c r="G492" s="7" t="s">
        <v>739</v>
      </c>
      <c r="H492" s="1" t="s">
        <v>1654</v>
      </c>
      <c r="I492" s="8">
        <f>(C11)</f>
        <v>804</v>
      </c>
      <c r="J492" s="1" t="s">
        <v>739</v>
      </c>
      <c r="K492" s="8">
        <f t="shared" si="53"/>
        <v>562.79999999999995</v>
      </c>
      <c r="O492" s="1" t="s">
        <v>1490</v>
      </c>
      <c r="R492" s="8">
        <f>(R490/30)</f>
        <v>75.680000000000007</v>
      </c>
      <c r="S492"/>
      <c r="T492" s="3"/>
      <c r="U492" s="1" t="s">
        <v>355</v>
      </c>
      <c r="V492">
        <f>X491</f>
        <v>2579.08</v>
      </c>
      <c r="W492" s="11">
        <f>J667</f>
        <v>7.66</v>
      </c>
      <c r="X492" s="39">
        <f>V492+W492</f>
        <v>2586.7399999999998</v>
      </c>
      <c r="Z492" s="3"/>
      <c r="AA492" s="1" t="s">
        <v>355</v>
      </c>
      <c r="AB492">
        <f>AD491</f>
        <v>2599.3200000000002</v>
      </c>
      <c r="AC492" s="11">
        <f>W492</f>
        <v>7.66</v>
      </c>
      <c r="AD492" s="39">
        <f>AB492+AC492</f>
        <v>2606.98</v>
      </c>
      <c r="AE492" s="52" t="str">
        <f t="shared" si="52"/>
        <v>|</v>
      </c>
      <c r="AG492" s="1" t="s">
        <v>2175</v>
      </c>
    </row>
    <row r="493" spans="1:33" ht="24" customHeight="1">
      <c r="A493" s="220">
        <f t="shared" si="45"/>
        <v>316</v>
      </c>
      <c r="B493" s="221" t="s">
        <v>1077</v>
      </c>
      <c r="C493" s="423">
        <v>348</v>
      </c>
      <c r="D493" s="221" t="s">
        <v>835</v>
      </c>
      <c r="F493" s="8">
        <v>1.5</v>
      </c>
      <c r="G493" s="7" t="s">
        <v>739</v>
      </c>
      <c r="H493" s="1" t="s">
        <v>1836</v>
      </c>
      <c r="I493" s="8">
        <f>(C12)</f>
        <v>562</v>
      </c>
      <c r="J493" s="1" t="s">
        <v>739</v>
      </c>
      <c r="K493" s="8">
        <f t="shared" si="53"/>
        <v>843</v>
      </c>
      <c r="R493" s="5" t="s">
        <v>1530</v>
      </c>
      <c r="S493"/>
      <c r="T493" s="3"/>
      <c r="U493" s="1" t="s">
        <v>1312</v>
      </c>
      <c r="V493">
        <f>X492</f>
        <v>2586.7399999999998</v>
      </c>
      <c r="W493" s="11">
        <f>J668</f>
        <v>7.66</v>
      </c>
      <c r="X493" s="39">
        <f>V493+W493</f>
        <v>2594.4</v>
      </c>
      <c r="Z493" s="3"/>
      <c r="AA493" s="1" t="s">
        <v>1312</v>
      </c>
      <c r="AB493">
        <f>AD492</f>
        <v>2606.98</v>
      </c>
      <c r="AC493" s="11">
        <f>W493</f>
        <v>7.66</v>
      </c>
      <c r="AD493" s="39">
        <f>AB493+AC493</f>
        <v>2614.64</v>
      </c>
      <c r="AE493" s="52" t="str">
        <f t="shared" si="52"/>
        <v>|</v>
      </c>
      <c r="AG493" s="1" t="s">
        <v>2175</v>
      </c>
    </row>
    <row r="494" spans="1:33" ht="24" customHeight="1">
      <c r="A494" s="220">
        <f t="shared" si="45"/>
        <v>317</v>
      </c>
      <c r="B494" s="221" t="s">
        <v>1078</v>
      </c>
      <c r="C494" s="423">
        <v>508</v>
      </c>
      <c r="D494" s="221" t="s">
        <v>835</v>
      </c>
      <c r="F494" s="8">
        <v>0.5</v>
      </c>
      <c r="G494" s="7" t="s">
        <v>739</v>
      </c>
      <c r="H494" s="1" t="s">
        <v>299</v>
      </c>
      <c r="I494" s="8">
        <f>(C13)</f>
        <v>461</v>
      </c>
      <c r="J494" s="1" t="s">
        <v>739</v>
      </c>
      <c r="K494" s="8">
        <f t="shared" si="53"/>
        <v>230.5</v>
      </c>
      <c r="M494" s="1" t="s">
        <v>940</v>
      </c>
      <c r="Y494" s="51"/>
      <c r="AA494" s="1" t="s">
        <v>3508</v>
      </c>
      <c r="AC494" s="11">
        <f t="shared" ref="AC494:AC500" si="54">AC493</f>
        <v>7.66</v>
      </c>
      <c r="AD494" s="39">
        <f t="shared" ref="AD494:AD500" si="55">AD493+AC494</f>
        <v>2622.3</v>
      </c>
      <c r="AE494" s="52" t="str">
        <f t="shared" si="52"/>
        <v>|</v>
      </c>
      <c r="AG494" s="1" t="s">
        <v>2175</v>
      </c>
    </row>
    <row r="495" spans="1:33" ht="24" customHeight="1">
      <c r="A495" s="220">
        <f t="shared" si="45"/>
        <v>318</v>
      </c>
      <c r="B495" s="221" t="s">
        <v>1080</v>
      </c>
      <c r="C495" s="423">
        <v>646</v>
      </c>
      <c r="D495" s="221" t="s">
        <v>835</v>
      </c>
      <c r="F495" s="8">
        <v>0.94</v>
      </c>
      <c r="G495" s="7" t="s">
        <v>1591</v>
      </c>
      <c r="H495" s="1" t="s">
        <v>874</v>
      </c>
      <c r="I495" s="8">
        <f>C656</f>
        <v>42.3</v>
      </c>
      <c r="J495" s="1" t="s">
        <v>1591</v>
      </c>
      <c r="K495" s="8">
        <f t="shared" si="53"/>
        <v>39.76</v>
      </c>
      <c r="N495" s="1" t="s">
        <v>2167</v>
      </c>
      <c r="O495" s="1" t="s">
        <v>1974</v>
      </c>
      <c r="Y495" s="51"/>
      <c r="AA495" s="1" t="s">
        <v>3509</v>
      </c>
      <c r="AC495" s="11">
        <f t="shared" si="54"/>
        <v>7.66</v>
      </c>
      <c r="AD495" s="39">
        <f t="shared" si="55"/>
        <v>2629.96</v>
      </c>
      <c r="AE495" s="52" t="str">
        <f t="shared" si="52"/>
        <v>|</v>
      </c>
      <c r="AG495" s="1" t="s">
        <v>2175</v>
      </c>
    </row>
    <row r="496" spans="1:33" ht="24" customHeight="1">
      <c r="A496" s="220">
        <f t="shared" si="45"/>
        <v>319</v>
      </c>
      <c r="B496" s="221" t="s">
        <v>225</v>
      </c>
      <c r="C496" s="903">
        <v>584</v>
      </c>
      <c r="D496" s="221" t="s">
        <v>835</v>
      </c>
      <c r="H496" s="1" t="s">
        <v>420</v>
      </c>
      <c r="I496" s="1" t="s">
        <v>940</v>
      </c>
      <c r="J496" s="1" t="s">
        <v>419</v>
      </c>
      <c r="K496" s="8">
        <v>0</v>
      </c>
      <c r="O496" s="1" t="s">
        <v>1975</v>
      </c>
      <c r="Y496" s="51"/>
      <c r="AA496" s="1" t="s">
        <v>3510</v>
      </c>
      <c r="AC496" s="11">
        <f t="shared" si="54"/>
        <v>7.66</v>
      </c>
      <c r="AD496">
        <f t="shared" si="55"/>
        <v>2637.62</v>
      </c>
      <c r="AE496" s="52" t="str">
        <f t="shared" si="52"/>
        <v>|</v>
      </c>
      <c r="AG496" s="1" t="s">
        <v>2175</v>
      </c>
    </row>
    <row r="497" spans="1:33" ht="24" customHeight="1">
      <c r="A497" s="220">
        <f t="shared" si="45"/>
        <v>320</v>
      </c>
      <c r="B497" s="221" t="s">
        <v>1081</v>
      </c>
      <c r="C497" s="223"/>
      <c r="D497" s="221" t="s">
        <v>835</v>
      </c>
      <c r="K497" s="5" t="s">
        <v>1530</v>
      </c>
      <c r="O497" s="1" t="s">
        <v>913</v>
      </c>
      <c r="Y497" s="51"/>
      <c r="AA497" s="1" t="s">
        <v>3511</v>
      </c>
      <c r="AC497" s="11">
        <f t="shared" si="54"/>
        <v>7.66</v>
      </c>
      <c r="AD497">
        <f t="shared" si="55"/>
        <v>2645.28</v>
      </c>
      <c r="AE497" s="52" t="str">
        <f t="shared" si="52"/>
        <v>|</v>
      </c>
      <c r="AG497" s="1" t="s">
        <v>2175</v>
      </c>
    </row>
    <row r="498" spans="1:33" ht="24" customHeight="1">
      <c r="A498" s="220">
        <f>(A497+1)</f>
        <v>321</v>
      </c>
      <c r="B498" s="540" t="s">
        <v>4490</v>
      </c>
      <c r="C498" s="223"/>
      <c r="D498" s="221" t="s">
        <v>835</v>
      </c>
      <c r="H498" s="1" t="s">
        <v>411</v>
      </c>
      <c r="K498" s="8">
        <f>SUM(K489:K496)</f>
        <v>2752.79</v>
      </c>
      <c r="O498" s="5" t="s">
        <v>1530</v>
      </c>
      <c r="Y498" s="51"/>
      <c r="AA498" s="1" t="s">
        <v>3518</v>
      </c>
      <c r="AC498" s="11">
        <f t="shared" si="54"/>
        <v>7.66</v>
      </c>
      <c r="AD498" s="39">
        <f t="shared" si="55"/>
        <v>2652.94</v>
      </c>
      <c r="AE498" s="52" t="str">
        <f t="shared" si="52"/>
        <v>|</v>
      </c>
      <c r="AG498" s="1" t="s">
        <v>2175</v>
      </c>
    </row>
    <row r="499" spans="1:33" ht="24" customHeight="1">
      <c r="A499" s="220">
        <f>(A498+1)</f>
        <v>322</v>
      </c>
      <c r="B499" s="221" t="s">
        <v>4160</v>
      </c>
      <c r="C499" s="423">
        <v>20.3</v>
      </c>
      <c r="D499" s="221" t="s">
        <v>835</v>
      </c>
      <c r="K499" s="5" t="s">
        <v>1530</v>
      </c>
      <c r="N499" s="1" t="s">
        <v>152</v>
      </c>
      <c r="O499" s="2" t="s">
        <v>918</v>
      </c>
      <c r="Y499" s="51"/>
      <c r="AA499" s="1" t="s">
        <v>3519</v>
      </c>
      <c r="AC499" s="11">
        <f t="shared" si="54"/>
        <v>7.66</v>
      </c>
      <c r="AD499" s="39">
        <f t="shared" si="55"/>
        <v>2660.6</v>
      </c>
      <c r="AE499" s="52" t="str">
        <f t="shared" si="52"/>
        <v>|</v>
      </c>
      <c r="AG499" s="1" t="s">
        <v>2175</v>
      </c>
    </row>
    <row r="500" spans="1:33" ht="33.75" customHeight="1">
      <c r="A500" s="220">
        <f>(A499+1)</f>
        <v>323</v>
      </c>
      <c r="B500" s="221" t="s">
        <v>713</v>
      </c>
      <c r="C500" s="903">
        <v>11.5</v>
      </c>
      <c r="D500" s="221" t="s">
        <v>835</v>
      </c>
      <c r="H500" s="59" t="s">
        <v>521</v>
      </c>
      <c r="K500" s="39">
        <f>(K498/10)</f>
        <v>275.27999999999997</v>
      </c>
      <c r="O500" s="5" t="s">
        <v>1530</v>
      </c>
      <c r="Y500" s="51"/>
      <c r="AA500" s="1" t="s">
        <v>4546</v>
      </c>
      <c r="AC500" s="11">
        <f t="shared" si="54"/>
        <v>7.66</v>
      </c>
      <c r="AD500" s="39">
        <f t="shared" si="55"/>
        <v>2668.26</v>
      </c>
      <c r="AE500" s="52" t="str">
        <f t="shared" si="52"/>
        <v>|</v>
      </c>
      <c r="AG500" s="1" t="s">
        <v>2175</v>
      </c>
    </row>
    <row r="501" spans="1:33" ht="36" customHeight="1">
      <c r="A501" s="223"/>
      <c r="B501" s="223"/>
      <c r="C501" s="223"/>
      <c r="D501" s="223"/>
      <c r="F501" s="1" t="s">
        <v>940</v>
      </c>
      <c r="AD501" s="39">
        <f>AD500+AC500</f>
        <v>2675.92</v>
      </c>
      <c r="AE501" s="52" t="str">
        <f t="shared" si="52"/>
        <v>|</v>
      </c>
      <c r="AG501" s="1" t="s">
        <v>2175</v>
      </c>
    </row>
    <row r="502" spans="1:33" ht="24" customHeight="1">
      <c r="A502" s="220">
        <f>(A500+1)</f>
        <v>324</v>
      </c>
      <c r="B502" s="221" t="s">
        <v>4161</v>
      </c>
      <c r="C502" s="423">
        <v>28.6</v>
      </c>
      <c r="D502" s="221" t="s">
        <v>835</v>
      </c>
      <c r="K502" s="5" t="s">
        <v>1980</v>
      </c>
      <c r="M502" s="8">
        <v>30</v>
      </c>
      <c r="N502" s="1" t="s">
        <v>1714</v>
      </c>
      <c r="O502" s="1" t="s">
        <v>1610</v>
      </c>
      <c r="P502" s="8">
        <f>(C45)</f>
        <v>5</v>
      </c>
      <c r="Q502" s="1" t="s">
        <v>1714</v>
      </c>
      <c r="R502" s="8">
        <f>(M502*P502)</f>
        <v>150</v>
      </c>
      <c r="AE502" s="52" t="str">
        <f t="shared" si="52"/>
        <v>|</v>
      </c>
      <c r="AG502" s="1" t="s">
        <v>2175</v>
      </c>
    </row>
    <row r="503" spans="1:33" ht="24" customHeight="1">
      <c r="A503" s="220">
        <f t="shared" ref="A503:A565" si="56">(A502+1)</f>
        <v>325</v>
      </c>
      <c r="B503" s="221" t="s">
        <v>1611</v>
      </c>
      <c r="C503" s="903">
        <v>56.74</v>
      </c>
      <c r="D503" s="221" t="s">
        <v>835</v>
      </c>
      <c r="F503" s="2"/>
      <c r="G503" s="7" t="s">
        <v>2167</v>
      </c>
      <c r="H503" s="1" t="s">
        <v>1612</v>
      </c>
      <c r="M503" s="1" t="s">
        <v>940</v>
      </c>
      <c r="O503" s="1" t="s">
        <v>1613</v>
      </c>
      <c r="P503" s="1" t="s">
        <v>940</v>
      </c>
      <c r="R503" s="1" t="s">
        <v>940</v>
      </c>
      <c r="AE503" s="52" t="str">
        <f t="shared" si="52"/>
        <v>|</v>
      </c>
      <c r="AG503" s="1" t="s">
        <v>2175</v>
      </c>
    </row>
    <row r="504" spans="1:33" ht="24" customHeight="1">
      <c r="A504" s="220">
        <f t="shared" si="56"/>
        <v>326</v>
      </c>
      <c r="B504" s="221" t="s">
        <v>1614</v>
      </c>
      <c r="C504" s="903">
        <v>56.74</v>
      </c>
      <c r="D504" s="221" t="s">
        <v>835</v>
      </c>
      <c r="H504" s="1" t="s">
        <v>2185</v>
      </c>
      <c r="M504" s="8">
        <v>8</v>
      </c>
      <c r="N504" s="1" t="s">
        <v>835</v>
      </c>
      <c r="O504" s="1" t="s">
        <v>2062</v>
      </c>
      <c r="P504" s="8">
        <f>(C46)</f>
        <v>8.1</v>
      </c>
      <c r="Q504" s="1" t="s">
        <v>835</v>
      </c>
      <c r="R504" s="8">
        <f t="shared" ref="R504:R509" si="57">(M504*P504)</f>
        <v>64.8</v>
      </c>
      <c r="AE504" s="52" t="str">
        <f t="shared" si="52"/>
        <v>|</v>
      </c>
      <c r="AG504" s="1" t="s">
        <v>2175</v>
      </c>
    </row>
    <row r="505" spans="1:33" ht="45.75" customHeight="1">
      <c r="A505" s="220">
        <f t="shared" si="56"/>
        <v>327</v>
      </c>
      <c r="B505" s="540" t="s">
        <v>4491</v>
      </c>
      <c r="C505" s="223"/>
      <c r="D505" s="221" t="s">
        <v>940</v>
      </c>
      <c r="H505" s="5" t="s">
        <v>1530</v>
      </c>
      <c r="M505" s="8">
        <v>8</v>
      </c>
      <c r="N505" s="1" t="s">
        <v>835</v>
      </c>
      <c r="O505" s="1" t="s">
        <v>437</v>
      </c>
      <c r="P505" s="8">
        <f>(C53)</f>
        <v>11.5</v>
      </c>
      <c r="Q505" s="1" t="s">
        <v>835</v>
      </c>
      <c r="R505" s="8">
        <f t="shared" si="57"/>
        <v>92</v>
      </c>
      <c r="AE505" s="52" t="str">
        <f t="shared" si="52"/>
        <v>|</v>
      </c>
      <c r="AG505" s="1" t="s">
        <v>2175</v>
      </c>
    </row>
    <row r="506" spans="1:33" ht="24" customHeight="1">
      <c r="A506" s="220">
        <f t="shared" si="56"/>
        <v>328</v>
      </c>
      <c r="B506" s="221" t="s">
        <v>917</v>
      </c>
      <c r="C506" s="423">
        <v>69.8</v>
      </c>
      <c r="D506" s="221" t="s">
        <v>835</v>
      </c>
      <c r="F506" s="8">
        <v>9</v>
      </c>
      <c r="G506" s="7" t="s">
        <v>836</v>
      </c>
      <c r="H506" s="1" t="s">
        <v>1616</v>
      </c>
      <c r="I506" s="8">
        <f>(C73)</f>
        <v>893.71</v>
      </c>
      <c r="J506" s="1" t="s">
        <v>836</v>
      </c>
      <c r="K506" s="8">
        <f t="shared" ref="K506:K511" si="58">(F506*I506)</f>
        <v>8043.39</v>
      </c>
      <c r="M506" s="8">
        <v>3</v>
      </c>
      <c r="N506" s="1" t="s">
        <v>835</v>
      </c>
      <c r="O506" s="1" t="s">
        <v>1779</v>
      </c>
      <c r="P506" s="8">
        <f>(C44)</f>
        <v>637</v>
      </c>
      <c r="Q506" s="1" t="s">
        <v>835</v>
      </c>
      <c r="R506" s="8">
        <f t="shared" si="57"/>
        <v>1911</v>
      </c>
      <c r="AE506" s="52" t="str">
        <f t="shared" si="52"/>
        <v>|</v>
      </c>
      <c r="AG506" s="1" t="s">
        <v>2175</v>
      </c>
    </row>
    <row r="507" spans="1:33" ht="24" customHeight="1">
      <c r="A507" s="220">
        <f t="shared" si="56"/>
        <v>329</v>
      </c>
      <c r="B507" s="221" t="s">
        <v>713</v>
      </c>
      <c r="C507" s="903">
        <v>15.6</v>
      </c>
      <c r="D507" s="221" t="s">
        <v>835</v>
      </c>
      <c r="F507" s="13">
        <v>3.2309999999999999</v>
      </c>
      <c r="G507" s="7" t="s">
        <v>828</v>
      </c>
      <c r="H507" s="1" t="s">
        <v>829</v>
      </c>
      <c r="I507" s="8">
        <f>(C70)</f>
        <v>5960</v>
      </c>
      <c r="J507" s="1" t="s">
        <v>828</v>
      </c>
      <c r="K507" s="8">
        <f t="shared" si="58"/>
        <v>19256.759999999998</v>
      </c>
      <c r="M507" s="8">
        <v>1</v>
      </c>
      <c r="N507" s="1" t="s">
        <v>835</v>
      </c>
      <c r="O507" s="1" t="s">
        <v>1780</v>
      </c>
      <c r="P507" s="8">
        <f>(C10)</f>
        <v>861</v>
      </c>
      <c r="Q507" s="1" t="s">
        <v>835</v>
      </c>
      <c r="R507" s="8">
        <f t="shared" si="57"/>
        <v>861</v>
      </c>
      <c r="AE507" s="52" t="str">
        <f t="shared" si="52"/>
        <v>|</v>
      </c>
      <c r="AG507" s="1" t="s">
        <v>2175</v>
      </c>
    </row>
    <row r="508" spans="1:33" ht="24" customHeight="1">
      <c r="A508" s="220">
        <f t="shared" si="56"/>
        <v>330</v>
      </c>
      <c r="B508" s="221" t="s">
        <v>1609</v>
      </c>
      <c r="C508" s="423">
        <v>75.3</v>
      </c>
      <c r="D508" s="221" t="s">
        <v>835</v>
      </c>
      <c r="F508" s="8">
        <v>4.5</v>
      </c>
      <c r="G508" s="7" t="s">
        <v>836</v>
      </c>
      <c r="H508" s="1" t="s">
        <v>837</v>
      </c>
      <c r="I508" s="8">
        <f>(C81)</f>
        <v>1400.82</v>
      </c>
      <c r="J508" s="1" t="s">
        <v>836</v>
      </c>
      <c r="K508" s="8">
        <f t="shared" si="58"/>
        <v>6303.69</v>
      </c>
      <c r="M508" s="8">
        <v>2</v>
      </c>
      <c r="N508" s="1" t="s">
        <v>835</v>
      </c>
      <c r="O508" s="1" t="s">
        <v>1836</v>
      </c>
      <c r="P508" s="8">
        <f>(C12)</f>
        <v>562</v>
      </c>
      <c r="Q508" s="1" t="s">
        <v>835</v>
      </c>
      <c r="R508" s="8">
        <f t="shared" si="57"/>
        <v>1124</v>
      </c>
      <c r="AE508" s="52" t="str">
        <f t="shared" si="52"/>
        <v>|</v>
      </c>
      <c r="AG508" s="1" t="s">
        <v>2175</v>
      </c>
    </row>
    <row r="509" spans="1:33" ht="24" customHeight="1">
      <c r="A509" s="220">
        <f t="shared" si="56"/>
        <v>331</v>
      </c>
      <c r="B509" s="221" t="s">
        <v>1611</v>
      </c>
      <c r="C509" s="903">
        <v>100.3</v>
      </c>
      <c r="D509" s="221" t="s">
        <v>835</v>
      </c>
      <c r="F509" s="8">
        <v>3.5</v>
      </c>
      <c r="G509" s="7" t="s">
        <v>835</v>
      </c>
      <c r="H509" s="1" t="s">
        <v>1654</v>
      </c>
      <c r="I509" s="8">
        <f>(C11)</f>
        <v>804</v>
      </c>
      <c r="J509" s="1" t="s">
        <v>835</v>
      </c>
      <c r="K509" s="8">
        <f t="shared" si="58"/>
        <v>2814</v>
      </c>
      <c r="M509" s="8">
        <v>1</v>
      </c>
      <c r="N509" s="1" t="s">
        <v>835</v>
      </c>
      <c r="O509" s="1" t="s">
        <v>299</v>
      </c>
      <c r="P509" s="8">
        <f>(C13)</f>
        <v>461</v>
      </c>
      <c r="Q509" s="1" t="s">
        <v>835</v>
      </c>
      <c r="R509" s="8">
        <f t="shared" si="57"/>
        <v>461</v>
      </c>
      <c r="AE509" s="52" t="str">
        <f t="shared" si="52"/>
        <v>|</v>
      </c>
      <c r="AG509" s="1" t="s">
        <v>2175</v>
      </c>
    </row>
    <row r="510" spans="1:33" ht="24" customHeight="1">
      <c r="A510" s="220">
        <f t="shared" si="56"/>
        <v>332</v>
      </c>
      <c r="B510" s="221" t="s">
        <v>1614</v>
      </c>
      <c r="C510" s="903">
        <v>100.3</v>
      </c>
      <c r="D510" s="221" t="s">
        <v>835</v>
      </c>
      <c r="F510" s="8">
        <v>21.2</v>
      </c>
      <c r="G510" s="7" t="s">
        <v>835</v>
      </c>
      <c r="H510" s="1" t="s">
        <v>1836</v>
      </c>
      <c r="I510" s="8">
        <f>(C12)</f>
        <v>562</v>
      </c>
      <c r="J510" s="1" t="s">
        <v>835</v>
      </c>
      <c r="K510" s="8">
        <f t="shared" si="58"/>
        <v>11914.4</v>
      </c>
      <c r="N510" s="1" t="s">
        <v>419</v>
      </c>
      <c r="O510" s="1" t="s">
        <v>1781</v>
      </c>
      <c r="P510" s="1" t="s">
        <v>940</v>
      </c>
      <c r="Q510" s="1" t="s">
        <v>419</v>
      </c>
      <c r="R510" s="8">
        <f>(C59)</f>
        <v>12.1</v>
      </c>
      <c r="AE510" s="52" t="str">
        <f t="shared" si="52"/>
        <v>|</v>
      </c>
      <c r="AG510" s="1" t="s">
        <v>2175</v>
      </c>
    </row>
    <row r="511" spans="1:33" ht="24" customHeight="1">
      <c r="A511" s="220">
        <f t="shared" si="56"/>
        <v>333</v>
      </c>
      <c r="B511" s="540" t="s">
        <v>4492</v>
      </c>
      <c r="C511" s="223"/>
      <c r="D511" s="221" t="s">
        <v>940</v>
      </c>
      <c r="F511" s="8">
        <v>35.299999999999997</v>
      </c>
      <c r="G511" s="7" t="s">
        <v>835</v>
      </c>
      <c r="H511" s="1" t="s">
        <v>299</v>
      </c>
      <c r="I511" s="8">
        <f>(C13)</f>
        <v>461</v>
      </c>
      <c r="J511" s="1" t="s">
        <v>835</v>
      </c>
      <c r="K511" s="8">
        <f t="shared" si="58"/>
        <v>16273.3</v>
      </c>
      <c r="O511" s="1" t="s">
        <v>1783</v>
      </c>
      <c r="P511" s="1" t="s">
        <v>940</v>
      </c>
      <c r="R511" s="1" t="s">
        <v>940</v>
      </c>
      <c r="AE511" s="52" t="str">
        <f t="shared" si="52"/>
        <v>|</v>
      </c>
      <c r="AG511" s="1" t="s">
        <v>2175</v>
      </c>
    </row>
    <row r="512" spans="1:33" ht="24" customHeight="1">
      <c r="A512" s="220">
        <f t="shared" si="56"/>
        <v>334</v>
      </c>
      <c r="B512" s="221" t="s">
        <v>917</v>
      </c>
      <c r="C512" s="423">
        <v>40.4</v>
      </c>
      <c r="D512" s="221" t="s">
        <v>835</v>
      </c>
      <c r="G512" s="7" t="s">
        <v>419</v>
      </c>
      <c r="H512" s="1" t="s">
        <v>420</v>
      </c>
      <c r="I512" s="1" t="s">
        <v>940</v>
      </c>
      <c r="J512" s="1" t="s">
        <v>419</v>
      </c>
      <c r="K512" s="8">
        <v>0</v>
      </c>
      <c r="N512" s="1" t="s">
        <v>419</v>
      </c>
      <c r="O512" s="1" t="s">
        <v>420</v>
      </c>
      <c r="Q512" s="1" t="s">
        <v>419</v>
      </c>
      <c r="R512" s="8">
        <v>0</v>
      </c>
      <c r="AE512" s="52" t="str">
        <f t="shared" si="52"/>
        <v>|</v>
      </c>
      <c r="AG512" s="1" t="s">
        <v>2175</v>
      </c>
    </row>
    <row r="513" spans="1:33" ht="24" customHeight="1">
      <c r="A513" s="220">
        <f t="shared" si="56"/>
        <v>335</v>
      </c>
      <c r="B513" s="221" t="s">
        <v>713</v>
      </c>
      <c r="C513" s="906">
        <v>47</v>
      </c>
      <c r="D513" s="221" t="s">
        <v>835</v>
      </c>
      <c r="K513" s="5" t="s">
        <v>1530</v>
      </c>
      <c r="R513" s="5" t="s">
        <v>1530</v>
      </c>
      <c r="AE513" s="52" t="str">
        <f t="shared" si="52"/>
        <v>|</v>
      </c>
      <c r="AG513" s="1" t="s">
        <v>2175</v>
      </c>
    </row>
    <row r="514" spans="1:33" ht="24" customHeight="1">
      <c r="A514" s="220">
        <f t="shared" si="56"/>
        <v>336</v>
      </c>
      <c r="B514" s="221" t="s">
        <v>1609</v>
      </c>
      <c r="C514" s="423">
        <v>52</v>
      </c>
      <c r="D514" s="221" t="s">
        <v>835</v>
      </c>
      <c r="H514" s="1" t="s">
        <v>2089</v>
      </c>
      <c r="K514" s="8">
        <f>SUM(K506:K512)</f>
        <v>64605.54</v>
      </c>
      <c r="O514" s="1" t="s">
        <v>1784</v>
      </c>
      <c r="R514" s="8">
        <f>SUM(R502:R512)</f>
        <v>4675.8999999999996</v>
      </c>
      <c r="AE514" s="52" t="str">
        <f t="shared" si="52"/>
        <v>|</v>
      </c>
      <c r="AG514" s="1" t="s">
        <v>2175</v>
      </c>
    </row>
    <row r="515" spans="1:33" ht="24" customHeight="1">
      <c r="A515" s="220">
        <f t="shared" si="56"/>
        <v>337</v>
      </c>
      <c r="B515" s="221" t="s">
        <v>1785</v>
      </c>
      <c r="C515" s="903">
        <v>36.61</v>
      </c>
      <c r="D515" s="221" t="s">
        <v>835</v>
      </c>
      <c r="K515" s="5" t="s">
        <v>1530</v>
      </c>
      <c r="R515" s="5" t="s">
        <v>1530</v>
      </c>
      <c r="AE515" s="52" t="str">
        <f t="shared" si="52"/>
        <v>|</v>
      </c>
      <c r="AG515" s="1" t="s">
        <v>2175</v>
      </c>
    </row>
    <row r="516" spans="1:33" ht="24" customHeight="1">
      <c r="A516" s="220">
        <f t="shared" si="56"/>
        <v>338</v>
      </c>
      <c r="B516" s="221" t="s">
        <v>1611</v>
      </c>
      <c r="C516" s="903">
        <v>78.709999999999994</v>
      </c>
      <c r="D516" s="221" t="s">
        <v>835</v>
      </c>
      <c r="H516" s="1" t="s">
        <v>743</v>
      </c>
      <c r="K516" s="8">
        <f>(K514/10)+0.01</f>
        <v>6460.56</v>
      </c>
      <c r="O516" s="1" t="s">
        <v>1490</v>
      </c>
      <c r="R516" s="8">
        <f>(R514/30)</f>
        <v>155.86000000000001</v>
      </c>
      <c r="AE516" s="52" t="str">
        <f t="shared" si="52"/>
        <v>|</v>
      </c>
      <c r="AG516" s="1" t="s">
        <v>2175</v>
      </c>
    </row>
    <row r="517" spans="1:33" ht="24" customHeight="1">
      <c r="A517" s="220">
        <f t="shared" si="56"/>
        <v>339</v>
      </c>
      <c r="B517" s="221" t="s">
        <v>1614</v>
      </c>
      <c r="C517" s="903">
        <v>78.709999999999994</v>
      </c>
      <c r="D517" s="221" t="s">
        <v>835</v>
      </c>
      <c r="R517" s="5" t="s">
        <v>1530</v>
      </c>
      <c r="AE517" s="52">
        <f t="shared" si="52"/>
        <v>0</v>
      </c>
    </row>
    <row r="518" spans="1:33" ht="24" customHeight="1">
      <c r="A518" s="220">
        <f t="shared" si="56"/>
        <v>340</v>
      </c>
      <c r="B518" s="221" t="s">
        <v>1786</v>
      </c>
      <c r="C518" s="223"/>
      <c r="D518" s="221" t="s">
        <v>210</v>
      </c>
      <c r="F518" s="8">
        <v>1</v>
      </c>
      <c r="G518" s="7" t="s">
        <v>836</v>
      </c>
      <c r="H518" s="1" t="s">
        <v>43</v>
      </c>
      <c r="K518" s="8">
        <f>C25</f>
        <v>81.3</v>
      </c>
      <c r="N518" s="1" t="s">
        <v>1500</v>
      </c>
      <c r="O518" s="2" t="s">
        <v>211</v>
      </c>
      <c r="AE518" s="52" t="str">
        <f t="shared" si="52"/>
        <v>|</v>
      </c>
      <c r="AG518" s="1" t="s">
        <v>2175</v>
      </c>
    </row>
    <row r="519" spans="1:33" ht="24" customHeight="1">
      <c r="A519" s="220">
        <f t="shared" si="56"/>
        <v>341</v>
      </c>
      <c r="B519" s="221" t="s">
        <v>4162</v>
      </c>
      <c r="C519" s="545">
        <v>20.55</v>
      </c>
      <c r="D519" s="221" t="s">
        <v>1714</v>
      </c>
      <c r="K519" s="5" t="s">
        <v>1530</v>
      </c>
      <c r="O519" s="5" t="s">
        <v>1530</v>
      </c>
      <c r="AE519" s="52" t="str">
        <f t="shared" si="52"/>
        <v>|</v>
      </c>
      <c r="AG519" s="1" t="s">
        <v>2175</v>
      </c>
    </row>
    <row r="520" spans="1:33" ht="24" customHeight="1">
      <c r="A520" s="220">
        <f t="shared" si="56"/>
        <v>342</v>
      </c>
      <c r="B520" s="221" t="s">
        <v>2855</v>
      </c>
      <c r="C520" s="545">
        <v>26</v>
      </c>
      <c r="D520" s="221" t="s">
        <v>1714</v>
      </c>
      <c r="E520" s="435">
        <v>98.6</v>
      </c>
      <c r="H520" s="1" t="s">
        <v>1194</v>
      </c>
      <c r="K520" s="8">
        <f>SUM(K516:K518)</f>
        <v>6541.86</v>
      </c>
      <c r="M520" s="8">
        <v>30</v>
      </c>
      <c r="N520" s="1" t="s">
        <v>1714</v>
      </c>
      <c r="O520" s="1" t="s">
        <v>1610</v>
      </c>
      <c r="P520" s="8">
        <f>(C45)</f>
        <v>5</v>
      </c>
      <c r="Q520" s="1" t="s">
        <v>1714</v>
      </c>
      <c r="R520" s="8">
        <f>(M520*P520)</f>
        <v>150</v>
      </c>
      <c r="AE520" s="52" t="str">
        <f t="shared" si="52"/>
        <v>|</v>
      </c>
      <c r="AG520" s="1" t="s">
        <v>2175</v>
      </c>
    </row>
    <row r="521" spans="1:33" ht="24" customHeight="1">
      <c r="A521" s="220">
        <f t="shared" si="56"/>
        <v>343</v>
      </c>
      <c r="B521" s="221" t="s">
        <v>1195</v>
      </c>
      <c r="C521" s="545">
        <v>35</v>
      </c>
      <c r="D521" s="221" t="s">
        <v>1714</v>
      </c>
      <c r="K521" s="5" t="s">
        <v>1530</v>
      </c>
      <c r="M521" s="1" t="s">
        <v>940</v>
      </c>
      <c r="O521" s="1" t="s">
        <v>1613</v>
      </c>
      <c r="P521" s="1" t="s">
        <v>940</v>
      </c>
      <c r="R521" s="1" t="s">
        <v>940</v>
      </c>
      <c r="AE521" s="52" t="str">
        <f t="shared" si="52"/>
        <v>|</v>
      </c>
      <c r="AG521" s="1" t="s">
        <v>2175</v>
      </c>
    </row>
    <row r="522" spans="1:33" ht="24" customHeight="1">
      <c r="A522" s="220">
        <f t="shared" si="56"/>
        <v>344</v>
      </c>
      <c r="B522" s="221" t="s">
        <v>1196</v>
      </c>
      <c r="C522" s="545">
        <v>52</v>
      </c>
      <c r="D522" s="221" t="s">
        <v>1714</v>
      </c>
      <c r="G522" s="7" t="s">
        <v>1197</v>
      </c>
      <c r="H522" s="1" t="s">
        <v>361</v>
      </c>
      <c r="K522" s="8">
        <f>(K520+C22)</f>
        <v>6645.16</v>
      </c>
      <c r="L522">
        <f>K522-K520</f>
        <v>103.3</v>
      </c>
      <c r="M522" s="8">
        <v>8</v>
      </c>
      <c r="N522" s="1" t="s">
        <v>835</v>
      </c>
      <c r="O522" s="1" t="s">
        <v>2062</v>
      </c>
      <c r="P522" s="8">
        <f>(C47)</f>
        <v>7.1</v>
      </c>
      <c r="Q522" s="1" t="s">
        <v>835</v>
      </c>
      <c r="R522" s="8">
        <f t="shared" ref="R522:R527" si="59">(M522*P522)</f>
        <v>56.8</v>
      </c>
      <c r="AE522" s="52" t="str">
        <f t="shared" si="52"/>
        <v>|</v>
      </c>
      <c r="AG522" s="1" t="s">
        <v>2175</v>
      </c>
    </row>
    <row r="523" spans="1:33" ht="24" customHeight="1">
      <c r="A523" s="220">
        <f t="shared" si="56"/>
        <v>345</v>
      </c>
      <c r="B523" s="221" t="s">
        <v>1198</v>
      </c>
      <c r="C523" s="545">
        <v>65</v>
      </c>
      <c r="D523" s="222">
        <v>21</v>
      </c>
      <c r="G523" s="7" t="s">
        <v>1199</v>
      </c>
      <c r="H523" s="1" t="s">
        <v>363</v>
      </c>
      <c r="K523" s="8">
        <f>(K522+C23)</f>
        <v>6848.66</v>
      </c>
      <c r="M523" s="8">
        <v>8</v>
      </c>
      <c r="N523" s="1" t="s">
        <v>835</v>
      </c>
      <c r="O523" s="1" t="s">
        <v>437</v>
      </c>
      <c r="P523" s="8">
        <f>(C54)</f>
        <v>11.7</v>
      </c>
      <c r="Q523" s="1" t="s">
        <v>835</v>
      </c>
      <c r="R523" s="8">
        <f t="shared" si="59"/>
        <v>93.6</v>
      </c>
      <c r="AE523" s="52" t="str">
        <f t="shared" si="52"/>
        <v>|</v>
      </c>
      <c r="AG523" s="1" t="s">
        <v>2175</v>
      </c>
    </row>
    <row r="524" spans="1:33" ht="24" customHeight="1">
      <c r="A524" s="220">
        <f t="shared" si="56"/>
        <v>346</v>
      </c>
      <c r="B524" s="221" t="s">
        <v>351</v>
      </c>
      <c r="C524" s="545">
        <v>82</v>
      </c>
      <c r="D524" s="222">
        <v>37.15</v>
      </c>
      <c r="G524" s="7" t="s">
        <v>395</v>
      </c>
      <c r="H524" s="1" t="s">
        <v>2149</v>
      </c>
      <c r="K524" s="8">
        <f>(K523+C24)</f>
        <v>7052.16</v>
      </c>
      <c r="M524" s="8">
        <v>3</v>
      </c>
      <c r="N524" s="1" t="s">
        <v>835</v>
      </c>
      <c r="O524" s="1" t="s">
        <v>1779</v>
      </c>
      <c r="P524" s="8">
        <f>(C44)</f>
        <v>637</v>
      </c>
      <c r="Q524" s="1" t="s">
        <v>835</v>
      </c>
      <c r="R524" s="8">
        <f t="shared" si="59"/>
        <v>1911</v>
      </c>
      <c r="AE524" s="52" t="str">
        <f t="shared" si="52"/>
        <v>|</v>
      </c>
      <c r="AG524" s="1" t="s">
        <v>2175</v>
      </c>
    </row>
    <row r="525" spans="1:33" ht="24" customHeight="1">
      <c r="A525" s="220">
        <f t="shared" si="56"/>
        <v>347</v>
      </c>
      <c r="B525" s="221" t="s">
        <v>959</v>
      </c>
      <c r="C525" s="223"/>
      <c r="D525" s="221" t="s">
        <v>940</v>
      </c>
      <c r="G525" s="7" t="s">
        <v>960</v>
      </c>
      <c r="H525" s="1" t="s">
        <v>355</v>
      </c>
      <c r="K525" s="8">
        <f>(K524+C24)</f>
        <v>7255.66</v>
      </c>
      <c r="M525" s="8">
        <v>1</v>
      </c>
      <c r="N525" s="1" t="s">
        <v>835</v>
      </c>
      <c r="O525" s="1" t="s">
        <v>1780</v>
      </c>
      <c r="P525" s="8">
        <f>(C10)</f>
        <v>861</v>
      </c>
      <c r="Q525" s="1" t="s">
        <v>835</v>
      </c>
      <c r="R525" s="8">
        <f t="shared" si="59"/>
        <v>861</v>
      </c>
      <c r="AE525" s="52" t="str">
        <f t="shared" si="52"/>
        <v>|::</v>
      </c>
      <c r="AG525" s="1" t="s">
        <v>300</v>
      </c>
    </row>
    <row r="526" spans="1:33" ht="24" customHeight="1">
      <c r="A526" s="220">
        <f t="shared" si="56"/>
        <v>348</v>
      </c>
      <c r="B526" s="221" t="s">
        <v>1075</v>
      </c>
      <c r="C526" s="545">
        <v>4.1900000000000004</v>
      </c>
      <c r="D526" s="221" t="s">
        <v>835</v>
      </c>
      <c r="M526" s="8">
        <v>2</v>
      </c>
      <c r="N526" s="1" t="s">
        <v>835</v>
      </c>
      <c r="O526" s="1" t="s">
        <v>1836</v>
      </c>
      <c r="P526" s="8">
        <f>(C12)</f>
        <v>562</v>
      </c>
      <c r="Q526" s="1" t="s">
        <v>835</v>
      </c>
      <c r="R526" s="8">
        <f t="shared" si="59"/>
        <v>1124</v>
      </c>
      <c r="AE526" s="52">
        <f t="shared" si="52"/>
        <v>0</v>
      </c>
    </row>
    <row r="527" spans="1:33" ht="24" customHeight="1">
      <c r="A527" s="220">
        <f t="shared" si="56"/>
        <v>349</v>
      </c>
      <c r="B527" s="221" t="s">
        <v>1076</v>
      </c>
      <c r="C527" s="545">
        <v>5</v>
      </c>
      <c r="D527" s="221" t="s">
        <v>835</v>
      </c>
      <c r="F527" s="2" t="s">
        <v>961</v>
      </c>
      <c r="G527" s="7" t="s">
        <v>2167</v>
      </c>
      <c r="H527" s="1" t="s">
        <v>962</v>
      </c>
      <c r="M527" s="8">
        <v>1</v>
      </c>
      <c r="N527" s="1" t="s">
        <v>835</v>
      </c>
      <c r="O527" s="1" t="s">
        <v>299</v>
      </c>
      <c r="P527" s="8">
        <f>(C13)</f>
        <v>461</v>
      </c>
      <c r="Q527" s="1" t="s">
        <v>835</v>
      </c>
      <c r="R527" s="8">
        <f t="shared" si="59"/>
        <v>461</v>
      </c>
      <c r="AE527" s="52">
        <f t="shared" si="52"/>
        <v>0</v>
      </c>
    </row>
    <row r="528" spans="1:33" ht="24" customHeight="1">
      <c r="A528" s="220">
        <f t="shared" si="56"/>
        <v>350</v>
      </c>
      <c r="B528" s="221" t="s">
        <v>1077</v>
      </c>
      <c r="C528" s="545">
        <v>8.06</v>
      </c>
      <c r="D528" s="221" t="s">
        <v>835</v>
      </c>
      <c r="H528" s="5" t="s">
        <v>1530</v>
      </c>
      <c r="N528" s="1" t="s">
        <v>419</v>
      </c>
      <c r="O528" s="1" t="s">
        <v>1781</v>
      </c>
      <c r="P528" s="1" t="s">
        <v>940</v>
      </c>
      <c r="Q528" s="1" t="s">
        <v>419</v>
      </c>
      <c r="R528" s="8">
        <f>(C59)</f>
        <v>12.1</v>
      </c>
      <c r="U528" s="669" t="s">
        <v>3891</v>
      </c>
      <c r="AA528" s="669" t="s">
        <v>4031</v>
      </c>
      <c r="AE528" s="52" t="str">
        <f t="shared" si="52"/>
        <v>|</v>
      </c>
      <c r="AG528" s="1" t="s">
        <v>2175</v>
      </c>
    </row>
    <row r="529" spans="1:33" ht="24" customHeight="1">
      <c r="A529" s="220">
        <f t="shared" si="56"/>
        <v>351</v>
      </c>
      <c r="B529" s="221" t="s">
        <v>1078</v>
      </c>
      <c r="C529" s="545">
        <v>11.86</v>
      </c>
      <c r="D529" s="221" t="s">
        <v>835</v>
      </c>
      <c r="F529" s="13">
        <v>1.4999999999999999E-2</v>
      </c>
      <c r="G529" s="7" t="s">
        <v>836</v>
      </c>
      <c r="H529" s="1" t="s">
        <v>963</v>
      </c>
      <c r="I529" s="8">
        <f>(K516)</f>
        <v>6460.56</v>
      </c>
      <c r="J529" s="1" t="s">
        <v>836</v>
      </c>
      <c r="K529" s="8">
        <f>(F529*I529)</f>
        <v>96.91</v>
      </c>
      <c r="O529" s="1" t="s">
        <v>1783</v>
      </c>
      <c r="P529" s="1" t="s">
        <v>940</v>
      </c>
      <c r="R529" s="1" t="s">
        <v>940</v>
      </c>
      <c r="S529" s="2" t="s">
        <v>961</v>
      </c>
      <c r="T529" s="7" t="s">
        <v>2167</v>
      </c>
      <c r="U529" s="1" t="s">
        <v>3888</v>
      </c>
      <c r="W529" s="11"/>
      <c r="Y529" s="2" t="s">
        <v>961</v>
      </c>
      <c r="Z529" s="7" t="s">
        <v>2167</v>
      </c>
      <c r="AA529" s="1" t="s">
        <v>4028</v>
      </c>
      <c r="AC529" s="11"/>
      <c r="AE529" s="52" t="str">
        <f t="shared" si="52"/>
        <v>|</v>
      </c>
      <c r="AG529" s="1" t="s">
        <v>2175</v>
      </c>
    </row>
    <row r="530" spans="1:33" ht="24" customHeight="1">
      <c r="A530" s="220">
        <f t="shared" si="56"/>
        <v>352</v>
      </c>
      <c r="B530" s="221" t="s">
        <v>1080</v>
      </c>
      <c r="C530" s="545">
        <v>18.88</v>
      </c>
      <c r="D530" s="221" t="s">
        <v>835</v>
      </c>
      <c r="F530" s="8">
        <v>0.5</v>
      </c>
      <c r="G530" s="7" t="s">
        <v>739</v>
      </c>
      <c r="H530" s="1" t="s">
        <v>1938</v>
      </c>
      <c r="I530" s="8">
        <f>(C10)</f>
        <v>861</v>
      </c>
      <c r="J530" s="1" t="s">
        <v>739</v>
      </c>
      <c r="K530" s="8">
        <f>(F530*I530)</f>
        <v>430.5</v>
      </c>
      <c r="N530" s="1" t="s">
        <v>419</v>
      </c>
      <c r="O530" s="1" t="s">
        <v>420</v>
      </c>
      <c r="Q530" s="1" t="s">
        <v>419</v>
      </c>
      <c r="R530" s="8">
        <v>0</v>
      </c>
      <c r="S530"/>
      <c r="T530" s="3"/>
      <c r="U530" s="5" t="s">
        <v>1530</v>
      </c>
      <c r="W530" s="11"/>
      <c r="Z530" s="3"/>
      <c r="AA530" s="5" t="s">
        <v>1530</v>
      </c>
      <c r="AC530" s="11"/>
      <c r="AE530" s="52" t="str">
        <f t="shared" si="52"/>
        <v>|</v>
      </c>
      <c r="AG530" s="1" t="s">
        <v>2175</v>
      </c>
    </row>
    <row r="531" spans="1:33" ht="24" customHeight="1">
      <c r="A531" s="220">
        <f t="shared" si="56"/>
        <v>353</v>
      </c>
      <c r="B531" s="221" t="s">
        <v>225</v>
      </c>
      <c r="C531" s="545">
        <v>26</v>
      </c>
      <c r="D531" s="221" t="s">
        <v>835</v>
      </c>
      <c r="F531" s="8">
        <v>0.75</v>
      </c>
      <c r="G531" s="7" t="s">
        <v>739</v>
      </c>
      <c r="H531" s="1" t="s">
        <v>1836</v>
      </c>
      <c r="I531" s="8">
        <f>(C12)</f>
        <v>562</v>
      </c>
      <c r="J531" s="1" t="s">
        <v>739</v>
      </c>
      <c r="K531" s="8">
        <f>(F531*I531)</f>
        <v>421.5</v>
      </c>
      <c r="R531" s="5" t="s">
        <v>1530</v>
      </c>
      <c r="S531" s="13">
        <v>1.4999999999999999E-2</v>
      </c>
      <c r="T531" s="7" t="s">
        <v>836</v>
      </c>
      <c r="U531" s="1" t="s">
        <v>963</v>
      </c>
      <c r="V531" s="8">
        <f>X660</f>
        <v>6566.07</v>
      </c>
      <c r="W531" s="1" t="s">
        <v>836</v>
      </c>
      <c r="X531" s="8">
        <f>(S531*V531)</f>
        <v>98.49</v>
      </c>
      <c r="Y531" s="13">
        <v>1.4999999999999999E-2</v>
      </c>
      <c r="Z531" s="7" t="s">
        <v>836</v>
      </c>
      <c r="AA531" s="1" t="s">
        <v>963</v>
      </c>
      <c r="AB531" s="8">
        <f>AF660</f>
        <v>7103.48</v>
      </c>
      <c r="AC531" s="1" t="s">
        <v>836</v>
      </c>
      <c r="AD531" s="8">
        <f>(Y531*AB531)</f>
        <v>106.55</v>
      </c>
      <c r="AE531" s="52" t="str">
        <f t="shared" si="52"/>
        <v>|</v>
      </c>
      <c r="AG531" s="1" t="s">
        <v>2175</v>
      </c>
    </row>
    <row r="532" spans="1:33" ht="24" customHeight="1">
      <c r="A532" s="220">
        <f t="shared" si="56"/>
        <v>354</v>
      </c>
      <c r="B532" s="221" t="s">
        <v>650</v>
      </c>
      <c r="C532" s="623"/>
      <c r="D532" s="221" t="s">
        <v>940</v>
      </c>
      <c r="G532" s="7" t="s">
        <v>419</v>
      </c>
      <c r="H532" s="1" t="s">
        <v>420</v>
      </c>
      <c r="J532" s="1" t="s">
        <v>419</v>
      </c>
      <c r="K532" s="8">
        <v>0</v>
      </c>
      <c r="O532" s="1" t="s">
        <v>1784</v>
      </c>
      <c r="R532" s="8">
        <f>SUM(R520:R530)</f>
        <v>4669.5</v>
      </c>
      <c r="S532" s="8">
        <v>0.5</v>
      </c>
      <c r="T532" s="7" t="s">
        <v>739</v>
      </c>
      <c r="U532" s="1" t="s">
        <v>1938</v>
      </c>
      <c r="V532" s="8">
        <f>C10</f>
        <v>861</v>
      </c>
      <c r="W532" s="1" t="s">
        <v>739</v>
      </c>
      <c r="X532" s="8">
        <f>(S532*V532)</f>
        <v>430.5</v>
      </c>
      <c r="Y532" s="8">
        <v>0.5</v>
      </c>
      <c r="Z532" s="7" t="s">
        <v>739</v>
      </c>
      <c r="AA532" s="1" t="s">
        <v>1938</v>
      </c>
      <c r="AB532" s="8">
        <f>V532</f>
        <v>861</v>
      </c>
      <c r="AC532" s="1" t="s">
        <v>739</v>
      </c>
      <c r="AD532" s="8">
        <f>(Y532*AB532)</f>
        <v>430.5</v>
      </c>
      <c r="AE532" s="52" t="str">
        <f t="shared" si="52"/>
        <v>|</v>
      </c>
      <c r="AG532" s="1" t="s">
        <v>2175</v>
      </c>
    </row>
    <row r="533" spans="1:33" ht="24" customHeight="1">
      <c r="A533" s="220">
        <f t="shared" si="56"/>
        <v>355</v>
      </c>
      <c r="B533" s="221" t="s">
        <v>1075</v>
      </c>
      <c r="C533" s="545">
        <v>4.62</v>
      </c>
      <c r="D533" s="221" t="s">
        <v>835</v>
      </c>
      <c r="K533" s="5" t="s">
        <v>1530</v>
      </c>
      <c r="R533" s="5" t="s">
        <v>1530</v>
      </c>
      <c r="S533" s="8">
        <v>0.75</v>
      </c>
      <c r="T533" s="7" t="s">
        <v>739</v>
      </c>
      <c r="U533" s="1" t="s">
        <v>1836</v>
      </c>
      <c r="V533" s="8">
        <f>C12</f>
        <v>562</v>
      </c>
      <c r="W533" s="1" t="s">
        <v>739</v>
      </c>
      <c r="X533" s="8">
        <f>(S533*V533)</f>
        <v>421.5</v>
      </c>
      <c r="Y533" s="8">
        <v>0.75</v>
      </c>
      <c r="Z533" s="7" t="s">
        <v>739</v>
      </c>
      <c r="AA533" s="1" t="s">
        <v>1836</v>
      </c>
      <c r="AB533" s="8">
        <f>V533</f>
        <v>562</v>
      </c>
      <c r="AC533" s="1" t="s">
        <v>739</v>
      </c>
      <c r="AD533" s="8">
        <f>(Y533*AB533)</f>
        <v>421.5</v>
      </c>
      <c r="AE533" s="52" t="str">
        <f t="shared" si="52"/>
        <v>|</v>
      </c>
      <c r="AG533" s="1" t="s">
        <v>2175</v>
      </c>
    </row>
    <row r="534" spans="1:33" ht="24" customHeight="1">
      <c r="A534" s="220">
        <f t="shared" si="56"/>
        <v>356</v>
      </c>
      <c r="B534" s="221" t="s">
        <v>1076</v>
      </c>
      <c r="C534" s="545">
        <v>7.83</v>
      </c>
      <c r="D534" s="221" t="s">
        <v>835</v>
      </c>
      <c r="H534" s="1" t="s">
        <v>1691</v>
      </c>
      <c r="K534" s="8">
        <f>SUM(K529:K532)</f>
        <v>948.91</v>
      </c>
      <c r="O534" s="1" t="s">
        <v>1490</v>
      </c>
      <c r="R534" s="8">
        <f>(R532/30)</f>
        <v>155.65</v>
      </c>
      <c r="S534"/>
      <c r="T534" s="7" t="s">
        <v>419</v>
      </c>
      <c r="U534" s="1" t="s">
        <v>420</v>
      </c>
      <c r="W534" s="1" t="s">
        <v>419</v>
      </c>
      <c r="X534" s="8">
        <v>0</v>
      </c>
      <c r="Z534" s="7" t="s">
        <v>419</v>
      </c>
      <c r="AA534" s="1" t="s">
        <v>420</v>
      </c>
      <c r="AB534" s="8">
        <f>V534</f>
        <v>0</v>
      </c>
      <c r="AC534" s="1" t="s">
        <v>419</v>
      </c>
      <c r="AD534" s="8">
        <v>0</v>
      </c>
      <c r="AE534" s="52" t="str">
        <f t="shared" si="52"/>
        <v>|</v>
      </c>
      <c r="AG534" s="1" t="s">
        <v>2175</v>
      </c>
    </row>
    <row r="535" spans="1:33" ht="24" customHeight="1">
      <c r="A535" s="220">
        <f t="shared" si="56"/>
        <v>357</v>
      </c>
      <c r="B535" s="221" t="s">
        <v>1077</v>
      </c>
      <c r="C535" s="545">
        <v>11.38</v>
      </c>
      <c r="D535" s="221" t="s">
        <v>835</v>
      </c>
      <c r="K535" s="5" t="s">
        <v>1530</v>
      </c>
      <c r="R535" s="5" t="s">
        <v>1530</v>
      </c>
      <c r="S535"/>
      <c r="T535" s="3"/>
      <c r="W535" s="11"/>
      <c r="X535" s="5" t="s">
        <v>1530</v>
      </c>
      <c r="Z535" s="3"/>
      <c r="AC535" s="11"/>
      <c r="AD535" s="5" t="s">
        <v>1530</v>
      </c>
      <c r="AE535" s="52" t="str">
        <f t="shared" si="52"/>
        <v>|</v>
      </c>
      <c r="AG535" s="1" t="s">
        <v>2175</v>
      </c>
    </row>
    <row r="536" spans="1:33" ht="24" customHeight="1">
      <c r="A536" s="220">
        <f t="shared" si="56"/>
        <v>358</v>
      </c>
      <c r="B536" s="221" t="s">
        <v>1078</v>
      </c>
      <c r="C536" s="545">
        <v>18.75</v>
      </c>
      <c r="D536" s="221" t="s">
        <v>835</v>
      </c>
      <c r="H536" s="1" t="s">
        <v>521</v>
      </c>
      <c r="K536" s="8">
        <f>(K534/0.743)</f>
        <v>1277.1300000000001</v>
      </c>
      <c r="S536"/>
      <c r="T536" s="3"/>
      <c r="U536" s="1" t="s">
        <v>1691</v>
      </c>
      <c r="W536" s="11"/>
      <c r="X536" s="8">
        <f>SUM(X531:X534)</f>
        <v>950.49</v>
      </c>
      <c r="Z536" s="3"/>
      <c r="AA536" s="1" t="s">
        <v>1691</v>
      </c>
      <c r="AC536" s="11"/>
      <c r="AD536" s="8">
        <f>SUM(AD531:AD534)</f>
        <v>958.55</v>
      </c>
      <c r="AE536" s="52" t="str">
        <f t="shared" si="52"/>
        <v>|</v>
      </c>
      <c r="AG536" s="1" t="s">
        <v>2175</v>
      </c>
    </row>
    <row r="537" spans="1:33" ht="24" customHeight="1">
      <c r="A537" s="220">
        <f t="shared" si="56"/>
        <v>359</v>
      </c>
      <c r="B537" s="221" t="s">
        <v>1080</v>
      </c>
      <c r="C537" s="545">
        <v>35.1</v>
      </c>
      <c r="D537" s="221" t="s">
        <v>835</v>
      </c>
      <c r="K537" s="5" t="s">
        <v>1980</v>
      </c>
      <c r="S537"/>
      <c r="T537" s="3"/>
      <c r="W537" s="11"/>
      <c r="X537" s="5" t="s">
        <v>1530</v>
      </c>
      <c r="Z537" s="3"/>
      <c r="AC537" s="11"/>
      <c r="AD537" s="5" t="s">
        <v>1530</v>
      </c>
      <c r="AE537" s="52" t="str">
        <f t="shared" si="52"/>
        <v>|</v>
      </c>
      <c r="AG537" s="1" t="s">
        <v>2175</v>
      </c>
    </row>
    <row r="538" spans="1:33" ht="24" customHeight="1">
      <c r="A538" s="220">
        <f t="shared" si="56"/>
        <v>360</v>
      </c>
      <c r="B538" s="221" t="s">
        <v>225</v>
      </c>
      <c r="C538" s="545">
        <v>45.57</v>
      </c>
      <c r="D538" s="221" t="s">
        <v>835</v>
      </c>
      <c r="H538" s="1" t="s">
        <v>361</v>
      </c>
      <c r="I538" s="8">
        <f>K536</f>
        <v>1277.1300000000001</v>
      </c>
      <c r="J538" s="1">
        <f>C22*0.015/0.743</f>
        <v>2.09</v>
      </c>
      <c r="K538" s="39">
        <f>I538+J538</f>
        <v>1279.22</v>
      </c>
      <c r="N538" s="1" t="s">
        <v>1887</v>
      </c>
      <c r="O538" s="2" t="s">
        <v>1225</v>
      </c>
      <c r="S538"/>
      <c r="T538" s="3"/>
      <c r="U538" s="1" t="s">
        <v>521</v>
      </c>
      <c r="W538" s="11"/>
      <c r="X538" s="8">
        <f>(X536/0.743)</f>
        <v>1279.26</v>
      </c>
      <c r="Z538" s="3"/>
      <c r="AA538" s="1" t="s">
        <v>521</v>
      </c>
      <c r="AC538" s="11"/>
      <c r="AD538" s="8">
        <f>(AD536/0.743)</f>
        <v>1290.1099999999999</v>
      </c>
      <c r="AE538" s="52" t="str">
        <f t="shared" si="52"/>
        <v>|</v>
      </c>
      <c r="AG538" s="1" t="s">
        <v>2175</v>
      </c>
    </row>
    <row r="539" spans="1:33" ht="24" customHeight="1">
      <c r="A539" s="220">
        <f t="shared" si="56"/>
        <v>361</v>
      </c>
      <c r="B539" s="221" t="s">
        <v>1087</v>
      </c>
      <c r="C539" s="623"/>
      <c r="D539" s="221" t="s">
        <v>940</v>
      </c>
      <c r="H539" s="1" t="s">
        <v>363</v>
      </c>
      <c r="I539" s="8">
        <f>K538</f>
        <v>1279.22</v>
      </c>
      <c r="J539" s="1">
        <f>C23*0.015/0.743</f>
        <v>4.1100000000000003</v>
      </c>
      <c r="K539" s="39">
        <f>I539+J539</f>
        <v>1283.33</v>
      </c>
      <c r="O539" s="5" t="s">
        <v>1530</v>
      </c>
      <c r="S539"/>
      <c r="T539" s="3"/>
      <c r="W539" s="11"/>
      <c r="X539" s="5" t="s">
        <v>1980</v>
      </c>
      <c r="Z539" s="3"/>
      <c r="AC539" s="11"/>
      <c r="AD539" s="5" t="s">
        <v>1980</v>
      </c>
      <c r="AE539" s="52" t="str">
        <f t="shared" si="52"/>
        <v>|</v>
      </c>
      <c r="AG539" s="1" t="s">
        <v>2175</v>
      </c>
    </row>
    <row r="540" spans="1:33" ht="24" customHeight="1">
      <c r="A540" s="220">
        <f t="shared" si="56"/>
        <v>362</v>
      </c>
      <c r="B540" s="221" t="s">
        <v>1075</v>
      </c>
      <c r="C540" s="545">
        <v>7.8</v>
      </c>
      <c r="D540" s="221" t="s">
        <v>835</v>
      </c>
      <c r="H540" s="1" t="s">
        <v>2149</v>
      </c>
      <c r="I540" s="8">
        <f>K539</f>
        <v>1283.33</v>
      </c>
      <c r="J540" s="1">
        <f>J539</f>
        <v>4.1100000000000003</v>
      </c>
      <c r="K540" s="39">
        <f>I540+J540</f>
        <v>1287.44</v>
      </c>
      <c r="M540" s="8">
        <v>30</v>
      </c>
      <c r="N540" s="1" t="s">
        <v>1714</v>
      </c>
      <c r="O540" s="1" t="s">
        <v>1610</v>
      </c>
      <c r="P540" s="8">
        <f>(C45)</f>
        <v>5</v>
      </c>
      <c r="Q540" s="1" t="s">
        <v>1714</v>
      </c>
      <c r="R540" s="8">
        <f>(M540*P540)</f>
        <v>150</v>
      </c>
      <c r="S540"/>
      <c r="T540" s="3"/>
      <c r="U540" s="1" t="s">
        <v>361</v>
      </c>
      <c r="V540" s="8">
        <f>X538</f>
        <v>1279.26</v>
      </c>
      <c r="W540" s="1">
        <f>J538</f>
        <v>2.09</v>
      </c>
      <c r="X540" s="39">
        <f>V540+W540</f>
        <v>1281.3499999999999</v>
      </c>
      <c r="Z540" s="3"/>
      <c r="AA540" s="1" t="s">
        <v>361</v>
      </c>
      <c r="AB540" s="8">
        <f>AD538</f>
        <v>1290.1099999999999</v>
      </c>
      <c r="AC540" s="1">
        <f>W540</f>
        <v>2.09</v>
      </c>
      <c r="AD540" s="39">
        <f>AB540+AC540</f>
        <v>1292.2</v>
      </c>
      <c r="AE540" s="52" t="str">
        <f t="shared" si="52"/>
        <v>|</v>
      </c>
      <c r="AG540" s="1" t="s">
        <v>2175</v>
      </c>
    </row>
    <row r="541" spans="1:33" ht="24" customHeight="1">
      <c r="A541" s="220">
        <f t="shared" si="56"/>
        <v>363</v>
      </c>
      <c r="B541" s="221" t="s">
        <v>1076</v>
      </c>
      <c r="C541" s="545">
        <v>9.49</v>
      </c>
      <c r="D541" s="221" t="s">
        <v>835</v>
      </c>
      <c r="H541" s="1" t="s">
        <v>355</v>
      </c>
      <c r="I541" s="8">
        <f>K540</f>
        <v>1287.44</v>
      </c>
      <c r="J541" s="1">
        <f>J540</f>
        <v>4.1100000000000003</v>
      </c>
      <c r="K541" s="39">
        <f>I541+J541</f>
        <v>1291.55</v>
      </c>
      <c r="M541" s="1" t="s">
        <v>940</v>
      </c>
      <c r="O541" s="1" t="s">
        <v>1613</v>
      </c>
      <c r="P541" s="1" t="s">
        <v>940</v>
      </c>
      <c r="R541" s="1" t="s">
        <v>940</v>
      </c>
      <c r="S541"/>
      <c r="T541" s="3"/>
      <c r="U541" s="1" t="s">
        <v>363</v>
      </c>
      <c r="V541" s="8">
        <f>X540</f>
        <v>1281.3499999999999</v>
      </c>
      <c r="W541" s="1">
        <f t="shared" ref="W541:W552" si="60">J541</f>
        <v>4.1100000000000003</v>
      </c>
      <c r="X541" s="39">
        <f>V541+W541</f>
        <v>1285.46</v>
      </c>
      <c r="Z541" s="3"/>
      <c r="AA541" s="1" t="s">
        <v>363</v>
      </c>
      <c r="AB541" s="8">
        <f>AD540</f>
        <v>1292.2</v>
      </c>
      <c r="AC541" s="1">
        <f t="shared" ref="AC541:AC552" si="61">W541</f>
        <v>4.1100000000000003</v>
      </c>
      <c r="AD541" s="39">
        <f>AB541+AC541</f>
        <v>1296.31</v>
      </c>
      <c r="AE541" s="52" t="str">
        <f t="shared" si="52"/>
        <v>|</v>
      </c>
      <c r="AG541" s="1" t="s">
        <v>2175</v>
      </c>
    </row>
    <row r="542" spans="1:33" ht="24" customHeight="1">
      <c r="A542" s="220">
        <f t="shared" si="56"/>
        <v>364</v>
      </c>
      <c r="B542" s="221" t="s">
        <v>1077</v>
      </c>
      <c r="C542" s="545">
        <v>13.91</v>
      </c>
      <c r="D542" s="221" t="s">
        <v>835</v>
      </c>
      <c r="H542" s="1" t="s">
        <v>363</v>
      </c>
      <c r="I542" s="8">
        <f>K541</f>
        <v>1291.55</v>
      </c>
      <c r="J542" s="1">
        <f>J541</f>
        <v>4.1100000000000003</v>
      </c>
      <c r="K542" s="39">
        <f>I542+J542</f>
        <v>1295.6600000000001</v>
      </c>
      <c r="M542" s="8">
        <v>8</v>
      </c>
      <c r="N542" s="1" t="s">
        <v>835</v>
      </c>
      <c r="O542" s="1" t="s">
        <v>2062</v>
      </c>
      <c r="P542" s="8">
        <f>(C48)</f>
        <v>9.6999999999999993</v>
      </c>
      <c r="Q542" s="1" t="s">
        <v>835</v>
      </c>
      <c r="R542" s="8">
        <f>(M542*P542)</f>
        <v>77.599999999999994</v>
      </c>
      <c r="S542"/>
      <c r="T542" s="3"/>
      <c r="U542" s="1" t="s">
        <v>2149</v>
      </c>
      <c r="V542" s="8">
        <f>X541</f>
        <v>1285.46</v>
      </c>
      <c r="W542" s="1">
        <f t="shared" si="60"/>
        <v>4.1100000000000003</v>
      </c>
      <c r="X542" s="39">
        <f>V542+W542</f>
        <v>1289.57</v>
      </c>
      <c r="Z542" s="3"/>
      <c r="AA542" s="1" t="s">
        <v>2149</v>
      </c>
      <c r="AB542" s="8">
        <f>AD541</f>
        <v>1296.31</v>
      </c>
      <c r="AC542" s="1">
        <f t="shared" si="61"/>
        <v>4.1100000000000003</v>
      </c>
      <c r="AD542" s="39">
        <f>AB542+AC542</f>
        <v>1300.42</v>
      </c>
      <c r="AE542" s="52" t="str">
        <f t="shared" si="52"/>
        <v>|</v>
      </c>
      <c r="AG542" s="1" t="s">
        <v>2175</v>
      </c>
    </row>
    <row r="543" spans="1:33" ht="24" customHeight="1">
      <c r="A543" s="220"/>
      <c r="B543" s="221"/>
      <c r="C543" s="222"/>
      <c r="D543" s="221"/>
      <c r="H543" s="1">
        <v>5</v>
      </c>
      <c r="I543" s="8">
        <f t="shared" ref="I543:I548" si="62">K542</f>
        <v>1295.6600000000001</v>
      </c>
      <c r="J543" s="1">
        <f t="shared" ref="J543:J550" si="63">J542</f>
        <v>4.1100000000000003</v>
      </c>
      <c r="K543" s="39">
        <f t="shared" ref="K543:K548" si="64">I543+J543</f>
        <v>1299.77</v>
      </c>
      <c r="M543" s="8"/>
      <c r="N543" s="1"/>
      <c r="O543" s="1"/>
      <c r="P543" s="8"/>
      <c r="Q543" s="1"/>
      <c r="R543" s="8"/>
      <c r="S543"/>
      <c r="T543" s="3"/>
      <c r="U543" s="1" t="s">
        <v>355</v>
      </c>
      <c r="V543" s="8">
        <f>X542</f>
        <v>1289.57</v>
      </c>
      <c r="W543" s="1">
        <f t="shared" si="60"/>
        <v>4.1100000000000003</v>
      </c>
      <c r="X543" s="39">
        <f>V543+W543</f>
        <v>1293.68</v>
      </c>
      <c r="Z543" s="3"/>
      <c r="AA543" s="1" t="s">
        <v>355</v>
      </c>
      <c r="AB543" s="8">
        <f>AD542</f>
        <v>1300.42</v>
      </c>
      <c r="AC543" s="1">
        <f t="shared" si="61"/>
        <v>4.1100000000000003</v>
      </c>
      <c r="AD543" s="39">
        <f>AB543+AC543</f>
        <v>1304.53</v>
      </c>
      <c r="AE543" s="52"/>
      <c r="AG543" s="1"/>
    </row>
    <row r="544" spans="1:33" ht="24" customHeight="1">
      <c r="A544" s="220"/>
      <c r="B544" s="221"/>
      <c r="C544" s="222"/>
      <c r="D544" s="221"/>
      <c r="H544" s="1">
        <v>6</v>
      </c>
      <c r="I544" s="8">
        <f t="shared" si="62"/>
        <v>1299.77</v>
      </c>
      <c r="J544" s="1">
        <f t="shared" si="63"/>
        <v>4.1100000000000003</v>
      </c>
      <c r="K544" s="39">
        <f t="shared" si="64"/>
        <v>1303.8800000000001</v>
      </c>
      <c r="M544" s="8"/>
      <c r="N544" s="1"/>
      <c r="O544" s="1"/>
      <c r="P544" s="8"/>
      <c r="Q544" s="1"/>
      <c r="R544" s="8"/>
      <c r="S544"/>
      <c r="T544" s="3"/>
      <c r="U544" s="1" t="s">
        <v>363</v>
      </c>
      <c r="V544" s="8">
        <f>X543</f>
        <v>1293.68</v>
      </c>
      <c r="W544" s="1">
        <f t="shared" si="60"/>
        <v>4.1100000000000003</v>
      </c>
      <c r="X544" s="39">
        <f>V544+W544</f>
        <v>1297.79</v>
      </c>
      <c r="Z544" s="3"/>
      <c r="AA544" s="1" t="s">
        <v>363</v>
      </c>
      <c r="AB544" s="8">
        <f>AD543</f>
        <v>1304.53</v>
      </c>
      <c r="AC544" s="1">
        <f t="shared" si="61"/>
        <v>4.1100000000000003</v>
      </c>
      <c r="AD544" s="39">
        <f>AB544+AC544</f>
        <v>1308.6400000000001</v>
      </c>
      <c r="AE544" s="52"/>
      <c r="AG544" s="1"/>
    </row>
    <row r="545" spans="1:33" ht="24" customHeight="1">
      <c r="A545" s="220"/>
      <c r="B545" s="221"/>
      <c r="C545" s="222"/>
      <c r="D545" s="221"/>
      <c r="H545" s="1">
        <v>7</v>
      </c>
      <c r="I545" s="8">
        <f t="shared" si="62"/>
        <v>1303.8800000000001</v>
      </c>
      <c r="J545" s="1">
        <f t="shared" si="63"/>
        <v>4.1100000000000003</v>
      </c>
      <c r="K545" s="39">
        <f t="shared" si="64"/>
        <v>1307.99</v>
      </c>
      <c r="M545" s="8"/>
      <c r="N545" s="1"/>
      <c r="O545" s="1"/>
      <c r="P545" s="8"/>
      <c r="Q545" s="1"/>
      <c r="R545" s="8"/>
      <c r="S545"/>
      <c r="T545" s="3"/>
      <c r="U545" s="1">
        <v>5</v>
      </c>
      <c r="V545" s="8">
        <f t="shared" ref="V545:V550" si="65">X544</f>
        <v>1297.79</v>
      </c>
      <c r="W545" s="1">
        <f t="shared" si="60"/>
        <v>4.1100000000000003</v>
      </c>
      <c r="X545" s="39">
        <f t="shared" ref="X545:X550" si="66">V545+W545</f>
        <v>1301.9000000000001</v>
      </c>
      <c r="Z545" s="3"/>
      <c r="AA545" s="1">
        <v>5</v>
      </c>
      <c r="AB545" s="8">
        <f t="shared" ref="AB545:AB550" si="67">AD544</f>
        <v>1308.6400000000001</v>
      </c>
      <c r="AC545" s="1">
        <f t="shared" si="61"/>
        <v>4.1100000000000003</v>
      </c>
      <c r="AD545" s="39">
        <f t="shared" ref="AD545:AD550" si="68">AB545+AC545</f>
        <v>1312.75</v>
      </c>
      <c r="AE545" s="52"/>
      <c r="AG545" s="1"/>
    </row>
    <row r="546" spans="1:33" ht="24" customHeight="1">
      <c r="A546" s="220"/>
      <c r="B546" s="221"/>
      <c r="C546" s="222"/>
      <c r="D546" s="221"/>
      <c r="H546" s="1">
        <v>8</v>
      </c>
      <c r="I546" s="8">
        <f t="shared" si="62"/>
        <v>1307.99</v>
      </c>
      <c r="J546" s="1">
        <f t="shared" si="63"/>
        <v>4.1100000000000003</v>
      </c>
      <c r="K546" s="39">
        <f t="shared" si="64"/>
        <v>1312.1</v>
      </c>
      <c r="M546" s="8"/>
      <c r="N546" s="1"/>
      <c r="O546" s="1"/>
      <c r="P546" s="8"/>
      <c r="Q546" s="1"/>
      <c r="R546" s="8"/>
      <c r="S546"/>
      <c r="T546" s="3"/>
      <c r="U546" s="1">
        <v>6</v>
      </c>
      <c r="V546" s="8">
        <f t="shared" si="65"/>
        <v>1301.9000000000001</v>
      </c>
      <c r="W546" s="1">
        <f t="shared" si="60"/>
        <v>4.1100000000000003</v>
      </c>
      <c r="X546" s="39">
        <f t="shared" si="66"/>
        <v>1306.01</v>
      </c>
      <c r="Z546" s="3"/>
      <c r="AA546" s="1">
        <v>6</v>
      </c>
      <c r="AB546" s="8">
        <f t="shared" si="67"/>
        <v>1312.75</v>
      </c>
      <c r="AC546" s="1">
        <f t="shared" si="61"/>
        <v>4.1100000000000003</v>
      </c>
      <c r="AD546" s="39">
        <f t="shared" si="68"/>
        <v>1316.86</v>
      </c>
      <c r="AE546" s="52"/>
      <c r="AG546" s="1"/>
    </row>
    <row r="547" spans="1:33" ht="24" customHeight="1">
      <c r="A547" s="220"/>
      <c r="B547" s="221"/>
      <c r="C547" s="222"/>
      <c r="D547" s="221"/>
      <c r="H547" s="1">
        <v>9</v>
      </c>
      <c r="I547" s="8">
        <f t="shared" si="62"/>
        <v>1312.1</v>
      </c>
      <c r="J547" s="1">
        <f t="shared" si="63"/>
        <v>4.1100000000000003</v>
      </c>
      <c r="K547" s="39">
        <f t="shared" si="64"/>
        <v>1316.21</v>
      </c>
      <c r="M547" s="8"/>
      <c r="N547" s="1"/>
      <c r="O547" s="1"/>
      <c r="P547" s="8"/>
      <c r="Q547" s="1"/>
      <c r="R547" s="8"/>
      <c r="S547"/>
      <c r="T547" s="3"/>
      <c r="U547" s="1">
        <v>7</v>
      </c>
      <c r="V547" s="8">
        <f t="shared" si="65"/>
        <v>1306.01</v>
      </c>
      <c r="W547" s="1">
        <f t="shared" si="60"/>
        <v>4.1100000000000003</v>
      </c>
      <c r="X547" s="39">
        <f t="shared" si="66"/>
        <v>1310.1199999999999</v>
      </c>
      <c r="Z547" s="3"/>
      <c r="AA547" s="1">
        <v>7</v>
      </c>
      <c r="AB547" s="8">
        <f t="shared" si="67"/>
        <v>1316.86</v>
      </c>
      <c r="AC547" s="1">
        <f t="shared" si="61"/>
        <v>4.1100000000000003</v>
      </c>
      <c r="AD547" s="39">
        <f t="shared" si="68"/>
        <v>1320.97</v>
      </c>
      <c r="AE547" s="52"/>
      <c r="AG547" s="1"/>
    </row>
    <row r="548" spans="1:33" ht="24" customHeight="1">
      <c r="A548" s="220"/>
      <c r="B548" s="221"/>
      <c r="C548" s="222"/>
      <c r="D548" s="221"/>
      <c r="H548" s="1">
        <v>10</v>
      </c>
      <c r="I548" s="8">
        <f t="shared" si="62"/>
        <v>1316.21</v>
      </c>
      <c r="J548" s="1">
        <f t="shared" si="63"/>
        <v>4.1100000000000003</v>
      </c>
      <c r="K548" s="39">
        <f t="shared" si="64"/>
        <v>1320.32</v>
      </c>
      <c r="M548" s="8"/>
      <c r="N548" s="1"/>
      <c r="O548" s="1"/>
      <c r="P548" s="8"/>
      <c r="Q548" s="1"/>
      <c r="R548" s="8"/>
      <c r="S548"/>
      <c r="T548" s="3"/>
      <c r="U548" s="1">
        <v>8</v>
      </c>
      <c r="V548" s="8">
        <f t="shared" si="65"/>
        <v>1310.1199999999999</v>
      </c>
      <c r="W548" s="1">
        <f t="shared" si="60"/>
        <v>4.1100000000000003</v>
      </c>
      <c r="X548" s="39">
        <f t="shared" si="66"/>
        <v>1314.23</v>
      </c>
      <c r="Z548" s="3"/>
      <c r="AA548" s="1">
        <v>8</v>
      </c>
      <c r="AB548" s="8">
        <f t="shared" si="67"/>
        <v>1320.97</v>
      </c>
      <c r="AC548" s="1">
        <f t="shared" si="61"/>
        <v>4.1100000000000003</v>
      </c>
      <c r="AD548" s="39">
        <f t="shared" si="68"/>
        <v>1325.08</v>
      </c>
      <c r="AE548" s="52"/>
      <c r="AG548" s="1"/>
    </row>
    <row r="549" spans="1:33" ht="24" customHeight="1">
      <c r="A549" s="220"/>
      <c r="B549" s="221"/>
      <c r="C549" s="222"/>
      <c r="D549" s="221"/>
      <c r="H549" s="1">
        <v>11</v>
      </c>
      <c r="I549" s="8">
        <f>K548</f>
        <v>1320.32</v>
      </c>
      <c r="J549" s="1">
        <f t="shared" si="63"/>
        <v>4.1100000000000003</v>
      </c>
      <c r="K549" s="39">
        <f>I549+J549</f>
        <v>1324.43</v>
      </c>
      <c r="M549" s="8"/>
      <c r="N549" s="1"/>
      <c r="O549" s="1"/>
      <c r="P549" s="8"/>
      <c r="Q549" s="1"/>
      <c r="R549" s="8"/>
      <c r="S549"/>
      <c r="T549" s="3"/>
      <c r="U549" s="1">
        <v>9</v>
      </c>
      <c r="V549" s="8">
        <f t="shared" si="65"/>
        <v>1314.23</v>
      </c>
      <c r="W549" s="1">
        <f t="shared" si="60"/>
        <v>4.1100000000000003</v>
      </c>
      <c r="X549" s="39">
        <f t="shared" si="66"/>
        <v>1318.34</v>
      </c>
      <c r="Z549" s="3"/>
      <c r="AA549" s="1">
        <v>9</v>
      </c>
      <c r="AB549" s="8">
        <f t="shared" si="67"/>
        <v>1325.08</v>
      </c>
      <c r="AC549" s="1">
        <f t="shared" si="61"/>
        <v>4.1100000000000003</v>
      </c>
      <c r="AD549" s="39">
        <f t="shared" si="68"/>
        <v>1329.19</v>
      </c>
      <c r="AE549" s="52"/>
      <c r="AG549" s="1"/>
    </row>
    <row r="550" spans="1:33" ht="24" customHeight="1">
      <c r="A550" s="220"/>
      <c r="B550" s="221"/>
      <c r="C550" s="222"/>
      <c r="D550" s="221"/>
      <c r="H550" s="1">
        <v>12</v>
      </c>
      <c r="I550" s="8">
        <f>K549</f>
        <v>1324.43</v>
      </c>
      <c r="J550" s="1">
        <f t="shared" si="63"/>
        <v>4.1100000000000003</v>
      </c>
      <c r="K550" s="39">
        <f>I550+J550</f>
        <v>1328.54</v>
      </c>
      <c r="M550" s="8"/>
      <c r="N550" s="1"/>
      <c r="O550" s="1"/>
      <c r="P550" s="8"/>
      <c r="Q550" s="1"/>
      <c r="R550" s="8"/>
      <c r="S550"/>
      <c r="T550" s="3"/>
      <c r="U550" s="1">
        <v>10</v>
      </c>
      <c r="V550" s="8">
        <f t="shared" si="65"/>
        <v>1318.34</v>
      </c>
      <c r="W550" s="1">
        <f t="shared" si="60"/>
        <v>4.1100000000000003</v>
      </c>
      <c r="X550" s="39">
        <f t="shared" si="66"/>
        <v>1322.45</v>
      </c>
      <c r="Z550" s="3"/>
      <c r="AA550" s="1">
        <v>10</v>
      </c>
      <c r="AB550" s="8">
        <f t="shared" si="67"/>
        <v>1329.19</v>
      </c>
      <c r="AC550" s="1">
        <f t="shared" si="61"/>
        <v>4.1100000000000003</v>
      </c>
      <c r="AD550" s="39">
        <f t="shared" si="68"/>
        <v>1333.3</v>
      </c>
      <c r="AE550" s="52"/>
      <c r="AG550" s="1"/>
    </row>
    <row r="551" spans="1:33" ht="24" customHeight="1">
      <c r="A551" s="220">
        <f>(A542+1)</f>
        <v>365</v>
      </c>
      <c r="B551" s="221" t="s">
        <v>1078</v>
      </c>
      <c r="C551" s="545">
        <v>26.59</v>
      </c>
      <c r="D551" s="221" t="s">
        <v>835</v>
      </c>
      <c r="F551" s="2" t="s">
        <v>1088</v>
      </c>
      <c r="G551" s="7" t="s">
        <v>2167</v>
      </c>
      <c r="H551" s="1" t="s">
        <v>242</v>
      </c>
      <c r="M551" s="8">
        <v>8</v>
      </c>
      <c r="N551" s="1" t="s">
        <v>835</v>
      </c>
      <c r="O551" s="1" t="s">
        <v>437</v>
      </c>
      <c r="P551" s="8">
        <f>(C55)</f>
        <v>24.2</v>
      </c>
      <c r="Q551" s="1" t="s">
        <v>835</v>
      </c>
      <c r="R551" s="8">
        <f>(M551*P551)</f>
        <v>193.6</v>
      </c>
      <c r="S551"/>
      <c r="T551" s="3"/>
      <c r="U551" s="1">
        <v>11</v>
      </c>
      <c r="V551" s="8">
        <f>X550</f>
        <v>1322.45</v>
      </c>
      <c r="W551" s="1">
        <f t="shared" si="60"/>
        <v>0</v>
      </c>
      <c r="X551" s="39">
        <f>V551+W551</f>
        <v>1322.45</v>
      </c>
      <c r="Z551" s="3"/>
      <c r="AA551" s="1">
        <v>11</v>
      </c>
      <c r="AB551" s="8">
        <f>AD550</f>
        <v>1333.3</v>
      </c>
      <c r="AC551" s="1">
        <f t="shared" si="61"/>
        <v>0</v>
      </c>
      <c r="AD551" s="39">
        <f>AB551+AC551</f>
        <v>1333.3</v>
      </c>
      <c r="AE551" s="52" t="str">
        <f t="shared" si="52"/>
        <v>|</v>
      </c>
      <c r="AG551" s="1" t="s">
        <v>2175</v>
      </c>
    </row>
    <row r="552" spans="1:33" ht="45.75" customHeight="1">
      <c r="A552" s="220">
        <f t="shared" si="56"/>
        <v>366</v>
      </c>
      <c r="B552" s="221" t="s">
        <v>1080</v>
      </c>
      <c r="C552" s="545">
        <v>39.909999999999997</v>
      </c>
      <c r="D552" s="221" t="s">
        <v>835</v>
      </c>
      <c r="H552" s="5" t="s">
        <v>1530</v>
      </c>
      <c r="M552" s="8">
        <v>3</v>
      </c>
      <c r="N552" s="1" t="s">
        <v>835</v>
      </c>
      <c r="O552" s="1" t="s">
        <v>1779</v>
      </c>
      <c r="P552" s="8">
        <f>(C44)</f>
        <v>637</v>
      </c>
      <c r="Q552" s="1" t="s">
        <v>835</v>
      </c>
      <c r="R552" s="8">
        <f>(M552*P552)</f>
        <v>1911</v>
      </c>
      <c r="S552"/>
      <c r="T552" s="3"/>
      <c r="U552" s="1">
        <v>12</v>
      </c>
      <c r="V552" s="8">
        <f>X551</f>
        <v>1322.45</v>
      </c>
      <c r="W552" s="1">
        <f t="shared" si="60"/>
        <v>0</v>
      </c>
      <c r="X552" s="39">
        <f>V552+W552</f>
        <v>1322.45</v>
      </c>
      <c r="Z552" s="3"/>
      <c r="AA552" s="1">
        <v>12</v>
      </c>
      <c r="AB552" s="8">
        <f>AD551</f>
        <v>1333.3</v>
      </c>
      <c r="AC552" s="1">
        <f t="shared" si="61"/>
        <v>0</v>
      </c>
      <c r="AD552" s="39">
        <f>AB552+AC552</f>
        <v>1333.3</v>
      </c>
      <c r="AE552" s="52" t="str">
        <f t="shared" si="52"/>
        <v>|</v>
      </c>
      <c r="AG552" s="1" t="s">
        <v>2175</v>
      </c>
    </row>
    <row r="553" spans="1:33" ht="52.5" customHeight="1">
      <c r="A553" s="220">
        <f t="shared" si="56"/>
        <v>367</v>
      </c>
      <c r="B553" s="221" t="s">
        <v>225</v>
      </c>
      <c r="C553" s="545">
        <v>66</v>
      </c>
      <c r="D553" s="221" t="s">
        <v>835</v>
      </c>
      <c r="F553" s="8">
        <v>0.03</v>
      </c>
      <c r="G553" s="7" t="s">
        <v>836</v>
      </c>
      <c r="H553" s="1" t="s">
        <v>963</v>
      </c>
      <c r="I553" s="8">
        <f>(K516)</f>
        <v>6460.56</v>
      </c>
      <c r="J553" s="1" t="s">
        <v>836</v>
      </c>
      <c r="K553" s="8">
        <f>(F553*I553)</f>
        <v>193.82</v>
      </c>
      <c r="M553" s="8">
        <v>1</v>
      </c>
      <c r="N553" s="1" t="s">
        <v>835</v>
      </c>
      <c r="O553" s="1" t="s">
        <v>1780</v>
      </c>
      <c r="P553" s="8">
        <f>(C10)</f>
        <v>861</v>
      </c>
      <c r="Q553" s="1" t="s">
        <v>835</v>
      </c>
      <c r="R553" s="8">
        <f>(M553*P553)</f>
        <v>861</v>
      </c>
      <c r="S553" s="2" t="s">
        <v>1088</v>
      </c>
      <c r="T553" s="7" t="s">
        <v>2167</v>
      </c>
      <c r="U553" s="23" t="s">
        <v>3907</v>
      </c>
      <c r="W553" s="1"/>
      <c r="Y553" s="2" t="s">
        <v>1088</v>
      </c>
      <c r="Z553" s="7" t="s">
        <v>2167</v>
      </c>
      <c r="AA553" s="1538" t="s">
        <v>3907</v>
      </c>
      <c r="AB553" s="1538"/>
      <c r="AC553" s="1"/>
      <c r="AE553" s="52" t="str">
        <f t="shared" si="52"/>
        <v>|</v>
      </c>
      <c r="AG553" s="1" t="s">
        <v>2175</v>
      </c>
    </row>
    <row r="554" spans="1:33" ht="24" customHeight="1">
      <c r="A554" s="220">
        <f t="shared" si="56"/>
        <v>368</v>
      </c>
      <c r="B554" s="221" t="s">
        <v>1089</v>
      </c>
      <c r="C554" s="623"/>
      <c r="D554" s="221" t="s">
        <v>940</v>
      </c>
      <c r="F554" s="8">
        <v>0.5</v>
      </c>
      <c r="G554" s="7" t="s">
        <v>739</v>
      </c>
      <c r="H554" s="1" t="s">
        <v>1938</v>
      </c>
      <c r="I554" s="8">
        <f>(C10)</f>
        <v>861</v>
      </c>
      <c r="J554" s="1" t="s">
        <v>739</v>
      </c>
      <c r="K554" s="8">
        <f>(F554*I554)</f>
        <v>430.5</v>
      </c>
      <c r="M554" s="8">
        <v>2</v>
      </c>
      <c r="N554" s="1" t="s">
        <v>835</v>
      </c>
      <c r="O554" s="1" t="s">
        <v>1836</v>
      </c>
      <c r="P554" s="8">
        <f>(C12)</f>
        <v>562</v>
      </c>
      <c r="Q554" s="1" t="s">
        <v>835</v>
      </c>
      <c r="R554" s="8">
        <f>(M554*P554)</f>
        <v>1124</v>
      </c>
      <c r="S554"/>
      <c r="T554" s="3"/>
      <c r="U554" s="5" t="s">
        <v>1530</v>
      </c>
      <c r="W554" s="11"/>
      <c r="Z554" s="3"/>
      <c r="AA554" s="5" t="s">
        <v>1530</v>
      </c>
      <c r="AC554" s="11"/>
      <c r="AE554" s="52" t="str">
        <f t="shared" si="52"/>
        <v>|</v>
      </c>
      <c r="AG554" s="1" t="s">
        <v>2175</v>
      </c>
    </row>
    <row r="555" spans="1:33" ht="24" customHeight="1">
      <c r="A555" s="220">
        <f t="shared" si="56"/>
        <v>369</v>
      </c>
      <c r="B555" s="221" t="s">
        <v>917</v>
      </c>
      <c r="C555" s="545">
        <v>4.75</v>
      </c>
      <c r="D555" s="221" t="s">
        <v>835</v>
      </c>
      <c r="F555" s="8">
        <v>0.75</v>
      </c>
      <c r="G555" s="7" t="s">
        <v>739</v>
      </c>
      <c r="H555" s="1" t="s">
        <v>1836</v>
      </c>
      <c r="I555" s="8">
        <f>(C12)</f>
        <v>562</v>
      </c>
      <c r="J555" s="1" t="s">
        <v>739</v>
      </c>
      <c r="K555" s="8">
        <f>(F555*I555)</f>
        <v>421.5</v>
      </c>
      <c r="M555" s="8">
        <v>1</v>
      </c>
      <c r="N555" s="1" t="s">
        <v>835</v>
      </c>
      <c r="O555" s="1" t="s">
        <v>299</v>
      </c>
      <c r="P555" s="8">
        <f>(C13)</f>
        <v>461</v>
      </c>
      <c r="Q555" s="1" t="s">
        <v>835</v>
      </c>
      <c r="R555" s="8">
        <f>(M555*P555)</f>
        <v>461</v>
      </c>
      <c r="S555" s="8">
        <v>0.03</v>
      </c>
      <c r="T555" s="7" t="s">
        <v>836</v>
      </c>
      <c r="U555" s="1" t="s">
        <v>3889</v>
      </c>
      <c r="V555" s="8">
        <f>V531</f>
        <v>6566.07</v>
      </c>
      <c r="W555" s="1" t="s">
        <v>836</v>
      </c>
      <c r="X555" s="8">
        <f>(S555*V555)</f>
        <v>196.98</v>
      </c>
      <c r="Y555" s="8">
        <v>0.03</v>
      </c>
      <c r="Z555" s="7" t="s">
        <v>836</v>
      </c>
      <c r="AA555" s="1" t="s">
        <v>3889</v>
      </c>
      <c r="AB555" s="8">
        <f>AB531</f>
        <v>7103.48</v>
      </c>
      <c r="AC555" s="1" t="s">
        <v>836</v>
      </c>
      <c r="AD555" s="8">
        <f>(Y555*AB555)</f>
        <v>213.1</v>
      </c>
      <c r="AE555" s="52" t="str">
        <f t="shared" si="52"/>
        <v>|</v>
      </c>
      <c r="AG555" s="1" t="s">
        <v>2175</v>
      </c>
    </row>
    <row r="556" spans="1:33" ht="24" customHeight="1">
      <c r="A556" s="220">
        <f t="shared" si="56"/>
        <v>370</v>
      </c>
      <c r="B556" s="221" t="s">
        <v>713</v>
      </c>
      <c r="C556" s="545">
        <v>6.89</v>
      </c>
      <c r="D556" s="221" t="s">
        <v>835</v>
      </c>
      <c r="E556" s="384">
        <f>0.03/40*75</f>
        <v>5.6300000000000003E-2</v>
      </c>
      <c r="G556" s="7" t="s">
        <v>419</v>
      </c>
      <c r="H556" s="1" t="s">
        <v>420</v>
      </c>
      <c r="J556" s="1" t="s">
        <v>419</v>
      </c>
      <c r="K556" s="8">
        <v>0</v>
      </c>
      <c r="N556" s="1" t="s">
        <v>419</v>
      </c>
      <c r="O556" s="1" t="s">
        <v>1781</v>
      </c>
      <c r="P556" s="1" t="s">
        <v>940</v>
      </c>
      <c r="Q556" s="1" t="s">
        <v>419</v>
      </c>
      <c r="R556" s="8">
        <f>(C59)</f>
        <v>12.1</v>
      </c>
      <c r="S556" s="8">
        <v>0.5</v>
      </c>
      <c r="T556" s="7" t="s">
        <v>739</v>
      </c>
      <c r="U556" s="1" t="s">
        <v>1938</v>
      </c>
      <c r="V556" s="8">
        <f>V532</f>
        <v>861</v>
      </c>
      <c r="W556" s="1" t="s">
        <v>739</v>
      </c>
      <c r="X556" s="8">
        <f>(S556*V556)</f>
        <v>430.5</v>
      </c>
      <c r="Y556" s="8">
        <v>0.5</v>
      </c>
      <c r="Z556" s="7" t="s">
        <v>739</v>
      </c>
      <c r="AA556" s="1" t="s">
        <v>1938</v>
      </c>
      <c r="AB556" s="8">
        <f>AB532</f>
        <v>861</v>
      </c>
      <c r="AC556" s="1" t="s">
        <v>739</v>
      </c>
      <c r="AD556" s="8">
        <f>(Y556*AB556)</f>
        <v>430.5</v>
      </c>
      <c r="AE556" s="52" t="str">
        <f t="shared" si="52"/>
        <v>|</v>
      </c>
      <c r="AG556" s="1" t="s">
        <v>2175</v>
      </c>
    </row>
    <row r="557" spans="1:33" ht="24" customHeight="1">
      <c r="A557" s="220">
        <f t="shared" si="56"/>
        <v>371</v>
      </c>
      <c r="B557" s="221" t="s">
        <v>1609</v>
      </c>
      <c r="C557" s="545">
        <v>6.18</v>
      </c>
      <c r="D557" s="221" t="s">
        <v>835</v>
      </c>
      <c r="K557" s="5" t="s">
        <v>1530</v>
      </c>
      <c r="O557" s="1" t="s">
        <v>1783</v>
      </c>
      <c r="P557" s="1" t="s">
        <v>940</v>
      </c>
      <c r="R557" s="1" t="s">
        <v>940</v>
      </c>
      <c r="S557" s="8">
        <v>0.75</v>
      </c>
      <c r="T557" s="7" t="s">
        <v>739</v>
      </c>
      <c r="U557" s="1" t="s">
        <v>1836</v>
      </c>
      <c r="V557" s="8">
        <f>V533</f>
        <v>562</v>
      </c>
      <c r="W557" s="1" t="s">
        <v>739</v>
      </c>
      <c r="X557" s="8">
        <f>(S557*V557)</f>
        <v>421.5</v>
      </c>
      <c r="Y557" s="8">
        <v>0.75</v>
      </c>
      <c r="Z557" s="7" t="s">
        <v>739</v>
      </c>
      <c r="AA557" s="1" t="s">
        <v>1836</v>
      </c>
      <c r="AB557" s="8">
        <f>AB533</f>
        <v>562</v>
      </c>
      <c r="AC557" s="1" t="s">
        <v>739</v>
      </c>
      <c r="AD557" s="8">
        <f>(Y557*AB557)</f>
        <v>421.5</v>
      </c>
      <c r="AE557" s="52" t="str">
        <f t="shared" ref="AE557:AE626" si="69">AG557</f>
        <v>|</v>
      </c>
      <c r="AG557" s="1" t="s">
        <v>2175</v>
      </c>
    </row>
    <row r="558" spans="1:33" ht="24" customHeight="1">
      <c r="A558" s="220">
        <f t="shared" si="56"/>
        <v>372</v>
      </c>
      <c r="B558" s="221" t="s">
        <v>1090</v>
      </c>
      <c r="C558" s="545">
        <v>13.29</v>
      </c>
      <c r="D558" s="221" t="s">
        <v>835</v>
      </c>
      <c r="H558" s="1" t="s">
        <v>1691</v>
      </c>
      <c r="K558" s="8">
        <f>SUM(K553:K556)</f>
        <v>1045.82</v>
      </c>
      <c r="N558" s="1" t="s">
        <v>419</v>
      </c>
      <c r="O558" s="1" t="s">
        <v>420</v>
      </c>
      <c r="Q558" s="1" t="s">
        <v>419</v>
      </c>
      <c r="R558" s="8">
        <v>0</v>
      </c>
      <c r="S558"/>
      <c r="T558" s="7" t="s">
        <v>419</v>
      </c>
      <c r="U558" s="1" t="s">
        <v>420</v>
      </c>
      <c r="V558" s="8">
        <f>V534</f>
        <v>0</v>
      </c>
      <c r="W558" s="1" t="s">
        <v>419</v>
      </c>
      <c r="X558" s="8">
        <v>0</v>
      </c>
      <c r="Z558" s="7" t="s">
        <v>419</v>
      </c>
      <c r="AA558" s="1" t="s">
        <v>420</v>
      </c>
      <c r="AB558" s="8">
        <f>AB534</f>
        <v>0</v>
      </c>
      <c r="AC558" s="1" t="s">
        <v>419</v>
      </c>
      <c r="AD558" s="8">
        <v>0</v>
      </c>
      <c r="AE558" s="52" t="str">
        <f t="shared" si="69"/>
        <v>|</v>
      </c>
      <c r="AG558" s="1" t="s">
        <v>2175</v>
      </c>
    </row>
    <row r="559" spans="1:33" ht="24" customHeight="1">
      <c r="A559" s="220">
        <f t="shared" si="56"/>
        <v>373</v>
      </c>
      <c r="B559" s="221" t="s">
        <v>1091</v>
      </c>
      <c r="C559" s="545">
        <v>14.11</v>
      </c>
      <c r="D559" s="221" t="s">
        <v>835</v>
      </c>
      <c r="K559" s="5" t="s">
        <v>1530</v>
      </c>
      <c r="R559" s="5" t="s">
        <v>1530</v>
      </c>
      <c r="S559"/>
      <c r="T559" s="3"/>
      <c r="W559" s="11"/>
      <c r="X559" s="5" t="s">
        <v>1530</v>
      </c>
      <c r="Z559" s="3"/>
      <c r="AC559" s="11"/>
      <c r="AD559" s="5" t="s">
        <v>1530</v>
      </c>
      <c r="AE559" s="52" t="str">
        <f t="shared" si="69"/>
        <v>|</v>
      </c>
      <c r="AG559" s="1" t="s">
        <v>2175</v>
      </c>
    </row>
    <row r="560" spans="1:33" ht="24" customHeight="1">
      <c r="A560" s="220">
        <f t="shared" si="56"/>
        <v>374</v>
      </c>
      <c r="B560" s="221" t="s">
        <v>1092</v>
      </c>
      <c r="C560" s="545">
        <v>14.69</v>
      </c>
      <c r="D560" s="221" t="s">
        <v>835</v>
      </c>
      <c r="H560" s="1" t="s">
        <v>521</v>
      </c>
      <c r="K560" s="8">
        <f>(K558/0.743)</f>
        <v>1407.56</v>
      </c>
      <c r="O560" s="1" t="s">
        <v>1784</v>
      </c>
      <c r="R560" s="8">
        <f>SUM(R540:R558)</f>
        <v>4790.3</v>
      </c>
      <c r="S560"/>
      <c r="T560" s="3"/>
      <c r="U560" s="1" t="s">
        <v>1691</v>
      </c>
      <c r="W560" s="11"/>
      <c r="X560" s="8">
        <f>SUM(X555:X558)</f>
        <v>1048.98</v>
      </c>
      <c r="Z560" s="3"/>
      <c r="AA560" s="1" t="s">
        <v>1691</v>
      </c>
      <c r="AC560" s="11"/>
      <c r="AD560" s="8">
        <f>SUM(AD555:AD558)</f>
        <v>1065.0999999999999</v>
      </c>
      <c r="AE560" s="52" t="str">
        <f t="shared" si="69"/>
        <v>|</v>
      </c>
      <c r="AG560" s="1" t="s">
        <v>2175</v>
      </c>
    </row>
    <row r="561" spans="1:33" ht="24" customHeight="1">
      <c r="A561" s="220">
        <f t="shared" si="56"/>
        <v>375</v>
      </c>
      <c r="B561" s="221" t="s">
        <v>1798</v>
      </c>
      <c r="C561" s="223"/>
      <c r="D561" s="221" t="s">
        <v>940</v>
      </c>
      <c r="K561" s="5" t="s">
        <v>1980</v>
      </c>
      <c r="R561" s="5" t="s">
        <v>1530</v>
      </c>
      <c r="S561"/>
      <c r="T561" s="3"/>
      <c r="W561" s="11"/>
      <c r="X561" s="5" t="s">
        <v>1530</v>
      </c>
      <c r="Z561" s="3"/>
      <c r="AC561" s="11"/>
      <c r="AD561" s="5" t="s">
        <v>1530</v>
      </c>
      <c r="AE561" s="52" t="str">
        <f t="shared" si="69"/>
        <v>|</v>
      </c>
      <c r="AG561" s="1" t="s">
        <v>2175</v>
      </c>
    </row>
    <row r="562" spans="1:33" ht="24" customHeight="1">
      <c r="A562" s="220">
        <f t="shared" si="56"/>
        <v>376</v>
      </c>
      <c r="B562" s="221" t="s">
        <v>917</v>
      </c>
      <c r="C562" s="545">
        <v>10.3</v>
      </c>
      <c r="D562" s="221" t="s">
        <v>835</v>
      </c>
      <c r="H562" s="1" t="s">
        <v>361</v>
      </c>
      <c r="I562" s="8">
        <f>K560</f>
        <v>1407.56</v>
      </c>
      <c r="J562" s="1">
        <f>C22*0.03/0.743</f>
        <v>4.17</v>
      </c>
      <c r="K562" s="39">
        <f>I562+J562</f>
        <v>1411.73</v>
      </c>
      <c r="M562">
        <f>0.47*38.5</f>
        <v>18.100000000000001</v>
      </c>
      <c r="O562" s="1" t="s">
        <v>1490</v>
      </c>
      <c r="R562" s="8">
        <f>(R560/30)</f>
        <v>159.68</v>
      </c>
      <c r="S562"/>
      <c r="T562" s="3"/>
      <c r="U562" s="1" t="s">
        <v>3890</v>
      </c>
      <c r="W562" s="11"/>
      <c r="X562" s="39">
        <f>(X560/0.743)</f>
        <v>1411.82</v>
      </c>
      <c r="Z562" s="3"/>
      <c r="AA562" s="1" t="s">
        <v>3890</v>
      </c>
      <c r="AC562" s="11"/>
      <c r="AD562" s="39">
        <f>(AD560/0.743)</f>
        <v>1433.51</v>
      </c>
      <c r="AE562" s="52" t="str">
        <f t="shared" si="69"/>
        <v>|</v>
      </c>
      <c r="AG562" s="1" t="s">
        <v>2175</v>
      </c>
    </row>
    <row r="563" spans="1:33" ht="24" customHeight="1">
      <c r="A563" s="220">
        <f t="shared" si="56"/>
        <v>377</v>
      </c>
      <c r="B563" s="221" t="s">
        <v>713</v>
      </c>
      <c r="C563" s="545">
        <v>19.05</v>
      </c>
      <c r="D563" s="221" t="s">
        <v>835</v>
      </c>
      <c r="H563" s="1" t="s">
        <v>363</v>
      </c>
      <c r="I563" s="8">
        <f>K562</f>
        <v>1411.73</v>
      </c>
      <c r="J563" s="1">
        <f>C23*0.03/0.743</f>
        <v>8.2200000000000006</v>
      </c>
      <c r="K563" s="39">
        <f>I563+J563</f>
        <v>1419.95</v>
      </c>
      <c r="M563">
        <f>0.24*546</f>
        <v>131.04</v>
      </c>
      <c r="R563" s="5" t="s">
        <v>1530</v>
      </c>
      <c r="S563"/>
      <c r="T563" s="3"/>
      <c r="W563" s="11"/>
      <c r="X563" s="5" t="s">
        <v>1980</v>
      </c>
      <c r="Z563" s="3"/>
      <c r="AC563" s="11"/>
      <c r="AD563" s="5" t="s">
        <v>1980</v>
      </c>
      <c r="AE563" s="52" t="str">
        <f t="shared" si="69"/>
        <v>|</v>
      </c>
      <c r="AG563" s="1" t="s">
        <v>2175</v>
      </c>
    </row>
    <row r="564" spans="1:33" ht="24" customHeight="1">
      <c r="A564" s="220">
        <f t="shared" si="56"/>
        <v>378</v>
      </c>
      <c r="B564" s="221" t="s">
        <v>1609</v>
      </c>
      <c r="C564" s="545">
        <v>15.34</v>
      </c>
      <c r="D564" s="221" t="s">
        <v>835</v>
      </c>
      <c r="H564" s="1" t="s">
        <v>2149</v>
      </c>
      <c r="I564" s="8">
        <f>K563</f>
        <v>1419.95</v>
      </c>
      <c r="J564" s="1">
        <f>J563</f>
        <v>8.2200000000000006</v>
      </c>
      <c r="K564" s="39">
        <f>I564+J564</f>
        <v>1428.17</v>
      </c>
      <c r="M564">
        <f>0.24*143.6</f>
        <v>34.46</v>
      </c>
      <c r="N564" s="1" t="s">
        <v>2167</v>
      </c>
      <c r="O564" s="1" t="s">
        <v>1974</v>
      </c>
      <c r="S564"/>
      <c r="T564" s="3"/>
      <c r="U564" s="1" t="s">
        <v>361</v>
      </c>
      <c r="V564" s="8">
        <f>X562</f>
        <v>1411.82</v>
      </c>
      <c r="W564" s="1">
        <f>J562</f>
        <v>4.17</v>
      </c>
      <c r="X564" s="39">
        <f>V564+W564</f>
        <v>1415.99</v>
      </c>
      <c r="Z564" s="3"/>
      <c r="AA564" s="1" t="s">
        <v>361</v>
      </c>
      <c r="AB564" s="8">
        <f>AD562</f>
        <v>1433.51</v>
      </c>
      <c r="AC564" s="1">
        <f t="shared" ref="AC564:AC569" si="70">W564</f>
        <v>4.17</v>
      </c>
      <c r="AD564" s="39">
        <f t="shared" ref="AD564:AD569" si="71">AB564+AC564</f>
        <v>1437.68</v>
      </c>
      <c r="AE564" s="52" t="str">
        <f t="shared" si="69"/>
        <v>|</v>
      </c>
      <c r="AG564" s="1" t="s">
        <v>2175</v>
      </c>
    </row>
    <row r="565" spans="1:33" ht="24" customHeight="1">
      <c r="A565" s="220">
        <f t="shared" si="56"/>
        <v>379</v>
      </c>
      <c r="B565" s="221" t="s">
        <v>1799</v>
      </c>
      <c r="C565" s="545">
        <v>29.41</v>
      </c>
      <c r="D565" s="221" t="s">
        <v>835</v>
      </c>
      <c r="H565" s="1" t="s">
        <v>355</v>
      </c>
      <c r="I565" s="8">
        <f>K564</f>
        <v>1428.17</v>
      </c>
      <c r="J565" s="1">
        <f>J564</f>
        <v>8.2200000000000006</v>
      </c>
      <c r="K565" s="39">
        <f>I565+J565</f>
        <v>1436.39</v>
      </c>
      <c r="M565">
        <f>0.79*328.9</f>
        <v>259.83</v>
      </c>
      <c r="O565" s="1" t="s">
        <v>1800</v>
      </c>
      <c r="S565"/>
      <c r="T565" s="3"/>
      <c r="U565" s="1" t="s">
        <v>363</v>
      </c>
      <c r="V565" s="8">
        <f>X564</f>
        <v>1415.99</v>
      </c>
      <c r="W565" s="1">
        <f>J563</f>
        <v>8.2200000000000006</v>
      </c>
      <c r="X565" s="39">
        <f>V565+W565</f>
        <v>1424.21</v>
      </c>
      <c r="Z565" s="3"/>
      <c r="AA565" s="1" t="s">
        <v>363</v>
      </c>
      <c r="AB565" s="8">
        <f>AD564</f>
        <v>1437.68</v>
      </c>
      <c r="AC565" s="1">
        <f t="shared" si="70"/>
        <v>8.2200000000000006</v>
      </c>
      <c r="AD565" s="39">
        <f t="shared" si="71"/>
        <v>1445.9</v>
      </c>
      <c r="AE565" s="52" t="str">
        <f t="shared" si="69"/>
        <v>|</v>
      </c>
      <c r="AG565" s="1" t="s">
        <v>2175</v>
      </c>
    </row>
    <row r="566" spans="1:33" ht="24" customHeight="1">
      <c r="A566" s="223"/>
      <c r="B566" s="223"/>
      <c r="C566" s="623"/>
      <c r="D566" s="223"/>
      <c r="F566" s="1" t="s">
        <v>940</v>
      </c>
      <c r="H566" s="1" t="s">
        <v>363</v>
      </c>
      <c r="I566" s="8">
        <f>K565</f>
        <v>1436.39</v>
      </c>
      <c r="J566" s="1">
        <f>J565</f>
        <v>8.2200000000000006</v>
      </c>
      <c r="K566" s="39">
        <f>I566+J566</f>
        <v>1444.61</v>
      </c>
      <c r="M566">
        <f>SUM(M562:M565)</f>
        <v>443.43</v>
      </c>
      <c r="S566"/>
      <c r="T566" s="3"/>
      <c r="U566" s="1" t="s">
        <v>2149</v>
      </c>
      <c r="V566" s="8">
        <f>X565</f>
        <v>1424.21</v>
      </c>
      <c r="W566" s="1">
        <f>J564</f>
        <v>8.2200000000000006</v>
      </c>
      <c r="X566" s="39">
        <f>V566+W566</f>
        <v>1432.43</v>
      </c>
      <c r="Z566" s="3"/>
      <c r="AA566" s="1" t="s">
        <v>2149</v>
      </c>
      <c r="AB566" s="8">
        <f>AD565</f>
        <v>1445.9</v>
      </c>
      <c r="AC566" s="1">
        <f t="shared" si="70"/>
        <v>8.2200000000000006</v>
      </c>
      <c r="AD566" s="39">
        <f t="shared" si="71"/>
        <v>1454.12</v>
      </c>
      <c r="AE566" s="52" t="str">
        <f t="shared" si="69"/>
        <v>|</v>
      </c>
      <c r="AG566" s="1" t="s">
        <v>2175</v>
      </c>
    </row>
    <row r="567" spans="1:33" ht="15.75">
      <c r="A567" s="220">
        <f>(A565+1)</f>
        <v>380</v>
      </c>
      <c r="B567" s="221" t="s">
        <v>1091</v>
      </c>
      <c r="C567" s="545">
        <v>38.35</v>
      </c>
      <c r="D567" s="221" t="s">
        <v>835</v>
      </c>
      <c r="H567" s="1">
        <v>5</v>
      </c>
      <c r="I567" s="8">
        <f t="shared" ref="I567:I572" si="72">K566</f>
        <v>1444.61</v>
      </c>
      <c r="J567" s="1">
        <f t="shared" ref="J567:J574" si="73">J566</f>
        <v>8.2200000000000006</v>
      </c>
      <c r="K567" s="39">
        <f t="shared" ref="K567:K572" si="74">I567+J567</f>
        <v>1452.83</v>
      </c>
      <c r="O567" s="1" t="s">
        <v>151</v>
      </c>
      <c r="S567"/>
      <c r="T567" s="3"/>
      <c r="U567" s="1" t="s">
        <v>355</v>
      </c>
      <c r="V567" s="8">
        <f>X566</f>
        <v>1432.43</v>
      </c>
      <c r="W567" s="1">
        <f>J565</f>
        <v>8.2200000000000006</v>
      </c>
      <c r="X567" s="39">
        <f>V567+W567</f>
        <v>1440.65</v>
      </c>
      <c r="Z567" s="3"/>
      <c r="AA567" s="1" t="s">
        <v>355</v>
      </c>
      <c r="AB567" s="8">
        <f>AD566</f>
        <v>1454.12</v>
      </c>
      <c r="AC567" s="1">
        <f t="shared" si="70"/>
        <v>8.2200000000000006</v>
      </c>
      <c r="AD567" s="39">
        <f t="shared" si="71"/>
        <v>1462.34</v>
      </c>
      <c r="AE567" s="52" t="str">
        <f t="shared" si="69"/>
        <v>|</v>
      </c>
      <c r="AG567" s="1" t="s">
        <v>2175</v>
      </c>
    </row>
    <row r="568" spans="1:33" ht="15.75">
      <c r="A568" s="220"/>
      <c r="B568" s="221"/>
      <c r="C568" s="222"/>
      <c r="D568" s="221"/>
      <c r="H568" s="1">
        <v>6</v>
      </c>
      <c r="I568" s="8">
        <f t="shared" si="72"/>
        <v>1452.83</v>
      </c>
      <c r="J568" s="1">
        <f t="shared" si="73"/>
        <v>8.2200000000000006</v>
      </c>
      <c r="K568" s="39">
        <f t="shared" si="74"/>
        <v>1461.05</v>
      </c>
      <c r="O568" s="1"/>
      <c r="S568" s="1" t="s">
        <v>940</v>
      </c>
      <c r="T568" s="3"/>
      <c r="U568" s="1" t="s">
        <v>3906</v>
      </c>
      <c r="V568" s="8">
        <f>X567</f>
        <v>1440.65</v>
      </c>
      <c r="W568" s="1">
        <f>J566</f>
        <v>8.2200000000000006</v>
      </c>
      <c r="X568" s="39">
        <f>V568+W568</f>
        <v>1448.87</v>
      </c>
      <c r="AA568" s="1" t="s">
        <v>363</v>
      </c>
      <c r="AB568" s="8">
        <f>AD567</f>
        <v>1462.34</v>
      </c>
      <c r="AC568" s="1">
        <f t="shared" si="70"/>
        <v>8.2200000000000006</v>
      </c>
      <c r="AD568" s="39">
        <f t="shared" si="71"/>
        <v>1470.56</v>
      </c>
      <c r="AE568" s="52"/>
      <c r="AG568" s="1"/>
    </row>
    <row r="569" spans="1:33" ht="15.75">
      <c r="A569" s="220"/>
      <c r="B569" s="221"/>
      <c r="C569" s="222"/>
      <c r="D569" s="221"/>
      <c r="H569" s="1">
        <v>7</v>
      </c>
      <c r="I569" s="8">
        <f t="shared" si="72"/>
        <v>1461.05</v>
      </c>
      <c r="J569" s="1">
        <f t="shared" si="73"/>
        <v>8.2200000000000006</v>
      </c>
      <c r="K569" s="39">
        <f t="shared" si="74"/>
        <v>1469.27</v>
      </c>
      <c r="O569" s="1"/>
      <c r="AA569" s="1" t="s">
        <v>2149</v>
      </c>
      <c r="AB569" s="8">
        <f>AD568</f>
        <v>1470.56</v>
      </c>
      <c r="AC569" s="1">
        <f t="shared" si="70"/>
        <v>0</v>
      </c>
      <c r="AD569" s="39">
        <f t="shared" si="71"/>
        <v>1470.56</v>
      </c>
      <c r="AE569" s="52"/>
      <c r="AG569" s="1"/>
    </row>
    <row r="570" spans="1:33" ht="15.75">
      <c r="A570" s="220"/>
      <c r="B570" s="221"/>
      <c r="C570" s="222"/>
      <c r="D570" s="221"/>
      <c r="H570" s="1">
        <v>8</v>
      </c>
      <c r="I570" s="8">
        <f t="shared" si="72"/>
        <v>1469.27</v>
      </c>
      <c r="J570" s="1">
        <f t="shared" si="73"/>
        <v>8.2200000000000006</v>
      </c>
      <c r="K570" s="39">
        <f t="shared" si="74"/>
        <v>1477.49</v>
      </c>
      <c r="O570" s="1"/>
      <c r="AE570" s="52"/>
      <c r="AG570" s="1"/>
    </row>
    <row r="571" spans="1:33" ht="15.75">
      <c r="A571" s="220"/>
      <c r="B571" s="221"/>
      <c r="C571" s="222"/>
      <c r="D571" s="221"/>
      <c r="H571" s="1">
        <v>9</v>
      </c>
      <c r="I571" s="8">
        <f t="shared" si="72"/>
        <v>1477.49</v>
      </c>
      <c r="J571" s="1">
        <f t="shared" si="73"/>
        <v>8.2200000000000006</v>
      </c>
      <c r="K571" s="39">
        <f t="shared" si="74"/>
        <v>1485.71</v>
      </c>
      <c r="O571" s="1"/>
      <c r="AE571" s="52"/>
      <c r="AG571" s="1"/>
    </row>
    <row r="572" spans="1:33" ht="15.75">
      <c r="A572" s="220"/>
      <c r="B572" s="221"/>
      <c r="C572" s="222"/>
      <c r="D572" s="221"/>
      <c r="H572" s="1">
        <v>10</v>
      </c>
      <c r="I572" s="8">
        <f t="shared" si="72"/>
        <v>1485.71</v>
      </c>
      <c r="J572" s="1">
        <f t="shared" si="73"/>
        <v>8.2200000000000006</v>
      </c>
      <c r="K572" s="39">
        <f t="shared" si="74"/>
        <v>1493.93</v>
      </c>
      <c r="O572" s="1"/>
      <c r="AE572" s="52"/>
      <c r="AG572" s="1"/>
    </row>
    <row r="573" spans="1:33" ht="15.75">
      <c r="A573" s="220"/>
      <c r="B573" s="221"/>
      <c r="C573" s="222"/>
      <c r="D573" s="221"/>
      <c r="H573" s="1">
        <v>11</v>
      </c>
      <c r="I573" s="8">
        <f>K572</f>
        <v>1493.93</v>
      </c>
      <c r="J573" s="1">
        <f t="shared" si="73"/>
        <v>8.2200000000000006</v>
      </c>
      <c r="K573" s="39">
        <f>I573+J573</f>
        <v>1502.15</v>
      </c>
      <c r="O573" s="1"/>
      <c r="AE573" s="52"/>
      <c r="AG573" s="1"/>
    </row>
    <row r="574" spans="1:33" ht="15.75">
      <c r="A574" s="220"/>
      <c r="B574" s="221"/>
      <c r="C574" s="222"/>
      <c r="D574" s="221"/>
      <c r="H574" s="1">
        <v>12</v>
      </c>
      <c r="I574" s="8">
        <f>K573</f>
        <v>1502.15</v>
      </c>
      <c r="J574" s="1">
        <f t="shared" si="73"/>
        <v>8.2200000000000006</v>
      </c>
      <c r="K574" s="39">
        <f>I574+J574</f>
        <v>1510.37</v>
      </c>
      <c r="O574" s="1"/>
      <c r="AE574" s="52"/>
      <c r="AG574" s="1"/>
    </row>
    <row r="575" spans="1:33" ht="15.75">
      <c r="A575" s="220">
        <f>(A567+1)</f>
        <v>381</v>
      </c>
      <c r="B575" s="221" t="s">
        <v>1092</v>
      </c>
      <c r="C575" s="545">
        <v>37.96</v>
      </c>
      <c r="D575" s="221" t="s">
        <v>835</v>
      </c>
      <c r="F575" s="25"/>
      <c r="G575" s="7" t="s">
        <v>940</v>
      </c>
      <c r="H575" s="1" t="s">
        <v>131</v>
      </c>
      <c r="O575" s="5" t="s">
        <v>1530</v>
      </c>
      <c r="S575" s="21"/>
      <c r="T575" s="7" t="s">
        <v>940</v>
      </c>
      <c r="U575" s="1" t="s">
        <v>131</v>
      </c>
      <c r="W575" s="11"/>
      <c r="AA575" s="1" t="s">
        <v>355</v>
      </c>
      <c r="AB575" s="8">
        <f>AD574</f>
        <v>0</v>
      </c>
      <c r="AC575" s="1">
        <f>W575</f>
        <v>0</v>
      </c>
      <c r="AD575" s="39">
        <f>AB575+AC575</f>
        <v>0</v>
      </c>
      <c r="AE575" s="52" t="str">
        <f t="shared" si="69"/>
        <v>|</v>
      </c>
      <c r="AG575" s="1" t="s">
        <v>2175</v>
      </c>
    </row>
    <row r="576" spans="1:33" ht="24" customHeight="1">
      <c r="A576" s="220">
        <f t="shared" ref="A576:A590" si="75">(A575+1)</f>
        <v>382</v>
      </c>
      <c r="B576" s="221" t="s">
        <v>132</v>
      </c>
      <c r="C576" s="623"/>
      <c r="D576" s="221" t="s">
        <v>940</v>
      </c>
      <c r="H576" s="1" t="s">
        <v>1218</v>
      </c>
      <c r="T576" s="3"/>
      <c r="U576" s="1" t="s">
        <v>1218</v>
      </c>
      <c r="W576" s="11"/>
      <c r="AE576" s="52" t="str">
        <f t="shared" si="69"/>
        <v>|</v>
      </c>
      <c r="AG576" s="1" t="s">
        <v>2175</v>
      </c>
    </row>
    <row r="577" spans="1:33" ht="24" customHeight="1">
      <c r="A577" s="220">
        <f t="shared" si="75"/>
        <v>383</v>
      </c>
      <c r="B577" s="221" t="s">
        <v>917</v>
      </c>
      <c r="C577" s="545">
        <v>6.68</v>
      </c>
      <c r="D577" s="221" t="s">
        <v>835</v>
      </c>
      <c r="H577" s="1" t="s">
        <v>1219</v>
      </c>
      <c r="N577" s="1" t="s">
        <v>152</v>
      </c>
      <c r="O577" s="1" t="s">
        <v>989</v>
      </c>
      <c r="T577" s="3"/>
      <c r="U577" s="1" t="s">
        <v>1219</v>
      </c>
      <c r="W577" s="11"/>
      <c r="AE577" s="52" t="str">
        <f t="shared" si="69"/>
        <v>|</v>
      </c>
      <c r="AG577" s="1" t="s">
        <v>2175</v>
      </c>
    </row>
    <row r="578" spans="1:33" ht="24" customHeight="1">
      <c r="A578" s="220">
        <f t="shared" si="75"/>
        <v>384</v>
      </c>
      <c r="B578" s="221" t="s">
        <v>713</v>
      </c>
      <c r="C578" s="545">
        <v>9.4499999999999993</v>
      </c>
      <c r="D578" s="221" t="s">
        <v>835</v>
      </c>
      <c r="H578" s="1" t="s">
        <v>990</v>
      </c>
      <c r="O578" s="5" t="s">
        <v>1530</v>
      </c>
      <c r="T578" s="3"/>
      <c r="U578" s="1" t="s">
        <v>990</v>
      </c>
      <c r="W578" s="11"/>
      <c r="AE578" s="52" t="str">
        <f t="shared" si="69"/>
        <v>|</v>
      </c>
      <c r="AG578" s="1" t="s">
        <v>2175</v>
      </c>
    </row>
    <row r="579" spans="1:33" ht="24" customHeight="1">
      <c r="A579" s="220">
        <f t="shared" si="75"/>
        <v>385</v>
      </c>
      <c r="B579" s="221" t="s">
        <v>1609</v>
      </c>
      <c r="C579" s="545">
        <v>33.04</v>
      </c>
      <c r="D579" s="221" t="s">
        <v>835</v>
      </c>
      <c r="H579" s="1" t="s">
        <v>991</v>
      </c>
      <c r="M579" s="8">
        <v>8.1</v>
      </c>
      <c r="N579" s="1" t="s">
        <v>836</v>
      </c>
      <c r="O579" s="1" t="s">
        <v>586</v>
      </c>
      <c r="P579" s="8">
        <f>(C64)*2</f>
        <v>193.2</v>
      </c>
      <c r="Q579" s="1" t="s">
        <v>836</v>
      </c>
      <c r="R579" s="8">
        <f>(M579*P579)</f>
        <v>1564.92</v>
      </c>
      <c r="T579" s="3"/>
      <c r="U579" s="1" t="s">
        <v>991</v>
      </c>
      <c r="W579" s="11"/>
      <c r="AE579" s="52" t="str">
        <f t="shared" si="69"/>
        <v>|</v>
      </c>
      <c r="AG579" s="1" t="s">
        <v>2175</v>
      </c>
    </row>
    <row r="580" spans="1:33" ht="24" customHeight="1">
      <c r="A580" s="220">
        <f t="shared" si="75"/>
        <v>386</v>
      </c>
      <c r="B580" s="221" t="s">
        <v>1799</v>
      </c>
      <c r="C580" s="545">
        <v>33.04</v>
      </c>
      <c r="D580" s="221" t="s">
        <v>835</v>
      </c>
      <c r="H580" s="1" t="s">
        <v>1201</v>
      </c>
      <c r="M580" s="8">
        <v>8.1</v>
      </c>
      <c r="N580" s="1" t="s">
        <v>836</v>
      </c>
      <c r="O580" s="1" t="s">
        <v>2076</v>
      </c>
      <c r="P580" s="8">
        <f>(C26)</f>
        <v>33.6</v>
      </c>
      <c r="Q580" s="1" t="s">
        <v>836</v>
      </c>
      <c r="R580" s="8">
        <f>(M580*P580)</f>
        <v>272.16000000000003</v>
      </c>
      <c r="T580" s="3"/>
      <c r="U580" s="1" t="s">
        <v>1201</v>
      </c>
      <c r="W580" s="11"/>
      <c r="AE580" s="52" t="str">
        <f t="shared" si="69"/>
        <v>|</v>
      </c>
      <c r="AG580" s="1" t="s">
        <v>2175</v>
      </c>
    </row>
    <row r="581" spans="1:33" ht="24" customHeight="1">
      <c r="A581" s="220">
        <f t="shared" si="75"/>
        <v>387</v>
      </c>
      <c r="B581" s="221" t="s">
        <v>1202</v>
      </c>
      <c r="C581" s="545">
        <v>33.04</v>
      </c>
      <c r="D581" s="221" t="s">
        <v>835</v>
      </c>
      <c r="H581" s="1" t="s">
        <v>1107</v>
      </c>
      <c r="M581" s="8">
        <v>30</v>
      </c>
      <c r="N581" s="1" t="s">
        <v>1714</v>
      </c>
      <c r="O581" s="1" t="s">
        <v>2077</v>
      </c>
      <c r="P581" s="8">
        <f>(C664)</f>
        <v>9.1199999999999992</v>
      </c>
      <c r="Q581" s="1" t="s">
        <v>1714</v>
      </c>
      <c r="R581" s="8">
        <f>(M581*P581)</f>
        <v>273.60000000000002</v>
      </c>
      <c r="T581" s="3"/>
      <c r="U581" s="1" t="s">
        <v>1107</v>
      </c>
      <c r="W581" s="11"/>
      <c r="AE581" s="52" t="str">
        <f t="shared" si="69"/>
        <v>|</v>
      </c>
      <c r="AG581" s="1" t="s">
        <v>2175</v>
      </c>
    </row>
    <row r="582" spans="1:33" ht="24" customHeight="1">
      <c r="A582" s="220">
        <f t="shared" si="75"/>
        <v>388</v>
      </c>
      <c r="B582" s="221" t="s">
        <v>1203</v>
      </c>
      <c r="C582" s="545">
        <v>33.04</v>
      </c>
      <c r="D582" s="221" t="s">
        <v>835</v>
      </c>
      <c r="H582" s="5" t="s">
        <v>1530</v>
      </c>
      <c r="I582" s="5" t="s">
        <v>1530</v>
      </c>
      <c r="O582" s="1" t="s">
        <v>1204</v>
      </c>
      <c r="T582" s="3"/>
      <c r="U582" s="5" t="s">
        <v>1530</v>
      </c>
      <c r="V582" s="5" t="s">
        <v>1530</v>
      </c>
      <c r="W582" s="11"/>
      <c r="AE582" s="52" t="str">
        <f t="shared" si="69"/>
        <v>|</v>
      </c>
      <c r="AG582" s="1" t="s">
        <v>2175</v>
      </c>
    </row>
    <row r="583" spans="1:33" ht="24" customHeight="1">
      <c r="A583" s="220">
        <f t="shared" si="75"/>
        <v>389</v>
      </c>
      <c r="B583" s="221" t="s">
        <v>579</v>
      </c>
      <c r="C583" s="545">
        <v>538</v>
      </c>
      <c r="D583" s="221" t="s">
        <v>835</v>
      </c>
      <c r="G583" s="7" t="s">
        <v>657</v>
      </c>
      <c r="H583" s="1" t="s">
        <v>580</v>
      </c>
      <c r="O583" s="1" t="s">
        <v>2079</v>
      </c>
      <c r="T583" s="7" t="s">
        <v>657</v>
      </c>
      <c r="U583" s="1" t="s">
        <v>2082</v>
      </c>
      <c r="W583" s="11"/>
      <c r="AE583" s="52" t="str">
        <f t="shared" si="69"/>
        <v>|</v>
      </c>
      <c r="AG583" s="1" t="s">
        <v>2175</v>
      </c>
    </row>
    <row r="584" spans="1:33" ht="24" customHeight="1">
      <c r="A584" s="220">
        <f t="shared" si="75"/>
        <v>390</v>
      </c>
      <c r="B584" s="221" t="s">
        <v>2196</v>
      </c>
      <c r="C584" s="545">
        <v>340</v>
      </c>
      <c r="D584" s="221" t="s">
        <v>835</v>
      </c>
      <c r="H584" s="1" t="s">
        <v>2197</v>
      </c>
      <c r="O584" s="1" t="s">
        <v>2080</v>
      </c>
      <c r="T584" s="3"/>
      <c r="U584" s="1" t="s">
        <v>2197</v>
      </c>
      <c r="W584" s="11"/>
      <c r="AE584" s="52" t="str">
        <f t="shared" si="69"/>
        <v>|</v>
      </c>
      <c r="AG584" s="1" t="s">
        <v>2175</v>
      </c>
    </row>
    <row r="585" spans="1:33" ht="24" customHeight="1">
      <c r="A585" s="220">
        <f t="shared" si="75"/>
        <v>391</v>
      </c>
      <c r="B585" s="221" t="s">
        <v>2198</v>
      </c>
      <c r="C585" s="545">
        <v>1039</v>
      </c>
      <c r="D585" s="221" t="s">
        <v>835</v>
      </c>
      <c r="F585" s="8">
        <v>10</v>
      </c>
      <c r="G585" s="7" t="s">
        <v>2199</v>
      </c>
      <c r="H585" s="1" t="s">
        <v>527</v>
      </c>
      <c r="I585" s="64">
        <f>C754</f>
        <v>373</v>
      </c>
      <c r="J585" s="1" t="s">
        <v>2199</v>
      </c>
      <c r="K585" s="8">
        <f>(F585*I585)</f>
        <v>3730</v>
      </c>
      <c r="O585" s="1" t="s">
        <v>2083</v>
      </c>
      <c r="S585" s="13">
        <v>10</v>
      </c>
      <c r="T585" s="7" t="s">
        <v>2199</v>
      </c>
      <c r="U585" s="1" t="s">
        <v>527</v>
      </c>
      <c r="V585" s="64">
        <f>I607</f>
        <v>404</v>
      </c>
      <c r="W585" s="1" t="s">
        <v>2199</v>
      </c>
      <c r="X585" s="8">
        <f>(S585*V585)</f>
        <v>4040</v>
      </c>
      <c r="AE585" s="52" t="str">
        <f t="shared" si="69"/>
        <v>|</v>
      </c>
      <c r="AG585" s="1" t="s">
        <v>2175</v>
      </c>
    </row>
    <row r="586" spans="1:33" ht="24" customHeight="1">
      <c r="A586" s="220">
        <f t="shared" si="75"/>
        <v>392</v>
      </c>
      <c r="B586" s="221" t="s">
        <v>4711</v>
      </c>
      <c r="C586" s="423">
        <v>228</v>
      </c>
      <c r="D586" s="221" t="s">
        <v>835</v>
      </c>
      <c r="F586" s="8">
        <v>1</v>
      </c>
      <c r="G586" s="7" t="s">
        <v>529</v>
      </c>
      <c r="H586" s="1" t="s">
        <v>530</v>
      </c>
      <c r="I586" s="8">
        <f>C10</f>
        <v>861</v>
      </c>
      <c r="J586" s="1" t="s">
        <v>1341</v>
      </c>
      <c r="K586" s="8">
        <f>(F586*I586)</f>
        <v>861</v>
      </c>
      <c r="M586" s="8">
        <v>8</v>
      </c>
      <c r="N586" s="1" t="s">
        <v>739</v>
      </c>
      <c r="O586" s="1" t="s">
        <v>2062</v>
      </c>
      <c r="P586" s="8">
        <v>10.199999999999999</v>
      </c>
      <c r="Q586" s="1" t="s">
        <v>739</v>
      </c>
      <c r="R586" s="8">
        <f>(M586*P586)</f>
        <v>81.599999999999994</v>
      </c>
      <c r="S586" s="13">
        <v>1</v>
      </c>
      <c r="T586" s="7" t="s">
        <v>529</v>
      </c>
      <c r="U586" s="1" t="s">
        <v>530</v>
      </c>
      <c r="V586" s="8">
        <f>I586</f>
        <v>861</v>
      </c>
      <c r="W586" s="1" t="s">
        <v>1341</v>
      </c>
      <c r="X586" s="8">
        <f>(S586*V586)</f>
        <v>861</v>
      </c>
      <c r="AE586" s="52" t="str">
        <f t="shared" si="69"/>
        <v>|</v>
      </c>
      <c r="AG586" s="1" t="s">
        <v>2175</v>
      </c>
    </row>
    <row r="587" spans="1:33" ht="24" customHeight="1">
      <c r="A587" s="220">
        <f t="shared" si="75"/>
        <v>393</v>
      </c>
      <c r="B587" s="221" t="s">
        <v>791</v>
      </c>
      <c r="C587" s="545">
        <v>31</v>
      </c>
      <c r="D587" s="221" t="s">
        <v>1113</v>
      </c>
      <c r="F587" s="8">
        <v>1</v>
      </c>
      <c r="G587" s="7" t="s">
        <v>529</v>
      </c>
      <c r="H587" s="1" t="s">
        <v>792</v>
      </c>
      <c r="I587" s="8">
        <f>C12</f>
        <v>562</v>
      </c>
      <c r="J587" s="1" t="s">
        <v>1341</v>
      </c>
      <c r="K587" s="8">
        <f>(F587*I587)</f>
        <v>562</v>
      </c>
      <c r="M587" s="8">
        <v>8</v>
      </c>
      <c r="N587" s="1" t="s">
        <v>739</v>
      </c>
      <c r="O587" s="1" t="s">
        <v>437</v>
      </c>
      <c r="P587" s="8">
        <v>28.5</v>
      </c>
      <c r="Q587" s="1" t="s">
        <v>739</v>
      </c>
      <c r="R587" s="8">
        <f>(M587*P587)</f>
        <v>228</v>
      </c>
      <c r="S587" s="13">
        <v>1</v>
      </c>
      <c r="T587" s="7" t="s">
        <v>529</v>
      </c>
      <c r="U587" s="1" t="s">
        <v>792</v>
      </c>
      <c r="V587" s="8">
        <f>I587</f>
        <v>562</v>
      </c>
      <c r="W587" s="1" t="s">
        <v>1341</v>
      </c>
      <c r="X587" s="8">
        <f>(S587*V587)</f>
        <v>562</v>
      </c>
      <c r="AE587" s="52" t="str">
        <f t="shared" si="69"/>
        <v>|</v>
      </c>
      <c r="AG587" s="1" t="s">
        <v>2175</v>
      </c>
    </row>
    <row r="588" spans="1:33" ht="24" customHeight="1">
      <c r="A588" s="220">
        <f t="shared" si="75"/>
        <v>394</v>
      </c>
      <c r="B588" s="1" t="s">
        <v>4712</v>
      </c>
      <c r="C588" s="423">
        <v>204</v>
      </c>
      <c r="D588" s="221" t="s">
        <v>835</v>
      </c>
      <c r="G588" s="7" t="s">
        <v>419</v>
      </c>
      <c r="H588" s="1" t="s">
        <v>58</v>
      </c>
      <c r="J588" s="1" t="s">
        <v>419</v>
      </c>
      <c r="K588" s="8">
        <v>120</v>
      </c>
      <c r="M588" s="8">
        <v>1</v>
      </c>
      <c r="N588" s="1" t="s">
        <v>419</v>
      </c>
      <c r="O588" s="1" t="s">
        <v>1630</v>
      </c>
      <c r="P588" s="8">
        <f>(C676)</f>
        <v>4</v>
      </c>
      <c r="Q588" s="1" t="s">
        <v>419</v>
      </c>
      <c r="R588" s="8">
        <f>(M588*P588)</f>
        <v>4</v>
      </c>
      <c r="T588" s="7" t="s">
        <v>419</v>
      </c>
      <c r="U588" s="1" t="s">
        <v>58</v>
      </c>
      <c r="V588" s="8">
        <f>I588</f>
        <v>0</v>
      </c>
      <c r="W588" s="1" t="s">
        <v>419</v>
      </c>
      <c r="X588" s="8">
        <v>120</v>
      </c>
      <c r="AE588" s="52" t="str">
        <f t="shared" si="69"/>
        <v>|</v>
      </c>
      <c r="AG588" s="1" t="s">
        <v>2175</v>
      </c>
    </row>
    <row r="589" spans="1:33" ht="24" customHeight="1">
      <c r="A589" s="220">
        <f t="shared" si="75"/>
        <v>395</v>
      </c>
      <c r="B589" s="221" t="s">
        <v>59</v>
      </c>
      <c r="C589" s="423">
        <v>89</v>
      </c>
      <c r="D589" s="221" t="s">
        <v>835</v>
      </c>
      <c r="H589" s="1" t="s">
        <v>894</v>
      </c>
      <c r="K589" s="5" t="s">
        <v>1530</v>
      </c>
      <c r="M589" s="8">
        <v>1</v>
      </c>
      <c r="N589" s="1" t="s">
        <v>419</v>
      </c>
      <c r="O589" s="1" t="s">
        <v>420</v>
      </c>
      <c r="Q589" s="1" t="s">
        <v>419</v>
      </c>
      <c r="R589" s="8">
        <v>0</v>
      </c>
      <c r="T589" s="3"/>
      <c r="U589" s="1" t="s">
        <v>894</v>
      </c>
      <c r="W589" s="11"/>
      <c r="X589" s="5" t="s">
        <v>1530</v>
      </c>
      <c r="AE589" s="52">
        <f t="shared" si="69"/>
        <v>0</v>
      </c>
    </row>
    <row r="590" spans="1:33" ht="24" customHeight="1">
      <c r="A590" s="220">
        <f t="shared" si="75"/>
        <v>396</v>
      </c>
      <c r="B590" s="221" t="s">
        <v>1021</v>
      </c>
      <c r="C590" s="545">
        <v>57.51</v>
      </c>
      <c r="D590" s="221" t="s">
        <v>835</v>
      </c>
      <c r="H590" s="2" t="s">
        <v>1022</v>
      </c>
      <c r="K590" s="8">
        <f>SUM(K585:K588)</f>
        <v>5273</v>
      </c>
      <c r="R590" s="5" t="s">
        <v>1530</v>
      </c>
      <c r="T590" s="3"/>
      <c r="U590" s="2" t="s">
        <v>1022</v>
      </c>
      <c r="W590" s="11"/>
      <c r="X590" s="8">
        <f>SUM(X585:X588)</f>
        <v>5583</v>
      </c>
      <c r="AE590" s="52" t="str">
        <f t="shared" si="69"/>
        <v>|</v>
      </c>
      <c r="AG590" s="1" t="s">
        <v>2175</v>
      </c>
    </row>
    <row r="591" spans="1:33" ht="24" customHeight="1">
      <c r="A591" s="220">
        <f>(A590+1)</f>
        <v>397</v>
      </c>
      <c r="B591" s="221" t="s">
        <v>880</v>
      </c>
      <c r="C591" s="545">
        <v>30</v>
      </c>
      <c r="D591" s="221" t="s">
        <v>835</v>
      </c>
      <c r="K591" s="5" t="s">
        <v>1530</v>
      </c>
      <c r="O591" s="1" t="s">
        <v>1489</v>
      </c>
      <c r="R591" s="8">
        <f>SUM(R579:R589)</f>
        <v>2424.2800000000002</v>
      </c>
      <c r="T591" s="3"/>
      <c r="W591" s="11"/>
      <c r="X591" s="5" t="s">
        <v>1530</v>
      </c>
      <c r="AE591" s="52" t="str">
        <f t="shared" si="69"/>
        <v>|</v>
      </c>
      <c r="AG591" s="1" t="s">
        <v>2175</v>
      </c>
    </row>
    <row r="592" spans="1:33" ht="24" customHeight="1">
      <c r="A592" s="220">
        <f t="shared" ref="A592:A639" si="76">(A591+1)</f>
        <v>398</v>
      </c>
      <c r="B592" s="221" t="s">
        <v>467</v>
      </c>
      <c r="C592" s="545">
        <v>57.51</v>
      </c>
      <c r="D592" s="221" t="s">
        <v>835</v>
      </c>
      <c r="H592" s="2" t="s">
        <v>468</v>
      </c>
      <c r="K592" s="8">
        <f>K590/10</f>
        <v>527.29999999999995</v>
      </c>
      <c r="R592" s="5" t="s">
        <v>1530</v>
      </c>
      <c r="T592" s="3"/>
      <c r="U592" s="2" t="s">
        <v>468</v>
      </c>
      <c r="W592" s="11"/>
      <c r="X592" s="8">
        <f>X590/10</f>
        <v>558.29999999999995</v>
      </c>
      <c r="AE592" s="52" t="str">
        <f t="shared" si="69"/>
        <v>|</v>
      </c>
      <c r="AG592" s="1" t="s">
        <v>2175</v>
      </c>
    </row>
    <row r="593" spans="1:33" ht="24" customHeight="1">
      <c r="A593" s="220">
        <f t="shared" si="76"/>
        <v>399</v>
      </c>
      <c r="B593" s="221" t="s">
        <v>1842</v>
      </c>
      <c r="C593" s="545">
        <v>20</v>
      </c>
      <c r="D593" s="221" t="s">
        <v>835</v>
      </c>
      <c r="H593" s="1" t="s">
        <v>361</v>
      </c>
      <c r="I593" s="8">
        <f t="shared" ref="I593:I602" si="77">K592</f>
        <v>527.29999999999995</v>
      </c>
      <c r="J593" s="1">
        <f>C22*0.02</f>
        <v>2.0699999999999998</v>
      </c>
      <c r="K593" s="39">
        <f>I593+J593</f>
        <v>529.37</v>
      </c>
      <c r="O593" s="1" t="s">
        <v>1490</v>
      </c>
      <c r="R593" s="8">
        <f>(R591/30)</f>
        <v>80.81</v>
      </c>
      <c r="T593" s="3"/>
      <c r="U593" s="1" t="s">
        <v>361</v>
      </c>
      <c r="V593" s="8">
        <f>J615</f>
        <v>4.13</v>
      </c>
      <c r="W593" s="1">
        <f>P22*0.02</f>
        <v>28.02</v>
      </c>
      <c r="X593" s="39">
        <f>X592+V593</f>
        <v>562.42999999999995</v>
      </c>
      <c r="Y593">
        <f>X598+V597</f>
        <v>611.27</v>
      </c>
      <c r="AE593" s="52" t="str">
        <f t="shared" si="69"/>
        <v>|</v>
      </c>
      <c r="AG593" s="1" t="s">
        <v>2175</v>
      </c>
    </row>
    <row r="594" spans="1:33" ht="24" customHeight="1">
      <c r="A594" s="220">
        <f t="shared" si="76"/>
        <v>400</v>
      </c>
      <c r="B594" s="221" t="s">
        <v>1843</v>
      </c>
      <c r="C594" s="545">
        <v>21.92</v>
      </c>
      <c r="D594" s="221" t="s">
        <v>835</v>
      </c>
      <c r="H594" s="1" t="s">
        <v>363</v>
      </c>
      <c r="I594" s="8">
        <f t="shared" si="77"/>
        <v>529.37</v>
      </c>
      <c r="J594" s="1">
        <f>C23*0.02</f>
        <v>4.07</v>
      </c>
      <c r="K594" s="39">
        <f>I594+J594</f>
        <v>533.44000000000005</v>
      </c>
      <c r="N594" s="1" t="s">
        <v>2167</v>
      </c>
      <c r="O594" s="1" t="s">
        <v>1844</v>
      </c>
      <c r="T594" s="3"/>
      <c r="U594" s="1" t="s">
        <v>363</v>
      </c>
      <c r="V594" s="8">
        <f>J616</f>
        <v>8.14</v>
      </c>
      <c r="W594" s="1">
        <f>P23*0.02</f>
        <v>19.48</v>
      </c>
      <c r="X594" s="39">
        <f>X593+V594</f>
        <v>570.57000000000005</v>
      </c>
      <c r="Y594">
        <f>Y593+V597</f>
        <v>619.41</v>
      </c>
      <c r="AE594" s="52" t="str">
        <f t="shared" si="69"/>
        <v>|</v>
      </c>
      <c r="AG594" s="1" t="s">
        <v>2175</v>
      </c>
    </row>
    <row r="595" spans="1:33" ht="24" customHeight="1">
      <c r="A595" s="220">
        <f t="shared" si="76"/>
        <v>401</v>
      </c>
      <c r="B595" s="221" t="s">
        <v>223</v>
      </c>
      <c r="C595" s="423">
        <v>67.2</v>
      </c>
      <c r="D595" s="221" t="s">
        <v>835</v>
      </c>
      <c r="H595" s="1" t="s">
        <v>2149</v>
      </c>
      <c r="I595" s="8">
        <f t="shared" si="77"/>
        <v>533.44000000000005</v>
      </c>
      <c r="J595" s="1">
        <f>C23*0.02</f>
        <v>4.07</v>
      </c>
      <c r="K595" s="39">
        <f>I595+J595</f>
        <v>537.51</v>
      </c>
      <c r="O595" s="1" t="s">
        <v>224</v>
      </c>
      <c r="T595" s="3"/>
      <c r="U595" s="1" t="s">
        <v>2149</v>
      </c>
      <c r="V595" s="8">
        <f>J617</f>
        <v>8.14</v>
      </c>
      <c r="W595" s="1">
        <f>P23*0.02</f>
        <v>19.48</v>
      </c>
      <c r="X595" s="39">
        <f>X594+V595</f>
        <v>578.71</v>
      </c>
      <c r="Y595">
        <f>Y594+V597</f>
        <v>627.54999999999995</v>
      </c>
      <c r="AE595" s="52" t="str">
        <f t="shared" si="69"/>
        <v>|</v>
      </c>
      <c r="AG595" s="1" t="s">
        <v>2175</v>
      </c>
    </row>
    <row r="596" spans="1:33" ht="24" customHeight="1">
      <c r="A596" s="220">
        <f t="shared" si="76"/>
        <v>402</v>
      </c>
      <c r="B596" s="221" t="s">
        <v>4163</v>
      </c>
      <c r="C596" s="423">
        <v>948</v>
      </c>
      <c r="D596" s="221" t="s">
        <v>835</v>
      </c>
      <c r="H596" s="1" t="s">
        <v>355</v>
      </c>
      <c r="I596" s="8">
        <f t="shared" si="77"/>
        <v>537.51</v>
      </c>
      <c r="J596" s="1">
        <f>C23*0.02</f>
        <v>4.07</v>
      </c>
      <c r="K596" s="39">
        <f>I596+J596</f>
        <v>541.58000000000004</v>
      </c>
      <c r="O596" s="5" t="s">
        <v>1530</v>
      </c>
      <c r="T596" s="3"/>
      <c r="U596" s="1" t="s">
        <v>355</v>
      </c>
      <c r="V596" s="8">
        <f>J618</f>
        <v>8.14</v>
      </c>
      <c r="W596" s="1">
        <f>P23*0.02</f>
        <v>19.48</v>
      </c>
      <c r="X596" s="39">
        <f>X595+V596</f>
        <v>586.85</v>
      </c>
      <c r="Y596">
        <f>Y595+V597</f>
        <v>635.69000000000005</v>
      </c>
      <c r="AE596" s="52" t="str">
        <f t="shared" si="69"/>
        <v>|</v>
      </c>
      <c r="AG596" s="1" t="s">
        <v>2175</v>
      </c>
    </row>
    <row r="597" spans="1:33" ht="24" customHeight="1">
      <c r="A597" s="220"/>
      <c r="B597" s="221"/>
      <c r="C597" s="222"/>
      <c r="D597" s="221"/>
      <c r="H597" s="1" t="s">
        <v>1312</v>
      </c>
      <c r="I597" s="8">
        <f t="shared" si="77"/>
        <v>541.58000000000004</v>
      </c>
      <c r="J597" s="1">
        <f>C23*0.02</f>
        <v>4.07</v>
      </c>
      <c r="K597" s="39">
        <f t="shared" ref="K597:K602" si="78">I597+J597</f>
        <v>545.65</v>
      </c>
      <c r="O597" s="5"/>
      <c r="T597" s="3"/>
      <c r="U597" s="1" t="s">
        <v>1312</v>
      </c>
      <c r="V597" s="8">
        <f>J619</f>
        <v>8.14</v>
      </c>
      <c r="W597" s="1">
        <f>P23*0.02</f>
        <v>19.48</v>
      </c>
      <c r="X597" s="39">
        <f>X596+V597</f>
        <v>594.99</v>
      </c>
      <c r="Y597">
        <f>Y596+V597</f>
        <v>643.83000000000004</v>
      </c>
      <c r="AE597" s="52" t="str">
        <f t="shared" si="69"/>
        <v>|::</v>
      </c>
      <c r="AG597" s="1" t="s">
        <v>300</v>
      </c>
    </row>
    <row r="598" spans="1:33" ht="24" customHeight="1">
      <c r="A598" s="220">
        <f>(A596+1)</f>
        <v>403</v>
      </c>
      <c r="B598" s="221" t="s">
        <v>511</v>
      </c>
      <c r="C598" s="545">
        <v>21</v>
      </c>
      <c r="D598" s="221" t="s">
        <v>835</v>
      </c>
      <c r="H598" s="1" t="s">
        <v>3508</v>
      </c>
      <c r="I598" s="8">
        <f t="shared" si="77"/>
        <v>545.65</v>
      </c>
      <c r="J598" s="1">
        <f>C23*0.02</f>
        <v>4.07</v>
      </c>
      <c r="K598" s="39">
        <f t="shared" si="78"/>
        <v>549.72</v>
      </c>
      <c r="M598" s="8">
        <v>1.08</v>
      </c>
      <c r="N598" s="1" t="s">
        <v>836</v>
      </c>
      <c r="O598" s="1" t="s">
        <v>757</v>
      </c>
      <c r="P598" s="8">
        <f>(K91)</f>
        <v>204.4</v>
      </c>
      <c r="Q598" s="1" t="s">
        <v>836</v>
      </c>
      <c r="R598" s="8">
        <f>(M598*P598)</f>
        <v>220.75</v>
      </c>
      <c r="S598" s="21">
        <v>15.2</v>
      </c>
      <c r="T598" s="7" t="s">
        <v>657</v>
      </c>
      <c r="U598" s="1" t="s">
        <v>756</v>
      </c>
      <c r="W598" s="11"/>
      <c r="X598" s="39">
        <f>X597+V597</f>
        <v>603.13</v>
      </c>
      <c r="AE598" s="52">
        <f t="shared" si="69"/>
        <v>0</v>
      </c>
    </row>
    <row r="599" spans="1:33" ht="24" customHeight="1">
      <c r="A599" s="220">
        <f t="shared" si="76"/>
        <v>404</v>
      </c>
      <c r="B599" s="221" t="s">
        <v>758</v>
      </c>
      <c r="C599" s="545">
        <v>150</v>
      </c>
      <c r="D599" s="221" t="s">
        <v>835</v>
      </c>
      <c r="H599" s="1" t="s">
        <v>3509</v>
      </c>
      <c r="I599" s="8">
        <f t="shared" si="77"/>
        <v>549.72</v>
      </c>
      <c r="J599" s="1">
        <f>C23*0.02</f>
        <v>4.07</v>
      </c>
      <c r="K599" s="39">
        <f t="shared" si="78"/>
        <v>553.79</v>
      </c>
      <c r="M599" s="13">
        <v>0.216</v>
      </c>
      <c r="N599" s="1" t="s">
        <v>836</v>
      </c>
      <c r="O599" s="1" t="s">
        <v>759</v>
      </c>
      <c r="P599" s="8">
        <f>(R50)</f>
        <v>3587.43</v>
      </c>
      <c r="Q599" s="1" t="s">
        <v>836</v>
      </c>
      <c r="R599" s="8">
        <f>(M599*P599)</f>
        <v>774.88</v>
      </c>
      <c r="AE599" s="52">
        <f t="shared" si="69"/>
        <v>0</v>
      </c>
    </row>
    <row r="600" spans="1:33" ht="24" customHeight="1">
      <c r="A600" s="220">
        <f t="shared" si="76"/>
        <v>405</v>
      </c>
      <c r="B600" s="221" t="s">
        <v>4493</v>
      </c>
      <c r="C600" s="423">
        <v>21.4</v>
      </c>
      <c r="D600" s="221" t="s">
        <v>835</v>
      </c>
      <c r="H600" s="1" t="s">
        <v>3510</v>
      </c>
      <c r="I600" s="8">
        <f t="shared" si="77"/>
        <v>553.79</v>
      </c>
      <c r="J600" s="1">
        <f>C23*0.02</f>
        <v>4.07</v>
      </c>
      <c r="K600" s="39">
        <f t="shared" si="78"/>
        <v>557.86</v>
      </c>
      <c r="M600" s="13">
        <v>0.48699999999999999</v>
      </c>
      <c r="N600" s="1" t="s">
        <v>836</v>
      </c>
      <c r="O600" s="1" t="s">
        <v>1907</v>
      </c>
      <c r="P600" s="8">
        <f>AG324</f>
        <v>5984.51</v>
      </c>
      <c r="Q600" s="1" t="s">
        <v>836</v>
      </c>
      <c r="R600" s="8">
        <f>(M600*P600)</f>
        <v>2914.46</v>
      </c>
      <c r="AE600" s="52" t="str">
        <f t="shared" si="69"/>
        <v>|</v>
      </c>
      <c r="AG600" s="1" t="s">
        <v>2175</v>
      </c>
    </row>
    <row r="601" spans="1:33" ht="24" customHeight="1">
      <c r="A601" s="220">
        <f t="shared" si="76"/>
        <v>406</v>
      </c>
      <c r="B601" s="221" t="s">
        <v>4494</v>
      </c>
      <c r="C601" s="423">
        <v>53.4</v>
      </c>
      <c r="D601" s="423">
        <v>45.9</v>
      </c>
      <c r="E601" t="s">
        <v>4851</v>
      </c>
      <c r="H601" s="1" t="s">
        <v>3511</v>
      </c>
      <c r="I601" s="8">
        <f t="shared" si="77"/>
        <v>557.86</v>
      </c>
      <c r="J601" s="1">
        <f>C23*0.02</f>
        <v>4.07</v>
      </c>
      <c r="K601" s="39">
        <f t="shared" si="78"/>
        <v>561.92999999999995</v>
      </c>
      <c r="M601" s="13">
        <v>5.36</v>
      </c>
      <c r="N601" s="1" t="s">
        <v>578</v>
      </c>
      <c r="O601" s="1" t="s">
        <v>1908</v>
      </c>
      <c r="P601" s="8">
        <f>(R307)</f>
        <v>234.58</v>
      </c>
      <c r="Q601" s="1" t="s">
        <v>578</v>
      </c>
      <c r="R601" s="8">
        <f>(M601*P601)</f>
        <v>1257.3499999999999</v>
      </c>
      <c r="AE601" s="52" t="str">
        <f t="shared" si="69"/>
        <v>|</v>
      </c>
      <c r="AG601" s="1" t="s">
        <v>2175</v>
      </c>
    </row>
    <row r="602" spans="1:33" ht="24" customHeight="1">
      <c r="A602" s="220">
        <f t="shared" si="76"/>
        <v>407</v>
      </c>
      <c r="B602" s="221" t="s">
        <v>393</v>
      </c>
      <c r="C602" s="545">
        <v>208.5</v>
      </c>
      <c r="D602" s="221" t="s">
        <v>835</v>
      </c>
      <c r="H602" s="1">
        <v>9</v>
      </c>
      <c r="I602" s="8">
        <f t="shared" si="77"/>
        <v>561.92999999999995</v>
      </c>
      <c r="J602" s="1">
        <f>C23*0.02</f>
        <v>4.07</v>
      </c>
      <c r="K602" s="39">
        <f t="shared" si="78"/>
        <v>566</v>
      </c>
      <c r="M602" s="13">
        <v>3.2000000000000001E-2</v>
      </c>
      <c r="N602" s="1" t="s">
        <v>836</v>
      </c>
      <c r="O602" s="1" t="s">
        <v>749</v>
      </c>
      <c r="P602" s="8">
        <f>(K646)</f>
        <v>7194</v>
      </c>
      <c r="Q602" s="1" t="s">
        <v>836</v>
      </c>
      <c r="R602" s="8">
        <f>(M602*P602)</f>
        <v>230.21</v>
      </c>
      <c r="AE602" s="52" t="str">
        <f t="shared" si="69"/>
        <v>|</v>
      </c>
      <c r="AG602" s="1" t="s">
        <v>2175</v>
      </c>
    </row>
    <row r="603" spans="1:33" ht="24" customHeight="1">
      <c r="A603" s="220">
        <f t="shared" si="76"/>
        <v>408</v>
      </c>
      <c r="B603" s="620" t="s">
        <v>1968</v>
      </c>
      <c r="C603" s="735">
        <v>172</v>
      </c>
      <c r="D603" s="221" t="s">
        <v>835</v>
      </c>
      <c r="H603" s="1"/>
      <c r="I603" s="8"/>
      <c r="J603" s="1"/>
      <c r="K603" s="39"/>
      <c r="O603" s="1" t="s">
        <v>270</v>
      </c>
      <c r="R603" s="1" t="s">
        <v>940</v>
      </c>
      <c r="AE603" s="52" t="str">
        <f t="shared" si="69"/>
        <v>|</v>
      </c>
      <c r="AG603" s="1" t="s">
        <v>2175</v>
      </c>
    </row>
    <row r="604" spans="1:33" ht="47.25" customHeight="1">
      <c r="A604" s="220">
        <f t="shared" si="76"/>
        <v>409</v>
      </c>
      <c r="B604" s="910" t="s">
        <v>4713</v>
      </c>
      <c r="C604" s="441">
        <f>ROUND(33.8/0.093025,2)</f>
        <v>363.34</v>
      </c>
      <c r="D604" s="221" t="s">
        <v>578</v>
      </c>
      <c r="H604" s="1"/>
      <c r="I604" s="8"/>
      <c r="J604" s="1"/>
      <c r="K604" s="39"/>
      <c r="N604" s="1" t="s">
        <v>419</v>
      </c>
      <c r="O604" s="1" t="s">
        <v>319</v>
      </c>
      <c r="Q604" s="1" t="s">
        <v>419</v>
      </c>
      <c r="R604" s="8">
        <v>2.66</v>
      </c>
      <c r="AE604" s="52" t="str">
        <f t="shared" si="69"/>
        <v>|</v>
      </c>
      <c r="AG604" s="1" t="s">
        <v>2175</v>
      </c>
    </row>
    <row r="605" spans="1:33" ht="63">
      <c r="A605" s="220">
        <f t="shared" si="76"/>
        <v>410</v>
      </c>
      <c r="B605" s="897" t="s">
        <v>4714</v>
      </c>
      <c r="C605" s="423">
        <f>8/0.02</f>
        <v>400</v>
      </c>
      <c r="D605" s="221" t="s">
        <v>578</v>
      </c>
      <c r="E605" s="1">
        <f>7.7/0.02</f>
        <v>385</v>
      </c>
      <c r="F605" s="25">
        <v>15.2</v>
      </c>
      <c r="G605" s="7" t="s">
        <v>657</v>
      </c>
      <c r="H605" s="1" t="s">
        <v>756</v>
      </c>
      <c r="K605" s="528">
        <f>K597+J597</f>
        <v>549.72</v>
      </c>
      <c r="R605" s="5" t="s">
        <v>1530</v>
      </c>
      <c r="AE605" s="52" t="str">
        <f t="shared" si="69"/>
        <v>|</v>
      </c>
      <c r="AG605" s="1" t="s">
        <v>2175</v>
      </c>
    </row>
    <row r="606" spans="1:33" ht="24" customHeight="1">
      <c r="A606" s="220">
        <f t="shared" si="76"/>
        <v>411</v>
      </c>
      <c r="B606" s="221" t="s">
        <v>320</v>
      </c>
      <c r="C606" s="545">
        <v>75</v>
      </c>
      <c r="D606" s="221" t="s">
        <v>835</v>
      </c>
      <c r="H606" s="1" t="s">
        <v>2197</v>
      </c>
      <c r="O606" s="1" t="s">
        <v>1694</v>
      </c>
      <c r="R606" s="8">
        <f>SUM(R598:R604)</f>
        <v>5400.31</v>
      </c>
      <c r="AE606" s="52" t="str">
        <f t="shared" si="69"/>
        <v>|</v>
      </c>
      <c r="AG606" s="1" t="s">
        <v>2175</v>
      </c>
    </row>
    <row r="607" spans="1:33" ht="24" customHeight="1">
      <c r="A607" s="220">
        <f t="shared" si="76"/>
        <v>412</v>
      </c>
      <c r="B607" s="221" t="s">
        <v>1695</v>
      </c>
      <c r="C607" s="545">
        <v>125</v>
      </c>
      <c r="D607" s="221" t="s">
        <v>835</v>
      </c>
      <c r="F607" s="8">
        <v>1</v>
      </c>
      <c r="G607" s="7" t="s">
        <v>2199</v>
      </c>
      <c r="H607" s="1" t="s">
        <v>527</v>
      </c>
      <c r="I607" s="8">
        <f>D754</f>
        <v>404</v>
      </c>
      <c r="J607" s="1" t="s">
        <v>2199</v>
      </c>
      <c r="K607" s="8">
        <f>(F607*I607)</f>
        <v>404</v>
      </c>
      <c r="R607" s="5" t="s">
        <v>1530</v>
      </c>
      <c r="AE607" s="52" t="str">
        <f t="shared" si="69"/>
        <v>|</v>
      </c>
      <c r="AG607" s="1" t="s">
        <v>2175</v>
      </c>
    </row>
    <row r="608" spans="1:33" ht="24" customHeight="1">
      <c r="A608" s="220">
        <f t="shared" si="76"/>
        <v>413</v>
      </c>
      <c r="B608" s="221" t="s">
        <v>1696</v>
      </c>
      <c r="C608" s="545">
        <v>190</v>
      </c>
      <c r="D608" s="221" t="s">
        <v>835</v>
      </c>
      <c r="F608" s="8">
        <v>0.75</v>
      </c>
      <c r="G608" s="7" t="s">
        <v>529</v>
      </c>
      <c r="H608" s="1" t="s">
        <v>530</v>
      </c>
      <c r="I608" s="8">
        <f>C10</f>
        <v>861</v>
      </c>
      <c r="J608" s="1" t="s">
        <v>1341</v>
      </c>
      <c r="K608" s="8">
        <f>(F608*I608)</f>
        <v>645.75</v>
      </c>
      <c r="N608" s="1" t="s">
        <v>2167</v>
      </c>
      <c r="O608" s="1" t="s">
        <v>1844</v>
      </c>
      <c r="AE608" s="52" t="str">
        <f t="shared" si="69"/>
        <v>|</v>
      </c>
      <c r="AG608" s="1" t="s">
        <v>2175</v>
      </c>
    </row>
    <row r="609" spans="1:33" ht="24" customHeight="1">
      <c r="A609" s="220">
        <f t="shared" si="76"/>
        <v>414</v>
      </c>
      <c r="B609" s="221" t="s">
        <v>1697</v>
      </c>
      <c r="C609" s="545">
        <v>16</v>
      </c>
      <c r="D609" s="221" t="s">
        <v>835</v>
      </c>
      <c r="F609" s="8">
        <v>0.75</v>
      </c>
      <c r="G609" s="7" t="s">
        <v>529</v>
      </c>
      <c r="H609" s="1" t="s">
        <v>792</v>
      </c>
      <c r="I609" s="8">
        <f>C12</f>
        <v>562</v>
      </c>
      <c r="J609" s="1" t="s">
        <v>1341</v>
      </c>
      <c r="K609" s="8">
        <f>(F609*I609)</f>
        <v>421.5</v>
      </c>
      <c r="O609" s="1" t="s">
        <v>1698</v>
      </c>
      <c r="AE609" s="52" t="str">
        <f t="shared" si="69"/>
        <v>|</v>
      </c>
      <c r="AG609" s="1" t="s">
        <v>2175</v>
      </c>
    </row>
    <row r="610" spans="1:33" ht="24" customHeight="1">
      <c r="A610" s="220">
        <f t="shared" si="76"/>
        <v>415</v>
      </c>
      <c r="B610" s="1" t="s">
        <v>4715</v>
      </c>
      <c r="C610" s="423">
        <v>11.7</v>
      </c>
      <c r="D610" s="221" t="s">
        <v>1591</v>
      </c>
      <c r="F610" s="8">
        <v>0.5</v>
      </c>
      <c r="G610" s="7" t="s">
        <v>529</v>
      </c>
      <c r="H610" s="1" t="s">
        <v>1969</v>
      </c>
      <c r="I610" s="8">
        <f>C44</f>
        <v>637</v>
      </c>
      <c r="J610" s="1" t="s">
        <v>1341</v>
      </c>
      <c r="K610" s="8">
        <f>(F610*I610)</f>
        <v>318.5</v>
      </c>
      <c r="O610" s="5" t="s">
        <v>1530</v>
      </c>
      <c r="AE610" s="52" t="str">
        <f t="shared" si="69"/>
        <v>|</v>
      </c>
      <c r="AG610" s="1" t="s">
        <v>2175</v>
      </c>
    </row>
    <row r="611" spans="1:33" ht="24" customHeight="1">
      <c r="A611" s="220">
        <f t="shared" si="76"/>
        <v>416</v>
      </c>
      <c r="B611" s="1" t="s">
        <v>4716</v>
      </c>
      <c r="C611" s="423">
        <f>(22.4+27)/2</f>
        <v>24.7</v>
      </c>
      <c r="D611" s="221" t="s">
        <v>1591</v>
      </c>
      <c r="E611">
        <f>25.8+29.8</f>
        <v>55.6</v>
      </c>
      <c r="G611" s="7" t="s">
        <v>419</v>
      </c>
      <c r="H611" s="1" t="s">
        <v>58</v>
      </c>
      <c r="J611" s="1" t="s">
        <v>419</v>
      </c>
      <c r="K611" s="8">
        <v>53.5</v>
      </c>
      <c r="M611" s="8">
        <v>1.3</v>
      </c>
      <c r="N611" s="1" t="s">
        <v>836</v>
      </c>
      <c r="O611" s="1" t="s">
        <v>757</v>
      </c>
      <c r="P611" s="8">
        <f>(K91)</f>
        <v>204.4</v>
      </c>
      <c r="Q611" s="1" t="s">
        <v>836</v>
      </c>
      <c r="R611" s="8">
        <f>(M611*P611)</f>
        <v>265.72000000000003</v>
      </c>
      <c r="AE611" s="52" t="str">
        <f t="shared" si="69"/>
        <v>|</v>
      </c>
      <c r="AG611" s="1" t="s">
        <v>2175</v>
      </c>
    </row>
    <row r="612" spans="1:33" ht="24" customHeight="1">
      <c r="A612" s="220"/>
      <c r="B612" s="1" t="s">
        <v>4717</v>
      </c>
      <c r="C612" s="423">
        <v>22.4</v>
      </c>
      <c r="D612" s="221" t="s">
        <v>1591</v>
      </c>
      <c r="E612">
        <f>E611/2</f>
        <v>27.8</v>
      </c>
      <c r="H612" s="1" t="s">
        <v>894</v>
      </c>
      <c r="K612" s="5" t="s">
        <v>1530</v>
      </c>
      <c r="M612" s="8"/>
      <c r="N612" s="1"/>
      <c r="O612" s="1"/>
      <c r="P612" s="8"/>
      <c r="Q612" s="1"/>
      <c r="R612" s="8"/>
      <c r="AE612" s="52" t="str">
        <f t="shared" si="69"/>
        <v>|</v>
      </c>
      <c r="AG612" s="1" t="s">
        <v>2175</v>
      </c>
    </row>
    <row r="613" spans="1:33" ht="24" customHeight="1">
      <c r="A613" s="220">
        <f>(A611+1)</f>
        <v>417</v>
      </c>
      <c r="B613" s="1" t="s">
        <v>4718</v>
      </c>
      <c r="C613" s="423">
        <v>27</v>
      </c>
      <c r="D613" s="221" t="s">
        <v>1591</v>
      </c>
      <c r="H613" s="2" t="s">
        <v>1693</v>
      </c>
      <c r="K613" s="8">
        <f>SUM(K607:K611)</f>
        <v>1843.25</v>
      </c>
      <c r="M613" s="13">
        <v>0.216</v>
      </c>
      <c r="N613" s="1" t="s">
        <v>836</v>
      </c>
      <c r="O613" s="1" t="s">
        <v>759</v>
      </c>
      <c r="P613" s="8">
        <f>(R50)</f>
        <v>3587.43</v>
      </c>
      <c r="Q613" s="1" t="s">
        <v>836</v>
      </c>
      <c r="R613" s="8">
        <f>(M613*P613)</f>
        <v>774.88</v>
      </c>
      <c r="AE613" s="52">
        <f t="shared" si="69"/>
        <v>0</v>
      </c>
      <c r="AG613" s="1"/>
    </row>
    <row r="614" spans="1:33" ht="24" customHeight="1">
      <c r="A614" s="220">
        <f t="shared" si="76"/>
        <v>418</v>
      </c>
      <c r="B614" s="221" t="s">
        <v>4495</v>
      </c>
      <c r="C614" s="545">
        <v>7.5</v>
      </c>
      <c r="D614" s="221" t="s">
        <v>739</v>
      </c>
      <c r="K614" s="5" t="s">
        <v>1530</v>
      </c>
      <c r="M614" s="13">
        <v>0.60099999999999998</v>
      </c>
      <c r="N614" s="1" t="s">
        <v>836</v>
      </c>
      <c r="O614" s="1" t="s">
        <v>1907</v>
      </c>
      <c r="P614" s="8">
        <f>P600</f>
        <v>5984.51</v>
      </c>
      <c r="Q614" s="1" t="s">
        <v>836</v>
      </c>
      <c r="R614" s="8">
        <f>(M614*P614)</f>
        <v>3596.69</v>
      </c>
      <c r="AE614" s="52" t="str">
        <f t="shared" si="69"/>
        <v>|</v>
      </c>
      <c r="AG614" s="1" t="s">
        <v>2175</v>
      </c>
    </row>
    <row r="615" spans="1:33" ht="24" customHeight="1">
      <c r="A615" s="220">
        <f t="shared" si="76"/>
        <v>419</v>
      </c>
      <c r="B615" s="221" t="s">
        <v>4496</v>
      </c>
      <c r="C615" s="545">
        <v>16</v>
      </c>
      <c r="D615" s="221" t="s">
        <v>739</v>
      </c>
      <c r="E615" t="s">
        <v>1505</v>
      </c>
      <c r="H615" s="1" t="s">
        <v>361</v>
      </c>
      <c r="I615" s="8">
        <f>K613</f>
        <v>1843.25</v>
      </c>
      <c r="J615" s="1">
        <f>C22*0.04</f>
        <v>4.13</v>
      </c>
      <c r="K615" s="39">
        <f>(K613+C22*0.04)</f>
        <v>1847.38</v>
      </c>
      <c r="M615" s="13">
        <v>6.35</v>
      </c>
      <c r="N615" s="1" t="s">
        <v>578</v>
      </c>
      <c r="O615" s="1" t="s">
        <v>1908</v>
      </c>
      <c r="P615" s="8">
        <f>(R307)</f>
        <v>234.58</v>
      </c>
      <c r="Q615" s="1" t="s">
        <v>578</v>
      </c>
      <c r="R615" s="8">
        <f>(M615*P615)</f>
        <v>1489.58</v>
      </c>
      <c r="AE615" s="52" t="str">
        <f t="shared" si="69"/>
        <v>|</v>
      </c>
      <c r="AG615" s="1" t="s">
        <v>2175</v>
      </c>
    </row>
    <row r="616" spans="1:33" ht="24" customHeight="1">
      <c r="A616" s="220">
        <f t="shared" si="76"/>
        <v>420</v>
      </c>
      <c r="B616" s="1" t="s">
        <v>4719</v>
      </c>
      <c r="C616" s="423">
        <v>3060</v>
      </c>
      <c r="D616" s="221" t="s">
        <v>753</v>
      </c>
      <c r="E616" s="435">
        <v>3450</v>
      </c>
      <c r="H616" s="1" t="s">
        <v>363</v>
      </c>
      <c r="I616" s="8">
        <f>K615</f>
        <v>1847.38</v>
      </c>
      <c r="J616" s="1">
        <f>C23*0.04</f>
        <v>8.14</v>
      </c>
      <c r="K616" s="39">
        <f>(K615+C23*0.04)</f>
        <v>1855.52</v>
      </c>
      <c r="M616" s="13">
        <v>3.2000000000000001E-2</v>
      </c>
      <c r="N616" s="1" t="s">
        <v>836</v>
      </c>
      <c r="O616" s="1" t="s">
        <v>749</v>
      </c>
      <c r="P616" s="8">
        <f>(K646)</f>
        <v>7194</v>
      </c>
      <c r="Q616" s="1" t="s">
        <v>836</v>
      </c>
      <c r="R616" s="8">
        <f>(M616*P616)</f>
        <v>230.21</v>
      </c>
      <c r="AE616" s="52" t="str">
        <f t="shared" si="69"/>
        <v>|</v>
      </c>
      <c r="AG616" s="1" t="s">
        <v>2175</v>
      </c>
    </row>
    <row r="617" spans="1:33" ht="24" customHeight="1">
      <c r="A617" s="220">
        <f t="shared" si="76"/>
        <v>421</v>
      </c>
      <c r="B617" s="221" t="s">
        <v>755</v>
      </c>
      <c r="C617" s="545">
        <v>805</v>
      </c>
      <c r="D617" s="221" t="s">
        <v>753</v>
      </c>
      <c r="H617" s="1" t="s">
        <v>2149</v>
      </c>
      <c r="I617" s="8">
        <f>K616</f>
        <v>1855.52</v>
      </c>
      <c r="J617" s="1">
        <f>C23*0.04</f>
        <v>8.14</v>
      </c>
      <c r="K617" s="39">
        <f>(K616+C24*0.04)</f>
        <v>1863.66</v>
      </c>
      <c r="O617" s="1" t="s">
        <v>270</v>
      </c>
      <c r="R617" s="1" t="s">
        <v>940</v>
      </c>
      <c r="AE617" s="52" t="str">
        <f t="shared" si="69"/>
        <v>|</v>
      </c>
      <c r="AG617" s="1" t="s">
        <v>2175</v>
      </c>
    </row>
    <row r="618" spans="1:33" ht="24" customHeight="1">
      <c r="A618" s="220">
        <f t="shared" si="76"/>
        <v>422</v>
      </c>
      <c r="B618" s="221" t="s">
        <v>1986</v>
      </c>
      <c r="C618" s="545">
        <f>204+53</f>
        <v>257</v>
      </c>
      <c r="D618" s="221" t="s">
        <v>753</v>
      </c>
      <c r="H618" s="1" t="s">
        <v>355</v>
      </c>
      <c r="I618" s="8">
        <f>K617</f>
        <v>1863.66</v>
      </c>
      <c r="J618" s="1">
        <f>C23*0.04</f>
        <v>8.14</v>
      </c>
      <c r="K618" s="39">
        <f>(K617+C24*0.04)</f>
        <v>1871.8</v>
      </c>
      <c r="N618" s="1" t="s">
        <v>419</v>
      </c>
      <c r="O618" s="1" t="s">
        <v>319</v>
      </c>
      <c r="Q618" s="1" t="s">
        <v>419</v>
      </c>
      <c r="R618" s="8">
        <v>2</v>
      </c>
      <c r="AE618" s="52" t="str">
        <f t="shared" si="69"/>
        <v>|</v>
      </c>
      <c r="AG618" s="1" t="s">
        <v>2175</v>
      </c>
    </row>
    <row r="619" spans="1:33" ht="24" customHeight="1">
      <c r="A619" s="220">
        <f t="shared" si="76"/>
        <v>423</v>
      </c>
      <c r="B619" s="221" t="s">
        <v>1023</v>
      </c>
      <c r="C619" s="545">
        <v>53</v>
      </c>
      <c r="D619" s="221" t="s">
        <v>739</v>
      </c>
      <c r="H619" s="1" t="s">
        <v>1312</v>
      </c>
      <c r="I619" s="8">
        <f>K618</f>
        <v>1871.8</v>
      </c>
      <c r="J619" s="1">
        <f>C24*0.04</f>
        <v>8.14</v>
      </c>
      <c r="K619" s="39">
        <f>(K618+C24*0.04)</f>
        <v>1879.94</v>
      </c>
      <c r="R619" s="5" t="s">
        <v>1530</v>
      </c>
      <c r="AE619" s="52" t="str">
        <f t="shared" si="69"/>
        <v>|</v>
      </c>
      <c r="AG619" s="1" t="s">
        <v>2175</v>
      </c>
    </row>
    <row r="620" spans="1:33" ht="24" customHeight="1">
      <c r="A620" s="220">
        <f t="shared" si="76"/>
        <v>424</v>
      </c>
      <c r="B620" s="1" t="s">
        <v>4720</v>
      </c>
      <c r="C620" s="423">
        <v>1656</v>
      </c>
      <c r="D620" s="221" t="s">
        <v>739</v>
      </c>
      <c r="F620" s="31">
        <v>15.1</v>
      </c>
      <c r="G620" s="7" t="s">
        <v>1700</v>
      </c>
      <c r="H620" s="1" t="s">
        <v>1552</v>
      </c>
      <c r="O620" s="1" t="s">
        <v>1694</v>
      </c>
      <c r="R620" s="8">
        <f>SUM(R611:R618)</f>
        <v>6359.08</v>
      </c>
      <c r="AE620" s="52" t="str">
        <f t="shared" si="69"/>
        <v>|</v>
      </c>
      <c r="AG620" s="1" t="s">
        <v>2175</v>
      </c>
    </row>
    <row r="621" spans="1:33" ht="24" customHeight="1">
      <c r="A621" s="220">
        <f t="shared" si="76"/>
        <v>425</v>
      </c>
      <c r="B621" s="221" t="s">
        <v>377</v>
      </c>
      <c r="C621" s="545">
        <v>196</v>
      </c>
      <c r="D621" s="221" t="s">
        <v>739</v>
      </c>
      <c r="H621" s="1" t="s">
        <v>2197</v>
      </c>
      <c r="R621" s="5" t="s">
        <v>1530</v>
      </c>
      <c r="AE621" s="52" t="str">
        <f t="shared" si="69"/>
        <v>|</v>
      </c>
      <c r="AG621" s="1" t="s">
        <v>2175</v>
      </c>
    </row>
    <row r="622" spans="1:33" ht="24" customHeight="1">
      <c r="A622" s="220">
        <f t="shared" si="76"/>
        <v>426</v>
      </c>
      <c r="B622" s="1" t="s">
        <v>4721</v>
      </c>
      <c r="C622" s="423">
        <v>931</v>
      </c>
      <c r="D622" s="221" t="s">
        <v>739</v>
      </c>
      <c r="F622" s="8">
        <v>10</v>
      </c>
      <c r="G622" s="7" t="s">
        <v>2199</v>
      </c>
      <c r="H622" s="1" t="s">
        <v>3984</v>
      </c>
      <c r="I622" s="64">
        <f>C754</f>
        <v>373</v>
      </c>
      <c r="J622" s="1" t="s">
        <v>2199</v>
      </c>
      <c r="K622" s="8">
        <f>(F622*I622)</f>
        <v>3730</v>
      </c>
      <c r="N622" s="1" t="s">
        <v>2167</v>
      </c>
      <c r="O622" s="1" t="s">
        <v>380</v>
      </c>
      <c r="AE622" s="52" t="str">
        <f t="shared" si="69"/>
        <v>|</v>
      </c>
      <c r="AG622" s="1" t="s">
        <v>2175</v>
      </c>
    </row>
    <row r="623" spans="1:33" ht="24" customHeight="1">
      <c r="A623" s="220">
        <f t="shared" si="76"/>
        <v>427</v>
      </c>
      <c r="B623" s="221" t="s">
        <v>381</v>
      </c>
      <c r="C623" s="545">
        <v>193.05</v>
      </c>
      <c r="D623" s="620">
        <v>120.54</v>
      </c>
      <c r="F623" s="8">
        <v>0.12</v>
      </c>
      <c r="G623" s="7" t="s">
        <v>836</v>
      </c>
      <c r="H623" s="1" t="s">
        <v>754</v>
      </c>
      <c r="I623" s="8">
        <f>K32</f>
        <v>4361.62</v>
      </c>
      <c r="J623" s="1" t="s">
        <v>836</v>
      </c>
      <c r="K623" s="8">
        <f>(F623*I623)</f>
        <v>523.39</v>
      </c>
      <c r="O623" s="1" t="s">
        <v>383</v>
      </c>
      <c r="AE623" s="52" t="str">
        <f t="shared" si="69"/>
        <v>|</v>
      </c>
      <c r="AG623" s="1" t="s">
        <v>2175</v>
      </c>
    </row>
    <row r="624" spans="1:33" ht="24" customHeight="1">
      <c r="A624" s="220">
        <f t="shared" si="76"/>
        <v>428</v>
      </c>
      <c r="B624" s="221" t="s">
        <v>384</v>
      </c>
      <c r="C624" s="487">
        <v>115.85</v>
      </c>
      <c r="D624" s="488" t="s">
        <v>1714</v>
      </c>
      <c r="E624" s="489"/>
      <c r="F624" s="8">
        <v>1</v>
      </c>
      <c r="G624" s="7" t="s">
        <v>529</v>
      </c>
      <c r="H624" s="1" t="s">
        <v>530</v>
      </c>
      <c r="I624" s="8">
        <f>C10</f>
        <v>861</v>
      </c>
      <c r="J624" s="1" t="s">
        <v>1341</v>
      </c>
      <c r="K624" s="8">
        <f>(F624*I624)</f>
        <v>861</v>
      </c>
      <c r="O624" s="5" t="s">
        <v>1530</v>
      </c>
      <c r="AE624" s="52" t="str">
        <f t="shared" si="69"/>
        <v>|</v>
      </c>
      <c r="AG624" s="1" t="s">
        <v>2175</v>
      </c>
    </row>
    <row r="625" spans="1:33" ht="24" customHeight="1">
      <c r="A625" s="220">
        <f t="shared" si="76"/>
        <v>429</v>
      </c>
      <c r="B625" s="221" t="s">
        <v>385</v>
      </c>
      <c r="C625" s="490"/>
      <c r="D625" s="488" t="s">
        <v>1714</v>
      </c>
      <c r="E625" s="489"/>
      <c r="F625" s="8">
        <v>1</v>
      </c>
      <c r="G625" s="7" t="s">
        <v>529</v>
      </c>
      <c r="H625" s="1" t="s">
        <v>792</v>
      </c>
      <c r="I625" s="8">
        <f>C12</f>
        <v>562</v>
      </c>
      <c r="J625" s="1" t="s">
        <v>1341</v>
      </c>
      <c r="K625" s="8">
        <f>(F625*I625)</f>
        <v>562</v>
      </c>
      <c r="M625" s="8">
        <v>10.37</v>
      </c>
      <c r="N625" s="1" t="s">
        <v>836</v>
      </c>
      <c r="O625" s="1" t="s">
        <v>386</v>
      </c>
      <c r="P625" s="8">
        <f>(C64*2)</f>
        <v>193.2</v>
      </c>
      <c r="Q625" s="1" t="s">
        <v>836</v>
      </c>
      <c r="R625" s="8">
        <f t="shared" ref="R625:R633" si="79">(M625*P625)</f>
        <v>2003.48</v>
      </c>
      <c r="AE625" s="52" t="str">
        <f t="shared" si="69"/>
        <v>|</v>
      </c>
      <c r="AG625" s="1" t="s">
        <v>2175</v>
      </c>
    </row>
    <row r="626" spans="1:33" ht="24" customHeight="1">
      <c r="A626" s="220">
        <f t="shared" si="76"/>
        <v>430</v>
      </c>
      <c r="B626" s="221" t="s">
        <v>4138</v>
      </c>
      <c r="C626" s="487">
        <v>76</v>
      </c>
      <c r="D626" s="488" t="s">
        <v>835</v>
      </c>
      <c r="E626" s="489"/>
      <c r="G626" s="7" t="s">
        <v>419</v>
      </c>
      <c r="H626" s="1" t="s">
        <v>58</v>
      </c>
      <c r="J626" s="1" t="s">
        <v>419</v>
      </c>
      <c r="K626" s="8">
        <v>0.33</v>
      </c>
      <c r="M626" s="8">
        <v>0.65</v>
      </c>
      <c r="N626" s="1" t="s">
        <v>836</v>
      </c>
      <c r="O626" s="1" t="s">
        <v>1985</v>
      </c>
      <c r="P626" s="8">
        <f>R50</f>
        <v>3587.43</v>
      </c>
      <c r="Q626" s="1" t="s">
        <v>836</v>
      </c>
      <c r="R626" s="8">
        <f t="shared" si="79"/>
        <v>2331.83</v>
      </c>
      <c r="AE626" s="52" t="str">
        <f t="shared" si="69"/>
        <v>|</v>
      </c>
      <c r="AG626" s="1" t="s">
        <v>2175</v>
      </c>
    </row>
    <row r="627" spans="1:33" ht="24" customHeight="1">
      <c r="A627" s="220">
        <f t="shared" si="76"/>
        <v>431</v>
      </c>
      <c r="B627" s="221" t="s">
        <v>1725</v>
      </c>
      <c r="C627" s="487">
        <v>45</v>
      </c>
      <c r="D627" s="488" t="s">
        <v>835</v>
      </c>
      <c r="E627" s="489"/>
      <c r="H627" s="1" t="s">
        <v>894</v>
      </c>
      <c r="K627" s="5" t="s">
        <v>1530</v>
      </c>
      <c r="M627" s="8">
        <v>1.1399999999999999</v>
      </c>
      <c r="N627" s="1" t="s">
        <v>836</v>
      </c>
      <c r="O627" s="1" t="s">
        <v>305</v>
      </c>
      <c r="P627" s="8">
        <f>K324</f>
        <v>6021.38</v>
      </c>
      <c r="Q627" s="1" t="s">
        <v>836</v>
      </c>
      <c r="R627" s="8">
        <f t="shared" si="79"/>
        <v>6864.37</v>
      </c>
      <c r="AE627" s="52" t="str">
        <f t="shared" ref="AE627:AE640" si="80">AG627</f>
        <v>|</v>
      </c>
      <c r="AG627" s="1" t="s">
        <v>2175</v>
      </c>
    </row>
    <row r="628" spans="1:33" ht="24" customHeight="1">
      <c r="A628" s="220">
        <f t="shared" si="76"/>
        <v>432</v>
      </c>
      <c r="B628" s="221" t="s">
        <v>307</v>
      </c>
      <c r="C628" s="163">
        <v>34.299999999999997</v>
      </c>
      <c r="D628" s="221" t="s">
        <v>835</v>
      </c>
      <c r="H628" s="2" t="s">
        <v>378</v>
      </c>
      <c r="K628" s="8">
        <f>SUM(K622:K626)</f>
        <v>5676.72</v>
      </c>
      <c r="M628" s="8">
        <v>0.85</v>
      </c>
      <c r="N628" s="1" t="s">
        <v>836</v>
      </c>
      <c r="O628" s="1" t="s">
        <v>1554</v>
      </c>
      <c r="P628" s="8">
        <f>K324-K315/10</f>
        <v>5217.0600000000004</v>
      </c>
      <c r="Q628" s="1" t="s">
        <v>836</v>
      </c>
      <c r="R628" s="8">
        <f t="shared" si="79"/>
        <v>4434.5</v>
      </c>
      <c r="AE628" s="52">
        <f t="shared" si="80"/>
        <v>0</v>
      </c>
      <c r="AG628" s="1"/>
    </row>
    <row r="629" spans="1:33" ht="24" customHeight="1">
      <c r="A629" s="220">
        <f t="shared" si="76"/>
        <v>433</v>
      </c>
      <c r="B629" s="530" t="s">
        <v>4497</v>
      </c>
      <c r="C629" s="423">
        <v>79.5</v>
      </c>
      <c r="D629" s="221" t="s">
        <v>835</v>
      </c>
      <c r="K629" s="5" t="s">
        <v>1530</v>
      </c>
      <c r="M629" s="8">
        <v>0.98</v>
      </c>
      <c r="N629" s="1" t="s">
        <v>836</v>
      </c>
      <c r="O629" s="1" t="s">
        <v>2136</v>
      </c>
      <c r="P629" s="8">
        <f>(C76)</f>
        <v>1581.38</v>
      </c>
      <c r="Q629" s="1" t="s">
        <v>836</v>
      </c>
      <c r="R629" s="8">
        <f t="shared" si="79"/>
        <v>1549.75</v>
      </c>
      <c r="AE629" s="52" t="str">
        <f t="shared" si="80"/>
        <v>|</v>
      </c>
      <c r="AG629" s="1" t="s">
        <v>2175</v>
      </c>
    </row>
    <row r="630" spans="1:33" ht="24" customHeight="1">
      <c r="A630" s="220">
        <f t="shared" si="76"/>
        <v>434</v>
      </c>
      <c r="B630" s="221" t="s">
        <v>1054</v>
      </c>
      <c r="C630" s="545">
        <v>36.520000000000003</v>
      </c>
      <c r="D630" s="221" t="s">
        <v>835</v>
      </c>
      <c r="H630" s="2" t="s">
        <v>382</v>
      </c>
      <c r="K630" s="8">
        <f>K628/10</f>
        <v>567.66999999999996</v>
      </c>
      <c r="M630" s="8">
        <v>2.68</v>
      </c>
      <c r="N630" s="1" t="s">
        <v>836</v>
      </c>
      <c r="O630" s="1" t="s">
        <v>1002</v>
      </c>
      <c r="P630" s="8">
        <f>(C82)</f>
        <v>1400.82</v>
      </c>
      <c r="Q630" s="1" t="s">
        <v>836</v>
      </c>
      <c r="R630" s="8">
        <f t="shared" si="79"/>
        <v>3754.2</v>
      </c>
      <c r="AE630" s="52" t="str">
        <f t="shared" si="80"/>
        <v>|</v>
      </c>
      <c r="AG630" s="1" t="s">
        <v>2175</v>
      </c>
    </row>
    <row r="631" spans="1:33" ht="24" customHeight="1">
      <c r="A631" s="220">
        <f t="shared" si="76"/>
        <v>435</v>
      </c>
      <c r="B631" s="221" t="s">
        <v>1557</v>
      </c>
      <c r="C631" s="223"/>
      <c r="D631" s="221" t="s">
        <v>835</v>
      </c>
      <c r="H631" s="1" t="s">
        <v>361</v>
      </c>
      <c r="I631">
        <f>K630</f>
        <v>567.66999999999996</v>
      </c>
      <c r="J631" s="11">
        <f>C22*0.02</f>
        <v>2.0699999999999998</v>
      </c>
      <c r="K631" s="39">
        <f>I631+J631</f>
        <v>569.74</v>
      </c>
      <c r="M631" s="8">
        <v>7.24</v>
      </c>
      <c r="N631" s="1" t="s">
        <v>578</v>
      </c>
      <c r="O631" s="1" t="s">
        <v>1559</v>
      </c>
      <c r="P631" s="8">
        <f>(K1403)</f>
        <v>218.56</v>
      </c>
      <c r="Q631" s="1" t="s">
        <v>578</v>
      </c>
      <c r="R631" s="8">
        <f t="shared" si="79"/>
        <v>1582.37</v>
      </c>
      <c r="AE631" s="52" t="str">
        <f t="shared" si="80"/>
        <v>|</v>
      </c>
      <c r="AG631" s="1" t="s">
        <v>2175</v>
      </c>
    </row>
    <row r="632" spans="1:33" ht="24" customHeight="1">
      <c r="A632" s="220">
        <f t="shared" si="76"/>
        <v>436</v>
      </c>
      <c r="B632" s="530" t="s">
        <v>4498</v>
      </c>
      <c r="C632" s="423">
        <v>99.2</v>
      </c>
      <c r="D632" s="222">
        <v>93.72</v>
      </c>
      <c r="H632" s="1" t="s">
        <v>363</v>
      </c>
      <c r="I632">
        <f>K631</f>
        <v>569.74</v>
      </c>
      <c r="J632" s="11">
        <f>C23*0.02</f>
        <v>4.07</v>
      </c>
      <c r="K632" s="39">
        <f>I632+J632</f>
        <v>573.80999999999995</v>
      </c>
      <c r="M632" s="8">
        <v>1</v>
      </c>
      <c r="N632" s="1" t="s">
        <v>835</v>
      </c>
      <c r="O632" s="1" t="s">
        <v>1419</v>
      </c>
      <c r="P632" s="8">
        <f>(C206)</f>
        <v>126.8</v>
      </c>
      <c r="Q632" s="1" t="s">
        <v>835</v>
      </c>
      <c r="R632" s="8">
        <f t="shared" si="79"/>
        <v>126.8</v>
      </c>
      <c r="AE632" s="52" t="str">
        <f t="shared" si="80"/>
        <v>|</v>
      </c>
      <c r="AG632" s="1" t="s">
        <v>2175</v>
      </c>
    </row>
    <row r="633" spans="1:33" ht="24" customHeight="1">
      <c r="A633" s="220">
        <f t="shared" si="76"/>
        <v>437</v>
      </c>
      <c r="B633" s="530" t="s">
        <v>1420</v>
      </c>
      <c r="C633" s="423">
        <v>66.3</v>
      </c>
      <c r="D633" s="221" t="s">
        <v>835</v>
      </c>
      <c r="H633" s="1" t="s">
        <v>2149</v>
      </c>
      <c r="I633">
        <f>K632</f>
        <v>573.80999999999995</v>
      </c>
      <c r="J633" s="11">
        <f>J632</f>
        <v>4.07</v>
      </c>
      <c r="K633" s="39">
        <f>I633+J633</f>
        <v>577.88</v>
      </c>
      <c r="M633" s="13">
        <v>0.13600000000000001</v>
      </c>
      <c r="N633" s="1" t="s">
        <v>836</v>
      </c>
      <c r="O633" s="1" t="s">
        <v>947</v>
      </c>
      <c r="P633" s="8">
        <f>(K646)</f>
        <v>7194</v>
      </c>
      <c r="Q633" s="1" t="s">
        <v>836</v>
      </c>
      <c r="R633" s="8">
        <f t="shared" si="79"/>
        <v>978.38</v>
      </c>
      <c r="AE633" s="52" t="str">
        <f t="shared" si="80"/>
        <v>|</v>
      </c>
      <c r="AG633" s="1" t="s">
        <v>2175</v>
      </c>
    </row>
    <row r="634" spans="1:33" ht="24" customHeight="1">
      <c r="A634" s="220">
        <f t="shared" si="76"/>
        <v>438</v>
      </c>
      <c r="B634" s="221" t="s">
        <v>948</v>
      </c>
      <c r="C634" s="163">
        <v>30.25</v>
      </c>
      <c r="D634" s="221" t="s">
        <v>835</v>
      </c>
      <c r="H634" s="1" t="s">
        <v>355</v>
      </c>
      <c r="I634">
        <f>K633</f>
        <v>577.88</v>
      </c>
      <c r="J634" s="11">
        <f>J633</f>
        <v>4.07</v>
      </c>
      <c r="K634" s="39">
        <f>I634+J634</f>
        <v>581.95000000000005</v>
      </c>
      <c r="O634" s="1" t="s">
        <v>126</v>
      </c>
      <c r="AE634" s="52" t="str">
        <f t="shared" si="80"/>
        <v>|</v>
      </c>
      <c r="AG634" s="1" t="s">
        <v>2175</v>
      </c>
    </row>
    <row r="635" spans="1:33" ht="24" customHeight="1">
      <c r="A635" s="220">
        <f t="shared" si="76"/>
        <v>439</v>
      </c>
      <c r="B635" s="530" t="s">
        <v>4499</v>
      </c>
      <c r="C635" s="423">
        <v>159.19999999999999</v>
      </c>
      <c r="D635" s="221" t="s">
        <v>835</v>
      </c>
      <c r="H635" s="1" t="s">
        <v>1312</v>
      </c>
      <c r="I635">
        <f>K634</f>
        <v>581.95000000000005</v>
      </c>
      <c r="J635" s="11">
        <f>J634</f>
        <v>4.07</v>
      </c>
      <c r="K635" s="39">
        <f>I635+J635</f>
        <v>586.02</v>
      </c>
      <c r="N635" s="1" t="s">
        <v>419</v>
      </c>
      <c r="O635" s="1" t="s">
        <v>319</v>
      </c>
      <c r="Q635" s="1" t="s">
        <v>419</v>
      </c>
      <c r="R635" s="8">
        <v>2.2400000000000002</v>
      </c>
      <c r="AE635" s="52" t="str">
        <f t="shared" si="80"/>
        <v>|</v>
      </c>
      <c r="AG635" s="1" t="s">
        <v>2175</v>
      </c>
    </row>
    <row r="636" spans="1:33" ht="24" customHeight="1">
      <c r="A636" s="220">
        <f t="shared" si="76"/>
        <v>440</v>
      </c>
      <c r="B636" s="530" t="s">
        <v>1427</v>
      </c>
      <c r="C636" s="423">
        <v>99.2</v>
      </c>
      <c r="D636" s="221" t="s">
        <v>835</v>
      </c>
      <c r="F636" s="2" t="s">
        <v>1556</v>
      </c>
      <c r="G636" s="7" t="s">
        <v>2167</v>
      </c>
      <c r="H636" s="1" t="s">
        <v>849</v>
      </c>
      <c r="R636" s="5" t="s">
        <v>1530</v>
      </c>
      <c r="AE636" s="52" t="str">
        <f t="shared" si="80"/>
        <v>|</v>
      </c>
      <c r="AG636" s="1" t="s">
        <v>2175</v>
      </c>
    </row>
    <row r="637" spans="1:33" ht="24" customHeight="1">
      <c r="A637" s="220">
        <f t="shared" si="76"/>
        <v>441</v>
      </c>
      <c r="B637" s="221" t="s">
        <v>1428</v>
      </c>
      <c r="C637" s="223"/>
      <c r="D637" s="221" t="s">
        <v>835</v>
      </c>
      <c r="H637" s="1" t="s">
        <v>1055</v>
      </c>
      <c r="O637" s="1" t="s">
        <v>1694</v>
      </c>
      <c r="R637" s="8">
        <f>SUM(R625:R635)</f>
        <v>23627.919999999998</v>
      </c>
      <c r="AE637" s="52" t="str">
        <f t="shared" si="80"/>
        <v>|</v>
      </c>
      <c r="AG637" s="1" t="s">
        <v>2175</v>
      </c>
    </row>
    <row r="638" spans="1:33" ht="24" customHeight="1">
      <c r="A638" s="220">
        <f t="shared" si="76"/>
        <v>442</v>
      </c>
      <c r="B638" s="530" t="s">
        <v>4500</v>
      </c>
      <c r="C638" s="423">
        <v>185.9</v>
      </c>
      <c r="D638" s="221" t="s">
        <v>835</v>
      </c>
      <c r="H638" s="1" t="s">
        <v>1558</v>
      </c>
      <c r="R638" s="5" t="s">
        <v>1530</v>
      </c>
      <c r="AE638" s="52" t="str">
        <f t="shared" si="80"/>
        <v>|</v>
      </c>
      <c r="AG638" s="1" t="s">
        <v>2175</v>
      </c>
    </row>
    <row r="639" spans="1:33" ht="24" customHeight="1">
      <c r="A639" s="220">
        <f t="shared" si="76"/>
        <v>443</v>
      </c>
      <c r="B639" s="530" t="s">
        <v>404</v>
      </c>
      <c r="C639" s="423">
        <v>119.3</v>
      </c>
      <c r="D639" s="221" t="s">
        <v>835</v>
      </c>
      <c r="H639" s="5" t="s">
        <v>1530</v>
      </c>
      <c r="N639" s="1" t="s">
        <v>2167</v>
      </c>
      <c r="O639" s="1" t="s">
        <v>405</v>
      </c>
      <c r="AE639" s="52" t="str">
        <f t="shared" si="80"/>
        <v>|</v>
      </c>
      <c r="AG639" s="1" t="s">
        <v>2175</v>
      </c>
    </row>
    <row r="640" spans="1:33" ht="24" customHeight="1">
      <c r="A640" s="223"/>
      <c r="B640" s="223"/>
      <c r="C640" s="223"/>
      <c r="D640" s="223"/>
      <c r="F640" s="8">
        <v>0.01</v>
      </c>
      <c r="G640" s="7" t="s">
        <v>836</v>
      </c>
      <c r="H640" s="1" t="s">
        <v>1421</v>
      </c>
      <c r="I640" s="8">
        <f>(K283)</f>
        <v>7079.46</v>
      </c>
      <c r="J640" s="1" t="s">
        <v>836</v>
      </c>
      <c r="K640" s="8">
        <f>(F640*I640)</f>
        <v>70.790000000000006</v>
      </c>
      <c r="AE640" s="52" t="str">
        <f t="shared" si="80"/>
        <v>|</v>
      </c>
      <c r="AG640" s="1" t="s">
        <v>2175</v>
      </c>
    </row>
    <row r="641" spans="1:32" ht="24" customHeight="1">
      <c r="A641" s="220">
        <f>(A639+1)</f>
        <v>444</v>
      </c>
      <c r="B641" s="221" t="s">
        <v>1059</v>
      </c>
      <c r="C641" s="223"/>
      <c r="D641" s="221" t="s">
        <v>835</v>
      </c>
      <c r="F641" s="8">
        <v>0.01</v>
      </c>
      <c r="G641" s="7" t="s">
        <v>836</v>
      </c>
      <c r="H641" s="1" t="s">
        <v>949</v>
      </c>
      <c r="J641" s="1" t="s">
        <v>419</v>
      </c>
      <c r="K641" s="8">
        <v>1.1499999999999999</v>
      </c>
      <c r="O641" s="1" t="s">
        <v>1060</v>
      </c>
      <c r="S641" s="2" t="s">
        <v>161</v>
      </c>
      <c r="T641" s="7" t="s">
        <v>2167</v>
      </c>
      <c r="U641" s="34" t="s">
        <v>3891</v>
      </c>
      <c r="W641" s="11"/>
      <c r="AA641" s="2" t="s">
        <v>161</v>
      </c>
      <c r="AB641" s="7" t="s">
        <v>2167</v>
      </c>
      <c r="AC641" s="34" t="s">
        <v>4031</v>
      </c>
      <c r="AE641" s="11"/>
    </row>
    <row r="642" spans="1:32" ht="24" customHeight="1">
      <c r="A642" s="220">
        <f t="shared" ref="A642:A706" si="81">(A641+1)</f>
        <v>445</v>
      </c>
      <c r="B642" s="530" t="s">
        <v>4164</v>
      </c>
      <c r="C642" s="423">
        <v>284.39999999999998</v>
      </c>
      <c r="D642" s="221" t="s">
        <v>835</v>
      </c>
      <c r="H642" s="1" t="s">
        <v>128</v>
      </c>
      <c r="O642" s="5" t="s">
        <v>1530</v>
      </c>
      <c r="S642"/>
      <c r="T642" s="3"/>
      <c r="U642" s="1" t="s">
        <v>1328</v>
      </c>
      <c r="W642" s="11"/>
      <c r="AB642" s="3"/>
      <c r="AC642" s="1" t="s">
        <v>1328</v>
      </c>
      <c r="AE642" s="11"/>
    </row>
    <row r="643" spans="1:32" ht="24" customHeight="1">
      <c r="A643" s="220">
        <f t="shared" si="81"/>
        <v>446</v>
      </c>
      <c r="B643" s="530" t="s">
        <v>1598</v>
      </c>
      <c r="C643" s="423">
        <v>198.2</v>
      </c>
      <c r="D643" s="221" t="s">
        <v>835</v>
      </c>
      <c r="K643" s="5" t="s">
        <v>1530</v>
      </c>
      <c r="M643" s="8">
        <v>3</v>
      </c>
      <c r="N643" s="1" t="s">
        <v>836</v>
      </c>
      <c r="O643" s="1" t="s">
        <v>1600</v>
      </c>
      <c r="P643" s="8">
        <f>(C64*2)</f>
        <v>193.2</v>
      </c>
      <c r="Q643" s="1" t="s">
        <v>836</v>
      </c>
      <c r="R643" s="8">
        <f>(M643*P643)</f>
        <v>579.6</v>
      </c>
      <c r="S643"/>
      <c r="T643" s="3"/>
      <c r="U643" s="1" t="s">
        <v>130</v>
      </c>
      <c r="W643" s="11"/>
      <c r="AB643" s="3"/>
      <c r="AC643" s="1" t="s">
        <v>130</v>
      </c>
      <c r="AE643" s="11"/>
    </row>
    <row r="644" spans="1:32" ht="24" customHeight="1">
      <c r="A644" s="220">
        <f t="shared" si="81"/>
        <v>447</v>
      </c>
      <c r="B644" s="221" t="s">
        <v>591</v>
      </c>
      <c r="C644" s="223"/>
      <c r="D644" s="221" t="s">
        <v>835</v>
      </c>
      <c r="H644" s="1" t="s">
        <v>1429</v>
      </c>
      <c r="K644" s="8">
        <f>SUM(K640:K642)</f>
        <v>71.94</v>
      </c>
      <c r="M644" s="8">
        <v>2.4</v>
      </c>
      <c r="N644" s="1" t="s">
        <v>836</v>
      </c>
      <c r="O644" s="1" t="s">
        <v>1579</v>
      </c>
      <c r="P644" s="8">
        <f>(C84)</f>
        <v>710.92</v>
      </c>
      <c r="Q644" s="1" t="s">
        <v>836</v>
      </c>
      <c r="R644" s="8">
        <f>(M644*P644)</f>
        <v>1706.21</v>
      </c>
      <c r="S644"/>
      <c r="T644" s="3"/>
      <c r="U644" s="5" t="s">
        <v>1530</v>
      </c>
      <c r="W644" s="11"/>
      <c r="AB644" s="3"/>
      <c r="AC644" s="5" t="s">
        <v>1530</v>
      </c>
      <c r="AE644" s="11"/>
    </row>
    <row r="645" spans="1:32" ht="24" customHeight="1">
      <c r="A645" s="220">
        <f t="shared" si="81"/>
        <v>448</v>
      </c>
      <c r="B645" s="530" t="s">
        <v>4502</v>
      </c>
      <c r="C645" s="423">
        <v>152.30000000000001</v>
      </c>
      <c r="D645" s="221" t="s">
        <v>835</v>
      </c>
      <c r="K645" s="5" t="s">
        <v>1530</v>
      </c>
      <c r="M645" s="8">
        <v>5</v>
      </c>
      <c r="N645" s="1" t="s">
        <v>835</v>
      </c>
      <c r="O645" s="1" t="s">
        <v>576</v>
      </c>
      <c r="P645" s="8">
        <f>(C207)</f>
        <v>62.8</v>
      </c>
      <c r="Q645" s="1" t="s">
        <v>835</v>
      </c>
      <c r="R645" s="8">
        <f>(M645*P645)</f>
        <v>314</v>
      </c>
      <c r="S645" s="13">
        <v>8.3000000000000007</v>
      </c>
      <c r="T645" s="7" t="s">
        <v>836</v>
      </c>
      <c r="U645" s="1" t="s">
        <v>3892</v>
      </c>
      <c r="V645" s="8">
        <f>AC11</f>
        <v>893.71</v>
      </c>
      <c r="W645" s="1" t="s">
        <v>836</v>
      </c>
      <c r="X645" s="8">
        <f t="shared" ref="X645:X651" si="82">S645*V645</f>
        <v>7417.79</v>
      </c>
      <c r="AA645" s="13">
        <v>8.3000000000000007</v>
      </c>
      <c r="AB645" s="7" t="s">
        <v>836</v>
      </c>
      <c r="AC645" s="1" t="s">
        <v>3892</v>
      </c>
      <c r="AD645" s="8">
        <f>V645</f>
        <v>893.71</v>
      </c>
      <c r="AE645" s="1" t="s">
        <v>836</v>
      </c>
      <c r="AF645" s="8">
        <f t="shared" ref="AF645:AF651" si="83">AA645*AD645</f>
        <v>7417.79</v>
      </c>
    </row>
    <row r="646" spans="1:32" ht="24" customHeight="1">
      <c r="A646" s="220">
        <f t="shared" si="81"/>
        <v>449</v>
      </c>
      <c r="B646" s="530" t="s">
        <v>1716</v>
      </c>
      <c r="C646" s="423">
        <v>92.7</v>
      </c>
      <c r="D646" s="221" t="s">
        <v>835</v>
      </c>
      <c r="H646" s="1" t="s">
        <v>743</v>
      </c>
      <c r="K646" s="8">
        <f>ROUND(K644*100,0)</f>
        <v>7194</v>
      </c>
      <c r="O646" s="1" t="s">
        <v>420</v>
      </c>
      <c r="Q646" s="1" t="s">
        <v>419</v>
      </c>
      <c r="R646" s="8">
        <v>0.08</v>
      </c>
      <c r="S646" s="13">
        <v>3.25</v>
      </c>
      <c r="T646" s="7" t="s">
        <v>828</v>
      </c>
      <c r="U646" s="1" t="s">
        <v>829</v>
      </c>
      <c r="V646" s="8">
        <f>I811</f>
        <v>5960</v>
      </c>
      <c r="W646" s="1" t="s">
        <v>828</v>
      </c>
      <c r="X646" s="8">
        <f t="shared" si="82"/>
        <v>19370</v>
      </c>
      <c r="AA646" s="13">
        <v>4</v>
      </c>
      <c r="AB646" s="7" t="s">
        <v>828</v>
      </c>
      <c r="AC646" s="1" t="s">
        <v>829</v>
      </c>
      <c r="AD646" s="8">
        <f t="shared" ref="AD646:AD651" si="84">V646</f>
        <v>5960</v>
      </c>
      <c r="AE646" s="1" t="s">
        <v>828</v>
      </c>
      <c r="AF646" s="8">
        <f t="shared" si="83"/>
        <v>23840</v>
      </c>
    </row>
    <row r="647" spans="1:32" ht="24" customHeight="1">
      <c r="A647" s="220">
        <f t="shared" si="81"/>
        <v>450</v>
      </c>
      <c r="B647" s="221" t="s">
        <v>1718</v>
      </c>
      <c r="C647" s="223"/>
      <c r="D647" s="221" t="s">
        <v>835</v>
      </c>
      <c r="F647" s="1" t="s">
        <v>940</v>
      </c>
      <c r="R647" s="5" t="s">
        <v>1530</v>
      </c>
      <c r="S647" s="13">
        <v>4.79</v>
      </c>
      <c r="T647" s="7" t="s">
        <v>836</v>
      </c>
      <c r="U647" s="1" t="s">
        <v>837</v>
      </c>
      <c r="V647" s="8">
        <f>I812</f>
        <v>1400.82</v>
      </c>
      <c r="W647" s="1" t="s">
        <v>836</v>
      </c>
      <c r="X647" s="8">
        <f t="shared" si="82"/>
        <v>6709.93</v>
      </c>
      <c r="AA647" s="13">
        <v>4.79</v>
      </c>
      <c r="AB647" s="7" t="s">
        <v>836</v>
      </c>
      <c r="AC647" s="1" t="s">
        <v>837</v>
      </c>
      <c r="AD647" s="8">
        <f t="shared" si="84"/>
        <v>1400.82</v>
      </c>
      <c r="AE647" s="1" t="s">
        <v>836</v>
      </c>
      <c r="AF647" s="8">
        <f t="shared" si="83"/>
        <v>6709.93</v>
      </c>
    </row>
    <row r="648" spans="1:32" ht="24" customHeight="1">
      <c r="A648" s="220">
        <f t="shared" si="81"/>
        <v>451</v>
      </c>
      <c r="B648" s="530" t="s">
        <v>4501</v>
      </c>
      <c r="C648" s="423">
        <v>178.9</v>
      </c>
      <c r="D648" s="221" t="s">
        <v>835</v>
      </c>
      <c r="K648" s="5" t="s">
        <v>1980</v>
      </c>
      <c r="O648" s="1" t="s">
        <v>1694</v>
      </c>
      <c r="R648" s="8">
        <f>SUM(R643:R646)</f>
        <v>2599.89</v>
      </c>
      <c r="S648" s="13">
        <v>3.5</v>
      </c>
      <c r="T648" s="7" t="s">
        <v>835</v>
      </c>
      <c r="U648" s="1" t="s">
        <v>1654</v>
      </c>
      <c r="V648" s="8">
        <f>C11</f>
        <v>804</v>
      </c>
      <c r="W648" s="1" t="s">
        <v>835</v>
      </c>
      <c r="X648" s="8">
        <f t="shared" si="82"/>
        <v>2814</v>
      </c>
      <c r="AA648" s="13">
        <v>3.5</v>
      </c>
      <c r="AB648" s="7" t="s">
        <v>835</v>
      </c>
      <c r="AC648" s="1" t="s">
        <v>1654</v>
      </c>
      <c r="AD648" s="8">
        <f t="shared" si="84"/>
        <v>804</v>
      </c>
      <c r="AE648" s="1" t="s">
        <v>835</v>
      </c>
      <c r="AF648" s="8">
        <f t="shared" si="83"/>
        <v>2814</v>
      </c>
    </row>
    <row r="649" spans="1:32" ht="24" customHeight="1">
      <c r="A649" s="220">
        <f t="shared" si="81"/>
        <v>452</v>
      </c>
      <c r="B649" s="530" t="s">
        <v>1581</v>
      </c>
      <c r="C649" s="423">
        <v>119.3</v>
      </c>
      <c r="D649" s="221" t="s">
        <v>835</v>
      </c>
      <c r="G649" s="7" t="s">
        <v>643</v>
      </c>
      <c r="H649" s="1" t="s">
        <v>956</v>
      </c>
      <c r="R649" s="5" t="s">
        <v>1530</v>
      </c>
      <c r="S649" s="13">
        <v>21.2</v>
      </c>
      <c r="T649" s="7" t="s">
        <v>835</v>
      </c>
      <c r="U649" s="1" t="s">
        <v>1836</v>
      </c>
      <c r="V649" s="8">
        <f>C12</f>
        <v>562</v>
      </c>
      <c r="W649" s="1" t="s">
        <v>835</v>
      </c>
      <c r="X649" s="8">
        <f t="shared" si="82"/>
        <v>11914.4</v>
      </c>
      <c r="AA649" s="13">
        <v>21.2</v>
      </c>
      <c r="AB649" s="7" t="s">
        <v>835</v>
      </c>
      <c r="AC649" s="1" t="s">
        <v>1836</v>
      </c>
      <c r="AD649" s="8">
        <f t="shared" si="84"/>
        <v>562</v>
      </c>
      <c r="AE649" s="1" t="s">
        <v>835</v>
      </c>
      <c r="AF649" s="8">
        <f t="shared" si="83"/>
        <v>11914.4</v>
      </c>
    </row>
    <row r="650" spans="1:32" ht="24" customHeight="1">
      <c r="A650" s="220">
        <f t="shared" si="81"/>
        <v>453</v>
      </c>
      <c r="B650" s="221" t="s">
        <v>1582</v>
      </c>
      <c r="C650" s="223"/>
      <c r="D650" s="221" t="s">
        <v>835</v>
      </c>
      <c r="H650" s="1" t="s">
        <v>1599</v>
      </c>
      <c r="S650" s="13">
        <v>35.299999999999997</v>
      </c>
      <c r="T650" s="7" t="s">
        <v>835</v>
      </c>
      <c r="U650" s="1" t="s">
        <v>299</v>
      </c>
      <c r="V650" s="8">
        <f>C13</f>
        <v>461</v>
      </c>
      <c r="W650" s="1" t="s">
        <v>835</v>
      </c>
      <c r="X650" s="8">
        <f t="shared" si="82"/>
        <v>16273.3</v>
      </c>
      <c r="AA650" s="13">
        <v>35.299999999999997</v>
      </c>
      <c r="AB650" s="7" t="s">
        <v>835</v>
      </c>
      <c r="AC650" s="1" t="s">
        <v>299</v>
      </c>
      <c r="AD650" s="8">
        <f t="shared" si="84"/>
        <v>461</v>
      </c>
      <c r="AE650" s="1" t="s">
        <v>835</v>
      </c>
      <c r="AF650" s="8">
        <f t="shared" si="83"/>
        <v>16273.3</v>
      </c>
    </row>
    <row r="651" spans="1:32" ht="24" customHeight="1">
      <c r="A651" s="220">
        <f t="shared" si="81"/>
        <v>454</v>
      </c>
      <c r="B651" s="530" t="s">
        <v>4503</v>
      </c>
      <c r="C651" s="423">
        <v>78.400000000000006</v>
      </c>
      <c r="D651" s="221" t="s">
        <v>835</v>
      </c>
      <c r="H651" s="5" t="s">
        <v>1530</v>
      </c>
      <c r="N651" s="1" t="s">
        <v>2167</v>
      </c>
      <c r="O651" s="1" t="s">
        <v>60</v>
      </c>
      <c r="S651" s="6">
        <v>19.5</v>
      </c>
      <c r="T651" s="3"/>
      <c r="U651" s="1" t="s">
        <v>3893</v>
      </c>
      <c r="V651" s="435">
        <f>C152</f>
        <v>42.8</v>
      </c>
      <c r="W651" s="1" t="s">
        <v>419</v>
      </c>
      <c r="X651" s="8">
        <f t="shared" si="82"/>
        <v>834.6</v>
      </c>
      <c r="AA651" s="6">
        <v>40</v>
      </c>
      <c r="AB651" s="3"/>
      <c r="AC651" s="1" t="s">
        <v>3893</v>
      </c>
      <c r="AD651" s="8">
        <f t="shared" si="84"/>
        <v>42.8</v>
      </c>
      <c r="AE651" s="1" t="s">
        <v>419</v>
      </c>
      <c r="AF651" s="8">
        <f t="shared" si="83"/>
        <v>1712</v>
      </c>
    </row>
    <row r="652" spans="1:32" ht="24" customHeight="1">
      <c r="A652" s="220">
        <f t="shared" si="81"/>
        <v>455</v>
      </c>
      <c r="B652" s="530" t="s">
        <v>1892</v>
      </c>
      <c r="C652" s="423">
        <v>52.9</v>
      </c>
      <c r="D652" s="221" t="s">
        <v>835</v>
      </c>
      <c r="F652" s="13">
        <v>1.4E-2</v>
      </c>
      <c r="G652" s="7" t="s">
        <v>836</v>
      </c>
      <c r="H652" s="1" t="s">
        <v>1275</v>
      </c>
      <c r="I652" s="8">
        <f>(K646)</f>
        <v>7194</v>
      </c>
      <c r="J652" s="1" t="s">
        <v>836</v>
      </c>
      <c r="K652" s="8">
        <f>(F652*I652)</f>
        <v>100.72</v>
      </c>
      <c r="O652" s="1" t="s">
        <v>1893</v>
      </c>
      <c r="S652"/>
      <c r="T652" s="3"/>
      <c r="W652" s="11"/>
      <c r="X652" s="5" t="s">
        <v>1530</v>
      </c>
      <c r="AB652" s="3"/>
      <c r="AE652" s="11"/>
      <c r="AF652" s="5" t="s">
        <v>1530</v>
      </c>
    </row>
    <row r="653" spans="1:32" ht="24" customHeight="1">
      <c r="A653" s="220">
        <f t="shared" si="81"/>
        <v>456</v>
      </c>
      <c r="B653" s="530" t="s">
        <v>1894</v>
      </c>
      <c r="C653" s="435">
        <v>32.799999999999997</v>
      </c>
      <c r="D653" s="221" t="s">
        <v>835</v>
      </c>
      <c r="F653" s="13"/>
      <c r="H653" s="1" t="s">
        <v>1717</v>
      </c>
      <c r="K653" s="1" t="s">
        <v>940</v>
      </c>
      <c r="O653" s="1" t="s">
        <v>1895</v>
      </c>
      <c r="S653"/>
      <c r="T653" s="3"/>
      <c r="U653" s="2" t="s">
        <v>583</v>
      </c>
      <c r="W653" s="11"/>
      <c r="X653" s="8">
        <f>SUM(X645:X651)</f>
        <v>65334.02</v>
      </c>
      <c r="AB653" s="3"/>
      <c r="AC653" s="2" t="s">
        <v>583</v>
      </c>
      <c r="AE653" s="11"/>
      <c r="AF653" s="8">
        <f>SUM(AF645:AF651)</f>
        <v>70681.42</v>
      </c>
    </row>
    <row r="654" spans="1:32" ht="24" customHeight="1">
      <c r="A654" s="220">
        <f t="shared" si="81"/>
        <v>457</v>
      </c>
      <c r="B654" s="221" t="s">
        <v>1896</v>
      </c>
      <c r="C654" s="545">
        <v>155.32</v>
      </c>
      <c r="D654" s="221" t="s">
        <v>835</v>
      </c>
      <c r="F654" s="8">
        <v>0.5</v>
      </c>
      <c r="G654" s="7" t="s">
        <v>739</v>
      </c>
      <c r="H654" s="1" t="s">
        <v>1938</v>
      </c>
      <c r="I654" s="8">
        <f>(C10)</f>
        <v>861</v>
      </c>
      <c r="J654" s="1" t="s">
        <v>739</v>
      </c>
      <c r="K654" s="8">
        <f>(F654*I654)</f>
        <v>430.5</v>
      </c>
      <c r="O654" s="5" t="s">
        <v>1530</v>
      </c>
      <c r="S654"/>
      <c r="T654" s="3"/>
      <c r="W654" s="11"/>
      <c r="X654" s="5" t="s">
        <v>1980</v>
      </c>
      <c r="AB654" s="3"/>
      <c r="AE654" s="11"/>
      <c r="AF654" s="5" t="s">
        <v>1980</v>
      </c>
    </row>
    <row r="655" spans="1:32" ht="24" customHeight="1">
      <c r="A655" s="220">
        <f t="shared" si="81"/>
        <v>458</v>
      </c>
      <c r="B655" s="221" t="s">
        <v>1710</v>
      </c>
      <c r="C655" s="545">
        <v>91.08</v>
      </c>
      <c r="D655" s="221" t="s">
        <v>835</v>
      </c>
      <c r="F655" s="8">
        <v>0.75</v>
      </c>
      <c r="G655" s="7" t="s">
        <v>739</v>
      </c>
      <c r="H655" s="1" t="s">
        <v>1836</v>
      </c>
      <c r="I655" s="8">
        <f>(C12)</f>
        <v>562</v>
      </c>
      <c r="J655" s="1" t="s">
        <v>739</v>
      </c>
      <c r="K655" s="8">
        <f>(F655*I655)</f>
        <v>421.5</v>
      </c>
      <c r="M655" s="8">
        <v>9.5</v>
      </c>
      <c r="N655" s="1" t="s">
        <v>836</v>
      </c>
      <c r="O655" s="1" t="s">
        <v>1600</v>
      </c>
      <c r="P655" s="8">
        <f>(C64*2)</f>
        <v>193.2</v>
      </c>
      <c r="Q655" s="1" t="s">
        <v>836</v>
      </c>
      <c r="R655" s="8">
        <f t="shared" ref="R655:R663" si="85">(M655*P655)</f>
        <v>1835.4</v>
      </c>
      <c r="S655"/>
      <c r="T655" s="3"/>
      <c r="U655" s="1" t="s">
        <v>743</v>
      </c>
      <c r="W655" s="11"/>
      <c r="X655" s="8">
        <f>X653/10</f>
        <v>6533.4</v>
      </c>
      <c r="AB655" s="3"/>
      <c r="AC655" s="1" t="s">
        <v>743</v>
      </c>
      <c r="AE655" s="11"/>
      <c r="AF655" s="8">
        <f>AF653/10</f>
        <v>7068.14</v>
      </c>
    </row>
    <row r="656" spans="1:32" ht="24" customHeight="1">
      <c r="A656" s="220">
        <f t="shared" si="81"/>
        <v>459</v>
      </c>
      <c r="B656" s="1" t="s">
        <v>4722</v>
      </c>
      <c r="C656" s="423">
        <v>42.3</v>
      </c>
      <c r="D656" s="221" t="s">
        <v>1591</v>
      </c>
      <c r="G656" s="7" t="s">
        <v>419</v>
      </c>
      <c r="H656" s="1" t="s">
        <v>420</v>
      </c>
      <c r="J656" s="1" t="s">
        <v>419</v>
      </c>
      <c r="K656" s="8">
        <v>0</v>
      </c>
      <c r="M656" s="8">
        <v>0.47</v>
      </c>
      <c r="N656" s="1" t="s">
        <v>836</v>
      </c>
      <c r="O656" s="1" t="s">
        <v>321</v>
      </c>
      <c r="P656" s="8">
        <f>(R64)</f>
        <v>5819.12</v>
      </c>
      <c r="Q656" s="1" t="s">
        <v>836</v>
      </c>
      <c r="R656" s="8">
        <f t="shared" si="85"/>
        <v>2734.99</v>
      </c>
      <c r="S656" s="8">
        <v>1</v>
      </c>
      <c r="T656" s="7" t="s">
        <v>836</v>
      </c>
      <c r="U656" s="1" t="s">
        <v>43</v>
      </c>
      <c r="V656" s="8"/>
      <c r="W656" s="11"/>
      <c r="X656" s="8"/>
      <c r="AA656" s="8">
        <v>1</v>
      </c>
      <c r="AB656" s="7" t="s">
        <v>836</v>
      </c>
      <c r="AC656" s="1" t="s">
        <v>43</v>
      </c>
      <c r="AD656" s="8"/>
      <c r="AE656" s="11"/>
      <c r="AF656" s="8"/>
    </row>
    <row r="657" spans="1:32" ht="24" customHeight="1">
      <c r="A657" s="220">
        <f t="shared" si="81"/>
        <v>460</v>
      </c>
      <c r="B657" s="221" t="s">
        <v>1777</v>
      </c>
      <c r="C657" s="545">
        <v>0.3</v>
      </c>
      <c r="D657" s="221" t="s">
        <v>835</v>
      </c>
      <c r="K657" s="5" t="s">
        <v>1530</v>
      </c>
      <c r="M657" s="8">
        <v>1.62</v>
      </c>
      <c r="N657" s="1" t="s">
        <v>836</v>
      </c>
      <c r="O657" s="1" t="s">
        <v>1907</v>
      </c>
      <c r="P657" s="8">
        <f>(R79)</f>
        <v>6294.36</v>
      </c>
      <c r="Q657" s="1" t="s">
        <v>836</v>
      </c>
      <c r="R657" s="8">
        <f t="shared" si="85"/>
        <v>10196.86</v>
      </c>
      <c r="X657" s="442">
        <f>SUM(X655:X656)</f>
        <v>6533.4</v>
      </c>
      <c r="AA657" s="51"/>
      <c r="AF657" s="442">
        <f>SUM(AF655:AF656)</f>
        <v>7068.14</v>
      </c>
    </row>
    <row r="658" spans="1:32" ht="24" customHeight="1">
      <c r="A658" s="220">
        <f t="shared" si="81"/>
        <v>461</v>
      </c>
      <c r="B658" s="1" t="s">
        <v>4723</v>
      </c>
      <c r="C658" s="423">
        <v>187.8</v>
      </c>
      <c r="D658" s="221" t="s">
        <v>578</v>
      </c>
      <c r="H658" s="1" t="s">
        <v>100</v>
      </c>
      <c r="K658" s="8">
        <f>SUM(K652:K656)</f>
        <v>952.72</v>
      </c>
      <c r="M658" s="8">
        <v>15.22</v>
      </c>
      <c r="N658" s="1" t="s">
        <v>578</v>
      </c>
      <c r="O658" s="1" t="s">
        <v>2054</v>
      </c>
      <c r="P658" s="8">
        <f>(R307)</f>
        <v>234.58</v>
      </c>
      <c r="Q658" s="1" t="s">
        <v>578</v>
      </c>
      <c r="R658" s="8">
        <f t="shared" si="85"/>
        <v>3570.31</v>
      </c>
      <c r="S658"/>
      <c r="T658" s="3"/>
      <c r="U658" t="s">
        <v>3894</v>
      </c>
      <c r="X658">
        <f>X657*0.5%</f>
        <v>32.67</v>
      </c>
      <c r="AB658" s="3"/>
      <c r="AC658" t="s">
        <v>3894</v>
      </c>
      <c r="AF658">
        <f>AF657*0.5%</f>
        <v>35.340000000000003</v>
      </c>
    </row>
    <row r="659" spans="1:32" ht="24" customHeight="1">
      <c r="A659" s="220">
        <f t="shared" si="81"/>
        <v>462</v>
      </c>
      <c r="B659" s="221" t="s">
        <v>1947</v>
      </c>
      <c r="C659" s="545">
        <v>97.31</v>
      </c>
      <c r="D659" s="221" t="s">
        <v>578</v>
      </c>
      <c r="K659" s="5" t="s">
        <v>1530</v>
      </c>
      <c r="M659" s="8">
        <v>0.18</v>
      </c>
      <c r="N659" s="1" t="s">
        <v>836</v>
      </c>
      <c r="O659" s="1" t="s">
        <v>1281</v>
      </c>
      <c r="P659" s="8">
        <f>(K283)</f>
        <v>7079.46</v>
      </c>
      <c r="Q659" s="1" t="s">
        <v>836</v>
      </c>
      <c r="R659" s="8">
        <f t="shared" si="85"/>
        <v>1274.3</v>
      </c>
      <c r="S659"/>
      <c r="T659" s="3"/>
      <c r="W659" s="11"/>
      <c r="X659" s="5"/>
      <c r="AB659" s="3"/>
      <c r="AE659" s="11"/>
      <c r="AF659" s="5"/>
    </row>
    <row r="660" spans="1:32" ht="24" customHeight="1">
      <c r="A660" s="220">
        <f t="shared" si="81"/>
        <v>463</v>
      </c>
      <c r="B660" s="530" t="s">
        <v>4724</v>
      </c>
      <c r="C660" s="423">
        <v>194.5</v>
      </c>
      <c r="D660" s="530" t="s">
        <v>1113</v>
      </c>
      <c r="H660" s="1" t="s">
        <v>521</v>
      </c>
      <c r="K660" s="8">
        <f>(K658/0.372)</f>
        <v>2561.08</v>
      </c>
      <c r="M660" s="8">
        <v>0.36</v>
      </c>
      <c r="N660" s="1" t="s">
        <v>578</v>
      </c>
      <c r="O660" s="1" t="s">
        <v>730</v>
      </c>
      <c r="P660" s="8">
        <f>(K470)</f>
        <v>360.11</v>
      </c>
      <c r="Q660" s="1" t="s">
        <v>578</v>
      </c>
      <c r="R660" s="8">
        <f t="shared" si="85"/>
        <v>129.63999999999999</v>
      </c>
      <c r="S660"/>
      <c r="T660" s="3"/>
      <c r="U660" t="s">
        <v>3523</v>
      </c>
      <c r="W660" s="11"/>
      <c r="X660" s="39">
        <f>SUM(X657:X659)</f>
        <v>6566.07</v>
      </c>
      <c r="AB660" s="3"/>
      <c r="AC660" t="s">
        <v>3523</v>
      </c>
      <c r="AE660" s="11"/>
      <c r="AF660" s="39">
        <f>SUM(AF657:AF659)</f>
        <v>7103.48</v>
      </c>
    </row>
    <row r="661" spans="1:32" ht="24" customHeight="1">
      <c r="A661" s="220">
        <f t="shared" si="81"/>
        <v>464</v>
      </c>
      <c r="B661" s="1" t="s">
        <v>4725</v>
      </c>
      <c r="C661" s="423">
        <v>194.5</v>
      </c>
      <c r="D661" s="530" t="s">
        <v>1113</v>
      </c>
      <c r="K661" s="5" t="s">
        <v>1980</v>
      </c>
      <c r="M661" s="8">
        <v>1</v>
      </c>
      <c r="N661" s="1" t="s">
        <v>835</v>
      </c>
      <c r="O661" s="1" t="s">
        <v>1125</v>
      </c>
      <c r="P661" s="8">
        <f>(C206)</f>
        <v>126.8</v>
      </c>
      <c r="Q661" s="1" t="s">
        <v>835</v>
      </c>
      <c r="R661" s="8">
        <f t="shared" si="85"/>
        <v>126.8</v>
      </c>
      <c r="S661"/>
      <c r="T661" s="3"/>
      <c r="W661" s="11"/>
      <c r="X661" s="5" t="s">
        <v>1530</v>
      </c>
      <c r="AB661" s="3"/>
      <c r="AE661" s="11"/>
      <c r="AF661" s="5" t="s">
        <v>1530</v>
      </c>
    </row>
    <row r="662" spans="1:32" ht="24" customHeight="1">
      <c r="A662" s="220">
        <f t="shared" si="81"/>
        <v>465</v>
      </c>
      <c r="B662" s="530" t="s">
        <v>1126</v>
      </c>
      <c r="C662" s="423">
        <v>3.88</v>
      </c>
      <c r="D662" s="530" t="s">
        <v>835</v>
      </c>
      <c r="E662" t="s">
        <v>146</v>
      </c>
      <c r="H662" s="1" t="s">
        <v>361</v>
      </c>
      <c r="I662">
        <f>K660</f>
        <v>2561.08</v>
      </c>
      <c r="J662" s="11">
        <f>C22*0.014/0.372</f>
        <v>3.89</v>
      </c>
      <c r="K662" s="39">
        <f>I662+J662</f>
        <v>2564.9699999999998</v>
      </c>
      <c r="M662" s="8">
        <v>1.8</v>
      </c>
      <c r="N662" s="1" t="s">
        <v>314</v>
      </c>
      <c r="O662" s="1" t="s">
        <v>315</v>
      </c>
      <c r="P662" s="8">
        <f>(C328)</f>
        <v>14.91</v>
      </c>
      <c r="Q662" s="1" t="s">
        <v>314</v>
      </c>
      <c r="R662" s="8">
        <f t="shared" si="85"/>
        <v>26.84</v>
      </c>
      <c r="S662"/>
      <c r="T662" s="3"/>
      <c r="U662" s="1" t="s">
        <v>361</v>
      </c>
      <c r="W662" s="11"/>
      <c r="X662" s="39">
        <f>(X660+C23)</f>
        <v>6769.57</v>
      </c>
      <c r="AB662" s="3"/>
      <c r="AC662" s="1" t="s">
        <v>361</v>
      </c>
      <c r="AE662" s="11"/>
      <c r="AF662" s="39">
        <f>AF660+C23</f>
        <v>7306.98</v>
      </c>
    </row>
    <row r="663" spans="1:32" ht="24" customHeight="1">
      <c r="A663" s="220">
        <f t="shared" si="81"/>
        <v>466</v>
      </c>
      <c r="B663" s="1" t="s">
        <v>4726</v>
      </c>
      <c r="C663" s="423">
        <v>62.6</v>
      </c>
      <c r="D663" s="444">
        <v>62.1</v>
      </c>
      <c r="E663" t="s">
        <v>4504</v>
      </c>
      <c r="H663" s="1" t="s">
        <v>363</v>
      </c>
      <c r="I663">
        <f>K662</f>
        <v>2564.9699999999998</v>
      </c>
      <c r="J663" s="11">
        <f>C23*0.014/0.372</f>
        <v>7.66</v>
      </c>
      <c r="K663" s="39">
        <f>I663+J663</f>
        <v>2572.63</v>
      </c>
      <c r="M663" s="8">
        <v>1</v>
      </c>
      <c r="N663" s="1" t="s">
        <v>835</v>
      </c>
      <c r="O663" s="1" t="s">
        <v>1846</v>
      </c>
      <c r="P663" s="8">
        <f>(C374)</f>
        <v>13.29</v>
      </c>
      <c r="Q663" s="1" t="s">
        <v>835</v>
      </c>
      <c r="R663" s="8">
        <f t="shared" si="85"/>
        <v>13.29</v>
      </c>
      <c r="S663"/>
      <c r="T663" s="3"/>
      <c r="U663" s="1" t="s">
        <v>363</v>
      </c>
      <c r="W663" s="11"/>
      <c r="X663" s="39">
        <f>X662+C24</f>
        <v>6973.07</v>
      </c>
      <c r="AB663" s="3"/>
      <c r="AC663" s="1" t="s">
        <v>363</v>
      </c>
      <c r="AE663" s="11"/>
      <c r="AF663" s="39">
        <f>AF662+C24</f>
        <v>7510.48</v>
      </c>
    </row>
    <row r="664" spans="1:32" ht="32.25" customHeight="1">
      <c r="A664" s="220">
        <f t="shared" si="81"/>
        <v>467</v>
      </c>
      <c r="B664" s="736" t="s">
        <v>4727</v>
      </c>
      <c r="C664" s="446">
        <v>9.1199999999999992</v>
      </c>
      <c r="D664" s="734" t="s">
        <v>1714</v>
      </c>
      <c r="E664" s="738">
        <v>15.53</v>
      </c>
      <c r="H664" s="1" t="s">
        <v>2149</v>
      </c>
      <c r="I664">
        <f>K663</f>
        <v>2572.63</v>
      </c>
      <c r="J664" s="11">
        <f>J663</f>
        <v>7.66</v>
      </c>
      <c r="K664" s="39">
        <f>I664+J664</f>
        <v>2580.29</v>
      </c>
      <c r="N664" s="1" t="s">
        <v>419</v>
      </c>
      <c r="O664" s="1" t="s">
        <v>319</v>
      </c>
      <c r="Q664" s="1" t="s">
        <v>419</v>
      </c>
      <c r="R664" s="8">
        <v>1.72</v>
      </c>
      <c r="S664"/>
      <c r="T664" s="3"/>
      <c r="U664" s="1" t="s">
        <v>2149</v>
      </c>
      <c r="W664" s="11"/>
      <c r="X664" s="39">
        <f>X663+C25</f>
        <v>7054.37</v>
      </c>
      <c r="AB664" s="3"/>
      <c r="AC664" s="1" t="s">
        <v>2149</v>
      </c>
      <c r="AE664" s="11"/>
      <c r="AF664" s="39">
        <f>AF663+C25</f>
        <v>7591.78</v>
      </c>
    </row>
    <row r="665" spans="1:32" ht="24" customHeight="1">
      <c r="A665" s="220">
        <f t="shared" si="81"/>
        <v>468</v>
      </c>
      <c r="B665" s="737" t="s">
        <v>4728</v>
      </c>
      <c r="C665" s="446">
        <v>15.43</v>
      </c>
      <c r="D665" s="734" t="s">
        <v>1714</v>
      </c>
      <c r="E665" s="738"/>
      <c r="H665" s="1" t="s">
        <v>355</v>
      </c>
      <c r="I665">
        <f>K664</f>
        <v>2580.29</v>
      </c>
      <c r="J665" s="11">
        <f>J664</f>
        <v>7.66</v>
      </c>
      <c r="K665" s="39">
        <f>I665+J665</f>
        <v>2587.9499999999998</v>
      </c>
      <c r="R665" s="1" t="s">
        <v>940</v>
      </c>
      <c r="S665"/>
      <c r="T665" s="3"/>
      <c r="U665" s="1" t="s">
        <v>355</v>
      </c>
      <c r="W665" s="11"/>
      <c r="X665" s="39">
        <f>X664+C25</f>
        <v>7135.67</v>
      </c>
      <c r="AB665" s="3"/>
      <c r="AC665" s="1" t="s">
        <v>355</v>
      </c>
      <c r="AE665" s="11"/>
      <c r="AF665" s="39">
        <f>AF664+C25</f>
        <v>7673.08</v>
      </c>
    </row>
    <row r="666" spans="1:32" ht="24" customHeight="1">
      <c r="A666" s="220">
        <f t="shared" si="81"/>
        <v>469</v>
      </c>
      <c r="B666" s="530" t="s">
        <v>4505</v>
      </c>
      <c r="C666" s="423">
        <v>8.1</v>
      </c>
      <c r="D666" s="444">
        <v>8.1</v>
      </c>
      <c r="E666">
        <v>2</v>
      </c>
      <c r="H666" s="1" t="s">
        <v>1312</v>
      </c>
      <c r="I666">
        <f>K665</f>
        <v>2587.9499999999998</v>
      </c>
      <c r="J666" s="11">
        <f>J665</f>
        <v>7.66</v>
      </c>
      <c r="K666" s="39">
        <f>I666+J666</f>
        <v>2595.61</v>
      </c>
      <c r="R666" s="5" t="s">
        <v>1530</v>
      </c>
      <c r="S666"/>
      <c r="T666" s="3"/>
      <c r="U666" s="1" t="s">
        <v>1477</v>
      </c>
      <c r="W666" s="11"/>
      <c r="X666" s="39">
        <f>X665+C25</f>
        <v>7216.97</v>
      </c>
      <c r="AB666" s="3"/>
      <c r="AC666" s="1" t="s">
        <v>1477</v>
      </c>
      <c r="AE666" s="11"/>
      <c r="AF666" s="39">
        <f>AF665+K25</f>
        <v>7673.08</v>
      </c>
    </row>
    <row r="667" spans="1:32" ht="24" customHeight="1">
      <c r="A667" s="220"/>
      <c r="B667" s="221"/>
      <c r="C667" s="52"/>
      <c r="D667" s="159"/>
      <c r="H667" s="1">
        <v>5</v>
      </c>
      <c r="I667">
        <f t="shared" ref="I667:I673" si="86">K666</f>
        <v>2595.61</v>
      </c>
      <c r="J667" s="11">
        <f t="shared" ref="J667:J673" si="87">J666</f>
        <v>7.66</v>
      </c>
      <c r="K667" s="39">
        <f t="shared" ref="K667:K673" si="88">I667+J667</f>
        <v>2603.27</v>
      </c>
      <c r="R667" s="5"/>
      <c r="S667"/>
      <c r="T667" s="3"/>
      <c r="U667" s="1">
        <v>5</v>
      </c>
      <c r="W667" s="11"/>
      <c r="X667" s="39">
        <f>X666+C25</f>
        <v>7298.27</v>
      </c>
      <c r="AB667" s="3"/>
      <c r="AC667" s="1">
        <v>5</v>
      </c>
      <c r="AE667" s="11"/>
      <c r="AF667" s="39">
        <f>AF666+K25</f>
        <v>7673.08</v>
      </c>
    </row>
    <row r="668" spans="1:32" ht="24" customHeight="1">
      <c r="A668" s="220"/>
      <c r="B668" s="221"/>
      <c r="C668" s="52"/>
      <c r="D668" s="159"/>
      <c r="H668" s="1">
        <v>6</v>
      </c>
      <c r="I668">
        <f t="shared" si="86"/>
        <v>2603.27</v>
      </c>
      <c r="J668" s="11">
        <f t="shared" si="87"/>
        <v>7.66</v>
      </c>
      <c r="K668" s="39">
        <f t="shared" si="88"/>
        <v>2610.9299999999998</v>
      </c>
      <c r="R668" s="5"/>
      <c r="AA668" s="51"/>
    </row>
    <row r="669" spans="1:32" ht="24" customHeight="1">
      <c r="A669" s="220"/>
      <c r="B669" s="221"/>
      <c r="C669" s="52"/>
      <c r="D669" s="159"/>
      <c r="H669" s="1">
        <v>7</v>
      </c>
      <c r="I669">
        <f t="shared" si="86"/>
        <v>2610.9299999999998</v>
      </c>
      <c r="J669" s="11">
        <f t="shared" si="87"/>
        <v>7.66</v>
      </c>
      <c r="K669" s="39">
        <f t="shared" si="88"/>
        <v>2618.59</v>
      </c>
      <c r="R669" s="5"/>
      <c r="AA669" s="51"/>
    </row>
    <row r="670" spans="1:32" ht="24" customHeight="1">
      <c r="A670" s="220"/>
      <c r="B670" s="221"/>
      <c r="C670" s="52"/>
      <c r="D670" s="159"/>
      <c r="H670" s="1">
        <v>8</v>
      </c>
      <c r="I670">
        <f t="shared" si="86"/>
        <v>2618.59</v>
      </c>
      <c r="J670" s="11">
        <f t="shared" si="87"/>
        <v>7.66</v>
      </c>
      <c r="K670" s="39">
        <f t="shared" si="88"/>
        <v>2626.25</v>
      </c>
      <c r="R670" s="5"/>
      <c r="AA670" s="51"/>
    </row>
    <row r="671" spans="1:32" ht="24" customHeight="1">
      <c r="A671" s="220"/>
      <c r="B671" s="221"/>
      <c r="C671" s="52"/>
      <c r="D671" s="159"/>
      <c r="H671" s="1">
        <v>9</v>
      </c>
      <c r="I671">
        <f t="shared" si="86"/>
        <v>2626.25</v>
      </c>
      <c r="J671" s="11">
        <f t="shared" si="87"/>
        <v>7.66</v>
      </c>
      <c r="K671" s="39">
        <f t="shared" si="88"/>
        <v>2633.91</v>
      </c>
      <c r="R671" s="5"/>
      <c r="AA671" s="51"/>
    </row>
    <row r="672" spans="1:32" ht="24" customHeight="1">
      <c r="A672" s="220"/>
      <c r="B672" s="221"/>
      <c r="C672" s="52"/>
      <c r="D672" s="159"/>
      <c r="H672" s="1">
        <v>10</v>
      </c>
      <c r="I672">
        <f t="shared" si="86"/>
        <v>2633.91</v>
      </c>
      <c r="J672" s="11">
        <f t="shared" si="87"/>
        <v>7.66</v>
      </c>
      <c r="K672" s="39">
        <f t="shared" si="88"/>
        <v>2641.57</v>
      </c>
      <c r="R672" s="5"/>
      <c r="AA672" s="51"/>
    </row>
    <row r="673" spans="1:33" ht="24" customHeight="1">
      <c r="A673" s="220"/>
      <c r="B673" s="221"/>
      <c r="C673" s="52"/>
      <c r="D673" s="159"/>
      <c r="H673" s="1">
        <v>11</v>
      </c>
      <c r="I673">
        <f t="shared" si="86"/>
        <v>2641.57</v>
      </c>
      <c r="J673" s="11">
        <f t="shared" si="87"/>
        <v>7.66</v>
      </c>
      <c r="K673" s="39">
        <f t="shared" si="88"/>
        <v>2649.23</v>
      </c>
      <c r="R673" s="5"/>
      <c r="AA673" s="51"/>
    </row>
    <row r="674" spans="1:33" ht="24" customHeight="1">
      <c r="A674" s="220"/>
      <c r="B674" s="221"/>
      <c r="C674" s="52"/>
      <c r="D674" s="159"/>
      <c r="H674" s="1"/>
      <c r="K674" s="39"/>
      <c r="R674" s="5"/>
      <c r="AA674" s="51"/>
    </row>
    <row r="675" spans="1:33" ht="28.5" customHeight="1">
      <c r="A675" s="220">
        <f>(A666+1)</f>
        <v>470</v>
      </c>
      <c r="B675" s="221" t="s">
        <v>169</v>
      </c>
      <c r="C675" s="52">
        <v>11.5</v>
      </c>
      <c r="D675" s="159">
        <v>11.7</v>
      </c>
      <c r="E675">
        <v>3.7</v>
      </c>
      <c r="F675" s="2" t="s">
        <v>1282</v>
      </c>
      <c r="H675" s="1" t="s">
        <v>729</v>
      </c>
      <c r="O675" s="1" t="s">
        <v>1694</v>
      </c>
      <c r="R675" s="8">
        <f>SUM(R655:R665)</f>
        <v>19910.150000000001</v>
      </c>
      <c r="AA675" s="51"/>
    </row>
    <row r="676" spans="1:33" ht="24" customHeight="1">
      <c r="A676" s="220">
        <f t="shared" si="81"/>
        <v>471</v>
      </c>
      <c r="B676" s="221" t="s">
        <v>170</v>
      </c>
      <c r="C676" s="545">
        <v>4</v>
      </c>
      <c r="D676" s="221" t="s">
        <v>419</v>
      </c>
      <c r="H676" s="1" t="s">
        <v>1352</v>
      </c>
      <c r="R676" s="5" t="s">
        <v>1530</v>
      </c>
      <c r="AE676" s="52" t="str">
        <f t="shared" ref="AE676:AE683" si="89">AG676</f>
        <v>|</v>
      </c>
      <c r="AG676" s="1" t="s">
        <v>2175</v>
      </c>
    </row>
    <row r="677" spans="1:33" ht="24" customHeight="1">
      <c r="A677" s="220">
        <f t="shared" si="81"/>
        <v>472</v>
      </c>
      <c r="B677" s="221" t="s">
        <v>389</v>
      </c>
      <c r="C677" s="545">
        <v>5</v>
      </c>
      <c r="D677" s="221" t="s">
        <v>419</v>
      </c>
      <c r="H677" s="1" t="s">
        <v>313</v>
      </c>
      <c r="O677" s="1" t="s">
        <v>1381</v>
      </c>
      <c r="T677" s="37">
        <v>4.2</v>
      </c>
      <c r="U677" s="37" t="s">
        <v>3886</v>
      </c>
      <c r="AE677" s="52" t="str">
        <f t="shared" si="89"/>
        <v>|</v>
      </c>
      <c r="AG677" s="1" t="s">
        <v>2175</v>
      </c>
    </row>
    <row r="678" spans="1:33" ht="24" customHeight="1">
      <c r="A678" s="220">
        <f t="shared" si="81"/>
        <v>473</v>
      </c>
      <c r="B678" s="221" t="s">
        <v>1542</v>
      </c>
      <c r="C678" s="545">
        <v>96</v>
      </c>
      <c r="D678" s="221" t="s">
        <v>835</v>
      </c>
      <c r="H678" s="1" t="s">
        <v>1446</v>
      </c>
      <c r="N678" s="1" t="s">
        <v>2167</v>
      </c>
      <c r="O678" s="1" t="s">
        <v>1544</v>
      </c>
      <c r="S678" s="51">
        <v>5</v>
      </c>
      <c r="T678" t="s">
        <v>1289</v>
      </c>
      <c r="U678" t="s">
        <v>3895</v>
      </c>
      <c r="V678">
        <f>V708</f>
        <v>1581.38</v>
      </c>
      <c r="X678">
        <f>V678*S678</f>
        <v>7906.9</v>
      </c>
      <c r="AE678" s="52" t="str">
        <f t="shared" si="89"/>
        <v>|</v>
      </c>
      <c r="AG678" s="1" t="s">
        <v>2175</v>
      </c>
    </row>
    <row r="679" spans="1:33" ht="24" customHeight="1">
      <c r="A679" s="220">
        <f t="shared" si="81"/>
        <v>474</v>
      </c>
      <c r="B679" s="221" t="s">
        <v>1545</v>
      </c>
      <c r="C679" s="545">
        <v>75</v>
      </c>
      <c r="D679" s="221" t="s">
        <v>835</v>
      </c>
      <c r="H679" s="1" t="s">
        <v>165</v>
      </c>
      <c r="O679" s="1" t="s">
        <v>1546</v>
      </c>
      <c r="S679" s="51">
        <v>3.3</v>
      </c>
      <c r="T679" t="s">
        <v>1289</v>
      </c>
      <c r="U679" t="s">
        <v>3896</v>
      </c>
      <c r="V679">
        <f t="shared" ref="V679:V688" si="90">V709</f>
        <v>1302.3800000000001</v>
      </c>
      <c r="X679">
        <f t="shared" ref="X679:X685" si="91">V679*S679</f>
        <v>4297.8500000000004</v>
      </c>
      <c r="AE679" s="52" t="str">
        <f t="shared" si="89"/>
        <v>|</v>
      </c>
      <c r="AG679" s="1" t="s">
        <v>2175</v>
      </c>
    </row>
    <row r="680" spans="1:33" ht="24" customHeight="1">
      <c r="A680" s="220">
        <f t="shared" si="81"/>
        <v>475</v>
      </c>
      <c r="B680" s="221" t="s">
        <v>1547</v>
      </c>
      <c r="C680" s="52">
        <v>32.700000000000003</v>
      </c>
      <c r="D680" s="52">
        <v>40.9</v>
      </c>
      <c r="E680">
        <v>3</v>
      </c>
      <c r="H680" s="1" t="s">
        <v>167</v>
      </c>
      <c r="O680" s="5" t="s">
        <v>1530</v>
      </c>
      <c r="S680" s="51">
        <v>4.79</v>
      </c>
      <c r="T680" t="s">
        <v>1289</v>
      </c>
      <c r="U680" t="s">
        <v>3897</v>
      </c>
      <c r="V680">
        <f t="shared" si="90"/>
        <v>1400.82</v>
      </c>
      <c r="X680">
        <f t="shared" si="91"/>
        <v>6709.93</v>
      </c>
      <c r="AE680" s="52" t="str">
        <f t="shared" si="89"/>
        <v>|</v>
      </c>
      <c r="AG680" s="1" t="s">
        <v>2175</v>
      </c>
    </row>
    <row r="681" spans="1:33" ht="24" customHeight="1">
      <c r="A681" s="220">
        <f t="shared" si="81"/>
        <v>476</v>
      </c>
      <c r="B681" s="221" t="s">
        <v>1525</v>
      </c>
      <c r="C681" s="545">
        <v>80</v>
      </c>
      <c r="D681" s="221" t="s">
        <v>835</v>
      </c>
      <c r="H681" s="1" t="s">
        <v>168</v>
      </c>
      <c r="M681" s="8">
        <v>1</v>
      </c>
      <c r="N681" s="1" t="s">
        <v>835</v>
      </c>
      <c r="O681" s="1" t="s">
        <v>1527</v>
      </c>
      <c r="P681" s="8">
        <f>(C386)</f>
        <v>14.91</v>
      </c>
      <c r="Q681" s="1" t="s">
        <v>835</v>
      </c>
      <c r="R681" s="8">
        <f>(M681*P681)</f>
        <v>14.91</v>
      </c>
      <c r="S681" s="51">
        <v>4</v>
      </c>
      <c r="T681" t="s">
        <v>494</v>
      </c>
      <c r="U681" t="s">
        <v>364</v>
      </c>
      <c r="V681">
        <f t="shared" si="90"/>
        <v>5960</v>
      </c>
      <c r="X681">
        <f t="shared" si="91"/>
        <v>23840</v>
      </c>
      <c r="AE681" s="52" t="str">
        <f t="shared" si="89"/>
        <v>|</v>
      </c>
      <c r="AG681" s="1" t="s">
        <v>2175</v>
      </c>
    </row>
    <row r="682" spans="1:33" ht="24" customHeight="1">
      <c r="A682" s="220">
        <f t="shared" si="81"/>
        <v>477</v>
      </c>
      <c r="B682" s="221" t="s">
        <v>133</v>
      </c>
      <c r="C682" s="545">
        <v>64</v>
      </c>
      <c r="D682" s="221" t="s">
        <v>835</v>
      </c>
      <c r="H682" s="5" t="s">
        <v>1530</v>
      </c>
      <c r="I682" s="5" t="s">
        <v>1530</v>
      </c>
      <c r="N682" s="1" t="s">
        <v>419</v>
      </c>
      <c r="O682" s="1" t="s">
        <v>134</v>
      </c>
      <c r="Q682" s="1" t="s">
        <v>419</v>
      </c>
      <c r="R682" s="8">
        <v>2.09</v>
      </c>
      <c r="S682" s="51">
        <v>40</v>
      </c>
      <c r="T682" t="s">
        <v>1591</v>
      </c>
      <c r="U682" t="s">
        <v>3904</v>
      </c>
      <c r="V682">
        <f>V651</f>
        <v>42.8</v>
      </c>
      <c r="X682">
        <f t="shared" si="91"/>
        <v>1712</v>
      </c>
      <c r="AE682" s="52" t="str">
        <f t="shared" si="89"/>
        <v>|</v>
      </c>
      <c r="AG682" s="1" t="s">
        <v>2175</v>
      </c>
    </row>
    <row r="683" spans="1:33" ht="24" customHeight="1">
      <c r="A683" s="220">
        <f t="shared" si="81"/>
        <v>478</v>
      </c>
      <c r="B683" s="221" t="s">
        <v>135</v>
      </c>
      <c r="C683" s="545">
        <v>40.5</v>
      </c>
      <c r="D683" s="221" t="s">
        <v>835</v>
      </c>
      <c r="F683" s="8">
        <v>1</v>
      </c>
      <c r="G683" s="7" t="s">
        <v>578</v>
      </c>
      <c r="H683" s="1" t="s">
        <v>171</v>
      </c>
      <c r="I683" s="8">
        <f>D79</f>
        <v>290</v>
      </c>
      <c r="J683" s="1" t="s">
        <v>578</v>
      </c>
      <c r="K683" s="8">
        <f>(F683*I683)</f>
        <v>290</v>
      </c>
      <c r="O683" s="1" t="s">
        <v>136</v>
      </c>
      <c r="R683" s="1" t="s">
        <v>940</v>
      </c>
      <c r="S683" s="51">
        <v>3.5</v>
      </c>
      <c r="T683" t="s">
        <v>1375</v>
      </c>
      <c r="U683" t="s">
        <v>435</v>
      </c>
      <c r="V683">
        <f t="shared" si="90"/>
        <v>804</v>
      </c>
      <c r="X683">
        <f>V683*S683</f>
        <v>2814</v>
      </c>
      <c r="AE683" s="52" t="str">
        <f t="shared" si="89"/>
        <v>|</v>
      </c>
      <c r="AG683" s="1" t="s">
        <v>2175</v>
      </c>
    </row>
    <row r="684" spans="1:33" ht="24" customHeight="1">
      <c r="A684" s="220">
        <f t="shared" si="81"/>
        <v>479</v>
      </c>
      <c r="B684" s="221" t="s">
        <v>1404</v>
      </c>
      <c r="C684" s="545">
        <v>92</v>
      </c>
      <c r="D684" s="221" t="s">
        <v>835</v>
      </c>
      <c r="F684" s="8">
        <v>1</v>
      </c>
      <c r="G684" s="7" t="s">
        <v>578</v>
      </c>
      <c r="H684" s="1" t="s">
        <v>1380</v>
      </c>
      <c r="I684" s="8">
        <f>C78</f>
        <v>175</v>
      </c>
      <c r="J684" s="1" t="s">
        <v>578</v>
      </c>
      <c r="K684" s="8">
        <f>(F684*I684)</f>
        <v>175</v>
      </c>
      <c r="R684" s="5" t="s">
        <v>1530</v>
      </c>
      <c r="S684" s="51">
        <v>21.2</v>
      </c>
      <c r="T684" t="s">
        <v>1375</v>
      </c>
      <c r="U684" t="s">
        <v>3414</v>
      </c>
      <c r="V684">
        <f t="shared" si="90"/>
        <v>562</v>
      </c>
      <c r="X684">
        <f t="shared" si="91"/>
        <v>11914.4</v>
      </c>
      <c r="AE684" s="52">
        <f>32.32*100</f>
        <v>3232</v>
      </c>
      <c r="AG684" s="1" t="s">
        <v>2175</v>
      </c>
    </row>
    <row r="685" spans="1:33" ht="24" customHeight="1">
      <c r="A685" s="220">
        <f t="shared" si="81"/>
        <v>480</v>
      </c>
      <c r="B685" s="221" t="s">
        <v>1510</v>
      </c>
      <c r="C685" s="545">
        <v>60</v>
      </c>
      <c r="D685" s="221" t="s">
        <v>835</v>
      </c>
      <c r="F685" s="8">
        <v>1</v>
      </c>
      <c r="G685" s="7" t="s">
        <v>419</v>
      </c>
      <c r="H685" s="1" t="s">
        <v>1543</v>
      </c>
      <c r="I685" s="492">
        <v>15</v>
      </c>
      <c r="J685" s="1" t="s">
        <v>419</v>
      </c>
      <c r="K685" s="8">
        <f>(F685*I685)</f>
        <v>15</v>
      </c>
      <c r="O685" s="1" t="s">
        <v>1511</v>
      </c>
      <c r="R685" s="8">
        <f>SUM(R681:R683)</f>
        <v>17</v>
      </c>
      <c r="S685" s="51">
        <v>35.299999999999997</v>
      </c>
      <c r="T685" t="s">
        <v>1375</v>
      </c>
      <c r="U685" t="s">
        <v>3415</v>
      </c>
      <c r="V685">
        <f>V715</f>
        <v>461</v>
      </c>
      <c r="X685">
        <f t="shared" si="91"/>
        <v>16273.3</v>
      </c>
      <c r="AE685" s="52">
        <f>48.824*100</f>
        <v>4882.3999999999996</v>
      </c>
      <c r="AG685" s="1" t="s">
        <v>2175</v>
      </c>
    </row>
    <row r="686" spans="1:33" ht="24" customHeight="1">
      <c r="A686" s="220">
        <f t="shared" si="81"/>
        <v>481</v>
      </c>
      <c r="B686" s="221" t="s">
        <v>1311</v>
      </c>
      <c r="C686" s="545">
        <v>49.87</v>
      </c>
      <c r="D686" s="221" t="s">
        <v>835</v>
      </c>
      <c r="K686" s="5" t="s">
        <v>1530</v>
      </c>
      <c r="R686" s="5" t="s">
        <v>1530</v>
      </c>
      <c r="U686" s="37" t="s">
        <v>3899</v>
      </c>
      <c r="X686" s="37">
        <f>SUM(X678:X685)</f>
        <v>75468.38</v>
      </c>
      <c r="AA686" s="51">
        <f>22.77+26.054</f>
        <v>48.823999999999998</v>
      </c>
      <c r="AE686" s="52">
        <f>0.52*100</f>
        <v>52</v>
      </c>
      <c r="AG686" s="1" t="s">
        <v>2175</v>
      </c>
    </row>
    <row r="687" spans="1:33" ht="24" customHeight="1">
      <c r="A687" s="220">
        <f t="shared" si="81"/>
        <v>482</v>
      </c>
      <c r="B687" s="221" t="s">
        <v>1751</v>
      </c>
      <c r="C687" s="545">
        <v>80</v>
      </c>
      <c r="D687" s="221" t="s">
        <v>835</v>
      </c>
      <c r="H687" s="1" t="s">
        <v>521</v>
      </c>
      <c r="K687" s="8">
        <f>SUM(K681:K685)</f>
        <v>480</v>
      </c>
      <c r="U687" s="37" t="s">
        <v>3900</v>
      </c>
      <c r="X687" s="37">
        <f>X686/10</f>
        <v>7546.84</v>
      </c>
      <c r="Y687">
        <f>X687</f>
        <v>7546.84</v>
      </c>
      <c r="AC687">
        <f>26.19*0.02</f>
        <v>0.52</v>
      </c>
      <c r="AE687" s="52">
        <f>0.397*100</f>
        <v>39.700000000000003</v>
      </c>
      <c r="AF687">
        <f>AE684+AE685+AE686+AE687</f>
        <v>8206.1</v>
      </c>
      <c r="AG687" s="1" t="s">
        <v>2175</v>
      </c>
    </row>
    <row r="688" spans="1:33" ht="24" customHeight="1">
      <c r="A688" s="220">
        <f t="shared" si="81"/>
        <v>483</v>
      </c>
      <c r="B688" s="221" t="s">
        <v>1753</v>
      </c>
      <c r="C688" s="545">
        <v>52</v>
      </c>
      <c r="D688" s="221" t="s">
        <v>835</v>
      </c>
      <c r="H688" s="1" t="s">
        <v>1526</v>
      </c>
      <c r="K688" s="5" t="s">
        <v>1980</v>
      </c>
      <c r="N688" s="1" t="s">
        <v>2167</v>
      </c>
      <c r="O688" s="1" t="s">
        <v>861</v>
      </c>
      <c r="S688" s="51">
        <v>1</v>
      </c>
      <c r="T688" t="s">
        <v>1289</v>
      </c>
      <c r="U688" t="s">
        <v>3929</v>
      </c>
      <c r="V688">
        <f t="shared" si="90"/>
        <v>81.3</v>
      </c>
      <c r="X688">
        <f>V688</f>
        <v>81.3</v>
      </c>
      <c r="AC688" s="51">
        <f>9.92*0.04</f>
        <v>0.39700000000000002</v>
      </c>
      <c r="AE688" s="52" t="str">
        <f t="shared" ref="AE688:AE698" si="92">AG688</f>
        <v>|</v>
      </c>
      <c r="AG688" s="1" t="s">
        <v>2175</v>
      </c>
    </row>
    <row r="689" spans="1:33" ht="24" customHeight="1">
      <c r="A689" s="220">
        <f t="shared" si="81"/>
        <v>484</v>
      </c>
      <c r="B689" s="221" t="s">
        <v>1143</v>
      </c>
      <c r="C689" s="545">
        <v>39</v>
      </c>
      <c r="D689" s="221" t="s">
        <v>835</v>
      </c>
      <c r="H689" s="1" t="s">
        <v>361</v>
      </c>
      <c r="I689">
        <f>K687</f>
        <v>480</v>
      </c>
      <c r="J689" s="11">
        <f>C19*0.05</f>
        <v>3.4</v>
      </c>
      <c r="K689" s="39">
        <f>I689+J689</f>
        <v>483.4</v>
      </c>
      <c r="O689" s="1" t="s">
        <v>1546</v>
      </c>
      <c r="U689" t="s">
        <v>3901</v>
      </c>
      <c r="X689" s="37">
        <f>SUM(X687:X688)</f>
        <v>7628.14</v>
      </c>
      <c r="Y689">
        <f>SUM(Y687:Y688)</f>
        <v>7546.84</v>
      </c>
      <c r="AE689" s="52" t="str">
        <f t="shared" si="92"/>
        <v>|</v>
      </c>
      <c r="AF689">
        <f>SUM(AF687:AF688)</f>
        <v>8206.1</v>
      </c>
      <c r="AG689" s="1" t="s">
        <v>2175</v>
      </c>
    </row>
    <row r="690" spans="1:33" ht="24" customHeight="1">
      <c r="A690" s="220">
        <f t="shared" si="81"/>
        <v>485</v>
      </c>
      <c r="B690" s="221" t="s">
        <v>1206</v>
      </c>
      <c r="C690" s="545">
        <v>90</v>
      </c>
      <c r="D690" s="221" t="s">
        <v>835</v>
      </c>
      <c r="H690" s="1" t="s">
        <v>363</v>
      </c>
      <c r="I690">
        <f>K689</f>
        <v>483.4</v>
      </c>
      <c r="J690" s="11">
        <f>C20*0.05</f>
        <v>6.86</v>
      </c>
      <c r="K690" s="39">
        <f>I690+J690</f>
        <v>490.26</v>
      </c>
      <c r="O690" s="5" t="s">
        <v>1530</v>
      </c>
      <c r="S690" s="420" t="s">
        <v>625</v>
      </c>
      <c r="U690" t="s">
        <v>3902</v>
      </c>
      <c r="V690" s="420" t="s">
        <v>625</v>
      </c>
      <c r="X690">
        <f>X689*0.5%</f>
        <v>38.14</v>
      </c>
      <c r="Y690">
        <f>Y689*0.5/100</f>
        <v>37.729999999999997</v>
      </c>
      <c r="AE690" s="52" t="str">
        <f t="shared" si="92"/>
        <v>|</v>
      </c>
      <c r="AF690">
        <f>AF689/185.82</f>
        <v>44.16</v>
      </c>
      <c r="AG690" s="1" t="s">
        <v>2175</v>
      </c>
    </row>
    <row r="691" spans="1:33" ht="30.75" customHeight="1">
      <c r="A691" s="220">
        <f t="shared" si="81"/>
        <v>486</v>
      </c>
      <c r="B691" s="221" t="s">
        <v>1207</v>
      </c>
      <c r="C691" s="545">
        <v>60</v>
      </c>
      <c r="D691" s="221" t="s">
        <v>835</v>
      </c>
      <c r="H691" s="1" t="s">
        <v>2149</v>
      </c>
      <c r="I691">
        <f>K690</f>
        <v>490.26</v>
      </c>
      <c r="J691" s="11">
        <f>J690</f>
        <v>6.86</v>
      </c>
      <c r="K691" s="39">
        <f>I691+J691</f>
        <v>497.12</v>
      </c>
      <c r="M691" s="8">
        <v>1</v>
      </c>
      <c r="N691" s="1" t="s">
        <v>835</v>
      </c>
      <c r="O691" s="1" t="s">
        <v>1045</v>
      </c>
      <c r="P691" s="8">
        <f>(C387)</f>
        <v>17.579999999999998</v>
      </c>
      <c r="Q691" s="1" t="s">
        <v>835</v>
      </c>
      <c r="R691" s="8">
        <f>(M691*P691)</f>
        <v>17.579999999999998</v>
      </c>
      <c r="T691" s="3"/>
      <c r="U691" s="37" t="s">
        <v>3523</v>
      </c>
      <c r="W691" s="11"/>
      <c r="X691" s="39">
        <f>SUM(X689:X690)</f>
        <v>7666.28</v>
      </c>
      <c r="Y691" s="37">
        <f>SUM(Y689:Y690)</f>
        <v>7584.57</v>
      </c>
      <c r="Z691" s="412" t="s">
        <v>3913</v>
      </c>
      <c r="AE691" s="52" t="str">
        <f t="shared" si="92"/>
        <v>|</v>
      </c>
      <c r="AF691">
        <f>AF689/1000</f>
        <v>8.2100000000000009</v>
      </c>
      <c r="AG691" s="1" t="s">
        <v>2175</v>
      </c>
    </row>
    <row r="692" spans="1:33" ht="17.25" customHeight="1">
      <c r="A692" s="220">
        <f t="shared" si="81"/>
        <v>487</v>
      </c>
      <c r="B692" s="221" t="s">
        <v>1046</v>
      </c>
      <c r="C692" s="545">
        <v>43.5</v>
      </c>
      <c r="D692" s="221" t="s">
        <v>835</v>
      </c>
      <c r="H692" s="1" t="s">
        <v>355</v>
      </c>
      <c r="I692">
        <f>K691</f>
        <v>497.12</v>
      </c>
      <c r="J692" s="11">
        <f>J691</f>
        <v>6.86</v>
      </c>
      <c r="K692" s="39">
        <f>I692+J692</f>
        <v>503.98</v>
      </c>
      <c r="N692" s="1" t="s">
        <v>419</v>
      </c>
      <c r="O692" s="1" t="s">
        <v>134</v>
      </c>
      <c r="Q692" s="1" t="s">
        <v>419</v>
      </c>
      <c r="R692" s="8">
        <v>2.09</v>
      </c>
      <c r="T692" s="3"/>
      <c r="W692" s="11"/>
      <c r="X692" s="5" t="s">
        <v>1530</v>
      </c>
      <c r="AE692" s="52" t="str">
        <f t="shared" si="92"/>
        <v>|</v>
      </c>
      <c r="AF692">
        <f>185.82*10.764</f>
        <v>2000.17</v>
      </c>
      <c r="AG692" s="1" t="s">
        <v>2175</v>
      </c>
    </row>
    <row r="693" spans="1:33" ht="24" customHeight="1">
      <c r="A693" s="220">
        <f t="shared" si="81"/>
        <v>488</v>
      </c>
      <c r="B693" s="221" t="s">
        <v>232</v>
      </c>
      <c r="C693" s="545">
        <v>75</v>
      </c>
      <c r="D693" s="221" t="s">
        <v>835</v>
      </c>
      <c r="H693" s="1" t="s">
        <v>1312</v>
      </c>
      <c r="I693">
        <f>K692</f>
        <v>503.98</v>
      </c>
      <c r="J693" s="11">
        <f>J692</f>
        <v>6.86</v>
      </c>
      <c r="K693" s="39">
        <f>I693+J693</f>
        <v>510.84</v>
      </c>
      <c r="O693" s="1" t="s">
        <v>136</v>
      </c>
      <c r="R693" s="1" t="s">
        <v>940</v>
      </c>
      <c r="T693" s="3"/>
      <c r="U693" s="1" t="s">
        <v>361</v>
      </c>
      <c r="W693" s="11"/>
      <c r="X693" s="39">
        <f>(X691+C22)</f>
        <v>7769.58</v>
      </c>
      <c r="AE693" s="52" t="str">
        <f t="shared" si="92"/>
        <v>|</v>
      </c>
      <c r="AF693">
        <f>AF689/AF692</f>
        <v>4.0999999999999996</v>
      </c>
      <c r="AG693" s="1" t="s">
        <v>2175</v>
      </c>
    </row>
    <row r="694" spans="1:33" ht="24" customHeight="1">
      <c r="A694" s="220">
        <f t="shared" si="81"/>
        <v>489</v>
      </c>
      <c r="B694" s="221" t="s">
        <v>1953</v>
      </c>
      <c r="C694" s="545">
        <v>52</v>
      </c>
      <c r="D694" s="221" t="s">
        <v>835</v>
      </c>
      <c r="F694" s="2" t="s">
        <v>1752</v>
      </c>
      <c r="H694" s="1" t="s">
        <v>729</v>
      </c>
      <c r="R694" s="5" t="s">
        <v>1530</v>
      </c>
      <c r="T694" s="3"/>
      <c r="U694" s="1" t="s">
        <v>363</v>
      </c>
      <c r="W694" s="11"/>
      <c r="X694" s="39">
        <f>(X693+C24)</f>
        <v>7973.08</v>
      </c>
      <c r="AE694" s="52" t="str">
        <f t="shared" si="92"/>
        <v>|</v>
      </c>
      <c r="AF694">
        <f>924.2/8.21</f>
        <v>112.57</v>
      </c>
      <c r="AG694" s="1" t="s">
        <v>2175</v>
      </c>
    </row>
    <row r="695" spans="1:33" ht="24" customHeight="1">
      <c r="A695" s="220">
        <f t="shared" si="81"/>
        <v>490</v>
      </c>
      <c r="B695" s="221" t="s">
        <v>1143</v>
      </c>
      <c r="C695" s="545">
        <v>35.25</v>
      </c>
      <c r="D695" s="221" t="s">
        <v>835</v>
      </c>
      <c r="H695" s="1" t="s">
        <v>1754</v>
      </c>
      <c r="O695" s="1" t="s">
        <v>1511</v>
      </c>
      <c r="R695" s="8">
        <f>SUM(R691:R693)</f>
        <v>19.670000000000002</v>
      </c>
      <c r="T695" s="3"/>
      <c r="U695" s="1" t="s">
        <v>2149</v>
      </c>
      <c r="W695" s="11"/>
      <c r="X695" s="39">
        <f>(X694+C24)</f>
        <v>8176.58</v>
      </c>
      <c r="AE695" s="52" t="str">
        <f t="shared" si="92"/>
        <v>|</v>
      </c>
      <c r="AG695" s="1" t="s">
        <v>2175</v>
      </c>
    </row>
    <row r="696" spans="1:33" ht="24" customHeight="1">
      <c r="A696" s="220">
        <f t="shared" si="81"/>
        <v>491</v>
      </c>
      <c r="B696" s="221" t="s">
        <v>890</v>
      </c>
      <c r="C696" s="545">
        <v>37.5</v>
      </c>
      <c r="D696" s="221" t="s">
        <v>835</v>
      </c>
      <c r="H696" s="1" t="s">
        <v>313</v>
      </c>
      <c r="R696" s="5" t="s">
        <v>1530</v>
      </c>
      <c r="T696" s="3"/>
      <c r="U696" s="1" t="s">
        <v>355</v>
      </c>
      <c r="W696" s="11"/>
      <c r="X696" s="39">
        <f>(X695+C24)</f>
        <v>8380.08</v>
      </c>
      <c r="AE696" s="52" t="str">
        <f t="shared" si="92"/>
        <v>|</v>
      </c>
      <c r="AG696" s="1" t="s">
        <v>2175</v>
      </c>
    </row>
    <row r="697" spans="1:33" ht="24" customHeight="1">
      <c r="A697" s="220">
        <f t="shared" si="81"/>
        <v>492</v>
      </c>
      <c r="B697" s="221" t="s">
        <v>891</v>
      </c>
      <c r="C697" s="545">
        <v>24</v>
      </c>
      <c r="D697" s="221" t="s">
        <v>835</v>
      </c>
      <c r="H697" s="1" t="s">
        <v>1446</v>
      </c>
      <c r="O697" t="s">
        <v>234</v>
      </c>
      <c r="T697" s="3"/>
      <c r="U697" s="1" t="s">
        <v>1477</v>
      </c>
      <c r="W697" s="11"/>
      <c r="X697" s="39">
        <f>(X696+C24)</f>
        <v>8583.58</v>
      </c>
      <c r="AE697" s="52" t="str">
        <f t="shared" si="92"/>
        <v>|</v>
      </c>
      <c r="AG697" s="1" t="s">
        <v>2175</v>
      </c>
    </row>
    <row r="698" spans="1:33" ht="24" customHeight="1">
      <c r="A698" s="220">
        <f t="shared" si="81"/>
        <v>493</v>
      </c>
      <c r="B698" s="221" t="s">
        <v>892</v>
      </c>
      <c r="C698" s="545">
        <v>16</v>
      </c>
      <c r="D698" s="221" t="s">
        <v>835</v>
      </c>
      <c r="H698" s="1" t="s">
        <v>165</v>
      </c>
      <c r="N698" s="1" t="s">
        <v>2167</v>
      </c>
      <c r="O698" s="1" t="s">
        <v>446</v>
      </c>
      <c r="X698">
        <f>X697+C24</f>
        <v>8787.08</v>
      </c>
      <c r="AE698" s="52" t="str">
        <f t="shared" si="92"/>
        <v>|</v>
      </c>
      <c r="AG698" s="1" t="s">
        <v>2175</v>
      </c>
    </row>
    <row r="699" spans="1:33" ht="24" customHeight="1">
      <c r="A699" s="220">
        <f t="shared" si="81"/>
        <v>494</v>
      </c>
      <c r="B699" s="1" t="s">
        <v>4729</v>
      </c>
      <c r="C699" s="52">
        <v>31.8</v>
      </c>
      <c r="D699" s="221" t="s">
        <v>835</v>
      </c>
      <c r="H699" s="1" t="s">
        <v>167</v>
      </c>
      <c r="O699" s="1" t="s">
        <v>1546</v>
      </c>
      <c r="X699">
        <f>X698+C24</f>
        <v>8990.58</v>
      </c>
      <c r="AE699" s="52" t="str">
        <f t="shared" ref="AE699:AE762" si="93">AG699</f>
        <v>|</v>
      </c>
      <c r="AG699" s="1" t="s">
        <v>2175</v>
      </c>
    </row>
    <row r="700" spans="1:33" ht="24" customHeight="1">
      <c r="A700" s="220">
        <f t="shared" si="81"/>
        <v>495</v>
      </c>
      <c r="B700" s="221" t="s">
        <v>3776</v>
      </c>
      <c r="C700" s="545">
        <v>6</v>
      </c>
      <c r="D700" s="221" t="s">
        <v>835</v>
      </c>
      <c r="H700" s="1" t="s">
        <v>1990</v>
      </c>
      <c r="O700" s="5" t="s">
        <v>1530</v>
      </c>
      <c r="X700">
        <f>X699+C24</f>
        <v>9194.08</v>
      </c>
      <c r="AE700" s="52" t="str">
        <f t="shared" si="93"/>
        <v>|</v>
      </c>
      <c r="AG700" s="1" t="s">
        <v>2175</v>
      </c>
    </row>
    <row r="701" spans="1:33" ht="24" customHeight="1">
      <c r="A701" s="220">
        <f t="shared" si="81"/>
        <v>496</v>
      </c>
      <c r="B701" s="221" t="s">
        <v>124</v>
      </c>
      <c r="C701" s="222">
        <v>152.5</v>
      </c>
      <c r="D701" s="221" t="s">
        <v>1714</v>
      </c>
      <c r="E701" s="435">
        <v>98.6</v>
      </c>
      <c r="F701" t="s">
        <v>4506</v>
      </c>
      <c r="H701" s="5" t="s">
        <v>1530</v>
      </c>
      <c r="I701" s="5" t="s">
        <v>1530</v>
      </c>
      <c r="M701" s="8">
        <v>1</v>
      </c>
      <c r="N701" s="1" t="s">
        <v>835</v>
      </c>
      <c r="O701" s="1" t="s">
        <v>450</v>
      </c>
      <c r="P701" s="8">
        <f>(C388)</f>
        <v>19.3</v>
      </c>
      <c r="Q701" s="1" t="s">
        <v>835</v>
      </c>
      <c r="R701" s="8">
        <f>(M701*P701)</f>
        <v>19.3</v>
      </c>
      <c r="X701">
        <f>X700+C24</f>
        <v>9397.58</v>
      </c>
      <c r="AE701" s="52" t="str">
        <f t="shared" si="93"/>
        <v>|</v>
      </c>
      <c r="AG701" s="1" t="s">
        <v>2175</v>
      </c>
    </row>
    <row r="702" spans="1:33" ht="24" customHeight="1">
      <c r="A702" s="220">
        <f t="shared" si="81"/>
        <v>497</v>
      </c>
      <c r="B702" s="1" t="s">
        <v>4730</v>
      </c>
      <c r="C702" s="423">
        <v>366</v>
      </c>
      <c r="D702" s="221" t="s">
        <v>835</v>
      </c>
      <c r="F702" s="8">
        <v>1</v>
      </c>
      <c r="G702" s="7" t="s">
        <v>578</v>
      </c>
      <c r="H702" s="1" t="s">
        <v>889</v>
      </c>
      <c r="I702" s="8">
        <f>C79</f>
        <v>460</v>
      </c>
      <c r="J702" s="1" t="s">
        <v>578</v>
      </c>
      <c r="K702" s="8">
        <f>(F702*I702)</f>
        <v>460</v>
      </c>
      <c r="N702" s="1" t="s">
        <v>419</v>
      </c>
      <c r="O702" s="1" t="s">
        <v>134</v>
      </c>
      <c r="Q702" s="1" t="s">
        <v>419</v>
      </c>
      <c r="R702" s="8">
        <v>2.09</v>
      </c>
      <c r="X702">
        <f>X701+C24</f>
        <v>9601.08</v>
      </c>
      <c r="AE702" s="52" t="str">
        <f t="shared" si="93"/>
        <v>|</v>
      </c>
      <c r="AG702" s="1" t="s">
        <v>2175</v>
      </c>
    </row>
    <row r="703" spans="1:33" ht="24" customHeight="1">
      <c r="A703" s="220">
        <f t="shared" si="81"/>
        <v>498</v>
      </c>
      <c r="B703" s="530" t="s">
        <v>517</v>
      </c>
      <c r="C703" s="423">
        <v>256</v>
      </c>
      <c r="D703" s="221" t="s">
        <v>835</v>
      </c>
      <c r="F703" s="8">
        <v>1</v>
      </c>
      <c r="G703" s="7" t="s">
        <v>578</v>
      </c>
      <c r="H703" s="1" t="s">
        <v>1380</v>
      </c>
      <c r="I703" s="8">
        <f>C78</f>
        <v>175</v>
      </c>
      <c r="J703" s="1" t="s">
        <v>578</v>
      </c>
      <c r="K703" s="8">
        <f>(F703*I703)</f>
        <v>175</v>
      </c>
      <c r="O703" s="1" t="s">
        <v>136</v>
      </c>
      <c r="R703" s="1" t="s">
        <v>940</v>
      </c>
      <c r="X703">
        <f>X702+C24</f>
        <v>9804.58</v>
      </c>
      <c r="AE703" s="52" t="str">
        <f t="shared" si="93"/>
        <v>|</v>
      </c>
      <c r="AG703" s="1" t="s">
        <v>2175</v>
      </c>
    </row>
    <row r="704" spans="1:33" ht="24" customHeight="1">
      <c r="A704" s="220">
        <f t="shared" si="81"/>
        <v>499</v>
      </c>
      <c r="B704" s="530" t="s">
        <v>518</v>
      </c>
      <c r="C704" s="423">
        <v>768.6</v>
      </c>
      <c r="D704" s="221" t="s">
        <v>835</v>
      </c>
      <c r="F704" s="8">
        <v>1</v>
      </c>
      <c r="G704" s="7" t="s">
        <v>419</v>
      </c>
      <c r="H704" s="1" t="s">
        <v>1543</v>
      </c>
      <c r="I704" s="492">
        <v>15</v>
      </c>
      <c r="J704" s="1" t="s">
        <v>419</v>
      </c>
      <c r="K704" s="8">
        <f>(F704*I704)</f>
        <v>15</v>
      </c>
      <c r="R704" s="5" t="s">
        <v>1530</v>
      </c>
      <c r="X704">
        <f>X703+C24</f>
        <v>10008.08</v>
      </c>
      <c r="AE704" s="52" t="str">
        <f t="shared" si="93"/>
        <v>|</v>
      </c>
      <c r="AG704" s="1" t="s">
        <v>2175</v>
      </c>
    </row>
    <row r="705" spans="1:33" ht="24" customHeight="1">
      <c r="A705" s="220">
        <f t="shared" si="81"/>
        <v>500</v>
      </c>
      <c r="B705" s="530" t="s">
        <v>519</v>
      </c>
      <c r="C705" s="423">
        <v>129</v>
      </c>
      <c r="D705" s="221" t="s">
        <v>835</v>
      </c>
      <c r="H705" s="1" t="s">
        <v>420</v>
      </c>
      <c r="J705" s="1" t="s">
        <v>419</v>
      </c>
      <c r="K705" s="8">
        <v>0</v>
      </c>
      <c r="O705" s="1" t="s">
        <v>1511</v>
      </c>
      <c r="R705" s="8">
        <f>SUM(R701:R703)</f>
        <v>21.39</v>
      </c>
      <c r="X705">
        <f>X704+C24</f>
        <v>10211.58</v>
      </c>
      <c r="AE705" s="52" t="str">
        <f t="shared" si="93"/>
        <v>|</v>
      </c>
      <c r="AG705" s="1" t="s">
        <v>2175</v>
      </c>
    </row>
    <row r="706" spans="1:33" ht="24" customHeight="1">
      <c r="A706" s="220">
        <f t="shared" si="81"/>
        <v>501</v>
      </c>
      <c r="B706" s="530" t="s">
        <v>180</v>
      </c>
      <c r="C706" s="423">
        <v>515.54999999999995</v>
      </c>
      <c r="D706" s="221" t="s">
        <v>835</v>
      </c>
      <c r="K706" s="5" t="s">
        <v>1530</v>
      </c>
      <c r="R706" s="5" t="s">
        <v>1530</v>
      </c>
      <c r="AE706" s="52" t="str">
        <f t="shared" si="93"/>
        <v>|</v>
      </c>
      <c r="AG706" s="1" t="s">
        <v>2175</v>
      </c>
    </row>
    <row r="707" spans="1:33" ht="24" customHeight="1">
      <c r="A707" s="223"/>
      <c r="B707" t="s">
        <v>4731</v>
      </c>
      <c r="C707" s="435">
        <v>3167</v>
      </c>
      <c r="D707" s="223" t="s">
        <v>578</v>
      </c>
      <c r="H707" s="1" t="s">
        <v>521</v>
      </c>
      <c r="K707" s="8">
        <f>SUM(K702:K705)</f>
        <v>650</v>
      </c>
      <c r="U707" s="37" t="s">
        <v>3887</v>
      </c>
      <c r="AE707" s="52" t="str">
        <f t="shared" si="93"/>
        <v>|</v>
      </c>
      <c r="AG707" s="1" t="s">
        <v>2175</v>
      </c>
    </row>
    <row r="708" spans="1:33" ht="24" customHeight="1">
      <c r="A708" s="220">
        <f>(A706+1)</f>
        <v>502</v>
      </c>
      <c r="B708" s="530" t="s">
        <v>181</v>
      </c>
      <c r="C708" s="423">
        <v>254</v>
      </c>
      <c r="D708" s="221" t="s">
        <v>835</v>
      </c>
      <c r="H708" s="1" t="s">
        <v>1526</v>
      </c>
      <c r="K708" s="5" t="s">
        <v>1980</v>
      </c>
      <c r="S708" s="51">
        <v>5</v>
      </c>
      <c r="T708" t="s">
        <v>1289</v>
      </c>
      <c r="U708" t="s">
        <v>3895</v>
      </c>
      <c r="V708">
        <f>AC14</f>
        <v>1581.38</v>
      </c>
      <c r="X708">
        <f>V708*S708</f>
        <v>7906.9</v>
      </c>
      <c r="Z708">
        <f>X708</f>
        <v>7906.9</v>
      </c>
      <c r="AE708" s="52" t="str">
        <f t="shared" si="93"/>
        <v>|</v>
      </c>
      <c r="AG708" s="1" t="s">
        <v>2175</v>
      </c>
    </row>
    <row r="709" spans="1:33" ht="24" customHeight="1">
      <c r="A709" s="220">
        <f t="shared" ref="A709:A766" si="94">(A708+1)</f>
        <v>503</v>
      </c>
      <c r="B709" s="530" t="s">
        <v>182</v>
      </c>
      <c r="C709" s="423">
        <v>315</v>
      </c>
      <c r="D709" s="221" t="s">
        <v>835</v>
      </c>
      <c r="H709" s="1" t="s">
        <v>361</v>
      </c>
      <c r="I709">
        <f>K707</f>
        <v>650</v>
      </c>
      <c r="J709" s="1">
        <f>C19*0.11</f>
        <v>7.48</v>
      </c>
      <c r="K709" s="39">
        <f>I709+J709</f>
        <v>657.48</v>
      </c>
      <c r="N709" s="1" t="s">
        <v>2167</v>
      </c>
      <c r="O709" s="1" t="s">
        <v>1395</v>
      </c>
      <c r="S709" s="51">
        <v>3.3</v>
      </c>
      <c r="T709" t="s">
        <v>1289</v>
      </c>
      <c r="U709" t="s">
        <v>3896</v>
      </c>
      <c r="V709">
        <f>(AC12+AC13)/2</f>
        <v>1302.3800000000001</v>
      </c>
      <c r="X709">
        <f t="shared" ref="X709:X715" si="95">V709*S709</f>
        <v>4297.8500000000004</v>
      </c>
      <c r="Z709">
        <f t="shared" ref="Z709:Z717" si="96">X709</f>
        <v>4297.8500000000004</v>
      </c>
      <c r="AE709" s="52" t="str">
        <f t="shared" si="93"/>
        <v>|</v>
      </c>
      <c r="AG709" s="1" t="s">
        <v>2175</v>
      </c>
    </row>
    <row r="710" spans="1:33" ht="24" customHeight="1">
      <c r="A710" s="220">
        <f t="shared" si="94"/>
        <v>504</v>
      </c>
      <c r="B710" s="530" t="s">
        <v>1396</v>
      </c>
      <c r="C710" s="423">
        <v>306</v>
      </c>
      <c r="D710" s="221" t="s">
        <v>835</v>
      </c>
      <c r="H710" s="1" t="s">
        <v>363</v>
      </c>
      <c r="I710">
        <f>K709</f>
        <v>657.48</v>
      </c>
      <c r="J710" s="11">
        <f>C20*0.11</f>
        <v>15.09</v>
      </c>
      <c r="K710" s="39">
        <f>I710+J710</f>
        <v>672.57</v>
      </c>
      <c r="O710" s="1" t="s">
        <v>1398</v>
      </c>
      <c r="S710" s="51">
        <v>4.79</v>
      </c>
      <c r="T710" t="s">
        <v>1289</v>
      </c>
      <c r="U710" t="s">
        <v>3897</v>
      </c>
      <c r="V710">
        <f>V647</f>
        <v>1400.82</v>
      </c>
      <c r="X710">
        <f t="shared" si="95"/>
        <v>6709.93</v>
      </c>
      <c r="Z710">
        <f t="shared" si="96"/>
        <v>6709.93</v>
      </c>
      <c r="AE710" s="52" t="str">
        <f t="shared" si="93"/>
        <v>|</v>
      </c>
      <c r="AG710" s="1" t="s">
        <v>2175</v>
      </c>
    </row>
    <row r="711" spans="1:33" ht="24" customHeight="1">
      <c r="A711" s="220">
        <f t="shared" si="94"/>
        <v>505</v>
      </c>
      <c r="B711" s="530" t="s">
        <v>1399</v>
      </c>
      <c r="C711" s="423">
        <v>274</v>
      </c>
      <c r="D711" s="221" t="s">
        <v>835</v>
      </c>
      <c r="H711" s="1" t="s">
        <v>2149</v>
      </c>
      <c r="I711">
        <f>K710</f>
        <v>672.57</v>
      </c>
      <c r="J711" s="11">
        <f>J710</f>
        <v>15.09</v>
      </c>
      <c r="K711" s="39">
        <f>I711+J711</f>
        <v>687.66</v>
      </c>
      <c r="O711" s="5" t="s">
        <v>1530</v>
      </c>
      <c r="S711" s="51">
        <v>3.25</v>
      </c>
      <c r="T711" t="s">
        <v>494</v>
      </c>
      <c r="U711" t="s">
        <v>364</v>
      </c>
      <c r="V711">
        <f>V646</f>
        <v>5960</v>
      </c>
      <c r="X711">
        <f t="shared" si="95"/>
        <v>19370</v>
      </c>
      <c r="Z711">
        <f t="shared" si="96"/>
        <v>19370</v>
      </c>
      <c r="AE711" s="52" t="str">
        <f t="shared" si="93"/>
        <v>|</v>
      </c>
      <c r="AG711" s="1" t="s">
        <v>2175</v>
      </c>
    </row>
    <row r="712" spans="1:33" ht="30.75" customHeight="1">
      <c r="A712" s="220">
        <f t="shared" si="94"/>
        <v>506</v>
      </c>
      <c r="B712" s="530" t="s">
        <v>1170</v>
      </c>
      <c r="C712" s="423">
        <v>266</v>
      </c>
      <c r="D712" s="221" t="s">
        <v>835</v>
      </c>
      <c r="H712" s="1" t="s">
        <v>355</v>
      </c>
      <c r="I712">
        <f>K711</f>
        <v>687.66</v>
      </c>
      <c r="J712" s="11">
        <f>J711</f>
        <v>15.09</v>
      </c>
      <c r="K712" s="39">
        <f>I712+J712</f>
        <v>702.75</v>
      </c>
      <c r="M712" s="8">
        <v>1</v>
      </c>
      <c r="N712" s="1" t="s">
        <v>835</v>
      </c>
      <c r="O712" s="1" t="s">
        <v>1171</v>
      </c>
      <c r="P712" s="8">
        <f>(C396/1*0.3)</f>
        <v>38.4</v>
      </c>
      <c r="Q712" s="1" t="s">
        <v>835</v>
      </c>
      <c r="R712" s="8">
        <f>(M712*P712)</f>
        <v>38.4</v>
      </c>
      <c r="S712" s="51">
        <f>3250*0.6%</f>
        <v>19.5</v>
      </c>
      <c r="T712" t="s">
        <v>1591</v>
      </c>
      <c r="U712" s="330" t="s">
        <v>3898</v>
      </c>
      <c r="V712">
        <f>V651</f>
        <v>42.8</v>
      </c>
      <c r="X712">
        <f t="shared" si="95"/>
        <v>834.6</v>
      </c>
      <c r="Z712">
        <f t="shared" si="96"/>
        <v>834.6</v>
      </c>
      <c r="AE712" s="52" t="str">
        <f t="shared" si="93"/>
        <v>|</v>
      </c>
      <c r="AG712" s="1" t="s">
        <v>2175</v>
      </c>
    </row>
    <row r="713" spans="1:33" ht="24" customHeight="1">
      <c r="A713" s="220">
        <f t="shared" si="94"/>
        <v>507</v>
      </c>
      <c r="B713" s="221" t="s">
        <v>1172</v>
      </c>
      <c r="C713" s="545">
        <v>107.64</v>
      </c>
      <c r="D713" s="221" t="s">
        <v>578</v>
      </c>
      <c r="H713" s="1" t="s">
        <v>1312</v>
      </c>
      <c r="I713">
        <f>K712</f>
        <v>702.75</v>
      </c>
      <c r="J713" s="11">
        <f>J712</f>
        <v>15.09</v>
      </c>
      <c r="K713" s="39">
        <f>I713+J713</f>
        <v>717.84</v>
      </c>
      <c r="N713" s="1" t="s">
        <v>419</v>
      </c>
      <c r="O713" s="1" t="s">
        <v>134</v>
      </c>
      <c r="Q713" s="1" t="s">
        <v>419</v>
      </c>
      <c r="R713" s="8">
        <v>1.65</v>
      </c>
      <c r="S713" s="51">
        <v>3.5</v>
      </c>
      <c r="T713" t="s">
        <v>1375</v>
      </c>
      <c r="U713" t="s">
        <v>435</v>
      </c>
      <c r="V713">
        <f>C11</f>
        <v>804</v>
      </c>
      <c r="W713">
        <f>J722</f>
        <v>0</v>
      </c>
      <c r="X713">
        <f t="shared" si="95"/>
        <v>2814</v>
      </c>
      <c r="Z713">
        <f t="shared" si="96"/>
        <v>2814</v>
      </c>
      <c r="AE713" s="52" t="str">
        <f t="shared" si="93"/>
        <v>|</v>
      </c>
      <c r="AG713" s="1" t="s">
        <v>2175</v>
      </c>
    </row>
    <row r="714" spans="1:33" ht="24" customHeight="1">
      <c r="A714" s="220">
        <f t="shared" si="94"/>
        <v>508</v>
      </c>
      <c r="B714" s="221" t="s">
        <v>1174</v>
      </c>
      <c r="C714" s="223"/>
      <c r="D714" s="223"/>
      <c r="F714" s="1" t="s">
        <v>940</v>
      </c>
      <c r="O714" s="1" t="s">
        <v>136</v>
      </c>
      <c r="R714" s="1" t="s">
        <v>940</v>
      </c>
      <c r="S714" s="51">
        <v>21.2</v>
      </c>
      <c r="T714" t="s">
        <v>1375</v>
      </c>
      <c r="U714" t="s">
        <v>3414</v>
      </c>
      <c r="V714">
        <f>C12</f>
        <v>562</v>
      </c>
      <c r="X714">
        <f t="shared" si="95"/>
        <v>11914.4</v>
      </c>
      <c r="Z714">
        <f t="shared" si="96"/>
        <v>11914.4</v>
      </c>
      <c r="AE714" s="52" t="str">
        <f t="shared" si="93"/>
        <v>|</v>
      </c>
      <c r="AG714" s="1" t="s">
        <v>2175</v>
      </c>
    </row>
    <row r="715" spans="1:33" ht="24" customHeight="1">
      <c r="A715" s="220">
        <f t="shared" si="94"/>
        <v>509</v>
      </c>
      <c r="B715" s="221" t="s">
        <v>2038</v>
      </c>
      <c r="C715" s="545">
        <v>11.55</v>
      </c>
      <c r="D715" s="221" t="s">
        <v>835</v>
      </c>
      <c r="R715" s="5" t="s">
        <v>1530</v>
      </c>
      <c r="S715" s="51">
        <v>35.299999999999997</v>
      </c>
      <c r="T715" t="s">
        <v>1375</v>
      </c>
      <c r="U715" t="s">
        <v>3415</v>
      </c>
      <c r="V715">
        <f>C13</f>
        <v>461</v>
      </c>
      <c r="X715">
        <f t="shared" si="95"/>
        <v>16273.3</v>
      </c>
      <c r="Z715">
        <f t="shared" si="96"/>
        <v>16273.3</v>
      </c>
      <c r="AE715" s="52" t="str">
        <f t="shared" si="93"/>
        <v>|</v>
      </c>
      <c r="AG715" s="1" t="s">
        <v>2175</v>
      </c>
    </row>
    <row r="716" spans="1:33" ht="24" customHeight="1">
      <c r="A716" s="220">
        <f t="shared" si="94"/>
        <v>510</v>
      </c>
      <c r="B716" s="221" t="s">
        <v>1076</v>
      </c>
      <c r="C716" s="545">
        <v>16.399999999999999</v>
      </c>
      <c r="D716" s="221" t="s">
        <v>835</v>
      </c>
      <c r="F716" s="2" t="s">
        <v>1303</v>
      </c>
      <c r="H716" s="1" t="s">
        <v>183</v>
      </c>
      <c r="O716" s="1" t="s">
        <v>1511</v>
      </c>
      <c r="R716" s="8">
        <f>SUM(R712:R714)</f>
        <v>40.049999999999997</v>
      </c>
      <c r="U716" t="s">
        <v>3899</v>
      </c>
      <c r="V716">
        <f>V686</f>
        <v>0</v>
      </c>
      <c r="X716" s="37">
        <f>SUM(X708:X715)</f>
        <v>70120.98</v>
      </c>
      <c r="Z716">
        <f t="shared" si="96"/>
        <v>70120.98</v>
      </c>
      <c r="AE716" s="52" t="str">
        <f t="shared" si="93"/>
        <v>|</v>
      </c>
      <c r="AG716" s="1" t="s">
        <v>2175</v>
      </c>
    </row>
    <row r="717" spans="1:33" ht="27" customHeight="1">
      <c r="A717" s="220">
        <f t="shared" si="94"/>
        <v>511</v>
      </c>
      <c r="B717" s="221" t="s">
        <v>1077</v>
      </c>
      <c r="C717" s="545">
        <v>27.85</v>
      </c>
      <c r="D717" s="221" t="s">
        <v>835</v>
      </c>
      <c r="H717" s="1" t="s">
        <v>1397</v>
      </c>
      <c r="R717" s="5" t="s">
        <v>1530</v>
      </c>
      <c r="U717" t="s">
        <v>3900</v>
      </c>
      <c r="V717">
        <f>V687</f>
        <v>0</v>
      </c>
      <c r="X717" s="37">
        <f>X716/10</f>
        <v>7012.1</v>
      </c>
      <c r="Z717">
        <f t="shared" si="96"/>
        <v>7012.1</v>
      </c>
      <c r="AE717" s="52" t="str">
        <f t="shared" si="93"/>
        <v>|</v>
      </c>
      <c r="AG717" s="1" t="s">
        <v>2175</v>
      </c>
    </row>
    <row r="718" spans="1:33" ht="24" customHeight="1">
      <c r="A718" s="220">
        <f t="shared" si="94"/>
        <v>512</v>
      </c>
      <c r="B718" s="221" t="s">
        <v>1078</v>
      </c>
      <c r="C718" s="545">
        <v>49.9</v>
      </c>
      <c r="D718" s="221" t="s">
        <v>835</v>
      </c>
      <c r="H718" s="1" t="s">
        <v>1400</v>
      </c>
      <c r="O718" s="2" t="s">
        <v>630</v>
      </c>
      <c r="R718" s="1" t="s">
        <v>940</v>
      </c>
      <c r="S718" s="51">
        <v>1</v>
      </c>
      <c r="T718" t="s">
        <v>1289</v>
      </c>
      <c r="U718" t="s">
        <v>3929</v>
      </c>
      <c r="V718">
        <f>C25</f>
        <v>81.3</v>
      </c>
      <c r="X718">
        <f>V718*S718</f>
        <v>81.3</v>
      </c>
      <c r="AE718" s="52" t="str">
        <f t="shared" si="93"/>
        <v>|</v>
      </c>
      <c r="AG718" s="1" t="s">
        <v>2175</v>
      </c>
    </row>
    <row r="719" spans="1:33" ht="24" customHeight="1">
      <c r="A719" s="220">
        <f t="shared" si="94"/>
        <v>513</v>
      </c>
      <c r="B719" s="221" t="s">
        <v>1080</v>
      </c>
      <c r="C719" s="545">
        <v>69.25</v>
      </c>
      <c r="D719" s="221" t="s">
        <v>835</v>
      </c>
      <c r="H719" s="5" t="s">
        <v>1530</v>
      </c>
      <c r="M719" s="16"/>
      <c r="O719" s="2" t="s">
        <v>2004</v>
      </c>
      <c r="U719" t="s">
        <v>3901</v>
      </c>
      <c r="V719">
        <f>V689</f>
        <v>0</v>
      </c>
      <c r="X719" s="37">
        <f>SUM(X717:X718)</f>
        <v>7093.4</v>
      </c>
      <c r="Z719">
        <f>Z717</f>
        <v>7012.1</v>
      </c>
      <c r="AE719" s="52" t="str">
        <f t="shared" si="93"/>
        <v>|</v>
      </c>
      <c r="AG719" s="1" t="s">
        <v>2175</v>
      </c>
    </row>
    <row r="720" spans="1:33" ht="24" customHeight="1">
      <c r="A720" s="220">
        <f t="shared" si="94"/>
        <v>514</v>
      </c>
      <c r="B720" s="221" t="s">
        <v>1839</v>
      </c>
      <c r="C720" s="223"/>
      <c r="D720" s="221" t="s">
        <v>940</v>
      </c>
      <c r="F720" s="8">
        <v>0.4</v>
      </c>
      <c r="G720" s="7" t="s">
        <v>836</v>
      </c>
      <c r="H720" s="1" t="s">
        <v>1173</v>
      </c>
      <c r="I720" s="8">
        <f>(C271)</f>
        <v>17600</v>
      </c>
      <c r="J720" s="1" t="s">
        <v>836</v>
      </c>
      <c r="K720" s="8">
        <f>(F720*I720)</f>
        <v>7040</v>
      </c>
      <c r="M720" s="2" t="s">
        <v>1484</v>
      </c>
      <c r="N720" s="1" t="s">
        <v>1840</v>
      </c>
      <c r="O720" s="1" t="s">
        <v>309</v>
      </c>
      <c r="S720" s="420" t="s">
        <v>625</v>
      </c>
      <c r="U720" t="s">
        <v>3902</v>
      </c>
      <c r="V720" t="str">
        <f>V690</f>
        <v>LS</v>
      </c>
      <c r="X720">
        <f>X719*0.5%</f>
        <v>35.47</v>
      </c>
      <c r="Z720">
        <f>Z719*0.5/100</f>
        <v>35.06</v>
      </c>
      <c r="AE720" s="52" t="str">
        <f t="shared" si="93"/>
        <v>|::</v>
      </c>
      <c r="AG720" s="1" t="s">
        <v>300</v>
      </c>
    </row>
    <row r="721" spans="1:33" ht="24" customHeight="1">
      <c r="A721" s="220">
        <f t="shared" si="94"/>
        <v>515</v>
      </c>
      <c r="B721" s="221" t="s">
        <v>226</v>
      </c>
      <c r="C721" s="545">
        <v>20</v>
      </c>
      <c r="D721" s="221" t="s">
        <v>835</v>
      </c>
      <c r="F721" s="8">
        <v>0.12</v>
      </c>
      <c r="G721" s="7" t="s">
        <v>836</v>
      </c>
      <c r="H721" s="1" t="s">
        <v>1135</v>
      </c>
      <c r="I721" s="8">
        <f>(C272)</f>
        <v>15500</v>
      </c>
      <c r="J721" s="1" t="s">
        <v>836</v>
      </c>
      <c r="K721" s="8">
        <f>(F721*I721)</f>
        <v>1860</v>
      </c>
      <c r="O721" s="5" t="s">
        <v>1530</v>
      </c>
      <c r="T721" s="3"/>
      <c r="U721" s="37" t="s">
        <v>3523</v>
      </c>
      <c r="W721" s="11"/>
      <c r="X721" s="39">
        <f>SUM(X719:X720)</f>
        <v>7128.87</v>
      </c>
      <c r="Z721" s="37">
        <f>SUM(Z719:Z720)</f>
        <v>7047.16</v>
      </c>
      <c r="AE721" s="52">
        <f t="shared" si="93"/>
        <v>0</v>
      </c>
    </row>
    <row r="722" spans="1:33" ht="24" customHeight="1">
      <c r="A722" s="220">
        <f t="shared" si="94"/>
        <v>516</v>
      </c>
      <c r="B722" s="221" t="s">
        <v>465</v>
      </c>
      <c r="C722" s="545">
        <v>45</v>
      </c>
      <c r="D722" s="221" t="s">
        <v>835</v>
      </c>
      <c r="H722" s="1" t="s">
        <v>2039</v>
      </c>
      <c r="I722" s="1" t="s">
        <v>940</v>
      </c>
      <c r="K722" s="1" t="s">
        <v>940</v>
      </c>
      <c r="M722" s="16">
        <v>2.69E-2</v>
      </c>
      <c r="N722" s="1" t="s">
        <v>836</v>
      </c>
      <c r="O722" s="512" t="s">
        <v>451</v>
      </c>
      <c r="P722" s="8">
        <f>C89</f>
        <v>34300</v>
      </c>
      <c r="Q722" s="1" t="s">
        <v>836</v>
      </c>
      <c r="R722" s="8">
        <f t="shared" ref="R722:R728" si="97">M722*P722</f>
        <v>922.67</v>
      </c>
      <c r="T722" s="3"/>
      <c r="W722" s="11"/>
      <c r="X722" s="5" t="s">
        <v>1530</v>
      </c>
      <c r="AE722" s="52">
        <f t="shared" si="93"/>
        <v>0</v>
      </c>
    </row>
    <row r="723" spans="1:33" ht="24" customHeight="1">
      <c r="A723" s="220">
        <f t="shared" si="94"/>
        <v>517</v>
      </c>
      <c r="B723" s="221" t="s">
        <v>1265</v>
      </c>
      <c r="C723" s="623"/>
      <c r="D723" s="221" t="s">
        <v>234</v>
      </c>
      <c r="F723" s="8">
        <v>98.5</v>
      </c>
      <c r="G723" s="7" t="s">
        <v>1714</v>
      </c>
      <c r="H723" s="1" t="s">
        <v>1369</v>
      </c>
      <c r="I723" s="8">
        <f>(C273)</f>
        <v>25.2</v>
      </c>
      <c r="J723" s="1" t="s">
        <v>1714</v>
      </c>
      <c r="K723" s="8">
        <f>(F723*I723)</f>
        <v>2482.1999999999998</v>
      </c>
      <c r="M723" s="16">
        <v>1.2949999999999999</v>
      </c>
      <c r="N723" s="1" t="s">
        <v>578</v>
      </c>
      <c r="O723" s="1" t="s">
        <v>1249</v>
      </c>
      <c r="P723" s="8">
        <f>C786</f>
        <v>387.4</v>
      </c>
      <c r="Q723" s="1" t="s">
        <v>578</v>
      </c>
      <c r="R723" s="8">
        <f t="shared" si="97"/>
        <v>501.68</v>
      </c>
      <c r="T723" s="3"/>
      <c r="U723" s="1" t="s">
        <v>361</v>
      </c>
      <c r="W723" s="11"/>
      <c r="X723" s="39">
        <f>(X721+C22)</f>
        <v>7232.17</v>
      </c>
      <c r="AE723" s="52">
        <f t="shared" si="93"/>
        <v>0</v>
      </c>
    </row>
    <row r="724" spans="1:33" ht="24" customHeight="1">
      <c r="A724" s="220">
        <f t="shared" si="94"/>
        <v>518</v>
      </c>
      <c r="B724" s="221" t="s">
        <v>226</v>
      </c>
      <c r="C724" s="545">
        <v>19.09</v>
      </c>
      <c r="D724" s="221" t="s">
        <v>835</v>
      </c>
      <c r="H724" s="1" t="s">
        <v>290</v>
      </c>
      <c r="I724" s="1" t="s">
        <v>940</v>
      </c>
      <c r="K724" s="1" t="s">
        <v>234</v>
      </c>
      <c r="M724" s="16">
        <v>1.8149999999999999</v>
      </c>
      <c r="N724" s="1" t="s">
        <v>578</v>
      </c>
      <c r="O724" s="1" t="s">
        <v>2012</v>
      </c>
      <c r="P724" s="8">
        <f>C31</f>
        <v>1325</v>
      </c>
      <c r="Q724" s="1" t="s">
        <v>578</v>
      </c>
      <c r="R724" s="8">
        <f t="shared" si="97"/>
        <v>2404.88</v>
      </c>
      <c r="T724" s="3"/>
      <c r="U724" s="1" t="s">
        <v>363</v>
      </c>
      <c r="X724" s="39">
        <f>(X723+C24)</f>
        <v>7435.67</v>
      </c>
      <c r="AE724" s="52" t="str">
        <f t="shared" si="93"/>
        <v>|</v>
      </c>
      <c r="AG724" s="1" t="s">
        <v>2175</v>
      </c>
    </row>
    <row r="725" spans="1:33" ht="24" customHeight="1">
      <c r="A725" s="220">
        <f t="shared" si="94"/>
        <v>519</v>
      </c>
      <c r="B725" s="221" t="s">
        <v>465</v>
      </c>
      <c r="C725" s="545">
        <v>50.66</v>
      </c>
      <c r="D725" s="221" t="s">
        <v>835</v>
      </c>
      <c r="K725" s="5" t="s">
        <v>1530</v>
      </c>
      <c r="M725" s="8">
        <v>2</v>
      </c>
      <c r="N725" s="1" t="s">
        <v>835</v>
      </c>
      <c r="O725" s="1" t="s">
        <v>1664</v>
      </c>
      <c r="P725" s="8">
        <f>C302</f>
        <v>10.5</v>
      </c>
      <c r="Q725" s="1" t="s">
        <v>835</v>
      </c>
      <c r="R725" s="8">
        <f t="shared" si="97"/>
        <v>21</v>
      </c>
      <c r="T725" s="3"/>
      <c r="U725" s="1" t="s">
        <v>2149</v>
      </c>
      <c r="W725" s="11"/>
      <c r="X725" s="39">
        <f>(X724+C24)</f>
        <v>7639.17</v>
      </c>
      <c r="AE725" s="52" t="str">
        <f t="shared" si="93"/>
        <v>|</v>
      </c>
      <c r="AG725" s="1" t="s">
        <v>2175</v>
      </c>
    </row>
    <row r="726" spans="1:33" ht="24" customHeight="1">
      <c r="A726" s="220">
        <f t="shared" si="94"/>
        <v>520</v>
      </c>
      <c r="B726" s="221" t="s">
        <v>1563</v>
      </c>
      <c r="C726" s="545">
        <v>1183.82</v>
      </c>
      <c r="D726" s="221" t="s">
        <v>578</v>
      </c>
      <c r="H726" s="1" t="s">
        <v>631</v>
      </c>
      <c r="K726" s="8">
        <f>SUM(K720:K724)</f>
        <v>11382.2</v>
      </c>
      <c r="M726" s="8">
        <v>3</v>
      </c>
      <c r="N726" s="1" t="s">
        <v>835</v>
      </c>
      <c r="O726" s="1" t="s">
        <v>1564</v>
      </c>
      <c r="P726" s="8">
        <f>C298</f>
        <v>8.5</v>
      </c>
      <c r="Q726" s="1" t="s">
        <v>835</v>
      </c>
      <c r="R726" s="8">
        <f t="shared" si="97"/>
        <v>25.5</v>
      </c>
      <c r="T726" s="3"/>
      <c r="U726" s="1" t="s">
        <v>355</v>
      </c>
      <c r="W726" s="11"/>
      <c r="X726" s="39">
        <f>(X725+C24)</f>
        <v>7842.67</v>
      </c>
      <c r="AE726" s="52" t="str">
        <f t="shared" si="93"/>
        <v>|</v>
      </c>
      <c r="AG726" s="1" t="s">
        <v>2175</v>
      </c>
    </row>
    <row r="727" spans="1:33" ht="24" customHeight="1">
      <c r="A727" s="220">
        <f t="shared" si="94"/>
        <v>521</v>
      </c>
      <c r="B727" s="221" t="s">
        <v>1565</v>
      </c>
      <c r="C727" s="545">
        <v>1605</v>
      </c>
      <c r="D727" s="221" t="s">
        <v>578</v>
      </c>
      <c r="H727" s="1" t="s">
        <v>940</v>
      </c>
      <c r="K727" s="5" t="s">
        <v>1530</v>
      </c>
      <c r="M727" s="8">
        <v>1</v>
      </c>
      <c r="N727" s="1" t="s">
        <v>835</v>
      </c>
      <c r="O727" s="1" t="s">
        <v>1649</v>
      </c>
      <c r="P727" s="8">
        <f>C304</f>
        <v>21</v>
      </c>
      <c r="Q727" s="1" t="s">
        <v>835</v>
      </c>
      <c r="R727" s="8">
        <f t="shared" si="97"/>
        <v>21</v>
      </c>
      <c r="T727" s="3"/>
      <c r="U727" s="1" t="s">
        <v>1477</v>
      </c>
      <c r="W727" s="11"/>
      <c r="X727" s="39">
        <f>(X726+C24)</f>
        <v>8046.17</v>
      </c>
      <c r="AE727" s="52" t="str">
        <f t="shared" si="93"/>
        <v>|</v>
      </c>
      <c r="AG727" s="1" t="s">
        <v>2175</v>
      </c>
    </row>
    <row r="728" spans="1:33" ht="24" customHeight="1">
      <c r="A728" s="220">
        <f t="shared" si="94"/>
        <v>522</v>
      </c>
      <c r="B728" s="1" t="s">
        <v>4732</v>
      </c>
      <c r="C728" s="441">
        <v>9.6</v>
      </c>
      <c r="D728" s="444" t="s">
        <v>52</v>
      </c>
      <c r="F728" s="8">
        <v>10</v>
      </c>
      <c r="G728" s="7" t="s">
        <v>578</v>
      </c>
      <c r="H728" s="1" t="s">
        <v>464</v>
      </c>
      <c r="I728" s="8">
        <f>(K726/50)</f>
        <v>227.64</v>
      </c>
      <c r="J728" s="1" t="s">
        <v>578</v>
      </c>
      <c r="K728" s="8">
        <f>(F728*I728)</f>
        <v>2276.4</v>
      </c>
      <c r="M728" s="8">
        <v>1</v>
      </c>
      <c r="N728" s="1" t="s">
        <v>835</v>
      </c>
      <c r="O728" s="1" t="s">
        <v>1911</v>
      </c>
      <c r="P728" s="8">
        <f>C306</f>
        <v>4</v>
      </c>
      <c r="Q728" s="1" t="s">
        <v>835</v>
      </c>
      <c r="R728" s="8">
        <f t="shared" si="97"/>
        <v>4</v>
      </c>
      <c r="AE728" s="52" t="str">
        <f t="shared" si="93"/>
        <v>|</v>
      </c>
      <c r="AG728" s="1" t="s">
        <v>2175</v>
      </c>
    </row>
    <row r="729" spans="1:33" ht="24" customHeight="1">
      <c r="A729" s="220">
        <f t="shared" si="94"/>
        <v>523</v>
      </c>
      <c r="B729" s="221" t="s">
        <v>1659</v>
      </c>
      <c r="C729" s="545">
        <v>147.6</v>
      </c>
      <c r="D729" s="221" t="s">
        <v>1714</v>
      </c>
      <c r="F729" s="8">
        <v>3.8</v>
      </c>
      <c r="G729" s="7" t="s">
        <v>739</v>
      </c>
      <c r="H729" s="1" t="s">
        <v>466</v>
      </c>
      <c r="I729" s="8">
        <f>(C16)</f>
        <v>842</v>
      </c>
      <c r="J729" s="1" t="s">
        <v>739</v>
      </c>
      <c r="K729" s="8">
        <f>(F729*I729)</f>
        <v>3199.6</v>
      </c>
      <c r="N729" s="1" t="s">
        <v>419</v>
      </c>
      <c r="O729" s="1" t="s">
        <v>420</v>
      </c>
      <c r="Q729" s="1" t="s">
        <v>419</v>
      </c>
      <c r="R729" s="8">
        <v>0</v>
      </c>
      <c r="AE729" s="52" t="str">
        <f t="shared" si="93"/>
        <v>|</v>
      </c>
      <c r="AG729" s="1" t="s">
        <v>2175</v>
      </c>
    </row>
    <row r="730" spans="1:33" ht="24" customHeight="1">
      <c r="A730" s="220">
        <f t="shared" si="94"/>
        <v>524</v>
      </c>
      <c r="B730" s="221" t="s">
        <v>1660</v>
      </c>
      <c r="C730" s="545">
        <v>147.6</v>
      </c>
      <c r="D730" s="221" t="s">
        <v>1714</v>
      </c>
      <c r="F730" s="8">
        <v>5.4</v>
      </c>
      <c r="G730" s="7" t="s">
        <v>739</v>
      </c>
      <c r="H730" s="1" t="s">
        <v>1836</v>
      </c>
      <c r="I730" s="8">
        <f>(C12)</f>
        <v>562</v>
      </c>
      <c r="J730" s="1" t="s">
        <v>739</v>
      </c>
      <c r="K730" s="8">
        <f>(F730*I730)</f>
        <v>3034.8</v>
      </c>
      <c r="R730" s="5" t="s">
        <v>1530</v>
      </c>
      <c r="AE730" s="52" t="str">
        <f t="shared" si="93"/>
        <v>|</v>
      </c>
      <c r="AG730" s="1" t="s">
        <v>2175</v>
      </c>
    </row>
    <row r="731" spans="1:33" ht="24" customHeight="1">
      <c r="A731" s="220">
        <f t="shared" si="94"/>
        <v>525</v>
      </c>
      <c r="B731" s="221" t="s">
        <v>1661</v>
      </c>
      <c r="C731" s="545">
        <v>147.6</v>
      </c>
      <c r="D731" s="221" t="s">
        <v>1714</v>
      </c>
      <c r="G731" s="7" t="s">
        <v>419</v>
      </c>
      <c r="H731" s="1" t="s">
        <v>1250</v>
      </c>
      <c r="J731" s="1" t="s">
        <v>419</v>
      </c>
      <c r="K731" s="8">
        <v>5</v>
      </c>
      <c r="O731" s="2" t="s">
        <v>11</v>
      </c>
      <c r="R731" s="8">
        <f>SUM(R722:R729)</f>
        <v>3900.73</v>
      </c>
      <c r="T731" s="37">
        <v>4.2</v>
      </c>
      <c r="U731" s="37" t="s">
        <v>4550</v>
      </c>
      <c r="AE731" s="52" t="str">
        <f t="shared" si="93"/>
        <v>|</v>
      </c>
      <c r="AG731" s="1" t="s">
        <v>2175</v>
      </c>
    </row>
    <row r="732" spans="1:33" ht="24" customHeight="1">
      <c r="A732" s="220">
        <f t="shared" si="94"/>
        <v>526</v>
      </c>
      <c r="B732" s="221" t="s">
        <v>616</v>
      </c>
      <c r="C732" s="545">
        <v>1250</v>
      </c>
      <c r="D732" s="221" t="s">
        <v>578</v>
      </c>
      <c r="K732" s="5" t="s">
        <v>1530</v>
      </c>
      <c r="R732" s="5" t="s">
        <v>1530</v>
      </c>
      <c r="S732" s="51">
        <v>5</v>
      </c>
      <c r="T732" t="s">
        <v>1289</v>
      </c>
      <c r="U732" t="s">
        <v>3895</v>
      </c>
      <c r="V732">
        <f>V678</f>
        <v>1581.38</v>
      </c>
      <c r="X732">
        <f t="shared" ref="X732:X739" si="98">V732*S732</f>
        <v>7906.9</v>
      </c>
      <c r="AE732" s="52" t="str">
        <f t="shared" si="93"/>
        <v>|</v>
      </c>
      <c r="AG732" s="1" t="s">
        <v>2175</v>
      </c>
    </row>
    <row r="733" spans="1:33" ht="24" customHeight="1">
      <c r="A733" s="220">
        <f t="shared" si="94"/>
        <v>527</v>
      </c>
      <c r="B733" s="221" t="s">
        <v>618</v>
      </c>
      <c r="C733" s="545">
        <v>1250</v>
      </c>
      <c r="D733" s="221" t="s">
        <v>578</v>
      </c>
      <c r="H733" s="1" t="s">
        <v>411</v>
      </c>
      <c r="K733" s="8">
        <f>SUM(K728:K731)</f>
        <v>8515.7999999999993</v>
      </c>
      <c r="N733" s="1" t="s">
        <v>940</v>
      </c>
      <c r="O733" s="2" t="s">
        <v>521</v>
      </c>
      <c r="R733" s="8">
        <f>R731/M723</f>
        <v>3012.15</v>
      </c>
      <c r="S733" s="51">
        <v>3.3</v>
      </c>
      <c r="T733" t="s">
        <v>1289</v>
      </c>
      <c r="U733" t="s">
        <v>3896</v>
      </c>
      <c r="V733">
        <f t="shared" ref="V733:V742" si="99">V679</f>
        <v>1302.3800000000001</v>
      </c>
      <c r="X733">
        <f t="shared" si="98"/>
        <v>4297.8500000000004</v>
      </c>
      <c r="AE733" s="52" t="str">
        <f t="shared" si="93"/>
        <v>|</v>
      </c>
      <c r="AG733" s="1" t="s">
        <v>2175</v>
      </c>
    </row>
    <row r="734" spans="1:33" ht="24" customHeight="1">
      <c r="A734" s="220">
        <f t="shared" si="94"/>
        <v>528</v>
      </c>
      <c r="B734" s="221" t="s">
        <v>1189</v>
      </c>
      <c r="C734" s="545">
        <v>1250</v>
      </c>
      <c r="D734" s="221" t="s">
        <v>578</v>
      </c>
      <c r="K734" s="5" t="s">
        <v>1530</v>
      </c>
      <c r="R734" s="5" t="s">
        <v>1980</v>
      </c>
      <c r="S734" s="51">
        <v>4.79</v>
      </c>
      <c r="T734" t="s">
        <v>1289</v>
      </c>
      <c r="U734" t="s">
        <v>3897</v>
      </c>
      <c r="V734">
        <f t="shared" si="99"/>
        <v>1400.82</v>
      </c>
      <c r="X734">
        <f t="shared" si="98"/>
        <v>6709.93</v>
      </c>
      <c r="AE734" s="52" t="str">
        <f t="shared" si="93"/>
        <v>|</v>
      </c>
      <c r="AG734" s="1" t="s">
        <v>2175</v>
      </c>
    </row>
    <row r="735" spans="1:33" ht="24" customHeight="1">
      <c r="A735" s="220">
        <f t="shared" si="94"/>
        <v>529</v>
      </c>
      <c r="B735" s="221" t="s">
        <v>484</v>
      </c>
      <c r="C735" s="545">
        <v>1250</v>
      </c>
      <c r="D735" s="221" t="s">
        <v>578</v>
      </c>
      <c r="H735" s="1" t="s">
        <v>521</v>
      </c>
      <c r="K735" s="8">
        <f>(K733/10)</f>
        <v>851.58</v>
      </c>
      <c r="M735" s="2" t="s">
        <v>1484</v>
      </c>
      <c r="N735" s="1" t="s">
        <v>486</v>
      </c>
      <c r="O735" s="1" t="s">
        <v>487</v>
      </c>
      <c r="S735" s="51">
        <v>3.5</v>
      </c>
      <c r="T735" t="s">
        <v>494</v>
      </c>
      <c r="U735" t="s">
        <v>364</v>
      </c>
      <c r="V735">
        <f t="shared" si="99"/>
        <v>5960</v>
      </c>
      <c r="X735">
        <f t="shared" si="98"/>
        <v>20860</v>
      </c>
      <c r="AE735" s="52" t="str">
        <f t="shared" si="93"/>
        <v>|</v>
      </c>
      <c r="AG735" s="1" t="s">
        <v>2175</v>
      </c>
    </row>
    <row r="736" spans="1:33" ht="24" customHeight="1">
      <c r="A736" s="220">
        <f t="shared" si="94"/>
        <v>530</v>
      </c>
      <c r="B736" s="221" t="s">
        <v>488</v>
      </c>
      <c r="C736" s="545">
        <v>1250</v>
      </c>
      <c r="D736" s="221" t="s">
        <v>578</v>
      </c>
      <c r="K736" s="5" t="s">
        <v>1980</v>
      </c>
      <c r="O736" s="5" t="s">
        <v>1530</v>
      </c>
      <c r="S736" s="51">
        <v>28</v>
      </c>
      <c r="T736" t="s">
        <v>1591</v>
      </c>
      <c r="U736" t="s">
        <v>3904</v>
      </c>
      <c r="V736">
        <f t="shared" si="99"/>
        <v>42.8</v>
      </c>
      <c r="X736">
        <f t="shared" si="98"/>
        <v>1198.4000000000001</v>
      </c>
      <c r="AE736" s="52" t="str">
        <f t="shared" si="93"/>
        <v>|</v>
      </c>
      <c r="AG736" s="1" t="s">
        <v>2175</v>
      </c>
    </row>
    <row r="737" spans="1:33" ht="24" customHeight="1">
      <c r="A737" s="220">
        <f t="shared" si="94"/>
        <v>531</v>
      </c>
      <c r="B737" s="221" t="s">
        <v>731</v>
      </c>
      <c r="C737" s="545">
        <v>1250</v>
      </c>
      <c r="D737" s="221" t="s">
        <v>578</v>
      </c>
      <c r="M737" s="16">
        <v>2.5499999999999998E-2</v>
      </c>
      <c r="N737" s="1" t="s">
        <v>836</v>
      </c>
      <c r="O737" s="1" t="s">
        <v>1264</v>
      </c>
      <c r="P737" s="8">
        <f>C89</f>
        <v>34300</v>
      </c>
      <c r="Q737" s="1" t="s">
        <v>836</v>
      </c>
      <c r="R737" s="8">
        <f t="shared" ref="R737:R743" si="100">M737*P737</f>
        <v>874.65</v>
      </c>
      <c r="S737" s="51">
        <v>3.5</v>
      </c>
      <c r="T737" t="s">
        <v>1375</v>
      </c>
      <c r="U737" t="s">
        <v>435</v>
      </c>
      <c r="V737">
        <f t="shared" si="99"/>
        <v>804</v>
      </c>
      <c r="X737">
        <f t="shared" si="98"/>
        <v>2814</v>
      </c>
      <c r="AE737" s="52" t="str">
        <f t="shared" si="93"/>
        <v>|</v>
      </c>
      <c r="AG737" s="1" t="s">
        <v>2175</v>
      </c>
    </row>
    <row r="738" spans="1:33" ht="24" customHeight="1">
      <c r="A738" s="220">
        <f t="shared" si="94"/>
        <v>532</v>
      </c>
      <c r="B738" s="221" t="s">
        <v>1181</v>
      </c>
      <c r="C738" s="545">
        <v>1250</v>
      </c>
      <c r="D738" s="221" t="s">
        <v>578</v>
      </c>
      <c r="F738" s="2" t="s">
        <v>1971</v>
      </c>
      <c r="G738" s="7" t="s">
        <v>2167</v>
      </c>
      <c r="H738" s="1" t="s">
        <v>10</v>
      </c>
      <c r="M738" s="16">
        <v>1.1299999999999999</v>
      </c>
      <c r="N738" s="1" t="s">
        <v>578</v>
      </c>
      <c r="O738" s="1" t="s">
        <v>1249</v>
      </c>
      <c r="P738" s="8">
        <f>C786</f>
        <v>387.4</v>
      </c>
      <c r="Q738" s="1" t="s">
        <v>578</v>
      </c>
      <c r="R738" s="8">
        <f t="shared" si="100"/>
        <v>437.76</v>
      </c>
      <c r="S738" s="51">
        <v>21.2</v>
      </c>
      <c r="T738" t="s">
        <v>1375</v>
      </c>
      <c r="U738" t="s">
        <v>3414</v>
      </c>
      <c r="V738">
        <f t="shared" si="99"/>
        <v>562</v>
      </c>
      <c r="X738">
        <f t="shared" si="98"/>
        <v>11914.4</v>
      </c>
      <c r="AE738" s="52" t="str">
        <f t="shared" si="93"/>
        <v>|</v>
      </c>
      <c r="AG738" s="1" t="s">
        <v>2175</v>
      </c>
    </row>
    <row r="739" spans="1:33" ht="24" customHeight="1">
      <c r="A739" s="220">
        <f t="shared" si="94"/>
        <v>533</v>
      </c>
      <c r="B739" s="221" t="s">
        <v>1182</v>
      </c>
      <c r="C739" s="545">
        <v>1250</v>
      </c>
      <c r="D739" s="221" t="s">
        <v>578</v>
      </c>
      <c r="H739" s="1" t="s">
        <v>617</v>
      </c>
      <c r="M739" s="16">
        <v>1.6191</v>
      </c>
      <c r="N739" s="1" t="s">
        <v>578</v>
      </c>
      <c r="O739" s="1" t="s">
        <v>2012</v>
      </c>
      <c r="P739" s="8">
        <f>C31</f>
        <v>1325</v>
      </c>
      <c r="Q739" s="1" t="s">
        <v>578</v>
      </c>
      <c r="R739" s="8">
        <f t="shared" si="100"/>
        <v>2145.31</v>
      </c>
      <c r="S739" s="51">
        <v>35.299999999999997</v>
      </c>
      <c r="T739" t="s">
        <v>1375</v>
      </c>
      <c r="U739" t="s">
        <v>3415</v>
      </c>
      <c r="V739">
        <f t="shared" si="99"/>
        <v>461</v>
      </c>
      <c r="X739">
        <f t="shared" si="98"/>
        <v>16273.3</v>
      </c>
      <c r="AE739" s="52" t="str">
        <f t="shared" si="93"/>
        <v>|</v>
      </c>
      <c r="AG739" s="1" t="s">
        <v>2175</v>
      </c>
    </row>
    <row r="740" spans="1:33" ht="24" customHeight="1">
      <c r="A740" s="220">
        <f t="shared" si="94"/>
        <v>534</v>
      </c>
      <c r="B740" s="221" t="s">
        <v>943</v>
      </c>
      <c r="C740" s="545">
        <v>1250</v>
      </c>
      <c r="D740" s="221" t="s">
        <v>578</v>
      </c>
      <c r="H740" s="1" t="s">
        <v>619</v>
      </c>
      <c r="M740" s="8">
        <v>2</v>
      </c>
      <c r="N740" s="1" t="s">
        <v>835</v>
      </c>
      <c r="O740" s="1" t="s">
        <v>1664</v>
      </c>
      <c r="P740" s="8">
        <f>C302</f>
        <v>10.5</v>
      </c>
      <c r="Q740" s="1" t="s">
        <v>835</v>
      </c>
      <c r="R740" s="8">
        <f t="shared" si="100"/>
        <v>21</v>
      </c>
      <c r="U740" s="37" t="s">
        <v>3899</v>
      </c>
      <c r="V740">
        <f t="shared" si="99"/>
        <v>0</v>
      </c>
      <c r="X740" s="37">
        <f>SUM(X732:X739)</f>
        <v>71974.78</v>
      </c>
      <c r="AE740" s="52" t="str">
        <f t="shared" si="93"/>
        <v>|</v>
      </c>
      <c r="AG740" s="1" t="s">
        <v>2175</v>
      </c>
    </row>
    <row r="741" spans="1:33" ht="24" customHeight="1">
      <c r="A741" s="220">
        <f t="shared" si="94"/>
        <v>535</v>
      </c>
      <c r="B741" s="221" t="s">
        <v>945</v>
      </c>
      <c r="C741" s="545">
        <v>1250</v>
      </c>
      <c r="D741" s="221" t="s">
        <v>578</v>
      </c>
      <c r="H741" s="1" t="s">
        <v>483</v>
      </c>
      <c r="M741" s="8">
        <v>3</v>
      </c>
      <c r="N741" s="1" t="s">
        <v>835</v>
      </c>
      <c r="O741" s="1" t="s">
        <v>1564</v>
      </c>
      <c r="P741" s="8">
        <f>C298</f>
        <v>8.5</v>
      </c>
      <c r="Q741" s="1" t="s">
        <v>835</v>
      </c>
      <c r="R741" s="8">
        <f t="shared" si="100"/>
        <v>25.5</v>
      </c>
      <c r="U741" s="37" t="s">
        <v>3900</v>
      </c>
      <c r="V741">
        <f t="shared" si="99"/>
        <v>0</v>
      </c>
      <c r="X741" s="37">
        <f>X740/10</f>
        <v>7197.48</v>
      </c>
      <c r="Y741">
        <f>X741</f>
        <v>7197.48</v>
      </c>
      <c r="AE741" s="52" t="str">
        <f t="shared" si="93"/>
        <v>|</v>
      </c>
      <c r="AG741" s="1" t="s">
        <v>2175</v>
      </c>
    </row>
    <row r="742" spans="1:33" ht="24" customHeight="1">
      <c r="A742" s="220">
        <f t="shared" si="94"/>
        <v>536</v>
      </c>
      <c r="B742" s="221" t="s">
        <v>907</v>
      </c>
      <c r="C742" s="545">
        <v>1250</v>
      </c>
      <c r="D742" s="221" t="s">
        <v>578</v>
      </c>
      <c r="H742" s="1" t="s">
        <v>485</v>
      </c>
      <c r="M742" s="8">
        <v>1</v>
      </c>
      <c r="N742" s="1" t="s">
        <v>835</v>
      </c>
      <c r="O742" s="1" t="s">
        <v>1649</v>
      </c>
      <c r="P742" s="8">
        <f>C304</f>
        <v>21</v>
      </c>
      <c r="Q742" s="1" t="s">
        <v>835</v>
      </c>
      <c r="R742" s="8">
        <f t="shared" si="100"/>
        <v>21</v>
      </c>
      <c r="S742" s="51">
        <v>1</v>
      </c>
      <c r="T742" t="s">
        <v>1289</v>
      </c>
      <c r="U742" t="s">
        <v>3929</v>
      </c>
      <c r="V742">
        <f t="shared" si="99"/>
        <v>81.3</v>
      </c>
      <c r="X742">
        <f>V742</f>
        <v>81.3</v>
      </c>
      <c r="AE742" s="52" t="str">
        <f t="shared" si="93"/>
        <v>|</v>
      </c>
      <c r="AG742" s="1" t="s">
        <v>2175</v>
      </c>
    </row>
    <row r="743" spans="1:33" ht="24" customHeight="1">
      <c r="A743" s="220">
        <f t="shared" si="94"/>
        <v>537</v>
      </c>
      <c r="B743" s="221" t="s">
        <v>1181</v>
      </c>
      <c r="C743" s="545">
        <v>1250</v>
      </c>
      <c r="D743" s="221" t="s">
        <v>578</v>
      </c>
      <c r="H743" s="1" t="s">
        <v>1</v>
      </c>
      <c r="M743" s="8">
        <v>1</v>
      </c>
      <c r="N743" s="1" t="s">
        <v>835</v>
      </c>
      <c r="O743" s="1" t="s">
        <v>1911</v>
      </c>
      <c r="P743" s="8">
        <f>C306</f>
        <v>4</v>
      </c>
      <c r="Q743" s="1" t="s">
        <v>835</v>
      </c>
      <c r="R743" s="8">
        <f t="shared" si="100"/>
        <v>4</v>
      </c>
      <c r="U743" t="s">
        <v>3901</v>
      </c>
      <c r="X743" s="37">
        <f>SUM(X741:X742)</f>
        <v>7278.78</v>
      </c>
      <c r="Y743">
        <f>SUM(Y741:Y742)</f>
        <v>7197.48</v>
      </c>
      <c r="AE743" s="52" t="str">
        <f t="shared" si="93"/>
        <v>|</v>
      </c>
      <c r="AG743" s="1" t="s">
        <v>2175</v>
      </c>
    </row>
    <row r="744" spans="1:33" ht="24" customHeight="1">
      <c r="A744" s="220">
        <f t="shared" si="94"/>
        <v>538</v>
      </c>
      <c r="B744" s="221" t="s">
        <v>1603</v>
      </c>
      <c r="C744" s="223"/>
      <c r="D744" s="221" t="s">
        <v>940</v>
      </c>
      <c r="H744" s="1" t="s">
        <v>1180</v>
      </c>
      <c r="N744" s="1" t="s">
        <v>419</v>
      </c>
      <c r="O744" s="1" t="s">
        <v>420</v>
      </c>
      <c r="Q744" s="1" t="s">
        <v>419</v>
      </c>
      <c r="R744" s="8">
        <v>0</v>
      </c>
      <c r="S744" s="420" t="s">
        <v>625</v>
      </c>
      <c r="U744" t="s">
        <v>3902</v>
      </c>
      <c r="V744" s="420" t="s">
        <v>625</v>
      </c>
      <c r="X744">
        <f>X743*0.5%</f>
        <v>36.39</v>
      </c>
      <c r="Y744">
        <f>Y743*0.5/100</f>
        <v>35.99</v>
      </c>
      <c r="AE744" s="52" t="str">
        <f t="shared" si="93"/>
        <v>|</v>
      </c>
      <c r="AG744" s="1" t="s">
        <v>2175</v>
      </c>
    </row>
    <row r="745" spans="1:33" ht="24" customHeight="1">
      <c r="A745" s="220">
        <f t="shared" si="94"/>
        <v>539</v>
      </c>
      <c r="B745" s="221" t="s">
        <v>1605</v>
      </c>
      <c r="C745" s="545">
        <v>65</v>
      </c>
      <c r="D745" s="221" t="s">
        <v>1658</v>
      </c>
      <c r="H745" s="5" t="s">
        <v>1530</v>
      </c>
      <c r="I745" s="5" t="s">
        <v>1530</v>
      </c>
      <c r="J745" s="1" t="s">
        <v>1530</v>
      </c>
      <c r="R745" s="5" t="s">
        <v>1530</v>
      </c>
      <c r="T745" s="3"/>
      <c r="U745" s="37" t="s">
        <v>3523</v>
      </c>
      <c r="W745" s="11"/>
      <c r="X745" s="39">
        <f>SUM(X743:X744)</f>
        <v>7315.17</v>
      </c>
      <c r="Y745" s="37">
        <f>SUM(Y743:Y744)</f>
        <v>7233.47</v>
      </c>
      <c r="AE745" s="52" t="str">
        <f t="shared" si="93"/>
        <v>|</v>
      </c>
      <c r="AG745" s="1" t="s">
        <v>2175</v>
      </c>
    </row>
    <row r="746" spans="1:33" ht="24" customHeight="1">
      <c r="A746" s="220">
        <f t="shared" si="94"/>
        <v>540</v>
      </c>
      <c r="B746" s="530" t="s">
        <v>25</v>
      </c>
      <c r="C746" s="423">
        <v>20.5</v>
      </c>
      <c r="D746" s="221" t="s">
        <v>1658</v>
      </c>
      <c r="F746" s="8">
        <v>13.46</v>
      </c>
      <c r="G746" s="7" t="s">
        <v>254</v>
      </c>
      <c r="H746" s="1" t="s">
        <v>255</v>
      </c>
      <c r="I746" s="8">
        <f>C34/1000</f>
        <v>47.3</v>
      </c>
      <c r="J746" s="1" t="s">
        <v>254</v>
      </c>
      <c r="K746" s="8">
        <f>(F746*I746)</f>
        <v>636.66</v>
      </c>
      <c r="O746" s="2" t="s">
        <v>26</v>
      </c>
      <c r="R746" s="8">
        <f>SUM(R737:R744)</f>
        <v>3529.22</v>
      </c>
      <c r="T746" s="3"/>
      <c r="W746" s="11"/>
      <c r="X746" s="5" t="s">
        <v>1530</v>
      </c>
      <c r="AE746" s="52" t="str">
        <f t="shared" si="93"/>
        <v>|</v>
      </c>
      <c r="AG746" s="1" t="s">
        <v>2175</v>
      </c>
    </row>
    <row r="747" spans="1:33" ht="24" customHeight="1">
      <c r="A747" s="220">
        <f t="shared" si="94"/>
        <v>541</v>
      </c>
      <c r="B747" s="221" t="s">
        <v>27</v>
      </c>
      <c r="C747" s="545">
        <v>110.95</v>
      </c>
      <c r="D747" s="221" t="s">
        <v>1658</v>
      </c>
      <c r="H747" s="1" t="s">
        <v>944</v>
      </c>
      <c r="R747" s="5" t="s">
        <v>1530</v>
      </c>
      <c r="T747" s="3"/>
      <c r="U747" s="1" t="s">
        <v>361</v>
      </c>
      <c r="W747" s="11"/>
      <c r="X747" s="39">
        <f>(X745+C22)</f>
        <v>7418.47</v>
      </c>
      <c r="AE747" s="52" t="str">
        <f t="shared" si="93"/>
        <v>|</v>
      </c>
      <c r="AG747" s="1" t="s">
        <v>2175</v>
      </c>
    </row>
    <row r="748" spans="1:33" ht="24" customHeight="1">
      <c r="A748" s="220">
        <f t="shared" si="94"/>
        <v>542</v>
      </c>
      <c r="B748" s="221" t="s">
        <v>984</v>
      </c>
      <c r="C748" s="545">
        <v>399</v>
      </c>
      <c r="D748" s="221" t="s">
        <v>1658</v>
      </c>
      <c r="F748" s="8">
        <v>4</v>
      </c>
      <c r="G748" s="7" t="s">
        <v>254</v>
      </c>
      <c r="H748" s="1" t="s">
        <v>946</v>
      </c>
      <c r="I748" s="8">
        <f>C34/1000</f>
        <v>47.3</v>
      </c>
      <c r="J748" s="1" t="s">
        <v>254</v>
      </c>
      <c r="K748" s="8">
        <f>(F748*I748)</f>
        <v>189.2</v>
      </c>
      <c r="O748" s="2" t="s">
        <v>521</v>
      </c>
      <c r="R748" s="8">
        <f>R746/M739</f>
        <v>2179.7399999999998</v>
      </c>
      <c r="T748" s="3"/>
      <c r="U748" s="1" t="s">
        <v>363</v>
      </c>
      <c r="W748" s="11"/>
      <c r="X748" s="39">
        <f>(X747+C24)</f>
        <v>7621.97</v>
      </c>
      <c r="AE748" s="52" t="str">
        <f t="shared" si="93"/>
        <v>|</v>
      </c>
      <c r="AG748" s="1" t="s">
        <v>2175</v>
      </c>
    </row>
    <row r="749" spans="1:33" ht="24" customHeight="1">
      <c r="A749" s="220">
        <f t="shared" si="94"/>
        <v>543</v>
      </c>
      <c r="B749" s="221" t="s">
        <v>863</v>
      </c>
      <c r="C749" s="545">
        <v>92</v>
      </c>
      <c r="D749" s="221" t="s">
        <v>1658</v>
      </c>
      <c r="H749" s="1" t="s">
        <v>997</v>
      </c>
      <c r="R749" s="5" t="s">
        <v>1980</v>
      </c>
      <c r="T749" s="3"/>
      <c r="U749" s="1" t="s">
        <v>2149</v>
      </c>
      <c r="W749" s="11"/>
      <c r="X749" s="39">
        <f>(X748+C24)</f>
        <v>7825.47</v>
      </c>
      <c r="AE749" s="52" t="str">
        <f t="shared" si="93"/>
        <v>|</v>
      </c>
      <c r="AG749" s="1" t="s">
        <v>2175</v>
      </c>
    </row>
    <row r="750" spans="1:33" ht="24" customHeight="1">
      <c r="A750" s="220">
        <f t="shared" si="94"/>
        <v>544</v>
      </c>
      <c r="B750" s="221" t="s">
        <v>291</v>
      </c>
      <c r="C750" s="545">
        <v>174.24</v>
      </c>
      <c r="D750" s="221" t="s">
        <v>1658</v>
      </c>
      <c r="F750" s="8"/>
      <c r="G750" s="7" t="s">
        <v>419</v>
      </c>
      <c r="H750" s="1" t="s">
        <v>1602</v>
      </c>
      <c r="J750" s="1" t="s">
        <v>419</v>
      </c>
      <c r="K750" s="8">
        <v>40</v>
      </c>
      <c r="T750" s="3"/>
      <c r="U750" s="1" t="s">
        <v>355</v>
      </c>
      <c r="W750" s="11"/>
      <c r="X750" s="39">
        <f>(X749+C24)</f>
        <v>8028.97</v>
      </c>
      <c r="AE750" s="52" t="str">
        <f t="shared" si="93"/>
        <v>|</v>
      </c>
      <c r="AG750" s="1" t="s">
        <v>2175</v>
      </c>
    </row>
    <row r="751" spans="1:33" ht="24" customHeight="1">
      <c r="A751" s="220">
        <f t="shared" si="94"/>
        <v>545</v>
      </c>
      <c r="B751" s="221" t="s">
        <v>293</v>
      </c>
      <c r="C751" s="545">
        <v>215.06</v>
      </c>
      <c r="D751" s="221" t="s">
        <v>1658</v>
      </c>
      <c r="H751" s="1" t="s">
        <v>1604</v>
      </c>
      <c r="K751" s="5" t="s">
        <v>1530</v>
      </c>
      <c r="M751" s="2" t="s">
        <v>1484</v>
      </c>
      <c r="N751" s="1" t="s">
        <v>295</v>
      </c>
      <c r="O751" s="1" t="s">
        <v>1566</v>
      </c>
      <c r="T751" s="3"/>
      <c r="U751" s="1" t="s">
        <v>1477</v>
      </c>
      <c r="W751" s="11"/>
      <c r="X751" s="39">
        <f t="shared" ref="X751:X756" si="101">(X750+C24)</f>
        <v>8232.4699999999993</v>
      </c>
      <c r="AE751" s="52" t="str">
        <f t="shared" si="93"/>
        <v>|</v>
      </c>
      <c r="AG751" s="1" t="s">
        <v>2175</v>
      </c>
    </row>
    <row r="752" spans="1:33" ht="24" customHeight="1">
      <c r="A752" s="220">
        <f t="shared" si="94"/>
        <v>546</v>
      </c>
      <c r="B752" s="221" t="s">
        <v>1567</v>
      </c>
      <c r="C752" s="545">
        <v>97.24</v>
      </c>
      <c r="D752" s="221" t="s">
        <v>1658</v>
      </c>
      <c r="H752" s="2" t="s">
        <v>3533</v>
      </c>
      <c r="K752" s="8">
        <f>SUM(K746:K750)</f>
        <v>865.86</v>
      </c>
      <c r="O752" s="5" t="s">
        <v>1530</v>
      </c>
      <c r="X752" s="39">
        <f t="shared" si="101"/>
        <v>8313.77</v>
      </c>
      <c r="AE752" s="52" t="str">
        <f t="shared" si="93"/>
        <v>|</v>
      </c>
      <c r="AG752" s="1" t="s">
        <v>2175</v>
      </c>
    </row>
    <row r="753" spans="1:33" ht="24" customHeight="1">
      <c r="A753" s="220">
        <f t="shared" si="94"/>
        <v>547</v>
      </c>
      <c r="B753" s="221" t="s">
        <v>1374</v>
      </c>
      <c r="C753" s="545">
        <v>168.96</v>
      </c>
      <c r="D753" s="221" t="s">
        <v>1658</v>
      </c>
      <c r="K753" s="5" t="s">
        <v>1530</v>
      </c>
      <c r="M753" s="16">
        <v>2.35E-2</v>
      </c>
      <c r="N753" s="1" t="s">
        <v>836</v>
      </c>
      <c r="O753" s="1" t="s">
        <v>1264</v>
      </c>
      <c r="P753" s="8">
        <f>C89</f>
        <v>34300</v>
      </c>
      <c r="Q753" s="1" t="s">
        <v>836</v>
      </c>
      <c r="R753" s="8">
        <f t="shared" ref="R753:R759" si="102">M753*P753</f>
        <v>806.05</v>
      </c>
      <c r="X753" s="39">
        <f t="shared" si="101"/>
        <v>8347.3700000000008</v>
      </c>
      <c r="AE753" s="52" t="str">
        <f t="shared" si="93"/>
        <v>|</v>
      </c>
      <c r="AG753" s="1" t="s">
        <v>2175</v>
      </c>
    </row>
    <row r="754" spans="1:33" ht="24" customHeight="1">
      <c r="A754" s="220">
        <f t="shared" si="94"/>
        <v>548</v>
      </c>
      <c r="B754" s="1" t="s">
        <v>4733</v>
      </c>
      <c r="C754" s="423">
        <v>373</v>
      </c>
      <c r="D754" s="423">
        <v>404</v>
      </c>
      <c r="H754" s="2" t="s">
        <v>28</v>
      </c>
      <c r="K754" s="8">
        <f>K752/40</f>
        <v>21.65</v>
      </c>
      <c r="M754" s="16">
        <v>0.872</v>
      </c>
      <c r="N754" s="1" t="s">
        <v>578</v>
      </c>
      <c r="O754" s="1" t="s">
        <v>1249</v>
      </c>
      <c r="P754" s="8">
        <f>C786</f>
        <v>387.4</v>
      </c>
      <c r="Q754" s="1" t="s">
        <v>578</v>
      </c>
      <c r="R754" s="8">
        <f t="shared" si="102"/>
        <v>337.81</v>
      </c>
      <c r="X754" s="39">
        <f t="shared" si="101"/>
        <v>8376.8700000000008</v>
      </c>
      <c r="AE754" s="52" t="str">
        <f t="shared" si="93"/>
        <v>|</v>
      </c>
      <c r="AG754" s="1" t="s">
        <v>2175</v>
      </c>
    </row>
    <row r="755" spans="1:33" ht="24" customHeight="1">
      <c r="A755" s="220">
        <f t="shared" si="94"/>
        <v>549</v>
      </c>
      <c r="B755" s="1" t="s">
        <v>4734</v>
      </c>
      <c r="C755" s="423">
        <v>762</v>
      </c>
      <c r="D755" s="221" t="s">
        <v>1658</v>
      </c>
      <c r="K755" s="5" t="s">
        <v>1530</v>
      </c>
      <c r="M755" s="16">
        <v>1.3247</v>
      </c>
      <c r="N755" s="1" t="s">
        <v>578</v>
      </c>
      <c r="O755" s="1" t="s">
        <v>2012</v>
      </c>
      <c r="P755" s="8">
        <f>C31</f>
        <v>1325</v>
      </c>
      <c r="Q755" s="1" t="s">
        <v>578</v>
      </c>
      <c r="R755" s="8">
        <f t="shared" si="102"/>
        <v>1755.23</v>
      </c>
      <c r="X755" s="39">
        <f t="shared" si="101"/>
        <v>8462.4699999999993</v>
      </c>
      <c r="AE755" s="52" t="str">
        <f t="shared" si="93"/>
        <v>|</v>
      </c>
      <c r="AG755" s="1" t="s">
        <v>2175</v>
      </c>
    </row>
    <row r="756" spans="1:33" ht="24" customHeight="1">
      <c r="A756" s="220">
        <f t="shared" si="94"/>
        <v>550</v>
      </c>
      <c r="B756" s="221" t="s">
        <v>793</v>
      </c>
      <c r="C756" s="545">
        <v>210</v>
      </c>
      <c r="D756" s="221" t="s">
        <v>1658</v>
      </c>
      <c r="H756" s="1" t="s">
        <v>864</v>
      </c>
      <c r="M756" s="8">
        <v>1</v>
      </c>
      <c r="N756" s="1" t="s">
        <v>835</v>
      </c>
      <c r="O756" s="1" t="s">
        <v>1664</v>
      </c>
      <c r="P756" s="8">
        <f>C302</f>
        <v>10.5</v>
      </c>
      <c r="Q756" s="1" t="s">
        <v>835</v>
      </c>
      <c r="R756" s="8">
        <f t="shared" si="102"/>
        <v>10.5</v>
      </c>
      <c r="X756" s="39">
        <f t="shared" si="101"/>
        <v>9125.4699999999993</v>
      </c>
      <c r="AE756" s="52" t="str">
        <f t="shared" si="93"/>
        <v>|</v>
      </c>
      <c r="AG756" s="1" t="s">
        <v>2175</v>
      </c>
    </row>
    <row r="757" spans="1:33" ht="24" customHeight="1">
      <c r="A757" s="220">
        <f t="shared" si="94"/>
        <v>551</v>
      </c>
      <c r="B757" s="1" t="s">
        <v>4735</v>
      </c>
      <c r="C757" s="423">
        <v>1448</v>
      </c>
      <c r="D757" s="221" t="s">
        <v>578</v>
      </c>
      <c r="H757" s="1" t="s">
        <v>292</v>
      </c>
      <c r="M757" s="8">
        <v>3</v>
      </c>
      <c r="N757" s="1" t="s">
        <v>835</v>
      </c>
      <c r="O757" s="1" t="s">
        <v>1335</v>
      </c>
      <c r="P757" s="8">
        <f>C297</f>
        <v>5.75</v>
      </c>
      <c r="Q757" s="1" t="s">
        <v>835</v>
      </c>
      <c r="R757" s="8">
        <f t="shared" si="102"/>
        <v>17.25</v>
      </c>
      <c r="AE757" s="52" t="str">
        <f t="shared" si="93"/>
        <v>|</v>
      </c>
      <c r="AG757" s="1" t="s">
        <v>2175</v>
      </c>
    </row>
    <row r="758" spans="1:33" ht="24" customHeight="1">
      <c r="A758" s="220">
        <f t="shared" si="94"/>
        <v>552</v>
      </c>
      <c r="B758" s="221" t="s">
        <v>1336</v>
      </c>
      <c r="C758" s="223"/>
      <c r="D758" s="221" t="s">
        <v>940</v>
      </c>
      <c r="H758" s="1" t="s">
        <v>294</v>
      </c>
      <c r="M758" s="8">
        <v>1</v>
      </c>
      <c r="N758" s="1" t="s">
        <v>835</v>
      </c>
      <c r="O758" s="1" t="s">
        <v>1339</v>
      </c>
      <c r="P758" s="8">
        <f>C305</f>
        <v>10</v>
      </c>
      <c r="Q758" s="1" t="s">
        <v>835</v>
      </c>
      <c r="R758" s="8">
        <f t="shared" si="102"/>
        <v>10</v>
      </c>
      <c r="AE758" s="52" t="str">
        <f t="shared" si="93"/>
        <v>|</v>
      </c>
      <c r="AG758" s="1" t="s">
        <v>2175</v>
      </c>
    </row>
    <row r="759" spans="1:33" ht="24" customHeight="1">
      <c r="A759" s="220">
        <f t="shared" si="94"/>
        <v>553</v>
      </c>
      <c r="B759" s="221" t="s">
        <v>1340</v>
      </c>
      <c r="C759" s="223"/>
      <c r="D759" s="223"/>
      <c r="M759" s="8">
        <v>1</v>
      </c>
      <c r="N759" s="1" t="s">
        <v>835</v>
      </c>
      <c r="O759" s="1" t="s">
        <v>1911</v>
      </c>
      <c r="P759" s="8">
        <f>C306</f>
        <v>4</v>
      </c>
      <c r="Q759" s="1" t="s">
        <v>835</v>
      </c>
      <c r="R759" s="8">
        <f t="shared" si="102"/>
        <v>4</v>
      </c>
      <c r="AE759" s="52" t="str">
        <f t="shared" si="93"/>
        <v>|</v>
      </c>
      <c r="AG759" s="1" t="s">
        <v>2175</v>
      </c>
    </row>
    <row r="760" spans="1:33" ht="24" customHeight="1">
      <c r="A760" s="220">
        <f t="shared" si="94"/>
        <v>554</v>
      </c>
      <c r="B760" s="221" t="s">
        <v>2096</v>
      </c>
      <c r="C760" s="222">
        <v>300</v>
      </c>
      <c r="D760" s="221" t="s">
        <v>2201</v>
      </c>
      <c r="F760" s="8">
        <v>19</v>
      </c>
      <c r="G760" s="7" t="s">
        <v>1375</v>
      </c>
      <c r="H760" s="1" t="s">
        <v>67</v>
      </c>
      <c r="I760" s="13">
        <f>K754</f>
        <v>21.65</v>
      </c>
      <c r="J760" s="1" t="s">
        <v>245</v>
      </c>
      <c r="K760" s="8">
        <f>(F760*I760)</f>
        <v>411.35</v>
      </c>
      <c r="N760" s="1" t="s">
        <v>419</v>
      </c>
      <c r="O760" s="1" t="s">
        <v>420</v>
      </c>
      <c r="Q760" s="1" t="s">
        <v>419</v>
      </c>
      <c r="R760" s="8">
        <v>0</v>
      </c>
      <c r="AE760" s="52" t="str">
        <f t="shared" si="93"/>
        <v>|</v>
      </c>
      <c r="AG760" s="1" t="s">
        <v>2175</v>
      </c>
    </row>
    <row r="761" spans="1:33" ht="24" customHeight="1">
      <c r="A761" s="220">
        <f t="shared" si="94"/>
        <v>555</v>
      </c>
      <c r="B761" s="225" t="s">
        <v>744</v>
      </c>
      <c r="C761" s="222">
        <v>302</v>
      </c>
      <c r="D761" s="221" t="s">
        <v>2201</v>
      </c>
      <c r="H761" s="1" t="s">
        <v>1606</v>
      </c>
      <c r="R761" s="5" t="s">
        <v>1530</v>
      </c>
      <c r="AE761" s="52" t="str">
        <f t="shared" si="93"/>
        <v>|</v>
      </c>
      <c r="AG761" s="1" t="s">
        <v>2175</v>
      </c>
    </row>
    <row r="762" spans="1:33" ht="24" customHeight="1">
      <c r="A762" s="220">
        <f t="shared" si="94"/>
        <v>556</v>
      </c>
      <c r="B762" s="221" t="s">
        <v>746</v>
      </c>
      <c r="C762" s="222">
        <v>382</v>
      </c>
      <c r="D762" s="221" t="s">
        <v>2201</v>
      </c>
      <c r="F762" s="8">
        <v>0.12</v>
      </c>
      <c r="G762" s="7" t="s">
        <v>2070</v>
      </c>
      <c r="H762" s="1" t="s">
        <v>1095</v>
      </c>
      <c r="I762" s="8">
        <f>C272/5</f>
        <v>3100</v>
      </c>
      <c r="J762" s="1" t="s">
        <v>245</v>
      </c>
      <c r="K762" s="8">
        <f t="shared" ref="K762:K769" si="103">(F762*I762)</f>
        <v>372</v>
      </c>
      <c r="O762" s="2" t="s">
        <v>714</v>
      </c>
      <c r="R762" s="8">
        <f>SUM(R753:R760)</f>
        <v>2940.84</v>
      </c>
      <c r="AE762" s="52" t="str">
        <f t="shared" si="93"/>
        <v>|</v>
      </c>
      <c r="AG762" s="1" t="s">
        <v>2175</v>
      </c>
    </row>
    <row r="763" spans="1:33" ht="24" customHeight="1">
      <c r="A763" s="220">
        <f t="shared" si="94"/>
        <v>557</v>
      </c>
      <c r="B763" s="221" t="s">
        <v>539</v>
      </c>
      <c r="C763" s="222">
        <v>140</v>
      </c>
      <c r="D763" s="221" t="s">
        <v>2201</v>
      </c>
      <c r="F763" s="8">
        <v>98.5</v>
      </c>
      <c r="G763" s="7" t="s">
        <v>794</v>
      </c>
      <c r="H763" s="1" t="s">
        <v>795</v>
      </c>
      <c r="I763" s="8">
        <f>C273/5</f>
        <v>5.04</v>
      </c>
      <c r="J763" s="1" t="s">
        <v>245</v>
      </c>
      <c r="K763" s="8">
        <f t="shared" si="103"/>
        <v>496.44</v>
      </c>
      <c r="R763" s="5" t="s">
        <v>1530</v>
      </c>
      <c r="AE763" s="52" t="str">
        <f t="shared" ref="AE763:AE825" si="104">AG763</f>
        <v>|</v>
      </c>
      <c r="AG763" s="1" t="s">
        <v>2175</v>
      </c>
    </row>
    <row r="764" spans="1:33" ht="24" customHeight="1">
      <c r="A764" s="220">
        <f t="shared" si="94"/>
        <v>558</v>
      </c>
      <c r="B764" s="221" t="s">
        <v>806</v>
      </c>
      <c r="C764" s="222">
        <v>222</v>
      </c>
      <c r="D764" s="221" t="s">
        <v>2201</v>
      </c>
      <c r="F764" s="8">
        <v>1</v>
      </c>
      <c r="G764" s="7" t="s">
        <v>419</v>
      </c>
      <c r="H764" s="1" t="s">
        <v>1334</v>
      </c>
      <c r="I764" s="492">
        <v>11</v>
      </c>
      <c r="J764" s="1" t="s">
        <v>419</v>
      </c>
      <c r="K764" s="8">
        <f t="shared" si="103"/>
        <v>11</v>
      </c>
      <c r="O764" s="2" t="s">
        <v>521</v>
      </c>
      <c r="R764" s="8">
        <f>R762/1.3247</f>
        <v>2220</v>
      </c>
      <c r="AE764" s="52" t="str">
        <f t="shared" si="104"/>
        <v>|</v>
      </c>
      <c r="AG764" s="1" t="s">
        <v>2175</v>
      </c>
    </row>
    <row r="765" spans="1:33" ht="24" customHeight="1">
      <c r="A765" s="220">
        <f t="shared" si="94"/>
        <v>559</v>
      </c>
      <c r="B765" s="221" t="s">
        <v>581</v>
      </c>
      <c r="C765" s="222">
        <v>505</v>
      </c>
      <c r="D765" s="221" t="s">
        <v>2201</v>
      </c>
      <c r="F765" s="8">
        <v>3.8</v>
      </c>
      <c r="G765" s="7" t="s">
        <v>1337</v>
      </c>
      <c r="H765" s="1" t="s">
        <v>1338</v>
      </c>
      <c r="I765" s="8">
        <f>C16</f>
        <v>842</v>
      </c>
      <c r="J765" s="1" t="s">
        <v>1341</v>
      </c>
      <c r="K765" s="8">
        <f t="shared" si="103"/>
        <v>3199.6</v>
      </c>
      <c r="R765" s="5" t="s">
        <v>1980</v>
      </c>
      <c r="AE765" s="52" t="str">
        <f t="shared" si="104"/>
        <v>|</v>
      </c>
      <c r="AG765" s="1" t="s">
        <v>2175</v>
      </c>
    </row>
    <row r="766" spans="1:33" ht="24" customHeight="1">
      <c r="A766" s="220">
        <f t="shared" si="94"/>
        <v>560</v>
      </c>
      <c r="B766" s="221" t="s">
        <v>4507</v>
      </c>
      <c r="C766" s="423">
        <v>272.2</v>
      </c>
      <c r="D766" s="221" t="s">
        <v>1658</v>
      </c>
      <c r="F766" s="8">
        <v>5.4</v>
      </c>
      <c r="G766" s="7" t="s">
        <v>1337</v>
      </c>
      <c r="H766" s="1" t="s">
        <v>792</v>
      </c>
      <c r="I766" s="8">
        <f>C12</f>
        <v>562</v>
      </c>
      <c r="J766" s="1" t="s">
        <v>1341</v>
      </c>
      <c r="K766" s="8">
        <f t="shared" si="103"/>
        <v>3034.8</v>
      </c>
      <c r="N766" s="1" t="s">
        <v>2167</v>
      </c>
      <c r="AE766" s="52" t="str">
        <f t="shared" si="104"/>
        <v>|</v>
      </c>
      <c r="AG766" s="1" t="s">
        <v>2175</v>
      </c>
    </row>
    <row r="767" spans="1:33" ht="24" customHeight="1">
      <c r="A767" s="223" t="s">
        <v>2761</v>
      </c>
      <c r="B767" s="221" t="s">
        <v>4508</v>
      </c>
      <c r="C767" s="423">
        <v>1000</v>
      </c>
      <c r="D767" s="221" t="s">
        <v>1658</v>
      </c>
      <c r="F767" s="8">
        <v>1</v>
      </c>
      <c r="G767" s="7" t="s">
        <v>1337</v>
      </c>
      <c r="H767" s="1" t="s">
        <v>2202</v>
      </c>
      <c r="I767" s="8">
        <f>C69</f>
        <v>739</v>
      </c>
      <c r="J767" s="1" t="s">
        <v>1341</v>
      </c>
      <c r="K767" s="8">
        <f t="shared" si="103"/>
        <v>739</v>
      </c>
      <c r="O767" s="1" t="s">
        <v>2200</v>
      </c>
      <c r="AE767" s="52" t="str">
        <f t="shared" si="104"/>
        <v>|</v>
      </c>
      <c r="AG767" s="1" t="s">
        <v>2175</v>
      </c>
    </row>
    <row r="768" spans="1:33" ht="24" customHeight="1">
      <c r="A768" s="220">
        <f>(A766+1)</f>
        <v>561</v>
      </c>
      <c r="B768" s="221" t="s">
        <v>98</v>
      </c>
      <c r="C768" s="222">
        <v>43.3</v>
      </c>
      <c r="D768" s="221" t="s">
        <v>1714</v>
      </c>
      <c r="F768" s="8">
        <v>1</v>
      </c>
      <c r="G768" s="7" t="s">
        <v>419</v>
      </c>
      <c r="H768" s="1" t="s">
        <v>745</v>
      </c>
      <c r="I768" s="492">
        <v>10</v>
      </c>
      <c r="J768" s="1" t="s">
        <v>419</v>
      </c>
      <c r="K768" s="8">
        <f t="shared" si="103"/>
        <v>10</v>
      </c>
      <c r="O768" s="1" t="s">
        <v>2034</v>
      </c>
      <c r="AE768" s="52" t="str">
        <f t="shared" si="104"/>
        <v>|</v>
      </c>
      <c r="AG768" s="1" t="s">
        <v>2175</v>
      </c>
    </row>
    <row r="769" spans="1:33" ht="24" customHeight="1">
      <c r="A769" s="220">
        <f t="shared" ref="A769:A786" si="105">(A768+1)</f>
        <v>562</v>
      </c>
      <c r="B769" s="221" t="s">
        <v>2035</v>
      </c>
      <c r="C769" s="222">
        <v>218</v>
      </c>
      <c r="D769" s="221" t="s">
        <v>1658</v>
      </c>
      <c r="F769" s="8">
        <v>19</v>
      </c>
      <c r="G769" s="7" t="s">
        <v>1375</v>
      </c>
      <c r="H769" s="1" t="s">
        <v>747</v>
      </c>
      <c r="I769" s="492">
        <v>2</v>
      </c>
      <c r="J769" s="1" t="s">
        <v>1375</v>
      </c>
      <c r="K769" s="8">
        <f t="shared" si="103"/>
        <v>38</v>
      </c>
      <c r="O769" s="1" t="s">
        <v>684</v>
      </c>
      <c r="AE769" s="52" t="str">
        <f t="shared" si="104"/>
        <v>|</v>
      </c>
      <c r="AG769" s="1" t="s">
        <v>2175</v>
      </c>
    </row>
    <row r="770" spans="1:33" ht="24" customHeight="1">
      <c r="A770" s="220">
        <f t="shared" si="105"/>
        <v>563</v>
      </c>
      <c r="B770" s="221" t="s">
        <v>685</v>
      </c>
      <c r="C770" s="222">
        <v>926</v>
      </c>
      <c r="D770" s="221" t="s">
        <v>1658</v>
      </c>
      <c r="H770" s="1" t="s">
        <v>469</v>
      </c>
      <c r="K770" s="5" t="s">
        <v>1530</v>
      </c>
      <c r="O770" s="1" t="s">
        <v>85</v>
      </c>
      <c r="AE770" s="52" t="str">
        <f t="shared" si="104"/>
        <v>|</v>
      </c>
      <c r="AG770" s="1" t="s">
        <v>2175</v>
      </c>
    </row>
    <row r="771" spans="1:33" ht="24" customHeight="1">
      <c r="A771" s="220">
        <f t="shared" si="105"/>
        <v>564</v>
      </c>
      <c r="B771" s="221" t="s">
        <v>86</v>
      </c>
      <c r="C771" s="222">
        <v>5.15</v>
      </c>
      <c r="D771" s="221" t="s">
        <v>1714</v>
      </c>
      <c r="H771" s="2" t="s">
        <v>411</v>
      </c>
      <c r="K771" s="8">
        <f>SUM(K760:K769)+0.07</f>
        <v>8312.26</v>
      </c>
      <c r="O771" s="5" t="s">
        <v>1530</v>
      </c>
      <c r="AE771" s="52" t="str">
        <f t="shared" si="104"/>
        <v>|</v>
      </c>
      <c r="AG771" s="1" t="s">
        <v>2175</v>
      </c>
    </row>
    <row r="772" spans="1:33" ht="24" customHeight="1">
      <c r="A772" s="220">
        <f t="shared" si="105"/>
        <v>565</v>
      </c>
      <c r="B772" s="221" t="s">
        <v>536</v>
      </c>
      <c r="C772" s="222">
        <v>550</v>
      </c>
      <c r="D772" s="221" t="s">
        <v>1658</v>
      </c>
      <c r="K772" s="5" t="s">
        <v>1530</v>
      </c>
      <c r="AE772" s="52" t="str">
        <f t="shared" si="104"/>
        <v>|</v>
      </c>
      <c r="AG772" s="1" t="s">
        <v>2175</v>
      </c>
    </row>
    <row r="773" spans="1:33" ht="24" customHeight="1">
      <c r="A773" s="220">
        <f t="shared" si="105"/>
        <v>566</v>
      </c>
      <c r="B773" s="221" t="s">
        <v>942</v>
      </c>
      <c r="C773" s="222">
        <v>286</v>
      </c>
      <c r="D773" s="221" t="s">
        <v>1658</v>
      </c>
      <c r="H773" s="2" t="s">
        <v>521</v>
      </c>
      <c r="K773" s="8">
        <f>(K771/10)</f>
        <v>831.23</v>
      </c>
      <c r="O773" s="1" t="s">
        <v>866</v>
      </c>
      <c r="R773" s="8">
        <f>(C726)</f>
        <v>1183.82</v>
      </c>
      <c r="AE773" s="52" t="str">
        <f t="shared" si="104"/>
        <v>|</v>
      </c>
      <c r="AG773" s="1" t="s">
        <v>2175</v>
      </c>
    </row>
    <row r="774" spans="1:33" ht="24" customHeight="1">
      <c r="A774" s="220">
        <f t="shared" si="105"/>
        <v>567</v>
      </c>
      <c r="B774" s="221" t="s">
        <v>867</v>
      </c>
      <c r="C774" s="222">
        <v>96.3</v>
      </c>
      <c r="D774" s="221" t="s">
        <v>1714</v>
      </c>
      <c r="F774" s="1" t="s">
        <v>940</v>
      </c>
      <c r="R774" s="5" t="s">
        <v>1980</v>
      </c>
      <c r="AE774" s="52" t="str">
        <f t="shared" si="104"/>
        <v>|</v>
      </c>
      <c r="AG774" s="1" t="s">
        <v>2175</v>
      </c>
    </row>
    <row r="775" spans="1:33" ht="24" customHeight="1">
      <c r="A775" s="220">
        <f t="shared" si="105"/>
        <v>568</v>
      </c>
      <c r="B775" s="221" t="s">
        <v>807</v>
      </c>
      <c r="C775" s="222">
        <v>51</v>
      </c>
      <c r="D775" s="221" t="s">
        <v>1658</v>
      </c>
      <c r="K775" s="5" t="s">
        <v>1980</v>
      </c>
      <c r="AE775" s="52" t="str">
        <f t="shared" si="104"/>
        <v>|</v>
      </c>
      <c r="AG775" s="1" t="s">
        <v>2175</v>
      </c>
    </row>
    <row r="776" spans="1:33" ht="24" customHeight="1">
      <c r="A776" s="220">
        <f t="shared" si="105"/>
        <v>569</v>
      </c>
      <c r="B776" s="221" t="s">
        <v>523</v>
      </c>
      <c r="C776" s="222">
        <v>181</v>
      </c>
      <c r="D776" s="221" t="s">
        <v>753</v>
      </c>
      <c r="F776" s="2" t="s">
        <v>1433</v>
      </c>
      <c r="G776" s="7" t="s">
        <v>2167</v>
      </c>
      <c r="H776" s="1" t="s">
        <v>683</v>
      </c>
      <c r="N776" s="1" t="s">
        <v>2167</v>
      </c>
      <c r="O776" s="1" t="s">
        <v>525</v>
      </c>
      <c r="AE776" s="52" t="str">
        <f t="shared" si="104"/>
        <v>|</v>
      </c>
      <c r="AG776" s="1" t="s">
        <v>2175</v>
      </c>
    </row>
    <row r="777" spans="1:33" ht="24" customHeight="1">
      <c r="A777" s="220">
        <f t="shared" si="105"/>
        <v>570</v>
      </c>
      <c r="B777" s="221" t="s">
        <v>526</v>
      </c>
      <c r="C777" s="222">
        <v>36.200000000000003</v>
      </c>
      <c r="D777" s="221" t="s">
        <v>1714</v>
      </c>
      <c r="H777" s="1" t="s">
        <v>686</v>
      </c>
      <c r="O777" s="5" t="s">
        <v>1980</v>
      </c>
      <c r="P777" s="5" t="s">
        <v>1980</v>
      </c>
      <c r="Q777" s="5" t="s">
        <v>1980</v>
      </c>
      <c r="R777" s="1" t="s">
        <v>968</v>
      </c>
      <c r="AE777" s="52" t="str">
        <f t="shared" si="104"/>
        <v>|</v>
      </c>
      <c r="AG777" s="1" t="s">
        <v>2175</v>
      </c>
    </row>
    <row r="778" spans="1:33" ht="24" customHeight="1">
      <c r="A778" s="220">
        <f t="shared" si="105"/>
        <v>571</v>
      </c>
      <c r="B778" s="221" t="s">
        <v>626</v>
      </c>
      <c r="C778" s="222">
        <v>98</v>
      </c>
      <c r="D778" s="221" t="s">
        <v>1658</v>
      </c>
      <c r="H778" s="1" t="s">
        <v>2189</v>
      </c>
      <c r="O778" s="1" t="s">
        <v>1377</v>
      </c>
      <c r="Q778" s="2" t="s">
        <v>794</v>
      </c>
      <c r="R778" s="8">
        <f>(C729)</f>
        <v>147.6</v>
      </c>
      <c r="AE778" s="52" t="str">
        <f t="shared" si="104"/>
        <v>|</v>
      </c>
      <c r="AG778" s="1" t="s">
        <v>2175</v>
      </c>
    </row>
    <row r="779" spans="1:33" ht="24" customHeight="1">
      <c r="A779" s="220">
        <f t="shared" si="105"/>
        <v>572</v>
      </c>
      <c r="B779" s="221" t="s">
        <v>1891</v>
      </c>
      <c r="C779" s="222">
        <v>92</v>
      </c>
      <c r="D779" s="221" t="s">
        <v>1714</v>
      </c>
      <c r="H779" s="5" t="s">
        <v>1530</v>
      </c>
      <c r="O779" s="1" t="s">
        <v>2003</v>
      </c>
      <c r="AE779" s="52" t="str">
        <f t="shared" si="104"/>
        <v>|::</v>
      </c>
      <c r="AG779" s="1" t="s">
        <v>300</v>
      </c>
    </row>
    <row r="780" spans="1:33" ht="24" customHeight="1">
      <c r="A780" s="220">
        <f t="shared" si="105"/>
        <v>573</v>
      </c>
      <c r="B780" s="221" t="s">
        <v>303</v>
      </c>
      <c r="C780" s="222">
        <v>49.42</v>
      </c>
      <c r="D780" s="221" t="s">
        <v>1658</v>
      </c>
      <c r="F780" s="8">
        <v>10</v>
      </c>
      <c r="G780" s="7" t="s">
        <v>578</v>
      </c>
      <c r="H780" s="1" t="s">
        <v>865</v>
      </c>
      <c r="I780" s="8">
        <f>(K760)*1.2</f>
        <v>493.62</v>
      </c>
      <c r="J780" s="1" t="s">
        <v>245</v>
      </c>
      <c r="K780" s="8">
        <f>(F780*I780)/10</f>
        <v>493.62</v>
      </c>
      <c r="O780" s="1" t="s">
        <v>304</v>
      </c>
      <c r="AE780" s="52">
        <f t="shared" si="104"/>
        <v>0</v>
      </c>
    </row>
    <row r="781" spans="1:33" ht="24" customHeight="1">
      <c r="A781" s="220">
        <f t="shared" si="105"/>
        <v>574</v>
      </c>
      <c r="B781" s="221" t="s">
        <v>682</v>
      </c>
      <c r="C781" s="222">
        <v>53.2</v>
      </c>
      <c r="D781" s="221" t="s">
        <v>1658</v>
      </c>
      <c r="H781" s="1" t="s">
        <v>868</v>
      </c>
      <c r="O781" s="1" t="s">
        <v>1011</v>
      </c>
      <c r="AE781" s="52">
        <f t="shared" si="104"/>
        <v>0</v>
      </c>
    </row>
    <row r="782" spans="1:33" ht="24" customHeight="1">
      <c r="A782" s="220">
        <f t="shared" si="105"/>
        <v>575</v>
      </c>
      <c r="B782" s="221" t="s">
        <v>1012</v>
      </c>
      <c r="C782" s="222">
        <v>59</v>
      </c>
      <c r="D782" s="221" t="s">
        <v>1658</v>
      </c>
      <c r="H782" s="1" t="s">
        <v>808</v>
      </c>
      <c r="O782" s="1" t="s">
        <v>1061</v>
      </c>
      <c r="AE782" s="52" t="str">
        <f t="shared" si="104"/>
        <v>|</v>
      </c>
      <c r="AG782" s="1" t="s">
        <v>2175</v>
      </c>
    </row>
    <row r="783" spans="1:33" ht="24" customHeight="1">
      <c r="A783" s="220">
        <f t="shared" si="105"/>
        <v>576</v>
      </c>
      <c r="B783" s="221" t="s">
        <v>926</v>
      </c>
      <c r="C783" s="222">
        <v>100</v>
      </c>
      <c r="D783" s="221" t="s">
        <v>1658</v>
      </c>
      <c r="F783" s="8">
        <v>10</v>
      </c>
      <c r="G783" s="7" t="s">
        <v>578</v>
      </c>
      <c r="H783" s="1" t="s">
        <v>524</v>
      </c>
      <c r="I783" s="8">
        <f>K762*1.2</f>
        <v>446.4</v>
      </c>
      <c r="J783" s="1" t="s">
        <v>245</v>
      </c>
      <c r="K783" s="8">
        <f>(F783*I783)/10</f>
        <v>446.4</v>
      </c>
      <c r="O783" s="1" t="s">
        <v>1070</v>
      </c>
      <c r="R783" s="1" t="s">
        <v>940</v>
      </c>
      <c r="AE783" s="52">
        <f t="shared" si="104"/>
        <v>0</v>
      </c>
    </row>
    <row r="784" spans="1:33" ht="24" customHeight="1">
      <c r="A784" s="220">
        <f t="shared" si="105"/>
        <v>577</v>
      </c>
      <c r="B784" s="221" t="s">
        <v>1071</v>
      </c>
      <c r="C784" s="222">
        <v>49.52</v>
      </c>
      <c r="D784" s="221" t="s">
        <v>1714</v>
      </c>
      <c r="H784" s="1" t="s">
        <v>967</v>
      </c>
      <c r="O784" s="1" t="s">
        <v>940</v>
      </c>
      <c r="AE784" s="52" t="str">
        <f t="shared" si="104"/>
        <v>|</v>
      </c>
      <c r="AG784" s="1" t="s">
        <v>2175</v>
      </c>
    </row>
    <row r="785" spans="1:33" ht="24" customHeight="1">
      <c r="A785" s="220">
        <f t="shared" si="105"/>
        <v>578</v>
      </c>
      <c r="B785" s="221" t="s">
        <v>2047</v>
      </c>
      <c r="C785" s="222">
        <v>1080</v>
      </c>
      <c r="D785" s="221" t="s">
        <v>1658</v>
      </c>
      <c r="H785" s="1" t="s">
        <v>786</v>
      </c>
      <c r="AE785" s="52" t="str">
        <f t="shared" si="104"/>
        <v>|</v>
      </c>
      <c r="AG785" s="1" t="s">
        <v>2175</v>
      </c>
    </row>
    <row r="786" spans="1:33" ht="24" customHeight="1">
      <c r="A786" s="220">
        <f t="shared" si="105"/>
        <v>579</v>
      </c>
      <c r="B786" s="221" t="s">
        <v>4132</v>
      </c>
      <c r="C786" s="545">
        <v>387.4</v>
      </c>
      <c r="D786" s="221" t="s">
        <v>578</v>
      </c>
      <c r="F786" s="8">
        <v>98.5</v>
      </c>
      <c r="G786" s="7" t="s">
        <v>794</v>
      </c>
      <c r="H786" s="1" t="s">
        <v>795</v>
      </c>
      <c r="I786" s="8">
        <f>C273/5</f>
        <v>5.04</v>
      </c>
      <c r="J786" s="1" t="s">
        <v>245</v>
      </c>
      <c r="K786" s="8">
        <f t="shared" ref="K786:K792" si="106">(F786*I786)</f>
        <v>496.44</v>
      </c>
      <c r="N786" s="1" t="s">
        <v>2167</v>
      </c>
      <c r="O786" s="1" t="s">
        <v>2049</v>
      </c>
      <c r="Q786" s="2" t="s">
        <v>2199</v>
      </c>
      <c r="R786" s="8">
        <f>(C733)</f>
        <v>1250</v>
      </c>
      <c r="AE786" s="52" t="str">
        <f t="shared" si="104"/>
        <v>|</v>
      </c>
      <c r="AG786" s="1" t="s">
        <v>2175</v>
      </c>
    </row>
    <row r="787" spans="1:33" ht="24" customHeight="1">
      <c r="A787" s="220" t="e">
        <f>(#REF!+1)</f>
        <v>#REF!</v>
      </c>
      <c r="B787" s="221" t="s">
        <v>1340</v>
      </c>
      <c r="C787" s="223"/>
      <c r="D787" s="223"/>
      <c r="F787" s="8">
        <v>3.8</v>
      </c>
      <c r="G787" s="7" t="s">
        <v>739</v>
      </c>
      <c r="H787" s="1" t="s">
        <v>466</v>
      </c>
      <c r="I787" s="8">
        <f>(C16)</f>
        <v>842</v>
      </c>
      <c r="J787" s="1" t="s">
        <v>739</v>
      </c>
      <c r="K787" s="8">
        <f t="shared" si="106"/>
        <v>3199.6</v>
      </c>
      <c r="O787" s="1" t="s">
        <v>1629</v>
      </c>
      <c r="AE787" s="52" t="str">
        <f t="shared" si="104"/>
        <v>|</v>
      </c>
      <c r="AG787" s="1" t="s">
        <v>2175</v>
      </c>
    </row>
    <row r="788" spans="1:33" ht="24" customHeight="1">
      <c r="A788" s="220"/>
      <c r="B788" s="221" t="s">
        <v>2096</v>
      </c>
      <c r="C788" s="222">
        <v>300</v>
      </c>
      <c r="D788" s="223"/>
      <c r="F788" s="8">
        <v>5.4</v>
      </c>
      <c r="G788" s="7" t="s">
        <v>739</v>
      </c>
      <c r="H788" s="1" t="s">
        <v>1836</v>
      </c>
      <c r="I788" s="8">
        <f>(C12)</f>
        <v>562</v>
      </c>
      <c r="J788" s="1" t="s">
        <v>739</v>
      </c>
      <c r="K788" s="8">
        <f t="shared" si="106"/>
        <v>3034.8</v>
      </c>
      <c r="O788" s="1" t="s">
        <v>296</v>
      </c>
      <c r="AE788" s="52" t="str">
        <f t="shared" si="104"/>
        <v>|</v>
      </c>
      <c r="AG788" s="1" t="s">
        <v>2175</v>
      </c>
    </row>
    <row r="789" spans="1:33" ht="24" customHeight="1">
      <c r="A789" s="220"/>
      <c r="B789" s="225" t="s">
        <v>744</v>
      </c>
      <c r="C789" s="222">
        <v>302</v>
      </c>
      <c r="D789" s="223"/>
      <c r="F789" s="8">
        <v>1</v>
      </c>
      <c r="G789" s="7" t="s">
        <v>739</v>
      </c>
      <c r="H789" s="1" t="s">
        <v>2202</v>
      </c>
      <c r="I789" s="8">
        <f>C69</f>
        <v>739</v>
      </c>
      <c r="J789" s="1" t="s">
        <v>1341</v>
      </c>
      <c r="K789" s="8">
        <f t="shared" si="106"/>
        <v>739</v>
      </c>
      <c r="O789" s="1" t="s">
        <v>1220</v>
      </c>
      <c r="AE789" s="52" t="str">
        <f t="shared" si="104"/>
        <v>|</v>
      </c>
      <c r="AG789" s="1" t="s">
        <v>2175</v>
      </c>
    </row>
    <row r="790" spans="1:33" ht="24" customHeight="1">
      <c r="A790" s="220"/>
      <c r="B790" s="221" t="s">
        <v>1221</v>
      </c>
      <c r="C790" s="222">
        <v>324</v>
      </c>
      <c r="D790" s="223"/>
      <c r="F790" s="8">
        <v>1</v>
      </c>
      <c r="G790" s="7" t="s">
        <v>419</v>
      </c>
      <c r="H790" s="1" t="s">
        <v>927</v>
      </c>
      <c r="I790" s="8">
        <f>I764</f>
        <v>11</v>
      </c>
      <c r="J790" s="1" t="s">
        <v>1341</v>
      </c>
      <c r="K790" s="8">
        <f t="shared" si="106"/>
        <v>11</v>
      </c>
      <c r="AE790" s="52" t="str">
        <f t="shared" si="104"/>
        <v>|</v>
      </c>
      <c r="AG790" s="1" t="s">
        <v>2175</v>
      </c>
    </row>
    <row r="791" spans="1:33" ht="24" customHeight="1">
      <c r="A791" s="220"/>
      <c r="B791" s="221" t="s">
        <v>746</v>
      </c>
      <c r="C791" s="222">
        <v>382</v>
      </c>
      <c r="D791" s="223"/>
      <c r="F791" s="8">
        <v>1</v>
      </c>
      <c r="G791" s="7" t="s">
        <v>419</v>
      </c>
      <c r="H791" s="1" t="s">
        <v>1250</v>
      </c>
      <c r="I791" s="493">
        <v>10</v>
      </c>
      <c r="J791" s="1" t="s">
        <v>419</v>
      </c>
      <c r="K791" s="8">
        <f t="shared" si="106"/>
        <v>10</v>
      </c>
      <c r="N791" s="1" t="s">
        <v>2167</v>
      </c>
      <c r="O791" s="1" t="s">
        <v>563</v>
      </c>
      <c r="AE791" s="52" t="str">
        <f t="shared" si="104"/>
        <v>|</v>
      </c>
      <c r="AG791" s="1" t="s">
        <v>2175</v>
      </c>
    </row>
    <row r="792" spans="1:33" ht="24" customHeight="1">
      <c r="A792" s="220"/>
      <c r="B792" s="221" t="s">
        <v>581</v>
      </c>
      <c r="C792" s="222">
        <v>505</v>
      </c>
      <c r="D792" s="223"/>
      <c r="F792" s="8">
        <v>19</v>
      </c>
      <c r="G792" s="7" t="s">
        <v>1375</v>
      </c>
      <c r="H792" s="1" t="s">
        <v>2048</v>
      </c>
      <c r="I792" s="493">
        <v>2</v>
      </c>
      <c r="J792" s="11" t="s">
        <v>1375</v>
      </c>
      <c r="K792" s="8">
        <f t="shared" si="106"/>
        <v>38</v>
      </c>
      <c r="O792" s="1" t="s">
        <v>3986</v>
      </c>
      <c r="R792" s="1" t="s">
        <v>940</v>
      </c>
      <c r="AE792" s="52" t="str">
        <f t="shared" si="104"/>
        <v>|</v>
      </c>
      <c r="AG792" s="1" t="s">
        <v>2175</v>
      </c>
    </row>
    <row r="793" spans="1:33" ht="24" customHeight="1">
      <c r="A793" s="220"/>
      <c r="B793" s="221" t="s">
        <v>539</v>
      </c>
      <c r="C793" s="222">
        <v>140</v>
      </c>
      <c r="D793" s="223"/>
      <c r="H793" s="1" t="s">
        <v>74</v>
      </c>
      <c r="O793" s="1" t="s">
        <v>2010</v>
      </c>
      <c r="AE793" s="52" t="str">
        <f t="shared" si="104"/>
        <v>|</v>
      </c>
      <c r="AG793" s="1" t="s">
        <v>2175</v>
      </c>
    </row>
    <row r="794" spans="1:33" ht="24" customHeight="1">
      <c r="A794" s="220"/>
      <c r="B794" s="221" t="s">
        <v>806</v>
      </c>
      <c r="C794" s="222">
        <v>222</v>
      </c>
      <c r="D794" s="223"/>
      <c r="K794" s="5" t="s">
        <v>1530</v>
      </c>
      <c r="O794" s="5" t="s">
        <v>1530</v>
      </c>
      <c r="AE794" s="52" t="str">
        <f t="shared" si="104"/>
        <v>|</v>
      </c>
      <c r="AG794" s="1" t="s">
        <v>2175</v>
      </c>
    </row>
    <row r="795" spans="1:33" ht="24" customHeight="1">
      <c r="A795" s="220"/>
      <c r="B795" s="221" t="s">
        <v>699</v>
      </c>
      <c r="C795" s="222">
        <v>100</v>
      </c>
      <c r="D795" s="223"/>
      <c r="H795" s="1" t="s">
        <v>411</v>
      </c>
      <c r="K795" s="8">
        <f>SUM(K780:K793)</f>
        <v>8468.86</v>
      </c>
      <c r="N795" s="1" t="s">
        <v>222</v>
      </c>
      <c r="O795" s="1" t="s">
        <v>3985</v>
      </c>
      <c r="P795" s="8">
        <f>(C275)</f>
        <v>303.89999999999998</v>
      </c>
      <c r="Q795" s="1" t="s">
        <v>222</v>
      </c>
      <c r="R795" s="8">
        <f>M795*P795</f>
        <v>0</v>
      </c>
      <c r="AE795" s="52" t="str">
        <f t="shared" si="104"/>
        <v>|</v>
      </c>
      <c r="AG795" s="1" t="s">
        <v>2175</v>
      </c>
    </row>
    <row r="796" spans="1:33" ht="24" customHeight="1">
      <c r="A796" s="220"/>
      <c r="B796" s="221" t="s">
        <v>463</v>
      </c>
      <c r="C796" s="222">
        <v>75</v>
      </c>
      <c r="D796" s="223"/>
      <c r="K796" s="5" t="s">
        <v>1530</v>
      </c>
      <c r="R796" s="8"/>
      <c r="AE796" s="52" t="str">
        <f t="shared" si="104"/>
        <v>|</v>
      </c>
      <c r="AG796" s="1" t="s">
        <v>2175</v>
      </c>
    </row>
    <row r="797" spans="1:33" ht="24" customHeight="1">
      <c r="A797" s="220"/>
      <c r="B797" s="221" t="s">
        <v>1117</v>
      </c>
      <c r="C797" s="222">
        <v>218</v>
      </c>
      <c r="D797" s="223"/>
      <c r="H797" s="1" t="s">
        <v>521</v>
      </c>
      <c r="K797" s="8">
        <f>(K795/10)</f>
        <v>846.89</v>
      </c>
      <c r="N797" s="1" t="s">
        <v>1119</v>
      </c>
      <c r="O797" s="1" t="s">
        <v>257</v>
      </c>
      <c r="P797" s="8">
        <f>(C16)</f>
        <v>842</v>
      </c>
      <c r="Q797" s="1" t="s">
        <v>1119</v>
      </c>
      <c r="R797" s="8">
        <f>M797*P797</f>
        <v>0</v>
      </c>
      <c r="AE797" s="52" t="str">
        <f t="shared" si="104"/>
        <v>|</v>
      </c>
      <c r="AG797" s="1" t="s">
        <v>2175</v>
      </c>
    </row>
    <row r="798" spans="1:33" ht="24" customHeight="1">
      <c r="A798" s="220"/>
      <c r="B798" s="221" t="s">
        <v>258</v>
      </c>
      <c r="C798" s="222">
        <v>1854</v>
      </c>
      <c r="D798" s="223"/>
      <c r="K798" s="5" t="s">
        <v>1980</v>
      </c>
      <c r="R798" s="8"/>
      <c r="AE798" s="52" t="str">
        <f t="shared" si="104"/>
        <v>|</v>
      </c>
      <c r="AG798" s="1" t="s">
        <v>2175</v>
      </c>
    </row>
    <row r="799" spans="1:33" ht="24" customHeight="1">
      <c r="A799" s="220"/>
      <c r="B799" s="221" t="s">
        <v>160</v>
      </c>
      <c r="C799" s="222">
        <v>51</v>
      </c>
      <c r="D799" s="223"/>
      <c r="O799" s="1" t="s">
        <v>1276</v>
      </c>
      <c r="P799" s="6" t="s">
        <v>419</v>
      </c>
      <c r="R799" s="8">
        <v>0.64</v>
      </c>
      <c r="AE799" s="52" t="str">
        <f t="shared" si="104"/>
        <v>|</v>
      </c>
      <c r="AG799" s="1" t="s">
        <v>2175</v>
      </c>
    </row>
    <row r="800" spans="1:33" ht="24" customHeight="1">
      <c r="A800" s="220"/>
      <c r="B800" s="221" t="s">
        <v>1327</v>
      </c>
      <c r="C800" s="222">
        <v>915</v>
      </c>
      <c r="D800" s="223"/>
      <c r="F800" s="2" t="s">
        <v>852</v>
      </c>
      <c r="G800" s="7" t="s">
        <v>2167</v>
      </c>
      <c r="H800" s="1" t="s">
        <v>683</v>
      </c>
      <c r="R800" s="5" t="s">
        <v>1530</v>
      </c>
      <c r="AE800" s="52" t="str">
        <f t="shared" si="104"/>
        <v>|</v>
      </c>
      <c r="AG800" s="1" t="s">
        <v>2175</v>
      </c>
    </row>
    <row r="801" spans="1:33" ht="24" customHeight="1">
      <c r="A801" s="220"/>
      <c r="B801" s="221" t="s">
        <v>129</v>
      </c>
      <c r="C801" s="222">
        <v>890</v>
      </c>
      <c r="D801" s="223"/>
      <c r="H801" s="1" t="s">
        <v>686</v>
      </c>
      <c r="O801" s="1" t="s">
        <v>1863</v>
      </c>
      <c r="R801" s="8">
        <f>SUM(R795:R799)</f>
        <v>0.64</v>
      </c>
      <c r="AE801" s="52" t="str">
        <f t="shared" si="104"/>
        <v>|</v>
      </c>
      <c r="AG801" s="1" t="s">
        <v>2175</v>
      </c>
    </row>
    <row r="802" spans="1:33" ht="24" customHeight="1">
      <c r="A802" s="220"/>
      <c r="B802" s="221" t="s">
        <v>1864</v>
      </c>
      <c r="C802" s="222">
        <v>5.15</v>
      </c>
      <c r="D802" s="223"/>
      <c r="H802" s="1" t="s">
        <v>260</v>
      </c>
      <c r="R802" s="5" t="s">
        <v>1530</v>
      </c>
      <c r="U802" s="37" t="s">
        <v>3419</v>
      </c>
      <c r="AE802" s="52" t="str">
        <f t="shared" si="104"/>
        <v>|</v>
      </c>
      <c r="AG802" s="1" t="s">
        <v>2175</v>
      </c>
    </row>
    <row r="803" spans="1:33" ht="24" customHeight="1">
      <c r="A803" s="220"/>
      <c r="B803" s="221" t="s">
        <v>1353</v>
      </c>
      <c r="C803" s="222">
        <v>43.3</v>
      </c>
      <c r="D803" s="223"/>
      <c r="H803" s="5" t="s">
        <v>1530</v>
      </c>
      <c r="O803" s="1" t="s">
        <v>1355</v>
      </c>
      <c r="R803" s="8">
        <f>(R801/0.4)</f>
        <v>1.6</v>
      </c>
      <c r="S803" s="51">
        <v>0.443</v>
      </c>
      <c r="T803" t="s">
        <v>1289</v>
      </c>
      <c r="U803" t="s">
        <v>3412</v>
      </c>
      <c r="V803">
        <f>AC14</f>
        <v>1581.38</v>
      </c>
      <c r="X803">
        <f>V803*S803</f>
        <v>700.55</v>
      </c>
      <c r="AE803" s="52" t="str">
        <f t="shared" si="104"/>
        <v>|</v>
      </c>
      <c r="AG803" s="1" t="s">
        <v>2175</v>
      </c>
    </row>
    <row r="804" spans="1:33" ht="24" customHeight="1">
      <c r="A804" s="220"/>
      <c r="B804" s="221" t="s">
        <v>78</v>
      </c>
      <c r="C804" s="222">
        <v>920</v>
      </c>
      <c r="D804" s="223"/>
      <c r="H804" s="1" t="s">
        <v>1118</v>
      </c>
      <c r="K804" s="8">
        <f>(K735/2)</f>
        <v>425.79</v>
      </c>
      <c r="R804" s="5" t="s">
        <v>1980</v>
      </c>
      <c r="S804" s="51">
        <v>0.29499999999999998</v>
      </c>
      <c r="T804" t="s">
        <v>1289</v>
      </c>
      <c r="U804" t="s">
        <v>3413</v>
      </c>
      <c r="V804">
        <f>AC12</f>
        <v>1126.3800000000001</v>
      </c>
      <c r="X804">
        <f t="shared" ref="X804:X810" si="107">V804*S804</f>
        <v>332.28</v>
      </c>
      <c r="AE804" s="52" t="str">
        <f t="shared" si="104"/>
        <v>|</v>
      </c>
      <c r="AG804" s="1" t="s">
        <v>2175</v>
      </c>
    </row>
    <row r="805" spans="1:33" ht="24" customHeight="1">
      <c r="A805" s="220"/>
      <c r="B805" s="221" t="s">
        <v>79</v>
      </c>
      <c r="C805" s="222">
        <v>98</v>
      </c>
      <c r="D805" s="223"/>
      <c r="H805" s="1" t="s">
        <v>259</v>
      </c>
      <c r="K805" s="5" t="s">
        <v>1980</v>
      </c>
      <c r="N805" s="621" t="s">
        <v>2167</v>
      </c>
      <c r="O805" s="621" t="s">
        <v>2036</v>
      </c>
      <c r="P805" s="623"/>
      <c r="Q805" s="623"/>
      <c r="R805" s="623"/>
      <c r="S805" s="51">
        <v>0.43</v>
      </c>
      <c r="T805" t="s">
        <v>1289</v>
      </c>
      <c r="U805" t="s">
        <v>1027</v>
      </c>
      <c r="V805">
        <f>I812</f>
        <v>1400.82</v>
      </c>
      <c r="X805">
        <f t="shared" si="107"/>
        <v>602.35</v>
      </c>
      <c r="AE805" s="52" t="str">
        <f t="shared" si="104"/>
        <v>|</v>
      </c>
      <c r="AG805" s="1" t="s">
        <v>2175</v>
      </c>
    </row>
    <row r="806" spans="1:33" ht="24" customHeight="1">
      <c r="A806" s="220"/>
      <c r="B806" s="221" t="s">
        <v>2037</v>
      </c>
      <c r="C806" s="222">
        <v>181</v>
      </c>
      <c r="D806" s="223"/>
      <c r="F806" s="2" t="s">
        <v>161</v>
      </c>
      <c r="G806" s="7" t="s">
        <v>2167</v>
      </c>
      <c r="H806" s="1" t="s">
        <v>162</v>
      </c>
      <c r="N806" s="623"/>
      <c r="O806" s="621" t="s">
        <v>678</v>
      </c>
      <c r="P806" s="623"/>
      <c r="Q806" s="623"/>
      <c r="R806" s="623"/>
      <c r="S806" s="51">
        <v>0.39</v>
      </c>
      <c r="T806" t="s">
        <v>494</v>
      </c>
      <c r="U806" t="s">
        <v>364</v>
      </c>
      <c r="V806">
        <f>I811</f>
        <v>5960</v>
      </c>
      <c r="X806">
        <f t="shared" si="107"/>
        <v>2324.4</v>
      </c>
      <c r="AE806" s="52" t="str">
        <f t="shared" si="104"/>
        <v>|</v>
      </c>
      <c r="AG806" s="1" t="s">
        <v>2175</v>
      </c>
    </row>
    <row r="807" spans="1:33" ht="24" customHeight="1">
      <c r="A807" s="220"/>
      <c r="B807" s="221" t="s">
        <v>89</v>
      </c>
      <c r="C807" s="222">
        <v>1148.76</v>
      </c>
      <c r="D807" s="223"/>
      <c r="H807" s="1" t="s">
        <v>1328</v>
      </c>
      <c r="N807" s="623"/>
      <c r="O807" s="621" t="s">
        <v>90</v>
      </c>
      <c r="P807" s="623"/>
      <c r="Q807" s="623"/>
      <c r="R807" s="623"/>
      <c r="S807" s="51">
        <v>0.35</v>
      </c>
      <c r="T807" t="s">
        <v>1375</v>
      </c>
      <c r="U807" t="s">
        <v>435</v>
      </c>
      <c r="V807">
        <f>I813</f>
        <v>804</v>
      </c>
      <c r="W807" t="str">
        <f>J813</f>
        <v>NO.</v>
      </c>
      <c r="X807">
        <f t="shared" si="107"/>
        <v>281.39999999999998</v>
      </c>
      <c r="AE807" s="52" t="str">
        <f t="shared" si="104"/>
        <v>|</v>
      </c>
      <c r="AG807" s="1" t="s">
        <v>2175</v>
      </c>
    </row>
    <row r="808" spans="1:33" ht="24" customHeight="1">
      <c r="A808" s="220"/>
      <c r="B808" s="221" t="s">
        <v>1494</v>
      </c>
      <c r="C808" s="222">
        <v>967</v>
      </c>
      <c r="D808" s="223"/>
      <c r="H808" s="1" t="s">
        <v>130</v>
      </c>
      <c r="N808" s="623"/>
      <c r="O808" s="924" t="s">
        <v>1530</v>
      </c>
      <c r="P808" s="623"/>
      <c r="Q808" s="623"/>
      <c r="R808" s="623"/>
      <c r="S808" s="51">
        <v>2.12</v>
      </c>
      <c r="T808" t="s">
        <v>1375</v>
      </c>
      <c r="U808" t="s">
        <v>3414</v>
      </c>
      <c r="V808">
        <f>I814</f>
        <v>562</v>
      </c>
      <c r="X808">
        <f t="shared" si="107"/>
        <v>1191.44</v>
      </c>
      <c r="AE808" s="52" t="str">
        <f t="shared" si="104"/>
        <v>|</v>
      </c>
      <c r="AG808" s="1" t="s">
        <v>2175</v>
      </c>
    </row>
    <row r="809" spans="1:33" ht="24" customHeight="1">
      <c r="A809" s="220"/>
      <c r="B809" s="221" t="s">
        <v>4133</v>
      </c>
      <c r="C809" s="491">
        <v>33.9</v>
      </c>
      <c r="D809" s="223"/>
      <c r="H809" s="5" t="s">
        <v>1530</v>
      </c>
      <c r="N809" s="743" t="s">
        <v>1840</v>
      </c>
      <c r="O809" s="621" t="s">
        <v>822</v>
      </c>
      <c r="P809" s="623"/>
      <c r="Q809" s="623"/>
      <c r="R809" s="623"/>
      <c r="S809" s="51">
        <v>3.53</v>
      </c>
      <c r="T809" t="s">
        <v>1375</v>
      </c>
      <c r="U809" t="s">
        <v>3415</v>
      </c>
      <c r="V809">
        <f>I815</f>
        <v>461</v>
      </c>
      <c r="X809">
        <f t="shared" si="107"/>
        <v>1627.33</v>
      </c>
      <c r="AE809" s="52" t="str">
        <f t="shared" si="104"/>
        <v>|</v>
      </c>
      <c r="AG809" s="1" t="s">
        <v>2175</v>
      </c>
    </row>
    <row r="810" spans="1:33" ht="24" customHeight="1">
      <c r="A810" s="220"/>
      <c r="B810" s="221" t="s">
        <v>1705</v>
      </c>
      <c r="C810" s="222">
        <v>2107</v>
      </c>
      <c r="D810" s="223"/>
      <c r="F810" s="13">
        <v>9</v>
      </c>
      <c r="G810" s="7" t="s">
        <v>836</v>
      </c>
      <c r="H810" s="1" t="s">
        <v>1354</v>
      </c>
      <c r="I810" s="8">
        <f>C76</f>
        <v>1581.38</v>
      </c>
      <c r="J810" s="1" t="s">
        <v>836</v>
      </c>
      <c r="K810" s="8">
        <f t="shared" ref="K810:K815" si="108">F810*I810</f>
        <v>14232.42</v>
      </c>
      <c r="N810" s="623"/>
      <c r="O810" s="621" t="s">
        <v>1706</v>
      </c>
      <c r="P810" s="623"/>
      <c r="Q810" s="623"/>
      <c r="R810" s="623"/>
      <c r="S810" s="51">
        <v>1</v>
      </c>
      <c r="T810" t="s">
        <v>1289</v>
      </c>
      <c r="U810" t="s">
        <v>3416</v>
      </c>
      <c r="V810">
        <f>K822</f>
        <v>81.3</v>
      </c>
      <c r="X810">
        <f t="shared" si="107"/>
        <v>81.3</v>
      </c>
      <c r="AE810" s="52" t="str">
        <f t="shared" si="104"/>
        <v>|</v>
      </c>
      <c r="AG810" s="1" t="s">
        <v>2175</v>
      </c>
    </row>
    <row r="811" spans="1:33" ht="24" customHeight="1">
      <c r="A811" s="220"/>
      <c r="B811" s="221" t="s">
        <v>4736</v>
      </c>
      <c r="C811" s="52">
        <v>931</v>
      </c>
      <c r="D811" s="223"/>
      <c r="F811" s="13">
        <v>4.3079999999999998</v>
      </c>
      <c r="G811" s="7" t="s">
        <v>828</v>
      </c>
      <c r="H811" s="1" t="s">
        <v>829</v>
      </c>
      <c r="I811" s="8">
        <f>C70</f>
        <v>5960</v>
      </c>
      <c r="J811" s="1" t="s">
        <v>828</v>
      </c>
      <c r="K811" s="8">
        <f t="shared" si="108"/>
        <v>25675.68</v>
      </c>
      <c r="N811" s="621" t="s">
        <v>254</v>
      </c>
      <c r="O811" s="621" t="s">
        <v>1708</v>
      </c>
      <c r="P811" s="545">
        <f>C34/1000</f>
        <v>47.3</v>
      </c>
      <c r="Q811" s="623"/>
      <c r="R811" s="545" t="e">
        <f>(#VALUE!*P811)</f>
        <v>#VALUE!</v>
      </c>
      <c r="S811" s="420" t="s">
        <v>625</v>
      </c>
      <c r="U811" t="s">
        <v>3417</v>
      </c>
      <c r="V811" s="420" t="s">
        <v>625</v>
      </c>
      <c r="X811">
        <v>270</v>
      </c>
      <c r="AE811" s="52" t="str">
        <f t="shared" si="104"/>
        <v>|</v>
      </c>
      <c r="AG811" s="1" t="s">
        <v>2175</v>
      </c>
    </row>
    <row r="812" spans="1:33" ht="24" customHeight="1">
      <c r="A812" s="220"/>
      <c r="B812" s="221" t="s">
        <v>4509</v>
      </c>
      <c r="C812" s="52">
        <v>636</v>
      </c>
      <c r="D812" s="223"/>
      <c r="F812" s="13">
        <v>4.5</v>
      </c>
      <c r="G812" s="7" t="s">
        <v>836</v>
      </c>
      <c r="H812" s="1" t="s">
        <v>837</v>
      </c>
      <c r="I812" s="8">
        <f>C81</f>
        <v>1400.82</v>
      </c>
      <c r="J812" s="1" t="s">
        <v>836</v>
      </c>
      <c r="K812" s="8">
        <f t="shared" si="108"/>
        <v>6303.69</v>
      </c>
      <c r="N812" s="623"/>
      <c r="O812" s="621" t="s">
        <v>1853</v>
      </c>
      <c r="P812" s="623"/>
      <c r="Q812" s="623"/>
      <c r="R812" s="623"/>
      <c r="S812" s="420" t="s">
        <v>625</v>
      </c>
      <c r="U812" t="s">
        <v>3418</v>
      </c>
      <c r="V812" s="420" t="s">
        <v>625</v>
      </c>
      <c r="X812">
        <v>150</v>
      </c>
      <c r="AE812" s="52" t="str">
        <f t="shared" si="104"/>
        <v>|</v>
      </c>
      <c r="AG812" s="1" t="s">
        <v>2175</v>
      </c>
    </row>
    <row r="813" spans="1:33" ht="24" customHeight="1">
      <c r="A813" s="220"/>
      <c r="B813" s="221" t="s">
        <v>4510</v>
      </c>
      <c r="C813" s="52">
        <v>497</v>
      </c>
      <c r="D813" s="223"/>
      <c r="F813" s="13">
        <v>3.5</v>
      </c>
      <c r="G813" s="7" t="s">
        <v>835</v>
      </c>
      <c r="H813" s="1" t="s">
        <v>1654</v>
      </c>
      <c r="I813" s="8">
        <f>C11</f>
        <v>804</v>
      </c>
      <c r="J813" s="1" t="s">
        <v>835</v>
      </c>
      <c r="K813" s="8">
        <f t="shared" si="108"/>
        <v>2814</v>
      </c>
      <c r="N813" s="623"/>
      <c r="O813" s="621" t="s">
        <v>950</v>
      </c>
      <c r="P813" s="623"/>
      <c r="Q813" s="623"/>
      <c r="R813" s="623"/>
      <c r="S813" s="420" t="s">
        <v>625</v>
      </c>
      <c r="U813" t="s">
        <v>2187</v>
      </c>
      <c r="V813" s="420" t="s">
        <v>625</v>
      </c>
      <c r="X813">
        <v>0.06</v>
      </c>
      <c r="AE813" s="52" t="str">
        <f t="shared" si="104"/>
        <v>|</v>
      </c>
      <c r="AG813" s="1" t="s">
        <v>2175</v>
      </c>
    </row>
    <row r="814" spans="1:33" ht="24" customHeight="1">
      <c r="A814" s="220"/>
      <c r="B814" s="223"/>
      <c r="C814" s="223"/>
      <c r="D814" s="223"/>
      <c r="F814" s="13">
        <v>21.2</v>
      </c>
      <c r="G814" s="7" t="s">
        <v>835</v>
      </c>
      <c r="H814" s="1" t="s">
        <v>1836</v>
      </c>
      <c r="I814" s="8">
        <f>C12</f>
        <v>562</v>
      </c>
      <c r="J814" s="1" t="s">
        <v>835</v>
      </c>
      <c r="K814" s="8">
        <f t="shared" si="108"/>
        <v>11914.4</v>
      </c>
      <c r="N814" s="621" t="s">
        <v>578</v>
      </c>
      <c r="O814" s="621" t="s">
        <v>3987</v>
      </c>
      <c r="P814" s="545">
        <f>C275</f>
        <v>303.89999999999998</v>
      </c>
      <c r="Q814" s="623"/>
      <c r="R814" s="545" t="e">
        <f t="shared" ref="R814:R820" si="109">(#VALUE!*P814)</f>
        <v>#VALUE!</v>
      </c>
      <c r="X814" s="37">
        <f>SUM(X803:X813)</f>
        <v>7561.11</v>
      </c>
      <c r="Y814">
        <v>59.4</v>
      </c>
      <c r="Z814">
        <v>117</v>
      </c>
      <c r="AE814" s="52" t="str">
        <f t="shared" si="104"/>
        <v>|</v>
      </c>
      <c r="AG814" s="1" t="s">
        <v>2175</v>
      </c>
    </row>
    <row r="815" spans="1:33" ht="24" customHeight="1">
      <c r="A815" s="220"/>
      <c r="B815" s="221" t="s">
        <v>3763</v>
      </c>
      <c r="C815" s="223">
        <v>3.15</v>
      </c>
      <c r="D815" s="223"/>
      <c r="F815" s="13">
        <v>35.299999999999997</v>
      </c>
      <c r="G815" s="7" t="s">
        <v>835</v>
      </c>
      <c r="H815" s="1" t="s">
        <v>299</v>
      </c>
      <c r="I815" s="8">
        <f>C13</f>
        <v>461</v>
      </c>
      <c r="J815" s="1" t="s">
        <v>835</v>
      </c>
      <c r="K815" s="8">
        <f t="shared" si="108"/>
        <v>16273.3</v>
      </c>
      <c r="N815" s="621" t="s">
        <v>835</v>
      </c>
      <c r="O815" s="621" t="s">
        <v>147</v>
      </c>
      <c r="P815" s="545">
        <v>5</v>
      </c>
      <c r="Q815" s="623"/>
      <c r="R815" s="545" t="e">
        <f t="shared" si="109"/>
        <v>#VALUE!</v>
      </c>
      <c r="AE815" s="52" t="str">
        <f t="shared" si="104"/>
        <v>|</v>
      </c>
      <c r="AG815" s="1" t="s">
        <v>2175</v>
      </c>
    </row>
    <row r="816" spans="1:33" ht="24" customHeight="1">
      <c r="A816" s="220"/>
      <c r="B816" s="223"/>
      <c r="C816" s="223"/>
      <c r="D816" s="223"/>
      <c r="F816" s="6" t="s">
        <v>419</v>
      </c>
      <c r="H816" s="1" t="s">
        <v>420</v>
      </c>
      <c r="J816" s="1" t="s">
        <v>419</v>
      </c>
      <c r="K816" s="8">
        <v>0</v>
      </c>
      <c r="N816" s="621" t="s">
        <v>835</v>
      </c>
      <c r="O816" s="621" t="s">
        <v>148</v>
      </c>
      <c r="P816" s="545">
        <v>10</v>
      </c>
      <c r="Q816" s="623"/>
      <c r="R816" s="545" t="e">
        <f t="shared" si="109"/>
        <v>#VALUE!</v>
      </c>
      <c r="AE816" s="52" t="str">
        <f t="shared" si="104"/>
        <v>|</v>
      </c>
      <c r="AG816" s="1" t="s">
        <v>2175</v>
      </c>
    </row>
    <row r="817" spans="1:33" ht="24" customHeight="1">
      <c r="A817" s="220"/>
      <c r="B817" s="221" t="s">
        <v>4511</v>
      </c>
      <c r="C817" s="106">
        <v>8.5</v>
      </c>
      <c r="D817" s="223"/>
      <c r="K817" s="5" t="s">
        <v>1530</v>
      </c>
      <c r="N817" s="621" t="s">
        <v>835</v>
      </c>
      <c r="O817" s="621" t="s">
        <v>1690</v>
      </c>
      <c r="P817" s="545">
        <v>8</v>
      </c>
      <c r="Q817" s="623"/>
      <c r="R817" s="545" t="e">
        <f t="shared" si="109"/>
        <v>#VALUE!</v>
      </c>
      <c r="U817" s="37" t="s">
        <v>3420</v>
      </c>
      <c r="AE817" s="52" t="str">
        <f t="shared" si="104"/>
        <v>|</v>
      </c>
      <c r="AG817" s="1" t="s">
        <v>2175</v>
      </c>
    </row>
    <row r="818" spans="1:33" ht="24" customHeight="1">
      <c r="A818" s="220"/>
      <c r="B818" s="221" t="s">
        <v>1028</v>
      </c>
      <c r="C818" s="106">
        <v>21.1</v>
      </c>
      <c r="D818" s="223"/>
      <c r="H818" s="2" t="s">
        <v>583</v>
      </c>
      <c r="K818" s="8">
        <f>SUM(K810:K816)</f>
        <v>77213.490000000005</v>
      </c>
      <c r="N818" s="621" t="s">
        <v>794</v>
      </c>
      <c r="O818" s="621" t="s">
        <v>1442</v>
      </c>
      <c r="P818" s="545">
        <v>13.66</v>
      </c>
      <c r="Q818" s="623"/>
      <c r="R818" s="545" t="e">
        <f t="shared" si="109"/>
        <v>#VALUE!</v>
      </c>
      <c r="S818" s="51">
        <v>0.45300000000000001</v>
      </c>
      <c r="T818" t="s">
        <v>1289</v>
      </c>
      <c r="U818" t="s">
        <v>3412</v>
      </c>
      <c r="V818">
        <f>V803</f>
        <v>1581.38</v>
      </c>
      <c r="X818">
        <f>V818*S818</f>
        <v>716.37</v>
      </c>
      <c r="Z818">
        <f>X829+Y814</f>
        <v>7539.14</v>
      </c>
      <c r="AE818" s="52" t="str">
        <f t="shared" si="104"/>
        <v>|</v>
      </c>
      <c r="AG818" s="1" t="s">
        <v>2175</v>
      </c>
    </row>
    <row r="819" spans="1:33" ht="24" customHeight="1">
      <c r="A819" s="220"/>
      <c r="B819" s="223"/>
      <c r="C819" s="223" t="s">
        <v>4165</v>
      </c>
      <c r="D819" s="223"/>
      <c r="K819" s="5" t="s">
        <v>1980</v>
      </c>
      <c r="N819" s="621" t="s">
        <v>578</v>
      </c>
      <c r="O819" s="621" t="s">
        <v>1443</v>
      </c>
      <c r="P819" s="545">
        <v>25.46</v>
      </c>
      <c r="Q819" s="623"/>
      <c r="R819" s="545" t="e">
        <f t="shared" si="109"/>
        <v>#VALUE!</v>
      </c>
      <c r="S819" s="51">
        <v>0.30199999999999999</v>
      </c>
      <c r="T819" t="s">
        <v>1289</v>
      </c>
      <c r="U819" t="s">
        <v>3413</v>
      </c>
      <c r="V819">
        <f t="shared" ref="V819:V828" si="110">V804</f>
        <v>1126.3800000000001</v>
      </c>
      <c r="X819">
        <f t="shared" ref="X819:X825" si="111">V819*S819</f>
        <v>340.17</v>
      </c>
      <c r="Z819">
        <f>Z818+Z814</f>
        <v>7656.14</v>
      </c>
      <c r="AE819" s="52" t="str">
        <f t="shared" si="104"/>
        <v>|</v>
      </c>
      <c r="AG819" s="1" t="s">
        <v>2175</v>
      </c>
    </row>
    <row r="820" spans="1:33" ht="24" customHeight="1">
      <c r="A820" s="10"/>
      <c r="H820" s="1" t="s">
        <v>743</v>
      </c>
      <c r="K820" s="8">
        <f>K818/10</f>
        <v>7721.35</v>
      </c>
      <c r="N820" s="621" t="s">
        <v>835</v>
      </c>
      <c r="O820" s="621" t="s">
        <v>1269</v>
      </c>
      <c r="P820" s="545">
        <v>0.5</v>
      </c>
      <c r="Q820" s="623"/>
      <c r="R820" s="545" t="e">
        <f t="shared" si="109"/>
        <v>#VALUE!</v>
      </c>
      <c r="S820" s="51">
        <v>0.44</v>
      </c>
      <c r="T820" t="s">
        <v>1289</v>
      </c>
      <c r="U820" t="s">
        <v>1027</v>
      </c>
      <c r="V820">
        <f t="shared" si="110"/>
        <v>1400.82</v>
      </c>
      <c r="X820">
        <f t="shared" si="111"/>
        <v>616.36</v>
      </c>
      <c r="Z820">
        <f>Z819+Z814</f>
        <v>7773.14</v>
      </c>
      <c r="AE820" s="52" t="str">
        <f t="shared" si="104"/>
        <v>|</v>
      </c>
      <c r="AG820" s="1" t="s">
        <v>2175</v>
      </c>
    </row>
    <row r="821" spans="1:33" ht="24" customHeight="1">
      <c r="A821" s="10"/>
      <c r="R821" s="8">
        <v>0.54</v>
      </c>
      <c r="S821" s="51">
        <v>0.37</v>
      </c>
      <c r="T821" t="s">
        <v>494</v>
      </c>
      <c r="U821" t="s">
        <v>364</v>
      </c>
      <c r="V821">
        <f t="shared" si="110"/>
        <v>5960</v>
      </c>
      <c r="X821">
        <f t="shared" si="111"/>
        <v>2205.1999999999998</v>
      </c>
      <c r="Z821">
        <f>Z820+Z814</f>
        <v>7890.14</v>
      </c>
      <c r="AE821" s="52" t="str">
        <f t="shared" si="104"/>
        <v>|</v>
      </c>
      <c r="AG821" s="1" t="s">
        <v>2175</v>
      </c>
    </row>
    <row r="822" spans="1:33" ht="24" customHeight="1">
      <c r="A822" s="10"/>
      <c r="F822" s="8">
        <v>1</v>
      </c>
      <c r="G822" s="7" t="s">
        <v>836</v>
      </c>
      <c r="H822" s="1" t="s">
        <v>43</v>
      </c>
      <c r="I822" s="8">
        <f>C25</f>
        <v>81.3</v>
      </c>
      <c r="K822" s="8">
        <f>F822*I822</f>
        <v>81.3</v>
      </c>
      <c r="R822" s="5" t="s">
        <v>1530</v>
      </c>
      <c r="S822" s="51">
        <v>0.35</v>
      </c>
      <c r="T822" t="s">
        <v>1375</v>
      </c>
      <c r="U822" t="s">
        <v>435</v>
      </c>
      <c r="V822">
        <f t="shared" si="110"/>
        <v>804</v>
      </c>
      <c r="W822">
        <f>J828</f>
        <v>0</v>
      </c>
      <c r="X822">
        <f t="shared" si="111"/>
        <v>281.39999999999998</v>
      </c>
      <c r="Z822">
        <f>Z814+Z821</f>
        <v>8007.14</v>
      </c>
      <c r="AE822" s="52" t="str">
        <f t="shared" si="104"/>
        <v>|</v>
      </c>
      <c r="AG822" s="1" t="s">
        <v>2175</v>
      </c>
    </row>
    <row r="823" spans="1:33" ht="24" customHeight="1">
      <c r="A823" s="10"/>
      <c r="K823" s="5" t="s">
        <v>1530</v>
      </c>
      <c r="O823" s="2" t="s">
        <v>1270</v>
      </c>
      <c r="R823" s="8" t="e">
        <f>SUM(R811:R821)</f>
        <v>#VALUE!</v>
      </c>
      <c r="S823" s="51">
        <v>2.12</v>
      </c>
      <c r="T823" t="s">
        <v>1375</v>
      </c>
      <c r="U823" t="s">
        <v>3414</v>
      </c>
      <c r="V823">
        <f t="shared" si="110"/>
        <v>562</v>
      </c>
      <c r="X823">
        <f t="shared" si="111"/>
        <v>1191.44</v>
      </c>
      <c r="Z823">
        <f>Z814+Z822</f>
        <v>8124.14</v>
      </c>
      <c r="AE823" s="52" t="str">
        <f t="shared" si="104"/>
        <v>|</v>
      </c>
      <c r="AG823" s="1" t="s">
        <v>2175</v>
      </c>
    </row>
    <row r="824" spans="1:33" ht="24" customHeight="1">
      <c r="K824" s="8">
        <f>SUM(K820:K822)</f>
        <v>7802.65</v>
      </c>
      <c r="S824" s="51">
        <v>3.53</v>
      </c>
      <c r="T824" t="s">
        <v>1375</v>
      </c>
      <c r="U824" t="s">
        <v>3415</v>
      </c>
      <c r="V824">
        <f t="shared" si="110"/>
        <v>461</v>
      </c>
      <c r="X824">
        <f t="shared" si="111"/>
        <v>1627.33</v>
      </c>
      <c r="Z824">
        <f>Z814+Z823</f>
        <v>8241.14</v>
      </c>
      <c r="AE824" s="52" t="str">
        <f t="shared" si="104"/>
        <v>|</v>
      </c>
      <c r="AG824" s="1" t="s">
        <v>2175</v>
      </c>
    </row>
    <row r="825" spans="1:33" ht="24" customHeight="1">
      <c r="A825" s="10"/>
      <c r="K825" s="5" t="s">
        <v>1530</v>
      </c>
      <c r="R825" s="5" t="s">
        <v>1530</v>
      </c>
      <c r="S825" s="51">
        <v>1</v>
      </c>
      <c r="T825" t="s">
        <v>1289</v>
      </c>
      <c r="U825" t="s">
        <v>3416</v>
      </c>
      <c r="V825">
        <f t="shared" si="110"/>
        <v>81.3</v>
      </c>
      <c r="X825">
        <f t="shared" si="111"/>
        <v>81.3</v>
      </c>
      <c r="Z825">
        <f>Z814+Z824</f>
        <v>8358.14</v>
      </c>
      <c r="AE825" s="52" t="str">
        <f t="shared" si="104"/>
        <v>|</v>
      </c>
      <c r="AG825" s="1" t="s">
        <v>2175</v>
      </c>
    </row>
    <row r="826" spans="1:33" ht="24" customHeight="1">
      <c r="A826" s="10"/>
      <c r="H826" s="1" t="s">
        <v>361</v>
      </c>
      <c r="K826" s="39">
        <f>(K824+C22)</f>
        <v>7905.95</v>
      </c>
      <c r="S826" s="420" t="s">
        <v>625</v>
      </c>
      <c r="U826" t="s">
        <v>3417</v>
      </c>
      <c r="V826" s="33" t="str">
        <f t="shared" si="110"/>
        <v>LS</v>
      </c>
      <c r="X826">
        <v>270</v>
      </c>
      <c r="Z826">
        <f>Z814+Z825</f>
        <v>8475.14</v>
      </c>
      <c r="AE826" s="52" t="str">
        <f t="shared" ref="AE826:AE898" si="112">AG826</f>
        <v>|</v>
      </c>
      <c r="AG826" s="1" t="s">
        <v>2175</v>
      </c>
    </row>
    <row r="827" spans="1:33" ht="24" customHeight="1">
      <c r="A827" s="10"/>
      <c r="H827" s="1" t="s">
        <v>363</v>
      </c>
      <c r="K827" s="39">
        <f>(K826+C23)</f>
        <v>8109.45</v>
      </c>
      <c r="N827" s="1" t="s">
        <v>486</v>
      </c>
      <c r="O827" s="1" t="s">
        <v>1272</v>
      </c>
      <c r="S827" s="420" t="s">
        <v>625</v>
      </c>
      <c r="U827" t="s">
        <v>3418</v>
      </c>
      <c r="V827" s="33" t="str">
        <f t="shared" si="110"/>
        <v>LS</v>
      </c>
      <c r="X827">
        <v>150</v>
      </c>
      <c r="Z827">
        <f>Z814+Z826</f>
        <v>8592.14</v>
      </c>
      <c r="AE827" s="52" t="str">
        <f t="shared" si="112"/>
        <v>|</v>
      </c>
      <c r="AG827" s="1" t="s">
        <v>2175</v>
      </c>
    </row>
    <row r="828" spans="1:33" ht="24" customHeight="1">
      <c r="A828" s="10"/>
      <c r="H828" s="1" t="s">
        <v>2149</v>
      </c>
      <c r="K828" s="39">
        <f>(K827+C24)</f>
        <v>8312.9500000000007</v>
      </c>
      <c r="O828" s="1" t="s">
        <v>1706</v>
      </c>
      <c r="S828" s="420" t="s">
        <v>625</v>
      </c>
      <c r="U828" t="s">
        <v>2187</v>
      </c>
      <c r="V828" s="33" t="str">
        <f t="shared" si="110"/>
        <v>LS</v>
      </c>
      <c r="X828">
        <v>0.17</v>
      </c>
      <c r="AE828" s="52" t="str">
        <f t="shared" si="112"/>
        <v>|</v>
      </c>
      <c r="AG828" s="1" t="s">
        <v>2175</v>
      </c>
    </row>
    <row r="829" spans="1:33" ht="24" customHeight="1">
      <c r="A829" s="10"/>
      <c r="H829" s="1" t="s">
        <v>355</v>
      </c>
      <c r="K829" s="39">
        <f>(K828+C24)</f>
        <v>8516.4500000000007</v>
      </c>
      <c r="N829" s="1" t="s">
        <v>254</v>
      </c>
      <c r="O829" s="1" t="s">
        <v>1708</v>
      </c>
      <c r="P829" s="8">
        <f>P811</f>
        <v>47.3</v>
      </c>
      <c r="R829" s="8" t="e">
        <f>(#VALUE!*P829)</f>
        <v>#VALUE!</v>
      </c>
      <c r="X829" s="37">
        <f>SUM(X818:X828)</f>
        <v>7479.74</v>
      </c>
      <c r="AE829" s="52" t="str">
        <f t="shared" si="112"/>
        <v>|</v>
      </c>
      <c r="AG829" s="1" t="s">
        <v>2175</v>
      </c>
    </row>
    <row r="830" spans="1:33" ht="24" customHeight="1">
      <c r="H830" s="1" t="s">
        <v>1477</v>
      </c>
      <c r="K830" s="39">
        <f>(K829+C24)</f>
        <v>8719.9500000000007</v>
      </c>
      <c r="O830" s="1" t="s">
        <v>1853</v>
      </c>
      <c r="AE830" s="52" t="str">
        <f t="shared" si="112"/>
        <v>|</v>
      </c>
      <c r="AG830" s="1" t="s">
        <v>2175</v>
      </c>
    </row>
    <row r="831" spans="1:33" ht="24" customHeight="1">
      <c r="H831" s="1">
        <v>5</v>
      </c>
      <c r="K831" s="39">
        <f>(K830+C24)</f>
        <v>8923.4500000000007</v>
      </c>
      <c r="O831" s="1"/>
      <c r="AE831" s="52">
        <f>SUM(AE684:AE688)</f>
        <v>8206.1</v>
      </c>
      <c r="AG831" s="1"/>
    </row>
    <row r="832" spans="1:33" ht="24" customHeight="1">
      <c r="H832" s="1">
        <v>6</v>
      </c>
      <c r="K832" s="39">
        <f>(K831+C24)</f>
        <v>9126.9500000000007</v>
      </c>
      <c r="O832" s="1"/>
      <c r="AE832" s="52"/>
      <c r="AG832" s="1"/>
    </row>
    <row r="833" spans="6:33" ht="24" customHeight="1">
      <c r="H833" s="1">
        <v>7</v>
      </c>
      <c r="K833" s="39">
        <f>(K832+C24)</f>
        <v>9330.4500000000007</v>
      </c>
      <c r="O833" s="1"/>
      <c r="AE833" s="52"/>
      <c r="AG833" s="1"/>
    </row>
    <row r="834" spans="6:33" ht="24" customHeight="1">
      <c r="H834" s="1">
        <v>8</v>
      </c>
      <c r="K834" s="39">
        <f>(K833+C24)</f>
        <v>9533.9500000000007</v>
      </c>
      <c r="O834" s="1"/>
      <c r="AE834" s="52"/>
      <c r="AG834" s="1"/>
    </row>
    <row r="835" spans="6:33" ht="24" customHeight="1">
      <c r="H835" s="1">
        <v>9</v>
      </c>
      <c r="K835" s="39">
        <f>(K834+C24)</f>
        <v>9737.4500000000007</v>
      </c>
      <c r="O835" s="1"/>
      <c r="AE835" s="52"/>
      <c r="AG835" s="1"/>
    </row>
    <row r="836" spans="6:33" ht="24" customHeight="1">
      <c r="H836" s="1">
        <v>10</v>
      </c>
      <c r="K836" s="39">
        <f>(K835+C24)</f>
        <v>9940.9500000000007</v>
      </c>
      <c r="O836" s="1"/>
      <c r="AE836" s="52"/>
      <c r="AG836" s="1"/>
    </row>
    <row r="837" spans="6:33" ht="24" customHeight="1">
      <c r="H837" s="1">
        <v>11</v>
      </c>
      <c r="K837" s="39">
        <f>(K836+C24)</f>
        <v>10144.450000000001</v>
      </c>
      <c r="O837" s="1"/>
      <c r="AE837" s="52"/>
      <c r="AG837" s="1"/>
    </row>
    <row r="838" spans="6:33" ht="24" customHeight="1">
      <c r="H838" s="1">
        <v>12</v>
      </c>
      <c r="K838" s="39">
        <f>(K837+C24)</f>
        <v>10347.950000000001</v>
      </c>
      <c r="O838" s="1"/>
      <c r="AE838" s="52"/>
      <c r="AG838" s="1"/>
    </row>
    <row r="839" spans="6:33" ht="24" customHeight="1">
      <c r="H839" s="1"/>
      <c r="K839" s="39"/>
      <c r="O839" s="1"/>
      <c r="AE839" s="52"/>
      <c r="AG839" s="1"/>
    </row>
    <row r="840" spans="6:33" ht="24" customHeight="1">
      <c r="F840" s="1" t="s">
        <v>940</v>
      </c>
      <c r="O840" s="1" t="s">
        <v>950</v>
      </c>
      <c r="AE840" s="52" t="str">
        <f t="shared" si="112"/>
        <v>|</v>
      </c>
      <c r="AG840" s="1" t="s">
        <v>2175</v>
      </c>
    </row>
    <row r="841" spans="6:33" ht="24" customHeight="1">
      <c r="F841" s="1" t="s">
        <v>940</v>
      </c>
      <c r="G841" s="7" t="s">
        <v>2167</v>
      </c>
      <c r="H841" s="2" t="s">
        <v>1271</v>
      </c>
      <c r="N841" s="1" t="s">
        <v>578</v>
      </c>
      <c r="O841" s="1" t="s">
        <v>951</v>
      </c>
      <c r="P841" s="8">
        <f>C275</f>
        <v>303.89999999999998</v>
      </c>
      <c r="R841" s="8" t="e">
        <f t="shared" ref="R841:R847" si="113">(#VALUE!*P841)</f>
        <v>#VALUE!</v>
      </c>
      <c r="AE841" s="52" t="str">
        <f t="shared" si="112"/>
        <v>|</v>
      </c>
      <c r="AG841" s="1" t="s">
        <v>2175</v>
      </c>
    </row>
    <row r="842" spans="6:33" ht="24" customHeight="1">
      <c r="H842" s="5" t="s">
        <v>1980</v>
      </c>
      <c r="N842" s="1" t="s">
        <v>835</v>
      </c>
      <c r="O842" s="1" t="s">
        <v>147</v>
      </c>
      <c r="P842" s="8">
        <v>5</v>
      </c>
      <c r="R842" s="8" t="e">
        <f t="shared" si="113"/>
        <v>#VALUE!</v>
      </c>
      <c r="AE842" s="52" t="str">
        <f t="shared" si="112"/>
        <v>|</v>
      </c>
      <c r="AG842" s="1" t="s">
        <v>2175</v>
      </c>
    </row>
    <row r="843" spans="6:33" ht="24" customHeight="1">
      <c r="N843" s="1" t="s">
        <v>835</v>
      </c>
      <c r="O843" s="1" t="s">
        <v>148</v>
      </c>
      <c r="P843" s="8">
        <v>10</v>
      </c>
      <c r="R843" s="8" t="e">
        <f t="shared" si="113"/>
        <v>#VALUE!</v>
      </c>
      <c r="AE843" s="52" t="str">
        <f t="shared" si="112"/>
        <v>|</v>
      </c>
      <c r="AG843" s="1" t="s">
        <v>2175</v>
      </c>
    </row>
    <row r="844" spans="6:33" ht="24" customHeight="1">
      <c r="F844" s="2" t="s">
        <v>1273</v>
      </c>
      <c r="G844" s="7" t="s">
        <v>2167</v>
      </c>
      <c r="H844" s="1" t="s">
        <v>1958</v>
      </c>
      <c r="N844" s="1" t="s">
        <v>835</v>
      </c>
      <c r="O844" s="1" t="s">
        <v>1690</v>
      </c>
      <c r="P844" s="8">
        <v>8</v>
      </c>
      <c r="R844" s="8" t="e">
        <f t="shared" si="113"/>
        <v>#VALUE!</v>
      </c>
      <c r="AE844" s="52" t="str">
        <f t="shared" si="112"/>
        <v>|</v>
      </c>
      <c r="AG844" s="1" t="s">
        <v>2175</v>
      </c>
    </row>
    <row r="845" spans="6:33" ht="24" customHeight="1">
      <c r="H845" s="1" t="s">
        <v>1959</v>
      </c>
      <c r="N845" s="1" t="s">
        <v>794</v>
      </c>
      <c r="O845" s="1" t="s">
        <v>1442</v>
      </c>
      <c r="P845" s="8">
        <v>13.66</v>
      </c>
      <c r="R845" s="8" t="e">
        <f t="shared" si="113"/>
        <v>#VALUE!</v>
      </c>
      <c r="AE845" s="52" t="str">
        <f t="shared" si="112"/>
        <v>|</v>
      </c>
      <c r="AG845" s="1" t="s">
        <v>2175</v>
      </c>
    </row>
    <row r="846" spans="6:33" ht="24" customHeight="1">
      <c r="H846" s="1" t="s">
        <v>1960</v>
      </c>
      <c r="N846" s="1" t="s">
        <v>578</v>
      </c>
      <c r="O846" s="1" t="s">
        <v>1443</v>
      </c>
      <c r="P846" s="8">
        <v>25.46</v>
      </c>
      <c r="R846" s="8" t="e">
        <f t="shared" si="113"/>
        <v>#VALUE!</v>
      </c>
      <c r="AE846" s="52" t="str">
        <f t="shared" si="112"/>
        <v>|::</v>
      </c>
      <c r="AG846" s="1" t="s">
        <v>300</v>
      </c>
    </row>
    <row r="847" spans="6:33" ht="24" customHeight="1">
      <c r="H847" s="1" t="s">
        <v>858</v>
      </c>
      <c r="N847" s="1" t="s">
        <v>835</v>
      </c>
      <c r="O847" s="1" t="s">
        <v>1269</v>
      </c>
      <c r="P847" s="8">
        <v>0.5</v>
      </c>
      <c r="R847" s="8" t="e">
        <f t="shared" si="113"/>
        <v>#VALUE!</v>
      </c>
      <c r="AE847" s="52">
        <f t="shared" si="112"/>
        <v>0</v>
      </c>
    </row>
    <row r="848" spans="6:33" ht="24" customHeight="1">
      <c r="H848" s="1" t="s">
        <v>859</v>
      </c>
      <c r="R848" s="8">
        <v>0.7</v>
      </c>
      <c r="AE848" s="52">
        <f t="shared" si="112"/>
        <v>0</v>
      </c>
    </row>
    <row r="849" spans="6:33" ht="24" customHeight="1">
      <c r="H849" s="1" t="s">
        <v>1662</v>
      </c>
      <c r="R849" s="5" t="s">
        <v>1530</v>
      </c>
      <c r="AE849" s="52">
        <f t="shared" si="112"/>
        <v>0</v>
      </c>
    </row>
    <row r="850" spans="6:33" ht="24" customHeight="1">
      <c r="H850" s="1" t="s">
        <v>91</v>
      </c>
      <c r="O850" s="2" t="s">
        <v>1270</v>
      </c>
      <c r="R850" s="8" t="e">
        <f>SUM(R829:R848)</f>
        <v>#VALUE!</v>
      </c>
      <c r="AE850" s="52" t="str">
        <f t="shared" si="112"/>
        <v>|</v>
      </c>
      <c r="AG850" s="1" t="s">
        <v>2175</v>
      </c>
    </row>
    <row r="851" spans="6:33" ht="24" customHeight="1">
      <c r="H851" s="1" t="s">
        <v>92</v>
      </c>
      <c r="O851" t="s">
        <v>940</v>
      </c>
      <c r="R851" s="5" t="s">
        <v>1530</v>
      </c>
      <c r="AE851" s="52" t="str">
        <f t="shared" si="112"/>
        <v>|</v>
      </c>
      <c r="AG851" s="1" t="s">
        <v>2175</v>
      </c>
    </row>
    <row r="852" spans="6:33" ht="24" customHeight="1">
      <c r="H852" s="1" t="s">
        <v>93</v>
      </c>
      <c r="O852" s="37" t="s">
        <v>4301</v>
      </c>
      <c r="R852" s="5"/>
      <c r="AE852" s="52" t="str">
        <f t="shared" si="112"/>
        <v>|</v>
      </c>
      <c r="AG852" s="1" t="s">
        <v>2175</v>
      </c>
    </row>
    <row r="853" spans="6:33" ht="24" customHeight="1">
      <c r="H853" s="1" t="s">
        <v>94</v>
      </c>
      <c r="O853" s="2" t="s">
        <v>1686</v>
      </c>
      <c r="R853" s="5"/>
      <c r="AE853" s="52" t="str">
        <f t="shared" si="112"/>
        <v>|</v>
      </c>
      <c r="AG853" s="1" t="s">
        <v>2175</v>
      </c>
    </row>
    <row r="854" spans="6:33" ht="24" customHeight="1">
      <c r="H854" s="1" t="s">
        <v>1978</v>
      </c>
      <c r="R854" s="5"/>
      <c r="AE854" s="52" t="str">
        <f t="shared" si="112"/>
        <v>|</v>
      </c>
      <c r="AG854" s="1" t="s">
        <v>2175</v>
      </c>
    </row>
    <row r="855" spans="6:33" ht="24" customHeight="1">
      <c r="H855" s="1" t="s">
        <v>996</v>
      </c>
      <c r="M855" s="15">
        <v>6.5000000000000002E-2</v>
      </c>
      <c r="N855" s="7" t="s">
        <v>836</v>
      </c>
      <c r="O855" s="1" t="s">
        <v>1993</v>
      </c>
      <c r="P855" s="8">
        <f>I862</f>
        <v>7584.57</v>
      </c>
      <c r="Q855" s="1" t="s">
        <v>836</v>
      </c>
      <c r="R855" s="8">
        <f>P855*M855</f>
        <v>493</v>
      </c>
      <c r="AE855" s="52" t="str">
        <f t="shared" si="112"/>
        <v>|</v>
      </c>
      <c r="AG855" s="1" t="s">
        <v>2175</v>
      </c>
    </row>
    <row r="856" spans="6:33" ht="24" customHeight="1">
      <c r="H856" s="1" t="s">
        <v>1721</v>
      </c>
      <c r="M856" s="407">
        <v>8.4499999999999993</v>
      </c>
      <c r="N856" s="7" t="s">
        <v>1591</v>
      </c>
      <c r="O856" s="1" t="s">
        <v>1994</v>
      </c>
      <c r="P856" s="8">
        <f t="shared" ref="P856:P865" si="114">I863</f>
        <v>77593</v>
      </c>
      <c r="Q856" s="1" t="s">
        <v>828</v>
      </c>
      <c r="R856" s="8">
        <f>P856*M856/1000</f>
        <v>655.66</v>
      </c>
      <c r="AE856" s="52" t="str">
        <f t="shared" si="112"/>
        <v>|</v>
      </c>
      <c r="AG856" s="1" t="s">
        <v>2175</v>
      </c>
    </row>
    <row r="857" spans="6:33" ht="24" customHeight="1">
      <c r="H857" s="1" t="s">
        <v>1722</v>
      </c>
      <c r="M857" s="8">
        <v>3</v>
      </c>
      <c r="N857" s="7" t="s">
        <v>835</v>
      </c>
      <c r="O857" s="1" t="s">
        <v>1145</v>
      </c>
      <c r="P857" s="8">
        <f t="shared" si="114"/>
        <v>14.8</v>
      </c>
      <c r="Q857" s="1" t="s">
        <v>835</v>
      </c>
      <c r="R857" s="8">
        <f t="shared" ref="R857:R864" si="115">P857*M857</f>
        <v>44.4</v>
      </c>
      <c r="AE857" s="52" t="str">
        <f t="shared" si="112"/>
        <v>|</v>
      </c>
      <c r="AG857" s="1" t="s">
        <v>2175</v>
      </c>
    </row>
    <row r="858" spans="6:33" ht="24" customHeight="1">
      <c r="M858" s="8">
        <v>12</v>
      </c>
      <c r="N858" s="7" t="s">
        <v>835</v>
      </c>
      <c r="O858" s="1" t="s">
        <v>1146</v>
      </c>
      <c r="P858" s="8">
        <f t="shared" si="114"/>
        <v>2</v>
      </c>
      <c r="Q858" s="1" t="s">
        <v>835</v>
      </c>
      <c r="R858" s="8">
        <f t="shared" si="115"/>
        <v>24</v>
      </c>
      <c r="AE858" s="52" t="str">
        <f t="shared" si="112"/>
        <v>|</v>
      </c>
      <c r="AG858" s="1" t="s">
        <v>2175</v>
      </c>
    </row>
    <row r="859" spans="6:33" ht="24" customHeight="1">
      <c r="M859" s="8">
        <v>2</v>
      </c>
      <c r="N859" s="7" t="s">
        <v>835</v>
      </c>
      <c r="O859" s="1" t="s">
        <v>1147</v>
      </c>
      <c r="P859" s="8">
        <f t="shared" si="114"/>
        <v>4.9000000000000004</v>
      </c>
      <c r="Q859" s="1" t="s">
        <v>835</v>
      </c>
      <c r="R859" s="8">
        <f t="shared" si="115"/>
        <v>9.8000000000000007</v>
      </c>
      <c r="AE859" s="52" t="str">
        <f t="shared" si="112"/>
        <v>|</v>
      </c>
      <c r="AG859" s="1" t="s">
        <v>2175</v>
      </c>
    </row>
    <row r="860" spans="6:33" ht="24" customHeight="1">
      <c r="G860" s="7" t="s">
        <v>295</v>
      </c>
      <c r="H860" s="2" t="s">
        <v>1719</v>
      </c>
      <c r="M860" s="8">
        <v>6</v>
      </c>
      <c r="N860" s="7" t="s">
        <v>835</v>
      </c>
      <c r="O860" s="1" t="s">
        <v>2138</v>
      </c>
      <c r="P860" s="8">
        <f t="shared" si="114"/>
        <v>4.45</v>
      </c>
      <c r="Q860" s="1" t="s">
        <v>835</v>
      </c>
      <c r="R860" s="8">
        <f t="shared" si="115"/>
        <v>26.7</v>
      </c>
      <c r="S860"/>
      <c r="T860" s="7" t="s">
        <v>295</v>
      </c>
      <c r="U860" s="2" t="s">
        <v>3677</v>
      </c>
      <c r="W860" s="11"/>
      <c r="AE860" s="52" t="str">
        <f t="shared" si="112"/>
        <v>|</v>
      </c>
      <c r="AG860" s="1" t="s">
        <v>2175</v>
      </c>
    </row>
    <row r="861" spans="6:33" ht="24" customHeight="1">
      <c r="H861" s="2" t="s">
        <v>1724</v>
      </c>
      <c r="M861" s="8">
        <v>1</v>
      </c>
      <c r="N861" s="7" t="s">
        <v>835</v>
      </c>
      <c r="O861" s="1" t="s">
        <v>1149</v>
      </c>
      <c r="P861" s="8">
        <f t="shared" si="114"/>
        <v>861</v>
      </c>
      <c r="Q861" s="1" t="s">
        <v>835</v>
      </c>
      <c r="R861" s="8">
        <f t="shared" si="115"/>
        <v>861</v>
      </c>
      <c r="S861"/>
      <c r="T861" s="3"/>
      <c r="U861" s="2" t="s">
        <v>1724</v>
      </c>
      <c r="W861" s="11"/>
      <c r="AE861" s="52" t="str">
        <f t="shared" si="112"/>
        <v>|</v>
      </c>
      <c r="AG861" s="1" t="s">
        <v>2175</v>
      </c>
    </row>
    <row r="862" spans="6:33" ht="24" customHeight="1">
      <c r="F862" s="15">
        <v>3.8100000000000002E-2</v>
      </c>
      <c r="G862" s="7" t="s">
        <v>836</v>
      </c>
      <c r="H862" s="1" t="s">
        <v>1993</v>
      </c>
      <c r="I862" s="8">
        <f>I880</f>
        <v>7584.57</v>
      </c>
      <c r="J862" s="1" t="s">
        <v>836</v>
      </c>
      <c r="K862" s="8">
        <f>F862*I862</f>
        <v>288.97000000000003</v>
      </c>
      <c r="M862" s="8">
        <v>1</v>
      </c>
      <c r="N862" s="7" t="s">
        <v>835</v>
      </c>
      <c r="O862" s="1" t="s">
        <v>1150</v>
      </c>
      <c r="P862" s="8">
        <f t="shared" si="114"/>
        <v>562</v>
      </c>
      <c r="Q862" s="1" t="s">
        <v>835</v>
      </c>
      <c r="R862" s="8">
        <f t="shared" si="115"/>
        <v>562</v>
      </c>
      <c r="S862" s="15">
        <v>4.9500000000000002E-2</v>
      </c>
      <c r="T862" s="7" t="s">
        <v>836</v>
      </c>
      <c r="U862" s="1" t="s">
        <v>1993</v>
      </c>
      <c r="V862" s="8">
        <f>I862</f>
        <v>7584.57</v>
      </c>
      <c r="W862" s="1" t="s">
        <v>836</v>
      </c>
      <c r="X862" s="8">
        <f>S862*V862</f>
        <v>375.44</v>
      </c>
      <c r="AE862" s="52" t="str">
        <f t="shared" si="112"/>
        <v>|</v>
      </c>
      <c r="AG862" s="1" t="s">
        <v>2175</v>
      </c>
    </row>
    <row r="863" spans="6:33" ht="24" customHeight="1">
      <c r="F863" s="217">
        <v>5.01</v>
      </c>
      <c r="G863" s="7" t="s">
        <v>1591</v>
      </c>
      <c r="H863" s="1" t="s">
        <v>1994</v>
      </c>
      <c r="I863" s="8">
        <f>I881</f>
        <v>77593</v>
      </c>
      <c r="J863" s="1" t="s">
        <v>828</v>
      </c>
      <c r="K863" s="8">
        <f>F863*I863/1000</f>
        <v>388.74</v>
      </c>
      <c r="M863" s="8">
        <v>1</v>
      </c>
      <c r="N863" s="7" t="s">
        <v>835</v>
      </c>
      <c r="O863" s="1" t="s">
        <v>1151</v>
      </c>
      <c r="P863" s="8">
        <f t="shared" si="114"/>
        <v>25</v>
      </c>
      <c r="Q863" s="1" t="s">
        <v>835</v>
      </c>
      <c r="R863" s="8">
        <f t="shared" si="115"/>
        <v>25</v>
      </c>
      <c r="S863" s="217">
        <v>5.66</v>
      </c>
      <c r="T863" s="7" t="s">
        <v>1591</v>
      </c>
      <c r="U863" s="1" t="s">
        <v>1994</v>
      </c>
      <c r="V863" s="8">
        <f t="shared" ref="V863:V871" si="116">I863</f>
        <v>77593</v>
      </c>
      <c r="W863" s="1" t="s">
        <v>828</v>
      </c>
      <c r="X863" s="8">
        <f>S863*V863/1000</f>
        <v>439.18</v>
      </c>
      <c r="AE863" s="52" t="str">
        <f t="shared" si="112"/>
        <v>|</v>
      </c>
      <c r="AG863" s="1" t="s">
        <v>2175</v>
      </c>
    </row>
    <row r="864" spans="6:33" ht="24" customHeight="1">
      <c r="F864" s="8">
        <v>3</v>
      </c>
      <c r="G864" s="7" t="s">
        <v>835</v>
      </c>
      <c r="H864" s="1" t="s">
        <v>1145</v>
      </c>
      <c r="I864" s="492">
        <v>14.8</v>
      </c>
      <c r="J864" s="1" t="s">
        <v>835</v>
      </c>
      <c r="K864" s="8">
        <f t="shared" ref="K864:K871" si="117">F864*I864</f>
        <v>44.4</v>
      </c>
      <c r="M864" s="8">
        <v>0.5</v>
      </c>
      <c r="N864" s="7" t="s">
        <v>835</v>
      </c>
      <c r="O864" s="1" t="s">
        <v>1152</v>
      </c>
      <c r="P864" s="8">
        <f t="shared" si="114"/>
        <v>461</v>
      </c>
      <c r="Q864" s="1" t="s">
        <v>835</v>
      </c>
      <c r="R864" s="8">
        <f t="shared" si="115"/>
        <v>230.5</v>
      </c>
      <c r="S864" s="8">
        <v>3</v>
      </c>
      <c r="T864" s="7" t="s">
        <v>835</v>
      </c>
      <c r="U864" s="1" t="s">
        <v>1145</v>
      </c>
      <c r="V864" s="8">
        <f t="shared" si="116"/>
        <v>14.8</v>
      </c>
      <c r="W864" s="1" t="s">
        <v>835</v>
      </c>
      <c r="X864" s="8">
        <f t="shared" ref="X864:X871" si="118">S864*V864</f>
        <v>44.4</v>
      </c>
      <c r="AE864" s="52" t="str">
        <f t="shared" si="112"/>
        <v>|</v>
      </c>
      <c r="AG864" s="1" t="s">
        <v>2175</v>
      </c>
    </row>
    <row r="865" spans="2:33" ht="24" customHeight="1">
      <c r="F865" s="8">
        <v>12</v>
      </c>
      <c r="G865" s="7" t="s">
        <v>835</v>
      </c>
      <c r="H865" s="1" t="s">
        <v>1146</v>
      </c>
      <c r="I865" s="492">
        <v>2</v>
      </c>
      <c r="J865" s="1" t="s">
        <v>835</v>
      </c>
      <c r="K865" s="8">
        <f t="shared" si="117"/>
        <v>24</v>
      </c>
      <c r="N865" s="7" t="s">
        <v>419</v>
      </c>
      <c r="O865" s="1" t="s">
        <v>2058</v>
      </c>
      <c r="P865" s="8">
        <f t="shared" si="114"/>
        <v>0</v>
      </c>
      <c r="Q865" s="1" t="s">
        <v>419</v>
      </c>
      <c r="R865" s="8">
        <v>2.1</v>
      </c>
      <c r="S865" s="8">
        <v>12</v>
      </c>
      <c r="T865" s="7" t="s">
        <v>835</v>
      </c>
      <c r="U865" s="1" t="s">
        <v>1146</v>
      </c>
      <c r="V865" s="8">
        <f t="shared" si="116"/>
        <v>2</v>
      </c>
      <c r="W865" s="1" t="s">
        <v>835</v>
      </c>
      <c r="X865" s="8">
        <f t="shared" si="118"/>
        <v>24</v>
      </c>
      <c r="AE865" s="52" t="str">
        <f t="shared" si="112"/>
        <v>|</v>
      </c>
      <c r="AG865" s="1" t="s">
        <v>2175</v>
      </c>
    </row>
    <row r="866" spans="2:33" ht="24" customHeight="1">
      <c r="F866" s="8">
        <v>2</v>
      </c>
      <c r="G866" s="7" t="s">
        <v>835</v>
      </c>
      <c r="H866" s="1" t="s">
        <v>1147</v>
      </c>
      <c r="I866" s="492">
        <v>4.9000000000000004</v>
      </c>
      <c r="J866" s="1" t="s">
        <v>835</v>
      </c>
      <c r="K866" s="8">
        <f t="shared" si="117"/>
        <v>9.8000000000000007</v>
      </c>
      <c r="N866" s="3"/>
      <c r="Q866" s="11"/>
      <c r="R866" s="5" t="s">
        <v>1530</v>
      </c>
      <c r="S866" s="8">
        <v>2</v>
      </c>
      <c r="T866" s="7" t="s">
        <v>835</v>
      </c>
      <c r="U866" s="1" t="s">
        <v>1147</v>
      </c>
      <c r="V866" s="8">
        <f t="shared" si="116"/>
        <v>4.9000000000000004</v>
      </c>
      <c r="W866" s="1" t="s">
        <v>835</v>
      </c>
      <c r="X866" s="8">
        <f t="shared" si="118"/>
        <v>9.8000000000000007</v>
      </c>
      <c r="AE866" s="52" t="str">
        <f t="shared" si="112"/>
        <v>|</v>
      </c>
      <c r="AG866" s="1" t="s">
        <v>2175</v>
      </c>
    </row>
    <row r="867" spans="2:33" ht="24" customHeight="1">
      <c r="F867" s="8">
        <v>6</v>
      </c>
      <c r="G867" s="7" t="s">
        <v>835</v>
      </c>
      <c r="H867" s="1" t="s">
        <v>2138</v>
      </c>
      <c r="I867" s="492">
        <v>4.45</v>
      </c>
      <c r="J867" s="1" t="s">
        <v>835</v>
      </c>
      <c r="K867" s="8">
        <f t="shared" si="117"/>
        <v>26.7</v>
      </c>
      <c r="N867" s="3"/>
      <c r="O867" s="59" t="s">
        <v>266</v>
      </c>
      <c r="Q867" s="11"/>
      <c r="R867" s="408">
        <f>SUM(R855:R865)</f>
        <v>2934.16</v>
      </c>
      <c r="S867" s="8">
        <v>6</v>
      </c>
      <c r="T867" s="7" t="s">
        <v>835</v>
      </c>
      <c r="U867" s="1" t="s">
        <v>2138</v>
      </c>
      <c r="V867" s="8">
        <f t="shared" si="116"/>
        <v>4.45</v>
      </c>
      <c r="W867" s="1" t="s">
        <v>835</v>
      </c>
      <c r="X867" s="8">
        <f t="shared" si="118"/>
        <v>26.7</v>
      </c>
      <c r="AE867" s="52" t="str">
        <f t="shared" si="112"/>
        <v>|</v>
      </c>
      <c r="AG867" s="1" t="s">
        <v>2175</v>
      </c>
    </row>
    <row r="868" spans="2:33" ht="24" customHeight="1">
      <c r="F868" s="8">
        <v>1</v>
      </c>
      <c r="G868" s="7" t="s">
        <v>835</v>
      </c>
      <c r="H868" s="1" t="s">
        <v>1149</v>
      </c>
      <c r="I868" s="8">
        <f>C10</f>
        <v>861</v>
      </c>
      <c r="J868" s="1" t="s">
        <v>835</v>
      </c>
      <c r="K868" s="8">
        <f t="shared" si="117"/>
        <v>861</v>
      </c>
      <c r="N868" s="3"/>
      <c r="Q868" s="11"/>
      <c r="R868" s="5" t="s">
        <v>1530</v>
      </c>
      <c r="S868" s="8">
        <v>1</v>
      </c>
      <c r="T868" s="7" t="s">
        <v>835</v>
      </c>
      <c r="U868" s="1" t="s">
        <v>1149</v>
      </c>
      <c r="V868" s="8">
        <f t="shared" si="116"/>
        <v>861</v>
      </c>
      <c r="W868" s="1" t="s">
        <v>835</v>
      </c>
      <c r="X868" s="8">
        <f t="shared" si="118"/>
        <v>861</v>
      </c>
      <c r="AE868" s="52">
        <f t="shared" si="112"/>
        <v>0</v>
      </c>
      <c r="AG868" s="1"/>
    </row>
    <row r="869" spans="2:33" ht="24" customHeight="1">
      <c r="F869" s="8">
        <v>1</v>
      </c>
      <c r="G869" s="7" t="s">
        <v>835</v>
      </c>
      <c r="H869" s="1" t="s">
        <v>1150</v>
      </c>
      <c r="I869" s="8">
        <f>C12</f>
        <v>562</v>
      </c>
      <c r="J869" s="1" t="s">
        <v>835</v>
      </c>
      <c r="K869" s="8">
        <f t="shared" si="117"/>
        <v>562</v>
      </c>
      <c r="S869" s="8">
        <v>1</v>
      </c>
      <c r="T869" s="7" t="s">
        <v>835</v>
      </c>
      <c r="U869" s="1" t="s">
        <v>1150</v>
      </c>
      <c r="V869" s="8">
        <f t="shared" si="116"/>
        <v>562</v>
      </c>
      <c r="W869" s="1" t="s">
        <v>835</v>
      </c>
      <c r="X869" s="8">
        <f t="shared" si="118"/>
        <v>562</v>
      </c>
      <c r="AE869" s="52">
        <f t="shared" si="112"/>
        <v>0</v>
      </c>
      <c r="AG869" s="1"/>
    </row>
    <row r="870" spans="2:33" ht="24" customHeight="1">
      <c r="F870" s="8">
        <v>1</v>
      </c>
      <c r="G870" s="7" t="s">
        <v>835</v>
      </c>
      <c r="H870" s="1" t="s">
        <v>1151</v>
      </c>
      <c r="I870" s="492">
        <v>25</v>
      </c>
      <c r="J870" s="1" t="s">
        <v>835</v>
      </c>
      <c r="K870" s="8">
        <f t="shared" si="117"/>
        <v>25</v>
      </c>
      <c r="R870" s="5"/>
      <c r="S870" s="8">
        <v>1</v>
      </c>
      <c r="T870" s="7" t="s">
        <v>835</v>
      </c>
      <c r="U870" s="1" t="s">
        <v>1151</v>
      </c>
      <c r="V870" s="8">
        <f t="shared" si="116"/>
        <v>25</v>
      </c>
      <c r="W870" s="1" t="s">
        <v>835</v>
      </c>
      <c r="X870" s="8">
        <f t="shared" si="118"/>
        <v>25</v>
      </c>
      <c r="AE870" s="52">
        <f t="shared" si="112"/>
        <v>0</v>
      </c>
      <c r="AG870" s="1"/>
    </row>
    <row r="871" spans="2:33" ht="24" customHeight="1">
      <c r="F871" s="8">
        <v>0.5</v>
      </c>
      <c r="G871" s="7" t="s">
        <v>835</v>
      </c>
      <c r="H871" s="1" t="s">
        <v>1152</v>
      </c>
      <c r="I871" s="8">
        <f>C13</f>
        <v>461</v>
      </c>
      <c r="J871" s="1" t="s">
        <v>835</v>
      </c>
      <c r="K871" s="8">
        <f t="shared" si="117"/>
        <v>230.5</v>
      </c>
      <c r="R871" s="1" t="s">
        <v>940</v>
      </c>
      <c r="S871" s="8">
        <v>0.5</v>
      </c>
      <c r="T871" s="7" t="s">
        <v>835</v>
      </c>
      <c r="U871" s="1" t="s">
        <v>1152</v>
      </c>
      <c r="V871" s="8">
        <f t="shared" si="116"/>
        <v>461</v>
      </c>
      <c r="W871" s="1" t="s">
        <v>835</v>
      </c>
      <c r="X871" s="8">
        <f t="shared" si="118"/>
        <v>230.5</v>
      </c>
      <c r="AE871" s="52">
        <f t="shared" si="112"/>
        <v>0</v>
      </c>
      <c r="AG871" s="1"/>
    </row>
    <row r="872" spans="2:33" ht="24" customHeight="1">
      <c r="G872" s="7" t="s">
        <v>419</v>
      </c>
      <c r="H872" s="1" t="s">
        <v>2058</v>
      </c>
      <c r="J872" s="1" t="s">
        <v>419</v>
      </c>
      <c r="K872" s="8">
        <v>1.1299999999999999</v>
      </c>
      <c r="N872" s="1" t="s">
        <v>295</v>
      </c>
      <c r="O872" s="1" t="s">
        <v>37</v>
      </c>
      <c r="S872"/>
      <c r="T872" s="7" t="s">
        <v>419</v>
      </c>
      <c r="U872" s="1" t="s">
        <v>2058</v>
      </c>
      <c r="W872" s="1" t="s">
        <v>419</v>
      </c>
      <c r="X872" s="8">
        <v>0.06</v>
      </c>
      <c r="AE872" s="52">
        <f t="shared" si="112"/>
        <v>0</v>
      </c>
      <c r="AG872" s="1"/>
    </row>
    <row r="873" spans="2:33" ht="24" customHeight="1">
      <c r="K873" s="5" t="s">
        <v>1530</v>
      </c>
      <c r="O873" s="1" t="s">
        <v>1706</v>
      </c>
      <c r="S873"/>
      <c r="T873" s="3"/>
      <c r="W873" s="11"/>
      <c r="X873" s="5" t="s">
        <v>1530</v>
      </c>
      <c r="AE873" s="52">
        <f t="shared" si="112"/>
        <v>0</v>
      </c>
      <c r="AG873" s="1"/>
    </row>
    <row r="874" spans="2:33" ht="24" customHeight="1">
      <c r="H874" s="59" t="s">
        <v>266</v>
      </c>
      <c r="K874" s="39">
        <f>SUM(K862:K872)</f>
        <v>2462.2399999999998</v>
      </c>
      <c r="N874" s="1" t="s">
        <v>254</v>
      </c>
      <c r="O874" s="1" t="s">
        <v>1708</v>
      </c>
      <c r="P874" s="8">
        <f>P829</f>
        <v>47.3</v>
      </c>
      <c r="R874" s="8" t="e">
        <f>(#VALUE!*P874)</f>
        <v>#VALUE!</v>
      </c>
      <c r="S874"/>
      <c r="T874" s="3"/>
      <c r="U874" s="59" t="s">
        <v>266</v>
      </c>
      <c r="W874" s="11"/>
      <c r="X874" s="39">
        <f>SUM(X862:X872)</f>
        <v>2598.08</v>
      </c>
      <c r="AE874" s="52">
        <f t="shared" si="112"/>
        <v>0</v>
      </c>
      <c r="AG874" s="1"/>
    </row>
    <row r="875" spans="2:33" ht="24" customHeight="1">
      <c r="K875" s="5" t="s">
        <v>1530</v>
      </c>
      <c r="O875" s="1" t="s">
        <v>1853</v>
      </c>
      <c r="AE875" s="52">
        <f t="shared" si="112"/>
        <v>0</v>
      </c>
      <c r="AG875" s="1"/>
    </row>
    <row r="876" spans="2:33" ht="24" customHeight="1">
      <c r="O876" s="1" t="s">
        <v>950</v>
      </c>
      <c r="AE876" s="52">
        <f t="shared" si="112"/>
        <v>0</v>
      </c>
      <c r="AG876" s="1"/>
    </row>
    <row r="877" spans="2:33" ht="24" customHeight="1">
      <c r="N877" s="1" t="s">
        <v>578</v>
      </c>
      <c r="O877" s="1" t="s">
        <v>3988</v>
      </c>
      <c r="P877" s="8">
        <f>C275</f>
        <v>303.89999999999998</v>
      </c>
      <c r="R877" s="8" t="e">
        <f t="shared" ref="R877:R883" si="119">(#VALUE!*P877)</f>
        <v>#VALUE!</v>
      </c>
      <c r="AE877" s="52">
        <f t="shared" si="112"/>
        <v>0</v>
      </c>
      <c r="AG877" s="1"/>
    </row>
    <row r="878" spans="2:33" ht="24" customHeight="1">
      <c r="G878" s="7" t="s">
        <v>1840</v>
      </c>
      <c r="H878" s="2" t="s">
        <v>1723</v>
      </c>
      <c r="N878" s="1" t="s">
        <v>835</v>
      </c>
      <c r="O878" s="1" t="s">
        <v>147</v>
      </c>
      <c r="P878" s="8">
        <v>5</v>
      </c>
      <c r="R878" s="8" t="e">
        <f t="shared" si="119"/>
        <v>#VALUE!</v>
      </c>
      <c r="S878"/>
      <c r="T878" s="7" t="s">
        <v>295</v>
      </c>
      <c r="U878" s="2" t="s">
        <v>3678</v>
      </c>
      <c r="W878" s="11"/>
      <c r="AE878" s="52">
        <f t="shared" si="112"/>
        <v>0</v>
      </c>
      <c r="AG878" s="1"/>
    </row>
    <row r="879" spans="2:33" ht="24" customHeight="1">
      <c r="H879" s="2" t="s">
        <v>1724</v>
      </c>
      <c r="N879" s="1" t="s">
        <v>835</v>
      </c>
      <c r="O879" s="1" t="s">
        <v>148</v>
      </c>
      <c r="P879" s="8">
        <v>10</v>
      </c>
      <c r="R879" s="8" t="e">
        <f t="shared" si="119"/>
        <v>#VALUE!</v>
      </c>
      <c r="S879"/>
      <c r="T879" s="3"/>
      <c r="U879" s="2" t="s">
        <v>1724</v>
      </c>
      <c r="W879" s="11"/>
      <c r="AE879" s="52">
        <f t="shared" si="112"/>
        <v>0</v>
      </c>
      <c r="AG879" s="1"/>
    </row>
    <row r="880" spans="2:33" ht="64.5" customHeight="1">
      <c r="B880" s="23" t="s">
        <v>4256</v>
      </c>
      <c r="C880" s="8">
        <f>Y691</f>
        <v>7584.57</v>
      </c>
      <c r="F880" s="15">
        <v>3.6799999999999999E-2</v>
      </c>
      <c r="G880" s="7" t="s">
        <v>836</v>
      </c>
      <c r="H880" s="23" t="s">
        <v>4256</v>
      </c>
      <c r="I880" s="8">
        <f>Y691</f>
        <v>7584.57</v>
      </c>
      <c r="J880" s="1" t="s">
        <v>836</v>
      </c>
      <c r="K880" s="8">
        <f>F880*I880</f>
        <v>279.11</v>
      </c>
      <c r="N880" s="1" t="s">
        <v>835</v>
      </c>
      <c r="O880" s="1" t="s">
        <v>1690</v>
      </c>
      <c r="P880" s="8">
        <v>8</v>
      </c>
      <c r="R880" s="8" t="e">
        <f t="shared" si="119"/>
        <v>#VALUE!</v>
      </c>
      <c r="S880" s="15">
        <v>5.4699999999999999E-2</v>
      </c>
      <c r="T880" s="7" t="s">
        <v>836</v>
      </c>
      <c r="U880" s="1" t="s">
        <v>1993</v>
      </c>
      <c r="V880" s="8">
        <f>I880</f>
        <v>7584.57</v>
      </c>
      <c r="W880" s="1" t="s">
        <v>836</v>
      </c>
      <c r="X880" s="8">
        <f>S880*V880</f>
        <v>414.88</v>
      </c>
      <c r="AE880" s="52">
        <f t="shared" si="112"/>
        <v>0</v>
      </c>
      <c r="AG880" s="1"/>
    </row>
    <row r="881" spans="2:33" ht="34.5" customHeight="1">
      <c r="B881" s="1" t="s">
        <v>1994</v>
      </c>
      <c r="C881" s="8">
        <f>R1612</f>
        <v>77804.3</v>
      </c>
      <c r="F881" s="8">
        <v>4.87</v>
      </c>
      <c r="G881" s="7" t="s">
        <v>1591</v>
      </c>
      <c r="H881" s="1" t="s">
        <v>1994</v>
      </c>
      <c r="I881" s="8">
        <f>K1611</f>
        <v>77593</v>
      </c>
      <c r="J881" s="1" t="s">
        <v>828</v>
      </c>
      <c r="K881" s="8">
        <f>F881*I881/1000</f>
        <v>377.88</v>
      </c>
      <c r="N881" s="1" t="s">
        <v>794</v>
      </c>
      <c r="O881" s="1" t="s">
        <v>1442</v>
      </c>
      <c r="P881" s="8">
        <v>13.66</v>
      </c>
      <c r="R881" s="8" t="e">
        <f t="shared" si="119"/>
        <v>#VALUE!</v>
      </c>
      <c r="S881" s="217">
        <v>6.16</v>
      </c>
      <c r="T881" s="7" t="s">
        <v>1591</v>
      </c>
      <c r="U881" s="1" t="s">
        <v>1994</v>
      </c>
      <c r="V881" s="8">
        <f t="shared" ref="V881:V889" si="120">I881</f>
        <v>77593</v>
      </c>
      <c r="W881" s="1" t="s">
        <v>828</v>
      </c>
      <c r="X881" s="8">
        <f>S881*V881/1000</f>
        <v>477.97</v>
      </c>
      <c r="AE881" s="52">
        <f t="shared" si="112"/>
        <v>0</v>
      </c>
      <c r="AG881" s="1"/>
    </row>
    <row r="882" spans="2:33" ht="24" customHeight="1">
      <c r="F882" s="8">
        <v>3</v>
      </c>
      <c r="G882" s="7" t="s">
        <v>835</v>
      </c>
      <c r="H882" s="1" t="s">
        <v>1145</v>
      </c>
      <c r="I882" s="491">
        <f>I864</f>
        <v>14.8</v>
      </c>
      <c r="J882" s="1" t="s">
        <v>835</v>
      </c>
      <c r="K882" s="8">
        <f t="shared" ref="K882:K889" si="121">F882*I882</f>
        <v>44.4</v>
      </c>
      <c r="N882" s="1" t="s">
        <v>578</v>
      </c>
      <c r="O882" s="1" t="s">
        <v>1443</v>
      </c>
      <c r="P882" s="8">
        <v>25.46</v>
      </c>
      <c r="R882" s="8" t="e">
        <f t="shared" si="119"/>
        <v>#VALUE!</v>
      </c>
      <c r="S882" s="8">
        <v>3</v>
      </c>
      <c r="T882" s="7" t="s">
        <v>835</v>
      </c>
      <c r="U882" s="1" t="s">
        <v>1145</v>
      </c>
      <c r="V882" s="8">
        <f t="shared" si="120"/>
        <v>14.8</v>
      </c>
      <c r="W882" s="1" t="s">
        <v>835</v>
      </c>
      <c r="X882" s="8">
        <f t="shared" ref="X882:X889" si="122">S882*V882</f>
        <v>44.4</v>
      </c>
      <c r="AE882" s="52">
        <f t="shared" si="112"/>
        <v>0</v>
      </c>
      <c r="AG882" s="1"/>
    </row>
    <row r="883" spans="2:33" ht="24" customHeight="1">
      <c r="F883" s="8">
        <v>12</v>
      </c>
      <c r="G883" s="7" t="s">
        <v>835</v>
      </c>
      <c r="H883" s="1" t="s">
        <v>1146</v>
      </c>
      <c r="I883" s="491">
        <f>I865</f>
        <v>2</v>
      </c>
      <c r="J883" s="1" t="s">
        <v>835</v>
      </c>
      <c r="K883" s="8">
        <f t="shared" si="121"/>
        <v>24</v>
      </c>
      <c r="N883" s="1" t="s">
        <v>835</v>
      </c>
      <c r="O883" s="1" t="s">
        <v>1269</v>
      </c>
      <c r="P883" s="8">
        <v>0.5</v>
      </c>
      <c r="R883" s="8" t="e">
        <f t="shared" si="119"/>
        <v>#VALUE!</v>
      </c>
      <c r="S883" s="8">
        <v>12</v>
      </c>
      <c r="T883" s="7" t="s">
        <v>835</v>
      </c>
      <c r="U883" s="1" t="s">
        <v>1146</v>
      </c>
      <c r="V883" s="8">
        <f t="shared" si="120"/>
        <v>2</v>
      </c>
      <c r="W883" s="1" t="s">
        <v>835</v>
      </c>
      <c r="X883" s="8">
        <f t="shared" si="122"/>
        <v>24</v>
      </c>
      <c r="AE883" s="52">
        <f t="shared" si="112"/>
        <v>0</v>
      </c>
      <c r="AG883" s="1"/>
    </row>
    <row r="884" spans="2:33" ht="24" customHeight="1">
      <c r="F884" s="8">
        <v>2</v>
      </c>
      <c r="G884" s="7" t="s">
        <v>835</v>
      </c>
      <c r="H884" s="1" t="s">
        <v>1147</v>
      </c>
      <c r="I884" s="491">
        <f>I866</f>
        <v>4.9000000000000004</v>
      </c>
      <c r="J884" s="1" t="s">
        <v>835</v>
      </c>
      <c r="K884" s="8">
        <f t="shared" si="121"/>
        <v>9.8000000000000007</v>
      </c>
      <c r="R884" s="8">
        <v>0.97</v>
      </c>
      <c r="S884" s="8">
        <v>2</v>
      </c>
      <c r="T884" s="7" t="s">
        <v>835</v>
      </c>
      <c r="U884" s="1" t="s">
        <v>1147</v>
      </c>
      <c r="V884" s="8">
        <f t="shared" si="120"/>
        <v>4.9000000000000004</v>
      </c>
      <c r="W884" s="1" t="s">
        <v>835</v>
      </c>
      <c r="X884" s="8">
        <f t="shared" si="122"/>
        <v>9.8000000000000007</v>
      </c>
      <c r="AE884" s="52">
        <f t="shared" si="112"/>
        <v>0</v>
      </c>
      <c r="AG884" s="1"/>
    </row>
    <row r="885" spans="2:33" ht="24" customHeight="1">
      <c r="F885" s="8">
        <v>6</v>
      </c>
      <c r="G885" s="7" t="s">
        <v>835</v>
      </c>
      <c r="H885" s="1" t="s">
        <v>2138</v>
      </c>
      <c r="I885" s="491">
        <f>I867</f>
        <v>4.45</v>
      </c>
      <c r="J885" s="1" t="s">
        <v>835</v>
      </c>
      <c r="K885" s="8">
        <f t="shared" si="121"/>
        <v>26.7</v>
      </c>
      <c r="R885" s="5" t="s">
        <v>1530</v>
      </c>
      <c r="S885" s="8">
        <v>6</v>
      </c>
      <c r="T885" s="7" t="s">
        <v>835</v>
      </c>
      <c r="U885" s="1" t="s">
        <v>2138</v>
      </c>
      <c r="V885" s="8">
        <f t="shared" si="120"/>
        <v>4.45</v>
      </c>
      <c r="W885" s="1" t="s">
        <v>835</v>
      </c>
      <c r="X885" s="8">
        <f t="shared" si="122"/>
        <v>26.7</v>
      </c>
      <c r="AE885" s="52">
        <f t="shared" si="112"/>
        <v>0</v>
      </c>
      <c r="AG885" s="1"/>
    </row>
    <row r="886" spans="2:33" ht="24" customHeight="1">
      <c r="F886" s="8">
        <v>1</v>
      </c>
      <c r="G886" s="7" t="s">
        <v>835</v>
      </c>
      <c r="H886" s="1" t="s">
        <v>1149</v>
      </c>
      <c r="I886" s="8">
        <f>C10</f>
        <v>861</v>
      </c>
      <c r="J886" s="1" t="s">
        <v>835</v>
      </c>
      <c r="K886" s="8">
        <f t="shared" si="121"/>
        <v>861</v>
      </c>
      <c r="O886" s="2" t="s">
        <v>1270</v>
      </c>
      <c r="R886" s="8" t="e">
        <f>SUM(R874:R884)</f>
        <v>#VALUE!</v>
      </c>
      <c r="S886" s="8">
        <v>1</v>
      </c>
      <c r="T886" s="7" t="s">
        <v>835</v>
      </c>
      <c r="U886" s="1" t="s">
        <v>1149</v>
      </c>
      <c r="V886" s="8">
        <f t="shared" si="120"/>
        <v>861</v>
      </c>
      <c r="W886" s="1" t="s">
        <v>835</v>
      </c>
      <c r="X886" s="8">
        <f t="shared" si="122"/>
        <v>861</v>
      </c>
      <c r="AE886" s="52">
        <f t="shared" si="112"/>
        <v>0</v>
      </c>
      <c r="AG886" s="1"/>
    </row>
    <row r="887" spans="2:33" ht="24" customHeight="1">
      <c r="F887" s="8">
        <v>1</v>
      </c>
      <c r="G887" s="7" t="s">
        <v>835</v>
      </c>
      <c r="H887" s="1" t="s">
        <v>1150</v>
      </c>
      <c r="I887" s="8">
        <f>C12</f>
        <v>562</v>
      </c>
      <c r="J887" s="1" t="s">
        <v>835</v>
      </c>
      <c r="K887" s="8">
        <f t="shared" si="121"/>
        <v>562</v>
      </c>
      <c r="R887" s="5" t="s">
        <v>1530</v>
      </c>
      <c r="S887" s="8">
        <v>1</v>
      </c>
      <c r="T887" s="7" t="s">
        <v>835</v>
      </c>
      <c r="U887" s="1" t="s">
        <v>1150</v>
      </c>
      <c r="V887" s="8">
        <f t="shared" si="120"/>
        <v>562</v>
      </c>
      <c r="W887" s="1" t="s">
        <v>835</v>
      </c>
      <c r="X887" s="8">
        <f t="shared" si="122"/>
        <v>562</v>
      </c>
      <c r="AE887" s="52" t="str">
        <f t="shared" si="112"/>
        <v>|</v>
      </c>
      <c r="AG887" s="1" t="s">
        <v>2175</v>
      </c>
    </row>
    <row r="888" spans="2:33" ht="24" customHeight="1">
      <c r="F888" s="8">
        <v>1</v>
      </c>
      <c r="G888" s="7" t="s">
        <v>835</v>
      </c>
      <c r="H888" s="1" t="s">
        <v>1151</v>
      </c>
      <c r="I888" s="494">
        <v>25</v>
      </c>
      <c r="J888" s="1" t="s">
        <v>835</v>
      </c>
      <c r="K888" s="8">
        <f t="shared" si="121"/>
        <v>25</v>
      </c>
      <c r="S888" s="8">
        <v>1</v>
      </c>
      <c r="T888" s="7" t="s">
        <v>835</v>
      </c>
      <c r="U888" s="1" t="s">
        <v>1151</v>
      </c>
      <c r="V888" s="8">
        <f t="shared" si="120"/>
        <v>25</v>
      </c>
      <c r="W888" s="1" t="s">
        <v>835</v>
      </c>
      <c r="X888" s="8">
        <f t="shared" si="122"/>
        <v>25</v>
      </c>
      <c r="AE888" s="52" t="str">
        <f t="shared" si="112"/>
        <v>|</v>
      </c>
      <c r="AG888" s="1" t="s">
        <v>2175</v>
      </c>
    </row>
    <row r="889" spans="2:33" ht="24" customHeight="1">
      <c r="F889" s="8">
        <v>0.5</v>
      </c>
      <c r="G889" s="7" t="s">
        <v>835</v>
      </c>
      <c r="H889" s="1" t="s">
        <v>1152</v>
      </c>
      <c r="I889" s="8">
        <f>C13</f>
        <v>461</v>
      </c>
      <c r="J889" s="1" t="s">
        <v>835</v>
      </c>
      <c r="K889" s="8">
        <f t="shared" si="121"/>
        <v>230.5</v>
      </c>
      <c r="M889" s="2" t="s">
        <v>1065</v>
      </c>
      <c r="N889" s="1" t="s">
        <v>2167</v>
      </c>
      <c r="O889" s="1" t="s">
        <v>1066</v>
      </c>
      <c r="S889" s="8">
        <v>0.5</v>
      </c>
      <c r="T889" s="7" t="s">
        <v>835</v>
      </c>
      <c r="U889" s="1" t="s">
        <v>1152</v>
      </c>
      <c r="V889" s="8">
        <f t="shared" si="120"/>
        <v>461</v>
      </c>
      <c r="W889" s="1" t="s">
        <v>835</v>
      </c>
      <c r="X889" s="8">
        <f t="shared" si="122"/>
        <v>230.5</v>
      </c>
      <c r="AE889" s="52" t="str">
        <f t="shared" si="112"/>
        <v>|</v>
      </c>
      <c r="AG889" s="1" t="s">
        <v>2175</v>
      </c>
    </row>
    <row r="890" spans="2:33" ht="24" customHeight="1">
      <c r="G890" s="7" t="s">
        <v>419</v>
      </c>
      <c r="H890" s="1" t="s">
        <v>2058</v>
      </c>
      <c r="J890" s="1" t="s">
        <v>419</v>
      </c>
      <c r="K890" s="8">
        <v>1.98</v>
      </c>
      <c r="O890" s="1" t="s">
        <v>549</v>
      </c>
      <c r="S890"/>
      <c r="T890" s="7" t="s">
        <v>419</v>
      </c>
      <c r="U890" s="1" t="s">
        <v>2058</v>
      </c>
      <c r="W890" s="1" t="s">
        <v>419</v>
      </c>
      <c r="X890" s="8">
        <v>0.27</v>
      </c>
      <c r="AE890" s="52" t="str">
        <f t="shared" si="112"/>
        <v>|</v>
      </c>
      <c r="AG890" s="1" t="s">
        <v>2175</v>
      </c>
    </row>
    <row r="891" spans="2:33" ht="24" customHeight="1">
      <c r="K891" s="5" t="s">
        <v>1530</v>
      </c>
      <c r="O891" s="5" t="s">
        <v>1530</v>
      </c>
      <c r="P891" s="5" t="s">
        <v>1530</v>
      </c>
      <c r="S891"/>
      <c r="T891" s="3"/>
      <c r="W891" s="11"/>
      <c r="X891" s="5" t="s">
        <v>1530</v>
      </c>
      <c r="AE891" s="52" t="str">
        <f t="shared" si="112"/>
        <v>|</v>
      </c>
      <c r="AG891" s="1" t="s">
        <v>2175</v>
      </c>
    </row>
    <row r="892" spans="2:33" ht="24" customHeight="1">
      <c r="H892" s="59" t="s">
        <v>266</v>
      </c>
      <c r="K892" s="39">
        <f>SUM(K880:K890)</f>
        <v>2442.37</v>
      </c>
      <c r="L892">
        <f>K892-1729</f>
        <v>713.37</v>
      </c>
      <c r="O892" s="1" t="s">
        <v>550</v>
      </c>
      <c r="S892"/>
      <c r="T892" s="3"/>
      <c r="U892" s="59" t="s">
        <v>266</v>
      </c>
      <c r="W892" s="11"/>
      <c r="X892" s="39">
        <f>SUM(X880:X890)</f>
        <v>2676.52</v>
      </c>
      <c r="AE892" s="52" t="str">
        <f t="shared" si="112"/>
        <v>|</v>
      </c>
      <c r="AG892" s="1" t="s">
        <v>2175</v>
      </c>
    </row>
    <row r="893" spans="2:33" ht="24" customHeight="1">
      <c r="K893" s="5" t="s">
        <v>1530</v>
      </c>
      <c r="M893" s="8">
        <v>0.5</v>
      </c>
      <c r="N893" s="2" t="s">
        <v>739</v>
      </c>
      <c r="O893" s="1" t="s">
        <v>73</v>
      </c>
      <c r="P893" s="8">
        <f>C16</f>
        <v>842</v>
      </c>
      <c r="Q893" s="2" t="s">
        <v>1658</v>
      </c>
      <c r="R893" s="8">
        <f>(M893*P893)</f>
        <v>421</v>
      </c>
      <c r="AE893" s="52" t="str">
        <f t="shared" si="112"/>
        <v>|</v>
      </c>
      <c r="AG893" s="1" t="s">
        <v>2175</v>
      </c>
    </row>
    <row r="894" spans="2:33" ht="24" customHeight="1">
      <c r="F894" s="2"/>
      <c r="G894" s="7" t="s">
        <v>486</v>
      </c>
      <c r="H894" s="2" t="s">
        <v>532</v>
      </c>
      <c r="K894">
        <f>K892-1800.2</f>
        <v>642.16999999999996</v>
      </c>
      <c r="M894" s="8">
        <v>0.25</v>
      </c>
      <c r="N894" s="2" t="s">
        <v>739</v>
      </c>
      <c r="O894" s="1" t="s">
        <v>845</v>
      </c>
      <c r="P894" s="8">
        <f>C12</f>
        <v>562</v>
      </c>
      <c r="Q894" s="2" t="s">
        <v>1658</v>
      </c>
      <c r="R894" s="8">
        <f>(M894*P894)</f>
        <v>140.5</v>
      </c>
      <c r="S894"/>
      <c r="T894" s="7" t="s">
        <v>295</v>
      </c>
      <c r="U894" s="2" t="s">
        <v>3679</v>
      </c>
      <c r="W894" s="11"/>
      <c r="AE894" s="52" t="str">
        <f t="shared" si="112"/>
        <v>|</v>
      </c>
      <c r="AG894" s="1" t="s">
        <v>2175</v>
      </c>
    </row>
    <row r="895" spans="2:33" ht="24" customHeight="1">
      <c r="H895" s="2" t="s">
        <v>1724</v>
      </c>
      <c r="R895" s="5" t="s">
        <v>1530</v>
      </c>
      <c r="S895"/>
      <c r="T895" s="3"/>
      <c r="U895" s="2" t="s">
        <v>1724</v>
      </c>
      <c r="W895" s="11"/>
      <c r="AE895" s="52" t="str">
        <f t="shared" si="112"/>
        <v>|</v>
      </c>
      <c r="AG895" s="1" t="s">
        <v>2175</v>
      </c>
    </row>
    <row r="896" spans="2:33" ht="24" customHeight="1">
      <c r="F896" s="15">
        <v>3.5299999999999998E-2</v>
      </c>
      <c r="G896" s="7" t="s">
        <v>836</v>
      </c>
      <c r="H896" s="1" t="s">
        <v>1993</v>
      </c>
      <c r="I896" s="8">
        <f t="shared" ref="I896:I901" si="123">I880</f>
        <v>7584.57</v>
      </c>
      <c r="J896" s="1" t="s">
        <v>836</v>
      </c>
      <c r="K896" s="8">
        <f>F896*I896</f>
        <v>267.74</v>
      </c>
      <c r="O896" s="2" t="s">
        <v>1123</v>
      </c>
      <c r="R896" s="8">
        <f>SUM(R893:R894)</f>
        <v>561.5</v>
      </c>
      <c r="S896" s="15">
        <v>5.91E-2</v>
      </c>
      <c r="T896" s="7" t="s">
        <v>836</v>
      </c>
      <c r="U896" s="1" t="s">
        <v>1993</v>
      </c>
      <c r="V896" s="8">
        <f>V880</f>
        <v>7584.57</v>
      </c>
      <c r="W896" s="1" t="s">
        <v>836</v>
      </c>
      <c r="X896" s="8">
        <f>S896*V896</f>
        <v>448.25</v>
      </c>
      <c r="AE896" s="52" t="str">
        <f t="shared" si="112"/>
        <v>|</v>
      </c>
      <c r="AG896" s="1" t="s">
        <v>2175</v>
      </c>
    </row>
    <row r="897" spans="6:33" ht="24" customHeight="1">
      <c r="F897" s="8">
        <v>4.59</v>
      </c>
      <c r="G897" s="7" t="s">
        <v>1591</v>
      </c>
      <c r="H897" s="1" t="s">
        <v>1994</v>
      </c>
      <c r="I897" s="8">
        <f t="shared" si="123"/>
        <v>77593</v>
      </c>
      <c r="J897" s="1" t="s">
        <v>828</v>
      </c>
      <c r="K897" s="8">
        <f>F897*I897/1000</f>
        <v>356.15</v>
      </c>
      <c r="R897" s="5" t="s">
        <v>1530</v>
      </c>
      <c r="S897" s="217">
        <v>6.58</v>
      </c>
      <c r="T897" s="7" t="s">
        <v>1591</v>
      </c>
      <c r="U897" s="1" t="s">
        <v>1994</v>
      </c>
      <c r="V897" s="8">
        <f t="shared" ref="V897:V905" si="124">V881</f>
        <v>77593</v>
      </c>
      <c r="W897" s="1" t="s">
        <v>828</v>
      </c>
      <c r="X897" s="8">
        <f>S897*V897/1000</f>
        <v>510.56</v>
      </c>
      <c r="AE897" s="52" t="str">
        <f t="shared" si="112"/>
        <v>|</v>
      </c>
      <c r="AG897" s="1" t="s">
        <v>2175</v>
      </c>
    </row>
    <row r="898" spans="6:33" ht="24" customHeight="1">
      <c r="F898" s="8">
        <v>3</v>
      </c>
      <c r="G898" s="7" t="s">
        <v>835</v>
      </c>
      <c r="H898" s="1" t="s">
        <v>1145</v>
      </c>
      <c r="I898" s="491">
        <f t="shared" si="123"/>
        <v>14.8</v>
      </c>
      <c r="J898" s="1" t="s">
        <v>835</v>
      </c>
      <c r="K898" s="8">
        <f t="shared" ref="K898:K905" si="125">F898*I898</f>
        <v>44.4</v>
      </c>
      <c r="O898" s="2" t="s">
        <v>1124</v>
      </c>
      <c r="R898" s="8">
        <f>R896/0.0283</f>
        <v>19840.990000000002</v>
      </c>
      <c r="S898" s="8">
        <v>3</v>
      </c>
      <c r="T898" s="7" t="s">
        <v>835</v>
      </c>
      <c r="U898" s="1" t="s">
        <v>1145</v>
      </c>
      <c r="V898" s="8">
        <f t="shared" si="124"/>
        <v>14.8</v>
      </c>
      <c r="W898" s="1" t="s">
        <v>835</v>
      </c>
      <c r="X898" s="8">
        <f t="shared" ref="X898:X905" si="126">S898*V898</f>
        <v>44.4</v>
      </c>
      <c r="AE898" s="52" t="str">
        <f t="shared" si="112"/>
        <v>|</v>
      </c>
      <c r="AG898" s="1" t="s">
        <v>2175</v>
      </c>
    </row>
    <row r="899" spans="6:33" ht="24" customHeight="1">
      <c r="F899" s="8">
        <v>12</v>
      </c>
      <c r="G899" s="7" t="s">
        <v>835</v>
      </c>
      <c r="H899" s="1" t="s">
        <v>1146</v>
      </c>
      <c r="I899" s="491">
        <f t="shared" si="123"/>
        <v>2</v>
      </c>
      <c r="J899" s="1" t="s">
        <v>835</v>
      </c>
      <c r="K899" s="8">
        <f t="shared" si="125"/>
        <v>24</v>
      </c>
      <c r="R899" s="5" t="s">
        <v>1530</v>
      </c>
      <c r="S899" s="8">
        <v>12</v>
      </c>
      <c r="T899" s="7" t="s">
        <v>835</v>
      </c>
      <c r="U899" s="1" t="s">
        <v>1146</v>
      </c>
      <c r="V899" s="8">
        <f t="shared" si="124"/>
        <v>2</v>
      </c>
      <c r="W899" s="1" t="s">
        <v>835</v>
      </c>
      <c r="X899" s="8">
        <f t="shared" si="126"/>
        <v>24</v>
      </c>
      <c r="AE899" s="52" t="str">
        <f t="shared" ref="AE899:AE962" si="127">AG899</f>
        <v>|</v>
      </c>
      <c r="AG899" s="1" t="s">
        <v>2175</v>
      </c>
    </row>
    <row r="900" spans="6:33" ht="24" customHeight="1">
      <c r="F900" s="8">
        <v>2</v>
      </c>
      <c r="G900" s="7" t="s">
        <v>835</v>
      </c>
      <c r="H900" s="8" t="str">
        <f>H884</f>
        <v>TOWER BOLT RECEIVER</v>
      </c>
      <c r="I900" s="491">
        <f t="shared" si="123"/>
        <v>4.9000000000000004</v>
      </c>
      <c r="J900" s="1" t="s">
        <v>835</v>
      </c>
      <c r="K900" s="8">
        <f t="shared" si="125"/>
        <v>9.8000000000000007</v>
      </c>
      <c r="S900" s="8">
        <v>2</v>
      </c>
      <c r="T900" s="7" t="s">
        <v>835</v>
      </c>
      <c r="U900" s="1" t="s">
        <v>1147</v>
      </c>
      <c r="V900" s="8">
        <f t="shared" si="124"/>
        <v>4.9000000000000004</v>
      </c>
      <c r="W900" s="1" t="s">
        <v>835</v>
      </c>
      <c r="X900" s="8">
        <f t="shared" si="126"/>
        <v>9.8000000000000007</v>
      </c>
      <c r="AE900" s="52" t="str">
        <f t="shared" si="127"/>
        <v>|</v>
      </c>
      <c r="AG900" s="1" t="s">
        <v>2175</v>
      </c>
    </row>
    <row r="901" spans="6:33" ht="24" customHeight="1">
      <c r="F901" s="8">
        <v>6</v>
      </c>
      <c r="G901" s="7" t="s">
        <v>835</v>
      </c>
      <c r="H901" s="1" t="s">
        <v>2138</v>
      </c>
      <c r="I901" s="491">
        <f t="shared" si="123"/>
        <v>4.45</v>
      </c>
      <c r="J901" s="1" t="s">
        <v>835</v>
      </c>
      <c r="K901" s="8">
        <f t="shared" si="125"/>
        <v>26.7</v>
      </c>
      <c r="S901" s="8">
        <v>6</v>
      </c>
      <c r="T901" s="7" t="s">
        <v>835</v>
      </c>
      <c r="U901" s="1" t="s">
        <v>2138</v>
      </c>
      <c r="V901" s="8">
        <f t="shared" si="124"/>
        <v>4.45</v>
      </c>
      <c r="W901" s="1" t="s">
        <v>835</v>
      </c>
      <c r="X901" s="8">
        <f t="shared" si="126"/>
        <v>26.7</v>
      </c>
      <c r="AE901" s="52" t="str">
        <f t="shared" si="127"/>
        <v>|</v>
      </c>
      <c r="AG901" s="1" t="s">
        <v>2175</v>
      </c>
    </row>
    <row r="902" spans="6:33" ht="24" customHeight="1">
      <c r="F902" s="8">
        <v>1</v>
      </c>
      <c r="G902" s="7" t="s">
        <v>835</v>
      </c>
      <c r="H902" s="1" t="s">
        <v>1149</v>
      </c>
      <c r="I902" s="8">
        <f>C10</f>
        <v>861</v>
      </c>
      <c r="J902" s="1" t="s">
        <v>835</v>
      </c>
      <c r="K902" s="8">
        <f t="shared" si="125"/>
        <v>861</v>
      </c>
      <c r="S902" s="8">
        <v>1</v>
      </c>
      <c r="T902" s="7" t="s">
        <v>835</v>
      </c>
      <c r="U902" s="1" t="s">
        <v>1149</v>
      </c>
      <c r="V902" s="8">
        <f t="shared" si="124"/>
        <v>861</v>
      </c>
      <c r="W902" s="1" t="s">
        <v>835</v>
      </c>
      <c r="X902" s="8">
        <f t="shared" si="126"/>
        <v>861</v>
      </c>
      <c r="AE902" s="52" t="str">
        <f t="shared" si="127"/>
        <v>|</v>
      </c>
      <c r="AG902" s="1" t="s">
        <v>2175</v>
      </c>
    </row>
    <row r="903" spans="6:33" ht="24" customHeight="1">
      <c r="F903" s="8">
        <v>1</v>
      </c>
      <c r="G903" s="7" t="s">
        <v>835</v>
      </c>
      <c r="H903" s="1" t="s">
        <v>1150</v>
      </c>
      <c r="I903" s="8">
        <f>C12</f>
        <v>562</v>
      </c>
      <c r="J903" s="1" t="s">
        <v>835</v>
      </c>
      <c r="K903" s="8">
        <f t="shared" si="125"/>
        <v>562</v>
      </c>
      <c r="S903" s="8">
        <v>1</v>
      </c>
      <c r="T903" s="7" t="s">
        <v>835</v>
      </c>
      <c r="U903" s="1" t="s">
        <v>1150</v>
      </c>
      <c r="V903" s="8">
        <f t="shared" si="124"/>
        <v>562</v>
      </c>
      <c r="W903" s="1" t="s">
        <v>835</v>
      </c>
      <c r="X903" s="8">
        <f t="shared" si="126"/>
        <v>562</v>
      </c>
      <c r="AE903" s="52" t="str">
        <f t="shared" si="127"/>
        <v>|</v>
      </c>
      <c r="AG903" s="1" t="s">
        <v>2175</v>
      </c>
    </row>
    <row r="904" spans="6:33" ht="101.25" customHeight="1">
      <c r="F904" s="8">
        <v>1</v>
      </c>
      <c r="G904" s="7" t="s">
        <v>835</v>
      </c>
      <c r="H904" s="8" t="str">
        <f>H888</f>
        <v>MOULDING CHARGES</v>
      </c>
      <c r="I904" s="492">
        <v>25</v>
      </c>
      <c r="J904" s="1" t="s">
        <v>835</v>
      </c>
      <c r="K904" s="8">
        <f t="shared" si="125"/>
        <v>25</v>
      </c>
      <c r="S904" s="8">
        <v>1</v>
      </c>
      <c r="T904" s="7" t="s">
        <v>835</v>
      </c>
      <c r="U904" s="1" t="s">
        <v>1151</v>
      </c>
      <c r="V904" s="8">
        <f t="shared" si="124"/>
        <v>25</v>
      </c>
      <c r="W904" s="1" t="s">
        <v>835</v>
      </c>
      <c r="X904" s="8">
        <f t="shared" si="126"/>
        <v>25</v>
      </c>
      <c r="AE904" s="52">
        <f t="shared" si="127"/>
        <v>0</v>
      </c>
    </row>
    <row r="905" spans="6:33" ht="24" customHeight="1">
      <c r="F905" s="8">
        <v>0.5</v>
      </c>
      <c r="G905" s="7" t="s">
        <v>835</v>
      </c>
      <c r="H905" s="1" t="s">
        <v>1152</v>
      </c>
      <c r="I905" s="8">
        <f>C13</f>
        <v>461</v>
      </c>
      <c r="J905" s="1" t="s">
        <v>835</v>
      </c>
      <c r="K905" s="8">
        <f t="shared" si="125"/>
        <v>230.5</v>
      </c>
      <c r="M905" s="8">
        <v>11.64</v>
      </c>
      <c r="N905" s="1" t="s">
        <v>794</v>
      </c>
      <c r="O905" s="1" t="s">
        <v>1442</v>
      </c>
      <c r="P905" s="8">
        <v>13.66</v>
      </c>
      <c r="R905" s="8">
        <f>(M905*P905)</f>
        <v>159</v>
      </c>
      <c r="S905" s="8">
        <v>0.5</v>
      </c>
      <c r="T905" s="7" t="s">
        <v>835</v>
      </c>
      <c r="U905" s="1" t="s">
        <v>1152</v>
      </c>
      <c r="V905" s="8">
        <f t="shared" si="124"/>
        <v>461</v>
      </c>
      <c r="W905" s="1" t="s">
        <v>835</v>
      </c>
      <c r="X905" s="8">
        <f t="shared" si="126"/>
        <v>230.5</v>
      </c>
      <c r="AE905" s="52">
        <f t="shared" si="127"/>
        <v>0</v>
      </c>
    </row>
    <row r="906" spans="6:33" ht="24" customHeight="1">
      <c r="G906" s="7" t="s">
        <v>419</v>
      </c>
      <c r="H906" s="1" t="s">
        <v>2058</v>
      </c>
      <c r="J906" s="1" t="s">
        <v>419</v>
      </c>
      <c r="K906" s="8">
        <v>1.39</v>
      </c>
      <c r="M906" s="16">
        <v>1.62</v>
      </c>
      <c r="N906" s="1" t="s">
        <v>578</v>
      </c>
      <c r="O906" s="1" t="s">
        <v>1443</v>
      </c>
      <c r="P906" s="8">
        <v>25.46</v>
      </c>
      <c r="R906" s="8">
        <f>(M906*P906)</f>
        <v>41.25</v>
      </c>
      <c r="S906"/>
      <c r="T906" s="7" t="s">
        <v>419</v>
      </c>
      <c r="U906" s="1" t="s">
        <v>2058</v>
      </c>
      <c r="W906" s="1" t="s">
        <v>419</v>
      </c>
      <c r="X906" s="8">
        <v>0.21</v>
      </c>
      <c r="AE906" s="52">
        <f t="shared" si="127"/>
        <v>0</v>
      </c>
    </row>
    <row r="907" spans="6:33" ht="24" customHeight="1">
      <c r="K907" s="5" t="s">
        <v>1530</v>
      </c>
      <c r="M907" s="8">
        <v>48</v>
      </c>
      <c r="N907" s="1" t="s">
        <v>835</v>
      </c>
      <c r="O907" s="1" t="s">
        <v>1269</v>
      </c>
      <c r="P907" s="8">
        <v>0.5</v>
      </c>
      <c r="R907" s="8">
        <f>(M907*P907)</f>
        <v>24</v>
      </c>
      <c r="S907"/>
      <c r="T907" s="3"/>
      <c r="W907" s="11"/>
      <c r="X907" s="5" t="s">
        <v>1530</v>
      </c>
      <c r="AE907" s="52">
        <f t="shared" si="127"/>
        <v>0</v>
      </c>
    </row>
    <row r="908" spans="6:33" ht="24" customHeight="1">
      <c r="H908" s="59" t="s">
        <v>266</v>
      </c>
      <c r="K908" s="39">
        <f>SUM(K896:K906)</f>
        <v>2408.6799999999998</v>
      </c>
      <c r="R908" s="8">
        <v>0.23</v>
      </c>
      <c r="S908"/>
      <c r="T908" s="3"/>
      <c r="U908" s="59" t="s">
        <v>266</v>
      </c>
      <c r="W908" s="11"/>
      <c r="X908" s="39">
        <f>SUM(X896:X906)</f>
        <v>2742.42</v>
      </c>
      <c r="AE908" s="52">
        <f t="shared" si="127"/>
        <v>0</v>
      </c>
    </row>
    <row r="909" spans="6:33" ht="24" customHeight="1">
      <c r="K909" s="5" t="s">
        <v>1530</v>
      </c>
      <c r="AE909" s="52">
        <f t="shared" si="127"/>
        <v>0</v>
      </c>
    </row>
    <row r="910" spans="6:33" ht="24" customHeight="1">
      <c r="R910" s="5" t="s">
        <v>1530</v>
      </c>
      <c r="AE910" s="52">
        <f t="shared" si="127"/>
        <v>0</v>
      </c>
    </row>
    <row r="911" spans="6:33" ht="55.5" customHeight="1">
      <c r="F911" s="35">
        <v>21.3</v>
      </c>
      <c r="G911" s="7" t="s">
        <v>2167</v>
      </c>
      <c r="H911" s="36" t="s">
        <v>1668</v>
      </c>
      <c r="O911" s="2" t="s">
        <v>1270</v>
      </c>
      <c r="R911" s="8">
        <f>SUM(R905:R908)</f>
        <v>224.48</v>
      </c>
      <c r="AE911" s="52">
        <f t="shared" si="127"/>
        <v>0</v>
      </c>
    </row>
    <row r="912" spans="6:33" ht="24" customHeight="1">
      <c r="H912" s="1" t="s">
        <v>2176</v>
      </c>
      <c r="AE912" s="52">
        <f t="shared" si="127"/>
        <v>0</v>
      </c>
    </row>
    <row r="913" spans="6:33" ht="24" customHeight="1">
      <c r="H913" s="5" t="s">
        <v>1530</v>
      </c>
      <c r="J913" s="11" t="s">
        <v>1256</v>
      </c>
      <c r="AE913" s="52">
        <f t="shared" si="127"/>
        <v>0</v>
      </c>
    </row>
    <row r="914" spans="6:33" ht="24" customHeight="1">
      <c r="AE914" s="52">
        <f t="shared" si="127"/>
        <v>0</v>
      </c>
    </row>
    <row r="915" spans="6:33" ht="24" customHeight="1">
      <c r="H915" s="512" t="s">
        <v>4737</v>
      </c>
      <c r="J915" s="1" t="s">
        <v>578</v>
      </c>
      <c r="K915" s="440">
        <v>2034</v>
      </c>
      <c r="AE915" s="52">
        <f t="shared" si="127"/>
        <v>0</v>
      </c>
    </row>
    <row r="916" spans="6:33" ht="24" customHeight="1">
      <c r="F916" s="1" t="s">
        <v>940</v>
      </c>
      <c r="AE916" s="52">
        <f t="shared" si="127"/>
        <v>0</v>
      </c>
    </row>
    <row r="917" spans="6:33" ht="24" customHeight="1">
      <c r="H917" s="2" t="s">
        <v>2177</v>
      </c>
      <c r="K917" s="5" t="s">
        <v>1980</v>
      </c>
      <c r="AE917" s="52">
        <f t="shared" si="127"/>
        <v>0</v>
      </c>
    </row>
    <row r="918" spans="6:33" ht="24" customHeight="1">
      <c r="H918" s="2" t="s">
        <v>1313</v>
      </c>
      <c r="AE918" s="52">
        <f t="shared" si="127"/>
        <v>0</v>
      </c>
    </row>
    <row r="919" spans="6:33" ht="24" customHeight="1">
      <c r="F919" s="31">
        <v>21.2</v>
      </c>
      <c r="H919" s="37" t="s">
        <v>1669</v>
      </c>
      <c r="AE919" s="52">
        <f t="shared" si="127"/>
        <v>0</v>
      </c>
    </row>
    <row r="920" spans="6:33" ht="24" customHeight="1">
      <c r="F920" s="31"/>
      <c r="H920" s="5" t="s">
        <v>1530</v>
      </c>
      <c r="AE920" s="52" t="str">
        <f t="shared" si="127"/>
        <v>|</v>
      </c>
      <c r="AG920" s="1" t="s">
        <v>2175</v>
      </c>
    </row>
    <row r="921" spans="6:33" ht="24" customHeight="1">
      <c r="G921" s="7" t="s">
        <v>152</v>
      </c>
      <c r="H921" s="1" t="s">
        <v>1314</v>
      </c>
      <c r="K921" s="1" t="s">
        <v>940</v>
      </c>
      <c r="AE921" s="52" t="str">
        <f t="shared" si="127"/>
        <v>|</v>
      </c>
      <c r="AG921" s="1" t="s">
        <v>2175</v>
      </c>
    </row>
    <row r="922" spans="6:33" ht="24" customHeight="1">
      <c r="H922" s="5" t="s">
        <v>1530</v>
      </c>
      <c r="K922" s="1" t="s">
        <v>940</v>
      </c>
      <c r="AE922" s="52" t="str">
        <f t="shared" si="127"/>
        <v>|</v>
      </c>
      <c r="AG922" s="1" t="s">
        <v>2175</v>
      </c>
    </row>
    <row r="923" spans="6:33" ht="24" customHeight="1">
      <c r="F923" s="8">
        <v>1</v>
      </c>
      <c r="G923" s="7" t="s">
        <v>836</v>
      </c>
      <c r="H923" s="1" t="s">
        <v>1514</v>
      </c>
      <c r="I923" s="8">
        <f>C30</f>
        <v>11800</v>
      </c>
      <c r="J923" s="1" t="s">
        <v>836</v>
      </c>
      <c r="K923" s="8">
        <f>(F923*I923)</f>
        <v>11800</v>
      </c>
      <c r="AE923" s="52" t="str">
        <f t="shared" si="127"/>
        <v>|</v>
      </c>
      <c r="AG923" s="1" t="s">
        <v>2175</v>
      </c>
    </row>
    <row r="924" spans="6:33" ht="24" customHeight="1">
      <c r="F924" s="8">
        <v>1</v>
      </c>
      <c r="G924" s="7" t="s">
        <v>836</v>
      </c>
      <c r="H924" s="1" t="s">
        <v>1314</v>
      </c>
      <c r="I924" s="8">
        <f>C91</f>
        <v>111600</v>
      </c>
      <c r="J924" s="1" t="s">
        <v>836</v>
      </c>
      <c r="K924" s="8">
        <f>(F924*I924)</f>
        <v>111600</v>
      </c>
      <c r="AE924" s="52" t="str">
        <f t="shared" si="127"/>
        <v>|</v>
      </c>
      <c r="AG924" s="1" t="s">
        <v>2175</v>
      </c>
    </row>
    <row r="925" spans="6:33" ht="24" customHeight="1">
      <c r="K925" s="5" t="s">
        <v>1980</v>
      </c>
      <c r="AE925" s="52">
        <f t="shared" si="127"/>
        <v>0</v>
      </c>
    </row>
    <row r="926" spans="6:33" ht="24" customHeight="1">
      <c r="H926" s="1" t="s">
        <v>1515</v>
      </c>
      <c r="K926" s="39">
        <f>SUM(K923:K924)</f>
        <v>123400</v>
      </c>
      <c r="AE926" s="52" t="str">
        <f t="shared" si="127"/>
        <v>|</v>
      </c>
      <c r="AG926" s="1" t="s">
        <v>2175</v>
      </c>
    </row>
    <row r="927" spans="6:33" ht="24" customHeight="1">
      <c r="K927" s="5" t="s">
        <v>1980</v>
      </c>
      <c r="AE927" s="52" t="str">
        <f t="shared" si="127"/>
        <v>|</v>
      </c>
      <c r="AG927" s="1" t="s">
        <v>2175</v>
      </c>
    </row>
    <row r="928" spans="6:33" ht="24" customHeight="1">
      <c r="G928" s="7" t="s">
        <v>1500</v>
      </c>
      <c r="H928" s="1" t="s">
        <v>1516</v>
      </c>
      <c r="K928" s="1" t="s">
        <v>940</v>
      </c>
      <c r="AE928" s="52" t="str">
        <f t="shared" si="127"/>
        <v>|</v>
      </c>
      <c r="AG928" s="1" t="s">
        <v>2175</v>
      </c>
    </row>
    <row r="929" spans="6:33" ht="24" customHeight="1">
      <c r="H929" s="5" t="s">
        <v>1530</v>
      </c>
      <c r="M929" s="2" t="s">
        <v>533</v>
      </c>
      <c r="N929" s="7" t="s">
        <v>2167</v>
      </c>
      <c r="O929" s="1" t="s">
        <v>308</v>
      </c>
      <c r="Q929" s="11"/>
      <c r="AE929" s="52">
        <f t="shared" si="127"/>
        <v>0</v>
      </c>
      <c r="AG929" s="1"/>
    </row>
    <row r="930" spans="6:33" ht="24" customHeight="1">
      <c r="F930" s="8">
        <v>1</v>
      </c>
      <c r="G930" s="7" t="s">
        <v>836</v>
      </c>
      <c r="H930" s="1" t="s">
        <v>1514</v>
      </c>
      <c r="I930" s="8">
        <f>C30</f>
        <v>11800</v>
      </c>
      <c r="J930" s="1" t="s">
        <v>836</v>
      </c>
      <c r="K930" s="8">
        <f>(F930*I930)</f>
        <v>11800</v>
      </c>
      <c r="N930" s="3"/>
      <c r="O930" s="1" t="s">
        <v>241</v>
      </c>
      <c r="Q930" s="11"/>
      <c r="AE930" s="52" t="str">
        <f t="shared" si="127"/>
        <v>|</v>
      </c>
      <c r="AG930" s="1" t="s">
        <v>2175</v>
      </c>
    </row>
    <row r="931" spans="6:33" ht="24" customHeight="1">
      <c r="F931" s="8">
        <v>1</v>
      </c>
      <c r="G931" s="7" t="s">
        <v>836</v>
      </c>
      <c r="H931" s="1" t="s">
        <v>1314</v>
      </c>
      <c r="I931" s="8">
        <f>C92</f>
        <v>99400</v>
      </c>
      <c r="J931" s="1" t="s">
        <v>836</v>
      </c>
      <c r="K931" s="8">
        <f>(F931*I931)</f>
        <v>99400</v>
      </c>
      <c r="N931" s="3"/>
      <c r="O931" s="1" t="s">
        <v>1413</v>
      </c>
      <c r="Q931" s="11"/>
      <c r="AE931" s="52" t="str">
        <f t="shared" si="127"/>
        <v>|</v>
      </c>
      <c r="AG931" s="1" t="s">
        <v>2175</v>
      </c>
    </row>
    <row r="932" spans="6:33" ht="24" customHeight="1">
      <c r="K932" s="5" t="s">
        <v>1980</v>
      </c>
      <c r="N932" s="3"/>
      <c r="O932" s="5" t="s">
        <v>1530</v>
      </c>
      <c r="Q932" s="11"/>
      <c r="AE932" s="52" t="str">
        <f t="shared" si="127"/>
        <v>|</v>
      </c>
      <c r="AG932" s="1" t="s">
        <v>2175</v>
      </c>
    </row>
    <row r="933" spans="6:33" ht="24" customHeight="1">
      <c r="H933" s="1" t="s">
        <v>1517</v>
      </c>
      <c r="K933" s="39">
        <f>SUM(K930:K931)</f>
        <v>111200</v>
      </c>
      <c r="N933" s="3"/>
      <c r="O933" s="1" t="s">
        <v>87</v>
      </c>
      <c r="Q933" s="11"/>
      <c r="AE933" s="52" t="str">
        <f t="shared" si="127"/>
        <v>|</v>
      </c>
      <c r="AG933" s="1" t="s">
        <v>2175</v>
      </c>
    </row>
    <row r="934" spans="6:33" ht="24" customHeight="1">
      <c r="K934" s="5" t="s">
        <v>1980</v>
      </c>
      <c r="N934" s="3"/>
      <c r="O934" s="1" t="s">
        <v>88</v>
      </c>
      <c r="Q934" s="11"/>
      <c r="AE934" s="52" t="str">
        <f t="shared" si="127"/>
        <v>|</v>
      </c>
      <c r="AG934" s="1" t="s">
        <v>2175</v>
      </c>
    </row>
    <row r="935" spans="6:33" ht="24" customHeight="1">
      <c r="N935" s="3"/>
      <c r="Q935" s="1" t="s">
        <v>1530</v>
      </c>
      <c r="AE935" s="52" t="str">
        <f t="shared" si="127"/>
        <v>|</v>
      </c>
      <c r="AG935" s="1" t="s">
        <v>2175</v>
      </c>
    </row>
    <row r="936" spans="6:33" ht="24" customHeight="1">
      <c r="F936" s="2" t="s">
        <v>533</v>
      </c>
      <c r="G936" s="7" t="s">
        <v>2167</v>
      </c>
      <c r="H936" s="1" t="s">
        <v>240</v>
      </c>
      <c r="N936" s="3"/>
      <c r="O936" s="1" t="s">
        <v>1133</v>
      </c>
      <c r="Q936" s="11"/>
      <c r="AE936" s="52" t="str">
        <f t="shared" si="127"/>
        <v>|</v>
      </c>
      <c r="AG936" s="1" t="s">
        <v>2175</v>
      </c>
    </row>
    <row r="937" spans="6:33" ht="24" customHeight="1">
      <c r="H937" s="1" t="s">
        <v>241</v>
      </c>
      <c r="N937" s="3"/>
      <c r="O937" s="1" t="s">
        <v>1935</v>
      </c>
      <c r="Q937" s="11"/>
      <c r="R937" s="15">
        <v>2.4299999999999999E-2</v>
      </c>
      <c r="AE937" s="52" t="str">
        <f t="shared" si="127"/>
        <v>|</v>
      </c>
      <c r="AG937" s="1" t="s">
        <v>2175</v>
      </c>
    </row>
    <row r="938" spans="6:33" ht="24" customHeight="1">
      <c r="H938" s="1" t="s">
        <v>1413</v>
      </c>
      <c r="N938" s="3"/>
      <c r="Q938" s="1" t="s">
        <v>940</v>
      </c>
      <c r="R938" s="5" t="s">
        <v>1530</v>
      </c>
      <c r="AE938" s="52" t="str">
        <f t="shared" si="127"/>
        <v>|</v>
      </c>
      <c r="AG938" s="1" t="s">
        <v>2175</v>
      </c>
    </row>
    <row r="939" spans="6:33" ht="24" customHeight="1">
      <c r="H939" s="5" t="s">
        <v>1530</v>
      </c>
      <c r="N939" s="3"/>
      <c r="O939" s="1" t="s">
        <v>1936</v>
      </c>
      <c r="Q939" s="18" t="s">
        <v>940</v>
      </c>
      <c r="R939" s="15">
        <v>1.47E-2</v>
      </c>
      <c r="AE939" s="52" t="str">
        <f t="shared" si="127"/>
        <v>|</v>
      </c>
      <c r="AG939" s="1" t="s">
        <v>2175</v>
      </c>
    </row>
    <row r="940" spans="6:33" ht="24" customHeight="1">
      <c r="H940" s="1" t="s">
        <v>87</v>
      </c>
      <c r="N940" s="3"/>
      <c r="O940" s="1" t="s">
        <v>1709</v>
      </c>
      <c r="Q940" s="1" t="s">
        <v>940</v>
      </c>
      <c r="R940" s="15">
        <v>4.5999999999999999E-3</v>
      </c>
      <c r="AE940" s="52" t="str">
        <f t="shared" si="127"/>
        <v>|</v>
      </c>
      <c r="AG940" s="1" t="s">
        <v>2175</v>
      </c>
    </row>
    <row r="941" spans="6:33" ht="24" customHeight="1">
      <c r="H941" s="1" t="s">
        <v>88</v>
      </c>
      <c r="N941" s="3"/>
      <c r="Q941" s="11"/>
      <c r="R941" s="5" t="s">
        <v>1530</v>
      </c>
      <c r="AE941" s="52" t="str">
        <f t="shared" si="127"/>
        <v>|</v>
      </c>
      <c r="AG941" s="1" t="s">
        <v>2175</v>
      </c>
    </row>
    <row r="942" spans="6:33" ht="24" customHeight="1">
      <c r="J942" s="1" t="s">
        <v>1530</v>
      </c>
      <c r="N942" s="3"/>
      <c r="Q942" s="11"/>
      <c r="R942" s="15">
        <v>1.9300000000000001E-2</v>
      </c>
      <c r="AE942" s="52" t="str">
        <f t="shared" si="127"/>
        <v>|</v>
      </c>
      <c r="AG942" s="1" t="s">
        <v>2175</v>
      </c>
    </row>
    <row r="943" spans="6:33" ht="24" customHeight="1">
      <c r="H943" s="1" t="s">
        <v>1133</v>
      </c>
      <c r="N943" s="3"/>
      <c r="Q943" s="11"/>
      <c r="R943" s="5" t="s">
        <v>1530</v>
      </c>
      <c r="AE943" s="52" t="str">
        <f t="shared" si="127"/>
        <v>|</v>
      </c>
      <c r="AG943" s="1" t="s">
        <v>2175</v>
      </c>
    </row>
    <row r="944" spans="6:33" ht="24" customHeight="1">
      <c r="H944" s="1" t="s">
        <v>1935</v>
      </c>
      <c r="K944" s="15">
        <v>2.4299999999999999E-2</v>
      </c>
      <c r="N944" s="3"/>
      <c r="Q944" s="11"/>
      <c r="AE944" s="52" t="str">
        <f t="shared" si="127"/>
        <v>|</v>
      </c>
      <c r="AG944" s="1" t="s">
        <v>2175</v>
      </c>
    </row>
    <row r="945" spans="6:33" ht="24" customHeight="1">
      <c r="J945" s="1" t="s">
        <v>940</v>
      </c>
      <c r="K945" s="5" t="s">
        <v>1530</v>
      </c>
      <c r="N945" s="3"/>
      <c r="Q945" s="11"/>
      <c r="AE945" s="52" t="str">
        <f t="shared" si="127"/>
        <v>|</v>
      </c>
      <c r="AG945" s="1" t="s">
        <v>2175</v>
      </c>
    </row>
    <row r="946" spans="6:33" ht="24" customHeight="1">
      <c r="H946" s="1" t="s">
        <v>1936</v>
      </c>
      <c r="J946" s="18" t="s">
        <v>940</v>
      </c>
      <c r="K946" s="15">
        <v>1.47E-2</v>
      </c>
      <c r="M946" s="15">
        <v>1.14E-2</v>
      </c>
      <c r="N946" s="7" t="s">
        <v>836</v>
      </c>
      <c r="O946" s="1" t="s">
        <v>3805</v>
      </c>
      <c r="P946" s="8">
        <f>C89</f>
        <v>34300</v>
      </c>
      <c r="Q946" s="1" t="s">
        <v>836</v>
      </c>
      <c r="R946" s="8">
        <f>(M946*P946)</f>
        <v>391.02</v>
      </c>
      <c r="AE946" s="52" t="str">
        <f t="shared" si="127"/>
        <v>|</v>
      </c>
      <c r="AG946" s="1" t="s">
        <v>2175</v>
      </c>
    </row>
    <row r="947" spans="6:33" ht="24" customHeight="1">
      <c r="H947" s="1" t="s">
        <v>1709</v>
      </c>
      <c r="J947" s="1" t="s">
        <v>940</v>
      </c>
      <c r="K947" s="15">
        <v>4.5999999999999999E-3</v>
      </c>
      <c r="M947" s="15">
        <v>2.4299999999999999E-2</v>
      </c>
      <c r="N947" s="7" t="s">
        <v>836</v>
      </c>
      <c r="O947" s="1" t="s">
        <v>3806</v>
      </c>
      <c r="P947" s="8">
        <f>P946</f>
        <v>34300</v>
      </c>
      <c r="Q947" s="1" t="s">
        <v>836</v>
      </c>
      <c r="R947" s="8">
        <f>(M947*P947)</f>
        <v>833.49</v>
      </c>
      <c r="AE947" s="52" t="str">
        <f t="shared" si="127"/>
        <v>|</v>
      </c>
      <c r="AG947" s="1" t="s">
        <v>2175</v>
      </c>
    </row>
    <row r="948" spans="6:33" ht="24" customHeight="1">
      <c r="K948" s="5" t="s">
        <v>1530</v>
      </c>
      <c r="M948" s="15">
        <v>1.9300000000000001E-2</v>
      </c>
      <c r="N948" s="7" t="s">
        <v>836</v>
      </c>
      <c r="O948" s="1" t="s">
        <v>3807</v>
      </c>
      <c r="P948" s="8">
        <f>C90</f>
        <v>39400</v>
      </c>
      <c r="Q948" s="1" t="s">
        <v>836</v>
      </c>
      <c r="R948" s="8">
        <f>(M948*P948)</f>
        <v>760.42</v>
      </c>
      <c r="AE948" s="52" t="str">
        <f t="shared" si="127"/>
        <v>|</v>
      </c>
      <c r="AG948" s="1" t="s">
        <v>2175</v>
      </c>
    </row>
    <row r="949" spans="6:33" ht="24" customHeight="1">
      <c r="K949" s="15">
        <v>1.9300000000000001E-2</v>
      </c>
      <c r="M949" s="16"/>
      <c r="N949" s="3"/>
      <c r="O949" s="1"/>
      <c r="P949" s="1" t="s">
        <v>940</v>
      </c>
      <c r="Q949" s="11"/>
      <c r="R949" s="1" t="s">
        <v>940</v>
      </c>
      <c r="AE949" s="52">
        <f t="shared" si="127"/>
        <v>0</v>
      </c>
    </row>
    <row r="950" spans="6:33" ht="24" customHeight="1">
      <c r="K950" s="5" t="s">
        <v>1530</v>
      </c>
      <c r="M950" s="16">
        <v>1.823</v>
      </c>
      <c r="N950" s="7" t="s">
        <v>578</v>
      </c>
      <c r="O950" s="1" t="s">
        <v>417</v>
      </c>
      <c r="P950" s="8">
        <f>I957</f>
        <v>1325</v>
      </c>
      <c r="Q950" s="1" t="s">
        <v>578</v>
      </c>
      <c r="R950" s="8">
        <f t="shared" ref="R950:R956" si="128">(M950*P950)</f>
        <v>2415.48</v>
      </c>
      <c r="AE950" s="52">
        <f t="shared" si="127"/>
        <v>0</v>
      </c>
    </row>
    <row r="951" spans="6:33" ht="24" customHeight="1">
      <c r="M951" s="8">
        <v>1</v>
      </c>
      <c r="N951" s="7" t="s">
        <v>739</v>
      </c>
      <c r="O951" s="1" t="s">
        <v>1406</v>
      </c>
      <c r="P951" s="8">
        <f t="shared" ref="P951:P956" si="129">I958</f>
        <v>53.4</v>
      </c>
      <c r="Q951" s="1" t="s">
        <v>835</v>
      </c>
      <c r="R951" s="8">
        <f t="shared" si="128"/>
        <v>53.4</v>
      </c>
      <c r="AE951" s="52">
        <f t="shared" si="127"/>
        <v>0</v>
      </c>
    </row>
    <row r="952" spans="6:33" ht="24" customHeight="1">
      <c r="M952" s="8">
        <v>3</v>
      </c>
      <c r="N952" s="7" t="s">
        <v>835</v>
      </c>
      <c r="O952" s="1" t="s">
        <v>1407</v>
      </c>
      <c r="P952" s="8">
        <f t="shared" si="129"/>
        <v>83</v>
      </c>
      <c r="Q952" s="1" t="s">
        <v>835</v>
      </c>
      <c r="R952" s="8">
        <f t="shared" si="128"/>
        <v>249</v>
      </c>
      <c r="AE952" s="52">
        <f t="shared" si="127"/>
        <v>0</v>
      </c>
    </row>
    <row r="953" spans="6:33" ht="24" customHeight="1">
      <c r="F953" s="15">
        <v>1.14E-2</v>
      </c>
      <c r="G953" s="7" t="s">
        <v>836</v>
      </c>
      <c r="H953" s="1" t="s">
        <v>287</v>
      </c>
      <c r="I953" s="8">
        <f>C91</f>
        <v>111600</v>
      </c>
      <c r="J953" s="1" t="s">
        <v>836</v>
      </c>
      <c r="K953" s="8">
        <f>(F953*I953)</f>
        <v>1272.24</v>
      </c>
      <c r="M953" s="8">
        <v>2</v>
      </c>
      <c r="N953" s="7" t="s">
        <v>835</v>
      </c>
      <c r="O953" s="1" t="s">
        <v>1408</v>
      </c>
      <c r="P953" s="8">
        <f t="shared" si="129"/>
        <v>60</v>
      </c>
      <c r="Q953" s="1" t="s">
        <v>835</v>
      </c>
      <c r="R953" s="8">
        <f t="shared" si="128"/>
        <v>120</v>
      </c>
      <c r="AE953" s="52">
        <f t="shared" si="127"/>
        <v>0</v>
      </c>
    </row>
    <row r="954" spans="6:33" ht="24" customHeight="1">
      <c r="F954" s="15">
        <v>2.4299999999999999E-2</v>
      </c>
      <c r="G954" s="7" t="s">
        <v>836</v>
      </c>
      <c r="H954" s="1" t="s">
        <v>288</v>
      </c>
      <c r="I954" s="8">
        <f>C92</f>
        <v>99400</v>
      </c>
      <c r="J954" s="1" t="s">
        <v>836</v>
      </c>
      <c r="K954" s="8">
        <f>(F954*I954)</f>
        <v>2415.42</v>
      </c>
      <c r="M954" s="8">
        <v>1</v>
      </c>
      <c r="N954" s="7" t="s">
        <v>835</v>
      </c>
      <c r="O954" s="1" t="s">
        <v>1409</v>
      </c>
      <c r="P954" s="8">
        <f t="shared" si="129"/>
        <v>167.6</v>
      </c>
      <c r="Q954" s="1" t="s">
        <v>835</v>
      </c>
      <c r="R954" s="8">
        <f t="shared" si="128"/>
        <v>167.6</v>
      </c>
      <c r="AE954" s="52">
        <f t="shared" si="127"/>
        <v>0</v>
      </c>
    </row>
    <row r="955" spans="6:33" ht="24" customHeight="1">
      <c r="F955" s="15">
        <v>1.9300000000000001E-2</v>
      </c>
      <c r="G955" s="7" t="s">
        <v>836</v>
      </c>
      <c r="H955" s="1" t="s">
        <v>289</v>
      </c>
      <c r="I955" s="8">
        <f>C93</f>
        <v>95000</v>
      </c>
      <c r="J955" s="1" t="s">
        <v>836</v>
      </c>
      <c r="K955" s="8">
        <f>(F955*I955)</f>
        <v>1833.5</v>
      </c>
      <c r="M955" s="8">
        <v>1</v>
      </c>
      <c r="N955" s="7" t="s">
        <v>835</v>
      </c>
      <c r="O955" s="1" t="s">
        <v>1410</v>
      </c>
      <c r="P955" s="8">
        <f t="shared" si="129"/>
        <v>7.3</v>
      </c>
      <c r="Q955" s="1" t="s">
        <v>835</v>
      </c>
      <c r="R955" s="8">
        <f t="shared" si="128"/>
        <v>7.3</v>
      </c>
      <c r="AE955" s="52">
        <f t="shared" si="127"/>
        <v>0</v>
      </c>
    </row>
    <row r="956" spans="6:33" ht="24" customHeight="1">
      <c r="F956" s="16"/>
      <c r="H956" s="1" t="s">
        <v>416</v>
      </c>
      <c r="I956" s="1" t="s">
        <v>940</v>
      </c>
      <c r="K956" s="1" t="s">
        <v>940</v>
      </c>
      <c r="M956" s="8">
        <v>1</v>
      </c>
      <c r="N956" s="7" t="s">
        <v>835</v>
      </c>
      <c r="O956" s="1" t="s">
        <v>1913</v>
      </c>
      <c r="P956" s="8">
        <f t="shared" si="129"/>
        <v>45.9</v>
      </c>
      <c r="Q956" s="1" t="s">
        <v>835</v>
      </c>
      <c r="R956" s="8">
        <f t="shared" si="128"/>
        <v>45.9</v>
      </c>
      <c r="AE956" s="52">
        <f t="shared" si="127"/>
        <v>0</v>
      </c>
    </row>
    <row r="957" spans="6:33" ht="24" customHeight="1">
      <c r="F957" s="16">
        <v>1.823</v>
      </c>
      <c r="G957" s="7" t="s">
        <v>578</v>
      </c>
      <c r="H957" s="1" t="s">
        <v>417</v>
      </c>
      <c r="I957" s="8">
        <f>C31</f>
        <v>1325</v>
      </c>
      <c r="J957" s="1" t="s">
        <v>578</v>
      </c>
      <c r="K957" s="8">
        <f t="shared" ref="K957:K964" si="130">(F957*I957)</f>
        <v>2415.48</v>
      </c>
      <c r="N957" s="3"/>
      <c r="Q957" s="11"/>
      <c r="R957" s="5" t="s">
        <v>1530</v>
      </c>
      <c r="AE957" s="52">
        <f t="shared" si="127"/>
        <v>0</v>
      </c>
    </row>
    <row r="958" spans="6:33" ht="24" customHeight="1">
      <c r="F958" s="8">
        <v>1</v>
      </c>
      <c r="G958" s="7" t="s">
        <v>739</v>
      </c>
      <c r="H958" s="1" t="s">
        <v>1096</v>
      </c>
      <c r="I958" s="8">
        <f>C601</f>
        <v>53.4</v>
      </c>
      <c r="J958" s="1" t="s">
        <v>835</v>
      </c>
      <c r="K958" s="8">
        <f t="shared" si="130"/>
        <v>53.4</v>
      </c>
      <c r="N958" s="3"/>
      <c r="O958" s="1" t="s">
        <v>1411</v>
      </c>
      <c r="Q958" s="11"/>
      <c r="R958" s="8">
        <f>SUM(R946:R956)</f>
        <v>5043.6099999999997</v>
      </c>
      <c r="AE958" s="52">
        <f t="shared" si="127"/>
        <v>0</v>
      </c>
    </row>
    <row r="959" spans="6:33" ht="24" customHeight="1">
      <c r="F959" s="8">
        <v>3</v>
      </c>
      <c r="G959" s="7" t="s">
        <v>835</v>
      </c>
      <c r="H959" s="1" t="s">
        <v>1407</v>
      </c>
      <c r="I959" s="8">
        <f>C282</f>
        <v>83</v>
      </c>
      <c r="J959" s="1" t="s">
        <v>835</v>
      </c>
      <c r="K959" s="8">
        <f t="shared" si="130"/>
        <v>249</v>
      </c>
      <c r="N959" s="3"/>
      <c r="Q959" s="11"/>
      <c r="R959" s="5" t="s">
        <v>1530</v>
      </c>
      <c r="AE959" s="52">
        <f t="shared" si="127"/>
        <v>0</v>
      </c>
    </row>
    <row r="960" spans="6:33" ht="24" customHeight="1">
      <c r="F960" s="8">
        <v>2</v>
      </c>
      <c r="G960" s="7" t="s">
        <v>835</v>
      </c>
      <c r="H960" s="1" t="s">
        <v>1408</v>
      </c>
      <c r="I960" s="8">
        <f>C287</f>
        <v>60</v>
      </c>
      <c r="J960" s="1" t="s">
        <v>835</v>
      </c>
      <c r="K960" s="8">
        <f t="shared" si="130"/>
        <v>120</v>
      </c>
      <c r="N960" s="3"/>
      <c r="O960" s="59" t="s">
        <v>521</v>
      </c>
      <c r="Q960" s="11"/>
      <c r="R960" s="39">
        <f>R958/M950</f>
        <v>2766.65</v>
      </c>
      <c r="AE960" s="52">
        <f t="shared" si="127"/>
        <v>0</v>
      </c>
    </row>
    <row r="961" spans="6:33" ht="24" customHeight="1">
      <c r="F961" s="8">
        <v>1</v>
      </c>
      <c r="G961" s="7" t="s">
        <v>835</v>
      </c>
      <c r="H961" s="1" t="s">
        <v>1409</v>
      </c>
      <c r="I961" s="8">
        <f>C289</f>
        <v>167.6</v>
      </c>
      <c r="J961" s="1" t="s">
        <v>835</v>
      </c>
      <c r="K961" s="8">
        <f t="shared" si="130"/>
        <v>167.6</v>
      </c>
      <c r="M961" s="1" t="s">
        <v>940</v>
      </c>
      <c r="N961" s="3"/>
      <c r="Q961" s="11"/>
      <c r="AE961" s="52">
        <f t="shared" si="127"/>
        <v>0</v>
      </c>
    </row>
    <row r="962" spans="6:33" ht="24" customHeight="1">
      <c r="F962" s="8">
        <v>1</v>
      </c>
      <c r="G962" s="7" t="s">
        <v>835</v>
      </c>
      <c r="H962" s="1" t="s">
        <v>1410</v>
      </c>
      <c r="I962" s="8">
        <f>C291</f>
        <v>7.3</v>
      </c>
      <c r="J962" s="1" t="s">
        <v>835</v>
      </c>
      <c r="K962" s="8">
        <f t="shared" si="130"/>
        <v>7.3</v>
      </c>
      <c r="N962" s="3"/>
      <c r="Q962" s="11"/>
      <c r="R962" s="5" t="s">
        <v>1980</v>
      </c>
      <c r="AE962" s="52" t="str">
        <f t="shared" si="127"/>
        <v>|</v>
      </c>
      <c r="AG962" s="1" t="s">
        <v>2175</v>
      </c>
    </row>
    <row r="963" spans="6:33" ht="24" customHeight="1">
      <c r="F963" s="8">
        <v>1</v>
      </c>
      <c r="G963" s="7" t="s">
        <v>835</v>
      </c>
      <c r="H963" s="1" t="s">
        <v>1913</v>
      </c>
      <c r="I963" s="8">
        <f>D601</f>
        <v>45.9</v>
      </c>
      <c r="J963" s="1" t="s">
        <v>835</v>
      </c>
      <c r="K963" s="8">
        <f t="shared" si="130"/>
        <v>45.9</v>
      </c>
      <c r="AE963" s="52" t="str">
        <f t="shared" ref="AE963:AE1027" si="131">AG963</f>
        <v>|</v>
      </c>
      <c r="AG963" s="1" t="s">
        <v>2175</v>
      </c>
    </row>
    <row r="964" spans="6:33" ht="24" customHeight="1">
      <c r="F964" s="8">
        <v>64</v>
      </c>
      <c r="G964" s="7" t="s">
        <v>998</v>
      </c>
      <c r="H964" s="512" t="s">
        <v>4738</v>
      </c>
      <c r="I964" s="435">
        <v>2.39</v>
      </c>
      <c r="J964" s="11" t="s">
        <v>156</v>
      </c>
      <c r="K964" s="8">
        <f t="shared" si="130"/>
        <v>152.96</v>
      </c>
      <c r="AE964" s="52" t="str">
        <f t="shared" si="131"/>
        <v>|</v>
      </c>
      <c r="AG964" s="1" t="s">
        <v>2175</v>
      </c>
    </row>
    <row r="965" spans="6:33" ht="24" customHeight="1">
      <c r="H965" s="1" t="s">
        <v>1411</v>
      </c>
      <c r="K965" s="8">
        <f>SUM(K953:K964)</f>
        <v>8732.7999999999993</v>
      </c>
      <c r="AE965" s="52" t="str">
        <f t="shared" si="131"/>
        <v>|</v>
      </c>
      <c r="AG965" s="1" t="s">
        <v>2175</v>
      </c>
    </row>
    <row r="966" spans="6:33" ht="24" customHeight="1">
      <c r="K966" s="5" t="s">
        <v>1530</v>
      </c>
      <c r="AE966" s="52" t="str">
        <f t="shared" si="131"/>
        <v>|</v>
      </c>
      <c r="AG966" s="1" t="s">
        <v>2175</v>
      </c>
    </row>
    <row r="967" spans="6:33" ht="24" customHeight="1">
      <c r="H967" s="59" t="s">
        <v>521</v>
      </c>
      <c r="K967" s="39">
        <f>K965/F957</f>
        <v>4790.3500000000004</v>
      </c>
      <c r="AE967" s="52" t="str">
        <f t="shared" si="131"/>
        <v>|</v>
      </c>
      <c r="AG967" s="1" t="s">
        <v>2175</v>
      </c>
    </row>
    <row r="968" spans="6:33" ht="24" customHeight="1">
      <c r="F968" s="1" t="s">
        <v>940</v>
      </c>
      <c r="AE968" s="52" t="str">
        <f t="shared" si="131"/>
        <v>|</v>
      </c>
      <c r="AG968" s="1" t="s">
        <v>2175</v>
      </c>
    </row>
    <row r="969" spans="6:33" ht="24" customHeight="1">
      <c r="K969" s="5" t="s">
        <v>1980</v>
      </c>
      <c r="AE969" s="52" t="str">
        <f t="shared" si="131"/>
        <v>|</v>
      </c>
      <c r="AG969" s="1" t="s">
        <v>2175</v>
      </c>
    </row>
    <row r="970" spans="6:33" ht="24" customHeight="1">
      <c r="AE970" s="52" t="str">
        <f t="shared" si="131"/>
        <v>|</v>
      </c>
      <c r="AG970" s="1" t="s">
        <v>2175</v>
      </c>
    </row>
    <row r="971" spans="6:33" ht="24" customHeight="1">
      <c r="AE971" s="52" t="str">
        <f t="shared" si="131"/>
        <v>|</v>
      </c>
      <c r="AG971" s="1" t="s">
        <v>2175</v>
      </c>
    </row>
    <row r="972" spans="6:33" ht="24" customHeight="1">
      <c r="F972" s="2" t="s">
        <v>1286</v>
      </c>
      <c r="G972" s="7" t="s">
        <v>2167</v>
      </c>
      <c r="H972" s="1" t="s">
        <v>240</v>
      </c>
      <c r="AE972" s="52" t="str">
        <f t="shared" si="131"/>
        <v>|</v>
      </c>
      <c r="AG972" s="1" t="s">
        <v>2175</v>
      </c>
    </row>
    <row r="973" spans="6:33" ht="24" customHeight="1">
      <c r="H973" s="1" t="s">
        <v>241</v>
      </c>
      <c r="AE973" s="52" t="str">
        <f t="shared" si="131"/>
        <v>|</v>
      </c>
      <c r="AG973" s="1" t="s">
        <v>2175</v>
      </c>
    </row>
    <row r="974" spans="6:33" ht="24" customHeight="1">
      <c r="H974" s="1" t="s">
        <v>1414</v>
      </c>
      <c r="AE974" s="52" t="str">
        <f t="shared" si="131"/>
        <v>|</v>
      </c>
      <c r="AG974" s="1" t="s">
        <v>2175</v>
      </c>
    </row>
    <row r="975" spans="6:33" ht="24" customHeight="1">
      <c r="H975" s="5" t="s">
        <v>1530</v>
      </c>
      <c r="AE975" s="52" t="str">
        <f t="shared" si="131"/>
        <v>|</v>
      </c>
      <c r="AG975" s="1" t="s">
        <v>2175</v>
      </c>
    </row>
    <row r="976" spans="6:33" ht="24" customHeight="1">
      <c r="AE976" s="52" t="str">
        <f t="shared" si="131"/>
        <v>|</v>
      </c>
      <c r="AG976" s="1" t="s">
        <v>2175</v>
      </c>
    </row>
    <row r="977" spans="6:33" ht="24" customHeight="1">
      <c r="H977" s="1" t="s">
        <v>612</v>
      </c>
      <c r="AE977" s="52">
        <f t="shared" si="131"/>
        <v>0</v>
      </c>
    </row>
    <row r="978" spans="6:33" ht="24" customHeight="1">
      <c r="H978" s="1" t="s">
        <v>613</v>
      </c>
      <c r="AE978" s="52" t="str">
        <f t="shared" si="131"/>
        <v>|</v>
      </c>
      <c r="AG978" s="1" t="s">
        <v>2175</v>
      </c>
    </row>
    <row r="979" spans="6:33" ht="24" customHeight="1">
      <c r="J979" s="1" t="s">
        <v>1530</v>
      </c>
      <c r="AE979" s="52">
        <f t="shared" si="131"/>
        <v>0</v>
      </c>
    </row>
    <row r="980" spans="6:33" ht="24" customHeight="1">
      <c r="H980" s="1" t="s">
        <v>614</v>
      </c>
      <c r="AE980" s="52">
        <f t="shared" si="131"/>
        <v>0</v>
      </c>
    </row>
    <row r="981" spans="6:33" ht="24" customHeight="1">
      <c r="H981" s="1" t="s">
        <v>615</v>
      </c>
      <c r="K981" s="15">
        <v>2.1999999999999999E-2</v>
      </c>
      <c r="AE981" s="52" t="str">
        <f t="shared" si="131"/>
        <v>|</v>
      </c>
      <c r="AG981" s="1" t="s">
        <v>2175</v>
      </c>
    </row>
    <row r="982" spans="6:33" ht="24" customHeight="1">
      <c r="J982" s="1" t="s">
        <v>940</v>
      </c>
      <c r="K982" s="5" t="s">
        <v>1530</v>
      </c>
      <c r="AE982" s="52" t="str">
        <f t="shared" si="131"/>
        <v>|</v>
      </c>
      <c r="AG982" s="1" t="s">
        <v>2175</v>
      </c>
    </row>
    <row r="983" spans="6:33" ht="24" customHeight="1">
      <c r="H983" s="1" t="s">
        <v>826</v>
      </c>
      <c r="J983" s="18" t="s">
        <v>940</v>
      </c>
      <c r="K983" s="15">
        <v>1.3100000000000001E-2</v>
      </c>
      <c r="AE983" s="52" t="str">
        <f t="shared" si="131"/>
        <v>|</v>
      </c>
      <c r="AG983" s="1" t="s">
        <v>2175</v>
      </c>
    </row>
    <row r="984" spans="6:33" ht="24" customHeight="1">
      <c r="H984" s="1" t="s">
        <v>2071</v>
      </c>
      <c r="J984" s="1" t="s">
        <v>940</v>
      </c>
      <c r="K984" s="15">
        <v>3.3999999999999998E-3</v>
      </c>
      <c r="AE984" s="52" t="str">
        <f t="shared" si="131"/>
        <v>|</v>
      </c>
      <c r="AG984" s="1" t="s">
        <v>2175</v>
      </c>
    </row>
    <row r="985" spans="6:33" ht="24" customHeight="1">
      <c r="K985" s="5" t="s">
        <v>1530</v>
      </c>
      <c r="AE985" s="52">
        <f t="shared" si="131"/>
        <v>0</v>
      </c>
    </row>
    <row r="986" spans="6:33" ht="24" customHeight="1">
      <c r="K986" s="15">
        <v>1.6500000000000001E-2</v>
      </c>
      <c r="AE986" s="52">
        <f t="shared" si="131"/>
        <v>0</v>
      </c>
    </row>
    <row r="987" spans="6:33" ht="24" customHeight="1">
      <c r="K987" s="5" t="s">
        <v>1530</v>
      </c>
      <c r="O987" t="s">
        <v>4297</v>
      </c>
      <c r="AE987" s="52">
        <f t="shared" si="131"/>
        <v>0</v>
      </c>
    </row>
    <row r="988" spans="6:33" ht="24" customHeight="1">
      <c r="F988" s="15">
        <v>1.15E-2</v>
      </c>
      <c r="G988" s="7" t="s">
        <v>836</v>
      </c>
      <c r="H988" s="1" t="s">
        <v>287</v>
      </c>
      <c r="I988" s="8">
        <f>C91</f>
        <v>111600</v>
      </c>
      <c r="J988" s="1" t="s">
        <v>836</v>
      </c>
      <c r="K988" s="8">
        <f>(F988*I988)</f>
        <v>1283.4000000000001</v>
      </c>
      <c r="M988" s="2" t="s">
        <v>1416</v>
      </c>
      <c r="N988" s="7"/>
      <c r="O988" s="1" t="s">
        <v>3648</v>
      </c>
      <c r="Q988" s="11"/>
      <c r="R988" s="1" t="s">
        <v>940</v>
      </c>
      <c r="AE988" s="52">
        <f t="shared" si="131"/>
        <v>0</v>
      </c>
    </row>
    <row r="989" spans="6:33" ht="24" customHeight="1">
      <c r="F989" s="15">
        <v>2.1999999999999999E-2</v>
      </c>
      <c r="G989" s="7" t="s">
        <v>836</v>
      </c>
      <c r="H989" s="1" t="s">
        <v>288</v>
      </c>
      <c r="I989" s="8">
        <f>C92</f>
        <v>99400</v>
      </c>
      <c r="J989" s="1" t="s">
        <v>836</v>
      </c>
      <c r="K989" s="8">
        <f>(F989*I989)</f>
        <v>2186.8000000000002</v>
      </c>
      <c r="N989" s="3"/>
      <c r="O989" s="5" t="s">
        <v>1530</v>
      </c>
      <c r="Q989" s="11"/>
      <c r="AE989" s="52">
        <f t="shared" si="131"/>
        <v>0</v>
      </c>
    </row>
    <row r="990" spans="6:33" ht="24" customHeight="1">
      <c r="F990" s="15">
        <v>1.6500000000000001E-2</v>
      </c>
      <c r="G990" s="7" t="s">
        <v>836</v>
      </c>
      <c r="H990" s="1" t="s">
        <v>289</v>
      </c>
      <c r="I990" s="8">
        <f>C93</f>
        <v>95000</v>
      </c>
      <c r="J990" s="1" t="s">
        <v>836</v>
      </c>
      <c r="K990" s="8">
        <f>(F990*I990)</f>
        <v>1567.5</v>
      </c>
      <c r="M990" s="231">
        <v>1.153E-2</v>
      </c>
      <c r="N990" s="232" t="s">
        <v>836</v>
      </c>
      <c r="O990" s="233" t="s">
        <v>660</v>
      </c>
      <c r="P990" s="234">
        <f t="shared" ref="P990:P1000" si="132">I1056</f>
        <v>111600</v>
      </c>
      <c r="Q990" s="233" t="s">
        <v>836</v>
      </c>
      <c r="R990" s="234">
        <f t="shared" ref="R990:R1000" si="133">(M990*P990)</f>
        <v>1286.75</v>
      </c>
      <c r="AE990" s="52">
        <f t="shared" si="131"/>
        <v>0</v>
      </c>
    </row>
    <row r="991" spans="6:33" ht="24" customHeight="1">
      <c r="F991" s="15"/>
      <c r="H991" s="1" t="s">
        <v>416</v>
      </c>
      <c r="I991" s="1" t="s">
        <v>940</v>
      </c>
      <c r="K991" s="1" t="s">
        <v>940</v>
      </c>
      <c r="M991" s="19">
        <v>1.013E-2</v>
      </c>
      <c r="N991" s="7" t="s">
        <v>836</v>
      </c>
      <c r="O991" s="1" t="s">
        <v>661</v>
      </c>
      <c r="P991" s="234">
        <f t="shared" si="132"/>
        <v>99400</v>
      </c>
      <c r="Q991" s="1" t="s">
        <v>836</v>
      </c>
      <c r="R991" s="8">
        <f t="shared" si="133"/>
        <v>1006.92</v>
      </c>
      <c r="AE991" s="52">
        <f t="shared" si="131"/>
        <v>0</v>
      </c>
    </row>
    <row r="992" spans="6:33" ht="24" customHeight="1">
      <c r="F992" s="15">
        <v>1.64</v>
      </c>
      <c r="G992" s="7" t="s">
        <v>578</v>
      </c>
      <c r="H992" s="1" t="s">
        <v>417</v>
      </c>
      <c r="I992" s="8">
        <f>C31</f>
        <v>1325</v>
      </c>
      <c r="J992" s="1" t="s">
        <v>578</v>
      </c>
      <c r="K992" s="8">
        <f t="shared" ref="K992:K999" si="134">(F992*I992)</f>
        <v>2173</v>
      </c>
      <c r="M992" s="19">
        <v>0.77780000000000005</v>
      </c>
      <c r="N992" s="7" t="s">
        <v>578</v>
      </c>
      <c r="O992" s="1" t="s">
        <v>2011</v>
      </c>
      <c r="P992" s="234">
        <f t="shared" si="132"/>
        <v>387.4</v>
      </c>
      <c r="Q992" s="1" t="s">
        <v>578</v>
      </c>
      <c r="R992" s="8">
        <f t="shared" si="133"/>
        <v>301.32</v>
      </c>
      <c r="AE992" s="52">
        <f t="shared" si="131"/>
        <v>0</v>
      </c>
    </row>
    <row r="993" spans="6:33" ht="24" customHeight="1">
      <c r="F993" s="8">
        <v>1</v>
      </c>
      <c r="G993" s="7" t="s">
        <v>739</v>
      </c>
      <c r="H993" s="1" t="s">
        <v>1096</v>
      </c>
      <c r="I993" s="8">
        <f>C601</f>
        <v>53.4</v>
      </c>
      <c r="J993" s="1" t="s">
        <v>835</v>
      </c>
      <c r="K993" s="8">
        <f t="shared" si="134"/>
        <v>53.4</v>
      </c>
      <c r="M993" s="19">
        <v>1.23</v>
      </c>
      <c r="N993" s="7" t="s">
        <v>578</v>
      </c>
      <c r="O993" s="1" t="s">
        <v>2012</v>
      </c>
      <c r="P993" s="234">
        <f t="shared" si="132"/>
        <v>1105</v>
      </c>
      <c r="Q993" s="1" t="s">
        <v>578</v>
      </c>
      <c r="R993" s="8">
        <f t="shared" si="133"/>
        <v>1359.15</v>
      </c>
      <c r="AE993" s="52">
        <f t="shared" si="131"/>
        <v>0</v>
      </c>
    </row>
    <row r="994" spans="6:33" ht="24" customHeight="1">
      <c r="F994" s="8">
        <v>3</v>
      </c>
      <c r="G994" s="7" t="s">
        <v>835</v>
      </c>
      <c r="H994" s="1" t="s">
        <v>1407</v>
      </c>
      <c r="I994" s="8">
        <f>C282</f>
        <v>83</v>
      </c>
      <c r="J994" s="1" t="s">
        <v>835</v>
      </c>
      <c r="K994" s="8">
        <f t="shared" si="134"/>
        <v>249</v>
      </c>
      <c r="M994" s="8">
        <v>2</v>
      </c>
      <c r="N994" s="7" t="s">
        <v>835</v>
      </c>
      <c r="O994" s="1" t="s">
        <v>2013</v>
      </c>
      <c r="P994" s="234">
        <f t="shared" si="132"/>
        <v>60</v>
      </c>
      <c r="Q994" s="1" t="s">
        <v>835</v>
      </c>
      <c r="R994" s="8">
        <f t="shared" si="133"/>
        <v>120</v>
      </c>
      <c r="AE994" s="52">
        <f t="shared" si="131"/>
        <v>0</v>
      </c>
    </row>
    <row r="995" spans="6:33" ht="24" customHeight="1">
      <c r="F995" s="8">
        <v>2</v>
      </c>
      <c r="G995" s="7" t="s">
        <v>835</v>
      </c>
      <c r="H995" s="1" t="s">
        <v>1408</v>
      </c>
      <c r="I995" s="8">
        <f>C287</f>
        <v>60</v>
      </c>
      <c r="J995" s="1" t="s">
        <v>835</v>
      </c>
      <c r="K995" s="8">
        <f t="shared" si="134"/>
        <v>120</v>
      </c>
      <c r="M995" s="8">
        <v>3</v>
      </c>
      <c r="N995" s="7" t="s">
        <v>835</v>
      </c>
      <c r="O995" s="1" t="s">
        <v>1460</v>
      </c>
      <c r="P995" s="234">
        <f t="shared" si="132"/>
        <v>83</v>
      </c>
      <c r="Q995" s="1" t="s">
        <v>835</v>
      </c>
      <c r="R995" s="8">
        <f t="shared" si="133"/>
        <v>249</v>
      </c>
      <c r="AE995" s="52">
        <f t="shared" si="131"/>
        <v>0</v>
      </c>
    </row>
    <row r="996" spans="6:33" ht="24" customHeight="1">
      <c r="F996" s="8">
        <v>1</v>
      </c>
      <c r="G996" s="7" t="s">
        <v>835</v>
      </c>
      <c r="H996" s="1" t="s">
        <v>1409</v>
      </c>
      <c r="I996" s="8">
        <f>C289</f>
        <v>167.6</v>
      </c>
      <c r="J996" s="1" t="s">
        <v>835</v>
      </c>
      <c r="K996" s="8">
        <f t="shared" si="134"/>
        <v>167.6</v>
      </c>
      <c r="M996" s="8">
        <v>1</v>
      </c>
      <c r="N996" s="7" t="s">
        <v>835</v>
      </c>
      <c r="O996" s="1" t="s">
        <v>1910</v>
      </c>
      <c r="P996" s="234">
        <f t="shared" si="132"/>
        <v>167.6</v>
      </c>
      <c r="Q996" s="1" t="s">
        <v>835</v>
      </c>
      <c r="R996" s="8">
        <f t="shared" si="133"/>
        <v>167.6</v>
      </c>
      <c r="AE996" s="52">
        <f t="shared" si="131"/>
        <v>0</v>
      </c>
    </row>
    <row r="997" spans="6:33" ht="24" customHeight="1">
      <c r="F997" s="8">
        <v>1</v>
      </c>
      <c r="G997" s="7" t="s">
        <v>835</v>
      </c>
      <c r="H997" s="1" t="s">
        <v>1410</v>
      </c>
      <c r="I997" s="8">
        <f>C291</f>
        <v>7.3</v>
      </c>
      <c r="J997" s="1" t="s">
        <v>835</v>
      </c>
      <c r="K997" s="8">
        <f t="shared" si="134"/>
        <v>7.3</v>
      </c>
      <c r="M997" s="8">
        <v>1</v>
      </c>
      <c r="N997" s="7" t="s">
        <v>835</v>
      </c>
      <c r="O997" s="1" t="s">
        <v>1911</v>
      </c>
      <c r="P997" s="234">
        <f t="shared" si="132"/>
        <v>7.3</v>
      </c>
      <c r="Q997" s="1" t="s">
        <v>835</v>
      </c>
      <c r="R997" s="8">
        <f t="shared" si="133"/>
        <v>7.3</v>
      </c>
      <c r="AE997" s="52" t="str">
        <f t="shared" si="131"/>
        <v>|</v>
      </c>
      <c r="AG997" s="1" t="s">
        <v>2175</v>
      </c>
    </row>
    <row r="998" spans="6:33" ht="24" customHeight="1">
      <c r="F998" s="8">
        <v>1</v>
      </c>
      <c r="G998" s="7" t="s">
        <v>835</v>
      </c>
      <c r="H998" s="1" t="s">
        <v>1913</v>
      </c>
      <c r="I998" s="8">
        <f>D601</f>
        <v>45.9</v>
      </c>
      <c r="J998" s="1" t="s">
        <v>835</v>
      </c>
      <c r="K998" s="8">
        <f t="shared" si="134"/>
        <v>45.9</v>
      </c>
      <c r="M998" s="8">
        <v>1</v>
      </c>
      <c r="N998" s="7" t="s">
        <v>835</v>
      </c>
      <c r="O998" s="1" t="s">
        <v>1097</v>
      </c>
      <c r="P998" s="234">
        <f t="shared" si="132"/>
        <v>53.4</v>
      </c>
      <c r="Q998" s="1" t="s">
        <v>835</v>
      </c>
      <c r="R998" s="8">
        <f t="shared" si="133"/>
        <v>53.4</v>
      </c>
      <c r="AE998" s="52" t="str">
        <f t="shared" si="131"/>
        <v>|</v>
      </c>
      <c r="AG998" s="1" t="s">
        <v>2175</v>
      </c>
    </row>
    <row r="999" spans="6:33" ht="24" customHeight="1">
      <c r="F999" s="8">
        <v>10</v>
      </c>
      <c r="G999" s="7" t="s">
        <v>998</v>
      </c>
      <c r="H999" s="1" t="s">
        <v>1102</v>
      </c>
      <c r="I999" s="8">
        <f>I964</f>
        <v>2.39</v>
      </c>
      <c r="J999" s="1" t="s">
        <v>835</v>
      </c>
      <c r="K999" s="8">
        <f t="shared" si="134"/>
        <v>23.9</v>
      </c>
      <c r="M999" s="8">
        <v>1</v>
      </c>
      <c r="N999" s="7" t="s">
        <v>835</v>
      </c>
      <c r="O999" s="1" t="s">
        <v>1913</v>
      </c>
      <c r="P999" s="234">
        <f t="shared" si="132"/>
        <v>45.9</v>
      </c>
      <c r="Q999" s="1" t="s">
        <v>835</v>
      </c>
      <c r="R999" s="8">
        <f t="shared" si="133"/>
        <v>45.9</v>
      </c>
      <c r="AE999" s="52" t="str">
        <f t="shared" si="131"/>
        <v>|</v>
      </c>
      <c r="AG999" s="1" t="s">
        <v>2175</v>
      </c>
    </row>
    <row r="1000" spans="6:33" ht="24" customHeight="1">
      <c r="K1000" s="5" t="s">
        <v>1530</v>
      </c>
      <c r="M1000" s="8">
        <v>58</v>
      </c>
      <c r="N1000" s="3"/>
      <c r="O1000" s="1" t="s">
        <v>1685</v>
      </c>
      <c r="P1000" s="234">
        <f t="shared" si="132"/>
        <v>2.39</v>
      </c>
      <c r="Q1000" s="11"/>
      <c r="R1000" s="8">
        <f t="shared" si="133"/>
        <v>138.62</v>
      </c>
      <c r="AE1000" s="52" t="str">
        <f t="shared" si="131"/>
        <v>|</v>
      </c>
      <c r="AG1000" s="1" t="s">
        <v>2175</v>
      </c>
    </row>
    <row r="1001" spans="6:33" ht="24" customHeight="1">
      <c r="H1001" s="1" t="s">
        <v>2072</v>
      </c>
      <c r="K1001" s="8">
        <f>SUM(K988:K999)</f>
        <v>7877.8</v>
      </c>
      <c r="N1001" s="3"/>
      <c r="O1001" s="2" t="s">
        <v>1914</v>
      </c>
      <c r="Q1001" s="11"/>
      <c r="R1001" s="8">
        <f>SUM(R990:R1000)</f>
        <v>4735.96</v>
      </c>
      <c r="AE1001" s="52" t="str">
        <f t="shared" si="131"/>
        <v>|</v>
      </c>
      <c r="AG1001" s="1" t="s">
        <v>2175</v>
      </c>
    </row>
    <row r="1002" spans="6:33" ht="24" customHeight="1">
      <c r="K1002" s="5" t="s">
        <v>1530</v>
      </c>
      <c r="N1002" s="7" t="s">
        <v>940</v>
      </c>
      <c r="Q1002" s="11"/>
      <c r="R1002" s="5" t="s">
        <v>1530</v>
      </c>
      <c r="AE1002" s="52" t="str">
        <f t="shared" si="131"/>
        <v>|</v>
      </c>
      <c r="AG1002" s="1" t="s">
        <v>2175</v>
      </c>
    </row>
    <row r="1003" spans="6:33" ht="24" customHeight="1">
      <c r="H1003" s="59" t="s">
        <v>521</v>
      </c>
      <c r="K1003" s="39">
        <f>K1001/F992</f>
        <v>4803.54</v>
      </c>
      <c r="N1003" s="3"/>
      <c r="O1003" s="59" t="s">
        <v>521</v>
      </c>
      <c r="Q1003" s="11"/>
      <c r="R1003" s="39">
        <f>R1001/M993</f>
        <v>3850.37</v>
      </c>
      <c r="AE1003" s="52" t="str">
        <f t="shared" si="131"/>
        <v>|</v>
      </c>
      <c r="AG1003" s="1" t="s">
        <v>2175</v>
      </c>
    </row>
    <row r="1004" spans="6:33" ht="24" customHeight="1">
      <c r="K1004" s="5" t="s">
        <v>1980</v>
      </c>
      <c r="N1004" s="3"/>
      <c r="Q1004" s="11"/>
      <c r="R1004" s="5" t="s">
        <v>1980</v>
      </c>
      <c r="AE1004" s="52" t="str">
        <f t="shared" si="131"/>
        <v>|::</v>
      </c>
      <c r="AG1004" s="1" t="s">
        <v>300</v>
      </c>
    </row>
    <row r="1005" spans="6:33" ht="24" customHeight="1">
      <c r="F1005" s="2" t="s">
        <v>1285</v>
      </c>
      <c r="G1005" s="7" t="s">
        <v>2167</v>
      </c>
      <c r="H1005" s="1" t="s">
        <v>240</v>
      </c>
      <c r="AE1005" s="52">
        <f t="shared" si="131"/>
        <v>0</v>
      </c>
    </row>
    <row r="1006" spans="6:33" ht="24" customHeight="1">
      <c r="H1006" s="1" t="s">
        <v>241</v>
      </c>
      <c r="AE1006" s="52">
        <f t="shared" si="131"/>
        <v>0</v>
      </c>
    </row>
    <row r="1007" spans="6:33" ht="24" customHeight="1">
      <c r="H1007" s="1" t="s">
        <v>1415</v>
      </c>
      <c r="AE1007" s="52" t="str">
        <f t="shared" si="131"/>
        <v>|</v>
      </c>
      <c r="AG1007" s="1" t="s">
        <v>2175</v>
      </c>
    </row>
    <row r="1008" spans="6:33" ht="24" customHeight="1">
      <c r="H1008" s="5" t="s">
        <v>1530</v>
      </c>
      <c r="AE1008" s="52"/>
      <c r="AG1008" s="1"/>
    </row>
    <row r="1009" spans="6:33" ht="24" customHeight="1">
      <c r="H1009" s="1" t="s">
        <v>2073</v>
      </c>
      <c r="AE1009" s="52" t="str">
        <f t="shared" si="131"/>
        <v>|</v>
      </c>
      <c r="AG1009" s="1" t="s">
        <v>2175</v>
      </c>
    </row>
    <row r="1010" spans="6:33" ht="24" customHeight="1">
      <c r="H1010" s="1" t="s">
        <v>88</v>
      </c>
      <c r="AE1010" s="52" t="str">
        <f t="shared" si="131"/>
        <v>|</v>
      </c>
      <c r="AG1010" s="1" t="s">
        <v>2175</v>
      </c>
    </row>
    <row r="1011" spans="6:33" ht="24" customHeight="1">
      <c r="J1011" s="1" t="s">
        <v>1530</v>
      </c>
      <c r="AE1011" s="52" t="str">
        <f t="shared" si="131"/>
        <v>|</v>
      </c>
      <c r="AG1011" s="1" t="s">
        <v>2175</v>
      </c>
    </row>
    <row r="1012" spans="6:33" ht="24" customHeight="1">
      <c r="H1012" s="1" t="s">
        <v>2074</v>
      </c>
      <c r="AE1012" s="52" t="str">
        <f t="shared" si="131"/>
        <v>|</v>
      </c>
      <c r="AG1012" s="1" t="s">
        <v>2175</v>
      </c>
    </row>
    <row r="1013" spans="6:33" ht="24" customHeight="1">
      <c r="H1013" s="1" t="s">
        <v>429</v>
      </c>
      <c r="K1013" s="15">
        <v>1.1900000000000001E-2</v>
      </c>
      <c r="AE1013" s="52" t="str">
        <f t="shared" si="131"/>
        <v>|</v>
      </c>
      <c r="AG1013" s="1" t="s">
        <v>2175</v>
      </c>
    </row>
    <row r="1014" spans="6:33" ht="24" customHeight="1">
      <c r="J1014" s="1" t="s">
        <v>940</v>
      </c>
      <c r="K1014" s="5" t="s">
        <v>1530</v>
      </c>
      <c r="AE1014" s="52">
        <f t="shared" si="131"/>
        <v>0</v>
      </c>
    </row>
    <row r="1015" spans="6:33" ht="24" customHeight="1">
      <c r="H1015" s="1" t="s">
        <v>430</v>
      </c>
      <c r="J1015" s="18" t="s">
        <v>940</v>
      </c>
      <c r="K1015" s="15">
        <v>1.18E-2</v>
      </c>
      <c r="AE1015" s="52">
        <f t="shared" si="131"/>
        <v>0</v>
      </c>
    </row>
    <row r="1016" spans="6:33" ht="24" customHeight="1">
      <c r="H1016" s="1" t="s">
        <v>234</v>
      </c>
      <c r="J1016" s="1" t="s">
        <v>940</v>
      </c>
      <c r="K1016" s="17" t="s">
        <v>1530</v>
      </c>
      <c r="AE1016" s="52">
        <f t="shared" si="131"/>
        <v>0</v>
      </c>
    </row>
    <row r="1017" spans="6:33" ht="24" customHeight="1">
      <c r="AE1017" s="52">
        <f t="shared" si="131"/>
        <v>0</v>
      </c>
    </row>
    <row r="1018" spans="6:33" ht="24" customHeight="1">
      <c r="F1018" s="15">
        <v>1.14E-2</v>
      </c>
      <c r="G1018" s="7" t="s">
        <v>836</v>
      </c>
      <c r="H1018" s="1" t="s">
        <v>287</v>
      </c>
      <c r="I1018" s="8">
        <f>C91</f>
        <v>111600</v>
      </c>
      <c r="J1018" s="1" t="s">
        <v>836</v>
      </c>
      <c r="K1018" s="8">
        <f>(F1018*I1018)</f>
        <v>1272.24</v>
      </c>
      <c r="AE1018" s="52">
        <f t="shared" si="131"/>
        <v>0</v>
      </c>
    </row>
    <row r="1019" spans="6:33" ht="24" customHeight="1">
      <c r="F1019" s="15">
        <v>1.1900000000000001E-2</v>
      </c>
      <c r="G1019" s="7" t="s">
        <v>836</v>
      </c>
      <c r="H1019" s="1" t="s">
        <v>288</v>
      </c>
      <c r="I1019" s="8">
        <f>C92</f>
        <v>99400</v>
      </c>
      <c r="J1019" s="1" t="s">
        <v>836</v>
      </c>
      <c r="K1019" s="8">
        <f>(F1019*I1019)</f>
        <v>1182.8599999999999</v>
      </c>
      <c r="AE1019" s="52">
        <f t="shared" si="131"/>
        <v>0</v>
      </c>
    </row>
    <row r="1020" spans="6:33" ht="24" customHeight="1">
      <c r="F1020" s="15">
        <v>1.18E-2</v>
      </c>
      <c r="G1020" s="7" t="s">
        <v>836</v>
      </c>
      <c r="H1020" s="1" t="s">
        <v>289</v>
      </c>
      <c r="I1020" s="8">
        <f>C93</f>
        <v>95000</v>
      </c>
      <c r="J1020" s="1" t="s">
        <v>836</v>
      </c>
      <c r="K1020" s="8">
        <f>(F1020*I1020)</f>
        <v>1121</v>
      </c>
      <c r="AE1020" s="52">
        <f t="shared" si="131"/>
        <v>0</v>
      </c>
    </row>
    <row r="1021" spans="6:33" ht="24" customHeight="1">
      <c r="F1021" s="15"/>
      <c r="H1021" s="1" t="s">
        <v>416</v>
      </c>
      <c r="I1021" s="1" t="s">
        <v>940</v>
      </c>
      <c r="K1021" s="1" t="s">
        <v>940</v>
      </c>
      <c r="AE1021" s="52">
        <f t="shared" si="131"/>
        <v>0</v>
      </c>
    </row>
    <row r="1022" spans="6:33" ht="24" customHeight="1">
      <c r="F1022" s="15">
        <v>1.2150000000000001</v>
      </c>
      <c r="G1022" s="7" t="s">
        <v>578</v>
      </c>
      <c r="H1022" s="1" t="s">
        <v>417</v>
      </c>
      <c r="I1022" s="8">
        <f>C31</f>
        <v>1325</v>
      </c>
      <c r="J1022" s="1" t="s">
        <v>578</v>
      </c>
      <c r="K1022" s="8">
        <f t="shared" ref="K1022:K1029" si="135">(F1022*I1022)</f>
        <v>1609.88</v>
      </c>
      <c r="AE1022" s="52">
        <f t="shared" si="131"/>
        <v>0</v>
      </c>
    </row>
    <row r="1023" spans="6:33" ht="24" customHeight="1">
      <c r="F1023" s="8">
        <v>1</v>
      </c>
      <c r="G1023" s="7" t="s">
        <v>739</v>
      </c>
      <c r="H1023" s="1" t="s">
        <v>1096</v>
      </c>
      <c r="I1023" s="8">
        <f>C601</f>
        <v>53.4</v>
      </c>
      <c r="J1023" s="1" t="s">
        <v>835</v>
      </c>
      <c r="K1023" s="8">
        <f t="shared" si="135"/>
        <v>53.4</v>
      </c>
      <c r="AE1023" s="52">
        <f t="shared" si="131"/>
        <v>0</v>
      </c>
    </row>
    <row r="1024" spans="6:33" ht="24" customHeight="1">
      <c r="F1024" s="8">
        <v>3</v>
      </c>
      <c r="G1024" s="7" t="s">
        <v>835</v>
      </c>
      <c r="H1024" s="1" t="s">
        <v>1407</v>
      </c>
      <c r="I1024" s="8">
        <f>C282</f>
        <v>83</v>
      </c>
      <c r="J1024" s="1" t="s">
        <v>835</v>
      </c>
      <c r="K1024" s="8">
        <f t="shared" si="135"/>
        <v>249</v>
      </c>
      <c r="AE1024" s="52">
        <f t="shared" si="131"/>
        <v>0</v>
      </c>
    </row>
    <row r="1025" spans="6:31" ht="24" customHeight="1">
      <c r="F1025" s="8">
        <v>2</v>
      </c>
      <c r="G1025" s="7" t="s">
        <v>835</v>
      </c>
      <c r="H1025" s="1" t="s">
        <v>1408</v>
      </c>
      <c r="I1025" s="8">
        <f>C287</f>
        <v>60</v>
      </c>
      <c r="J1025" s="1" t="s">
        <v>835</v>
      </c>
      <c r="K1025" s="8">
        <f t="shared" si="135"/>
        <v>120</v>
      </c>
      <c r="AE1025" s="52">
        <f t="shared" si="131"/>
        <v>0</v>
      </c>
    </row>
    <row r="1026" spans="6:31" ht="24" customHeight="1">
      <c r="F1026" s="8">
        <v>1</v>
      </c>
      <c r="G1026" s="7" t="s">
        <v>835</v>
      </c>
      <c r="H1026" s="1" t="s">
        <v>1409</v>
      </c>
      <c r="I1026" s="8">
        <f>C289</f>
        <v>167.6</v>
      </c>
      <c r="J1026" s="1" t="s">
        <v>835</v>
      </c>
      <c r="K1026" s="8">
        <f t="shared" si="135"/>
        <v>167.6</v>
      </c>
      <c r="AE1026" s="52">
        <f t="shared" si="131"/>
        <v>0</v>
      </c>
    </row>
    <row r="1027" spans="6:31" ht="24" customHeight="1">
      <c r="F1027" s="8">
        <v>1</v>
      </c>
      <c r="G1027" s="7" t="s">
        <v>835</v>
      </c>
      <c r="H1027" s="1" t="s">
        <v>1410</v>
      </c>
      <c r="I1027" s="8">
        <f>C291</f>
        <v>7.3</v>
      </c>
      <c r="J1027" s="1" t="s">
        <v>835</v>
      </c>
      <c r="K1027" s="8">
        <f t="shared" si="135"/>
        <v>7.3</v>
      </c>
      <c r="AE1027" s="52">
        <f t="shared" si="131"/>
        <v>0</v>
      </c>
    </row>
    <row r="1028" spans="6:31" ht="24" customHeight="1">
      <c r="F1028" s="8">
        <v>1</v>
      </c>
      <c r="G1028" s="7" t="s">
        <v>835</v>
      </c>
      <c r="H1028" s="1" t="s">
        <v>1913</v>
      </c>
      <c r="I1028" s="8">
        <f>D601</f>
        <v>45.9</v>
      </c>
      <c r="J1028" s="1" t="s">
        <v>835</v>
      </c>
      <c r="K1028" s="8">
        <f t="shared" si="135"/>
        <v>45.9</v>
      </c>
      <c r="AE1028" s="52">
        <f t="shared" ref="AE1028:AE1037" si="136">AG1028</f>
        <v>0</v>
      </c>
    </row>
    <row r="1029" spans="6:31" ht="24" customHeight="1">
      <c r="F1029" s="8">
        <v>10</v>
      </c>
      <c r="G1029" s="7" t="s">
        <v>998</v>
      </c>
      <c r="H1029" s="1" t="s">
        <v>1102</v>
      </c>
      <c r="I1029" s="8">
        <f>I999</f>
        <v>2.39</v>
      </c>
      <c r="J1029" s="1" t="s">
        <v>835</v>
      </c>
      <c r="K1029" s="8">
        <f t="shared" si="135"/>
        <v>23.9</v>
      </c>
      <c r="M1029" s="2" t="s">
        <v>432</v>
      </c>
      <c r="N1029" s="7" t="s">
        <v>2167</v>
      </c>
      <c r="O1029" s="1" t="s">
        <v>2095</v>
      </c>
      <c r="Q1029" s="11"/>
      <c r="AE1029" s="52">
        <f t="shared" si="136"/>
        <v>0</v>
      </c>
    </row>
    <row r="1030" spans="6:31" ht="24" customHeight="1">
      <c r="K1030" s="5" t="s">
        <v>1530</v>
      </c>
      <c r="N1030" s="3"/>
      <c r="O1030" s="1" t="s">
        <v>2097</v>
      </c>
      <c r="Q1030" s="11"/>
      <c r="AE1030" s="52">
        <f t="shared" si="136"/>
        <v>0</v>
      </c>
    </row>
    <row r="1031" spans="6:31" ht="24" customHeight="1">
      <c r="H1031" s="1" t="s">
        <v>431</v>
      </c>
      <c r="K1031" s="8">
        <f>SUM(K1018:K1029)</f>
        <v>5853.08</v>
      </c>
      <c r="N1031" s="3"/>
      <c r="O1031" s="1" t="s">
        <v>2098</v>
      </c>
      <c r="Q1031" s="11"/>
      <c r="AE1031" s="52">
        <f t="shared" si="136"/>
        <v>0</v>
      </c>
    </row>
    <row r="1032" spans="6:31" ht="24" customHeight="1">
      <c r="K1032" s="5" t="s">
        <v>1530</v>
      </c>
      <c r="N1032" s="3"/>
      <c r="O1032" s="1" t="s">
        <v>2099</v>
      </c>
      <c r="Q1032" s="11"/>
      <c r="AE1032" s="52">
        <f t="shared" si="136"/>
        <v>0</v>
      </c>
    </row>
    <row r="1033" spans="6:31" ht="24" customHeight="1">
      <c r="H1033" s="59" t="s">
        <v>521</v>
      </c>
      <c r="K1033" s="39">
        <f>K1031/F1022</f>
        <v>4817.3500000000004</v>
      </c>
      <c r="N1033" s="3"/>
      <c r="O1033" s="1" t="s">
        <v>2100</v>
      </c>
      <c r="Q1033" s="11"/>
      <c r="AE1033" s="52">
        <f t="shared" si="136"/>
        <v>0</v>
      </c>
    </row>
    <row r="1034" spans="6:31" ht="24" customHeight="1">
      <c r="K1034" s="5" t="s">
        <v>1980</v>
      </c>
      <c r="N1034" s="3"/>
      <c r="O1034" s="1" t="s">
        <v>2101</v>
      </c>
      <c r="Q1034" s="11"/>
      <c r="AE1034" s="52">
        <f t="shared" si="136"/>
        <v>0</v>
      </c>
    </row>
    <row r="1035" spans="6:31" ht="24" customHeight="1">
      <c r="H1035" s="436" t="s">
        <v>3460</v>
      </c>
      <c r="I1035" s="437"/>
      <c r="J1035" s="438"/>
      <c r="K1035" s="436">
        <f>K915</f>
        <v>2034</v>
      </c>
      <c r="N1035" s="3"/>
      <c r="O1035" s="5" t="s">
        <v>1530</v>
      </c>
      <c r="Q1035" s="11"/>
      <c r="AE1035" s="52">
        <f t="shared" si="136"/>
        <v>0</v>
      </c>
    </row>
    <row r="1036" spans="6:31" ht="24" customHeight="1">
      <c r="F1036" s="2" t="s">
        <v>432</v>
      </c>
      <c r="G1036" s="7" t="s">
        <v>2167</v>
      </c>
      <c r="H1036" s="1" t="s">
        <v>2095</v>
      </c>
      <c r="N1036" s="3"/>
      <c r="O1036" s="1" t="s">
        <v>612</v>
      </c>
      <c r="Q1036" s="11"/>
      <c r="AE1036" s="52">
        <f t="shared" si="136"/>
        <v>0</v>
      </c>
    </row>
    <row r="1037" spans="6:31" ht="24" customHeight="1">
      <c r="H1037" s="1" t="s">
        <v>2097</v>
      </c>
      <c r="N1037" s="3"/>
      <c r="O1037" s="1" t="s">
        <v>2102</v>
      </c>
      <c r="Q1037" s="11"/>
      <c r="AE1037" s="52">
        <f t="shared" si="136"/>
        <v>0</v>
      </c>
    </row>
    <row r="1038" spans="6:31" ht="24" customHeight="1">
      <c r="H1038" s="1" t="s">
        <v>2098</v>
      </c>
      <c r="N1038" s="3"/>
      <c r="Q1038" s="1" t="s">
        <v>1530</v>
      </c>
      <c r="AE1038" s="52"/>
    </row>
    <row r="1039" spans="6:31" ht="24" customHeight="1">
      <c r="H1039" s="1" t="s">
        <v>2099</v>
      </c>
      <c r="N1039" s="3"/>
      <c r="O1039" s="1" t="s">
        <v>2103</v>
      </c>
      <c r="Q1039" s="11"/>
      <c r="AE1039" s="52">
        <f t="shared" ref="AE1039:AE1044" si="137">AG1039</f>
        <v>0</v>
      </c>
    </row>
    <row r="1040" spans="6:31" ht="24" customHeight="1">
      <c r="H1040" s="1" t="s">
        <v>2100</v>
      </c>
      <c r="N1040" s="3"/>
      <c r="O1040" s="1" t="s">
        <v>940</v>
      </c>
      <c r="P1040" s="1" t="s">
        <v>940</v>
      </c>
      <c r="Q1040" s="11"/>
      <c r="R1040" s="18" t="s">
        <v>940</v>
      </c>
      <c r="AE1040" s="52">
        <f t="shared" si="137"/>
        <v>0</v>
      </c>
    </row>
    <row r="1041" spans="6:33" ht="24" customHeight="1">
      <c r="H1041" s="1" t="s">
        <v>2101</v>
      </c>
      <c r="N1041" s="3"/>
      <c r="Q1041" s="1" t="s">
        <v>940</v>
      </c>
      <c r="R1041" s="1" t="s">
        <v>940</v>
      </c>
      <c r="AE1041" s="52">
        <f t="shared" si="137"/>
        <v>0</v>
      </c>
    </row>
    <row r="1042" spans="6:33" ht="24" customHeight="1">
      <c r="H1042" s="5" t="s">
        <v>1530</v>
      </c>
      <c r="N1042" s="3"/>
      <c r="O1042" s="1" t="s">
        <v>2032</v>
      </c>
      <c r="Q1042" s="18" t="s">
        <v>940</v>
      </c>
      <c r="R1042" s="18" t="s">
        <v>940</v>
      </c>
      <c r="AE1042" s="52">
        <f t="shared" si="137"/>
        <v>0</v>
      </c>
    </row>
    <row r="1043" spans="6:33" ht="24" customHeight="1">
      <c r="H1043" s="1" t="s">
        <v>612</v>
      </c>
      <c r="N1043" s="3"/>
      <c r="O1043" s="1" t="s">
        <v>109</v>
      </c>
      <c r="Q1043" s="11"/>
      <c r="R1043" s="18" t="s">
        <v>1683</v>
      </c>
      <c r="AE1043" s="52">
        <f t="shared" si="137"/>
        <v>0</v>
      </c>
    </row>
    <row r="1044" spans="6:33" ht="24" customHeight="1">
      <c r="H1044" s="1" t="s">
        <v>2102</v>
      </c>
      <c r="N1044" s="3"/>
      <c r="Q1044" s="11"/>
      <c r="R1044" s="1" t="s">
        <v>940</v>
      </c>
      <c r="AE1044" s="52">
        <f t="shared" si="137"/>
        <v>0</v>
      </c>
    </row>
    <row r="1045" spans="6:33" ht="24" customHeight="1">
      <c r="J1045" s="1" t="s">
        <v>1530</v>
      </c>
      <c r="N1045" s="3"/>
      <c r="Q1045" s="11"/>
      <c r="R1045" s="18" t="s">
        <v>940</v>
      </c>
      <c r="AB1045" s="2" t="s">
        <v>432</v>
      </c>
      <c r="AC1045" s="7" t="s">
        <v>2167</v>
      </c>
      <c r="AD1045" s="1" t="s">
        <v>1672</v>
      </c>
      <c r="AF1045" s="11"/>
    </row>
    <row r="1046" spans="6:33" ht="24" customHeight="1">
      <c r="H1046" s="1" t="s">
        <v>2103</v>
      </c>
      <c r="N1046" s="3"/>
      <c r="Q1046" s="11"/>
      <c r="R1046" s="1" t="s">
        <v>940</v>
      </c>
      <c r="AC1046" s="3"/>
      <c r="AD1046" s="1" t="s">
        <v>2097</v>
      </c>
      <c r="AF1046" s="11"/>
    </row>
    <row r="1047" spans="6:33" ht="24" customHeight="1">
      <c r="H1047" s="1" t="s">
        <v>940</v>
      </c>
      <c r="I1047" s="1" t="s">
        <v>940</v>
      </c>
      <c r="K1047" s="18" t="s">
        <v>940</v>
      </c>
      <c r="M1047" s="2" t="s">
        <v>1416</v>
      </c>
      <c r="N1047" s="7"/>
      <c r="O1047" s="1" t="s">
        <v>687</v>
      </c>
      <c r="Q1047" s="11"/>
      <c r="R1047" s="1" t="s">
        <v>940</v>
      </c>
      <c r="AC1047" s="3"/>
      <c r="AD1047" s="1" t="s">
        <v>2098</v>
      </c>
      <c r="AF1047" s="11"/>
    </row>
    <row r="1048" spans="6:33" ht="24" customHeight="1">
      <c r="J1048" s="1" t="s">
        <v>940</v>
      </c>
      <c r="K1048" s="1" t="s">
        <v>940</v>
      </c>
      <c r="N1048" s="3"/>
      <c r="O1048" s="5" t="s">
        <v>1530</v>
      </c>
      <c r="Q1048" s="11"/>
      <c r="AC1048" s="3"/>
      <c r="AD1048" s="1" t="s">
        <v>2099</v>
      </c>
      <c r="AF1048" s="11"/>
    </row>
    <row r="1049" spans="6:33" s="235" customFormat="1" ht="24" customHeight="1">
      <c r="F1049"/>
      <c r="G1049" s="3"/>
      <c r="H1049" s="1" t="s">
        <v>2032</v>
      </c>
      <c r="I1049"/>
      <c r="J1049" s="18" t="s">
        <v>940</v>
      </c>
      <c r="K1049" s="18" t="s">
        <v>940</v>
      </c>
      <c r="M1049" s="231">
        <v>1.153E-2</v>
      </c>
      <c r="N1049" s="232" t="s">
        <v>836</v>
      </c>
      <c r="O1049" s="233" t="s">
        <v>1704</v>
      </c>
      <c r="P1049" s="234">
        <f>C89</f>
        <v>34300</v>
      </c>
      <c r="Q1049" s="233" t="s">
        <v>836</v>
      </c>
      <c r="R1049" s="234">
        <f t="shared" ref="R1049:R1058" si="138">(M1049*P1049)</f>
        <v>395.48</v>
      </c>
      <c r="S1049" s="416"/>
      <c r="AB1049"/>
      <c r="AC1049" s="3"/>
      <c r="AD1049" s="1" t="s">
        <v>2100</v>
      </c>
      <c r="AE1049"/>
      <c r="AF1049" s="11"/>
      <c r="AG1049"/>
    </row>
    <row r="1050" spans="6:33" ht="24" customHeight="1">
      <c r="H1050" s="1" t="s">
        <v>109</v>
      </c>
      <c r="K1050" s="18" t="s">
        <v>1683</v>
      </c>
      <c r="M1050" s="19">
        <v>1.35E-2</v>
      </c>
      <c r="N1050" s="7" t="s">
        <v>836</v>
      </c>
      <c r="O1050" s="1" t="s">
        <v>1704</v>
      </c>
      <c r="P1050" s="8">
        <f>P1049</f>
        <v>34300</v>
      </c>
      <c r="Q1050" s="1" t="s">
        <v>836</v>
      </c>
      <c r="R1050" s="8">
        <f t="shared" si="138"/>
        <v>463.05</v>
      </c>
      <c r="S1050" s="13"/>
      <c r="AC1050" s="3"/>
      <c r="AD1050" s="1" t="s">
        <v>1673</v>
      </c>
      <c r="AF1050" s="11"/>
    </row>
    <row r="1051" spans="6:33" ht="24" customHeight="1">
      <c r="K1051" s="1" t="s">
        <v>940</v>
      </c>
      <c r="M1051" s="19">
        <v>1.016</v>
      </c>
      <c r="N1051" s="7" t="s">
        <v>578</v>
      </c>
      <c r="O1051" s="1" t="s">
        <v>2011</v>
      </c>
      <c r="P1051" s="8">
        <f>I1058</f>
        <v>387.4</v>
      </c>
      <c r="Q1051" s="1" t="s">
        <v>578</v>
      </c>
      <c r="R1051" s="8">
        <f t="shared" si="138"/>
        <v>393.6</v>
      </c>
      <c r="S1051" s="13"/>
      <c r="AC1051" s="3"/>
      <c r="AD1051" s="5" t="s">
        <v>1530</v>
      </c>
      <c r="AF1051" s="11"/>
    </row>
    <row r="1052" spans="6:33" ht="24" customHeight="1">
      <c r="K1052" s="18" t="s">
        <v>940</v>
      </c>
      <c r="M1052" s="19">
        <v>1.64</v>
      </c>
      <c r="N1052" s="7" t="s">
        <v>578</v>
      </c>
      <c r="O1052" s="1" t="s">
        <v>2012</v>
      </c>
      <c r="P1052" s="8">
        <f t="shared" ref="P1052:P1057" si="139">I1059</f>
        <v>1105</v>
      </c>
      <c r="Q1052" s="1" t="s">
        <v>578</v>
      </c>
      <c r="R1052" s="8">
        <f t="shared" si="138"/>
        <v>1812.2</v>
      </c>
      <c r="S1052" s="13"/>
      <c r="AC1052" s="3"/>
      <c r="AD1052" s="1" t="s">
        <v>1674</v>
      </c>
      <c r="AF1052" s="11"/>
    </row>
    <row r="1053" spans="6:33" ht="24" customHeight="1">
      <c r="K1053" s="1" t="s">
        <v>940</v>
      </c>
      <c r="M1053" s="8">
        <v>2</v>
      </c>
      <c r="N1053" s="7" t="s">
        <v>835</v>
      </c>
      <c r="O1053" s="1" t="s">
        <v>2013</v>
      </c>
      <c r="P1053" s="8">
        <f t="shared" si="139"/>
        <v>60</v>
      </c>
      <c r="Q1053" s="1" t="s">
        <v>835</v>
      </c>
      <c r="R1053" s="8">
        <f t="shared" si="138"/>
        <v>120</v>
      </c>
      <c r="S1053" s="13"/>
      <c r="AC1053" s="3"/>
      <c r="AD1053" s="1" t="s">
        <v>1675</v>
      </c>
      <c r="AF1053" s="11"/>
    </row>
    <row r="1054" spans="6:33" ht="24" customHeight="1">
      <c r="F1054" s="2" t="s">
        <v>1416</v>
      </c>
      <c r="G1054" s="7"/>
      <c r="H1054" s="1" t="s">
        <v>687</v>
      </c>
      <c r="K1054" s="1" t="s">
        <v>940</v>
      </c>
      <c r="M1054" s="8">
        <v>3</v>
      </c>
      <c r="N1054" s="7" t="s">
        <v>835</v>
      </c>
      <c r="O1054" s="1" t="s">
        <v>1460</v>
      </c>
      <c r="P1054" s="8">
        <f t="shared" si="139"/>
        <v>83</v>
      </c>
      <c r="Q1054" s="1" t="s">
        <v>835</v>
      </c>
      <c r="R1054" s="8">
        <f t="shared" si="138"/>
        <v>249</v>
      </c>
      <c r="S1054" s="13"/>
      <c r="AC1054" s="3"/>
      <c r="AF1054" s="1" t="s">
        <v>1530</v>
      </c>
    </row>
    <row r="1055" spans="6:33" ht="24" customHeight="1">
      <c r="H1055" s="5" t="s">
        <v>1530</v>
      </c>
      <c r="M1055" s="8">
        <v>1</v>
      </c>
      <c r="N1055" s="7" t="s">
        <v>835</v>
      </c>
      <c r="O1055" s="1" t="s">
        <v>1910</v>
      </c>
      <c r="P1055" s="8">
        <f t="shared" si="139"/>
        <v>167.6</v>
      </c>
      <c r="Q1055" s="1" t="s">
        <v>835</v>
      </c>
      <c r="R1055" s="8">
        <f t="shared" si="138"/>
        <v>167.6</v>
      </c>
      <c r="S1055" s="13"/>
      <c r="AC1055" s="3"/>
      <c r="AD1055" s="1" t="s">
        <v>1676</v>
      </c>
      <c r="AF1055" s="11"/>
    </row>
    <row r="1056" spans="6:33" ht="24" customHeight="1">
      <c r="F1056" s="231">
        <v>1.153E-2</v>
      </c>
      <c r="G1056" s="232" t="s">
        <v>836</v>
      </c>
      <c r="H1056" s="233" t="s">
        <v>660</v>
      </c>
      <c r="I1056" s="234">
        <f>C91</f>
        <v>111600</v>
      </c>
      <c r="J1056" s="233" t="s">
        <v>836</v>
      </c>
      <c r="K1056" s="234">
        <f t="shared" ref="K1056:K1066" si="140">(F1056*I1056)</f>
        <v>1286.75</v>
      </c>
      <c r="M1056" s="8">
        <v>1</v>
      </c>
      <c r="N1056" s="7" t="s">
        <v>835</v>
      </c>
      <c r="O1056" s="1" t="s">
        <v>1911</v>
      </c>
      <c r="P1056" s="8">
        <f t="shared" si="139"/>
        <v>7.3</v>
      </c>
      <c r="Q1056" s="1" t="s">
        <v>835</v>
      </c>
      <c r="R1056" s="8">
        <f t="shared" si="138"/>
        <v>7.3</v>
      </c>
      <c r="S1056" s="13"/>
      <c r="AC1056" s="3"/>
      <c r="AD1056" s="1" t="s">
        <v>940</v>
      </c>
      <c r="AE1056" s="1" t="s">
        <v>940</v>
      </c>
      <c r="AF1056" s="11"/>
      <c r="AG1056" s="18" t="s">
        <v>940</v>
      </c>
    </row>
    <row r="1057" spans="6:33" ht="24" customHeight="1">
      <c r="F1057" s="19">
        <v>1.35E-2</v>
      </c>
      <c r="G1057" s="7" t="s">
        <v>836</v>
      </c>
      <c r="H1057" s="1" t="s">
        <v>661</v>
      </c>
      <c r="I1057" s="8">
        <f>C92</f>
        <v>99400</v>
      </c>
      <c r="J1057" s="1" t="s">
        <v>836</v>
      </c>
      <c r="K1057" s="8">
        <f t="shared" si="140"/>
        <v>1341.9</v>
      </c>
      <c r="M1057" s="8">
        <v>1</v>
      </c>
      <c r="N1057" s="7" t="s">
        <v>835</v>
      </c>
      <c r="O1057" s="1" t="s">
        <v>1912</v>
      </c>
      <c r="P1057" s="8">
        <f t="shared" si="139"/>
        <v>53.4</v>
      </c>
      <c r="Q1057" s="1" t="s">
        <v>835</v>
      </c>
      <c r="R1057" s="8">
        <f t="shared" si="138"/>
        <v>53.4</v>
      </c>
      <c r="S1057" s="13"/>
      <c r="AC1057" s="3"/>
      <c r="AF1057" s="1" t="s">
        <v>940</v>
      </c>
      <c r="AG1057" s="1" t="s">
        <v>940</v>
      </c>
    </row>
    <row r="1058" spans="6:33" ht="24" customHeight="1">
      <c r="F1058" s="19">
        <v>1.016</v>
      </c>
      <c r="G1058" s="7" t="s">
        <v>578</v>
      </c>
      <c r="H1058" s="1" t="s">
        <v>2011</v>
      </c>
      <c r="I1058" s="8">
        <f>C786</f>
        <v>387.4</v>
      </c>
      <c r="J1058" s="1" t="s">
        <v>578</v>
      </c>
      <c r="K1058" s="8">
        <f t="shared" si="140"/>
        <v>393.6</v>
      </c>
      <c r="M1058" s="8">
        <v>1</v>
      </c>
      <c r="N1058" s="7" t="s">
        <v>835</v>
      </c>
      <c r="O1058" s="1" t="s">
        <v>1913</v>
      </c>
      <c r="P1058" s="8">
        <f>P956</f>
        <v>45.9</v>
      </c>
      <c r="Q1058" s="1" t="s">
        <v>835</v>
      </c>
      <c r="R1058" s="8">
        <f t="shared" si="138"/>
        <v>45.9</v>
      </c>
      <c r="S1058" s="13"/>
      <c r="AC1058" s="3"/>
      <c r="AD1058" s="1" t="s">
        <v>1677</v>
      </c>
      <c r="AF1058" s="18" t="s">
        <v>940</v>
      </c>
      <c r="AG1058" s="18" t="s">
        <v>940</v>
      </c>
    </row>
    <row r="1059" spans="6:33" ht="24" customHeight="1">
      <c r="F1059" s="19">
        <v>1.64</v>
      </c>
      <c r="G1059" s="7" t="s">
        <v>578</v>
      </c>
      <c r="H1059" s="1" t="s">
        <v>2012</v>
      </c>
      <c r="I1059" s="8">
        <f>D30</f>
        <v>1105</v>
      </c>
      <c r="J1059" s="1" t="s">
        <v>578</v>
      </c>
      <c r="K1059" s="8">
        <f t="shared" si="140"/>
        <v>1812.2</v>
      </c>
      <c r="N1059" s="3"/>
      <c r="Q1059" s="11"/>
      <c r="R1059" s="5" t="s">
        <v>1530</v>
      </c>
      <c r="S1059" s="417"/>
      <c r="AC1059" s="3"/>
      <c r="AD1059" s="1" t="s">
        <v>1678</v>
      </c>
      <c r="AF1059" s="11"/>
      <c r="AG1059" s="18" t="s">
        <v>1679</v>
      </c>
    </row>
    <row r="1060" spans="6:33" ht="24" customHeight="1">
      <c r="F1060" s="8">
        <v>2</v>
      </c>
      <c r="G1060" s="7" t="s">
        <v>835</v>
      </c>
      <c r="H1060" s="1" t="s">
        <v>2013</v>
      </c>
      <c r="I1060" s="8">
        <f>C287</f>
        <v>60</v>
      </c>
      <c r="J1060" s="1" t="s">
        <v>835</v>
      </c>
      <c r="K1060" s="8">
        <f t="shared" si="140"/>
        <v>120</v>
      </c>
      <c r="N1060" s="3"/>
      <c r="O1060" s="2" t="s">
        <v>1461</v>
      </c>
      <c r="Q1060" s="11"/>
      <c r="R1060" s="8">
        <f>SUM(R1049:R1058)</f>
        <v>3707.53</v>
      </c>
      <c r="S1060" s="13"/>
      <c r="AC1060" s="3"/>
      <c r="AF1060" s="11"/>
      <c r="AG1060" s="1" t="s">
        <v>940</v>
      </c>
    </row>
    <row r="1061" spans="6:33" ht="24" customHeight="1">
      <c r="F1061" s="8">
        <v>3</v>
      </c>
      <c r="G1061" s="7" t="s">
        <v>835</v>
      </c>
      <c r="H1061" s="1" t="s">
        <v>1460</v>
      </c>
      <c r="I1061" s="8">
        <f>C282</f>
        <v>83</v>
      </c>
      <c r="J1061" s="1" t="s">
        <v>835</v>
      </c>
      <c r="K1061" s="8">
        <f t="shared" si="140"/>
        <v>249</v>
      </c>
      <c r="N1061" s="7" t="s">
        <v>940</v>
      </c>
      <c r="Q1061" s="11"/>
      <c r="R1061" s="5" t="s">
        <v>1530</v>
      </c>
      <c r="S1061" s="417"/>
      <c r="AC1061" s="3"/>
      <c r="AF1061" s="11"/>
      <c r="AG1061" s="18" t="s">
        <v>940</v>
      </c>
    </row>
    <row r="1062" spans="6:33" ht="24" customHeight="1">
      <c r="F1062" s="8">
        <v>1</v>
      </c>
      <c r="G1062" s="7" t="s">
        <v>835</v>
      </c>
      <c r="H1062" s="1" t="s">
        <v>1910</v>
      </c>
      <c r="I1062" s="8">
        <f>C289</f>
        <v>167.6</v>
      </c>
      <c r="J1062" s="1" t="s">
        <v>835</v>
      </c>
      <c r="K1062" s="8">
        <f t="shared" si="140"/>
        <v>167.6</v>
      </c>
      <c r="N1062" s="3"/>
      <c r="O1062" s="59" t="s">
        <v>521</v>
      </c>
      <c r="Q1062" s="11"/>
      <c r="R1062" s="39">
        <f>R1060/M1052</f>
        <v>2260.69</v>
      </c>
      <c r="S1062" s="13"/>
      <c r="AC1062" s="3"/>
      <c r="AF1062" s="11"/>
      <c r="AG1062" s="1" t="s">
        <v>940</v>
      </c>
    </row>
    <row r="1063" spans="6:33" ht="24" customHeight="1">
      <c r="F1063" s="8">
        <v>1</v>
      </c>
      <c r="G1063" s="7" t="s">
        <v>835</v>
      </c>
      <c r="H1063" s="1" t="s">
        <v>1911</v>
      </c>
      <c r="I1063" s="8">
        <f>C291</f>
        <v>7.3</v>
      </c>
      <c r="J1063" s="1" t="s">
        <v>835</v>
      </c>
      <c r="K1063" s="8">
        <f t="shared" si="140"/>
        <v>7.3</v>
      </c>
      <c r="N1063" s="3"/>
      <c r="Q1063" s="11"/>
      <c r="R1063" s="5" t="s">
        <v>1980</v>
      </c>
      <c r="S1063" s="417" t="s">
        <v>1980</v>
      </c>
      <c r="AB1063" s="2" t="s">
        <v>1416</v>
      </c>
      <c r="AC1063" s="7"/>
      <c r="AD1063" s="1" t="s">
        <v>1681</v>
      </c>
      <c r="AF1063" s="11"/>
      <c r="AG1063" s="1" t="s">
        <v>940</v>
      </c>
    </row>
    <row r="1064" spans="6:33" ht="24" customHeight="1">
      <c r="F1064" s="8">
        <v>1</v>
      </c>
      <c r="G1064" s="7" t="s">
        <v>835</v>
      </c>
      <c r="H1064" s="1" t="s">
        <v>1097</v>
      </c>
      <c r="I1064" s="8">
        <f>C601</f>
        <v>53.4</v>
      </c>
      <c r="J1064" s="1" t="s">
        <v>835</v>
      </c>
      <c r="K1064" s="8">
        <f t="shared" si="140"/>
        <v>53.4</v>
      </c>
      <c r="M1064" s="2"/>
      <c r="N1064" s="7"/>
      <c r="O1064" s="1"/>
      <c r="Q1064" s="11"/>
      <c r="R1064" s="1" t="s">
        <v>940</v>
      </c>
      <c r="AC1064" s="3"/>
      <c r="AD1064" s="5" t="s">
        <v>1530</v>
      </c>
      <c r="AF1064" s="11"/>
    </row>
    <row r="1065" spans="6:33" ht="24" customHeight="1">
      <c r="F1065" s="8">
        <v>1</v>
      </c>
      <c r="G1065" s="7" t="s">
        <v>835</v>
      </c>
      <c r="H1065" s="1" t="s">
        <v>1913</v>
      </c>
      <c r="I1065" s="8">
        <f>D601</f>
        <v>45.9</v>
      </c>
      <c r="J1065" s="1" t="s">
        <v>835</v>
      </c>
      <c r="K1065" s="8">
        <f t="shared" si="140"/>
        <v>45.9</v>
      </c>
      <c r="M1065" s="2" t="s">
        <v>1416</v>
      </c>
      <c r="N1065" s="7"/>
      <c r="O1065" s="1" t="s">
        <v>1750</v>
      </c>
      <c r="Q1065" s="11"/>
      <c r="R1065" s="1" t="s">
        <v>940</v>
      </c>
      <c r="AB1065" s="231">
        <v>2.3060000000000001E-2</v>
      </c>
      <c r="AC1065" s="232" t="s">
        <v>836</v>
      </c>
      <c r="AD1065" s="233" t="s">
        <v>660</v>
      </c>
      <c r="AE1065" s="234">
        <f>I1056</f>
        <v>111600</v>
      </c>
      <c r="AF1065" s="233" t="s">
        <v>836</v>
      </c>
      <c r="AG1065" s="234">
        <f t="shared" ref="AG1065:AG1075" si="141">(AB1065*AE1065)</f>
        <v>2573.5</v>
      </c>
    </row>
    <row r="1066" spans="6:33" ht="24" customHeight="1">
      <c r="F1066" s="8">
        <v>58</v>
      </c>
      <c r="G1066" s="7" t="s">
        <v>998</v>
      </c>
      <c r="H1066" s="1" t="s">
        <v>1102</v>
      </c>
      <c r="I1066">
        <f>I1029</f>
        <v>2.39</v>
      </c>
      <c r="J1066" s="1" t="s">
        <v>835</v>
      </c>
      <c r="K1066" s="8">
        <f t="shared" si="140"/>
        <v>138.62</v>
      </c>
      <c r="N1066" s="3"/>
      <c r="O1066" s="5" t="s">
        <v>1530</v>
      </c>
      <c r="Q1066" s="11"/>
      <c r="AB1066" s="19">
        <v>1.856E-2</v>
      </c>
      <c r="AC1066" s="7" t="s">
        <v>836</v>
      </c>
      <c r="AD1066" s="1" t="s">
        <v>661</v>
      </c>
      <c r="AE1066" s="234">
        <f t="shared" ref="AE1066:AE1074" si="142">I1057</f>
        <v>99400</v>
      </c>
      <c r="AF1066" s="1" t="s">
        <v>836</v>
      </c>
      <c r="AG1066" s="8">
        <f t="shared" si="141"/>
        <v>1844.86</v>
      </c>
    </row>
    <row r="1067" spans="6:33" ht="24" customHeight="1">
      <c r="H1067" s="2" t="s">
        <v>1461</v>
      </c>
      <c r="K1067" s="8">
        <f>SUM(K1056:K1066)</f>
        <v>5616.27</v>
      </c>
      <c r="M1067" s="231">
        <v>1.153E-2</v>
      </c>
      <c r="N1067" s="232" t="s">
        <v>836</v>
      </c>
      <c r="O1067" s="233" t="s">
        <v>660</v>
      </c>
      <c r="P1067" s="234">
        <f>I1056</f>
        <v>111600</v>
      </c>
      <c r="Q1067" s="233" t="s">
        <v>836</v>
      </c>
      <c r="R1067" s="234">
        <f t="shared" ref="R1067:R1077" si="143">(M1067*P1067)</f>
        <v>1286.75</v>
      </c>
      <c r="AB1067" s="19">
        <v>1.4</v>
      </c>
      <c r="AC1067" s="7" t="s">
        <v>578</v>
      </c>
      <c r="AD1067" s="1" t="s">
        <v>2011</v>
      </c>
      <c r="AE1067" s="234">
        <f t="shared" si="142"/>
        <v>387.4</v>
      </c>
      <c r="AF1067" s="1" t="s">
        <v>578</v>
      </c>
      <c r="AG1067" s="8">
        <f t="shared" si="141"/>
        <v>542.36</v>
      </c>
    </row>
    <row r="1068" spans="6:33" ht="24" customHeight="1">
      <c r="G1068" s="7" t="s">
        <v>940</v>
      </c>
      <c r="K1068" s="5" t="s">
        <v>1530</v>
      </c>
      <c r="M1068" s="19">
        <v>1.52E-2</v>
      </c>
      <c r="N1068" s="7" t="s">
        <v>836</v>
      </c>
      <c r="O1068" s="1" t="s">
        <v>661</v>
      </c>
      <c r="P1068" s="234">
        <f t="shared" ref="P1068:P1076" si="144">I1057</f>
        <v>99400</v>
      </c>
      <c r="Q1068" s="1" t="s">
        <v>836</v>
      </c>
      <c r="R1068" s="8">
        <f t="shared" si="143"/>
        <v>1510.88</v>
      </c>
      <c r="AB1068" s="19">
        <v>2.2549999999999999</v>
      </c>
      <c r="AC1068" s="7" t="s">
        <v>578</v>
      </c>
      <c r="AD1068" s="1" t="s">
        <v>2012</v>
      </c>
      <c r="AE1068" s="234">
        <f t="shared" si="142"/>
        <v>1105</v>
      </c>
      <c r="AF1068" s="1" t="s">
        <v>578</v>
      </c>
      <c r="AG1068" s="8">
        <f t="shared" si="141"/>
        <v>2491.7800000000002</v>
      </c>
    </row>
    <row r="1069" spans="6:33" ht="24" customHeight="1">
      <c r="H1069" s="59" t="s">
        <v>521</v>
      </c>
      <c r="K1069" s="39">
        <f>K1067/F1059</f>
        <v>3424.55</v>
      </c>
      <c r="M1069" s="19">
        <v>1.26</v>
      </c>
      <c r="N1069" s="7" t="s">
        <v>578</v>
      </c>
      <c r="O1069" s="1" t="s">
        <v>2011</v>
      </c>
      <c r="P1069" s="234">
        <f t="shared" si="144"/>
        <v>387.4</v>
      </c>
      <c r="Q1069" s="1" t="s">
        <v>578</v>
      </c>
      <c r="R1069" s="8">
        <f t="shared" si="143"/>
        <v>488.12</v>
      </c>
      <c r="AB1069" s="8">
        <v>4</v>
      </c>
      <c r="AC1069" s="7" t="s">
        <v>835</v>
      </c>
      <c r="AD1069" s="1" t="s">
        <v>2013</v>
      </c>
      <c r="AE1069" s="234">
        <f t="shared" si="142"/>
        <v>60</v>
      </c>
      <c r="AF1069" s="1" t="s">
        <v>835</v>
      </c>
      <c r="AG1069" s="8">
        <f t="shared" si="141"/>
        <v>240</v>
      </c>
    </row>
    <row r="1070" spans="6:33" ht="24" customHeight="1">
      <c r="K1070" s="5" t="s">
        <v>1980</v>
      </c>
      <c r="M1070" s="19">
        <v>1.845</v>
      </c>
      <c r="N1070" s="7" t="s">
        <v>578</v>
      </c>
      <c r="O1070" s="1" t="s">
        <v>2012</v>
      </c>
      <c r="P1070" s="234">
        <f t="shared" si="144"/>
        <v>1105</v>
      </c>
      <c r="Q1070" s="1" t="s">
        <v>578</v>
      </c>
      <c r="R1070" s="8">
        <f t="shared" si="143"/>
        <v>2038.73</v>
      </c>
      <c r="AB1070" s="8">
        <v>6</v>
      </c>
      <c r="AC1070" s="7" t="s">
        <v>835</v>
      </c>
      <c r="AD1070" s="1" t="s">
        <v>1460</v>
      </c>
      <c r="AE1070" s="234">
        <f t="shared" si="142"/>
        <v>83</v>
      </c>
      <c r="AF1070" s="1" t="s">
        <v>835</v>
      </c>
      <c r="AG1070" s="8">
        <f t="shared" si="141"/>
        <v>498</v>
      </c>
    </row>
    <row r="1071" spans="6:33" ht="24" customHeight="1">
      <c r="F1071" s="2" t="s">
        <v>1518</v>
      </c>
      <c r="H1071" s="1" t="s">
        <v>1287</v>
      </c>
      <c r="M1071" s="8">
        <v>2</v>
      </c>
      <c r="N1071" s="7" t="s">
        <v>835</v>
      </c>
      <c r="O1071" s="1" t="s">
        <v>2013</v>
      </c>
      <c r="P1071" s="234">
        <f t="shared" si="144"/>
        <v>60</v>
      </c>
      <c r="Q1071" s="1" t="s">
        <v>835</v>
      </c>
      <c r="R1071" s="8">
        <f t="shared" si="143"/>
        <v>120</v>
      </c>
      <c r="AB1071" s="8">
        <v>1</v>
      </c>
      <c r="AC1071" s="7" t="s">
        <v>835</v>
      </c>
      <c r="AD1071" s="1" t="s">
        <v>1910</v>
      </c>
      <c r="AE1071" s="234">
        <f t="shared" si="142"/>
        <v>167.6</v>
      </c>
      <c r="AF1071" s="1" t="s">
        <v>835</v>
      </c>
      <c r="AG1071" s="8">
        <f t="shared" si="141"/>
        <v>167.6</v>
      </c>
    </row>
    <row r="1072" spans="6:33" ht="24" customHeight="1">
      <c r="H1072" s="1" t="s">
        <v>1288</v>
      </c>
      <c r="M1072" s="8">
        <v>3</v>
      </c>
      <c r="N1072" s="7" t="s">
        <v>835</v>
      </c>
      <c r="O1072" s="1" t="s">
        <v>1460</v>
      </c>
      <c r="P1072" s="234">
        <f t="shared" si="144"/>
        <v>83</v>
      </c>
      <c r="Q1072" s="1" t="s">
        <v>835</v>
      </c>
      <c r="R1072" s="8">
        <f t="shared" si="143"/>
        <v>249</v>
      </c>
      <c r="AB1072" s="8">
        <v>2</v>
      </c>
      <c r="AC1072" s="7" t="s">
        <v>835</v>
      </c>
      <c r="AD1072" s="1" t="s">
        <v>1911</v>
      </c>
      <c r="AE1072" s="234">
        <f t="shared" si="142"/>
        <v>7.3</v>
      </c>
      <c r="AF1072" s="1" t="s">
        <v>835</v>
      </c>
      <c r="AG1072" s="8">
        <f t="shared" si="141"/>
        <v>14.6</v>
      </c>
    </row>
    <row r="1073" spans="6:33" ht="24" customHeight="1">
      <c r="H1073" s="5" t="s">
        <v>1530</v>
      </c>
      <c r="M1073" s="8">
        <v>1</v>
      </c>
      <c r="N1073" s="7" t="s">
        <v>835</v>
      </c>
      <c r="O1073" s="1" t="s">
        <v>1910</v>
      </c>
      <c r="P1073" s="234">
        <f t="shared" si="144"/>
        <v>167.6</v>
      </c>
      <c r="Q1073" s="1" t="s">
        <v>835</v>
      </c>
      <c r="R1073" s="8">
        <f t="shared" si="143"/>
        <v>167.6</v>
      </c>
      <c r="AB1073" s="8">
        <v>2</v>
      </c>
      <c r="AC1073" s="7" t="s">
        <v>835</v>
      </c>
      <c r="AD1073" s="1" t="s">
        <v>1097</v>
      </c>
      <c r="AE1073" s="234">
        <f t="shared" si="142"/>
        <v>53.4</v>
      </c>
      <c r="AF1073" s="1" t="s">
        <v>835</v>
      </c>
      <c r="AG1073" s="8">
        <f t="shared" si="141"/>
        <v>106.8</v>
      </c>
    </row>
    <row r="1074" spans="6:33" ht="24" customHeight="1">
      <c r="F1074" s="19">
        <v>6.6499999999999997E-3</v>
      </c>
      <c r="G1074" s="7" t="s">
        <v>1289</v>
      </c>
      <c r="H1074" s="1" t="s">
        <v>1290</v>
      </c>
      <c r="I1074" s="8">
        <f>C92</f>
        <v>99400</v>
      </c>
      <c r="J1074" s="1" t="s">
        <v>836</v>
      </c>
      <c r="K1074" s="8">
        <f t="shared" ref="K1074:K1081" si="145">(F1074*I1074)</f>
        <v>661.01</v>
      </c>
      <c r="M1074" s="8">
        <v>1</v>
      </c>
      <c r="N1074" s="7" t="s">
        <v>835</v>
      </c>
      <c r="O1074" s="1" t="s">
        <v>1911</v>
      </c>
      <c r="P1074" s="234">
        <f t="shared" si="144"/>
        <v>7.3</v>
      </c>
      <c r="Q1074" s="1" t="s">
        <v>835</v>
      </c>
      <c r="R1074" s="8">
        <f t="shared" si="143"/>
        <v>7.3</v>
      </c>
      <c r="AB1074" s="8">
        <v>2</v>
      </c>
      <c r="AC1074" s="7" t="s">
        <v>835</v>
      </c>
      <c r="AD1074" s="1" t="s">
        <v>1913</v>
      </c>
      <c r="AE1074" s="234">
        <f t="shared" si="142"/>
        <v>45.9</v>
      </c>
      <c r="AF1074" s="1" t="s">
        <v>835</v>
      </c>
      <c r="AG1074" s="8">
        <f t="shared" si="141"/>
        <v>91.8</v>
      </c>
    </row>
    <row r="1075" spans="6:33" ht="24" customHeight="1">
      <c r="F1075" s="19">
        <v>0.32346000000000003</v>
      </c>
      <c r="G1075" s="7" t="s">
        <v>578</v>
      </c>
      <c r="H1075" s="1" t="s">
        <v>1553</v>
      </c>
      <c r="I1075" s="171">
        <v>208.8</v>
      </c>
      <c r="J1075" s="1" t="s">
        <v>836</v>
      </c>
      <c r="K1075" s="8">
        <f t="shared" si="145"/>
        <v>67.540000000000006</v>
      </c>
      <c r="M1075" s="8">
        <v>1</v>
      </c>
      <c r="N1075" s="7" t="s">
        <v>835</v>
      </c>
      <c r="O1075" s="1" t="s">
        <v>1097</v>
      </c>
      <c r="P1075" s="234">
        <f t="shared" si="144"/>
        <v>53.4</v>
      </c>
      <c r="Q1075" s="1" t="s">
        <v>835</v>
      </c>
      <c r="R1075" s="8">
        <f t="shared" si="143"/>
        <v>53.4</v>
      </c>
      <c r="AB1075" s="8">
        <v>118</v>
      </c>
      <c r="AC1075" s="7" t="s">
        <v>835</v>
      </c>
      <c r="AD1075" s="1" t="s">
        <v>1102</v>
      </c>
      <c r="AE1075" s="234">
        <f>I1066</f>
        <v>2.39</v>
      </c>
      <c r="AF1075" s="11"/>
      <c r="AG1075" s="8">
        <f t="shared" si="141"/>
        <v>282.02</v>
      </c>
    </row>
    <row r="1076" spans="6:33" ht="24" customHeight="1">
      <c r="F1076" s="19">
        <v>0.47660000000000002</v>
      </c>
      <c r="G1076" s="7" t="s">
        <v>578</v>
      </c>
      <c r="H1076" s="1" t="s">
        <v>2012</v>
      </c>
      <c r="I1076" s="8">
        <f>D31</f>
        <v>1239</v>
      </c>
      <c r="J1076" s="1" t="s">
        <v>578</v>
      </c>
      <c r="K1076" s="8">
        <f t="shared" si="145"/>
        <v>590.51</v>
      </c>
      <c r="M1076" s="8">
        <v>1</v>
      </c>
      <c r="N1076" s="7" t="s">
        <v>835</v>
      </c>
      <c r="O1076" s="1" t="s">
        <v>1913</v>
      </c>
      <c r="P1076" s="234">
        <f t="shared" si="144"/>
        <v>45.9</v>
      </c>
      <c r="Q1076" s="1" t="s">
        <v>835</v>
      </c>
      <c r="R1076" s="8">
        <f t="shared" si="143"/>
        <v>45.9</v>
      </c>
      <c r="AC1076" s="3"/>
      <c r="AD1076" s="2" t="s">
        <v>1680</v>
      </c>
      <c r="AF1076" s="11"/>
      <c r="AG1076" s="8">
        <f>SUM(AG1065:AG1075)</f>
        <v>8853.32</v>
      </c>
    </row>
    <row r="1077" spans="6:33" ht="24" customHeight="1">
      <c r="F1077" s="8">
        <v>3</v>
      </c>
      <c r="G1077" s="7" t="s">
        <v>835</v>
      </c>
      <c r="H1077" s="1" t="s">
        <v>1291</v>
      </c>
      <c r="I1077" s="8">
        <f>C285</f>
        <v>45.7</v>
      </c>
      <c r="J1077" s="1" t="s">
        <v>835</v>
      </c>
      <c r="K1077" s="8">
        <f t="shared" si="145"/>
        <v>137.1</v>
      </c>
      <c r="M1077" s="8">
        <v>58</v>
      </c>
      <c r="N1077" s="3"/>
      <c r="O1077" s="1" t="s">
        <v>1685</v>
      </c>
      <c r="P1077" s="234">
        <f>I1081</f>
        <v>2.39</v>
      </c>
      <c r="Q1077" s="11"/>
      <c r="R1077" s="8">
        <f t="shared" si="143"/>
        <v>138.62</v>
      </c>
      <c r="AC1077" s="7" t="s">
        <v>940</v>
      </c>
      <c r="AF1077" s="11"/>
      <c r="AG1077" s="5" t="s">
        <v>1530</v>
      </c>
    </row>
    <row r="1078" spans="6:33" ht="24" customHeight="1">
      <c r="F1078" s="8">
        <v>2</v>
      </c>
      <c r="G1078" s="7" t="s">
        <v>835</v>
      </c>
      <c r="H1078" s="1" t="s">
        <v>2028</v>
      </c>
      <c r="I1078" s="8">
        <f>C288</f>
        <v>36.799999999999997</v>
      </c>
      <c r="J1078" s="1" t="s">
        <v>835</v>
      </c>
      <c r="K1078" s="8">
        <f t="shared" si="145"/>
        <v>73.599999999999994</v>
      </c>
      <c r="N1078" s="3"/>
      <c r="O1078" s="2" t="s">
        <v>4298</v>
      </c>
      <c r="Q1078" s="11"/>
      <c r="R1078" s="8">
        <f>SUM(R1067:R1077)</f>
        <v>6106.3</v>
      </c>
      <c r="AC1078" s="3"/>
      <c r="AD1078" s="59" t="s">
        <v>521</v>
      </c>
      <c r="AF1078" s="11"/>
      <c r="AG1078" s="39">
        <f>AG1076/AB1068</f>
        <v>3926.08</v>
      </c>
    </row>
    <row r="1079" spans="6:33" ht="24" customHeight="1">
      <c r="F1079" s="8">
        <v>1</v>
      </c>
      <c r="G1079" s="7" t="s">
        <v>835</v>
      </c>
      <c r="H1079" s="1" t="s">
        <v>2029</v>
      </c>
      <c r="I1079" s="491">
        <f>I1063</f>
        <v>7.3</v>
      </c>
      <c r="J1079" s="1" t="s">
        <v>835</v>
      </c>
      <c r="K1079" s="8">
        <f t="shared" si="145"/>
        <v>7.3</v>
      </c>
      <c r="N1079" s="7" t="s">
        <v>940</v>
      </c>
      <c r="Q1079" s="11"/>
      <c r="R1079" s="5" t="s">
        <v>1530</v>
      </c>
      <c r="AC1079" s="3"/>
      <c r="AF1079" s="11"/>
      <c r="AG1079" s="5" t="s">
        <v>1980</v>
      </c>
    </row>
    <row r="1080" spans="6:33" ht="24" customHeight="1">
      <c r="F1080" s="8">
        <v>1</v>
      </c>
      <c r="G1080" s="7" t="s">
        <v>835</v>
      </c>
      <c r="H1080" s="1" t="s">
        <v>2030</v>
      </c>
      <c r="I1080" s="8">
        <f>C295</f>
        <v>8.9</v>
      </c>
      <c r="J1080" s="1" t="s">
        <v>835</v>
      </c>
      <c r="K1080" s="8">
        <f t="shared" si="145"/>
        <v>8.9</v>
      </c>
      <c r="N1080" s="3"/>
      <c r="O1080" s="59" t="s">
        <v>521</v>
      </c>
      <c r="Q1080" s="11"/>
      <c r="R1080" s="39">
        <f>R1078/M1070</f>
        <v>3309.65</v>
      </c>
      <c r="AE1080" s="52">
        <f t="shared" ref="AE1080:AE1092" si="146">AG1080</f>
        <v>0</v>
      </c>
    </row>
    <row r="1081" spans="6:33" ht="24" customHeight="1">
      <c r="F1081" s="8">
        <v>24</v>
      </c>
      <c r="H1081" s="1" t="s">
        <v>1102</v>
      </c>
      <c r="I1081">
        <f>I1066</f>
        <v>2.39</v>
      </c>
      <c r="J1081" s="1" t="s">
        <v>835</v>
      </c>
      <c r="K1081" s="8">
        <f t="shared" si="145"/>
        <v>57.36</v>
      </c>
      <c r="N1081" s="3"/>
      <c r="Q1081" s="11"/>
      <c r="R1081" s="5" t="s">
        <v>1980</v>
      </c>
      <c r="AE1081" s="52">
        <f t="shared" si="146"/>
        <v>0</v>
      </c>
    </row>
    <row r="1082" spans="6:33" ht="24" customHeight="1">
      <c r="H1082" s="2" t="s">
        <v>2031</v>
      </c>
      <c r="K1082" s="8">
        <f>SUM(K1074:K1081)</f>
        <v>1603.32</v>
      </c>
      <c r="AE1082" s="52">
        <f t="shared" si="146"/>
        <v>0</v>
      </c>
    </row>
    <row r="1083" spans="6:33" ht="24" customHeight="1">
      <c r="K1083" s="5" t="s">
        <v>1530</v>
      </c>
      <c r="AE1083" s="52">
        <f t="shared" si="146"/>
        <v>0</v>
      </c>
    </row>
    <row r="1084" spans="6:33" ht="24" customHeight="1">
      <c r="H1084" s="59" t="s">
        <v>521</v>
      </c>
      <c r="I1084" s="1" t="s">
        <v>940</v>
      </c>
      <c r="K1084" s="39">
        <f>K1082/F1076</f>
        <v>3364.08</v>
      </c>
      <c r="AE1084" s="52">
        <f t="shared" si="146"/>
        <v>0</v>
      </c>
    </row>
    <row r="1085" spans="6:33" ht="24" customHeight="1">
      <c r="K1085" s="5" t="s">
        <v>1980</v>
      </c>
      <c r="AE1085" s="52">
        <f t="shared" si="146"/>
        <v>0</v>
      </c>
    </row>
    <row r="1086" spans="6:33" ht="24" customHeight="1">
      <c r="F1086" s="2" t="s">
        <v>1560</v>
      </c>
      <c r="G1086" s="7" t="s">
        <v>2167</v>
      </c>
      <c r="H1086" s="1" t="s">
        <v>1287</v>
      </c>
      <c r="AE1086" s="52">
        <f t="shared" si="146"/>
        <v>0</v>
      </c>
    </row>
    <row r="1087" spans="6:33" ht="24" customHeight="1">
      <c r="H1087" s="1" t="s">
        <v>676</v>
      </c>
      <c r="N1087" s="1" t="s">
        <v>240</v>
      </c>
      <c r="AE1087" s="52">
        <f t="shared" si="146"/>
        <v>0</v>
      </c>
    </row>
    <row r="1088" spans="6:33" ht="24" customHeight="1">
      <c r="H1088" s="5" t="s">
        <v>1530</v>
      </c>
      <c r="N1088" s="1" t="s">
        <v>241</v>
      </c>
      <c r="AE1088" s="52">
        <f t="shared" si="146"/>
        <v>0</v>
      </c>
    </row>
    <row r="1089" spans="6:31" ht="24" customHeight="1">
      <c r="F1089" s="19">
        <v>5.4000000000000003E-3</v>
      </c>
      <c r="G1089" s="7" t="s">
        <v>1289</v>
      </c>
      <c r="H1089" s="1" t="s">
        <v>1290</v>
      </c>
      <c r="I1089" s="8">
        <f>C92</f>
        <v>99400</v>
      </c>
      <c r="J1089" s="1" t="s">
        <v>836</v>
      </c>
      <c r="K1089" s="8">
        <f t="shared" ref="K1089:K1096" si="147">(F1089*I1089)</f>
        <v>536.76</v>
      </c>
      <c r="N1089" s="1" t="s">
        <v>1682</v>
      </c>
      <c r="AE1089" s="52">
        <f t="shared" si="146"/>
        <v>0</v>
      </c>
    </row>
    <row r="1090" spans="6:31" ht="24" customHeight="1">
      <c r="F1090" s="19">
        <v>0.23871000000000001</v>
      </c>
      <c r="G1090" s="7" t="s">
        <v>578</v>
      </c>
      <c r="H1090" s="512" t="str">
        <f>H1075</f>
        <v>frosted glass 4mmthick</v>
      </c>
      <c r="I1090" s="491">
        <f>I1075</f>
        <v>208.8</v>
      </c>
      <c r="J1090" s="1" t="s">
        <v>836</v>
      </c>
      <c r="K1090" s="8">
        <f t="shared" si="147"/>
        <v>49.84</v>
      </c>
      <c r="AE1090" s="52">
        <f t="shared" si="146"/>
        <v>0</v>
      </c>
    </row>
    <row r="1091" spans="6:31" ht="24" customHeight="1">
      <c r="F1091" s="19">
        <v>0.36199999999999999</v>
      </c>
      <c r="G1091" s="7" t="s">
        <v>578</v>
      </c>
      <c r="H1091" s="1" t="s">
        <v>2012</v>
      </c>
      <c r="I1091" s="8">
        <f>D31</f>
        <v>1239</v>
      </c>
      <c r="J1091" s="1" t="s">
        <v>578</v>
      </c>
      <c r="K1091" s="8">
        <f t="shared" si="147"/>
        <v>448.52</v>
      </c>
      <c r="AE1091" s="52">
        <f t="shared" si="146"/>
        <v>0</v>
      </c>
    </row>
    <row r="1092" spans="6:31" ht="24" customHeight="1">
      <c r="F1092" s="8">
        <v>3</v>
      </c>
      <c r="G1092" s="7" t="s">
        <v>835</v>
      </c>
      <c r="H1092" s="1" t="s">
        <v>1291</v>
      </c>
      <c r="I1092" s="8">
        <f>C285</f>
        <v>45.7</v>
      </c>
      <c r="J1092" s="1" t="s">
        <v>835</v>
      </c>
      <c r="K1092" s="8">
        <f t="shared" si="147"/>
        <v>137.1</v>
      </c>
      <c r="M1092" s="15">
        <v>2.2800000000000001E-2</v>
      </c>
      <c r="N1092" s="7" t="s">
        <v>836</v>
      </c>
      <c r="O1092" s="1" t="s">
        <v>287</v>
      </c>
      <c r="P1092" s="8">
        <f>I1056</f>
        <v>111600</v>
      </c>
      <c r="Q1092" s="1" t="s">
        <v>836</v>
      </c>
      <c r="R1092" s="8">
        <f>P1092*M1092</f>
        <v>2544.48</v>
      </c>
      <c r="AE1092" s="52">
        <f t="shared" si="146"/>
        <v>0</v>
      </c>
    </row>
    <row r="1093" spans="6:31" ht="24" customHeight="1">
      <c r="F1093" s="8">
        <v>2</v>
      </c>
      <c r="G1093" s="7" t="s">
        <v>835</v>
      </c>
      <c r="H1093" s="1" t="s">
        <v>2028</v>
      </c>
      <c r="I1093" s="8">
        <f>C288</f>
        <v>36.799999999999997</v>
      </c>
      <c r="J1093" s="1" t="s">
        <v>835</v>
      </c>
      <c r="K1093" s="8">
        <f t="shared" si="147"/>
        <v>73.599999999999994</v>
      </c>
      <c r="M1093" s="15">
        <v>4.2999999999999997E-2</v>
      </c>
      <c r="N1093" s="7" t="s">
        <v>836</v>
      </c>
      <c r="O1093" s="1" t="s">
        <v>288</v>
      </c>
      <c r="P1093" s="8">
        <f>I1057</f>
        <v>99400</v>
      </c>
      <c r="Q1093" s="1" t="s">
        <v>836</v>
      </c>
      <c r="R1093" s="8">
        <f t="shared" ref="R1093:R1103" si="148">P1093*M1093</f>
        <v>4274.2</v>
      </c>
      <c r="AE1093" s="52">
        <f t="shared" ref="AE1093:AE1159" si="149">AG1093</f>
        <v>0</v>
      </c>
    </row>
    <row r="1094" spans="6:31" ht="24" customHeight="1">
      <c r="F1094" s="8">
        <v>1</v>
      </c>
      <c r="G1094" s="7" t="s">
        <v>835</v>
      </c>
      <c r="H1094" s="1" t="s">
        <v>2029</v>
      </c>
      <c r="I1094" s="491">
        <f>I1079</f>
        <v>7.3</v>
      </c>
      <c r="J1094" s="1" t="s">
        <v>835</v>
      </c>
      <c r="K1094" s="8">
        <f t="shared" si="147"/>
        <v>7.3</v>
      </c>
      <c r="M1094" s="15">
        <v>4.0800000000000003E-2</v>
      </c>
      <c r="N1094" s="7" t="s">
        <v>836</v>
      </c>
      <c r="O1094" s="1" t="s">
        <v>289</v>
      </c>
      <c r="P1094" s="8">
        <f>I1020</f>
        <v>95000</v>
      </c>
      <c r="Q1094" s="1" t="s">
        <v>836</v>
      </c>
      <c r="R1094" s="8">
        <f t="shared" si="148"/>
        <v>3876</v>
      </c>
      <c r="AE1094" s="52">
        <f t="shared" si="149"/>
        <v>0</v>
      </c>
    </row>
    <row r="1095" spans="6:31" ht="24" customHeight="1">
      <c r="F1095" s="8">
        <v>1</v>
      </c>
      <c r="G1095" s="7" t="s">
        <v>835</v>
      </c>
      <c r="H1095" s="1" t="s">
        <v>2030</v>
      </c>
      <c r="I1095" s="8">
        <f>C295</f>
        <v>8.9</v>
      </c>
      <c r="J1095" s="1" t="s">
        <v>835</v>
      </c>
      <c r="K1095" s="8">
        <f t="shared" si="147"/>
        <v>8.9</v>
      </c>
      <c r="M1095" s="15"/>
      <c r="N1095" s="3"/>
      <c r="O1095" s="1" t="s">
        <v>909</v>
      </c>
      <c r="P1095" s="8"/>
      <c r="Q1095" s="11"/>
      <c r="R1095" s="8">
        <f t="shared" si="148"/>
        <v>0</v>
      </c>
      <c r="AE1095" s="52">
        <f t="shared" si="149"/>
        <v>0</v>
      </c>
    </row>
    <row r="1096" spans="6:31" ht="24" customHeight="1">
      <c r="F1096" s="8">
        <v>10</v>
      </c>
      <c r="H1096" s="1" t="s">
        <v>1102</v>
      </c>
      <c r="I1096" s="8">
        <f>I1081</f>
        <v>2.39</v>
      </c>
      <c r="J1096" s="1" t="s">
        <v>835</v>
      </c>
      <c r="K1096" s="8">
        <f t="shared" si="147"/>
        <v>23.9</v>
      </c>
      <c r="M1096" s="15">
        <v>3.4424999999999999</v>
      </c>
      <c r="N1096" s="7" t="s">
        <v>578</v>
      </c>
      <c r="O1096" s="1" t="s">
        <v>417</v>
      </c>
      <c r="P1096" s="8">
        <f>I1022</f>
        <v>1325</v>
      </c>
      <c r="Q1096" s="1" t="s">
        <v>578</v>
      </c>
      <c r="R1096" s="8">
        <f t="shared" si="148"/>
        <v>4561.3100000000004</v>
      </c>
      <c r="AE1096" s="52">
        <f t="shared" si="149"/>
        <v>0</v>
      </c>
    </row>
    <row r="1097" spans="6:31" ht="24" customHeight="1">
      <c r="K1097" s="5" t="s">
        <v>1530</v>
      </c>
      <c r="M1097" s="8">
        <v>2</v>
      </c>
      <c r="N1097" s="7" t="s">
        <v>739</v>
      </c>
      <c r="O1097" s="1" t="s">
        <v>1096</v>
      </c>
      <c r="P1097" s="8">
        <f t="shared" ref="P1097:P1102" si="150">I1023</f>
        <v>53.4</v>
      </c>
      <c r="Q1097" s="1" t="s">
        <v>835</v>
      </c>
      <c r="R1097" s="8">
        <f t="shared" si="148"/>
        <v>106.8</v>
      </c>
      <c r="AE1097" s="52">
        <f t="shared" si="149"/>
        <v>0</v>
      </c>
    </row>
    <row r="1098" spans="6:31" ht="24" customHeight="1">
      <c r="H1098" s="2" t="s">
        <v>856</v>
      </c>
      <c r="K1098" s="8">
        <f>SUM(K1085:K1096)</f>
        <v>1285.92</v>
      </c>
      <c r="M1098" s="8">
        <v>6</v>
      </c>
      <c r="N1098" s="7" t="s">
        <v>835</v>
      </c>
      <c r="O1098" s="1" t="s">
        <v>1407</v>
      </c>
      <c r="P1098" s="8">
        <f t="shared" si="150"/>
        <v>83</v>
      </c>
      <c r="Q1098" s="1" t="s">
        <v>835</v>
      </c>
      <c r="R1098" s="8">
        <f t="shared" si="148"/>
        <v>498</v>
      </c>
      <c r="AE1098" s="52">
        <f t="shared" si="149"/>
        <v>0</v>
      </c>
    </row>
    <row r="1099" spans="6:31" ht="24" customHeight="1">
      <c r="K1099" s="5" t="s">
        <v>1530</v>
      </c>
      <c r="M1099" s="8">
        <v>4</v>
      </c>
      <c r="N1099" s="7" t="s">
        <v>835</v>
      </c>
      <c r="O1099" s="1" t="s">
        <v>1408</v>
      </c>
      <c r="P1099" s="8">
        <f t="shared" si="150"/>
        <v>60</v>
      </c>
      <c r="Q1099" s="1" t="s">
        <v>835</v>
      </c>
      <c r="R1099" s="8">
        <f t="shared" si="148"/>
        <v>240</v>
      </c>
      <c r="AE1099" s="52">
        <f t="shared" si="149"/>
        <v>0</v>
      </c>
    </row>
    <row r="1100" spans="6:31" ht="24" customHeight="1">
      <c r="H1100" s="59" t="s">
        <v>521</v>
      </c>
      <c r="I1100" s="1" t="s">
        <v>940</v>
      </c>
      <c r="K1100" s="39">
        <f>K1098/F1091</f>
        <v>3552.27</v>
      </c>
      <c r="M1100" s="8">
        <v>1</v>
      </c>
      <c r="N1100" s="7" t="s">
        <v>835</v>
      </c>
      <c r="O1100" s="1" t="s">
        <v>1409</v>
      </c>
      <c r="P1100" s="8">
        <f t="shared" si="150"/>
        <v>167.6</v>
      </c>
      <c r="Q1100" s="1" t="s">
        <v>835</v>
      </c>
      <c r="R1100" s="8">
        <f t="shared" si="148"/>
        <v>167.6</v>
      </c>
      <c r="AE1100" s="52">
        <f t="shared" si="149"/>
        <v>0</v>
      </c>
    </row>
    <row r="1101" spans="6:31" ht="24" customHeight="1">
      <c r="K1101" s="5" t="s">
        <v>1980</v>
      </c>
      <c r="M1101" s="8">
        <v>2</v>
      </c>
      <c r="N1101" s="7" t="s">
        <v>835</v>
      </c>
      <c r="O1101" s="1" t="s">
        <v>1410</v>
      </c>
      <c r="P1101" s="8">
        <f t="shared" si="150"/>
        <v>7.3</v>
      </c>
      <c r="Q1101" s="1" t="s">
        <v>835</v>
      </c>
      <c r="R1101" s="8">
        <f t="shared" si="148"/>
        <v>14.6</v>
      </c>
      <c r="AE1101" s="52">
        <f t="shared" si="149"/>
        <v>0</v>
      </c>
    </row>
    <row r="1102" spans="6:31" ht="24" customHeight="1">
      <c r="F1102" s="2" t="s">
        <v>1561</v>
      </c>
      <c r="G1102" s="7" t="s">
        <v>2167</v>
      </c>
      <c r="H1102" s="1" t="s">
        <v>857</v>
      </c>
      <c r="M1102" s="8">
        <v>2</v>
      </c>
      <c r="N1102" s="7" t="s">
        <v>835</v>
      </c>
      <c r="O1102" s="1" t="s">
        <v>1913</v>
      </c>
      <c r="P1102" s="8">
        <f t="shared" si="150"/>
        <v>45.9</v>
      </c>
      <c r="Q1102" s="1" t="s">
        <v>835</v>
      </c>
      <c r="R1102" s="8">
        <f t="shared" si="148"/>
        <v>91.8</v>
      </c>
      <c r="AE1102" s="52">
        <f t="shared" si="149"/>
        <v>0</v>
      </c>
    </row>
    <row r="1103" spans="6:31" ht="24" customHeight="1">
      <c r="H1103" s="1" t="s">
        <v>1923</v>
      </c>
      <c r="M1103" s="8">
        <v>10</v>
      </c>
      <c r="N1103" s="3"/>
      <c r="O1103" s="1" t="s">
        <v>1685</v>
      </c>
      <c r="P1103" s="8">
        <f>P1077</f>
        <v>2.39</v>
      </c>
      <c r="Q1103" s="11"/>
      <c r="R1103" s="8">
        <f t="shared" si="148"/>
        <v>23.9</v>
      </c>
      <c r="AE1103" s="52">
        <f t="shared" si="149"/>
        <v>0</v>
      </c>
    </row>
    <row r="1104" spans="6:31" ht="24" customHeight="1">
      <c r="H1104" s="5" t="s">
        <v>1530</v>
      </c>
      <c r="N1104" s="3"/>
      <c r="O1104" s="1" t="s">
        <v>2072</v>
      </c>
      <c r="Q1104" s="11"/>
      <c r="R1104" s="8">
        <f>SUM(R1092:R1103)+0.31</f>
        <v>16399</v>
      </c>
      <c r="AE1104" s="52">
        <f t="shared" si="149"/>
        <v>0</v>
      </c>
    </row>
    <row r="1105" spans="6:31" ht="24" customHeight="1">
      <c r="F1105" s="19">
        <v>5.3E-3</v>
      </c>
      <c r="G1105" s="7" t="s">
        <v>1289</v>
      </c>
      <c r="H1105" s="1" t="s">
        <v>1290</v>
      </c>
      <c r="I1105" s="8">
        <f>C92</f>
        <v>99400</v>
      </c>
      <c r="J1105" s="1" t="s">
        <v>836</v>
      </c>
      <c r="K1105" s="8">
        <f t="shared" ref="K1105:K1111" si="151">(F1105*I1105)</f>
        <v>526.82000000000005</v>
      </c>
      <c r="N1105" s="3"/>
      <c r="Q1105" s="11"/>
      <c r="R1105" s="5" t="s">
        <v>1530</v>
      </c>
      <c r="AE1105" s="52"/>
    </row>
    <row r="1106" spans="6:31" ht="24" customHeight="1">
      <c r="F1106" s="19">
        <v>0.27450000000000002</v>
      </c>
      <c r="G1106" s="7" t="s">
        <v>578</v>
      </c>
      <c r="H1106" s="1" t="str">
        <f>H1090</f>
        <v>frosted glass 4mmthick</v>
      </c>
      <c r="I1106" s="545">
        <f>I1075</f>
        <v>208.8</v>
      </c>
      <c r="J1106" s="1" t="s">
        <v>836</v>
      </c>
      <c r="K1106" s="8">
        <f t="shared" si="151"/>
        <v>57.32</v>
      </c>
      <c r="N1106" s="3"/>
      <c r="O1106" s="59" t="s">
        <v>521</v>
      </c>
      <c r="Q1106" s="11"/>
      <c r="R1106" s="39">
        <f>R1104/M1096</f>
        <v>4763.6899999999996</v>
      </c>
      <c r="AE1106" s="52">
        <f t="shared" si="149"/>
        <v>0</v>
      </c>
    </row>
    <row r="1107" spans="6:31" ht="24" customHeight="1">
      <c r="F1107" s="19">
        <v>0.4</v>
      </c>
      <c r="G1107" s="7" t="s">
        <v>578</v>
      </c>
      <c r="H1107" s="1" t="s">
        <v>2012</v>
      </c>
      <c r="I1107" s="8">
        <f>D32</f>
        <v>1035</v>
      </c>
      <c r="J1107" s="1" t="s">
        <v>578</v>
      </c>
      <c r="K1107" s="8">
        <f t="shared" si="151"/>
        <v>414</v>
      </c>
      <c r="N1107" s="3"/>
      <c r="Q1107" s="11"/>
      <c r="R1107" s="5" t="s">
        <v>1980</v>
      </c>
      <c r="AE1107" s="52">
        <f t="shared" si="149"/>
        <v>0</v>
      </c>
    </row>
    <row r="1108" spans="6:31" ht="24" customHeight="1">
      <c r="F1108" s="8">
        <v>2</v>
      </c>
      <c r="G1108" s="7" t="s">
        <v>1924</v>
      </c>
      <c r="H1108" s="1" t="s">
        <v>1925</v>
      </c>
      <c r="I1108" s="8">
        <f>C308</f>
        <v>8.5</v>
      </c>
      <c r="J1108" s="1" t="s">
        <v>1924</v>
      </c>
      <c r="K1108" s="8">
        <f t="shared" si="151"/>
        <v>17</v>
      </c>
      <c r="AE1108" s="52">
        <f t="shared" si="149"/>
        <v>0</v>
      </c>
    </row>
    <row r="1109" spans="6:31" ht="24" customHeight="1">
      <c r="F1109" s="8">
        <v>1</v>
      </c>
      <c r="G1109" s="7" t="s">
        <v>835</v>
      </c>
      <c r="H1109" s="1" t="s">
        <v>1926</v>
      </c>
      <c r="I1109" s="8">
        <f>C296</f>
        <v>6.1</v>
      </c>
      <c r="J1109" s="1" t="s">
        <v>835</v>
      </c>
      <c r="K1109" s="8">
        <f t="shared" si="151"/>
        <v>6.1</v>
      </c>
      <c r="AE1109" s="52">
        <f t="shared" si="149"/>
        <v>0</v>
      </c>
    </row>
    <row r="1110" spans="6:31" ht="24" customHeight="1">
      <c r="F1110" s="8">
        <v>1</v>
      </c>
      <c r="G1110" s="7" t="s">
        <v>835</v>
      </c>
      <c r="H1110" s="1" t="s">
        <v>1927</v>
      </c>
      <c r="I1110" s="545">
        <f>C294</f>
        <v>11.8</v>
      </c>
      <c r="J1110" s="1" t="s">
        <v>835</v>
      </c>
      <c r="K1110" s="8">
        <f t="shared" si="151"/>
        <v>11.8</v>
      </c>
      <c r="O1110" s="1" t="s">
        <v>1684</v>
      </c>
      <c r="AE1110" s="52">
        <f t="shared" si="149"/>
        <v>0</v>
      </c>
    </row>
    <row r="1111" spans="6:31" ht="24" customHeight="1">
      <c r="F1111" s="8">
        <v>10</v>
      </c>
      <c r="H1111" s="1" t="s">
        <v>1102</v>
      </c>
      <c r="I1111" s="8">
        <f>I1096</f>
        <v>2.39</v>
      </c>
      <c r="J1111" s="1" t="s">
        <v>835</v>
      </c>
      <c r="K1111" s="8">
        <f t="shared" si="151"/>
        <v>23.9</v>
      </c>
      <c r="AE1111" s="52">
        <f t="shared" si="149"/>
        <v>0</v>
      </c>
    </row>
    <row r="1112" spans="6:31" ht="24" customHeight="1">
      <c r="K1112" s="5" t="s">
        <v>1530</v>
      </c>
      <c r="AE1112" s="52">
        <f t="shared" si="149"/>
        <v>0</v>
      </c>
    </row>
    <row r="1113" spans="6:31" ht="24" customHeight="1">
      <c r="H1113" s="2" t="s">
        <v>34</v>
      </c>
      <c r="K1113" s="8">
        <f>SUM(K1101:K1111)</f>
        <v>1056.94</v>
      </c>
      <c r="AE1113" s="52">
        <f t="shared" si="149"/>
        <v>0</v>
      </c>
    </row>
    <row r="1114" spans="6:31" ht="24" customHeight="1">
      <c r="K1114" s="5" t="s">
        <v>1530</v>
      </c>
      <c r="M1114" s="76">
        <v>2.2800000000000001E-2</v>
      </c>
      <c r="N1114" s="54" t="s">
        <v>836</v>
      </c>
      <c r="O1114" s="55" t="s">
        <v>3073</v>
      </c>
      <c r="P1114" s="55">
        <f>P1092</f>
        <v>111600</v>
      </c>
      <c r="Q1114" s="72" t="s">
        <v>836</v>
      </c>
      <c r="R1114" s="55">
        <f>P1114*M1114</f>
        <v>2544.48</v>
      </c>
      <c r="AE1114" s="52">
        <f t="shared" si="149"/>
        <v>0</v>
      </c>
    </row>
    <row r="1115" spans="6:31" ht="24" customHeight="1">
      <c r="H1115" s="59" t="s">
        <v>521</v>
      </c>
      <c r="I1115" s="1" t="s">
        <v>940</v>
      </c>
      <c r="K1115" s="39">
        <f>K1113/F1107</f>
        <v>2642.35</v>
      </c>
      <c r="M1115" s="76">
        <v>3.5400000000000001E-2</v>
      </c>
      <c r="N1115" s="54" t="s">
        <v>836</v>
      </c>
      <c r="O1115" s="55" t="s">
        <v>2413</v>
      </c>
      <c r="P1115" s="55">
        <f>P1093</f>
        <v>99400</v>
      </c>
      <c r="Q1115" s="72" t="s">
        <v>836</v>
      </c>
      <c r="R1115" s="55">
        <f t="shared" ref="R1115:R1124" si="152">P1115*M1115</f>
        <v>3518.76</v>
      </c>
      <c r="AE1115" s="52">
        <f t="shared" si="149"/>
        <v>0</v>
      </c>
    </row>
    <row r="1116" spans="6:31" ht="24" customHeight="1">
      <c r="F1116" s="1" t="s">
        <v>940</v>
      </c>
      <c r="M1116" s="77">
        <v>3.2300000000000002E-2</v>
      </c>
      <c r="N1116" s="54" t="s">
        <v>836</v>
      </c>
      <c r="O1116" s="55" t="s">
        <v>900</v>
      </c>
      <c r="P1116" s="55">
        <f>P1094</f>
        <v>95000</v>
      </c>
      <c r="Q1116" s="72" t="s">
        <v>836</v>
      </c>
      <c r="R1116" s="55">
        <f t="shared" si="152"/>
        <v>3068.5</v>
      </c>
      <c r="AE1116" s="52">
        <f t="shared" si="149"/>
        <v>0</v>
      </c>
    </row>
    <row r="1117" spans="6:31" ht="24" customHeight="1">
      <c r="K1117" s="5" t="s">
        <v>1980</v>
      </c>
      <c r="M1117" s="74">
        <v>2.835</v>
      </c>
      <c r="N1117" s="54" t="s">
        <v>578</v>
      </c>
      <c r="O1117" s="55" t="s">
        <v>850</v>
      </c>
      <c r="P1117" s="55">
        <f t="shared" ref="P1117:P1123" si="153">P1096</f>
        <v>1325</v>
      </c>
      <c r="Q1117" s="72" t="s">
        <v>578</v>
      </c>
      <c r="R1117" s="55">
        <f t="shared" si="152"/>
        <v>3756.38</v>
      </c>
      <c r="AE1117" s="52">
        <f t="shared" si="149"/>
        <v>0</v>
      </c>
    </row>
    <row r="1118" spans="6:31" ht="24" customHeight="1">
      <c r="F1118" s="25">
        <v>22.3</v>
      </c>
      <c r="H1118" s="1" t="s">
        <v>1928</v>
      </c>
      <c r="L1118" s="1" t="s">
        <v>940</v>
      </c>
      <c r="M1118" s="55">
        <v>2</v>
      </c>
      <c r="N1118" s="54" t="s">
        <v>1807</v>
      </c>
      <c r="O1118" s="55" t="s">
        <v>2045</v>
      </c>
      <c r="P1118" s="55">
        <f t="shared" si="153"/>
        <v>53.4</v>
      </c>
      <c r="Q1118" s="72" t="s">
        <v>1341</v>
      </c>
      <c r="R1118" s="55">
        <f t="shared" si="152"/>
        <v>106.8</v>
      </c>
      <c r="AE1118" s="52">
        <f t="shared" si="149"/>
        <v>0</v>
      </c>
    </row>
    <row r="1119" spans="6:31" ht="24" customHeight="1">
      <c r="H1119" s="5" t="s">
        <v>1530</v>
      </c>
      <c r="I1119" s="5" t="s">
        <v>1530</v>
      </c>
      <c r="J1119" s="1" t="s">
        <v>1530</v>
      </c>
      <c r="M1119" s="55">
        <v>6</v>
      </c>
      <c r="N1119" s="54" t="s">
        <v>1807</v>
      </c>
      <c r="O1119" s="55" t="s">
        <v>1058</v>
      </c>
      <c r="P1119" s="55">
        <f t="shared" si="153"/>
        <v>83</v>
      </c>
      <c r="Q1119" s="72" t="s">
        <v>1341</v>
      </c>
      <c r="R1119" s="55">
        <f t="shared" si="152"/>
        <v>498</v>
      </c>
      <c r="AE1119" s="52">
        <f t="shared" si="149"/>
        <v>0</v>
      </c>
    </row>
    <row r="1120" spans="6:31" ht="24" customHeight="1">
      <c r="M1120" s="55">
        <v>4</v>
      </c>
      <c r="N1120" s="54" t="s">
        <v>1807</v>
      </c>
      <c r="O1120" s="55" t="s">
        <v>1296</v>
      </c>
      <c r="P1120" s="55">
        <f t="shared" si="153"/>
        <v>60</v>
      </c>
      <c r="Q1120" s="72" t="s">
        <v>1341</v>
      </c>
      <c r="R1120" s="55">
        <f t="shared" si="152"/>
        <v>240</v>
      </c>
      <c r="AE1120" s="52"/>
    </row>
    <row r="1121" spans="6:62" ht="24" customHeight="1">
      <c r="H1121" s="1" t="s">
        <v>1929</v>
      </c>
      <c r="M1121" s="55">
        <v>1</v>
      </c>
      <c r="N1121" s="54" t="s">
        <v>1807</v>
      </c>
      <c r="O1121" s="55" t="s">
        <v>1297</v>
      </c>
      <c r="P1121" s="55">
        <f t="shared" si="153"/>
        <v>167.6</v>
      </c>
      <c r="Q1121" s="72" t="s">
        <v>1341</v>
      </c>
      <c r="R1121" s="55">
        <f t="shared" si="152"/>
        <v>167.6</v>
      </c>
      <c r="AE1121" s="52">
        <f t="shared" si="149"/>
        <v>0</v>
      </c>
    </row>
    <row r="1122" spans="6:62" ht="24" customHeight="1">
      <c r="H1122" s="1" t="s">
        <v>1930</v>
      </c>
      <c r="M1122" s="55">
        <v>2</v>
      </c>
      <c r="N1122" s="54" t="s">
        <v>1807</v>
      </c>
      <c r="O1122" s="55" t="s">
        <v>1911</v>
      </c>
      <c r="P1122" s="55">
        <f t="shared" si="153"/>
        <v>7.3</v>
      </c>
      <c r="Q1122" s="72" t="s">
        <v>1341</v>
      </c>
      <c r="R1122" s="55">
        <f t="shared" si="152"/>
        <v>14.6</v>
      </c>
      <c r="AE1122" s="52">
        <f t="shared" si="149"/>
        <v>0</v>
      </c>
    </row>
    <row r="1123" spans="6:62" ht="24" customHeight="1">
      <c r="H1123" s="1" t="s">
        <v>424</v>
      </c>
      <c r="M1123" s="55">
        <v>2</v>
      </c>
      <c r="N1123" s="54" t="s">
        <v>1807</v>
      </c>
      <c r="O1123" s="55" t="s">
        <v>1913</v>
      </c>
      <c r="P1123" s="55">
        <f t="shared" si="153"/>
        <v>45.9</v>
      </c>
      <c r="Q1123" s="72" t="s">
        <v>1341</v>
      </c>
      <c r="R1123" s="55">
        <f t="shared" si="152"/>
        <v>91.8</v>
      </c>
      <c r="AE1123" s="52">
        <f t="shared" si="149"/>
        <v>0</v>
      </c>
    </row>
    <row r="1124" spans="6:62" ht="24" customHeight="1">
      <c r="H1124" s="1" t="s">
        <v>425</v>
      </c>
      <c r="M1124" s="8">
        <v>118</v>
      </c>
      <c r="N1124" s="3"/>
      <c r="O1124" s="1" t="s">
        <v>1685</v>
      </c>
      <c r="P1124" s="8">
        <f>P1103</f>
        <v>2.39</v>
      </c>
      <c r="Q1124" s="11"/>
      <c r="R1124" s="8">
        <f t="shared" si="152"/>
        <v>282.02</v>
      </c>
      <c r="AE1124" s="52">
        <f t="shared" si="149"/>
        <v>0</v>
      </c>
    </row>
    <row r="1125" spans="6:62" ht="24" customHeight="1">
      <c r="H1125" s="1" t="s">
        <v>426</v>
      </c>
      <c r="M1125" s="55"/>
      <c r="N1125" s="73"/>
      <c r="O1125" s="37" t="s">
        <v>521</v>
      </c>
      <c r="P1125" s="55"/>
      <c r="Q1125" s="72"/>
      <c r="R1125" s="37">
        <f>SUM(R1114:R1124)</f>
        <v>14288.94</v>
      </c>
      <c r="AE1125" s="52">
        <f t="shared" si="149"/>
        <v>0</v>
      </c>
    </row>
    <row r="1126" spans="6:62" ht="24" customHeight="1">
      <c r="J1126" s="1" t="s">
        <v>940</v>
      </c>
      <c r="K1126" s="15">
        <v>3.32E-2</v>
      </c>
      <c r="M1126" s="55"/>
      <c r="N1126" s="73"/>
      <c r="O1126" s="37"/>
      <c r="P1126" s="55"/>
      <c r="Q1126" s="72"/>
      <c r="R1126" s="57" t="s">
        <v>144</v>
      </c>
      <c r="AE1126" s="52">
        <f t="shared" si="149"/>
        <v>0</v>
      </c>
      <c r="BJ1126" t="s">
        <v>1957</v>
      </c>
    </row>
    <row r="1127" spans="6:62" ht="24" customHeight="1">
      <c r="H1127" s="1" t="s">
        <v>2075</v>
      </c>
      <c r="J1127" s="18" t="s">
        <v>940</v>
      </c>
      <c r="K1127" s="18" t="s">
        <v>940</v>
      </c>
      <c r="M1127" s="55"/>
      <c r="N1127" s="73"/>
      <c r="O1127" s="37" t="s">
        <v>2002</v>
      </c>
      <c r="P1127" s="55"/>
      <c r="Q1127" s="72"/>
      <c r="R1127" s="37">
        <f>R1125/2.835</f>
        <v>5040.1899999999996</v>
      </c>
      <c r="AE1127" s="52">
        <f t="shared" si="149"/>
        <v>0</v>
      </c>
    </row>
    <row r="1128" spans="6:62" ht="24" customHeight="1">
      <c r="H1128" s="1" t="s">
        <v>1765</v>
      </c>
      <c r="K1128" s="18" t="s">
        <v>940</v>
      </c>
      <c r="M1128" s="55"/>
      <c r="N1128" s="73"/>
      <c r="Q1128" s="11"/>
      <c r="R1128" s="56" t="s">
        <v>144</v>
      </c>
      <c r="AE1128" s="52">
        <f t="shared" si="149"/>
        <v>0</v>
      </c>
    </row>
    <row r="1129" spans="6:62" ht="24" customHeight="1">
      <c r="AE1129" s="52">
        <f t="shared" si="149"/>
        <v>0</v>
      </c>
    </row>
    <row r="1130" spans="6:62" ht="24" customHeight="1">
      <c r="F1130" s="19">
        <v>1.18E-2</v>
      </c>
      <c r="G1130" s="7" t="s">
        <v>836</v>
      </c>
      <c r="H1130" s="1" t="s">
        <v>660</v>
      </c>
      <c r="I1130" s="8">
        <f>C91</f>
        <v>111600</v>
      </c>
      <c r="J1130" s="1" t="s">
        <v>836</v>
      </c>
      <c r="K1130" s="8">
        <f t="shared" ref="K1130:K1139" si="154">(F1130*I1130)</f>
        <v>1316.88</v>
      </c>
      <c r="AE1130" s="52">
        <f t="shared" si="149"/>
        <v>0</v>
      </c>
    </row>
    <row r="1131" spans="6:62" ht="24" customHeight="1">
      <c r="F1131" s="19">
        <v>3.32E-2</v>
      </c>
      <c r="G1131" s="7" t="s">
        <v>836</v>
      </c>
      <c r="H1131" s="1" t="s">
        <v>661</v>
      </c>
      <c r="I1131" s="8">
        <f>C92</f>
        <v>99400</v>
      </c>
      <c r="J1131" s="1" t="s">
        <v>836</v>
      </c>
      <c r="K1131" s="8">
        <f t="shared" si="154"/>
        <v>3300.08</v>
      </c>
      <c r="AE1131" s="52">
        <f t="shared" si="149"/>
        <v>0</v>
      </c>
    </row>
    <row r="1132" spans="6:62" ht="24" customHeight="1">
      <c r="F1132" s="19">
        <v>1.8550000000000001E-2</v>
      </c>
      <c r="G1132" s="7" t="s">
        <v>836</v>
      </c>
      <c r="H1132" s="1" t="s">
        <v>853</v>
      </c>
      <c r="I1132" s="8">
        <f>C30</f>
        <v>11800</v>
      </c>
      <c r="J1132" s="1" t="s">
        <v>836</v>
      </c>
      <c r="K1132" s="8">
        <f t="shared" si="154"/>
        <v>218.89</v>
      </c>
      <c r="AE1132" s="52">
        <f t="shared" si="149"/>
        <v>0</v>
      </c>
    </row>
    <row r="1133" spans="6:62" ht="24" customHeight="1">
      <c r="F1133" s="19">
        <v>1.46</v>
      </c>
      <c r="G1133" s="7" t="s">
        <v>578</v>
      </c>
      <c r="H1133" s="1" t="s">
        <v>854</v>
      </c>
      <c r="I1133" s="495">
        <v>269.10000000000002</v>
      </c>
      <c r="J1133" s="1" t="s">
        <v>578</v>
      </c>
      <c r="K1133" s="8">
        <f t="shared" si="154"/>
        <v>392.89</v>
      </c>
      <c r="AE1133" s="52">
        <f t="shared" si="149"/>
        <v>0</v>
      </c>
    </row>
    <row r="1134" spans="6:62" ht="24" customHeight="1">
      <c r="F1134" s="19">
        <v>2.0499999999999998</v>
      </c>
      <c r="G1134" s="7" t="s">
        <v>578</v>
      </c>
      <c r="H1134" s="1" t="s">
        <v>1449</v>
      </c>
      <c r="I1134" s="8">
        <f>D30</f>
        <v>1105</v>
      </c>
      <c r="J1134" s="1" t="s">
        <v>578</v>
      </c>
      <c r="K1134" s="8">
        <f t="shared" si="154"/>
        <v>2265.25</v>
      </c>
      <c r="AE1134" s="52">
        <f t="shared" si="149"/>
        <v>0</v>
      </c>
    </row>
    <row r="1135" spans="6:62" ht="24" customHeight="1">
      <c r="F1135" s="8">
        <v>2</v>
      </c>
      <c r="G1135" s="7" t="s">
        <v>835</v>
      </c>
      <c r="H1135" s="1" t="s">
        <v>1450</v>
      </c>
      <c r="I1135" s="64">
        <f>C288</f>
        <v>36.799999999999997</v>
      </c>
      <c r="J1135" s="1" t="s">
        <v>835</v>
      </c>
      <c r="K1135" s="8">
        <f t="shared" si="154"/>
        <v>73.599999999999994</v>
      </c>
      <c r="AE1135" s="52">
        <f t="shared" si="149"/>
        <v>0</v>
      </c>
    </row>
    <row r="1136" spans="6:62" ht="24" customHeight="1">
      <c r="F1136" s="8">
        <v>6</v>
      </c>
      <c r="G1136" s="7" t="s">
        <v>835</v>
      </c>
      <c r="H1136" s="1" t="s">
        <v>1291</v>
      </c>
      <c r="I1136" s="8">
        <f>C285</f>
        <v>45.7</v>
      </c>
      <c r="J1136" s="1" t="s">
        <v>835</v>
      </c>
      <c r="K1136" s="8">
        <f t="shared" si="154"/>
        <v>274.2</v>
      </c>
      <c r="AE1136" s="52">
        <f t="shared" si="149"/>
        <v>0</v>
      </c>
    </row>
    <row r="1137" spans="6:31" ht="24" customHeight="1">
      <c r="F1137" s="8">
        <v>2</v>
      </c>
      <c r="G1137" s="7" t="s">
        <v>835</v>
      </c>
      <c r="H1137" s="1" t="s">
        <v>4739</v>
      </c>
      <c r="I1137" s="423">
        <v>56.4</v>
      </c>
      <c r="J1137" s="1" t="s">
        <v>835</v>
      </c>
      <c r="K1137" s="8">
        <f t="shared" si="154"/>
        <v>112.8</v>
      </c>
      <c r="AE1137" s="52">
        <f t="shared" si="149"/>
        <v>0</v>
      </c>
    </row>
    <row r="1138" spans="6:31" ht="24" customHeight="1">
      <c r="F1138" s="8">
        <v>1</v>
      </c>
      <c r="G1138" s="7" t="s">
        <v>835</v>
      </c>
      <c r="H1138" s="487" t="s">
        <v>4135</v>
      </c>
      <c r="I1138" s="487">
        <v>63.2</v>
      </c>
      <c r="J1138" s="1" t="s">
        <v>835</v>
      </c>
      <c r="K1138" s="8">
        <f t="shared" si="154"/>
        <v>63.2</v>
      </c>
      <c r="AE1138" s="52">
        <f t="shared" si="149"/>
        <v>0</v>
      </c>
    </row>
    <row r="1139" spans="6:31" ht="24" customHeight="1">
      <c r="F1139" s="8">
        <v>2.52</v>
      </c>
      <c r="G1139" s="7" t="s">
        <v>578</v>
      </c>
      <c r="H1139" s="1" t="s">
        <v>1655</v>
      </c>
      <c r="I1139" s="8">
        <f>K1170</f>
        <v>172.13</v>
      </c>
      <c r="J1139" s="1" t="s">
        <v>578</v>
      </c>
      <c r="K1139" s="8">
        <f t="shared" si="154"/>
        <v>433.77</v>
      </c>
      <c r="AE1139" s="52">
        <f t="shared" si="149"/>
        <v>0</v>
      </c>
    </row>
    <row r="1140" spans="6:31" ht="24" customHeight="1">
      <c r="H1140" s="1" t="s">
        <v>1357</v>
      </c>
      <c r="I1140" s="2" t="s">
        <v>419</v>
      </c>
      <c r="K1140" s="8">
        <v>0.21</v>
      </c>
      <c r="AE1140" s="52">
        <f t="shared" si="149"/>
        <v>0</v>
      </c>
    </row>
    <row r="1141" spans="6:31" ht="24" customHeight="1">
      <c r="K1141" s="5" t="s">
        <v>1530</v>
      </c>
      <c r="AE1141" s="52">
        <f t="shared" si="149"/>
        <v>0</v>
      </c>
    </row>
    <row r="1142" spans="6:31" ht="24" customHeight="1">
      <c r="H1142" s="2" t="s">
        <v>1358</v>
      </c>
      <c r="K1142" s="8">
        <f>SUM(K1130:K1140)</f>
        <v>8451.77</v>
      </c>
      <c r="M1142" s="408" t="s">
        <v>3515</v>
      </c>
      <c r="N1142" s="408"/>
      <c r="O1142" s="408"/>
      <c r="P1142" s="408"/>
      <c r="Q1142" s="408"/>
      <c r="R1142" s="408"/>
      <c r="S1142" s="408"/>
      <c r="AE1142" s="52">
        <f t="shared" si="149"/>
        <v>0</v>
      </c>
    </row>
    <row r="1143" spans="6:31" ht="24" customHeight="1">
      <c r="G1143" s="7" t="s">
        <v>940</v>
      </c>
      <c r="K1143" s="5" t="s">
        <v>1530</v>
      </c>
      <c r="O1143" s="5" t="s">
        <v>1530</v>
      </c>
      <c r="Q1143" s="11"/>
      <c r="AE1143" s="52">
        <f t="shared" si="149"/>
        <v>0</v>
      </c>
    </row>
    <row r="1144" spans="6:31" ht="24" customHeight="1">
      <c r="H1144" s="59" t="s">
        <v>521</v>
      </c>
      <c r="K1144" s="39">
        <f>K1142/2.52</f>
        <v>3353.88</v>
      </c>
      <c r="N1144" s="51">
        <v>0.45300000000000001</v>
      </c>
      <c r="O1144" s="1" t="s">
        <v>1354</v>
      </c>
      <c r="P1144" s="8">
        <f>C76</f>
        <v>1581.38</v>
      </c>
      <c r="Q1144" s="1" t="s">
        <v>836</v>
      </c>
      <c r="R1144" s="8">
        <f>P1144*N1144</f>
        <v>716.37</v>
      </c>
      <c r="AE1144" s="52">
        <f t="shared" si="149"/>
        <v>0</v>
      </c>
    </row>
    <row r="1145" spans="6:31" ht="24" customHeight="1">
      <c r="K1145" s="5" t="s">
        <v>1980</v>
      </c>
      <c r="N1145" s="51">
        <v>0.30199999999999999</v>
      </c>
      <c r="O1145" s="1" t="s">
        <v>3516</v>
      </c>
      <c r="P1145" s="8">
        <f>C74</f>
        <v>1126.3800000000001</v>
      </c>
      <c r="Q1145" s="1" t="str">
        <f>Q1144</f>
        <v>CUM</v>
      </c>
      <c r="R1145" s="8">
        <f t="shared" ref="R1145:R1150" si="155">P1145*N1145</f>
        <v>340.17</v>
      </c>
      <c r="AE1145" s="52">
        <f t="shared" si="149"/>
        <v>0</v>
      </c>
    </row>
    <row r="1146" spans="6:31" ht="24" customHeight="1">
      <c r="G1146" s="7" t="s">
        <v>2167</v>
      </c>
      <c r="H1146" s="1" t="s">
        <v>176</v>
      </c>
      <c r="N1146">
        <v>0.44</v>
      </c>
      <c r="O1146" s="1" t="s">
        <v>837</v>
      </c>
      <c r="P1146" s="8">
        <f>C81</f>
        <v>1400.82</v>
      </c>
      <c r="Q1146" s="1" t="s">
        <v>836</v>
      </c>
      <c r="R1146" s="8">
        <f t="shared" si="155"/>
        <v>616.36</v>
      </c>
      <c r="AE1146" s="52">
        <f t="shared" si="149"/>
        <v>0</v>
      </c>
    </row>
    <row r="1147" spans="6:31" ht="24" customHeight="1">
      <c r="H1147" s="5" t="s">
        <v>1530</v>
      </c>
      <c r="I1147" s="5" t="s">
        <v>1530</v>
      </c>
      <c r="N1147">
        <v>0.37</v>
      </c>
      <c r="O1147" s="1" t="s">
        <v>364</v>
      </c>
      <c r="P1147" s="8">
        <f>I811</f>
        <v>5960</v>
      </c>
      <c r="Q1147" s="1" t="s">
        <v>494</v>
      </c>
      <c r="R1147" s="8">
        <f t="shared" si="155"/>
        <v>2205.1999999999998</v>
      </c>
      <c r="AE1147" s="52">
        <f t="shared" si="149"/>
        <v>0</v>
      </c>
    </row>
    <row r="1148" spans="6:31" ht="24" customHeight="1">
      <c r="F1148" s="8">
        <v>0.77</v>
      </c>
      <c r="G1148" s="7" t="s">
        <v>177</v>
      </c>
      <c r="H1148" s="1" t="s">
        <v>178</v>
      </c>
      <c r="I1148" s="8">
        <f>C197</f>
        <v>268.60000000000002</v>
      </c>
      <c r="J1148" s="1" t="s">
        <v>177</v>
      </c>
      <c r="K1148" s="8">
        <f>(F1148*I1148)</f>
        <v>206.82</v>
      </c>
      <c r="N1148">
        <v>0.35</v>
      </c>
      <c r="O1148" s="1" t="s">
        <v>435</v>
      </c>
      <c r="P1148" s="8">
        <f>C11</f>
        <v>804</v>
      </c>
      <c r="Q1148" s="1" t="s">
        <v>835</v>
      </c>
      <c r="R1148" s="8">
        <f t="shared" si="155"/>
        <v>281.39999999999998</v>
      </c>
      <c r="AE1148" s="52">
        <f t="shared" si="149"/>
        <v>0</v>
      </c>
    </row>
    <row r="1149" spans="6:31" ht="24" customHeight="1">
      <c r="F1149" s="8">
        <v>0.61</v>
      </c>
      <c r="G1149" s="7" t="s">
        <v>177</v>
      </c>
      <c r="H1149" s="1" t="s">
        <v>179</v>
      </c>
      <c r="I1149" s="8">
        <f>C196</f>
        <v>25</v>
      </c>
      <c r="J1149" s="1" t="s">
        <v>177</v>
      </c>
      <c r="K1149" s="8">
        <f>(F1149*I1149)</f>
        <v>15.25</v>
      </c>
      <c r="N1149">
        <v>2.12</v>
      </c>
      <c r="O1149" s="1" t="s">
        <v>326</v>
      </c>
      <c r="P1149" s="8">
        <f>C12</f>
        <v>562</v>
      </c>
      <c r="Q1149" s="1" t="s">
        <v>835</v>
      </c>
      <c r="R1149" s="8">
        <f t="shared" si="155"/>
        <v>1191.44</v>
      </c>
      <c r="AE1149" s="52">
        <f t="shared" si="149"/>
        <v>0</v>
      </c>
    </row>
    <row r="1150" spans="6:31" ht="24" customHeight="1">
      <c r="F1150" s="8">
        <v>0.7</v>
      </c>
      <c r="G1150" s="7" t="s">
        <v>529</v>
      </c>
      <c r="H1150" s="1" t="s">
        <v>1457</v>
      </c>
      <c r="I1150" s="8">
        <f>C14</f>
        <v>688</v>
      </c>
      <c r="J1150" s="1" t="s">
        <v>1658</v>
      </c>
      <c r="K1150" s="8">
        <f>(F1150*I1150)</f>
        <v>481.6</v>
      </c>
      <c r="N1150">
        <v>3.53</v>
      </c>
      <c r="O1150" s="1" t="s">
        <v>1177</v>
      </c>
      <c r="P1150" s="8">
        <f>C13</f>
        <v>461</v>
      </c>
      <c r="Q1150" s="1" t="s">
        <v>835</v>
      </c>
      <c r="R1150" s="8">
        <f t="shared" si="155"/>
        <v>1627.33</v>
      </c>
      <c r="AE1150" s="52">
        <f t="shared" si="149"/>
        <v>0</v>
      </c>
    </row>
    <row r="1151" spans="6:31" ht="24" customHeight="1">
      <c r="F1151" s="8"/>
      <c r="G1151" s="7"/>
      <c r="H1151" s="1"/>
      <c r="I1151" s="8"/>
      <c r="J1151" s="1"/>
      <c r="K1151" s="8"/>
      <c r="O1151" s="1" t="s">
        <v>43</v>
      </c>
      <c r="P1151" s="8"/>
      <c r="Q1151" s="11"/>
      <c r="R1151" s="6">
        <f>K822</f>
        <v>81.3</v>
      </c>
      <c r="AE1151" s="52"/>
    </row>
    <row r="1152" spans="6:31" ht="24" customHeight="1">
      <c r="F1152" s="8">
        <v>0.7</v>
      </c>
      <c r="G1152" s="7" t="s">
        <v>529</v>
      </c>
      <c r="H1152" s="1" t="s">
        <v>845</v>
      </c>
      <c r="I1152" s="8">
        <f>C12</f>
        <v>562</v>
      </c>
      <c r="J1152" s="1" t="s">
        <v>1658</v>
      </c>
      <c r="K1152" s="8">
        <f>(F1152*I1152)</f>
        <v>393.4</v>
      </c>
      <c r="M1152" s="420" t="s">
        <v>625</v>
      </c>
      <c r="O1152" t="s">
        <v>3417</v>
      </c>
      <c r="P1152" s="33">
        <f>V1137</f>
        <v>0</v>
      </c>
      <c r="R1152">
        <v>270</v>
      </c>
      <c r="AE1152" s="52">
        <f t="shared" si="149"/>
        <v>0</v>
      </c>
    </row>
    <row r="1153" spans="6:31" ht="43.5" customHeight="1">
      <c r="G1153" s="7" t="s">
        <v>419</v>
      </c>
      <c r="H1153" s="1" t="s">
        <v>1142</v>
      </c>
      <c r="J1153" s="1" t="s">
        <v>419</v>
      </c>
      <c r="K1153" s="8">
        <v>1.5</v>
      </c>
      <c r="M1153" s="420" t="s">
        <v>625</v>
      </c>
      <c r="O1153" t="s">
        <v>3418</v>
      </c>
      <c r="P1153" s="33">
        <f>V1138</f>
        <v>0</v>
      </c>
      <c r="R1153">
        <v>150</v>
      </c>
      <c r="AE1153" s="52">
        <f t="shared" si="149"/>
        <v>0</v>
      </c>
    </row>
    <row r="1154" spans="6:31" ht="24" customHeight="1">
      <c r="K1154" s="5" t="s">
        <v>1530</v>
      </c>
      <c r="M1154" s="420" t="s">
        <v>625</v>
      </c>
      <c r="O1154" t="s">
        <v>2187</v>
      </c>
      <c r="P1154" s="33">
        <f>V1139</f>
        <v>0</v>
      </c>
      <c r="R1154">
        <v>0.35</v>
      </c>
      <c r="AE1154" s="52">
        <f t="shared" si="149"/>
        <v>0</v>
      </c>
    </row>
    <row r="1155" spans="6:31" ht="24" customHeight="1">
      <c r="H1155" s="2" t="s">
        <v>1382</v>
      </c>
      <c r="K1155" s="8">
        <f>SUM(K1148:K1153)</f>
        <v>1098.57</v>
      </c>
      <c r="Q1155" s="11"/>
      <c r="R1155">
        <f>SUM(R1144:R1154)</f>
        <v>7479.92</v>
      </c>
      <c r="AE1155" s="52">
        <f t="shared" si="149"/>
        <v>0</v>
      </c>
    </row>
    <row r="1156" spans="6:31" ht="24" customHeight="1">
      <c r="K1156" s="5" t="s">
        <v>1530</v>
      </c>
      <c r="X1156" s="37">
        <f>SUM(X1144:X1155)</f>
        <v>0</v>
      </c>
      <c r="AE1156" s="52">
        <f t="shared" si="149"/>
        <v>0</v>
      </c>
    </row>
    <row r="1157" spans="6:31" ht="24" customHeight="1">
      <c r="H1157" s="59" t="s">
        <v>521</v>
      </c>
      <c r="K1157" s="39">
        <f>(K1155/10)</f>
        <v>109.86</v>
      </c>
      <c r="AE1157" s="52">
        <f t="shared" si="149"/>
        <v>0</v>
      </c>
    </row>
    <row r="1158" spans="6:31" ht="24" customHeight="1">
      <c r="K1158" s="5" t="s">
        <v>1980</v>
      </c>
      <c r="Q1158" s="11"/>
      <c r="R1158" s="6"/>
      <c r="AE1158" s="52">
        <f t="shared" si="149"/>
        <v>0</v>
      </c>
    </row>
    <row r="1159" spans="6:31" ht="24" customHeight="1">
      <c r="O1159" t="s">
        <v>3517</v>
      </c>
      <c r="Q1159" s="11"/>
      <c r="R1159" s="8">
        <f>SUM(R1155:R1158)</f>
        <v>7479.92</v>
      </c>
      <c r="AE1159" s="52">
        <f t="shared" si="149"/>
        <v>0</v>
      </c>
    </row>
    <row r="1160" spans="6:31" ht="24" customHeight="1">
      <c r="F1160" s="1" t="s">
        <v>940</v>
      </c>
      <c r="G1160" s="7" t="s">
        <v>2167</v>
      </c>
      <c r="H1160" s="1" t="s">
        <v>1383</v>
      </c>
      <c r="Q1160" s="11"/>
      <c r="R1160" s="5" t="s">
        <v>1530</v>
      </c>
      <c r="AE1160" s="52">
        <f t="shared" ref="AE1160:AE1228" si="156">AG1160</f>
        <v>0</v>
      </c>
    </row>
    <row r="1161" spans="6:31" ht="24" customHeight="1">
      <c r="H1161" s="5" t="s">
        <v>1530</v>
      </c>
      <c r="I1161" s="5" t="s">
        <v>1530</v>
      </c>
      <c r="O1161" s="1" t="s">
        <v>361</v>
      </c>
      <c r="Q1161" s="11"/>
      <c r="R1161" s="39">
        <f>R1159+C22</f>
        <v>7583.22</v>
      </c>
      <c r="S1161" s="51">
        <f>C22</f>
        <v>103.3</v>
      </c>
      <c r="T1161" s="51">
        <f>C23</f>
        <v>203.5</v>
      </c>
      <c r="AE1161" s="52">
        <f t="shared" si="156"/>
        <v>0</v>
      </c>
    </row>
    <row r="1162" spans="6:31" ht="24" customHeight="1">
      <c r="F1162" s="8">
        <v>1.2</v>
      </c>
      <c r="G1162" s="7" t="s">
        <v>177</v>
      </c>
      <c r="H1162" s="1" t="s">
        <v>4740</v>
      </c>
      <c r="I1162" s="8">
        <f>C197</f>
        <v>268.60000000000002</v>
      </c>
      <c r="J1162" s="1" t="s">
        <v>177</v>
      </c>
      <c r="K1162" s="8">
        <f>(F1162*I1162)</f>
        <v>322.32</v>
      </c>
      <c r="O1162" s="1" t="s">
        <v>363</v>
      </c>
      <c r="Q1162" s="11"/>
      <c r="R1162" s="39">
        <f>R1161+C23</f>
        <v>7786.72</v>
      </c>
      <c r="S1162" s="51">
        <f>R1159-5363.9</f>
        <v>2116.02</v>
      </c>
      <c r="AE1162" s="52">
        <f t="shared" si="156"/>
        <v>0</v>
      </c>
    </row>
    <row r="1163" spans="6:31" ht="24" customHeight="1">
      <c r="F1163" s="8">
        <v>0.9</v>
      </c>
      <c r="G1163" s="7" t="s">
        <v>177</v>
      </c>
      <c r="H1163" s="1" t="s">
        <v>179</v>
      </c>
      <c r="I1163" s="8">
        <f>C196</f>
        <v>25</v>
      </c>
      <c r="J1163" s="1" t="s">
        <v>177</v>
      </c>
      <c r="K1163" s="8">
        <f>(F1163*I1163)</f>
        <v>22.5</v>
      </c>
      <c r="O1163" s="1" t="s">
        <v>2149</v>
      </c>
      <c r="Q1163" s="11"/>
      <c r="R1163" s="39">
        <f>R1162+C23</f>
        <v>7990.22</v>
      </c>
      <c r="AE1163" s="52">
        <f t="shared" si="156"/>
        <v>0</v>
      </c>
    </row>
    <row r="1164" spans="6:31" ht="24" customHeight="1">
      <c r="F1164" s="8">
        <v>1.1000000000000001</v>
      </c>
      <c r="G1164" s="7" t="s">
        <v>529</v>
      </c>
      <c r="H1164" s="1" t="s">
        <v>1457</v>
      </c>
      <c r="I1164" s="8">
        <f>C14</f>
        <v>688</v>
      </c>
      <c r="J1164" s="1" t="s">
        <v>1658</v>
      </c>
      <c r="K1164" s="8">
        <f>(F1164*I1164)</f>
        <v>756.8</v>
      </c>
      <c r="O1164" s="1" t="s">
        <v>355</v>
      </c>
      <c r="Q1164" s="11"/>
      <c r="R1164" s="39">
        <f>R1163+C23</f>
        <v>8193.7199999999993</v>
      </c>
      <c r="AE1164" s="52">
        <f t="shared" si="156"/>
        <v>0</v>
      </c>
    </row>
    <row r="1165" spans="6:31" ht="24" customHeight="1">
      <c r="F1165" s="8">
        <v>1.1000000000000001</v>
      </c>
      <c r="G1165" s="7" t="s">
        <v>529</v>
      </c>
      <c r="H1165" s="1" t="s">
        <v>845</v>
      </c>
      <c r="I1165" s="8">
        <f>C12</f>
        <v>562</v>
      </c>
      <c r="J1165" s="1" t="s">
        <v>1658</v>
      </c>
      <c r="K1165" s="8">
        <f>(F1165*I1165)</f>
        <v>618.20000000000005</v>
      </c>
      <c r="O1165" s="1" t="s">
        <v>1477</v>
      </c>
      <c r="Q1165" s="11"/>
      <c r="R1165" s="39">
        <f>R1164+C23</f>
        <v>8397.2199999999993</v>
      </c>
      <c r="AE1165" s="52">
        <f t="shared" si="156"/>
        <v>0</v>
      </c>
    </row>
    <row r="1166" spans="6:31" ht="24" customHeight="1">
      <c r="G1166" s="7" t="s">
        <v>419</v>
      </c>
      <c r="H1166" s="1" t="s">
        <v>1142</v>
      </c>
      <c r="J1166" s="1" t="s">
        <v>419</v>
      </c>
      <c r="K1166" s="8">
        <v>1.5</v>
      </c>
      <c r="O1166" s="1" t="s">
        <v>3508</v>
      </c>
      <c r="R1166" s="39">
        <f>R1165+C23</f>
        <v>8600.7199999999993</v>
      </c>
      <c r="AE1166" s="52">
        <f t="shared" si="156"/>
        <v>0</v>
      </c>
    </row>
    <row r="1167" spans="6:31" ht="24" customHeight="1">
      <c r="K1167" s="5" t="s">
        <v>1530</v>
      </c>
      <c r="O1167" s="1" t="s">
        <v>3509</v>
      </c>
      <c r="R1167" s="39">
        <f>R1166+C23</f>
        <v>8804.2199999999993</v>
      </c>
      <c r="AE1167" s="52">
        <f t="shared" si="156"/>
        <v>0</v>
      </c>
    </row>
    <row r="1168" spans="6:31" ht="24" customHeight="1">
      <c r="H1168" s="2" t="s">
        <v>1382</v>
      </c>
      <c r="K1168" s="8">
        <f>SUM(K1162:K1166)</f>
        <v>1721.32</v>
      </c>
      <c r="O1168" s="1" t="s">
        <v>3510</v>
      </c>
      <c r="R1168" s="39">
        <f>R1167+C23</f>
        <v>9007.7199999999993</v>
      </c>
      <c r="AE1168" s="52">
        <f t="shared" si="156"/>
        <v>0</v>
      </c>
    </row>
    <row r="1169" spans="6:31" ht="24" customHeight="1">
      <c r="K1169" s="5" t="s">
        <v>1530</v>
      </c>
      <c r="O1169" s="1" t="s">
        <v>3511</v>
      </c>
      <c r="R1169" s="39">
        <f>R1168+C23</f>
        <v>9211.2199999999993</v>
      </c>
      <c r="AE1169" s="52">
        <f t="shared" si="156"/>
        <v>0</v>
      </c>
    </row>
    <row r="1170" spans="6:31" ht="24" customHeight="1">
      <c r="H1170" s="59" t="s">
        <v>521</v>
      </c>
      <c r="K1170" s="39">
        <f>(K1168/10)</f>
        <v>172.13</v>
      </c>
      <c r="O1170" s="1" t="s">
        <v>3518</v>
      </c>
      <c r="R1170" s="39">
        <f>R1169+C23</f>
        <v>9414.7199999999993</v>
      </c>
      <c r="AE1170" s="52">
        <f t="shared" si="156"/>
        <v>0</v>
      </c>
    </row>
    <row r="1171" spans="6:31" ht="24" customHeight="1">
      <c r="K1171" s="5" t="s">
        <v>1980</v>
      </c>
      <c r="O1171" t="s">
        <v>3519</v>
      </c>
      <c r="R1171" s="39">
        <f>R1170+C23</f>
        <v>9618.2199999999993</v>
      </c>
      <c r="AE1171" s="52">
        <f t="shared" si="156"/>
        <v>0</v>
      </c>
    </row>
    <row r="1172" spans="6:31" ht="24" customHeight="1">
      <c r="R1172" s="39">
        <f>R1171+C23</f>
        <v>9821.7199999999993</v>
      </c>
      <c r="AE1172" s="52">
        <f t="shared" si="156"/>
        <v>0</v>
      </c>
    </row>
    <row r="1173" spans="6:31" ht="24" customHeight="1">
      <c r="F1173" s="31">
        <v>23.3</v>
      </c>
      <c r="H1173" s="623" t="s">
        <v>2203</v>
      </c>
      <c r="I1173" s="623" t="s">
        <v>4122</v>
      </c>
      <c r="K1173" s="706">
        <v>52</v>
      </c>
      <c r="R1173" s="39">
        <f>R1172+C23</f>
        <v>10025.219999999999</v>
      </c>
      <c r="S1173"/>
      <c r="AE1173" s="52">
        <f t="shared" si="156"/>
        <v>0</v>
      </c>
    </row>
    <row r="1174" spans="6:31" ht="24" customHeight="1">
      <c r="M1174" s="51"/>
      <c r="O1174" s="37" t="s">
        <v>3419</v>
      </c>
      <c r="R1174" s="39">
        <f>R1173+C23</f>
        <v>10228.719999999999</v>
      </c>
      <c r="S1174"/>
      <c r="AE1174" s="52">
        <f t="shared" si="156"/>
        <v>0</v>
      </c>
    </row>
    <row r="1175" spans="6:31" ht="24" customHeight="1">
      <c r="M1175" s="51">
        <v>0.443</v>
      </c>
      <c r="N1175" t="s">
        <v>1289</v>
      </c>
      <c r="O1175" t="s">
        <v>3412</v>
      </c>
      <c r="P1175">
        <f t="shared" ref="P1175:P1181" si="157">P1144</f>
        <v>1581.38</v>
      </c>
      <c r="R1175">
        <f>P1175*M1175</f>
        <v>700.55</v>
      </c>
      <c r="S1175"/>
      <c r="AE1175" s="52">
        <f t="shared" si="156"/>
        <v>0</v>
      </c>
    </row>
    <row r="1176" spans="6:31" ht="24" customHeight="1">
      <c r="F1176" s="2" t="s">
        <v>1384</v>
      </c>
      <c r="G1176" s="7" t="s">
        <v>2167</v>
      </c>
      <c r="H1176" s="1" t="s">
        <v>818</v>
      </c>
      <c r="M1176" s="51">
        <v>0.29499999999999998</v>
      </c>
      <c r="N1176" t="s">
        <v>1289</v>
      </c>
      <c r="O1176" t="s">
        <v>3413</v>
      </c>
      <c r="P1176">
        <f t="shared" si="157"/>
        <v>1126.3800000000001</v>
      </c>
      <c r="R1176">
        <f t="shared" ref="R1176:R1182" si="158">P1176*M1176</f>
        <v>332.28</v>
      </c>
      <c r="S1176"/>
      <c r="AE1176" s="52">
        <f t="shared" si="156"/>
        <v>0</v>
      </c>
    </row>
    <row r="1177" spans="6:31" ht="24" customHeight="1">
      <c r="H1177" s="1" t="s">
        <v>1385</v>
      </c>
      <c r="M1177" s="51">
        <v>0.43</v>
      </c>
      <c r="N1177" t="s">
        <v>1289</v>
      </c>
      <c r="O1177" t="s">
        <v>1027</v>
      </c>
      <c r="P1177">
        <f t="shared" si="157"/>
        <v>1400.82</v>
      </c>
      <c r="R1177">
        <f t="shared" si="158"/>
        <v>602.35</v>
      </c>
      <c r="S1177"/>
      <c r="AE1177" s="52">
        <f t="shared" si="156"/>
        <v>0</v>
      </c>
    </row>
    <row r="1178" spans="6:31" ht="24" customHeight="1">
      <c r="H1178" s="5" t="s">
        <v>1530</v>
      </c>
      <c r="I1178" s="5" t="s">
        <v>1530</v>
      </c>
      <c r="M1178" s="51">
        <v>0.39</v>
      </c>
      <c r="N1178" t="s">
        <v>494</v>
      </c>
      <c r="O1178" t="s">
        <v>364</v>
      </c>
      <c r="P1178">
        <f t="shared" si="157"/>
        <v>5960</v>
      </c>
      <c r="R1178">
        <f t="shared" si="158"/>
        <v>2324.4</v>
      </c>
      <c r="S1178"/>
      <c r="AE1178" s="52">
        <f t="shared" si="156"/>
        <v>0</v>
      </c>
    </row>
    <row r="1179" spans="6:31" ht="24" customHeight="1">
      <c r="F1179" s="16">
        <v>0.53339999999999999</v>
      </c>
      <c r="G1179" s="7" t="s">
        <v>2199</v>
      </c>
      <c r="H1179" s="512" t="s">
        <v>2015</v>
      </c>
      <c r="I1179" s="545">
        <v>208.8</v>
      </c>
      <c r="J1179" s="1" t="s">
        <v>2199</v>
      </c>
      <c r="K1179" s="8">
        <f>(F1179*I1179)</f>
        <v>111.37</v>
      </c>
      <c r="M1179" s="51">
        <v>0.35</v>
      </c>
      <c r="N1179" t="s">
        <v>1375</v>
      </c>
      <c r="O1179" t="s">
        <v>435</v>
      </c>
      <c r="P1179">
        <f t="shared" si="157"/>
        <v>804</v>
      </c>
      <c r="Q1179">
        <f>D1177</f>
        <v>0</v>
      </c>
      <c r="R1179">
        <f t="shared" si="158"/>
        <v>281.39999999999998</v>
      </c>
      <c r="S1179"/>
      <c r="AE1179" s="52">
        <f t="shared" si="156"/>
        <v>0</v>
      </c>
    </row>
    <row r="1180" spans="6:31" ht="24" customHeight="1">
      <c r="F1180" s="8">
        <v>4.24</v>
      </c>
      <c r="G1180" s="7" t="s">
        <v>794</v>
      </c>
      <c r="H1180" s="707" t="s">
        <v>4123</v>
      </c>
      <c r="I1180" s="545">
        <v>35.61</v>
      </c>
      <c r="J1180" s="1" t="s">
        <v>794</v>
      </c>
      <c r="K1180" s="8">
        <f>(F1180*I1180)</f>
        <v>150.99</v>
      </c>
      <c r="M1180" s="51">
        <v>2.12</v>
      </c>
      <c r="N1180" t="s">
        <v>1375</v>
      </c>
      <c r="O1180" t="s">
        <v>3414</v>
      </c>
      <c r="P1180">
        <f t="shared" si="157"/>
        <v>562</v>
      </c>
      <c r="R1180">
        <f t="shared" si="158"/>
        <v>1191.44</v>
      </c>
      <c r="S1180"/>
      <c r="AE1180" s="52">
        <f t="shared" si="156"/>
        <v>0</v>
      </c>
    </row>
    <row r="1181" spans="6:31" ht="24" customHeight="1">
      <c r="F1181" s="8">
        <v>16</v>
      </c>
      <c r="G1181" s="7" t="s">
        <v>529</v>
      </c>
      <c r="H1181" s="707" t="s">
        <v>4124</v>
      </c>
      <c r="I1181" s="545">
        <v>1</v>
      </c>
      <c r="J1181" s="1" t="s">
        <v>1341</v>
      </c>
      <c r="K1181" s="8">
        <f>(F1181*I1181)</f>
        <v>16</v>
      </c>
      <c r="M1181" s="51">
        <v>3.53</v>
      </c>
      <c r="N1181" t="s">
        <v>1375</v>
      </c>
      <c r="O1181" t="s">
        <v>3415</v>
      </c>
      <c r="P1181">
        <f t="shared" si="157"/>
        <v>461</v>
      </c>
      <c r="R1181">
        <f t="shared" si="158"/>
        <v>1627.33</v>
      </c>
      <c r="S1181"/>
      <c r="AE1181" s="52">
        <f t="shared" si="156"/>
        <v>0</v>
      </c>
    </row>
    <row r="1182" spans="6:31" ht="24" customHeight="1">
      <c r="F1182" s="16">
        <v>0.53339999999999999</v>
      </c>
      <c r="G1182" s="7" t="s">
        <v>2199</v>
      </c>
      <c r="H1182" s="1" t="s">
        <v>674</v>
      </c>
      <c r="I1182" s="8">
        <f>0.25/1.08*D16</f>
        <v>186.11</v>
      </c>
      <c r="J1182" s="1" t="s">
        <v>2199</v>
      </c>
      <c r="K1182" s="8">
        <f>(F1182*I1182)</f>
        <v>99.27</v>
      </c>
      <c r="M1182" s="51">
        <v>1</v>
      </c>
      <c r="N1182" t="s">
        <v>1289</v>
      </c>
      <c r="O1182" t="s">
        <v>3416</v>
      </c>
      <c r="P1182">
        <f>R1151</f>
        <v>81.3</v>
      </c>
      <c r="R1182">
        <f t="shared" si="158"/>
        <v>81.3</v>
      </c>
      <c r="S1182"/>
      <c r="AE1182" s="52">
        <f t="shared" si="156"/>
        <v>0</v>
      </c>
    </row>
    <row r="1183" spans="6:31" ht="24" customHeight="1">
      <c r="G1183" s="7" t="s">
        <v>419</v>
      </c>
      <c r="H1183" s="1" t="s">
        <v>2187</v>
      </c>
      <c r="J1183" s="1" t="s">
        <v>419</v>
      </c>
      <c r="K1183" s="8"/>
      <c r="M1183" s="420" t="s">
        <v>625</v>
      </c>
      <c r="O1183" t="s">
        <v>3417</v>
      </c>
      <c r="P1183" s="420" t="s">
        <v>625</v>
      </c>
      <c r="R1183">
        <v>270</v>
      </c>
      <c r="S1183"/>
      <c r="AE1183" s="52">
        <f t="shared" si="156"/>
        <v>0</v>
      </c>
    </row>
    <row r="1184" spans="6:31" ht="24" customHeight="1">
      <c r="H1184" s="1" t="s">
        <v>2188</v>
      </c>
      <c r="M1184" s="420" t="s">
        <v>625</v>
      </c>
      <c r="O1184" t="s">
        <v>3418</v>
      </c>
      <c r="P1184" s="420" t="s">
        <v>625</v>
      </c>
      <c r="R1184">
        <v>150</v>
      </c>
      <c r="S1184"/>
      <c r="AE1184" s="52">
        <f t="shared" si="156"/>
        <v>0</v>
      </c>
    </row>
    <row r="1185" spans="6:37" ht="24" customHeight="1">
      <c r="K1185" s="5" t="s">
        <v>1530</v>
      </c>
      <c r="M1185" s="420" t="s">
        <v>625</v>
      </c>
      <c r="O1185" t="s">
        <v>2187</v>
      </c>
      <c r="P1185" s="420" t="s">
        <v>625</v>
      </c>
      <c r="R1185">
        <v>0.45</v>
      </c>
      <c r="S1185">
        <f>C22</f>
        <v>103.3</v>
      </c>
      <c r="T1185">
        <f>C23</f>
        <v>203.5</v>
      </c>
      <c r="AE1185" s="52" t="str">
        <f t="shared" si="156"/>
        <v>|</v>
      </c>
      <c r="AG1185" s="1" t="s">
        <v>2175</v>
      </c>
    </row>
    <row r="1186" spans="6:37" ht="24" customHeight="1">
      <c r="H1186" s="2" t="s">
        <v>1640</v>
      </c>
      <c r="K1186" s="8">
        <f>SUM(K1179:K1183)</f>
        <v>377.63</v>
      </c>
      <c r="M1186" s="51"/>
      <c r="O1186" t="s">
        <v>3523</v>
      </c>
      <c r="R1186" s="37">
        <f>SUM(R1175:R1185)</f>
        <v>7561.5</v>
      </c>
      <c r="S1186"/>
      <c r="AE1186" s="52" t="str">
        <f t="shared" si="156"/>
        <v>|</v>
      </c>
      <c r="AG1186" s="1" t="s">
        <v>2175</v>
      </c>
    </row>
    <row r="1187" spans="6:37" ht="24" customHeight="1">
      <c r="K1187" s="5" t="s">
        <v>1530</v>
      </c>
      <c r="M1187" s="51"/>
      <c r="O1187" t="s">
        <v>361</v>
      </c>
      <c r="R1187">
        <f>R1186+C22</f>
        <v>7664.8</v>
      </c>
      <c r="AE1187" s="52" t="str">
        <f t="shared" si="156"/>
        <v>|</v>
      </c>
      <c r="AG1187" s="1" t="s">
        <v>2175</v>
      </c>
    </row>
    <row r="1188" spans="6:37" ht="24" customHeight="1">
      <c r="H1188" s="2" t="s">
        <v>1641</v>
      </c>
      <c r="K1188" s="39">
        <f>ROUND(K1186/0.5334,1)+0.1</f>
        <v>708.1</v>
      </c>
      <c r="R1188">
        <f>R1187+T1185</f>
        <v>7868.3</v>
      </c>
      <c r="AE1188" s="52" t="str">
        <f t="shared" si="156"/>
        <v>|</v>
      </c>
      <c r="AG1188" s="1" t="s">
        <v>2175</v>
      </c>
    </row>
    <row r="1189" spans="6:37" ht="24" customHeight="1">
      <c r="F1189" s="1" t="s">
        <v>940</v>
      </c>
      <c r="K1189" s="5" t="s">
        <v>1980</v>
      </c>
      <c r="Y1189" s="31">
        <v>15.1</v>
      </c>
      <c r="Z1189" s="7" t="s">
        <v>1700</v>
      </c>
      <c r="AA1189" s="34" t="s">
        <v>4144</v>
      </c>
      <c r="AC1189" s="4"/>
      <c r="AE1189" s="52" t="str">
        <f t="shared" si="156"/>
        <v>C.</v>
      </c>
      <c r="AF1189" s="31">
        <v>15.1</v>
      </c>
      <c r="AG1189" s="7" t="s">
        <v>1700</v>
      </c>
      <c r="AH1189" s="713" t="s">
        <v>4143</v>
      </c>
      <c r="AJ1189" s="4"/>
    </row>
    <row r="1190" spans="6:37" ht="24" customHeight="1">
      <c r="F1190" s="1" t="s">
        <v>940</v>
      </c>
      <c r="G1190" s="7" t="s">
        <v>940</v>
      </c>
      <c r="H1190" s="1" t="s">
        <v>940</v>
      </c>
      <c r="Z1190" s="3"/>
      <c r="AA1190" s="1" t="s">
        <v>2197</v>
      </c>
      <c r="AC1190" s="4"/>
      <c r="AE1190" s="52">
        <f t="shared" si="156"/>
        <v>0</v>
      </c>
      <c r="AG1190" s="3"/>
      <c r="AH1190" s="1" t="s">
        <v>2197</v>
      </c>
      <c r="AJ1190" s="4"/>
    </row>
    <row r="1191" spans="6:37" ht="53.25" customHeight="1">
      <c r="F1191" s="2" t="s">
        <v>1736</v>
      </c>
      <c r="G1191" s="7" t="s">
        <v>2167</v>
      </c>
      <c r="H1191" s="1" t="s">
        <v>1435</v>
      </c>
      <c r="Y1191" s="8">
        <v>10</v>
      </c>
      <c r="Z1191" s="7" t="s">
        <v>2199</v>
      </c>
      <c r="AA1191" s="23" t="s">
        <v>4913</v>
      </c>
      <c r="AB1191" s="423">
        <v>1720</v>
      </c>
      <c r="AC1191" s="2" t="s">
        <v>2199</v>
      </c>
      <c r="AD1191" s="8">
        <f>(Y1191*AB1191)</f>
        <v>17200</v>
      </c>
      <c r="AE1191" s="52" t="str">
        <f t="shared" si="156"/>
        <v>Sqm</v>
      </c>
      <c r="AF1191" s="8">
        <v>10</v>
      </c>
      <c r="AG1191" s="7" t="s">
        <v>2199</v>
      </c>
      <c r="AH1191" s="23" t="s">
        <v>4918</v>
      </c>
      <c r="AI1191" s="423">
        <v>852</v>
      </c>
      <c r="AJ1191" s="2" t="s">
        <v>2199</v>
      </c>
      <c r="AK1191" s="8">
        <f>(AF1191*AI1191)</f>
        <v>8520</v>
      </c>
    </row>
    <row r="1192" spans="6:37" ht="24" customHeight="1">
      <c r="H1192" s="1" t="s">
        <v>157</v>
      </c>
      <c r="Y1192" s="8">
        <v>0.12</v>
      </c>
      <c r="Z1192" s="7" t="s">
        <v>836</v>
      </c>
      <c r="AA1192" s="1" t="s">
        <v>754</v>
      </c>
      <c r="AB1192" s="746">
        <f>P1336</f>
        <v>4361.62</v>
      </c>
      <c r="AC1192" s="2" t="s">
        <v>836</v>
      </c>
      <c r="AD1192" s="8">
        <f>(Y1192*AB1192)</f>
        <v>523.39</v>
      </c>
      <c r="AE1192" s="52" t="str">
        <f t="shared" si="156"/>
        <v>CUM</v>
      </c>
      <c r="AF1192" s="8">
        <v>0.12</v>
      </c>
      <c r="AG1192" s="7" t="s">
        <v>836</v>
      </c>
      <c r="AH1192" s="1" t="s">
        <v>754</v>
      </c>
      <c r="AI1192" s="423">
        <f>AB1192</f>
        <v>4361.62</v>
      </c>
      <c r="AJ1192" s="2" t="s">
        <v>836</v>
      </c>
      <c r="AK1192" s="8">
        <f>(AF1192*AI1192)</f>
        <v>523.39</v>
      </c>
    </row>
    <row r="1193" spans="6:37" ht="24" customHeight="1">
      <c r="H1193" s="5" t="s">
        <v>1530</v>
      </c>
      <c r="Y1193" s="8">
        <v>1</v>
      </c>
      <c r="Z1193" s="7" t="s">
        <v>529</v>
      </c>
      <c r="AA1193" s="1" t="s">
        <v>530</v>
      </c>
      <c r="AB1193" s="746">
        <f>P1337</f>
        <v>861</v>
      </c>
      <c r="AC1193" s="2" t="s">
        <v>1341</v>
      </c>
      <c r="AD1193" s="8">
        <f>(Y1193*AB1193)</f>
        <v>861</v>
      </c>
      <c r="AE1193" s="52" t="str">
        <f t="shared" si="156"/>
        <v>No.</v>
      </c>
      <c r="AF1193" s="8">
        <v>1</v>
      </c>
      <c r="AG1193" s="7" t="s">
        <v>529</v>
      </c>
      <c r="AH1193" s="1" t="s">
        <v>530</v>
      </c>
      <c r="AI1193" s="423">
        <f>AB1193</f>
        <v>861</v>
      </c>
      <c r="AJ1193" s="2" t="s">
        <v>1341</v>
      </c>
      <c r="AK1193" s="8">
        <f>(AF1193*AI1193)</f>
        <v>861</v>
      </c>
    </row>
    <row r="1194" spans="6:37" ht="24" customHeight="1">
      <c r="F1194" s="8">
        <v>1</v>
      </c>
      <c r="G1194" s="7" t="s">
        <v>1591</v>
      </c>
      <c r="H1194" s="1" t="s">
        <v>4741</v>
      </c>
      <c r="I1194" s="569">
        <v>62.1</v>
      </c>
      <c r="J1194" s="1" t="s">
        <v>1591</v>
      </c>
      <c r="K1194" s="39">
        <f>(F1194*I1194)</f>
        <v>62.1</v>
      </c>
      <c r="Y1194" s="8">
        <v>1</v>
      </c>
      <c r="Z1194" s="7" t="s">
        <v>529</v>
      </c>
      <c r="AA1194" s="1" t="s">
        <v>4564</v>
      </c>
      <c r="AB1194" s="746">
        <f>P1338</f>
        <v>562</v>
      </c>
      <c r="AC1194" s="2" t="s">
        <v>1341</v>
      </c>
      <c r="AD1194" s="8">
        <f>(Y1194*AB1194)</f>
        <v>562</v>
      </c>
      <c r="AE1194" s="52" t="str">
        <f t="shared" si="156"/>
        <v>No.</v>
      </c>
      <c r="AF1194" s="8">
        <v>1</v>
      </c>
      <c r="AG1194" s="7" t="s">
        <v>529</v>
      </c>
      <c r="AH1194" s="1" t="s">
        <v>4565</v>
      </c>
      <c r="AI1194" s="423">
        <f>AB1194</f>
        <v>562</v>
      </c>
      <c r="AJ1194" s="2" t="s">
        <v>1341</v>
      </c>
      <c r="AK1194" s="8">
        <f>(AF1194*AI1194)</f>
        <v>562</v>
      </c>
    </row>
    <row r="1195" spans="6:37" ht="24" customHeight="1">
      <c r="K1195" s="5" t="s">
        <v>1980</v>
      </c>
      <c r="Y1195" s="8"/>
      <c r="Z1195" s="7" t="s">
        <v>419</v>
      </c>
      <c r="AA1195" s="1" t="s">
        <v>58</v>
      </c>
      <c r="AC1195" s="2" t="s">
        <v>419</v>
      </c>
      <c r="AD1195" s="8">
        <v>0.33</v>
      </c>
      <c r="AF1195" s="8"/>
      <c r="AG1195" s="7" t="s">
        <v>419</v>
      </c>
      <c r="AH1195" s="1" t="s">
        <v>58</v>
      </c>
      <c r="AJ1195" s="2" t="s">
        <v>419</v>
      </c>
      <c r="AK1195" s="8">
        <v>0.33</v>
      </c>
    </row>
    <row r="1196" spans="6:37" ht="24" customHeight="1">
      <c r="F1196" s="2">
        <v>39</v>
      </c>
      <c r="H1196" s="512" t="s">
        <v>4742</v>
      </c>
      <c r="I1196" s="423">
        <v>62.6</v>
      </c>
      <c r="J1196" s="1" t="s">
        <v>1591</v>
      </c>
      <c r="K1196" s="165">
        <f>I1196</f>
        <v>62.6</v>
      </c>
      <c r="Y1196" s="8"/>
      <c r="Z1196" s="3"/>
      <c r="AA1196" s="1" t="s">
        <v>894</v>
      </c>
      <c r="AD1196" s="4"/>
      <c r="AE1196" s="5" t="s">
        <v>1530</v>
      </c>
      <c r="AF1196" s="8"/>
      <c r="AG1196" s="3"/>
      <c r="AH1196" s="1" t="s">
        <v>894</v>
      </c>
      <c r="AK1196" s="4"/>
    </row>
    <row r="1197" spans="6:37" ht="24" customHeight="1">
      <c r="F1197" s="2" t="s">
        <v>415</v>
      </c>
      <c r="G1197" s="7" t="s">
        <v>2167</v>
      </c>
      <c r="H1197" s="1" t="s">
        <v>4125</v>
      </c>
      <c r="I1197" s="1" t="s">
        <v>940</v>
      </c>
      <c r="J1197" s="1" t="s">
        <v>1658</v>
      </c>
      <c r="K1197" s="708">
        <v>9.6</v>
      </c>
      <c r="Y1197" s="8"/>
      <c r="Z1197" s="3"/>
      <c r="AA1197" s="2" t="s">
        <v>378</v>
      </c>
      <c r="AC1197" s="4"/>
      <c r="AD1197" s="8">
        <f>SUM(AD1191:AD1196)</f>
        <v>19146.72</v>
      </c>
      <c r="AE1197" s="8">
        <f>SUM(AE1191:AE1195)</f>
        <v>0</v>
      </c>
      <c r="AF1197" s="8"/>
      <c r="AG1197" s="3"/>
      <c r="AH1197" s="2" t="s">
        <v>378</v>
      </c>
      <c r="AJ1197" s="4"/>
      <c r="AK1197" s="8">
        <f>SUM(AK1191:AK1196)</f>
        <v>10466.719999999999</v>
      </c>
    </row>
    <row r="1198" spans="6:37" ht="24" customHeight="1">
      <c r="H1198" s="1" t="s">
        <v>248</v>
      </c>
      <c r="K1198" s="5" t="s">
        <v>1980</v>
      </c>
      <c r="Z1198" s="3"/>
      <c r="AC1198" s="4"/>
      <c r="AD1198" s="5" t="s">
        <v>1530</v>
      </c>
      <c r="AE1198" s="5" t="s">
        <v>1530</v>
      </c>
      <c r="AG1198" s="3"/>
      <c r="AJ1198" s="4"/>
      <c r="AK1198" s="5" t="s">
        <v>1530</v>
      </c>
    </row>
    <row r="1199" spans="6:37" ht="24" customHeight="1">
      <c r="Z1199" s="3"/>
      <c r="AA1199" s="2" t="s">
        <v>382</v>
      </c>
      <c r="AD1199" s="39">
        <f>AD1197/10</f>
        <v>1914.67</v>
      </c>
      <c r="AG1199" s="3"/>
      <c r="AH1199" s="2" t="s">
        <v>382</v>
      </c>
      <c r="AK1199" s="39">
        <f>AK1197/10</f>
        <v>1046.67</v>
      </c>
    </row>
    <row r="1200" spans="6:37" ht="24" customHeight="1">
      <c r="F1200" s="2" t="s">
        <v>219</v>
      </c>
      <c r="G1200" s="7" t="s">
        <v>2167</v>
      </c>
      <c r="H1200" s="1" t="s">
        <v>1856</v>
      </c>
      <c r="Z1200" s="3"/>
      <c r="AA1200" s="1" t="s">
        <v>361</v>
      </c>
      <c r="AC1200" s="4">
        <f>C22*0.02</f>
        <v>2.0699999999999998</v>
      </c>
      <c r="AD1200" s="8">
        <f>AD1199+AC1200</f>
        <v>1916.74</v>
      </c>
      <c r="AG1200" s="3"/>
      <c r="AH1200" s="1" t="s">
        <v>361</v>
      </c>
      <c r="AJ1200" s="4">
        <f>C22*0.01</f>
        <v>1.03</v>
      </c>
      <c r="AK1200" s="8">
        <f>AK1199+AJ1200</f>
        <v>1047.7</v>
      </c>
    </row>
    <row r="1201" spans="6:37" ht="24" customHeight="1">
      <c r="H1201" s="1" t="s">
        <v>896</v>
      </c>
      <c r="Z1201" s="3"/>
      <c r="AA1201" s="1" t="s">
        <v>363</v>
      </c>
      <c r="AC1201" s="4">
        <f>C23*0.02</f>
        <v>4.07</v>
      </c>
      <c r="AD1201" s="8">
        <f>AD1200+AC1201</f>
        <v>1920.81</v>
      </c>
      <c r="AG1201" s="3"/>
      <c r="AH1201" s="1" t="s">
        <v>363</v>
      </c>
      <c r="AJ1201" s="4">
        <f>C23*0.01</f>
        <v>2.04</v>
      </c>
      <c r="AK1201" s="8">
        <f>AK1200+AJ1201</f>
        <v>1049.74</v>
      </c>
    </row>
    <row r="1202" spans="6:37" ht="24" customHeight="1">
      <c r="H1202" s="5" t="s">
        <v>1530</v>
      </c>
      <c r="Z1202" s="3"/>
      <c r="AA1202" s="1" t="s">
        <v>2149</v>
      </c>
      <c r="AC1202" s="4">
        <f t="shared" ref="AC1202:AC1211" si="159">AC1201</f>
        <v>4.07</v>
      </c>
      <c r="AD1202" s="8">
        <f t="shared" ref="AD1202:AD1211" si="160">+AD1201+AC1202</f>
        <v>1924.88</v>
      </c>
      <c r="AG1202" s="3"/>
      <c r="AH1202" s="1" t="s">
        <v>2149</v>
      </c>
      <c r="AJ1202" s="4">
        <f>C24*0.01</f>
        <v>2.04</v>
      </c>
      <c r="AK1202" s="8">
        <f t="shared" ref="AK1202:AK1209" si="161">+AK1201+AJ1202</f>
        <v>1051.78</v>
      </c>
    </row>
    <row r="1203" spans="6:37" ht="24" customHeight="1">
      <c r="F1203" s="8">
        <v>0.22</v>
      </c>
      <c r="G1203" s="7" t="s">
        <v>836</v>
      </c>
      <c r="H1203" s="1" t="s">
        <v>1258</v>
      </c>
      <c r="I1203" s="8">
        <f>K40</f>
        <v>3646.42</v>
      </c>
      <c r="J1203" s="1" t="s">
        <v>836</v>
      </c>
      <c r="K1203" s="8">
        <f>(F1203*I1203)</f>
        <v>802.21</v>
      </c>
      <c r="Z1203" s="3"/>
      <c r="AA1203" s="1" t="s">
        <v>355</v>
      </c>
      <c r="AC1203" s="4">
        <f t="shared" si="159"/>
        <v>4.07</v>
      </c>
      <c r="AD1203" s="8">
        <f t="shared" si="160"/>
        <v>1928.95</v>
      </c>
      <c r="AG1203" s="3"/>
      <c r="AH1203" s="1" t="s">
        <v>355</v>
      </c>
      <c r="AJ1203" s="4">
        <v>1.95</v>
      </c>
      <c r="AK1203" s="8">
        <f t="shared" si="161"/>
        <v>1053.73</v>
      </c>
    </row>
    <row r="1204" spans="6:37" ht="24" customHeight="1">
      <c r="F1204" s="8">
        <v>2.2000000000000002</v>
      </c>
      <c r="G1204" s="7" t="s">
        <v>739</v>
      </c>
      <c r="H1204" s="1" t="s">
        <v>1938</v>
      </c>
      <c r="I1204" s="8">
        <f>(C10)</f>
        <v>861</v>
      </c>
      <c r="J1204" s="1" t="s">
        <v>739</v>
      </c>
      <c r="K1204" s="8">
        <f>(F1204*I1204)</f>
        <v>1894.2</v>
      </c>
      <c r="Z1204" s="3"/>
      <c r="AA1204" s="1" t="s">
        <v>1312</v>
      </c>
      <c r="AC1204" s="4">
        <f t="shared" si="159"/>
        <v>4.07</v>
      </c>
      <c r="AD1204" s="8">
        <f t="shared" si="160"/>
        <v>1933.02</v>
      </c>
      <c r="AG1204" s="3"/>
      <c r="AH1204" s="1" t="s">
        <v>1312</v>
      </c>
      <c r="AJ1204" s="4">
        <v>1.95</v>
      </c>
      <c r="AK1204" s="8">
        <f t="shared" si="161"/>
        <v>1055.68</v>
      </c>
    </row>
    <row r="1205" spans="6:37" ht="24" customHeight="1">
      <c r="F1205" s="8">
        <v>0.5</v>
      </c>
      <c r="G1205" s="7" t="s">
        <v>739</v>
      </c>
      <c r="H1205" s="1" t="s">
        <v>897</v>
      </c>
      <c r="I1205" s="8">
        <f>(C12)</f>
        <v>562</v>
      </c>
      <c r="J1205" s="1" t="s">
        <v>739</v>
      </c>
      <c r="K1205" s="8">
        <f>(F1205*I1205)</f>
        <v>281</v>
      </c>
      <c r="Z1205" s="3"/>
      <c r="AA1205">
        <v>5</v>
      </c>
      <c r="AC1205" s="4">
        <f t="shared" si="159"/>
        <v>4.07</v>
      </c>
      <c r="AD1205" s="8">
        <f t="shared" si="160"/>
        <v>1937.09</v>
      </c>
      <c r="AE1205" s="52">
        <f t="shared" si="156"/>
        <v>0</v>
      </c>
      <c r="AG1205" s="3"/>
      <c r="AH1205">
        <v>5</v>
      </c>
      <c r="AJ1205" s="4">
        <f>AC1205</f>
        <v>4.07</v>
      </c>
      <c r="AK1205" s="8">
        <f t="shared" si="161"/>
        <v>1059.75</v>
      </c>
    </row>
    <row r="1206" spans="6:37" ht="24" customHeight="1">
      <c r="F1206" s="8">
        <v>3.2</v>
      </c>
      <c r="G1206" s="7" t="s">
        <v>739</v>
      </c>
      <c r="H1206" s="1" t="s">
        <v>299</v>
      </c>
      <c r="I1206" s="8">
        <f>(C13)</f>
        <v>461</v>
      </c>
      <c r="J1206" s="1" t="s">
        <v>739</v>
      </c>
      <c r="K1206" s="8">
        <f>(F1206*I1206)</f>
        <v>1475.2</v>
      </c>
      <c r="AA1206">
        <v>6</v>
      </c>
      <c r="AC1206" s="4">
        <f t="shared" si="159"/>
        <v>4.07</v>
      </c>
      <c r="AD1206" s="8">
        <f t="shared" si="160"/>
        <v>1941.16</v>
      </c>
      <c r="AE1206" s="52">
        <f t="shared" si="156"/>
        <v>0</v>
      </c>
      <c r="AH1206">
        <v>6</v>
      </c>
      <c r="AJ1206" s="4">
        <f>AC1206</f>
        <v>4.07</v>
      </c>
      <c r="AK1206" s="8">
        <f t="shared" si="161"/>
        <v>1063.82</v>
      </c>
    </row>
    <row r="1207" spans="6:37" ht="24" customHeight="1">
      <c r="F1207" s="8"/>
      <c r="G1207" s="7"/>
      <c r="H1207" s="1"/>
      <c r="I1207" s="8"/>
      <c r="J1207" s="1"/>
      <c r="K1207" s="8"/>
      <c r="AA1207">
        <v>7</v>
      </c>
      <c r="AC1207" s="4">
        <f t="shared" si="159"/>
        <v>4.07</v>
      </c>
      <c r="AD1207" s="8">
        <f t="shared" si="160"/>
        <v>1945.23</v>
      </c>
      <c r="AE1207" s="52"/>
      <c r="AH1207">
        <v>7</v>
      </c>
      <c r="AJ1207" s="4">
        <f>AC1207</f>
        <v>4.07</v>
      </c>
      <c r="AK1207" s="8">
        <f t="shared" si="161"/>
        <v>1067.8900000000001</v>
      </c>
    </row>
    <row r="1208" spans="6:37" ht="24" customHeight="1">
      <c r="F1208" s="8"/>
      <c r="G1208" s="7"/>
      <c r="H1208" s="1"/>
      <c r="I1208" s="8"/>
      <c r="J1208" s="1"/>
      <c r="K1208" s="8"/>
      <c r="AA1208">
        <v>8</v>
      </c>
      <c r="AC1208" s="4">
        <f t="shared" si="159"/>
        <v>4.07</v>
      </c>
      <c r="AD1208" s="8">
        <f t="shared" si="160"/>
        <v>1949.3</v>
      </c>
      <c r="AE1208" s="52"/>
      <c r="AH1208">
        <v>8</v>
      </c>
      <c r="AJ1208" s="4">
        <f>AC1208</f>
        <v>4.07</v>
      </c>
      <c r="AK1208" s="8">
        <f t="shared" si="161"/>
        <v>1071.96</v>
      </c>
    </row>
    <row r="1209" spans="6:37" ht="24" customHeight="1">
      <c r="F1209" s="8"/>
      <c r="G1209" s="7"/>
      <c r="H1209" s="1"/>
      <c r="I1209" s="8"/>
      <c r="J1209" s="1"/>
      <c r="K1209" s="8"/>
      <c r="AA1209">
        <v>9</v>
      </c>
      <c r="AC1209" s="4">
        <f t="shared" si="159"/>
        <v>4.07</v>
      </c>
      <c r="AD1209" s="8">
        <f t="shared" si="160"/>
        <v>1953.37</v>
      </c>
      <c r="AE1209" s="52"/>
      <c r="AF1209" t="s">
        <v>4547</v>
      </c>
      <c r="AH1209">
        <v>9</v>
      </c>
      <c r="AJ1209" s="4">
        <f>AC1209</f>
        <v>4.07</v>
      </c>
      <c r="AK1209" s="8">
        <f t="shared" si="161"/>
        <v>1076.03</v>
      </c>
    </row>
    <row r="1210" spans="6:37" ht="24" customHeight="1">
      <c r="F1210" s="8"/>
      <c r="G1210" s="7"/>
      <c r="H1210" s="1"/>
      <c r="I1210" s="8"/>
      <c r="J1210" s="1"/>
      <c r="K1210" s="8"/>
      <c r="AA1210">
        <v>10</v>
      </c>
      <c r="AC1210" s="4">
        <f t="shared" si="159"/>
        <v>4.07</v>
      </c>
      <c r="AD1210" s="8">
        <f t="shared" si="160"/>
        <v>1957.44</v>
      </c>
      <c r="AE1210" s="52"/>
      <c r="AG1210" s="1"/>
    </row>
    <row r="1211" spans="6:37" ht="24" customHeight="1">
      <c r="F1211" s="8"/>
      <c r="G1211" s="7"/>
      <c r="H1211" s="1"/>
      <c r="I1211" s="8"/>
      <c r="J1211" s="1"/>
      <c r="K1211" s="8"/>
      <c r="AA1211">
        <v>11</v>
      </c>
      <c r="AC1211" s="4">
        <f t="shared" si="159"/>
        <v>4.07</v>
      </c>
      <c r="AD1211" s="8">
        <f t="shared" si="160"/>
        <v>1961.51</v>
      </c>
      <c r="AE1211" s="52"/>
      <c r="AG1211" s="1"/>
    </row>
    <row r="1212" spans="6:37" ht="24" customHeight="1">
      <c r="G1212" s="7" t="s">
        <v>419</v>
      </c>
      <c r="H1212" s="1" t="s">
        <v>420</v>
      </c>
      <c r="I1212" s="1" t="s">
        <v>940</v>
      </c>
      <c r="J1212" s="1" t="s">
        <v>419</v>
      </c>
      <c r="K1212" s="8">
        <v>0</v>
      </c>
      <c r="N1212" s="3"/>
      <c r="Q1212" s="4"/>
      <c r="Y1212" s="25">
        <v>29.5</v>
      </c>
      <c r="Z1212" s="7" t="s">
        <v>2167</v>
      </c>
      <c r="AA1212" s="34" t="s">
        <v>3660</v>
      </c>
      <c r="AE1212" s="52" t="str">
        <f t="shared" si="156"/>
        <v>|</v>
      </c>
      <c r="AG1212" s="1" t="s">
        <v>2175</v>
      </c>
    </row>
    <row r="1213" spans="6:37" ht="24" customHeight="1">
      <c r="K1213" s="5" t="s">
        <v>1530</v>
      </c>
      <c r="N1213" s="3"/>
      <c r="Q1213" s="4"/>
      <c r="Z1213" s="3"/>
      <c r="AA1213" s="34" t="s">
        <v>3720</v>
      </c>
      <c r="AE1213" s="52" t="str">
        <f t="shared" si="156"/>
        <v>|</v>
      </c>
      <c r="AG1213" s="1" t="s">
        <v>2175</v>
      </c>
    </row>
    <row r="1214" spans="6:37" ht="24" customHeight="1">
      <c r="H1214" s="1" t="s">
        <v>411</v>
      </c>
      <c r="K1214" s="8">
        <f>SUM(K1203:K1212)</f>
        <v>4452.6099999999997</v>
      </c>
      <c r="N1214" s="3"/>
      <c r="Q1214" s="4"/>
      <c r="Z1214" s="3"/>
      <c r="AA1214" s="1"/>
      <c r="AE1214" s="52" t="str">
        <f t="shared" si="156"/>
        <v>|</v>
      </c>
      <c r="AG1214" s="1" t="s">
        <v>2175</v>
      </c>
    </row>
    <row r="1215" spans="6:37" ht="36.75" customHeight="1">
      <c r="F1215" t="s">
        <v>940</v>
      </c>
      <c r="K1215" s="5" t="s">
        <v>1530</v>
      </c>
      <c r="N1215" s="3"/>
      <c r="O1215" s="218" t="s">
        <v>1472</v>
      </c>
      <c r="Q1215" s="4"/>
      <c r="Z1215" s="3"/>
      <c r="AA1215" s="5" t="s">
        <v>1530</v>
      </c>
      <c r="AB1215" s="5" t="s">
        <v>1530</v>
      </c>
      <c r="AC1215" s="11">
        <f>54.96*10.764</f>
        <v>591.59</v>
      </c>
      <c r="AE1215" s="52" t="str">
        <f t="shared" si="156"/>
        <v>|</v>
      </c>
      <c r="AG1215" s="1" t="s">
        <v>2175</v>
      </c>
    </row>
    <row r="1216" spans="6:37" ht="30" customHeight="1">
      <c r="H1216" s="59" t="s">
        <v>521</v>
      </c>
      <c r="K1216" s="39">
        <f>(K1214/10)</f>
        <v>445.26</v>
      </c>
      <c r="N1216" s="3"/>
      <c r="Q1216" s="4"/>
      <c r="Y1216" s="8">
        <v>10</v>
      </c>
      <c r="Z1216" s="7" t="s">
        <v>578</v>
      </c>
      <c r="AA1216" s="27" t="s">
        <v>4914</v>
      </c>
      <c r="AB1216" s="423">
        <v>1448</v>
      </c>
      <c r="AC1216" s="1" t="s">
        <v>578</v>
      </c>
      <c r="AD1216" s="8">
        <f>(Y1216*AB1216)</f>
        <v>14480</v>
      </c>
      <c r="AE1216" s="52" t="str">
        <f t="shared" si="156"/>
        <v>|</v>
      </c>
      <c r="AG1216" s="1" t="s">
        <v>2175</v>
      </c>
    </row>
    <row r="1217" spans="6:33" ht="24" customHeight="1">
      <c r="K1217" s="5" t="s">
        <v>1980</v>
      </c>
      <c r="N1217" s="3"/>
      <c r="Q1217" s="4"/>
      <c r="S1217" s="421" t="s">
        <v>3421</v>
      </c>
      <c r="Y1217" s="8">
        <v>0.21</v>
      </c>
      <c r="Z1217" s="7" t="s">
        <v>836</v>
      </c>
      <c r="AA1217" s="1" t="s">
        <v>1810</v>
      </c>
      <c r="AB1217" s="443">
        <f t="shared" ref="AB1217:AB1229" si="162">AB1245</f>
        <v>4361.62</v>
      </c>
      <c r="AC1217" s="1" t="s">
        <v>836</v>
      </c>
      <c r="AD1217" s="8">
        <f>(Y1217*AB1217)</f>
        <v>915.94</v>
      </c>
      <c r="AE1217" s="52" t="str">
        <f t="shared" si="156"/>
        <v>|</v>
      </c>
      <c r="AG1217" s="1" t="s">
        <v>2175</v>
      </c>
    </row>
    <row r="1218" spans="6:33" ht="24" customHeight="1">
      <c r="F1218" s="2" t="s">
        <v>898</v>
      </c>
      <c r="G1218" s="7" t="s">
        <v>2167</v>
      </c>
      <c r="H1218" s="1" t="s">
        <v>1778</v>
      </c>
      <c r="M1218" s="8">
        <v>10</v>
      </c>
      <c r="N1218" s="7" t="s">
        <v>578</v>
      </c>
      <c r="O1218" s="512" t="s">
        <v>4878</v>
      </c>
      <c r="P1218" s="230">
        <v>628</v>
      </c>
      <c r="Q1218" s="2" t="s">
        <v>578</v>
      </c>
      <c r="R1218" s="8">
        <f>M1218*P1218</f>
        <v>6280</v>
      </c>
      <c r="S1218" s="51">
        <v>694.02</v>
      </c>
      <c r="T1218">
        <f>S1218*M1218</f>
        <v>6940.2</v>
      </c>
      <c r="Z1218" s="3"/>
      <c r="AA1218" s="1" t="s">
        <v>1811</v>
      </c>
      <c r="AB1218" s="443" t="str">
        <f t="shared" si="162"/>
        <v xml:space="preserve"> </v>
      </c>
      <c r="AC1218" s="11"/>
      <c r="AD1218" s="1" t="s">
        <v>940</v>
      </c>
      <c r="AE1218" s="52" t="str">
        <f t="shared" si="156"/>
        <v>|</v>
      </c>
      <c r="AG1218" s="1" t="s">
        <v>2175</v>
      </c>
    </row>
    <row r="1219" spans="6:33" ht="24" customHeight="1">
      <c r="H1219" s="1" t="s">
        <v>1806</v>
      </c>
      <c r="M1219" s="8">
        <v>0.21</v>
      </c>
      <c r="N1219" s="7" t="s">
        <v>836</v>
      </c>
      <c r="O1219" s="1" t="s">
        <v>1810</v>
      </c>
      <c r="P1219" s="8">
        <f>I1223</f>
        <v>4361.62</v>
      </c>
      <c r="Q1219" s="2" t="s">
        <v>836</v>
      </c>
      <c r="R1219" s="8">
        <f t="shared" ref="R1219:R1228" si="163">(M1219*P1219)</f>
        <v>915.94</v>
      </c>
      <c r="T1219">
        <f>R1219</f>
        <v>915.94</v>
      </c>
      <c r="Y1219" s="8">
        <v>1.1000000000000001</v>
      </c>
      <c r="Z1219" s="7" t="s">
        <v>739</v>
      </c>
      <c r="AA1219" s="1" t="s">
        <v>1938</v>
      </c>
      <c r="AB1219" s="443">
        <f t="shared" si="162"/>
        <v>861</v>
      </c>
      <c r="AC1219" s="1" t="s">
        <v>739</v>
      </c>
      <c r="AD1219" s="8">
        <f>(Y1219*AB1219)</f>
        <v>947.1</v>
      </c>
      <c r="AE1219" s="52" t="str">
        <f t="shared" si="156"/>
        <v>|</v>
      </c>
      <c r="AG1219" s="1" t="s">
        <v>2175</v>
      </c>
    </row>
    <row r="1220" spans="6:33" ht="24" customHeight="1">
      <c r="H1220" s="5" t="s">
        <v>1530</v>
      </c>
      <c r="M1220" s="8">
        <v>1.1000000000000001</v>
      </c>
      <c r="N1220" s="7" t="s">
        <v>739</v>
      </c>
      <c r="O1220" s="1" t="s">
        <v>1938</v>
      </c>
      <c r="P1220" s="8">
        <f>I1225</f>
        <v>861</v>
      </c>
      <c r="Q1220" s="2" t="s">
        <v>739</v>
      </c>
      <c r="R1220" s="8">
        <f t="shared" si="163"/>
        <v>947.1</v>
      </c>
      <c r="T1220">
        <f t="shared" ref="T1220:T1228" si="164">R1220</f>
        <v>947.1</v>
      </c>
      <c r="Y1220" s="8">
        <v>1.1000000000000001</v>
      </c>
      <c r="Z1220" s="7" t="s">
        <v>739</v>
      </c>
      <c r="AA1220" s="1" t="s">
        <v>1654</v>
      </c>
      <c r="AB1220" s="443">
        <f t="shared" si="162"/>
        <v>804</v>
      </c>
      <c r="AC1220" s="1" t="s">
        <v>739</v>
      </c>
      <c r="AD1220" s="8">
        <f>(Y1220*AB1220)</f>
        <v>884.4</v>
      </c>
      <c r="AE1220" s="52" t="str">
        <f t="shared" si="156"/>
        <v>|</v>
      </c>
      <c r="AG1220" s="1" t="s">
        <v>2175</v>
      </c>
    </row>
    <row r="1221" spans="6:33" ht="24" customHeight="1">
      <c r="F1221" s="8">
        <v>160</v>
      </c>
      <c r="G1221" s="7" t="s">
        <v>1807</v>
      </c>
      <c r="H1221" s="1" t="s">
        <v>1808</v>
      </c>
      <c r="I1221" s="8">
        <f>(C140)</f>
        <v>11790</v>
      </c>
      <c r="J1221" s="1" t="s">
        <v>1424</v>
      </c>
      <c r="K1221" s="8">
        <f>(F1221*I1221)/1000</f>
        <v>1886.4</v>
      </c>
      <c r="M1221" s="8">
        <v>1.1000000000000001</v>
      </c>
      <c r="N1221" s="7" t="s">
        <v>739</v>
      </c>
      <c r="O1221" s="1" t="s">
        <v>1654</v>
      </c>
      <c r="P1221" s="8">
        <f>I1226</f>
        <v>804</v>
      </c>
      <c r="Q1221" s="2" t="s">
        <v>739</v>
      </c>
      <c r="R1221" s="8">
        <f t="shared" si="163"/>
        <v>884.4</v>
      </c>
      <c r="T1221">
        <f t="shared" si="164"/>
        <v>884.4</v>
      </c>
      <c r="Y1221" s="8">
        <v>2.2000000000000002</v>
      </c>
      <c r="Z1221" s="7" t="s">
        <v>739</v>
      </c>
      <c r="AA1221" s="1" t="s">
        <v>1836</v>
      </c>
      <c r="AB1221" s="443">
        <f t="shared" si="162"/>
        <v>562</v>
      </c>
      <c r="AC1221" s="1" t="s">
        <v>739</v>
      </c>
      <c r="AD1221" s="8">
        <f>(Y1221*AB1221)</f>
        <v>1236.4000000000001</v>
      </c>
      <c r="AE1221" s="52" t="str">
        <f t="shared" si="156"/>
        <v>|</v>
      </c>
      <c r="AG1221" s="1" t="s">
        <v>2175</v>
      </c>
    </row>
    <row r="1222" spans="6:33" ht="24" customHeight="1">
      <c r="H1222" s="1" t="s">
        <v>1809</v>
      </c>
      <c r="I1222" s="1" t="s">
        <v>940</v>
      </c>
      <c r="K1222" s="1" t="s">
        <v>940</v>
      </c>
      <c r="M1222" s="8">
        <v>2.2000000000000002</v>
      </c>
      <c r="N1222" s="7" t="s">
        <v>739</v>
      </c>
      <c r="O1222" s="1" t="s">
        <v>1836</v>
      </c>
      <c r="P1222" s="8">
        <f>I1227</f>
        <v>562</v>
      </c>
      <c r="Q1222" s="2" t="s">
        <v>739</v>
      </c>
      <c r="R1222" s="8">
        <f t="shared" si="163"/>
        <v>1236.4000000000001</v>
      </c>
      <c r="T1222">
        <f t="shared" si="164"/>
        <v>1236.4000000000001</v>
      </c>
      <c r="Y1222" s="8">
        <v>2.2000000000000002</v>
      </c>
      <c r="Z1222" s="7" t="s">
        <v>739</v>
      </c>
      <c r="AA1222" s="1" t="s">
        <v>299</v>
      </c>
      <c r="AB1222" s="443">
        <f t="shared" si="162"/>
        <v>461</v>
      </c>
      <c r="AC1222" s="1" t="s">
        <v>739</v>
      </c>
      <c r="AD1222" s="8">
        <f>(Y1222*AB1222)</f>
        <v>1014.2</v>
      </c>
      <c r="AE1222" s="52" t="str">
        <f t="shared" si="156"/>
        <v>|</v>
      </c>
      <c r="AG1222" s="1" t="s">
        <v>2175</v>
      </c>
    </row>
    <row r="1223" spans="6:33" ht="24" customHeight="1">
      <c r="F1223" s="8">
        <v>0.21</v>
      </c>
      <c r="G1223" s="7" t="s">
        <v>836</v>
      </c>
      <c r="H1223" s="1" t="s">
        <v>1810</v>
      </c>
      <c r="I1223" s="8">
        <f>(K32)</f>
        <v>4361.62</v>
      </c>
      <c r="J1223" s="1" t="s">
        <v>836</v>
      </c>
      <c r="K1223" s="8">
        <f>(F1223*I1223)</f>
        <v>915.94</v>
      </c>
      <c r="M1223" s="8">
        <v>2.2000000000000002</v>
      </c>
      <c r="N1223" s="7" t="s">
        <v>739</v>
      </c>
      <c r="O1223" s="1" t="s">
        <v>299</v>
      </c>
      <c r="P1223" s="8">
        <f>I1228</f>
        <v>461</v>
      </c>
      <c r="Q1223" s="2" t="s">
        <v>739</v>
      </c>
      <c r="R1223" s="8">
        <f t="shared" si="163"/>
        <v>1014.2</v>
      </c>
      <c r="T1223">
        <f t="shared" si="164"/>
        <v>1014.2</v>
      </c>
      <c r="Y1223" s="13">
        <v>20</v>
      </c>
      <c r="Z1223" s="7" t="s">
        <v>1591</v>
      </c>
      <c r="AA1223" s="1" t="s">
        <v>829</v>
      </c>
      <c r="AB1223" s="443">
        <f t="shared" si="162"/>
        <v>5960</v>
      </c>
      <c r="AC1223" s="1" t="s">
        <v>828</v>
      </c>
      <c r="AD1223" s="8">
        <f>(Y1223*AB1223)/1000</f>
        <v>119.2</v>
      </c>
      <c r="AE1223" s="52" t="str">
        <f t="shared" si="156"/>
        <v>|</v>
      </c>
      <c r="AG1223" s="1" t="s">
        <v>2175</v>
      </c>
    </row>
    <row r="1224" spans="6:33" ht="24" customHeight="1">
      <c r="H1224" s="1" t="s">
        <v>1811</v>
      </c>
      <c r="I1224" s="1" t="s">
        <v>940</v>
      </c>
      <c r="K1224" s="1" t="s">
        <v>940</v>
      </c>
      <c r="M1224" s="13">
        <v>20</v>
      </c>
      <c r="N1224" s="7" t="s">
        <v>1591</v>
      </c>
      <c r="O1224" s="1" t="s">
        <v>829</v>
      </c>
      <c r="P1224" s="8">
        <f>I1229</f>
        <v>5960</v>
      </c>
      <c r="Q1224" s="2" t="s">
        <v>828</v>
      </c>
      <c r="R1224" s="8">
        <f>(M1224*P1224)/1000</f>
        <v>119.2</v>
      </c>
      <c r="T1224">
        <f t="shared" si="164"/>
        <v>119.2</v>
      </c>
      <c r="Y1224" s="13">
        <v>2</v>
      </c>
      <c r="Z1224" s="7" t="s">
        <v>1591</v>
      </c>
      <c r="AA1224" s="1" t="s">
        <v>2001</v>
      </c>
      <c r="AB1224" s="443">
        <f t="shared" si="162"/>
        <v>36.1</v>
      </c>
      <c r="AC1224" s="1" t="s">
        <v>1591</v>
      </c>
      <c r="AD1224" s="8">
        <f>(Y1224*AB1224)</f>
        <v>72.2</v>
      </c>
      <c r="AE1224" s="52" t="str">
        <f t="shared" si="156"/>
        <v>|</v>
      </c>
      <c r="AG1224" s="1" t="s">
        <v>2175</v>
      </c>
    </row>
    <row r="1225" spans="6:33" ht="24" customHeight="1">
      <c r="F1225" s="8">
        <v>1.1000000000000001</v>
      </c>
      <c r="G1225" s="7" t="s">
        <v>739</v>
      </c>
      <c r="H1225" s="1" t="s">
        <v>1938</v>
      </c>
      <c r="I1225" s="8">
        <f>(C10)</f>
        <v>861</v>
      </c>
      <c r="J1225" s="1" t="s">
        <v>739</v>
      </c>
      <c r="K1225" s="8">
        <f>(F1225*I1225)</f>
        <v>947.1</v>
      </c>
      <c r="M1225" s="13">
        <v>2</v>
      </c>
      <c r="N1225" s="7" t="s">
        <v>1591</v>
      </c>
      <c r="O1225" s="512" t="s">
        <v>1056</v>
      </c>
      <c r="P1225" s="443">
        <f>C611</f>
        <v>24.7</v>
      </c>
      <c r="Q1225" s="2" t="s">
        <v>1591</v>
      </c>
      <c r="R1225" s="8">
        <f t="shared" si="163"/>
        <v>49.4</v>
      </c>
      <c r="T1225">
        <f t="shared" si="164"/>
        <v>49.4</v>
      </c>
      <c r="Y1225" s="8">
        <v>1.6</v>
      </c>
      <c r="Z1225" s="7" t="s">
        <v>739</v>
      </c>
      <c r="AA1225" s="1" t="s">
        <v>1654</v>
      </c>
      <c r="AB1225" s="443">
        <f t="shared" si="162"/>
        <v>804</v>
      </c>
      <c r="AC1225" s="1" t="s">
        <v>739</v>
      </c>
      <c r="AD1225" s="8">
        <f>(Y1225*AB1225)</f>
        <v>1286.4000000000001</v>
      </c>
      <c r="AE1225" s="52" t="str">
        <f t="shared" si="156"/>
        <v>|</v>
      </c>
      <c r="AG1225" s="1" t="s">
        <v>2175</v>
      </c>
    </row>
    <row r="1226" spans="6:33" ht="24" customHeight="1">
      <c r="F1226" s="8">
        <v>1.1000000000000001</v>
      </c>
      <c r="G1226" s="7" t="s">
        <v>739</v>
      </c>
      <c r="H1226" s="1" t="s">
        <v>1654</v>
      </c>
      <c r="I1226" s="8">
        <f>(C11)</f>
        <v>804</v>
      </c>
      <c r="J1226" s="1" t="s">
        <v>739</v>
      </c>
      <c r="K1226" s="8">
        <f>(F1226*I1226)</f>
        <v>884.4</v>
      </c>
      <c r="M1226" s="8">
        <v>1.6</v>
      </c>
      <c r="N1226" s="7" t="s">
        <v>739</v>
      </c>
      <c r="O1226" s="1" t="s">
        <v>1654</v>
      </c>
      <c r="P1226" s="443">
        <f>P1221</f>
        <v>804</v>
      </c>
      <c r="Q1226" s="2" t="s">
        <v>739</v>
      </c>
      <c r="R1226" s="8">
        <f t="shared" si="163"/>
        <v>1286.4000000000001</v>
      </c>
      <c r="T1226">
        <f t="shared" si="164"/>
        <v>1286.4000000000001</v>
      </c>
      <c r="Y1226" s="8">
        <v>0.5</v>
      </c>
      <c r="Z1226" s="7" t="s">
        <v>739</v>
      </c>
      <c r="AA1226" s="1" t="s">
        <v>1836</v>
      </c>
      <c r="AB1226" s="443">
        <f t="shared" si="162"/>
        <v>562</v>
      </c>
      <c r="AC1226" s="1" t="s">
        <v>739</v>
      </c>
      <c r="AD1226" s="8">
        <f>(Y1226*AB1226)</f>
        <v>281</v>
      </c>
      <c r="AE1226" s="52" t="str">
        <f t="shared" si="156"/>
        <v>|</v>
      </c>
      <c r="AG1226" s="1" t="s">
        <v>2175</v>
      </c>
    </row>
    <row r="1227" spans="6:33" ht="24" customHeight="1">
      <c r="F1227" s="8">
        <v>2.2000000000000002</v>
      </c>
      <c r="G1227" s="7" t="s">
        <v>739</v>
      </c>
      <c r="H1227" s="1" t="s">
        <v>1836</v>
      </c>
      <c r="I1227" s="8">
        <f>(C12)</f>
        <v>562</v>
      </c>
      <c r="J1227" s="1" t="s">
        <v>739</v>
      </c>
      <c r="K1227" s="8">
        <f>(F1227*I1227)</f>
        <v>1236.4000000000001</v>
      </c>
      <c r="M1227" s="8">
        <v>0.5</v>
      </c>
      <c r="N1227" s="7" t="s">
        <v>739</v>
      </c>
      <c r="O1227" s="1" t="s">
        <v>1836</v>
      </c>
      <c r="P1227" s="8">
        <f>P1222</f>
        <v>562</v>
      </c>
      <c r="Q1227" s="2" t="s">
        <v>739</v>
      </c>
      <c r="R1227" s="8">
        <f t="shared" si="163"/>
        <v>281</v>
      </c>
      <c r="T1227">
        <f t="shared" si="164"/>
        <v>281</v>
      </c>
      <c r="Y1227" s="8">
        <v>1.1000000000000001</v>
      </c>
      <c r="Z1227" s="7" t="s">
        <v>739</v>
      </c>
      <c r="AA1227" s="1" t="s">
        <v>299</v>
      </c>
      <c r="AB1227" s="443">
        <f t="shared" si="162"/>
        <v>461</v>
      </c>
      <c r="AC1227" s="1" t="s">
        <v>739</v>
      </c>
      <c r="AD1227" s="8">
        <f>(Y1227*AB1227)</f>
        <v>507.1</v>
      </c>
      <c r="AE1227" s="52" t="str">
        <f t="shared" si="156"/>
        <v>|</v>
      </c>
      <c r="AG1227" s="1" t="s">
        <v>2175</v>
      </c>
    </row>
    <row r="1228" spans="6:33" ht="24" customHeight="1">
      <c r="F1228" s="8">
        <v>2.2000000000000002</v>
      </c>
      <c r="G1228" s="7" t="s">
        <v>739</v>
      </c>
      <c r="H1228" s="1" t="s">
        <v>299</v>
      </c>
      <c r="I1228" s="8">
        <f>(C13)</f>
        <v>461</v>
      </c>
      <c r="J1228" s="1" t="s">
        <v>739</v>
      </c>
      <c r="K1228" s="8">
        <f>(F1228*I1228)</f>
        <v>1014.2</v>
      </c>
      <c r="M1228" s="8">
        <v>1.1000000000000001</v>
      </c>
      <c r="N1228" s="7" t="s">
        <v>739</v>
      </c>
      <c r="O1228" s="1" t="s">
        <v>299</v>
      </c>
      <c r="P1228" s="8">
        <f>P1223</f>
        <v>461</v>
      </c>
      <c r="Q1228" s="2" t="s">
        <v>739</v>
      </c>
      <c r="R1228" s="8">
        <f t="shared" si="163"/>
        <v>507.1</v>
      </c>
      <c r="T1228">
        <f t="shared" si="164"/>
        <v>507.1</v>
      </c>
      <c r="Z1228" s="7" t="s">
        <v>419</v>
      </c>
      <c r="AA1228" s="1" t="s">
        <v>420</v>
      </c>
      <c r="AB1228" s="443">
        <f t="shared" si="162"/>
        <v>0</v>
      </c>
      <c r="AC1228" s="1" t="s">
        <v>419</v>
      </c>
      <c r="AD1228" s="8">
        <v>0</v>
      </c>
      <c r="AE1228" s="52" t="str">
        <f t="shared" si="156"/>
        <v>|</v>
      </c>
      <c r="AG1228" s="1" t="s">
        <v>2175</v>
      </c>
    </row>
    <row r="1229" spans="6:33" ht="24" customHeight="1">
      <c r="F1229" s="13">
        <v>22</v>
      </c>
      <c r="G1229" s="7" t="s">
        <v>1591</v>
      </c>
      <c r="H1229" s="1" t="s">
        <v>829</v>
      </c>
      <c r="I1229" s="8">
        <f>(C70)</f>
        <v>5960</v>
      </c>
      <c r="J1229" s="1" t="s">
        <v>828</v>
      </c>
      <c r="K1229" s="8">
        <f>(F1229*I1229)/1000</f>
        <v>131.12</v>
      </c>
      <c r="N1229" s="7" t="s">
        <v>419</v>
      </c>
      <c r="O1229" s="1" t="s">
        <v>420</v>
      </c>
      <c r="Q1229" s="2" t="s">
        <v>419</v>
      </c>
      <c r="R1229" s="8">
        <v>4.5999999999999996</v>
      </c>
      <c r="S1229" s="51">
        <f>3.27-0.52</f>
        <v>2.75</v>
      </c>
      <c r="T1229">
        <v>2.74</v>
      </c>
      <c r="Z1229" s="3"/>
      <c r="AB1229" s="443">
        <f t="shared" si="162"/>
        <v>0</v>
      </c>
      <c r="AC1229" s="11"/>
      <c r="AD1229" s="5" t="s">
        <v>1530</v>
      </c>
      <c r="AE1229" s="52" t="str">
        <f t="shared" ref="AE1229:AE1292" si="165">AG1229</f>
        <v>|</v>
      </c>
      <c r="AG1229" s="1" t="s">
        <v>2175</v>
      </c>
    </row>
    <row r="1230" spans="6:33" ht="24" customHeight="1">
      <c r="F1230" s="8">
        <v>1.6</v>
      </c>
      <c r="G1230" s="7" t="s">
        <v>739</v>
      </c>
      <c r="H1230" s="1" t="s">
        <v>1654</v>
      </c>
      <c r="I1230" s="8">
        <f>(C11)</f>
        <v>804</v>
      </c>
      <c r="J1230" s="1" t="s">
        <v>739</v>
      </c>
      <c r="K1230" s="8">
        <f>(F1230*I1230)</f>
        <v>1286.4000000000001</v>
      </c>
      <c r="N1230" s="3"/>
      <c r="Q1230" s="4"/>
      <c r="R1230" s="5" t="s">
        <v>1530</v>
      </c>
      <c r="Z1230" s="3"/>
      <c r="AA1230" s="1" t="s">
        <v>411</v>
      </c>
      <c r="AC1230" s="11"/>
      <c r="AD1230" s="8">
        <f>SUM(AD1216:AD1228)</f>
        <v>21743.94</v>
      </c>
      <c r="AE1230" s="52" t="str">
        <f t="shared" si="165"/>
        <v>|::</v>
      </c>
      <c r="AG1230" s="1" t="s">
        <v>300</v>
      </c>
    </row>
    <row r="1231" spans="6:33" ht="24" customHeight="1">
      <c r="F1231" s="8">
        <v>0.5</v>
      </c>
      <c r="G1231" s="7" t="s">
        <v>739</v>
      </c>
      <c r="H1231" s="1" t="s">
        <v>1836</v>
      </c>
      <c r="I1231" s="8">
        <f>(C12)</f>
        <v>562</v>
      </c>
      <c r="J1231" s="1" t="s">
        <v>739</v>
      </c>
      <c r="K1231" s="8">
        <f>(F1231*I1231)</f>
        <v>281</v>
      </c>
      <c r="N1231" s="3"/>
      <c r="O1231" s="1" t="s">
        <v>411</v>
      </c>
      <c r="Q1231" s="4"/>
      <c r="R1231" s="8">
        <f>SUM(R1218:R1229)</f>
        <v>13525.74</v>
      </c>
      <c r="T1231" s="8">
        <f>SUM(T1218:T1230)</f>
        <v>14184.08</v>
      </c>
      <c r="Z1231" s="3"/>
      <c r="AC1231" s="11"/>
      <c r="AD1231" s="5" t="s">
        <v>1530</v>
      </c>
      <c r="AE1231" s="52">
        <f t="shared" si="165"/>
        <v>0</v>
      </c>
    </row>
    <row r="1232" spans="6:33" ht="24" customHeight="1">
      <c r="F1232" s="8">
        <v>1.1000000000000001</v>
      </c>
      <c r="G1232" s="7" t="s">
        <v>739</v>
      </c>
      <c r="H1232" s="1" t="s">
        <v>299</v>
      </c>
      <c r="I1232" s="8">
        <f>(C13)</f>
        <v>461</v>
      </c>
      <c r="J1232" s="1" t="s">
        <v>739</v>
      </c>
      <c r="K1232" s="8">
        <f>(F1232*I1232)</f>
        <v>507.1</v>
      </c>
      <c r="N1232" s="3"/>
      <c r="Q1232" s="4"/>
      <c r="R1232" s="5" t="s">
        <v>1530</v>
      </c>
      <c r="Z1232" s="3"/>
      <c r="AA1232" s="59" t="s">
        <v>521</v>
      </c>
      <c r="AC1232" s="11"/>
      <c r="AD1232" s="39">
        <f>(AD1230/10)</f>
        <v>2174.39</v>
      </c>
      <c r="AE1232" s="52">
        <f t="shared" si="165"/>
        <v>0</v>
      </c>
    </row>
    <row r="1233" spans="6:33" ht="24" customHeight="1">
      <c r="F1233" s="1" t="s">
        <v>234</v>
      </c>
      <c r="H1233" s="1" t="s">
        <v>1812</v>
      </c>
      <c r="I1233" s="1" t="s">
        <v>940</v>
      </c>
      <c r="K1233" s="1" t="s">
        <v>940</v>
      </c>
      <c r="N1233" s="3"/>
      <c r="O1233" s="34" t="s">
        <v>521</v>
      </c>
      <c r="Q1233" s="4"/>
      <c r="R1233" s="39">
        <f>(R1231/10)</f>
        <v>1352.57</v>
      </c>
      <c r="S1233" s="51">
        <f>R1233-975.62</f>
        <v>376.95</v>
      </c>
      <c r="T1233" s="39">
        <f>(T1231/10)</f>
        <v>1418.41</v>
      </c>
      <c r="Z1233" s="3"/>
      <c r="AC1233" s="11"/>
      <c r="AD1233" s="5" t="s">
        <v>1980</v>
      </c>
      <c r="AE1233" s="52" t="str">
        <f t="shared" si="165"/>
        <v>|</v>
      </c>
      <c r="AG1233" s="1" t="s">
        <v>2175</v>
      </c>
    </row>
    <row r="1234" spans="6:33" ht="24" customHeight="1">
      <c r="F1234" s="8">
        <v>1</v>
      </c>
      <c r="G1234" s="7" t="s">
        <v>419</v>
      </c>
      <c r="H1234" s="1" t="s">
        <v>1813</v>
      </c>
      <c r="I1234" s="8">
        <f>(C60)</f>
        <v>35</v>
      </c>
      <c r="J1234" s="1" t="s">
        <v>419</v>
      </c>
      <c r="K1234" s="8">
        <f>(F1234*I1234)</f>
        <v>35</v>
      </c>
      <c r="N1234" s="3"/>
      <c r="O1234" s="218" t="s">
        <v>3775</v>
      </c>
      <c r="P1234" s="37"/>
      <c r="Q1234" s="4"/>
      <c r="AE1234" s="52" t="str">
        <f t="shared" si="165"/>
        <v>|</v>
      </c>
      <c r="AG1234" s="1" t="s">
        <v>2175</v>
      </c>
    </row>
    <row r="1235" spans="6:33" ht="24" customHeight="1">
      <c r="F1235" s="8">
        <v>1</v>
      </c>
      <c r="G1235" s="7" t="s">
        <v>419</v>
      </c>
      <c r="H1235" s="1" t="s">
        <v>1814</v>
      </c>
      <c r="I1235" s="8">
        <f>(C61)</f>
        <v>11.8</v>
      </c>
      <c r="J1235" s="1" t="s">
        <v>419</v>
      </c>
      <c r="K1235" s="8">
        <f>(F1235*I1235)</f>
        <v>11.8</v>
      </c>
      <c r="N1235" s="3"/>
      <c r="Q1235" s="4"/>
      <c r="AE1235" s="52" t="str">
        <f t="shared" si="165"/>
        <v>|</v>
      </c>
      <c r="AG1235" s="1" t="s">
        <v>2175</v>
      </c>
    </row>
    <row r="1236" spans="6:33" ht="24" customHeight="1">
      <c r="F1236" s="8">
        <v>1</v>
      </c>
      <c r="G1236" s="7" t="s">
        <v>419</v>
      </c>
      <c r="H1236" s="1" t="s">
        <v>172</v>
      </c>
      <c r="I1236" s="8">
        <f>(C28)</f>
        <v>85.6</v>
      </c>
      <c r="J1236" s="1" t="s">
        <v>419</v>
      </c>
      <c r="K1236" s="8">
        <f>(F1236*I1236)</f>
        <v>85.6</v>
      </c>
      <c r="M1236" s="404"/>
      <c r="N1236" s="405"/>
      <c r="O1236" s="404"/>
      <c r="P1236" s="404"/>
      <c r="Q1236" s="4"/>
      <c r="AE1236" s="52" t="str">
        <f t="shared" si="165"/>
        <v>|</v>
      </c>
      <c r="AG1236" s="1" t="s">
        <v>2175</v>
      </c>
    </row>
    <row r="1237" spans="6:33" ht="24" customHeight="1">
      <c r="F1237" s="8">
        <v>1.1000000000000001</v>
      </c>
      <c r="G1237" s="7" t="s">
        <v>739</v>
      </c>
      <c r="H1237" s="1" t="s">
        <v>823</v>
      </c>
      <c r="I1237" s="8">
        <f>(C29)</f>
        <v>663</v>
      </c>
      <c r="J1237" s="1" t="s">
        <v>739</v>
      </c>
      <c r="K1237" s="8">
        <f>(F1237*I1237)</f>
        <v>729.3</v>
      </c>
      <c r="M1237" s="8">
        <v>10</v>
      </c>
      <c r="N1237" s="7" t="s">
        <v>578</v>
      </c>
      <c r="O1237" s="1" t="s">
        <v>4879</v>
      </c>
      <c r="P1237" s="423">
        <v>633</v>
      </c>
      <c r="Q1237" s="2" t="s">
        <v>578</v>
      </c>
      <c r="R1237" s="8">
        <f>M1237*P1237</f>
        <v>6330</v>
      </c>
      <c r="T1237" s="3"/>
      <c r="U1237" s="218" t="s">
        <v>3802</v>
      </c>
      <c r="W1237" s="4"/>
      <c r="AE1237" s="52" t="str">
        <f t="shared" si="165"/>
        <v>|</v>
      </c>
      <c r="AG1237" s="1" t="s">
        <v>2175</v>
      </c>
    </row>
    <row r="1238" spans="6:33" ht="24" customHeight="1">
      <c r="F1238" s="8">
        <v>2.2000000000000002</v>
      </c>
      <c r="G1238" s="7" t="s">
        <v>739</v>
      </c>
      <c r="H1238" s="1" t="s">
        <v>824</v>
      </c>
      <c r="I1238" s="8">
        <f>(C13)</f>
        <v>461</v>
      </c>
      <c r="J1238" s="1" t="s">
        <v>739</v>
      </c>
      <c r="K1238" s="8">
        <f>(F1238*I1238)</f>
        <v>1014.2</v>
      </c>
      <c r="M1238" s="8">
        <v>0.21</v>
      </c>
      <c r="N1238" s="7" t="s">
        <v>836</v>
      </c>
      <c r="O1238" s="1" t="s">
        <v>1810</v>
      </c>
      <c r="P1238" s="8">
        <f>P1261</f>
        <v>4361.62</v>
      </c>
      <c r="Q1238" s="2" t="s">
        <v>836</v>
      </c>
      <c r="R1238" s="8">
        <f>(M1238*P1238)</f>
        <v>915.94</v>
      </c>
      <c r="T1238" s="3"/>
      <c r="W1238" s="4"/>
      <c r="AE1238" s="52" t="str">
        <f t="shared" si="165"/>
        <v>|</v>
      </c>
      <c r="AG1238" s="1" t="s">
        <v>2175</v>
      </c>
    </row>
    <row r="1239" spans="6:33" ht="24" customHeight="1">
      <c r="G1239" s="7" t="s">
        <v>419</v>
      </c>
      <c r="H1239" s="1" t="s">
        <v>420</v>
      </c>
      <c r="J1239" s="1" t="s">
        <v>419</v>
      </c>
      <c r="K1239" s="8">
        <v>0</v>
      </c>
      <c r="M1239" s="8">
        <v>1.1000000000000001</v>
      </c>
      <c r="N1239" s="7" t="s">
        <v>739</v>
      </c>
      <c r="O1239" s="1" t="s">
        <v>1938</v>
      </c>
      <c r="P1239" s="8">
        <f t="shared" ref="P1239:P1247" si="166">P1262</f>
        <v>861</v>
      </c>
      <c r="Q1239" s="2" t="s">
        <v>739</v>
      </c>
      <c r="R1239" s="8">
        <f>(M1239*P1239)</f>
        <v>947.1</v>
      </c>
      <c r="T1239" s="3"/>
      <c r="W1239" s="4"/>
      <c r="AE1239" s="52" t="str">
        <f t="shared" si="165"/>
        <v>|</v>
      </c>
      <c r="AG1239" s="1" t="s">
        <v>2175</v>
      </c>
    </row>
    <row r="1240" spans="6:33" ht="24" customHeight="1">
      <c r="K1240" s="5" t="s">
        <v>1530</v>
      </c>
      <c r="M1240" s="8">
        <v>1.1000000000000001</v>
      </c>
      <c r="N1240" s="7" t="s">
        <v>739</v>
      </c>
      <c r="O1240" s="1" t="s">
        <v>1654</v>
      </c>
      <c r="P1240" s="8">
        <f t="shared" si="166"/>
        <v>804</v>
      </c>
      <c r="Q1240" s="2" t="s">
        <v>739</v>
      </c>
      <c r="R1240" s="8">
        <f>(M1240*P1240)</f>
        <v>884.4</v>
      </c>
      <c r="S1240" s="13">
        <v>10</v>
      </c>
      <c r="T1240" s="7" t="s">
        <v>578</v>
      </c>
      <c r="U1240" s="1" t="s">
        <v>3803</v>
      </c>
      <c r="V1240" s="743">
        <v>700</v>
      </c>
      <c r="W1240" s="2" t="s">
        <v>578</v>
      </c>
      <c r="X1240" s="8">
        <f>S1240*V1240</f>
        <v>7000</v>
      </c>
      <c r="Y1240" s="25">
        <v>29.5</v>
      </c>
      <c r="Z1240" s="7" t="s">
        <v>2167</v>
      </c>
      <c r="AA1240" s="34" t="s">
        <v>3697</v>
      </c>
      <c r="AE1240" s="52" t="str">
        <f t="shared" si="165"/>
        <v>|</v>
      </c>
      <c r="AG1240" s="1" t="s">
        <v>2175</v>
      </c>
    </row>
    <row r="1241" spans="6:33" ht="24" customHeight="1">
      <c r="H1241" s="1" t="s">
        <v>411</v>
      </c>
      <c r="K1241" s="8">
        <f>SUM(K1221:K1239)</f>
        <v>10965.96</v>
      </c>
      <c r="M1241" s="8">
        <v>2.2000000000000002</v>
      </c>
      <c r="N1241" s="7" t="s">
        <v>739</v>
      </c>
      <c r="O1241" s="1" t="s">
        <v>1836</v>
      </c>
      <c r="P1241" s="8">
        <f t="shared" si="166"/>
        <v>562</v>
      </c>
      <c r="Q1241" s="2" t="s">
        <v>739</v>
      </c>
      <c r="R1241" s="8">
        <f>(M1241*P1241)</f>
        <v>1236.4000000000001</v>
      </c>
      <c r="S1241" s="13">
        <v>0.21</v>
      </c>
      <c r="T1241" s="7" t="s">
        <v>836</v>
      </c>
      <c r="U1241" s="1" t="s">
        <v>1810</v>
      </c>
      <c r="V1241" s="8">
        <f t="shared" ref="V1241:V1250" si="167">P1261</f>
        <v>4361.62</v>
      </c>
      <c r="W1241" s="2" t="s">
        <v>836</v>
      </c>
      <c r="X1241" s="8">
        <f>(S1241*V1241)</f>
        <v>915.94</v>
      </c>
      <c r="Z1241" s="3"/>
      <c r="AA1241" s="1"/>
      <c r="AE1241" s="52" t="str">
        <f t="shared" si="165"/>
        <v>|</v>
      </c>
      <c r="AG1241" s="1" t="s">
        <v>2175</v>
      </c>
    </row>
    <row r="1242" spans="6:33" ht="24" customHeight="1">
      <c r="K1242" s="5" t="s">
        <v>1530</v>
      </c>
      <c r="M1242" s="8">
        <v>2.2000000000000002</v>
      </c>
      <c r="N1242" s="7" t="s">
        <v>739</v>
      </c>
      <c r="O1242" s="1" t="s">
        <v>299</v>
      </c>
      <c r="P1242" s="8">
        <f t="shared" si="166"/>
        <v>461</v>
      </c>
      <c r="Q1242" s="2" t="s">
        <v>739</v>
      </c>
      <c r="R1242" s="8">
        <f>(M1242*P1242)</f>
        <v>1014.2</v>
      </c>
      <c r="S1242" s="13">
        <v>1.1000000000000001</v>
      </c>
      <c r="T1242" s="7" t="s">
        <v>739</v>
      </c>
      <c r="U1242" s="1" t="s">
        <v>1938</v>
      </c>
      <c r="V1242" s="8">
        <f t="shared" si="167"/>
        <v>861</v>
      </c>
      <c r="W1242" s="2" t="s">
        <v>739</v>
      </c>
      <c r="X1242" s="8">
        <f>(S1242*V1242)</f>
        <v>947.1</v>
      </c>
      <c r="Z1242" s="3"/>
      <c r="AA1242" s="1"/>
      <c r="AE1242" s="52" t="str">
        <f t="shared" si="165"/>
        <v>|</v>
      </c>
      <c r="AG1242" s="1" t="s">
        <v>2175</v>
      </c>
    </row>
    <row r="1243" spans="6:33" ht="24" customHeight="1">
      <c r="F1243" s="1" t="s">
        <v>940</v>
      </c>
      <c r="M1243" s="13">
        <v>20</v>
      </c>
      <c r="N1243" s="7" t="s">
        <v>1591</v>
      </c>
      <c r="O1243" s="1" t="s">
        <v>829</v>
      </c>
      <c r="P1243" s="8">
        <f t="shared" si="166"/>
        <v>5960</v>
      </c>
      <c r="Q1243" s="2" t="s">
        <v>828</v>
      </c>
      <c r="R1243" s="8">
        <f>(M1243*P1243)/1000</f>
        <v>119.2</v>
      </c>
      <c r="S1243" s="13">
        <v>1.1000000000000001</v>
      </c>
      <c r="T1243" s="7" t="s">
        <v>739</v>
      </c>
      <c r="U1243" s="1" t="s">
        <v>1654</v>
      </c>
      <c r="V1243" s="8">
        <f t="shared" si="167"/>
        <v>804</v>
      </c>
      <c r="W1243" s="2" t="s">
        <v>739</v>
      </c>
      <c r="X1243" s="8">
        <f>(S1243*V1243)</f>
        <v>884.4</v>
      </c>
      <c r="Z1243" s="3"/>
      <c r="AA1243" s="5" t="s">
        <v>1530</v>
      </c>
      <c r="AB1243" s="5" t="s">
        <v>1530</v>
      </c>
      <c r="AC1243" s="11"/>
      <c r="AE1243" s="52" t="str">
        <f t="shared" si="165"/>
        <v>|</v>
      </c>
      <c r="AG1243" s="1" t="s">
        <v>2175</v>
      </c>
    </row>
    <row r="1244" spans="6:33" ht="45.75" customHeight="1">
      <c r="H1244" s="59" t="s">
        <v>521</v>
      </c>
      <c r="K1244" s="39">
        <f>(K1241/10)</f>
        <v>1096.5999999999999</v>
      </c>
      <c r="M1244" s="13">
        <v>2</v>
      </c>
      <c r="N1244" s="7" t="s">
        <v>1591</v>
      </c>
      <c r="O1244" s="1" t="s">
        <v>1473</v>
      </c>
      <c r="P1244" s="8">
        <f t="shared" si="166"/>
        <v>36.1</v>
      </c>
      <c r="Q1244" s="2" t="s">
        <v>1591</v>
      </c>
      <c r="R1244" s="8">
        <f>(M1244*P1244)</f>
        <v>72.2</v>
      </c>
      <c r="S1244" s="13">
        <v>2.2000000000000002</v>
      </c>
      <c r="T1244" s="7" t="s">
        <v>739</v>
      </c>
      <c r="U1244" s="1" t="s">
        <v>1836</v>
      </c>
      <c r="V1244" s="8">
        <f t="shared" si="167"/>
        <v>562</v>
      </c>
      <c r="W1244" s="2" t="s">
        <v>739</v>
      </c>
      <c r="X1244" s="8">
        <f>(S1244*V1244)</f>
        <v>1236.4000000000001</v>
      </c>
      <c r="Y1244" s="8">
        <v>10</v>
      </c>
      <c r="Z1244" s="7" t="s">
        <v>578</v>
      </c>
      <c r="AA1244" s="27" t="s">
        <v>4915</v>
      </c>
      <c r="AB1244" s="423">
        <v>763</v>
      </c>
      <c r="AC1244" s="1" t="s">
        <v>578</v>
      </c>
      <c r="AD1244" s="8">
        <f>(Y1244*AB1244)</f>
        <v>7630</v>
      </c>
      <c r="AE1244" s="52" t="str">
        <f t="shared" si="165"/>
        <v>|</v>
      </c>
      <c r="AG1244" s="1" t="s">
        <v>2175</v>
      </c>
    </row>
    <row r="1245" spans="6:33" ht="24" customHeight="1">
      <c r="F1245" s="1" t="s">
        <v>940</v>
      </c>
      <c r="M1245" s="8">
        <v>1.6</v>
      </c>
      <c r="N1245" s="7" t="s">
        <v>739</v>
      </c>
      <c r="O1245" s="1" t="s">
        <v>1654</v>
      </c>
      <c r="P1245" s="8">
        <f t="shared" si="166"/>
        <v>804</v>
      </c>
      <c r="Q1245" s="2" t="s">
        <v>739</v>
      </c>
      <c r="R1245" s="8">
        <f>(M1245*P1245)</f>
        <v>1286.4000000000001</v>
      </c>
      <c r="S1245" s="13">
        <v>2.2000000000000002</v>
      </c>
      <c r="T1245" s="7" t="s">
        <v>739</v>
      </c>
      <c r="U1245" s="1" t="s">
        <v>299</v>
      </c>
      <c r="V1245" s="8">
        <f t="shared" si="167"/>
        <v>461</v>
      </c>
      <c r="W1245" s="2" t="s">
        <v>739</v>
      </c>
      <c r="X1245" s="8">
        <f>(S1245*V1245)</f>
        <v>1014.2</v>
      </c>
      <c r="Y1245" s="8">
        <v>0.21</v>
      </c>
      <c r="Z1245" s="7" t="s">
        <v>836</v>
      </c>
      <c r="AA1245" s="1" t="s">
        <v>1810</v>
      </c>
      <c r="AB1245" s="8">
        <f>V1241</f>
        <v>4361.62</v>
      </c>
      <c r="AC1245" s="1" t="s">
        <v>836</v>
      </c>
      <c r="AD1245" s="8">
        <f>(Y1245*AB1245)</f>
        <v>915.94</v>
      </c>
      <c r="AE1245" s="52" t="str">
        <f t="shared" si="165"/>
        <v>|</v>
      </c>
      <c r="AG1245" s="1" t="s">
        <v>2175</v>
      </c>
    </row>
    <row r="1246" spans="6:33" ht="24" customHeight="1">
      <c r="K1246" s="5" t="s">
        <v>1980</v>
      </c>
      <c r="M1246" s="8">
        <v>0.5</v>
      </c>
      <c r="N1246" s="7" t="s">
        <v>739</v>
      </c>
      <c r="O1246" s="1" t="s">
        <v>1836</v>
      </c>
      <c r="P1246" s="8">
        <f t="shared" si="166"/>
        <v>562</v>
      </c>
      <c r="Q1246" s="2" t="s">
        <v>739</v>
      </c>
      <c r="R1246" s="8">
        <f>(M1246*P1246)</f>
        <v>281</v>
      </c>
      <c r="S1246" s="13">
        <v>20</v>
      </c>
      <c r="T1246" s="7" t="s">
        <v>1591</v>
      </c>
      <c r="U1246" s="1" t="s">
        <v>829</v>
      </c>
      <c r="V1246" s="8">
        <f t="shared" si="167"/>
        <v>5960</v>
      </c>
      <c r="W1246" s="2" t="s">
        <v>828</v>
      </c>
      <c r="X1246" s="8">
        <f>(S1246*V1246)/1000</f>
        <v>119.2</v>
      </c>
      <c r="Z1246" s="3"/>
      <c r="AA1246" s="1" t="s">
        <v>1811</v>
      </c>
      <c r="AB1246" s="1" t="s">
        <v>940</v>
      </c>
      <c r="AC1246" s="11"/>
      <c r="AD1246" s="1" t="s">
        <v>940</v>
      </c>
      <c r="AE1246" s="52" t="str">
        <f t="shared" si="165"/>
        <v>|</v>
      </c>
      <c r="AG1246" s="1" t="s">
        <v>2175</v>
      </c>
    </row>
    <row r="1247" spans="6:33" ht="24" customHeight="1">
      <c r="F1247" s="25">
        <v>29.5</v>
      </c>
      <c r="G1247" s="7" t="s">
        <v>2167</v>
      </c>
      <c r="H1247" s="1" t="s">
        <v>1749</v>
      </c>
      <c r="M1247" s="8">
        <v>1.1000000000000001</v>
      </c>
      <c r="N1247" s="7" t="s">
        <v>739</v>
      </c>
      <c r="O1247" s="1" t="s">
        <v>299</v>
      </c>
      <c r="P1247" s="8">
        <f t="shared" si="166"/>
        <v>461</v>
      </c>
      <c r="Q1247" s="2" t="s">
        <v>739</v>
      </c>
      <c r="R1247" s="8">
        <f>(M1247*P1247)</f>
        <v>507.1</v>
      </c>
      <c r="S1247" s="13">
        <v>2</v>
      </c>
      <c r="T1247" s="7" t="s">
        <v>1591</v>
      </c>
      <c r="U1247" s="1" t="s">
        <v>1473</v>
      </c>
      <c r="V1247" s="8">
        <f t="shared" si="167"/>
        <v>36.1</v>
      </c>
      <c r="W1247" s="2" t="s">
        <v>1591</v>
      </c>
      <c r="X1247" s="8">
        <f>(S1247*V1247)</f>
        <v>72.2</v>
      </c>
      <c r="Y1247" s="8">
        <v>1.1000000000000001</v>
      </c>
      <c r="Z1247" s="7" t="s">
        <v>739</v>
      </c>
      <c r="AA1247" s="1" t="s">
        <v>1938</v>
      </c>
      <c r="AB1247" s="8">
        <f>V1242</f>
        <v>861</v>
      </c>
      <c r="AC1247" s="1" t="s">
        <v>739</v>
      </c>
      <c r="AD1247" s="8">
        <f>(Y1247*AB1247)</f>
        <v>947.1</v>
      </c>
      <c r="AE1247" s="52" t="str">
        <f t="shared" si="165"/>
        <v>|</v>
      </c>
      <c r="AG1247" s="1" t="s">
        <v>2175</v>
      </c>
    </row>
    <row r="1248" spans="6:33" ht="24" customHeight="1">
      <c r="H1248" s="1" t="s">
        <v>825</v>
      </c>
      <c r="N1248" s="7" t="s">
        <v>419</v>
      </c>
      <c r="O1248" s="1" t="s">
        <v>420</v>
      </c>
      <c r="Q1248" s="2" t="s">
        <v>419</v>
      </c>
      <c r="R1248" s="8">
        <v>0</v>
      </c>
      <c r="S1248" s="13">
        <v>1.6</v>
      </c>
      <c r="T1248" s="7" t="s">
        <v>739</v>
      </c>
      <c r="U1248" s="1" t="s">
        <v>1654</v>
      </c>
      <c r="V1248" s="8">
        <f t="shared" si="167"/>
        <v>804</v>
      </c>
      <c r="W1248" s="2" t="s">
        <v>739</v>
      </c>
      <c r="X1248" s="8">
        <f>(S1248*V1248)</f>
        <v>1286.4000000000001</v>
      </c>
      <c r="Y1248" s="8">
        <v>1.1000000000000001</v>
      </c>
      <c r="Z1248" s="7" t="s">
        <v>739</v>
      </c>
      <c r="AA1248" s="1" t="s">
        <v>1654</v>
      </c>
      <c r="AB1248" s="8">
        <f>V1243</f>
        <v>804</v>
      </c>
      <c r="AC1248" s="1" t="s">
        <v>739</v>
      </c>
      <c r="AD1248" s="8">
        <f>(Y1248*AB1248)</f>
        <v>884.4</v>
      </c>
      <c r="AE1248" s="52" t="str">
        <f t="shared" si="165"/>
        <v>|</v>
      </c>
      <c r="AG1248" s="1" t="s">
        <v>2175</v>
      </c>
    </row>
    <row r="1249" spans="6:33" ht="24" customHeight="1">
      <c r="H1249" s="1" t="s">
        <v>1869</v>
      </c>
      <c r="N1249" s="3"/>
      <c r="Q1249" s="4"/>
      <c r="R1249" s="5"/>
      <c r="S1249" s="13">
        <v>0.5</v>
      </c>
      <c r="T1249" s="7" t="s">
        <v>739</v>
      </c>
      <c r="U1249" s="1" t="s">
        <v>1836</v>
      </c>
      <c r="V1249" s="8">
        <f t="shared" si="167"/>
        <v>562</v>
      </c>
      <c r="W1249" s="2" t="s">
        <v>739</v>
      </c>
      <c r="X1249" s="8">
        <f>(S1249*V1249)</f>
        <v>281</v>
      </c>
      <c r="Y1249" s="8">
        <v>2.2000000000000002</v>
      </c>
      <c r="Z1249" s="7" t="s">
        <v>739</v>
      </c>
      <c r="AA1249" s="1" t="s">
        <v>1836</v>
      </c>
      <c r="AB1249" s="8">
        <f>V1244</f>
        <v>562</v>
      </c>
      <c r="AC1249" s="1" t="s">
        <v>739</v>
      </c>
      <c r="AD1249" s="8">
        <f>(Y1249*AB1249)</f>
        <v>1236.4000000000001</v>
      </c>
      <c r="AE1249" s="52" t="str">
        <f t="shared" si="165"/>
        <v>|</v>
      </c>
      <c r="AG1249" s="1" t="s">
        <v>2175</v>
      </c>
    </row>
    <row r="1250" spans="6:33" ht="24" customHeight="1">
      <c r="H1250" s="5" t="s">
        <v>1530</v>
      </c>
      <c r="I1250" s="5" t="s">
        <v>1530</v>
      </c>
      <c r="N1250" s="3"/>
      <c r="O1250" s="1" t="s">
        <v>411</v>
      </c>
      <c r="Q1250" s="4"/>
      <c r="R1250" s="8">
        <f>SUM(R1237:R1248)</f>
        <v>13593.94</v>
      </c>
      <c r="S1250" s="13">
        <v>1.1000000000000001</v>
      </c>
      <c r="T1250" s="7" t="s">
        <v>739</v>
      </c>
      <c r="U1250" s="1" t="s">
        <v>299</v>
      </c>
      <c r="V1250" s="8">
        <f t="shared" si="167"/>
        <v>461</v>
      </c>
      <c r="W1250" s="2" t="s">
        <v>739</v>
      </c>
      <c r="X1250" s="8">
        <f>(S1250*V1250)</f>
        <v>507.1</v>
      </c>
      <c r="Y1250" s="8">
        <v>2.2000000000000002</v>
      </c>
      <c r="Z1250" s="7" t="s">
        <v>739</v>
      </c>
      <c r="AA1250" s="1" t="s">
        <v>299</v>
      </c>
      <c r="AB1250" s="8">
        <f>V1245</f>
        <v>461</v>
      </c>
      <c r="AC1250" s="1" t="s">
        <v>739</v>
      </c>
      <c r="AD1250" s="8">
        <f>(Y1250*AB1250)</f>
        <v>1014.2</v>
      </c>
      <c r="AE1250" s="52" t="str">
        <f t="shared" si="165"/>
        <v>|</v>
      </c>
      <c r="AG1250" s="1" t="s">
        <v>2175</v>
      </c>
    </row>
    <row r="1251" spans="6:33" ht="24" customHeight="1">
      <c r="F1251" s="8">
        <v>10</v>
      </c>
      <c r="G1251" s="7" t="s">
        <v>578</v>
      </c>
      <c r="H1251" s="1" t="s">
        <v>1870</v>
      </c>
      <c r="I1251" s="64">
        <f>C604</f>
        <v>363.34</v>
      </c>
      <c r="J1251" s="1" t="s">
        <v>578</v>
      </c>
      <c r="K1251" s="8">
        <f>(F1251*I1251)</f>
        <v>3633.4</v>
      </c>
      <c r="N1251" s="3"/>
      <c r="Q1251" s="4"/>
      <c r="R1251" s="5" t="s">
        <v>1530</v>
      </c>
      <c r="T1251" s="7" t="s">
        <v>419</v>
      </c>
      <c r="U1251" s="1" t="s">
        <v>420</v>
      </c>
      <c r="W1251" s="2" t="s">
        <v>419</v>
      </c>
      <c r="X1251" s="8">
        <v>0.18</v>
      </c>
      <c r="Y1251" s="13">
        <v>20</v>
      </c>
      <c r="Z1251" s="7" t="s">
        <v>1591</v>
      </c>
      <c r="AA1251" s="1" t="s">
        <v>829</v>
      </c>
      <c r="AB1251" s="8">
        <f>V1246</f>
        <v>5960</v>
      </c>
      <c r="AC1251" s="1" t="s">
        <v>828</v>
      </c>
      <c r="AD1251" s="8">
        <f>(Y1251*AB1251)/1000</f>
        <v>119.2</v>
      </c>
      <c r="AE1251" s="52" t="str">
        <f t="shared" si="165"/>
        <v>|</v>
      </c>
      <c r="AG1251" s="1" t="s">
        <v>2175</v>
      </c>
    </row>
    <row r="1252" spans="6:33" ht="24" customHeight="1">
      <c r="F1252" s="8">
        <v>0.21</v>
      </c>
      <c r="G1252" s="7" t="s">
        <v>836</v>
      </c>
      <c r="H1252" s="1" t="s">
        <v>1810</v>
      </c>
      <c r="I1252" s="8">
        <f>(K32)</f>
        <v>4361.62</v>
      </c>
      <c r="J1252" s="1" t="s">
        <v>836</v>
      </c>
      <c r="K1252" s="8">
        <f>(F1252*I1252)</f>
        <v>915.94</v>
      </c>
      <c r="N1252" s="3"/>
      <c r="O1252" s="34" t="s">
        <v>521</v>
      </c>
      <c r="Q1252" s="4"/>
      <c r="R1252" s="39">
        <f>(R1250/10)</f>
        <v>1359.39</v>
      </c>
      <c r="T1252" s="3"/>
      <c r="W1252" s="4"/>
      <c r="X1252" s="5" t="s">
        <v>1530</v>
      </c>
      <c r="Y1252" s="13">
        <v>2</v>
      </c>
      <c r="Z1252" s="7" t="s">
        <v>1591</v>
      </c>
      <c r="AA1252" s="1" t="s">
        <v>2001</v>
      </c>
      <c r="AB1252" s="545">
        <v>36.1</v>
      </c>
      <c r="AC1252" s="1" t="s">
        <v>1591</v>
      </c>
      <c r="AD1252" s="8">
        <f>(Y1252*AB1252)</f>
        <v>72.2</v>
      </c>
      <c r="AE1252" s="52">
        <f t="shared" si="165"/>
        <v>0</v>
      </c>
    </row>
    <row r="1253" spans="6:33" ht="24" customHeight="1">
      <c r="H1253" s="1" t="s">
        <v>1811</v>
      </c>
      <c r="I1253" s="1" t="s">
        <v>940</v>
      </c>
      <c r="K1253" s="1" t="s">
        <v>940</v>
      </c>
      <c r="N1253" s="3"/>
      <c r="Q1253" s="4"/>
      <c r="R1253" s="5"/>
      <c r="T1253" s="3"/>
      <c r="U1253" s="1" t="s">
        <v>411</v>
      </c>
      <c r="W1253" s="4"/>
      <c r="X1253" s="8">
        <f>SUM(X1240:X1251)</f>
        <v>14264.12</v>
      </c>
      <c r="Y1253" s="8">
        <v>1.6</v>
      </c>
      <c r="Z1253" s="7" t="s">
        <v>739</v>
      </c>
      <c r="AA1253" s="1" t="s">
        <v>1654</v>
      </c>
      <c r="AB1253" s="8">
        <f>V1248</f>
        <v>804</v>
      </c>
      <c r="AC1253" s="1" t="s">
        <v>739</v>
      </c>
      <c r="AD1253" s="8">
        <f>(Y1253*AB1253)</f>
        <v>1286.4000000000001</v>
      </c>
      <c r="AE1253" s="52" t="str">
        <f t="shared" si="165"/>
        <v>|</v>
      </c>
      <c r="AG1253" s="1" t="s">
        <v>2175</v>
      </c>
    </row>
    <row r="1254" spans="6:33" ht="24" customHeight="1">
      <c r="F1254" s="8">
        <v>1.1000000000000001</v>
      </c>
      <c r="G1254" s="7" t="s">
        <v>739</v>
      </c>
      <c r="H1254" s="1" t="s">
        <v>1938</v>
      </c>
      <c r="I1254" s="8">
        <f>(C10)</f>
        <v>861</v>
      </c>
      <c r="J1254" s="1" t="s">
        <v>739</v>
      </c>
      <c r="K1254" s="8">
        <f>(F1254*I1254)</f>
        <v>947.1</v>
      </c>
      <c r="N1254" s="3"/>
      <c r="Q1254" s="4"/>
      <c r="R1254" s="5"/>
      <c r="T1254" s="3"/>
      <c r="W1254" s="4"/>
      <c r="X1254" s="5" t="s">
        <v>1530</v>
      </c>
      <c r="Y1254" s="8">
        <v>0.5</v>
      </c>
      <c r="Z1254" s="7" t="s">
        <v>739</v>
      </c>
      <c r="AA1254" s="1" t="s">
        <v>1836</v>
      </c>
      <c r="AB1254" s="8">
        <f>V1249</f>
        <v>562</v>
      </c>
      <c r="AC1254" s="1" t="s">
        <v>739</v>
      </c>
      <c r="AD1254" s="8">
        <f>(Y1254*AB1254)</f>
        <v>281</v>
      </c>
      <c r="AE1254" s="52">
        <f t="shared" si="165"/>
        <v>0</v>
      </c>
    </row>
    <row r="1255" spans="6:33" ht="24" customHeight="1">
      <c r="F1255" s="8">
        <v>1.1000000000000001</v>
      </c>
      <c r="G1255" s="7" t="s">
        <v>739</v>
      </c>
      <c r="H1255" s="1" t="s">
        <v>1654</v>
      </c>
      <c r="I1255" s="8">
        <f>(C11)</f>
        <v>804</v>
      </c>
      <c r="J1255" s="1" t="s">
        <v>739</v>
      </c>
      <c r="K1255" s="8">
        <f>(F1255*I1255)</f>
        <v>884.4</v>
      </c>
      <c r="N1255" s="3"/>
      <c r="Q1255" s="4"/>
      <c r="R1255" s="5"/>
      <c r="T1255" s="3"/>
      <c r="U1255" s="34" t="s">
        <v>521</v>
      </c>
      <c r="W1255" s="4"/>
      <c r="X1255" s="39">
        <f>(X1253/10)</f>
        <v>1426.41</v>
      </c>
      <c r="Y1255" s="8">
        <v>1.1000000000000001</v>
      </c>
      <c r="Z1255" s="7" t="s">
        <v>739</v>
      </c>
      <c r="AA1255" s="1" t="s">
        <v>299</v>
      </c>
      <c r="AB1255" s="8">
        <f>V1250</f>
        <v>461</v>
      </c>
      <c r="AC1255" s="1" t="s">
        <v>739</v>
      </c>
      <c r="AD1255" s="8">
        <f>(Y1255*AB1255)</f>
        <v>507.1</v>
      </c>
      <c r="AE1255" s="52" t="str">
        <f t="shared" si="165"/>
        <v>|</v>
      </c>
      <c r="AG1255" s="1" t="s">
        <v>2175</v>
      </c>
    </row>
    <row r="1256" spans="6:33" ht="24" customHeight="1">
      <c r="F1256" s="8">
        <v>2.2000000000000002</v>
      </c>
      <c r="G1256" s="7" t="s">
        <v>739</v>
      </c>
      <c r="H1256" s="1" t="s">
        <v>1836</v>
      </c>
      <c r="I1256" s="8">
        <f>(C12)</f>
        <v>562</v>
      </c>
      <c r="J1256" s="1" t="s">
        <v>739</v>
      </c>
      <c r="K1256" s="8">
        <f>(F1256*I1256)</f>
        <v>1236.4000000000001</v>
      </c>
      <c r="N1256" s="3"/>
      <c r="Q1256" s="4"/>
      <c r="R1256" s="5"/>
      <c r="Z1256" s="7" t="s">
        <v>419</v>
      </c>
      <c r="AA1256" s="1" t="s">
        <v>420</v>
      </c>
      <c r="AB1256" s="8">
        <f>V1251</f>
        <v>0</v>
      </c>
      <c r="AC1256" s="1" t="s">
        <v>419</v>
      </c>
      <c r="AD1256" s="8">
        <v>0</v>
      </c>
      <c r="AE1256" s="52" t="str">
        <f t="shared" si="165"/>
        <v>|</v>
      </c>
      <c r="AG1256" s="1" t="s">
        <v>2175</v>
      </c>
    </row>
    <row r="1257" spans="6:33" ht="24" customHeight="1">
      <c r="F1257" s="8">
        <v>2.2000000000000002</v>
      </c>
      <c r="G1257" s="7" t="s">
        <v>739</v>
      </c>
      <c r="H1257" s="1" t="s">
        <v>299</v>
      </c>
      <c r="I1257" s="8">
        <f>(C13)</f>
        <v>461</v>
      </c>
      <c r="J1257" s="1" t="s">
        <v>739</v>
      </c>
      <c r="K1257" s="8">
        <f>(F1257*I1257)</f>
        <v>1014.2</v>
      </c>
      <c r="M1257" s="760"/>
      <c r="N1257" s="761"/>
      <c r="O1257" s="762" t="s">
        <v>3541</v>
      </c>
      <c r="P1257" s="760"/>
      <c r="Q1257" s="763" t="s">
        <v>3756</v>
      </c>
      <c r="R1257" s="760"/>
      <c r="Z1257" s="3"/>
      <c r="AC1257" s="11"/>
      <c r="AD1257" s="5" t="s">
        <v>1530</v>
      </c>
      <c r="AE1257" s="52" t="str">
        <f t="shared" si="165"/>
        <v>|</v>
      </c>
      <c r="AG1257" s="1" t="s">
        <v>2175</v>
      </c>
    </row>
    <row r="1258" spans="6:33" ht="24" customHeight="1">
      <c r="F1258" s="13">
        <v>20</v>
      </c>
      <c r="G1258" s="7" t="s">
        <v>1591</v>
      </c>
      <c r="H1258" s="1" t="s">
        <v>829</v>
      </c>
      <c r="I1258" s="8">
        <f>(C70)</f>
        <v>5960</v>
      </c>
      <c r="J1258" s="1" t="s">
        <v>828</v>
      </c>
      <c r="K1258" s="8">
        <f>(F1258*I1258)/1000</f>
        <v>119.2</v>
      </c>
      <c r="M1258" s="760"/>
      <c r="N1258" s="761"/>
      <c r="O1258" s="760"/>
      <c r="P1258" s="760"/>
      <c r="Q1258" s="763"/>
      <c r="R1258" s="760"/>
      <c r="Z1258" s="3"/>
      <c r="AA1258" s="1" t="s">
        <v>411</v>
      </c>
      <c r="AC1258" s="11"/>
      <c r="AD1258" s="8">
        <f>SUM(AD1244:AD1256)</f>
        <v>14893.94</v>
      </c>
      <c r="AE1258" s="52" t="str">
        <f t="shared" si="165"/>
        <v>|</v>
      </c>
      <c r="AG1258" s="1" t="s">
        <v>2175</v>
      </c>
    </row>
    <row r="1259" spans="6:33" ht="24" customHeight="1">
      <c r="F1259" s="13">
        <v>2</v>
      </c>
      <c r="G1259" s="7" t="s">
        <v>1591</v>
      </c>
      <c r="H1259" s="621" t="s">
        <v>4126</v>
      </c>
      <c r="I1259" s="487">
        <v>36.1</v>
      </c>
      <c r="J1259" s="1" t="s">
        <v>1591</v>
      </c>
      <c r="K1259" s="8">
        <f>(F1259*I1259)</f>
        <v>72.2</v>
      </c>
      <c r="M1259" s="764"/>
      <c r="N1259" s="773"/>
      <c r="O1259" s="764"/>
      <c r="P1259" s="764"/>
      <c r="Q1259" s="763"/>
      <c r="R1259" s="760"/>
      <c r="Z1259" s="3"/>
      <c r="AC1259" s="11"/>
      <c r="AD1259" s="5" t="s">
        <v>1530</v>
      </c>
      <c r="AE1259" s="52" t="str">
        <f t="shared" si="165"/>
        <v>|</v>
      </c>
      <c r="AG1259" s="1" t="s">
        <v>2175</v>
      </c>
    </row>
    <row r="1260" spans="6:33" ht="24" customHeight="1">
      <c r="F1260" s="8">
        <v>1.6</v>
      </c>
      <c r="G1260" s="7" t="s">
        <v>739</v>
      </c>
      <c r="H1260" s="1" t="s">
        <v>1654</v>
      </c>
      <c r="I1260" s="8">
        <f>(C11)</f>
        <v>804</v>
      </c>
      <c r="J1260" s="1" t="s">
        <v>739</v>
      </c>
      <c r="K1260" s="8">
        <f>(F1260*I1260)</f>
        <v>1286.4000000000001</v>
      </c>
      <c r="M1260" s="774">
        <v>10</v>
      </c>
      <c r="N1260" s="775" t="s">
        <v>578</v>
      </c>
      <c r="O1260" s="779" t="s">
        <v>4255</v>
      </c>
      <c r="P1260" s="778">
        <v>421.3</v>
      </c>
      <c r="Q1260" s="765" t="s">
        <v>578</v>
      </c>
      <c r="R1260" s="766">
        <f>M1260*P1260</f>
        <v>4213</v>
      </c>
      <c r="Z1260" s="3"/>
      <c r="AA1260" s="59" t="s">
        <v>521</v>
      </c>
      <c r="AC1260" s="11"/>
      <c r="AD1260" s="39">
        <f>(AD1258/10)</f>
        <v>1489.39</v>
      </c>
      <c r="AE1260" s="422" t="s">
        <v>3454</v>
      </c>
      <c r="AG1260" s="1" t="s">
        <v>2175</v>
      </c>
    </row>
    <row r="1261" spans="6:33" ht="24" customHeight="1">
      <c r="F1261" s="8">
        <v>0.5</v>
      </c>
      <c r="G1261" s="7" t="s">
        <v>739</v>
      </c>
      <c r="H1261" s="1" t="s">
        <v>1836</v>
      </c>
      <c r="I1261" s="8">
        <f>(C12)</f>
        <v>562</v>
      </c>
      <c r="J1261" s="1" t="s">
        <v>739</v>
      </c>
      <c r="K1261" s="8">
        <f>(F1261*I1261)</f>
        <v>281</v>
      </c>
      <c r="M1261" s="766">
        <v>0.21</v>
      </c>
      <c r="N1261" s="767" t="s">
        <v>836</v>
      </c>
      <c r="O1261" s="768" t="s">
        <v>1810</v>
      </c>
      <c r="P1261" s="766">
        <f t="shared" ref="P1261:P1266" si="168">P1219</f>
        <v>4361.62</v>
      </c>
      <c r="Q1261" s="765" t="s">
        <v>836</v>
      </c>
      <c r="R1261" s="766">
        <f t="shared" ref="R1261:R1270" si="169">(M1261*P1261)</f>
        <v>915.94</v>
      </c>
      <c r="Z1261" s="3"/>
      <c r="AC1261" s="11"/>
      <c r="AD1261" s="5" t="s">
        <v>1980</v>
      </c>
      <c r="AE1261" s="52" t="str">
        <f t="shared" si="165"/>
        <v>|</v>
      </c>
      <c r="AG1261" s="1" t="s">
        <v>2175</v>
      </c>
    </row>
    <row r="1262" spans="6:33" ht="24" customHeight="1">
      <c r="F1262" s="8">
        <v>1.1000000000000001</v>
      </c>
      <c r="G1262" s="7" t="s">
        <v>739</v>
      </c>
      <c r="H1262" s="1" t="s">
        <v>299</v>
      </c>
      <c r="I1262" s="8">
        <f>(C13)</f>
        <v>461</v>
      </c>
      <c r="J1262" s="1" t="s">
        <v>739</v>
      </c>
      <c r="K1262" s="8">
        <f>(F1262*I1262)</f>
        <v>507.1</v>
      </c>
      <c r="M1262" s="766">
        <v>1.1000000000000001</v>
      </c>
      <c r="N1262" s="767" t="s">
        <v>739</v>
      </c>
      <c r="O1262" s="768" t="s">
        <v>1938</v>
      </c>
      <c r="P1262" s="766">
        <f t="shared" si="168"/>
        <v>861</v>
      </c>
      <c r="Q1262" s="765" t="s">
        <v>739</v>
      </c>
      <c r="R1262" s="766">
        <f t="shared" si="169"/>
        <v>947.1</v>
      </c>
      <c r="Y1262" s="25">
        <v>29.4</v>
      </c>
      <c r="Z1262" s="7" t="s">
        <v>2167</v>
      </c>
      <c r="AA1262" s="1" t="s">
        <v>3456</v>
      </c>
      <c r="AE1262" s="52" t="str">
        <f t="shared" si="165"/>
        <v>|</v>
      </c>
      <c r="AG1262" s="1" t="s">
        <v>2175</v>
      </c>
    </row>
    <row r="1263" spans="6:33" ht="24" customHeight="1">
      <c r="G1263" s="7" t="s">
        <v>419</v>
      </c>
      <c r="H1263" s="1" t="s">
        <v>420</v>
      </c>
      <c r="J1263" s="1" t="s">
        <v>419</v>
      </c>
      <c r="K1263" s="8">
        <v>0</v>
      </c>
      <c r="M1263" s="766">
        <v>1.1000000000000001</v>
      </c>
      <c r="N1263" s="767" t="s">
        <v>739</v>
      </c>
      <c r="O1263" s="768" t="s">
        <v>1654</v>
      </c>
      <c r="P1263" s="766">
        <f t="shared" si="168"/>
        <v>804</v>
      </c>
      <c r="Q1263" s="765" t="s">
        <v>739</v>
      </c>
      <c r="R1263" s="766">
        <f t="shared" si="169"/>
        <v>884.4</v>
      </c>
      <c r="Z1263" s="3"/>
      <c r="AA1263" s="1" t="s">
        <v>3457</v>
      </c>
      <c r="AE1263" s="52" t="str">
        <f t="shared" si="165"/>
        <v>|</v>
      </c>
      <c r="AG1263" s="1" t="s">
        <v>2175</v>
      </c>
    </row>
    <row r="1264" spans="6:33" ht="24" customHeight="1">
      <c r="K1264" s="5" t="s">
        <v>1530</v>
      </c>
      <c r="M1264" s="766">
        <v>2.2000000000000002</v>
      </c>
      <c r="N1264" s="767" t="s">
        <v>739</v>
      </c>
      <c r="O1264" s="768" t="s">
        <v>1836</v>
      </c>
      <c r="P1264" s="766">
        <f t="shared" si="168"/>
        <v>562</v>
      </c>
      <c r="Q1264" s="765" t="s">
        <v>739</v>
      </c>
      <c r="R1264" s="766">
        <f t="shared" si="169"/>
        <v>1236.4000000000001</v>
      </c>
      <c r="Z1264" s="3"/>
      <c r="AA1264" s="5" t="s">
        <v>1530</v>
      </c>
      <c r="AE1264" s="52" t="str">
        <f t="shared" si="165"/>
        <v>|</v>
      </c>
      <c r="AG1264" s="1" t="s">
        <v>2175</v>
      </c>
    </row>
    <row r="1265" spans="6:33" ht="24" customHeight="1">
      <c r="H1265" s="1" t="s">
        <v>411</v>
      </c>
      <c r="K1265" s="8">
        <f>SUM(K1251:K1263)</f>
        <v>10897.34</v>
      </c>
      <c r="M1265" s="766">
        <v>2.2000000000000002</v>
      </c>
      <c r="N1265" s="767" t="s">
        <v>739</v>
      </c>
      <c r="O1265" s="768" t="s">
        <v>299</v>
      </c>
      <c r="P1265" s="766">
        <f t="shared" si="168"/>
        <v>461</v>
      </c>
      <c r="Q1265" s="765" t="s">
        <v>739</v>
      </c>
      <c r="R1265" s="766">
        <f t="shared" si="169"/>
        <v>1014.2</v>
      </c>
      <c r="Y1265" s="8">
        <v>1.86</v>
      </c>
      <c r="Z1265" s="7" t="s">
        <v>578</v>
      </c>
      <c r="AA1265" s="1" t="s">
        <v>3458</v>
      </c>
      <c r="AB1265" s="64">
        <f>AB1244</f>
        <v>763</v>
      </c>
      <c r="AC1265" s="1" t="str">
        <f>J1272</f>
        <v>SQM</v>
      </c>
      <c r="AD1265" s="8">
        <f t="shared" ref="AD1265:AD1270" si="170">(Y1265*AB1265)</f>
        <v>1419.18</v>
      </c>
      <c r="AE1265" s="52" t="str">
        <f t="shared" si="165"/>
        <v>|</v>
      </c>
      <c r="AG1265" s="1" t="s">
        <v>2175</v>
      </c>
    </row>
    <row r="1266" spans="6:33" ht="24" customHeight="1">
      <c r="K1266" s="5" t="s">
        <v>1530</v>
      </c>
      <c r="M1266" s="769">
        <v>20</v>
      </c>
      <c r="N1266" s="767" t="s">
        <v>1591</v>
      </c>
      <c r="O1266" s="768" t="s">
        <v>829</v>
      </c>
      <c r="P1266" s="766">
        <f t="shared" si="168"/>
        <v>5960</v>
      </c>
      <c r="Q1266" s="765" t="s">
        <v>828</v>
      </c>
      <c r="R1266" s="766">
        <f>(M1266*P1266)/1000</f>
        <v>119.2</v>
      </c>
      <c r="Y1266" s="8">
        <v>0.4</v>
      </c>
      <c r="Z1266" s="7" t="s">
        <v>1591</v>
      </c>
      <c r="AA1266" s="1" t="s">
        <v>2001</v>
      </c>
      <c r="AB1266" s="171">
        <f>AB1252</f>
        <v>36.1</v>
      </c>
      <c r="AC1266" s="1" t="str">
        <f>J1273</f>
        <v>Kg</v>
      </c>
      <c r="AD1266" s="8">
        <f t="shared" si="170"/>
        <v>14.44</v>
      </c>
      <c r="AE1266" s="52">
        <f t="shared" si="165"/>
        <v>0</v>
      </c>
    </row>
    <row r="1267" spans="6:33" ht="24" customHeight="1">
      <c r="H1267" s="59" t="s">
        <v>521</v>
      </c>
      <c r="K1267" s="39">
        <f>(K1265/10)</f>
        <v>1089.73</v>
      </c>
      <c r="M1267" s="769">
        <v>2</v>
      </c>
      <c r="N1267" s="767" t="s">
        <v>1591</v>
      </c>
      <c r="O1267" s="768" t="s">
        <v>1473</v>
      </c>
      <c r="P1267" s="766">
        <f>I1259</f>
        <v>36.1</v>
      </c>
      <c r="Q1267" s="765" t="s">
        <v>1591</v>
      </c>
      <c r="R1267" s="766">
        <f t="shared" si="169"/>
        <v>72.2</v>
      </c>
      <c r="Y1267" s="8">
        <v>0.02</v>
      </c>
      <c r="Z1267" s="7" t="s">
        <v>836</v>
      </c>
      <c r="AA1267" s="1" t="s">
        <v>388</v>
      </c>
      <c r="AB1267" s="8">
        <f>I1274</f>
        <v>5792.02</v>
      </c>
      <c r="AC1267" s="1" t="str">
        <f>J1274</f>
        <v>CUM</v>
      </c>
      <c r="AD1267" s="8">
        <f t="shared" si="170"/>
        <v>115.84</v>
      </c>
      <c r="AE1267" s="52">
        <f t="shared" si="165"/>
        <v>0</v>
      </c>
    </row>
    <row r="1268" spans="6:33" ht="24" customHeight="1">
      <c r="K1268" s="5" t="s">
        <v>1980</v>
      </c>
      <c r="M1268" s="766">
        <v>1.6</v>
      </c>
      <c r="N1268" s="767" t="s">
        <v>739</v>
      </c>
      <c r="O1268" s="768" t="s">
        <v>1654</v>
      </c>
      <c r="P1268" s="766">
        <f>P1226</f>
        <v>804</v>
      </c>
      <c r="Q1268" s="765" t="s">
        <v>739</v>
      </c>
      <c r="R1268" s="766">
        <f t="shared" si="169"/>
        <v>1286.4000000000001</v>
      </c>
      <c r="Y1268" s="8">
        <v>1</v>
      </c>
      <c r="Z1268" s="7" t="s">
        <v>739</v>
      </c>
      <c r="AA1268" s="1" t="s">
        <v>1938</v>
      </c>
      <c r="AB1268" s="8">
        <f>I1275</f>
        <v>861</v>
      </c>
      <c r="AC1268" s="1" t="str">
        <f>J1275</f>
        <v>NO</v>
      </c>
      <c r="AD1268" s="8">
        <f t="shared" si="170"/>
        <v>861</v>
      </c>
      <c r="AE1268" s="52" t="str">
        <f t="shared" si="165"/>
        <v xml:space="preserve"> </v>
      </c>
      <c r="AG1268" s="1" t="s">
        <v>940</v>
      </c>
    </row>
    <row r="1269" spans="6:33" ht="24" customHeight="1">
      <c r="F1269" s="25">
        <v>29.4</v>
      </c>
      <c r="G1269" s="7" t="s">
        <v>2167</v>
      </c>
      <c r="H1269" s="1" t="s">
        <v>1051</v>
      </c>
      <c r="M1269" s="766">
        <v>0.5</v>
      </c>
      <c r="N1269" s="767" t="s">
        <v>739</v>
      </c>
      <c r="O1269" s="768" t="s">
        <v>1836</v>
      </c>
      <c r="P1269" s="766">
        <f>P1227</f>
        <v>562</v>
      </c>
      <c r="Q1269" s="765" t="s">
        <v>739</v>
      </c>
      <c r="R1269" s="766">
        <f t="shared" si="169"/>
        <v>281</v>
      </c>
      <c r="Y1269" s="8">
        <v>1</v>
      </c>
      <c r="Z1269" s="7" t="s">
        <v>739</v>
      </c>
      <c r="AA1269" s="1" t="s">
        <v>1634</v>
      </c>
      <c r="AB1269" s="8">
        <f>I1276</f>
        <v>562</v>
      </c>
      <c r="AC1269" s="1" t="str">
        <f>J1276</f>
        <v>NO</v>
      </c>
      <c r="AD1269" s="8">
        <f t="shared" si="170"/>
        <v>562</v>
      </c>
      <c r="AE1269" s="52">
        <f t="shared" si="165"/>
        <v>0</v>
      </c>
    </row>
    <row r="1270" spans="6:33" ht="24" customHeight="1">
      <c r="H1270" s="1" t="s">
        <v>1052</v>
      </c>
      <c r="M1270" s="766">
        <v>1.1000000000000001</v>
      </c>
      <c r="N1270" s="767" t="s">
        <v>739</v>
      </c>
      <c r="O1270" s="768" t="s">
        <v>299</v>
      </c>
      <c r="P1270" s="766">
        <f>P1228</f>
        <v>461</v>
      </c>
      <c r="Q1270" s="765" t="s">
        <v>739</v>
      </c>
      <c r="R1270" s="766">
        <f t="shared" si="169"/>
        <v>507.1</v>
      </c>
      <c r="Z1270" s="7" t="s">
        <v>419</v>
      </c>
      <c r="AA1270" s="1" t="s">
        <v>420</v>
      </c>
      <c r="AC1270" s="1" t="s">
        <v>419</v>
      </c>
      <c r="AD1270" s="8">
        <f t="shared" si="170"/>
        <v>0</v>
      </c>
      <c r="AE1270" s="52">
        <f t="shared" si="165"/>
        <v>0</v>
      </c>
    </row>
    <row r="1271" spans="6:33" ht="24" customHeight="1">
      <c r="H1271" s="5" t="s">
        <v>1530</v>
      </c>
      <c r="M1271" s="760"/>
      <c r="N1271" s="767" t="s">
        <v>419</v>
      </c>
      <c r="O1271" s="768" t="s">
        <v>420</v>
      </c>
      <c r="P1271" s="760"/>
      <c r="Q1271" s="765" t="s">
        <v>419</v>
      </c>
      <c r="R1271" s="766">
        <v>0</v>
      </c>
      <c r="Z1271" s="3"/>
      <c r="AC1271" s="11"/>
      <c r="AD1271" s="5" t="s">
        <v>1530</v>
      </c>
      <c r="AE1271" s="52">
        <f t="shared" si="165"/>
        <v>0</v>
      </c>
    </row>
    <row r="1272" spans="6:33" ht="24" customHeight="1">
      <c r="F1272" s="8">
        <v>1.86</v>
      </c>
      <c r="G1272" s="7" t="s">
        <v>578</v>
      </c>
      <c r="H1272" s="1" t="s">
        <v>1053</v>
      </c>
      <c r="I1272" s="443">
        <f>C605</f>
        <v>400</v>
      </c>
      <c r="J1272" s="1" t="s">
        <v>578</v>
      </c>
      <c r="K1272" s="8">
        <f>(F1272*I1272)</f>
        <v>744</v>
      </c>
      <c r="M1272" s="760"/>
      <c r="N1272" s="761"/>
      <c r="O1272" s="760"/>
      <c r="P1272" s="760"/>
      <c r="Q1272" s="763"/>
      <c r="R1272" s="770"/>
      <c r="Z1272" s="3"/>
      <c r="AA1272" s="1" t="s">
        <v>1635</v>
      </c>
      <c r="AC1272" s="11"/>
      <c r="AD1272" s="8">
        <f>SUM(AD1265:AD1270)</f>
        <v>2972.46</v>
      </c>
      <c r="AE1272" s="52">
        <f t="shared" si="165"/>
        <v>0</v>
      </c>
    </row>
    <row r="1273" spans="6:33" ht="24" customHeight="1">
      <c r="F1273" s="8">
        <v>0.4</v>
      </c>
      <c r="G1273" s="7" t="s">
        <v>1591</v>
      </c>
      <c r="H1273" s="1" t="s">
        <v>2001</v>
      </c>
      <c r="I1273" s="491">
        <f>I1259</f>
        <v>36.1</v>
      </c>
      <c r="J1273" s="1" t="s">
        <v>1591</v>
      </c>
      <c r="K1273" s="8">
        <f>(F1273*I1273)</f>
        <v>14.44</v>
      </c>
      <c r="M1273" s="760"/>
      <c r="N1273" s="761"/>
      <c r="O1273" s="768" t="s">
        <v>411</v>
      </c>
      <c r="P1273" s="760"/>
      <c r="Q1273" s="763"/>
      <c r="R1273" s="766">
        <f>SUM(R1260:R1271)</f>
        <v>11476.94</v>
      </c>
      <c r="Z1273" s="3"/>
      <c r="AC1273" s="11"/>
      <c r="AD1273" s="5" t="s">
        <v>1530</v>
      </c>
      <c r="AE1273" s="52">
        <f t="shared" si="165"/>
        <v>0</v>
      </c>
    </row>
    <row r="1274" spans="6:33" ht="24" customHeight="1">
      <c r="F1274" s="8">
        <v>0.02</v>
      </c>
      <c r="G1274" s="7" t="s">
        <v>836</v>
      </c>
      <c r="H1274" s="1" t="s">
        <v>388</v>
      </c>
      <c r="I1274" s="8">
        <f>K23</f>
        <v>5792.02</v>
      </c>
      <c r="J1274" s="1" t="s">
        <v>836</v>
      </c>
      <c r="K1274" s="8">
        <f>(F1274*I1274)</f>
        <v>115.84</v>
      </c>
      <c r="M1274" s="760"/>
      <c r="N1274" s="761"/>
      <c r="O1274" s="760"/>
      <c r="P1274" s="760"/>
      <c r="Q1274" s="763"/>
      <c r="R1274" s="770" t="s">
        <v>1530</v>
      </c>
      <c r="Z1274" s="3"/>
      <c r="AA1274" s="59" t="s">
        <v>521</v>
      </c>
      <c r="AC1274" s="11"/>
      <c r="AD1274" s="39">
        <f>(AD1272/1.86)</f>
        <v>1598.1</v>
      </c>
      <c r="AE1274" s="52">
        <f t="shared" si="165"/>
        <v>0</v>
      </c>
    </row>
    <row r="1275" spans="6:33" ht="24" customHeight="1">
      <c r="F1275" s="8">
        <v>1</v>
      </c>
      <c r="G1275" s="7" t="s">
        <v>739</v>
      </c>
      <c r="H1275" s="1" t="s">
        <v>1938</v>
      </c>
      <c r="I1275" s="8">
        <f>C10</f>
        <v>861</v>
      </c>
      <c r="J1275" s="1" t="s">
        <v>739</v>
      </c>
      <c r="K1275" s="8">
        <f>(F1275*I1275)</f>
        <v>861</v>
      </c>
      <c r="M1275" s="760"/>
      <c r="N1275" s="761"/>
      <c r="O1275" s="771" t="s">
        <v>521</v>
      </c>
      <c r="P1275" s="760"/>
      <c r="Q1275" s="763"/>
      <c r="R1275" s="772">
        <f>(R1273/10)</f>
        <v>1147.69</v>
      </c>
      <c r="Z1275" s="3"/>
      <c r="AC1275" s="11"/>
      <c r="AD1275" s="5" t="s">
        <v>1980</v>
      </c>
      <c r="AE1275" s="52">
        <f t="shared" si="165"/>
        <v>0</v>
      </c>
    </row>
    <row r="1276" spans="6:33" ht="24" customHeight="1">
      <c r="F1276" s="8">
        <v>1</v>
      </c>
      <c r="G1276" s="7" t="s">
        <v>739</v>
      </c>
      <c r="H1276" s="1" t="s">
        <v>1634</v>
      </c>
      <c r="I1276" s="8">
        <f>C12</f>
        <v>562</v>
      </c>
      <c r="J1276" s="1" t="s">
        <v>739</v>
      </c>
      <c r="K1276" s="8">
        <f>(F1276*I1276)</f>
        <v>562</v>
      </c>
      <c r="S1276" s="25">
        <v>29.5</v>
      </c>
      <c r="T1276" s="7" t="s">
        <v>2167</v>
      </c>
      <c r="U1276" s="1" t="s">
        <v>3530</v>
      </c>
      <c r="W1276" s="11"/>
      <c r="AE1276" s="52">
        <f t="shared" si="165"/>
        <v>0</v>
      </c>
    </row>
    <row r="1277" spans="6:33" ht="24" customHeight="1">
      <c r="G1277" s="7" t="s">
        <v>419</v>
      </c>
      <c r="H1277" s="1" t="s">
        <v>420</v>
      </c>
      <c r="J1277" s="1" t="s">
        <v>419</v>
      </c>
      <c r="K1277" s="8"/>
      <c r="S1277"/>
      <c r="T1277" s="3"/>
      <c r="U1277" s="1"/>
      <c r="W1277" s="11"/>
      <c r="AE1277" s="52">
        <f t="shared" si="165"/>
        <v>0</v>
      </c>
    </row>
    <row r="1278" spans="6:33" ht="24" customHeight="1">
      <c r="K1278" s="5" t="s">
        <v>1530</v>
      </c>
      <c r="S1278"/>
      <c r="T1278" s="3"/>
      <c r="U1278" s="1"/>
      <c r="W1278" s="11"/>
      <c r="AC1278" s="11"/>
      <c r="AE1278" s="52">
        <f t="shared" si="165"/>
        <v>0</v>
      </c>
    </row>
    <row r="1279" spans="6:33" ht="24" customHeight="1">
      <c r="H1279" s="1" t="s">
        <v>1635</v>
      </c>
      <c r="K1279" s="8">
        <f>SUM(K1272:K1277)</f>
        <v>2297.2800000000002</v>
      </c>
      <c r="S1279"/>
      <c r="T1279" s="3"/>
      <c r="U1279" s="5" t="s">
        <v>1530</v>
      </c>
      <c r="V1279" s="5" t="s">
        <v>1530</v>
      </c>
      <c r="W1279" s="11"/>
      <c r="AC1279" s="11"/>
      <c r="AE1279" s="52">
        <f t="shared" si="165"/>
        <v>0</v>
      </c>
    </row>
    <row r="1280" spans="6:33" ht="40.5" customHeight="1">
      <c r="K1280" s="5" t="s">
        <v>1530</v>
      </c>
      <c r="S1280" s="8">
        <v>10</v>
      </c>
      <c r="T1280" s="7" t="s">
        <v>578</v>
      </c>
      <c r="U1280" s="27" t="s">
        <v>3534</v>
      </c>
      <c r="V1280" s="545">
        <v>538.21</v>
      </c>
      <c r="W1280" s="1" t="s">
        <v>578</v>
      </c>
      <c r="X1280" s="8">
        <f>(S1280*V1280)</f>
        <v>5382.1</v>
      </c>
      <c r="AC1280" s="11"/>
      <c r="AE1280" s="52">
        <f t="shared" si="165"/>
        <v>0</v>
      </c>
    </row>
    <row r="1281" spans="6:31" ht="24" customHeight="1">
      <c r="H1281" s="59" t="s">
        <v>521</v>
      </c>
      <c r="K1281" s="39">
        <f>(K1279/1.86)</f>
        <v>1235.0999999999999</v>
      </c>
      <c r="S1281" s="8">
        <v>0.21</v>
      </c>
      <c r="T1281" s="7" t="s">
        <v>836</v>
      </c>
      <c r="U1281" s="1" t="s">
        <v>1810</v>
      </c>
      <c r="V1281" s="64">
        <f t="shared" ref="V1281:V1291" si="171">I1252</f>
        <v>4361.62</v>
      </c>
      <c r="W1281" s="1" t="s">
        <v>836</v>
      </c>
      <c r="X1281" s="8">
        <f>(S1281*V1281)</f>
        <v>915.94</v>
      </c>
      <c r="AE1281" s="52">
        <f t="shared" si="165"/>
        <v>0</v>
      </c>
    </row>
    <row r="1282" spans="6:31" ht="24" customHeight="1">
      <c r="K1282" s="5" t="s">
        <v>1980</v>
      </c>
      <c r="S1282"/>
      <c r="T1282" s="3"/>
      <c r="U1282" s="1" t="s">
        <v>1811</v>
      </c>
      <c r="V1282" s="64" t="str">
        <f t="shared" si="171"/>
        <v xml:space="preserve"> </v>
      </c>
      <c r="W1282" s="11"/>
      <c r="X1282" s="1" t="s">
        <v>940</v>
      </c>
      <c r="AE1282" s="52">
        <f t="shared" si="165"/>
        <v>0</v>
      </c>
    </row>
    <row r="1283" spans="6:31" ht="24" customHeight="1">
      <c r="F1283" s="25"/>
      <c r="G1283" s="7" t="s">
        <v>2167</v>
      </c>
      <c r="H1283" s="1" t="s">
        <v>3531</v>
      </c>
      <c r="S1283" s="8">
        <v>1.1000000000000001</v>
      </c>
      <c r="T1283" s="7" t="s">
        <v>739</v>
      </c>
      <c r="U1283" s="1" t="s">
        <v>1938</v>
      </c>
      <c r="V1283" s="64">
        <f t="shared" si="171"/>
        <v>861</v>
      </c>
      <c r="W1283" s="1" t="s">
        <v>739</v>
      </c>
      <c r="X1283" s="8">
        <f>(S1283*V1283)</f>
        <v>947.1</v>
      </c>
      <c r="AE1283" s="52">
        <f t="shared" si="165"/>
        <v>0</v>
      </c>
    </row>
    <row r="1284" spans="6:31" ht="24" customHeight="1">
      <c r="H1284" s="1"/>
      <c r="S1284" s="8">
        <v>1.1000000000000001</v>
      </c>
      <c r="T1284" s="7" t="s">
        <v>739</v>
      </c>
      <c r="U1284" s="1" t="s">
        <v>1654</v>
      </c>
      <c r="V1284" s="64">
        <f t="shared" si="171"/>
        <v>804</v>
      </c>
      <c r="W1284" s="1" t="s">
        <v>739</v>
      </c>
      <c r="X1284" s="8">
        <f>(S1284*V1284)</f>
        <v>884.4</v>
      </c>
      <c r="AE1284" s="52">
        <f t="shared" si="165"/>
        <v>0</v>
      </c>
    </row>
    <row r="1285" spans="6:31" ht="24" customHeight="1">
      <c r="H1285" s="5" t="s">
        <v>1530</v>
      </c>
      <c r="S1285" s="8">
        <v>2.2000000000000002</v>
      </c>
      <c r="T1285" s="7" t="s">
        <v>739</v>
      </c>
      <c r="U1285" s="1" t="s">
        <v>1836</v>
      </c>
      <c r="V1285" s="64">
        <f t="shared" si="171"/>
        <v>562</v>
      </c>
      <c r="W1285" s="1" t="s">
        <v>739</v>
      </c>
      <c r="X1285" s="8">
        <f>(S1285*V1285)</f>
        <v>1236.4000000000001</v>
      </c>
      <c r="AE1285" s="52">
        <f t="shared" si="165"/>
        <v>0</v>
      </c>
    </row>
    <row r="1286" spans="6:31" ht="24" customHeight="1">
      <c r="F1286" s="8">
        <v>1.86</v>
      </c>
      <c r="G1286" s="7" t="s">
        <v>578</v>
      </c>
      <c r="H1286" s="1" t="s">
        <v>3535</v>
      </c>
      <c r="I1286" s="545">
        <v>699.4</v>
      </c>
      <c r="J1286" s="1" t="s">
        <v>578</v>
      </c>
      <c r="K1286" s="8">
        <f>(F1286*I1286)</f>
        <v>1300.8800000000001</v>
      </c>
      <c r="S1286" s="8">
        <v>2.2000000000000002</v>
      </c>
      <c r="T1286" s="7" t="s">
        <v>739</v>
      </c>
      <c r="U1286" s="1" t="s">
        <v>299</v>
      </c>
      <c r="V1286" s="64">
        <f t="shared" si="171"/>
        <v>461</v>
      </c>
      <c r="W1286" s="1" t="s">
        <v>739</v>
      </c>
      <c r="X1286" s="8">
        <f>(S1286*V1286)</f>
        <v>1014.2</v>
      </c>
      <c r="AE1286" s="52">
        <f t="shared" si="165"/>
        <v>0</v>
      </c>
    </row>
    <row r="1287" spans="6:31" ht="24" customHeight="1">
      <c r="F1287" s="8">
        <v>0.4</v>
      </c>
      <c r="G1287" s="7" t="s">
        <v>1591</v>
      </c>
      <c r="H1287" s="1" t="s">
        <v>364</v>
      </c>
      <c r="I1287" s="537">
        <f>C70</f>
        <v>5960</v>
      </c>
      <c r="J1287" s="1" t="s">
        <v>1591</v>
      </c>
      <c r="K1287" s="8">
        <f>(F1287*I1287)</f>
        <v>2384</v>
      </c>
      <c r="S1287" s="13">
        <v>20</v>
      </c>
      <c r="T1287" s="7" t="s">
        <v>1591</v>
      </c>
      <c r="U1287" s="1" t="s">
        <v>829</v>
      </c>
      <c r="V1287" s="64">
        <f t="shared" si="171"/>
        <v>5960</v>
      </c>
      <c r="W1287" s="1" t="s">
        <v>828</v>
      </c>
      <c r="X1287" s="8">
        <f>(S1287*V1287)/1000</f>
        <v>119.2</v>
      </c>
      <c r="AE1287" s="52">
        <f t="shared" si="165"/>
        <v>0</v>
      </c>
    </row>
    <row r="1288" spans="6:31" ht="24" customHeight="1">
      <c r="F1288" s="8">
        <v>0.02</v>
      </c>
      <c r="G1288" s="7" t="s">
        <v>836</v>
      </c>
      <c r="H1288" s="1" t="s">
        <v>388</v>
      </c>
      <c r="I1288" s="8">
        <f>I1274</f>
        <v>5792.02</v>
      </c>
      <c r="J1288" s="1" t="s">
        <v>836</v>
      </c>
      <c r="K1288" s="8">
        <f>(F1288*I1288)</f>
        <v>115.84</v>
      </c>
      <c r="S1288" s="13">
        <v>2</v>
      </c>
      <c r="T1288" s="7" t="s">
        <v>1591</v>
      </c>
      <c r="U1288" s="1" t="s">
        <v>2001</v>
      </c>
      <c r="V1288" s="64">
        <f t="shared" si="171"/>
        <v>36.1</v>
      </c>
      <c r="W1288" s="1" t="s">
        <v>1591</v>
      </c>
      <c r="X1288" s="8">
        <f>(S1288*V1288)</f>
        <v>72.2</v>
      </c>
      <c r="AE1288" s="52">
        <f t="shared" si="165"/>
        <v>0</v>
      </c>
    </row>
    <row r="1289" spans="6:31" ht="24" customHeight="1">
      <c r="F1289" s="8">
        <v>1</v>
      </c>
      <c r="G1289" s="7" t="s">
        <v>739</v>
      </c>
      <c r="H1289" s="1" t="s">
        <v>1938</v>
      </c>
      <c r="I1289" s="8">
        <f>I1275</f>
        <v>861</v>
      </c>
      <c r="J1289" s="1" t="s">
        <v>739</v>
      </c>
      <c r="K1289" s="8">
        <f>(F1289*I1289)</f>
        <v>861</v>
      </c>
      <c r="S1289" s="8">
        <v>1.6</v>
      </c>
      <c r="T1289" s="7" t="s">
        <v>739</v>
      </c>
      <c r="U1289" s="1" t="s">
        <v>1654</v>
      </c>
      <c r="V1289" s="64">
        <f t="shared" si="171"/>
        <v>804</v>
      </c>
      <c r="W1289" s="1" t="s">
        <v>739</v>
      </c>
      <c r="X1289" s="8">
        <f>(S1289*V1289)</f>
        <v>1286.4000000000001</v>
      </c>
      <c r="AE1289" s="52">
        <f t="shared" si="165"/>
        <v>0</v>
      </c>
    </row>
    <row r="1290" spans="6:31" ht="24" customHeight="1">
      <c r="F1290" s="8">
        <v>1</v>
      </c>
      <c r="G1290" s="7" t="s">
        <v>739</v>
      </c>
      <c r="H1290" s="1" t="s">
        <v>1634</v>
      </c>
      <c r="I1290" s="8">
        <f>I1276</f>
        <v>562</v>
      </c>
      <c r="J1290" s="1" t="s">
        <v>739</v>
      </c>
      <c r="K1290" s="8">
        <f>(F1290*I1290)</f>
        <v>562</v>
      </c>
      <c r="S1290" s="8">
        <v>0.5</v>
      </c>
      <c r="T1290" s="7" t="s">
        <v>739</v>
      </c>
      <c r="U1290" s="1" t="s">
        <v>1836</v>
      </c>
      <c r="V1290" s="64">
        <f t="shared" si="171"/>
        <v>562</v>
      </c>
      <c r="W1290" s="1" t="s">
        <v>739</v>
      </c>
      <c r="X1290" s="8">
        <f>(S1290*V1290)</f>
        <v>281</v>
      </c>
      <c r="AE1290" s="52">
        <f t="shared" si="165"/>
        <v>0</v>
      </c>
    </row>
    <row r="1291" spans="6:31" ht="24" customHeight="1">
      <c r="G1291" s="7" t="s">
        <v>419</v>
      </c>
      <c r="H1291" s="1" t="s">
        <v>420</v>
      </c>
      <c r="J1291" s="1" t="s">
        <v>419</v>
      </c>
      <c r="K1291" s="8"/>
      <c r="S1291" s="8">
        <v>1.1000000000000001</v>
      </c>
      <c r="T1291" s="7" t="s">
        <v>739</v>
      </c>
      <c r="U1291" s="1" t="s">
        <v>299</v>
      </c>
      <c r="V1291" s="64">
        <f t="shared" si="171"/>
        <v>461</v>
      </c>
      <c r="W1291" s="1" t="s">
        <v>739</v>
      </c>
      <c r="X1291" s="8">
        <f>(S1291*V1291)</f>
        <v>507.1</v>
      </c>
      <c r="AE1291" s="52">
        <f t="shared" si="165"/>
        <v>0</v>
      </c>
    </row>
    <row r="1292" spans="6:31" ht="24" customHeight="1">
      <c r="K1292" s="5" t="s">
        <v>1530</v>
      </c>
      <c r="S1292"/>
      <c r="T1292" s="7" t="s">
        <v>419</v>
      </c>
      <c r="U1292" s="1" t="s">
        <v>420</v>
      </c>
      <c r="W1292" s="1" t="s">
        <v>419</v>
      </c>
      <c r="X1292" s="8">
        <v>0</v>
      </c>
      <c r="AE1292" s="52">
        <f t="shared" si="165"/>
        <v>0</v>
      </c>
    </row>
    <row r="1293" spans="6:31" ht="24" customHeight="1">
      <c r="H1293" s="1" t="s">
        <v>1635</v>
      </c>
      <c r="K1293" s="8">
        <f>SUM(K1286:K1291)</f>
        <v>5223.72</v>
      </c>
      <c r="S1293"/>
      <c r="T1293" s="3"/>
      <c r="W1293" s="11"/>
      <c r="X1293" s="5" t="s">
        <v>1530</v>
      </c>
      <c r="AE1293" s="52">
        <f t="shared" ref="AE1293:AE1356" si="172">AG1293</f>
        <v>0</v>
      </c>
    </row>
    <row r="1294" spans="6:31" ht="24" customHeight="1">
      <c r="K1294" s="5" t="s">
        <v>1530</v>
      </c>
      <c r="S1294"/>
      <c r="T1294" s="3"/>
      <c r="U1294" s="1" t="s">
        <v>411</v>
      </c>
      <c r="W1294" s="11"/>
      <c r="X1294" s="8">
        <f>SUM(X1280:X1292)</f>
        <v>12646.04</v>
      </c>
      <c r="AE1294" s="52">
        <f t="shared" si="172"/>
        <v>0</v>
      </c>
    </row>
    <row r="1295" spans="6:31" ht="24" customHeight="1">
      <c r="H1295" s="59" t="s">
        <v>521</v>
      </c>
      <c r="K1295" s="39">
        <f>(K1293/1.86)</f>
        <v>2808.45</v>
      </c>
      <c r="S1295"/>
      <c r="T1295" s="3"/>
      <c r="W1295" s="11"/>
      <c r="X1295" s="5" t="s">
        <v>1530</v>
      </c>
      <c r="AE1295" s="52">
        <f t="shared" si="172"/>
        <v>0</v>
      </c>
    </row>
    <row r="1296" spans="6:31" ht="24" customHeight="1">
      <c r="K1296" s="5" t="s">
        <v>1980</v>
      </c>
      <c r="U1296" s="59" t="s">
        <v>521</v>
      </c>
      <c r="W1296" s="11"/>
      <c r="X1296" s="39">
        <f>(X1294/10)</f>
        <v>1264.5999999999999</v>
      </c>
      <c r="AE1296" s="52">
        <f t="shared" si="172"/>
        <v>0</v>
      </c>
    </row>
    <row r="1297" spans="6:31" ht="24" customHeight="1">
      <c r="K1297" s="5"/>
      <c r="W1297" s="11"/>
      <c r="X1297" s="5" t="s">
        <v>1980</v>
      </c>
      <c r="AE1297" s="52">
        <f t="shared" si="172"/>
        <v>0</v>
      </c>
    </row>
    <row r="1298" spans="6:31" ht="24" customHeight="1">
      <c r="K1298" s="5"/>
      <c r="AE1298" s="52">
        <f t="shared" si="172"/>
        <v>0</v>
      </c>
    </row>
    <row r="1299" spans="6:31" ht="24" customHeight="1">
      <c r="K1299" s="5"/>
      <c r="M1299" s="2"/>
      <c r="N1299" s="7" t="s">
        <v>2167</v>
      </c>
      <c r="O1299" s="1" t="s">
        <v>1467</v>
      </c>
      <c r="Q1299" s="4"/>
      <c r="S1299" s="31">
        <v>15.1</v>
      </c>
      <c r="T1299" s="7" t="s">
        <v>1700</v>
      </c>
      <c r="U1299" s="1" t="s">
        <v>3539</v>
      </c>
      <c r="W1299" s="4"/>
      <c r="AE1299" s="52">
        <f t="shared" si="172"/>
        <v>0</v>
      </c>
    </row>
    <row r="1300" spans="6:31" ht="24" customHeight="1">
      <c r="K1300" s="5"/>
      <c r="N1300" s="3"/>
      <c r="O1300" s="1" t="s">
        <v>1468</v>
      </c>
      <c r="Q1300" s="4"/>
      <c r="S1300"/>
      <c r="T1300" s="3"/>
      <c r="U1300" s="1" t="s">
        <v>2197</v>
      </c>
      <c r="W1300" s="4"/>
      <c r="AE1300" s="52">
        <f t="shared" si="172"/>
        <v>0</v>
      </c>
    </row>
    <row r="1301" spans="6:31" ht="24" customHeight="1">
      <c r="F1301" s="2" t="s">
        <v>200</v>
      </c>
      <c r="G1301" s="7" t="s">
        <v>2167</v>
      </c>
      <c r="H1301" s="1" t="s">
        <v>1856</v>
      </c>
      <c r="N1301" s="3"/>
      <c r="O1301" s="34" t="s">
        <v>1469</v>
      </c>
      <c r="Q1301" s="4"/>
      <c r="S1301" s="8">
        <v>10</v>
      </c>
      <c r="T1301" s="7" t="s">
        <v>2199</v>
      </c>
      <c r="U1301" s="1" t="s">
        <v>4902</v>
      </c>
      <c r="V1301" s="423">
        <v>1610</v>
      </c>
      <c r="W1301" s="2" t="s">
        <v>2199</v>
      </c>
      <c r="X1301" s="8">
        <f t="shared" ref="X1301:X1307" si="173">(S1301*V1301)</f>
        <v>16100</v>
      </c>
      <c r="AE1301" s="52">
        <f t="shared" si="172"/>
        <v>0</v>
      </c>
    </row>
    <row r="1302" spans="6:31" ht="24" customHeight="1">
      <c r="H1302" s="1" t="s">
        <v>2150</v>
      </c>
      <c r="N1302" s="3"/>
      <c r="O1302" s="5" t="s">
        <v>1530</v>
      </c>
      <c r="Q1302" s="4"/>
      <c r="S1302" s="8">
        <v>0.21</v>
      </c>
      <c r="T1302" s="7" t="s">
        <v>836</v>
      </c>
      <c r="U1302" s="1" t="s">
        <v>754</v>
      </c>
      <c r="V1302" s="6">
        <f>P1336</f>
        <v>4361.62</v>
      </c>
      <c r="W1302" s="2" t="s">
        <v>836</v>
      </c>
      <c r="X1302" s="8">
        <f t="shared" si="173"/>
        <v>915.94</v>
      </c>
      <c r="AE1302" s="52">
        <f t="shared" si="172"/>
        <v>0</v>
      </c>
    </row>
    <row r="1303" spans="6:31" ht="24" customHeight="1">
      <c r="H1303" s="1" t="s">
        <v>1636</v>
      </c>
      <c r="M1303" s="8">
        <v>3.2</v>
      </c>
      <c r="N1303" s="7" t="s">
        <v>1591</v>
      </c>
      <c r="O1303" s="512" t="s">
        <v>1154</v>
      </c>
      <c r="P1303" s="545">
        <v>225</v>
      </c>
      <c r="Q1303" s="2" t="s">
        <v>1591</v>
      </c>
      <c r="R1303" s="8">
        <f>(M1303*P1303)</f>
        <v>720</v>
      </c>
      <c r="S1303" s="8">
        <v>1.1000000000000001</v>
      </c>
      <c r="T1303" s="7" t="s">
        <v>529</v>
      </c>
      <c r="U1303" s="1" t="s">
        <v>530</v>
      </c>
      <c r="V1303" s="6">
        <f>P1337</f>
        <v>861</v>
      </c>
      <c r="W1303" s="2" t="s">
        <v>1341</v>
      </c>
      <c r="X1303" s="8">
        <f t="shared" si="173"/>
        <v>947.1</v>
      </c>
      <c r="AE1303" s="52">
        <f t="shared" si="172"/>
        <v>0</v>
      </c>
    </row>
    <row r="1304" spans="6:31" ht="24" customHeight="1">
      <c r="H1304" s="1" t="s">
        <v>688</v>
      </c>
      <c r="M1304" s="8">
        <v>0.98</v>
      </c>
      <c r="N1304" s="7" t="s">
        <v>1192</v>
      </c>
      <c r="O1304" s="1" t="s">
        <v>3777</v>
      </c>
      <c r="P1304" s="8">
        <f>P1323</f>
        <v>146.1</v>
      </c>
      <c r="Q1304" s="2" t="s">
        <v>1192</v>
      </c>
      <c r="R1304" s="8">
        <f t="shared" ref="R1304:R1309" si="174">(M1304*P1304)</f>
        <v>143.18</v>
      </c>
      <c r="S1304" s="8">
        <v>1.1000000000000001</v>
      </c>
      <c r="T1304" s="7" t="s">
        <v>529</v>
      </c>
      <c r="U1304" s="1" t="s">
        <v>3540</v>
      </c>
      <c r="V1304" s="6">
        <f>P1263</f>
        <v>804</v>
      </c>
      <c r="W1304" s="2" t="s">
        <v>1341</v>
      </c>
      <c r="X1304" s="8">
        <f t="shared" si="173"/>
        <v>884.4</v>
      </c>
      <c r="AE1304" s="52">
        <f t="shared" si="172"/>
        <v>0</v>
      </c>
    </row>
    <row r="1305" spans="6:31" ht="24" customHeight="1">
      <c r="H1305" s="5" t="s">
        <v>1530</v>
      </c>
      <c r="M1305" s="8">
        <v>0.5</v>
      </c>
      <c r="N1305" s="7" t="s">
        <v>739</v>
      </c>
      <c r="O1305" s="1" t="s">
        <v>1140</v>
      </c>
      <c r="P1305" s="8">
        <f>AE13</f>
        <v>688</v>
      </c>
      <c r="Q1305" s="7" t="s">
        <v>739</v>
      </c>
      <c r="R1305" s="8">
        <f t="shared" si="174"/>
        <v>344</v>
      </c>
      <c r="S1305" s="8">
        <v>2.2000000000000002</v>
      </c>
      <c r="T1305" s="7" t="s">
        <v>529</v>
      </c>
      <c r="U1305" s="1" t="s">
        <v>792</v>
      </c>
      <c r="V1305" s="6">
        <f>P1338</f>
        <v>562</v>
      </c>
      <c r="W1305" s="2" t="s">
        <v>1341</v>
      </c>
      <c r="X1305" s="8">
        <f t="shared" si="173"/>
        <v>1236.4000000000001</v>
      </c>
      <c r="AE1305" s="52">
        <f t="shared" si="172"/>
        <v>0</v>
      </c>
    </row>
    <row r="1306" spans="6:31" ht="24" customHeight="1">
      <c r="F1306" s="8">
        <v>0.24</v>
      </c>
      <c r="G1306" s="7" t="s">
        <v>836</v>
      </c>
      <c r="H1306" s="1" t="s">
        <v>1637</v>
      </c>
      <c r="I1306" s="8">
        <f>(C73)</f>
        <v>893.71</v>
      </c>
      <c r="J1306" s="1" t="s">
        <v>836</v>
      </c>
      <c r="K1306" s="8">
        <f>(F1306*I1306)</f>
        <v>214.49</v>
      </c>
      <c r="M1306" s="8">
        <v>0.7</v>
      </c>
      <c r="N1306" s="7" t="s">
        <v>739</v>
      </c>
      <c r="O1306" s="1" t="s">
        <v>1155</v>
      </c>
      <c r="P1306" s="8">
        <f>AE14</f>
        <v>666</v>
      </c>
      <c r="Q1306" s="7" t="s">
        <v>739</v>
      </c>
      <c r="R1306" s="8">
        <f t="shared" si="174"/>
        <v>466.2</v>
      </c>
      <c r="S1306" s="8">
        <v>2.2000000000000002</v>
      </c>
      <c r="T1306" s="7" t="s">
        <v>529</v>
      </c>
      <c r="U1306" s="1" t="s">
        <v>3537</v>
      </c>
      <c r="V1306" s="6">
        <f>P1308</f>
        <v>461</v>
      </c>
      <c r="W1306" s="2" t="s">
        <v>1341</v>
      </c>
      <c r="X1306" s="8">
        <f t="shared" si="173"/>
        <v>1014.2</v>
      </c>
      <c r="AE1306" s="52">
        <f t="shared" si="172"/>
        <v>0</v>
      </c>
    </row>
    <row r="1307" spans="6:31" ht="24" customHeight="1">
      <c r="F1307" s="13">
        <v>0.11700000000000001</v>
      </c>
      <c r="G1307" s="7" t="s">
        <v>828</v>
      </c>
      <c r="H1307" s="1" t="s">
        <v>829</v>
      </c>
      <c r="I1307" s="8">
        <f>(C70)</f>
        <v>5960</v>
      </c>
      <c r="J1307" s="1" t="s">
        <v>828</v>
      </c>
      <c r="K1307" s="8">
        <f>(F1307*I1307)</f>
        <v>697.32</v>
      </c>
      <c r="M1307" s="8">
        <v>0.5</v>
      </c>
      <c r="N1307" s="7" t="s">
        <v>739</v>
      </c>
      <c r="O1307" s="1" t="s">
        <v>1836</v>
      </c>
      <c r="P1307" s="8">
        <f>I1309</f>
        <v>562</v>
      </c>
      <c r="Q1307" s="7" t="s">
        <v>739</v>
      </c>
      <c r="R1307" s="8">
        <f t="shared" si="174"/>
        <v>281</v>
      </c>
      <c r="S1307" s="8">
        <v>10</v>
      </c>
      <c r="T1307" s="7" t="s">
        <v>419</v>
      </c>
      <c r="U1307" s="1" t="s">
        <v>3538</v>
      </c>
      <c r="V1307" s="6">
        <v>153.47</v>
      </c>
      <c r="W1307" s="2" t="s">
        <v>419</v>
      </c>
      <c r="X1307" s="8">
        <f t="shared" si="173"/>
        <v>1534.7</v>
      </c>
      <c r="AE1307" s="52">
        <f t="shared" si="172"/>
        <v>0</v>
      </c>
    </row>
    <row r="1308" spans="6:31" ht="24" customHeight="1">
      <c r="F1308" s="8">
        <v>0.5</v>
      </c>
      <c r="G1308" s="7" t="s">
        <v>739</v>
      </c>
      <c r="H1308" s="1" t="s">
        <v>1938</v>
      </c>
      <c r="I1308" s="8">
        <f>(C10)</f>
        <v>861</v>
      </c>
      <c r="J1308" s="1" t="s">
        <v>739</v>
      </c>
      <c r="K1308" s="8">
        <f>(F1308*I1308)</f>
        <v>430.5</v>
      </c>
      <c r="M1308" s="8">
        <v>0.8</v>
      </c>
      <c r="N1308" s="7" t="s">
        <v>739</v>
      </c>
      <c r="O1308" s="1" t="s">
        <v>299</v>
      </c>
      <c r="P1308" s="8">
        <f>I1310</f>
        <v>461</v>
      </c>
      <c r="Q1308" s="7" t="s">
        <v>739</v>
      </c>
      <c r="R1308" s="8">
        <f t="shared" si="174"/>
        <v>368.8</v>
      </c>
      <c r="S1308"/>
      <c r="T1308" s="3"/>
      <c r="U1308" s="1"/>
      <c r="V1308" s="6">
        <f>P1340</f>
        <v>0</v>
      </c>
      <c r="W1308" s="4"/>
      <c r="X1308" s="5" t="s">
        <v>1530</v>
      </c>
      <c r="AE1308" s="52">
        <f t="shared" si="172"/>
        <v>0</v>
      </c>
    </row>
    <row r="1309" spans="6:31" ht="24" customHeight="1">
      <c r="F1309" s="8">
        <v>1.1000000000000001</v>
      </c>
      <c r="G1309" s="7" t="s">
        <v>739</v>
      </c>
      <c r="H1309" s="1" t="s">
        <v>897</v>
      </c>
      <c r="I1309" s="8">
        <f>(C12)</f>
        <v>562</v>
      </c>
      <c r="J1309" s="1" t="s">
        <v>739</v>
      </c>
      <c r="K1309" s="8">
        <f>(F1309*I1309)</f>
        <v>618.20000000000005</v>
      </c>
      <c r="M1309" s="8">
        <v>10</v>
      </c>
      <c r="N1309" s="7" t="s">
        <v>2199</v>
      </c>
      <c r="O1309" s="1" t="s">
        <v>3765</v>
      </c>
      <c r="P1309" s="443">
        <f>C463</f>
        <v>3.65</v>
      </c>
      <c r="Q1309" s="7" t="s">
        <v>2199</v>
      </c>
      <c r="R1309" s="8">
        <f t="shared" si="174"/>
        <v>36.5</v>
      </c>
      <c r="S1309"/>
      <c r="T1309" s="3"/>
      <c r="U1309" s="2" t="s">
        <v>378</v>
      </c>
      <c r="V1309" s="6"/>
      <c r="W1309" s="4"/>
      <c r="X1309" s="8">
        <f>SUM(X1301:X1307)</f>
        <v>22632.74</v>
      </c>
      <c r="AE1309" s="52">
        <f t="shared" si="172"/>
        <v>0</v>
      </c>
    </row>
    <row r="1310" spans="6:31" ht="24" customHeight="1">
      <c r="F1310" s="8">
        <v>4.3</v>
      </c>
      <c r="G1310" s="7" t="s">
        <v>739</v>
      </c>
      <c r="H1310" s="1" t="s">
        <v>299</v>
      </c>
      <c r="I1310" s="8">
        <f>(C13)</f>
        <v>461</v>
      </c>
      <c r="J1310" s="1" t="s">
        <v>739</v>
      </c>
      <c r="K1310" s="8">
        <f>(F1310*I1310)</f>
        <v>1982.3</v>
      </c>
      <c r="N1310" s="7" t="s">
        <v>419</v>
      </c>
      <c r="O1310" s="1" t="s">
        <v>1142</v>
      </c>
      <c r="P1310" s="1" t="s">
        <v>940</v>
      </c>
      <c r="Q1310" s="2" t="s">
        <v>419</v>
      </c>
      <c r="R1310" s="8">
        <v>0</v>
      </c>
      <c r="S1310"/>
      <c r="T1310" s="3"/>
      <c r="W1310" s="4"/>
      <c r="X1310" s="5" t="s">
        <v>1530</v>
      </c>
      <c r="AE1310" s="52">
        <f t="shared" si="172"/>
        <v>0</v>
      </c>
    </row>
    <row r="1311" spans="6:31" ht="24" customHeight="1">
      <c r="G1311" s="7" t="s">
        <v>419</v>
      </c>
      <c r="H1311" s="1" t="s">
        <v>420</v>
      </c>
      <c r="J1311" s="1" t="s">
        <v>419</v>
      </c>
      <c r="K1311" s="8">
        <v>0</v>
      </c>
      <c r="N1311" s="3"/>
      <c r="Q1311" s="4"/>
      <c r="R1311" s="5" t="s">
        <v>1530</v>
      </c>
      <c r="S1311"/>
      <c r="T1311" s="3"/>
      <c r="U1311" s="2" t="s">
        <v>382</v>
      </c>
      <c r="W1311" s="4"/>
      <c r="X1311" s="39">
        <f>X1309/10</f>
        <v>2263.27</v>
      </c>
      <c r="AE1311" s="52">
        <f t="shared" si="172"/>
        <v>0</v>
      </c>
    </row>
    <row r="1312" spans="6:31" ht="24" customHeight="1">
      <c r="K1312" s="5" t="s">
        <v>1530</v>
      </c>
      <c r="N1312" s="3"/>
      <c r="O1312" s="1" t="s">
        <v>411</v>
      </c>
      <c r="Q1312" s="4"/>
      <c r="R1312" s="8">
        <f>SUM(R1303:R1310)</f>
        <v>2359.6799999999998</v>
      </c>
      <c r="S1312"/>
      <c r="T1312" s="3"/>
      <c r="U1312" s="1" t="s">
        <v>361</v>
      </c>
      <c r="W1312" s="4">
        <f>X1316+Y1311</f>
        <v>2265.4899999999998</v>
      </c>
      <c r="X1312" s="8">
        <f>X1311+Y1309</f>
        <v>2263.27</v>
      </c>
      <c r="AE1312" s="52">
        <f t="shared" si="172"/>
        <v>0</v>
      </c>
    </row>
    <row r="1313" spans="6:31" ht="24" customHeight="1">
      <c r="H1313" s="1" t="s">
        <v>411</v>
      </c>
      <c r="K1313" s="8">
        <f>SUM(K1306:K1311)</f>
        <v>3942.81</v>
      </c>
      <c r="N1313" s="3"/>
      <c r="Q1313" s="4"/>
      <c r="R1313" s="5" t="s">
        <v>1530</v>
      </c>
      <c r="S1313"/>
      <c r="T1313" s="3"/>
      <c r="U1313" s="1" t="s">
        <v>363</v>
      </c>
      <c r="W1313" s="4">
        <f>W1312+Y1311</f>
        <v>2265.4899999999998</v>
      </c>
      <c r="X1313" s="8">
        <f>X1312+1.11</f>
        <v>2264.38</v>
      </c>
      <c r="AE1313" s="52">
        <f t="shared" si="172"/>
        <v>0</v>
      </c>
    </row>
    <row r="1314" spans="6:31" ht="24" customHeight="1">
      <c r="K1314" s="5" t="s">
        <v>1530</v>
      </c>
      <c r="N1314" s="3"/>
      <c r="O1314" s="34" t="s">
        <v>521</v>
      </c>
      <c r="Q1314" s="4"/>
      <c r="R1314" s="39">
        <f>(R1312/10)</f>
        <v>235.97</v>
      </c>
      <c r="S1314"/>
      <c r="T1314" s="3"/>
      <c r="U1314" s="1" t="s">
        <v>2149</v>
      </c>
      <c r="W1314" s="4"/>
      <c r="X1314" s="8">
        <f>X1313+1.11</f>
        <v>2265.4899999999998</v>
      </c>
      <c r="AE1314" s="52">
        <f t="shared" si="172"/>
        <v>0</v>
      </c>
    </row>
    <row r="1315" spans="6:31" ht="24" customHeight="1">
      <c r="H1315" s="59" t="s">
        <v>521</v>
      </c>
      <c r="K1315" s="39">
        <f>(K1313/10)</f>
        <v>394.28</v>
      </c>
      <c r="M1315" s="1" t="s">
        <v>940</v>
      </c>
      <c r="N1315" s="3"/>
      <c r="Q1315" s="4"/>
      <c r="S1315"/>
      <c r="T1315" s="3"/>
      <c r="U1315" s="1" t="s">
        <v>355</v>
      </c>
      <c r="W1315" s="4"/>
      <c r="X1315" s="8">
        <f>X1314+Y1311</f>
        <v>2265.4899999999998</v>
      </c>
      <c r="AE1315" s="52">
        <f t="shared" si="172"/>
        <v>0</v>
      </c>
    </row>
    <row r="1316" spans="6:31" ht="24" customHeight="1">
      <c r="F1316" s="1" t="s">
        <v>940</v>
      </c>
      <c r="N1316" s="3"/>
      <c r="Q1316" s="4"/>
      <c r="R1316" s="5" t="s">
        <v>1980</v>
      </c>
      <c r="S1316"/>
      <c r="T1316" s="3"/>
      <c r="U1316" s="1" t="s">
        <v>1312</v>
      </c>
      <c r="W1316" s="4"/>
      <c r="X1316" s="8">
        <f>X1315+Y1311</f>
        <v>2265.4899999999998</v>
      </c>
      <c r="AE1316" s="52">
        <f t="shared" si="172"/>
        <v>0</v>
      </c>
    </row>
    <row r="1317" spans="6:31" ht="24" customHeight="1">
      <c r="K1317" s="5" t="s">
        <v>1980</v>
      </c>
      <c r="N1317" s="3"/>
      <c r="Q1317" s="4"/>
      <c r="S1317"/>
      <c r="T1317" s="3"/>
      <c r="W1317" s="4"/>
      <c r="AE1317" s="52">
        <f t="shared" si="172"/>
        <v>0</v>
      </c>
    </row>
    <row r="1318" spans="6:31" ht="24" customHeight="1">
      <c r="F1318" s="2" t="s">
        <v>1871</v>
      </c>
      <c r="G1318" s="7" t="s">
        <v>2167</v>
      </c>
      <c r="H1318" s="34" t="s">
        <v>689</v>
      </c>
      <c r="M1318" s="2" t="s">
        <v>1319</v>
      </c>
      <c r="N1318" s="7" t="s">
        <v>2167</v>
      </c>
      <c r="O1318" s="1" t="s">
        <v>1156</v>
      </c>
      <c r="Q1318" s="4"/>
      <c r="AE1318" s="52">
        <f t="shared" si="172"/>
        <v>0</v>
      </c>
    </row>
    <row r="1319" spans="6:31" ht="24" customHeight="1">
      <c r="H1319" s="1" t="s">
        <v>1872</v>
      </c>
      <c r="N1319" s="3"/>
      <c r="O1319" s="1" t="s">
        <v>1468</v>
      </c>
      <c r="Q1319" s="4"/>
      <c r="S1319" s="31">
        <v>15.1</v>
      </c>
      <c r="T1319" s="7" t="s">
        <v>1700</v>
      </c>
      <c r="U1319" s="1" t="s">
        <v>1158</v>
      </c>
      <c r="W1319" s="4"/>
      <c r="AE1319" s="52">
        <f t="shared" si="172"/>
        <v>0</v>
      </c>
    </row>
    <row r="1320" spans="6:31" ht="24" customHeight="1">
      <c r="H1320" s="1" t="s">
        <v>1873</v>
      </c>
      <c r="N1320" s="3"/>
      <c r="O1320" s="34" t="s">
        <v>1157</v>
      </c>
      <c r="Q1320" s="4"/>
      <c r="S1320"/>
      <c r="T1320" s="3"/>
      <c r="U1320" s="1" t="s">
        <v>2197</v>
      </c>
      <c r="W1320" s="4"/>
      <c r="AE1320" s="52">
        <f t="shared" si="172"/>
        <v>0</v>
      </c>
    </row>
    <row r="1321" spans="6:31" ht="24" customHeight="1">
      <c r="H1321" s="1" t="s">
        <v>726</v>
      </c>
      <c r="N1321" s="3"/>
      <c r="O1321" s="5" t="s">
        <v>1530</v>
      </c>
      <c r="Q1321" s="4"/>
      <c r="S1321" s="8">
        <v>10</v>
      </c>
      <c r="T1321" s="7" t="s">
        <v>2199</v>
      </c>
      <c r="U1321" s="1" t="s">
        <v>4903</v>
      </c>
      <c r="V1321" s="423">
        <f>AB1191</f>
        <v>1720</v>
      </c>
      <c r="W1321" s="2" t="s">
        <v>2199</v>
      </c>
      <c r="X1321" s="8">
        <f>(S1321*V1321)</f>
        <v>17200</v>
      </c>
      <c r="AE1321" s="52">
        <f t="shared" si="172"/>
        <v>0</v>
      </c>
    </row>
    <row r="1322" spans="6:31" ht="24" customHeight="1">
      <c r="H1322" s="1" t="s">
        <v>718</v>
      </c>
      <c r="M1322" s="8">
        <v>1.4</v>
      </c>
      <c r="N1322" s="7" t="s">
        <v>1192</v>
      </c>
      <c r="O1322" s="519" t="s">
        <v>4864</v>
      </c>
      <c r="P1322" s="230">
        <v>292.7</v>
      </c>
      <c r="Q1322" s="2" t="s">
        <v>1192</v>
      </c>
      <c r="R1322" s="8">
        <f>P1322*M1322</f>
        <v>409.78</v>
      </c>
      <c r="S1322" s="8">
        <v>0.21</v>
      </c>
      <c r="T1322" s="7" t="s">
        <v>836</v>
      </c>
      <c r="U1322" s="1" t="s">
        <v>754</v>
      </c>
      <c r="V1322" s="6">
        <f>V1302</f>
        <v>4361.62</v>
      </c>
      <c r="W1322" s="2" t="s">
        <v>836</v>
      </c>
      <c r="X1322" s="8">
        <f t="shared" ref="X1322:X1327" si="175">(S1322*V1322)</f>
        <v>915.94</v>
      </c>
      <c r="AE1322" s="52">
        <f t="shared" si="172"/>
        <v>0</v>
      </c>
    </row>
    <row r="1323" spans="6:31" ht="24" customHeight="1">
      <c r="H1323" s="5" t="s">
        <v>1530</v>
      </c>
      <c r="M1323" s="8">
        <v>0.98</v>
      </c>
      <c r="N1323" s="7" t="s">
        <v>1192</v>
      </c>
      <c r="O1323" s="512" t="s">
        <v>4865</v>
      </c>
      <c r="P1323" s="443">
        <f>C199</f>
        <v>146.1</v>
      </c>
      <c r="Q1323" s="2" t="s">
        <v>1192</v>
      </c>
      <c r="R1323" s="8">
        <f>(M1323*P1323)</f>
        <v>143.18</v>
      </c>
      <c r="S1323" s="8">
        <v>1.1000000000000001</v>
      </c>
      <c r="T1323" s="7" t="s">
        <v>529</v>
      </c>
      <c r="U1323" s="1" t="s">
        <v>530</v>
      </c>
      <c r="V1323" s="423">
        <f t="shared" ref="V1323:V1328" si="176">V1303</f>
        <v>861</v>
      </c>
      <c r="W1323" s="2" t="s">
        <v>1341</v>
      </c>
      <c r="X1323" s="8">
        <f t="shared" si="175"/>
        <v>947.1</v>
      </c>
      <c r="AE1323" s="52">
        <f t="shared" si="172"/>
        <v>0</v>
      </c>
    </row>
    <row r="1324" spans="6:31" ht="24" customHeight="1">
      <c r="F1324" s="8">
        <v>12.8</v>
      </c>
      <c r="G1324" s="7" t="s">
        <v>836</v>
      </c>
      <c r="H1324" s="1" t="s">
        <v>719</v>
      </c>
      <c r="I1324" s="8">
        <f>(C85)</f>
        <v>789.92</v>
      </c>
      <c r="J1324" s="1" t="s">
        <v>836</v>
      </c>
      <c r="K1324" s="8">
        <f>(F1324*I1324)</f>
        <v>10110.98</v>
      </c>
      <c r="M1324" s="8">
        <v>2.2000000000000002</v>
      </c>
      <c r="N1324" s="7" t="s">
        <v>739</v>
      </c>
      <c r="O1324" s="1" t="s">
        <v>1140</v>
      </c>
      <c r="P1324" s="8">
        <f>P1305</f>
        <v>688</v>
      </c>
      <c r="Q1324" s="2" t="s">
        <v>739</v>
      </c>
      <c r="R1324" s="8">
        <f>(M1324*P1324)</f>
        <v>1513.6</v>
      </c>
      <c r="S1324" s="8">
        <v>1.1000000000000001</v>
      </c>
      <c r="T1324" s="7" t="s">
        <v>529</v>
      </c>
      <c r="U1324" s="1" t="s">
        <v>3540</v>
      </c>
      <c r="V1324" s="423">
        <f t="shared" si="176"/>
        <v>804</v>
      </c>
      <c r="W1324" s="2" t="s">
        <v>1341</v>
      </c>
      <c r="X1324" s="8">
        <f t="shared" si="175"/>
        <v>884.4</v>
      </c>
      <c r="AE1324" s="52">
        <f t="shared" si="172"/>
        <v>0</v>
      </c>
    </row>
    <row r="1325" spans="6:31" ht="24" customHeight="1">
      <c r="F1325" s="8">
        <v>5</v>
      </c>
      <c r="G1325" s="7" t="s">
        <v>836</v>
      </c>
      <c r="H1325" s="1" t="s">
        <v>720</v>
      </c>
      <c r="I1325" s="8">
        <f>(C88)</f>
        <v>974</v>
      </c>
      <c r="J1325" s="1" t="s">
        <v>836</v>
      </c>
      <c r="K1325" s="8">
        <f>(F1325*I1325)</f>
        <v>4870</v>
      </c>
      <c r="N1325" s="7" t="s">
        <v>419</v>
      </c>
      <c r="O1325" s="1" t="s">
        <v>1142</v>
      </c>
      <c r="P1325" s="1" t="s">
        <v>940</v>
      </c>
      <c r="Q1325" s="2" t="s">
        <v>419</v>
      </c>
      <c r="R1325" s="8">
        <v>2.5499999999999998</v>
      </c>
      <c r="S1325" s="8">
        <v>2.2000000000000002</v>
      </c>
      <c r="T1325" s="7" t="s">
        <v>529</v>
      </c>
      <c r="U1325" s="1" t="s">
        <v>792</v>
      </c>
      <c r="V1325" s="423">
        <f t="shared" si="176"/>
        <v>562</v>
      </c>
      <c r="W1325" s="2" t="s">
        <v>1341</v>
      </c>
      <c r="X1325" s="8">
        <f t="shared" si="175"/>
        <v>1236.4000000000001</v>
      </c>
      <c r="AE1325" s="52">
        <f t="shared" si="172"/>
        <v>0</v>
      </c>
    </row>
    <row r="1326" spans="6:31" ht="24" customHeight="1">
      <c r="F1326" s="8">
        <v>1.8</v>
      </c>
      <c r="G1326" s="7" t="s">
        <v>739</v>
      </c>
      <c r="H1326" s="1" t="s">
        <v>1938</v>
      </c>
      <c r="I1326" s="8">
        <f>(C10)</f>
        <v>861</v>
      </c>
      <c r="J1326" s="1" t="s">
        <v>739</v>
      </c>
      <c r="K1326" s="8">
        <f>(F1326*I1326)</f>
        <v>1549.8</v>
      </c>
      <c r="N1326" s="3"/>
      <c r="Q1326" s="4"/>
      <c r="R1326" s="5"/>
      <c r="S1326" s="8">
        <v>2.2000000000000002</v>
      </c>
      <c r="T1326" s="7" t="s">
        <v>529</v>
      </c>
      <c r="U1326" s="1" t="s">
        <v>3537</v>
      </c>
      <c r="V1326" s="423">
        <f t="shared" si="176"/>
        <v>461</v>
      </c>
      <c r="W1326" s="2" t="s">
        <v>1341</v>
      </c>
      <c r="X1326" s="8">
        <f t="shared" si="175"/>
        <v>1014.2</v>
      </c>
      <c r="AE1326" s="52">
        <f t="shared" si="172"/>
        <v>0</v>
      </c>
    </row>
    <row r="1327" spans="6:31" ht="24" customHeight="1">
      <c r="F1327" s="8">
        <v>17.7</v>
      </c>
      <c r="G1327" s="7" t="s">
        <v>739</v>
      </c>
      <c r="H1327" s="1" t="s">
        <v>897</v>
      </c>
      <c r="I1327" s="8">
        <f>(C12)</f>
        <v>562</v>
      </c>
      <c r="J1327" s="1" t="s">
        <v>739</v>
      </c>
      <c r="K1327" s="8">
        <f>(F1327*I1327)</f>
        <v>9947.4</v>
      </c>
      <c r="N1327" s="3"/>
      <c r="O1327" s="1" t="s">
        <v>411</v>
      </c>
      <c r="Q1327" s="4"/>
      <c r="R1327" s="8">
        <f>SUM(R1322:R1325)</f>
        <v>2069.11</v>
      </c>
      <c r="S1327" s="8">
        <v>10</v>
      </c>
      <c r="T1327" s="7" t="s">
        <v>419</v>
      </c>
      <c r="U1327" s="1" t="s">
        <v>3538</v>
      </c>
      <c r="V1327" s="423">
        <f t="shared" si="176"/>
        <v>153.47</v>
      </c>
      <c r="W1327" s="2" t="s">
        <v>419</v>
      </c>
      <c r="X1327" s="8">
        <f t="shared" si="175"/>
        <v>1534.7</v>
      </c>
      <c r="AE1327" s="52">
        <f t="shared" si="172"/>
        <v>0</v>
      </c>
    </row>
    <row r="1328" spans="6:31" ht="24" customHeight="1">
      <c r="F1328" s="8">
        <v>14.1</v>
      </c>
      <c r="G1328" s="7" t="s">
        <v>739</v>
      </c>
      <c r="H1328" s="1" t="s">
        <v>299</v>
      </c>
      <c r="I1328" s="8">
        <f>(C13)</f>
        <v>461</v>
      </c>
      <c r="J1328" s="1" t="s">
        <v>739</v>
      </c>
      <c r="K1328" s="8">
        <f>(F1328*I1328)</f>
        <v>6500.1</v>
      </c>
      <c r="N1328" s="3"/>
      <c r="Q1328" s="4"/>
      <c r="R1328" s="5" t="s">
        <v>1530</v>
      </c>
      <c r="S1328"/>
      <c r="T1328" s="3"/>
      <c r="U1328" s="1"/>
      <c r="V1328" s="423">
        <f t="shared" si="176"/>
        <v>0</v>
      </c>
      <c r="W1328" s="4"/>
      <c r="X1328" s="5" t="s">
        <v>1530</v>
      </c>
      <c r="AE1328" s="52">
        <f t="shared" si="172"/>
        <v>0</v>
      </c>
    </row>
    <row r="1329" spans="6:31" ht="24" customHeight="1">
      <c r="G1329" s="7" t="s">
        <v>419</v>
      </c>
      <c r="H1329" s="1" t="s">
        <v>420</v>
      </c>
      <c r="J1329" s="1" t="s">
        <v>419</v>
      </c>
      <c r="K1329" s="8">
        <v>0</v>
      </c>
      <c r="N1329" s="3"/>
      <c r="O1329" s="1" t="s">
        <v>521</v>
      </c>
      <c r="Q1329" s="4"/>
      <c r="R1329" s="39">
        <f>(R1327/10)</f>
        <v>206.91</v>
      </c>
      <c r="S1329">
        <f>R1329-157</f>
        <v>49.91</v>
      </c>
      <c r="T1329" s="3"/>
      <c r="U1329" s="2" t="s">
        <v>378</v>
      </c>
      <c r="W1329" s="4"/>
      <c r="X1329" s="8">
        <f>SUM(X1321:X1327)</f>
        <v>23732.74</v>
      </c>
      <c r="AE1329" s="52">
        <f t="shared" si="172"/>
        <v>0</v>
      </c>
    </row>
    <row r="1330" spans="6:31" ht="24" customHeight="1">
      <c r="K1330" s="5" t="s">
        <v>1530</v>
      </c>
      <c r="M1330" s="1" t="s">
        <v>940</v>
      </c>
      <c r="N1330" s="3"/>
      <c r="Q1330" s="4"/>
      <c r="S1330"/>
      <c r="T1330" s="3"/>
      <c r="W1330" s="4"/>
      <c r="X1330" s="5" t="s">
        <v>1530</v>
      </c>
      <c r="AE1330" s="52">
        <f t="shared" si="172"/>
        <v>0</v>
      </c>
    </row>
    <row r="1331" spans="6:31" ht="24" customHeight="1">
      <c r="H1331" s="1" t="s">
        <v>583</v>
      </c>
      <c r="K1331" s="8">
        <f>SUM(K1324:K1330)</f>
        <v>32978.28</v>
      </c>
      <c r="N1331" s="3"/>
      <c r="Q1331" s="4"/>
      <c r="R1331" s="5" t="s">
        <v>1980</v>
      </c>
      <c r="S1331"/>
      <c r="T1331" s="3"/>
      <c r="U1331" s="2" t="s">
        <v>382</v>
      </c>
      <c r="W1331" s="4"/>
      <c r="X1331" s="39">
        <f>X1329/10</f>
        <v>2373.27</v>
      </c>
      <c r="AE1331" s="52">
        <f t="shared" si="172"/>
        <v>0</v>
      </c>
    </row>
    <row r="1332" spans="6:31" ht="24" customHeight="1">
      <c r="K1332" s="5" t="s">
        <v>1530</v>
      </c>
      <c r="N1332" s="3"/>
      <c r="Q1332" s="4"/>
      <c r="AE1332" s="52">
        <f t="shared" si="172"/>
        <v>0</v>
      </c>
    </row>
    <row r="1333" spans="6:31" ht="24" customHeight="1">
      <c r="H1333" s="59" t="s">
        <v>743</v>
      </c>
      <c r="K1333" s="39">
        <f>(K1331/10)</f>
        <v>3297.83</v>
      </c>
      <c r="M1333" s="31">
        <v>15.1</v>
      </c>
      <c r="N1333" s="7" t="s">
        <v>1700</v>
      </c>
      <c r="O1333" s="1" t="s">
        <v>1158</v>
      </c>
      <c r="Q1333" s="4"/>
      <c r="T1333" s="34" t="s">
        <v>3737</v>
      </c>
      <c r="AE1333" s="52">
        <f t="shared" si="172"/>
        <v>0</v>
      </c>
    </row>
    <row r="1334" spans="6:31" ht="24" customHeight="1">
      <c r="K1334" s="5" t="s">
        <v>1980</v>
      </c>
      <c r="N1334" s="3"/>
      <c r="O1334" s="1" t="s">
        <v>2197</v>
      </c>
      <c r="Q1334" s="4"/>
      <c r="S1334" s="8">
        <v>10</v>
      </c>
      <c r="T1334" s="7" t="s">
        <v>578</v>
      </c>
      <c r="U1334" s="1" t="s">
        <v>4904</v>
      </c>
      <c r="V1334" s="423">
        <v>487</v>
      </c>
      <c r="W1334" s="1" t="s">
        <v>578</v>
      </c>
      <c r="X1334" s="8">
        <f>(S1334*V1334)</f>
        <v>4870</v>
      </c>
      <c r="Z1334">
        <v>9</v>
      </c>
      <c r="AA1334" t="s">
        <v>3563</v>
      </c>
      <c r="AB1334">
        <f>AC47</f>
        <v>968.38</v>
      </c>
      <c r="AC1334">
        <f>AB1334*Z1334</f>
        <v>8715.42</v>
      </c>
      <c r="AE1334" s="52">
        <f t="shared" si="172"/>
        <v>0</v>
      </c>
    </row>
    <row r="1335" spans="6:31" ht="38.25" customHeight="1">
      <c r="M1335" s="8">
        <v>10</v>
      </c>
      <c r="N1335" s="7" t="s">
        <v>2199</v>
      </c>
      <c r="O1335" s="742" t="s">
        <v>4880</v>
      </c>
      <c r="P1335" s="423">
        <v>1610</v>
      </c>
      <c r="Q1335" s="2" t="s">
        <v>2199</v>
      </c>
      <c r="R1335" s="8">
        <f>(M1335*P1335)</f>
        <v>16100</v>
      </c>
      <c r="S1335" s="8">
        <v>0.21</v>
      </c>
      <c r="T1335" s="7" t="s">
        <v>836</v>
      </c>
      <c r="U1335" s="1" t="s">
        <v>1810</v>
      </c>
      <c r="V1335" s="8">
        <f>P1336</f>
        <v>4361.62</v>
      </c>
      <c r="W1335" s="1" t="s">
        <v>836</v>
      </c>
      <c r="X1335" s="8">
        <f>(S1335*V1335)</f>
        <v>915.94</v>
      </c>
      <c r="Z1335">
        <v>4.5</v>
      </c>
      <c r="AA1335" s="1" t="s">
        <v>388</v>
      </c>
      <c r="AB1335">
        <f>K23</f>
        <v>5792.02</v>
      </c>
      <c r="AC1335">
        <f>AB1335*Z1335</f>
        <v>26064.09</v>
      </c>
      <c r="AE1335" s="52">
        <f t="shared" si="172"/>
        <v>0</v>
      </c>
    </row>
    <row r="1336" spans="6:31" ht="24" customHeight="1">
      <c r="G1336" s="7" t="s">
        <v>643</v>
      </c>
      <c r="H1336" s="1" t="s">
        <v>721</v>
      </c>
      <c r="M1336" s="8">
        <v>0.12</v>
      </c>
      <c r="N1336" s="7" t="s">
        <v>836</v>
      </c>
      <c r="O1336" s="1" t="s">
        <v>754</v>
      </c>
      <c r="P1336" s="8">
        <f>K32</f>
        <v>4361.62</v>
      </c>
      <c r="Q1336" s="2" t="s">
        <v>836</v>
      </c>
      <c r="R1336" s="8">
        <f>(M1336*P1336)</f>
        <v>523.39</v>
      </c>
      <c r="S1336">
        <v>10</v>
      </c>
      <c r="T1336" s="3"/>
      <c r="U1336" s="1" t="s">
        <v>3738</v>
      </c>
      <c r="V1336" s="6">
        <f>K1347</f>
        <v>273.14</v>
      </c>
      <c r="W1336" s="11"/>
      <c r="X1336" s="8">
        <f>(S1336*V1336)</f>
        <v>2731.4</v>
      </c>
      <c r="Z1336">
        <v>1.8</v>
      </c>
      <c r="AA1336" s="1" t="s">
        <v>1654</v>
      </c>
      <c r="AB1336">
        <f>V1338</f>
        <v>804</v>
      </c>
      <c r="AC1336">
        <f>AB1336*Z1336</f>
        <v>1447.2</v>
      </c>
      <c r="AE1336" s="52">
        <f t="shared" si="172"/>
        <v>0</v>
      </c>
    </row>
    <row r="1337" spans="6:31" ht="31.5" customHeight="1">
      <c r="H1337" s="1" t="s">
        <v>722</v>
      </c>
      <c r="M1337" s="8">
        <v>1</v>
      </c>
      <c r="N1337" s="7" t="s">
        <v>529</v>
      </c>
      <c r="O1337" s="1" t="s">
        <v>530</v>
      </c>
      <c r="P1337" s="8">
        <f>I1308</f>
        <v>861</v>
      </c>
      <c r="Q1337" s="2" t="s">
        <v>1341</v>
      </c>
      <c r="R1337" s="8">
        <f>(M1337*P1337)</f>
        <v>861</v>
      </c>
      <c r="S1337" s="8">
        <v>1.1000000000000001</v>
      </c>
      <c r="T1337" s="457" t="s">
        <v>739</v>
      </c>
      <c r="U1337" s="1" t="s">
        <v>1938</v>
      </c>
      <c r="V1337" s="8">
        <f>AE9</f>
        <v>861</v>
      </c>
      <c r="W1337" s="2" t="s">
        <v>739</v>
      </c>
      <c r="X1337" s="8">
        <f t="shared" ref="X1337:X1344" si="177">S1337*V1337</f>
        <v>947.1</v>
      </c>
      <c r="Z1337">
        <v>17.7</v>
      </c>
      <c r="AA1337" s="1" t="s">
        <v>1836</v>
      </c>
      <c r="AB1337">
        <f>V1339</f>
        <v>562</v>
      </c>
      <c r="AC1337">
        <f>AB1337*Z1337</f>
        <v>9947.4</v>
      </c>
      <c r="AE1337" s="52">
        <f t="shared" si="172"/>
        <v>0</v>
      </c>
    </row>
    <row r="1338" spans="6:31" ht="38.25" customHeight="1">
      <c r="H1338" s="5" t="s">
        <v>1530</v>
      </c>
      <c r="L1338">
        <f>SUM(K1358:K1363)</f>
        <v>7175.54</v>
      </c>
      <c r="M1338" s="8">
        <v>1</v>
      </c>
      <c r="N1338" s="7" t="s">
        <v>529</v>
      </c>
      <c r="O1338" s="1" t="s">
        <v>792</v>
      </c>
      <c r="P1338" s="8">
        <f>I1309</f>
        <v>562</v>
      </c>
      <c r="Q1338" s="2" t="s">
        <v>1341</v>
      </c>
      <c r="R1338" s="8">
        <f>(M1338*P1338)</f>
        <v>562</v>
      </c>
      <c r="S1338" s="8">
        <v>2.1</v>
      </c>
      <c r="T1338" s="457" t="s">
        <v>739</v>
      </c>
      <c r="U1338" s="1" t="s">
        <v>1654</v>
      </c>
      <c r="V1338" s="8">
        <f>AE10</f>
        <v>804</v>
      </c>
      <c r="W1338" s="2" t="s">
        <v>739</v>
      </c>
      <c r="X1338" s="8">
        <f t="shared" si="177"/>
        <v>1688.4</v>
      </c>
      <c r="Z1338">
        <v>14.1</v>
      </c>
      <c r="AA1338" s="1" t="s">
        <v>299</v>
      </c>
      <c r="AB1338">
        <f>V1340</f>
        <v>461</v>
      </c>
      <c r="AC1338">
        <f>AB1338*Z1338</f>
        <v>6500.1</v>
      </c>
      <c r="AE1338" s="52">
        <f t="shared" si="172"/>
        <v>0</v>
      </c>
    </row>
    <row r="1339" spans="6:31" ht="24" customHeight="1">
      <c r="F1339" s="8">
        <v>0.04</v>
      </c>
      <c r="G1339" s="7" t="s">
        <v>836</v>
      </c>
      <c r="H1339" s="1" t="s">
        <v>723</v>
      </c>
      <c r="I1339" s="8">
        <f>(K32)</f>
        <v>4361.62</v>
      </c>
      <c r="J1339" s="1" t="s">
        <v>836</v>
      </c>
      <c r="K1339" s="8">
        <f>(F1339*I1339)</f>
        <v>174.46</v>
      </c>
      <c r="N1339" s="7" t="s">
        <v>419</v>
      </c>
      <c r="O1339" s="1" t="s">
        <v>58</v>
      </c>
      <c r="Q1339" s="2" t="s">
        <v>419</v>
      </c>
      <c r="R1339" s="8">
        <v>0.33</v>
      </c>
      <c r="S1339" s="8">
        <v>2.2000000000000002</v>
      </c>
      <c r="T1339" s="457" t="s">
        <v>739</v>
      </c>
      <c r="U1339" s="1" t="s">
        <v>1836</v>
      </c>
      <c r="V1339" s="8">
        <f>AE11</f>
        <v>562</v>
      </c>
      <c r="W1339" s="2" t="s">
        <v>739</v>
      </c>
      <c r="X1339" s="8">
        <f t="shared" si="177"/>
        <v>1236.4000000000001</v>
      </c>
      <c r="AC1339">
        <f>SUM(AC1334:AC1338)</f>
        <v>52674.21</v>
      </c>
      <c r="AE1339" s="52">
        <f t="shared" si="172"/>
        <v>0</v>
      </c>
    </row>
    <row r="1340" spans="6:31" ht="24" customHeight="1">
      <c r="F1340" s="8">
        <v>2.2000000000000002</v>
      </c>
      <c r="G1340" s="7" t="s">
        <v>739</v>
      </c>
      <c r="H1340" s="1" t="s">
        <v>1654</v>
      </c>
      <c r="I1340" s="8">
        <f>(C11)</f>
        <v>804</v>
      </c>
      <c r="J1340" s="1" t="s">
        <v>739</v>
      </c>
      <c r="K1340" s="8">
        <f>(F1340*I1340)</f>
        <v>1768.8</v>
      </c>
      <c r="L1340">
        <f>SUM(K1358:K1363)</f>
        <v>7175.54</v>
      </c>
      <c r="N1340" s="3"/>
      <c r="O1340" s="1" t="s">
        <v>894</v>
      </c>
      <c r="Q1340" s="4"/>
      <c r="R1340" s="5" t="s">
        <v>1530</v>
      </c>
      <c r="S1340" s="8">
        <v>1.1000000000000001</v>
      </c>
      <c r="T1340" s="457" t="s">
        <v>739</v>
      </c>
      <c r="U1340" s="1" t="s">
        <v>299</v>
      </c>
      <c r="V1340" s="8">
        <f>AE12</f>
        <v>461</v>
      </c>
      <c r="W1340" s="2" t="s">
        <v>739</v>
      </c>
      <c r="X1340" s="8">
        <f t="shared" si="177"/>
        <v>507.1</v>
      </c>
      <c r="AC1340">
        <f>AC1339/10</f>
        <v>5267.42</v>
      </c>
      <c r="AE1340" s="52">
        <f t="shared" si="172"/>
        <v>0</v>
      </c>
    </row>
    <row r="1341" spans="6:31" ht="24" customHeight="1">
      <c r="F1341" s="8">
        <v>0.5</v>
      </c>
      <c r="G1341" s="7" t="s">
        <v>739</v>
      </c>
      <c r="H1341" s="1" t="s">
        <v>1836</v>
      </c>
      <c r="I1341" s="8">
        <f>(C12)</f>
        <v>562</v>
      </c>
      <c r="J1341" s="1" t="s">
        <v>739</v>
      </c>
      <c r="K1341" s="8">
        <f>(F1341*I1341)</f>
        <v>281</v>
      </c>
      <c r="N1341" s="3"/>
      <c r="O1341" s="2" t="s">
        <v>378</v>
      </c>
      <c r="Q1341" s="4"/>
      <c r="R1341" s="8">
        <f>SUM(R1335:R1339)</f>
        <v>18046.72</v>
      </c>
      <c r="S1341" s="13">
        <v>6.5</v>
      </c>
      <c r="T1341" s="457" t="s">
        <v>1591</v>
      </c>
      <c r="U1341" s="1" t="s">
        <v>3564</v>
      </c>
      <c r="V1341" s="443">
        <v>17.18</v>
      </c>
      <c r="W1341" s="2" t="s">
        <v>828</v>
      </c>
      <c r="X1341" s="8">
        <f t="shared" si="177"/>
        <v>111.67</v>
      </c>
      <c r="AE1341" s="52">
        <f t="shared" si="172"/>
        <v>0</v>
      </c>
    </row>
    <row r="1342" spans="6:31" ht="24" customHeight="1">
      <c r="F1342" s="8">
        <v>1.1000000000000001</v>
      </c>
      <c r="G1342" s="7" t="s">
        <v>739</v>
      </c>
      <c r="H1342" s="1" t="s">
        <v>299</v>
      </c>
      <c r="I1342" s="8">
        <f>(C13)</f>
        <v>461</v>
      </c>
      <c r="J1342" s="1" t="s">
        <v>739</v>
      </c>
      <c r="K1342" s="8">
        <f>(F1342*I1342)</f>
        <v>507.1</v>
      </c>
      <c r="N1342" s="3"/>
      <c r="Q1342" s="4"/>
      <c r="R1342" s="5" t="s">
        <v>1530</v>
      </c>
      <c r="S1342" s="13">
        <v>3</v>
      </c>
      <c r="T1342" s="457" t="s">
        <v>1591</v>
      </c>
      <c r="U1342" s="1" t="s">
        <v>3651</v>
      </c>
      <c r="V1342" s="443">
        <f>C613</f>
        <v>27</v>
      </c>
      <c r="W1342" s="2" t="s">
        <v>1591</v>
      </c>
      <c r="X1342" s="8">
        <f t="shared" si="177"/>
        <v>81</v>
      </c>
      <c r="AE1342" s="52">
        <f t="shared" si="172"/>
        <v>0</v>
      </c>
    </row>
    <row r="1343" spans="6:31" ht="24" customHeight="1">
      <c r="G1343" s="7" t="s">
        <v>419</v>
      </c>
      <c r="H1343" s="1" t="s">
        <v>420</v>
      </c>
      <c r="J1343" s="1" t="s">
        <v>419</v>
      </c>
      <c r="K1343" s="8">
        <v>0</v>
      </c>
      <c r="N1343" s="3"/>
      <c r="O1343" s="2" t="s">
        <v>382</v>
      </c>
      <c r="Q1343" s="4"/>
      <c r="R1343" s="39">
        <f>R1341/10</f>
        <v>1804.67</v>
      </c>
      <c r="S1343" s="8">
        <v>2.15</v>
      </c>
      <c r="T1343" s="457" t="s">
        <v>739</v>
      </c>
      <c r="U1343" s="1" t="s">
        <v>3565</v>
      </c>
      <c r="V1343" s="443">
        <v>45.8</v>
      </c>
      <c r="W1343" s="2" t="s">
        <v>739</v>
      </c>
      <c r="X1343" s="8">
        <f t="shared" si="177"/>
        <v>98.47</v>
      </c>
      <c r="AE1343" s="52">
        <f t="shared" si="172"/>
        <v>0</v>
      </c>
    </row>
    <row r="1344" spans="6:31" ht="24" customHeight="1">
      <c r="K1344" s="5" t="s">
        <v>1530</v>
      </c>
      <c r="N1344" s="3"/>
      <c r="O1344" s="1" t="s">
        <v>361</v>
      </c>
      <c r="Q1344" s="4">
        <f>R1348+S1305</f>
        <v>1813.7</v>
      </c>
      <c r="R1344" s="8">
        <f>R1343+S1302</f>
        <v>1804.88</v>
      </c>
      <c r="S1344" s="122">
        <v>0.4</v>
      </c>
      <c r="T1344" s="527" t="s">
        <v>739</v>
      </c>
      <c r="U1344" s="120" t="s">
        <v>3661</v>
      </c>
      <c r="V1344" s="122">
        <f>AC1340</f>
        <v>5267.42</v>
      </c>
      <c r="W1344" s="118" t="s">
        <v>739</v>
      </c>
      <c r="X1344" s="8">
        <f t="shared" si="177"/>
        <v>2106.9699999999998</v>
      </c>
      <c r="AE1344" s="52">
        <f t="shared" si="172"/>
        <v>0</v>
      </c>
    </row>
    <row r="1345" spans="6:31" ht="24" customHeight="1">
      <c r="H1345" s="1" t="s">
        <v>411</v>
      </c>
      <c r="K1345" s="8">
        <f>SUM(K1339:K1343)</f>
        <v>2731.36</v>
      </c>
      <c r="N1345" s="3"/>
      <c r="O1345" s="1" t="s">
        <v>363</v>
      </c>
      <c r="Q1345" s="4">
        <f>Q1344+S1305</f>
        <v>1815.9</v>
      </c>
      <c r="R1345" s="8">
        <f>R1344+1.11</f>
        <v>1805.99</v>
      </c>
      <c r="S1345" s="8"/>
      <c r="T1345" s="457"/>
      <c r="U1345" s="1"/>
      <c r="V1345" s="8"/>
      <c r="W1345" s="2" t="s">
        <v>739</v>
      </c>
      <c r="X1345" s="8">
        <f>(S1345*V1345)</f>
        <v>0</v>
      </c>
      <c r="AE1345" s="52">
        <f t="shared" si="172"/>
        <v>0</v>
      </c>
    </row>
    <row r="1346" spans="6:31" ht="24" customHeight="1">
      <c r="K1346" s="5" t="s">
        <v>1530</v>
      </c>
      <c r="N1346" s="3"/>
      <c r="O1346" s="1" t="s">
        <v>2149</v>
      </c>
      <c r="Q1346" s="4"/>
      <c r="R1346" s="8">
        <f>R1345+1.11</f>
        <v>1807.1</v>
      </c>
      <c r="S1346"/>
      <c r="T1346" s="457" t="s">
        <v>419</v>
      </c>
      <c r="U1346" s="1" t="s">
        <v>420</v>
      </c>
      <c r="V1346" s="8"/>
      <c r="W1346" s="2" t="s">
        <v>419</v>
      </c>
      <c r="X1346" s="8">
        <v>0.39</v>
      </c>
      <c r="AE1346" s="52">
        <f t="shared" si="172"/>
        <v>0</v>
      </c>
    </row>
    <row r="1347" spans="6:31" ht="24" customHeight="1">
      <c r="H1347" s="59" t="s">
        <v>521</v>
      </c>
      <c r="K1347" s="39">
        <f>(K1345/10)</f>
        <v>273.14</v>
      </c>
      <c r="N1347" s="3"/>
      <c r="O1347" s="1" t="s">
        <v>355</v>
      </c>
      <c r="Q1347" s="4"/>
      <c r="R1347" s="8">
        <f>R1346+S1305</f>
        <v>1809.3</v>
      </c>
      <c r="S1347"/>
      <c r="T1347" s="458"/>
      <c r="W1347" s="4"/>
      <c r="X1347" s="5" t="s">
        <v>1530</v>
      </c>
      <c r="AE1347" s="52">
        <f t="shared" si="172"/>
        <v>0</v>
      </c>
    </row>
    <row r="1348" spans="6:31" ht="24" customHeight="1">
      <c r="K1348" s="5" t="s">
        <v>1980</v>
      </c>
      <c r="N1348" s="3"/>
      <c r="O1348" s="1" t="s">
        <v>1312</v>
      </c>
      <c r="Q1348" s="4"/>
      <c r="R1348" s="8">
        <f>R1347+S1305</f>
        <v>1811.5</v>
      </c>
      <c r="S1348"/>
      <c r="T1348" s="458"/>
      <c r="U1348" s="1" t="s">
        <v>411</v>
      </c>
      <c r="W1348" s="4"/>
      <c r="X1348" s="8">
        <f>SUM(X1334:X1347)</f>
        <v>15294.84</v>
      </c>
      <c r="Y1348">
        <f>15091</f>
        <v>15091</v>
      </c>
      <c r="AE1348" s="52">
        <f t="shared" si="172"/>
        <v>0</v>
      </c>
    </row>
    <row r="1349" spans="6:31" ht="24" customHeight="1">
      <c r="N1349" s="3"/>
      <c r="Q1349" s="4"/>
      <c r="S1349"/>
      <c r="T1349" s="458"/>
      <c r="W1349" s="4"/>
      <c r="X1349" s="5" t="s">
        <v>1530</v>
      </c>
      <c r="Y1349">
        <f>Y1348-X1348</f>
        <v>-203.84</v>
      </c>
      <c r="AE1349" s="52">
        <f t="shared" si="172"/>
        <v>0</v>
      </c>
    </row>
    <row r="1350" spans="6:31" ht="24" customHeight="1">
      <c r="F1350" s="25">
        <v>32.1</v>
      </c>
      <c r="G1350" s="7" t="s">
        <v>2167</v>
      </c>
      <c r="H1350" s="1" t="s">
        <v>724</v>
      </c>
      <c r="N1350" s="3"/>
      <c r="Q1350" s="11"/>
      <c r="S1350"/>
      <c r="T1350" s="458"/>
      <c r="U1350" s="1" t="s">
        <v>521</v>
      </c>
      <c r="W1350" s="4"/>
      <c r="X1350" s="39">
        <f>(X1348/10)</f>
        <v>1529.48</v>
      </c>
      <c r="Y1350">
        <f>0.8-0.77</f>
        <v>0.03</v>
      </c>
      <c r="AE1350" s="52">
        <f t="shared" si="172"/>
        <v>0</v>
      </c>
    </row>
    <row r="1351" spans="6:31" ht="24" customHeight="1">
      <c r="H1351" s="1" t="s">
        <v>1426</v>
      </c>
      <c r="N1351" s="3"/>
      <c r="Q1351" s="11"/>
      <c r="S1351"/>
      <c r="T1351" s="458"/>
      <c r="W1351" s="4"/>
      <c r="X1351" s="5" t="s">
        <v>1980</v>
      </c>
      <c r="AE1351" s="52">
        <f t="shared" si="172"/>
        <v>0</v>
      </c>
    </row>
    <row r="1352" spans="6:31" ht="24" customHeight="1">
      <c r="H1352" s="1" t="s">
        <v>651</v>
      </c>
      <c r="N1352" s="3"/>
      <c r="Q1352" s="11"/>
      <c r="AE1352" s="52">
        <f t="shared" si="172"/>
        <v>0</v>
      </c>
    </row>
    <row r="1353" spans="6:31" ht="24" customHeight="1">
      <c r="H1353" s="1" t="s">
        <v>1899</v>
      </c>
      <c r="N1353" s="3"/>
      <c r="Q1353" s="11"/>
      <c r="Y1353" s="16">
        <v>3.02</v>
      </c>
      <c r="Z1353" s="7" t="s">
        <v>876</v>
      </c>
      <c r="AA1353" s="1" t="s">
        <v>1788</v>
      </c>
      <c r="AB1353" s="8">
        <f t="shared" ref="AB1353:AB1364" si="178">V1355</f>
        <v>301</v>
      </c>
      <c r="AC1353" s="7" t="s">
        <v>876</v>
      </c>
      <c r="AD1353" s="8">
        <f t="shared" ref="AD1353:AD1364" si="179">AB1353*Y1353</f>
        <v>909.02</v>
      </c>
      <c r="AE1353" s="52">
        <f t="shared" si="172"/>
        <v>0</v>
      </c>
    </row>
    <row r="1354" spans="6:31" ht="24" customHeight="1">
      <c r="H1354" s="1" t="s">
        <v>1245</v>
      </c>
      <c r="N1354" s="3"/>
      <c r="O1354" t="s">
        <v>1159</v>
      </c>
      <c r="Q1354" s="4"/>
      <c r="T1354" s="3"/>
      <c r="U1354" s="218" t="s">
        <v>3431</v>
      </c>
      <c r="W1354" s="11"/>
      <c r="Y1354" s="16">
        <v>2.19</v>
      </c>
      <c r="Z1354" s="7" t="s">
        <v>876</v>
      </c>
      <c r="AA1354" s="1" t="s">
        <v>1788</v>
      </c>
      <c r="AB1354" s="8">
        <f t="shared" si="178"/>
        <v>301</v>
      </c>
      <c r="AC1354" s="7" t="s">
        <v>876</v>
      </c>
      <c r="AD1354" s="8">
        <f t="shared" si="179"/>
        <v>659.19</v>
      </c>
      <c r="AE1354" s="52">
        <f t="shared" si="172"/>
        <v>0</v>
      </c>
    </row>
    <row r="1355" spans="6:31" ht="24" customHeight="1">
      <c r="H1355" s="5" t="s">
        <v>1530</v>
      </c>
      <c r="N1355" s="3"/>
      <c r="Q1355" s="4"/>
      <c r="S1355" s="13">
        <v>3.72</v>
      </c>
      <c r="T1355" s="7" t="s">
        <v>876</v>
      </c>
      <c r="U1355" s="1" t="s">
        <v>1788</v>
      </c>
      <c r="V1355" s="8">
        <f>P1394</f>
        <v>301</v>
      </c>
      <c r="W1355" s="7" t="s">
        <v>876</v>
      </c>
      <c r="X1355" s="8">
        <f>V1355*S1355</f>
        <v>1119.72</v>
      </c>
      <c r="Y1355" s="16">
        <v>4.96</v>
      </c>
      <c r="Z1355" s="7" t="s">
        <v>876</v>
      </c>
      <c r="AA1355" s="1" t="s">
        <v>1788</v>
      </c>
      <c r="AB1355" s="8">
        <f t="shared" si="178"/>
        <v>301</v>
      </c>
      <c r="AC1355" s="7" t="s">
        <v>876</v>
      </c>
      <c r="AD1355" s="8">
        <f t="shared" si="179"/>
        <v>1492.96</v>
      </c>
      <c r="AE1355" s="52">
        <f t="shared" si="172"/>
        <v>0</v>
      </c>
    </row>
    <row r="1356" spans="6:31" ht="24" customHeight="1">
      <c r="F1356" s="8">
        <v>190</v>
      </c>
      <c r="G1356" s="7" t="s">
        <v>1807</v>
      </c>
      <c r="H1356" s="1" t="s">
        <v>3780</v>
      </c>
      <c r="I1356" s="8">
        <f>(C86)</f>
        <v>16106</v>
      </c>
      <c r="J1356" s="1" t="s">
        <v>1424</v>
      </c>
      <c r="K1356" s="8">
        <f>(F1356*I1356)/1000</f>
        <v>3060.14</v>
      </c>
      <c r="M1356">
        <v>70</v>
      </c>
      <c r="N1356" s="3" t="s">
        <v>794</v>
      </c>
      <c r="O1356" s="520" t="s">
        <v>4881</v>
      </c>
      <c r="P1356" s="435">
        <v>33</v>
      </c>
      <c r="Q1356" s="4" t="s">
        <v>794</v>
      </c>
      <c r="R1356">
        <f>P1356*M1356</f>
        <v>2310</v>
      </c>
      <c r="S1356" s="13">
        <v>3.87</v>
      </c>
      <c r="T1356" s="7" t="s">
        <v>876</v>
      </c>
      <c r="U1356" s="1" t="s">
        <v>1788</v>
      </c>
      <c r="V1356" s="8">
        <f t="shared" ref="V1356:V1366" si="180">P1395</f>
        <v>301</v>
      </c>
      <c r="W1356" s="7" t="s">
        <v>876</v>
      </c>
      <c r="X1356" s="8">
        <f t="shared" ref="X1356:X1366" si="181">V1356*S1356</f>
        <v>1164.8699999999999</v>
      </c>
      <c r="Y1356" s="16">
        <v>0.85</v>
      </c>
      <c r="Z1356" s="7" t="s">
        <v>876</v>
      </c>
      <c r="AA1356" s="1" t="s">
        <v>1788</v>
      </c>
      <c r="AB1356" s="8">
        <f t="shared" si="178"/>
        <v>301</v>
      </c>
      <c r="AC1356" s="7" t="s">
        <v>876</v>
      </c>
      <c r="AD1356" s="8">
        <f t="shared" si="179"/>
        <v>255.85</v>
      </c>
      <c r="AE1356" s="52">
        <f t="shared" si="172"/>
        <v>0</v>
      </c>
    </row>
    <row r="1357" spans="6:31" ht="24" customHeight="1">
      <c r="F1357" s="8">
        <v>0.12</v>
      </c>
      <c r="G1357" s="7" t="s">
        <v>836</v>
      </c>
      <c r="H1357" s="1" t="s">
        <v>1810</v>
      </c>
      <c r="I1357" s="8">
        <f>(K32)</f>
        <v>4361.62</v>
      </c>
      <c r="J1357" s="1" t="s">
        <v>836</v>
      </c>
      <c r="K1357" s="7">
        <f t="shared" ref="K1357:K1363" si="182">(F1357*I1357)</f>
        <v>523.39</v>
      </c>
      <c r="N1357" s="3"/>
      <c r="Q1357" s="4"/>
      <c r="S1357" s="13">
        <v>7.46</v>
      </c>
      <c r="T1357" s="7" t="s">
        <v>876</v>
      </c>
      <c r="U1357" s="1" t="s">
        <v>1788</v>
      </c>
      <c r="V1357" s="8">
        <f t="shared" si="180"/>
        <v>301</v>
      </c>
      <c r="W1357" s="7" t="s">
        <v>876</v>
      </c>
      <c r="X1357" s="8">
        <f t="shared" si="181"/>
        <v>2245.46</v>
      </c>
      <c r="Y1357" s="16">
        <v>0.73199999999999998</v>
      </c>
      <c r="Z1357" s="7" t="s">
        <v>222</v>
      </c>
      <c r="AA1357" s="1" t="s">
        <v>1789</v>
      </c>
      <c r="AB1357" s="8">
        <f>V1359</f>
        <v>303.89999999999998</v>
      </c>
      <c r="AC1357" s="7" t="s">
        <v>222</v>
      </c>
      <c r="AD1357" s="8">
        <f t="shared" si="179"/>
        <v>222.45</v>
      </c>
      <c r="AE1357" s="52">
        <f t="shared" ref="AE1357:AE1420" si="183">AG1357</f>
        <v>0</v>
      </c>
    </row>
    <row r="1358" spans="6:31" ht="24" customHeight="1">
      <c r="F1358" s="8">
        <v>10</v>
      </c>
      <c r="G1358" s="7" t="s">
        <v>578</v>
      </c>
      <c r="H1358" s="1" t="s">
        <v>1247</v>
      </c>
      <c r="I1358" s="8">
        <f>(K1347)</f>
        <v>273.14</v>
      </c>
      <c r="J1358" s="1" t="s">
        <v>578</v>
      </c>
      <c r="K1358" s="7">
        <f t="shared" si="182"/>
        <v>2731.4</v>
      </c>
      <c r="M1358">
        <v>0.3</v>
      </c>
      <c r="N1358" s="3" t="s">
        <v>2070</v>
      </c>
      <c r="O1358" s="520" t="s">
        <v>4882</v>
      </c>
      <c r="P1358" s="435">
        <v>17600</v>
      </c>
      <c r="Q1358" s="4" t="s">
        <v>2070</v>
      </c>
      <c r="R1358">
        <f>P1358*M1358</f>
        <v>5280</v>
      </c>
      <c r="S1358" s="13">
        <v>1.28</v>
      </c>
      <c r="T1358" s="7" t="s">
        <v>876</v>
      </c>
      <c r="U1358" s="1" t="s">
        <v>1788</v>
      </c>
      <c r="V1358" s="8">
        <f t="shared" si="180"/>
        <v>301</v>
      </c>
      <c r="W1358" s="7" t="s">
        <v>876</v>
      </c>
      <c r="X1358" s="8">
        <f t="shared" si="181"/>
        <v>385.28</v>
      </c>
      <c r="Y1358" s="16">
        <v>6.8719999999999999</v>
      </c>
      <c r="Z1358" s="7" t="s">
        <v>794</v>
      </c>
      <c r="AA1358" s="1" t="s">
        <v>1790</v>
      </c>
      <c r="AB1358" s="8">
        <f t="shared" si="178"/>
        <v>28.8</v>
      </c>
      <c r="AC1358" s="7" t="s">
        <v>794</v>
      </c>
      <c r="AD1358" s="8">
        <f t="shared" si="179"/>
        <v>197.91</v>
      </c>
      <c r="AE1358" s="52">
        <f t="shared" si="183"/>
        <v>0</v>
      </c>
    </row>
    <row r="1359" spans="6:31" ht="24" customHeight="1">
      <c r="F1359" s="13">
        <v>1.54</v>
      </c>
      <c r="G1359" s="7" t="s">
        <v>1591</v>
      </c>
      <c r="H1359" s="1" t="s">
        <v>929</v>
      </c>
      <c r="I1359" s="64">
        <f>C656</f>
        <v>42.3</v>
      </c>
      <c r="J1359" s="1" t="s">
        <v>1591</v>
      </c>
      <c r="K1359" s="8">
        <f t="shared" si="182"/>
        <v>65.14</v>
      </c>
      <c r="N1359" s="3"/>
      <c r="Q1359" s="4"/>
      <c r="S1359" s="13">
        <v>1.107</v>
      </c>
      <c r="T1359" s="7" t="s">
        <v>222</v>
      </c>
      <c r="U1359" s="1" t="s">
        <v>1789</v>
      </c>
      <c r="V1359" s="8">
        <f t="shared" si="180"/>
        <v>303.89999999999998</v>
      </c>
      <c r="W1359" s="7" t="s">
        <v>222</v>
      </c>
      <c r="X1359" s="8">
        <f t="shared" si="181"/>
        <v>336.42</v>
      </c>
      <c r="Y1359" s="16">
        <v>8</v>
      </c>
      <c r="Z1359" s="7" t="s">
        <v>739</v>
      </c>
      <c r="AA1359" s="1" t="s">
        <v>1791</v>
      </c>
      <c r="AB1359" s="8">
        <f t="shared" si="178"/>
        <v>66.599999999999994</v>
      </c>
      <c r="AC1359" s="7" t="s">
        <v>739</v>
      </c>
      <c r="AD1359" s="8">
        <f t="shared" si="179"/>
        <v>532.79999999999995</v>
      </c>
      <c r="AE1359" s="52">
        <f t="shared" si="183"/>
        <v>0</v>
      </c>
    </row>
    <row r="1360" spans="6:31" ht="24" customHeight="1">
      <c r="F1360" s="8">
        <v>1.1000000000000001</v>
      </c>
      <c r="G1360" s="7" t="s">
        <v>739</v>
      </c>
      <c r="H1360" s="1" t="s">
        <v>1938</v>
      </c>
      <c r="I1360" s="8">
        <f>(C10)</f>
        <v>861</v>
      </c>
      <c r="J1360" s="1" t="s">
        <v>739</v>
      </c>
      <c r="K1360" s="8">
        <f t="shared" si="182"/>
        <v>947.1</v>
      </c>
      <c r="N1360" s="3"/>
      <c r="O1360" t="s">
        <v>1160</v>
      </c>
      <c r="Q1360" s="4"/>
      <c r="R1360">
        <f>SUM(R1356:R1358)</f>
        <v>7590</v>
      </c>
      <c r="S1360" s="13">
        <v>10.343999999999999</v>
      </c>
      <c r="T1360" s="7" t="s">
        <v>794</v>
      </c>
      <c r="U1360" s="1" t="s">
        <v>1790</v>
      </c>
      <c r="V1360" s="8">
        <f t="shared" si="180"/>
        <v>28.8</v>
      </c>
      <c r="W1360" s="7" t="s">
        <v>794</v>
      </c>
      <c r="X1360" s="8">
        <f t="shared" si="181"/>
        <v>297.91000000000003</v>
      </c>
      <c r="Y1360" s="16">
        <v>4</v>
      </c>
      <c r="Z1360" s="7" t="s">
        <v>739</v>
      </c>
      <c r="AA1360" s="1" t="s">
        <v>1792</v>
      </c>
      <c r="AB1360" s="8">
        <f t="shared" si="178"/>
        <v>53.4</v>
      </c>
      <c r="AC1360" s="7" t="s">
        <v>739</v>
      </c>
      <c r="AD1360" s="8">
        <f t="shared" si="179"/>
        <v>213.6</v>
      </c>
      <c r="AE1360" s="52">
        <f t="shared" si="183"/>
        <v>0</v>
      </c>
    </row>
    <row r="1361" spans="6:31" ht="24" customHeight="1">
      <c r="F1361" s="8">
        <v>2.1</v>
      </c>
      <c r="G1361" s="7" t="s">
        <v>739</v>
      </c>
      <c r="H1361" s="1" t="s">
        <v>1654</v>
      </c>
      <c r="I1361" s="8">
        <f>(C11)</f>
        <v>804</v>
      </c>
      <c r="J1361" s="1" t="s">
        <v>739</v>
      </c>
      <c r="K1361" s="8">
        <f t="shared" si="182"/>
        <v>1688.4</v>
      </c>
      <c r="N1361" s="3"/>
      <c r="O1361" s="92" t="s">
        <v>1161</v>
      </c>
      <c r="Q1361" s="4"/>
      <c r="R1361" s="37">
        <f>R1360/10</f>
        <v>759</v>
      </c>
      <c r="S1361" s="13">
        <v>12</v>
      </c>
      <c r="T1361" s="7" t="s">
        <v>739</v>
      </c>
      <c r="U1361" s="1" t="s">
        <v>3937</v>
      </c>
      <c r="V1361" s="8">
        <f t="shared" si="180"/>
        <v>66.599999999999994</v>
      </c>
      <c r="W1361" s="7" t="s">
        <v>739</v>
      </c>
      <c r="X1361" s="8">
        <f t="shared" si="181"/>
        <v>799.2</v>
      </c>
      <c r="Y1361" s="16">
        <v>4</v>
      </c>
      <c r="Z1361" s="7" t="s">
        <v>739</v>
      </c>
      <c r="AA1361" s="1" t="s">
        <v>1793</v>
      </c>
      <c r="AB1361" s="8">
        <f t="shared" si="178"/>
        <v>30</v>
      </c>
      <c r="AC1361" s="7" t="s">
        <v>739</v>
      </c>
      <c r="AD1361" s="8">
        <f t="shared" si="179"/>
        <v>120</v>
      </c>
      <c r="AE1361" s="52">
        <f t="shared" si="183"/>
        <v>0</v>
      </c>
    </row>
    <row r="1362" spans="6:31" ht="24" customHeight="1">
      <c r="F1362" s="8">
        <v>2.2000000000000002</v>
      </c>
      <c r="G1362" s="7" t="s">
        <v>739</v>
      </c>
      <c r="H1362" s="1" t="s">
        <v>1836</v>
      </c>
      <c r="I1362" s="8">
        <f>(C12)</f>
        <v>562</v>
      </c>
      <c r="J1362" s="1" t="s">
        <v>739</v>
      </c>
      <c r="K1362" s="8">
        <f t="shared" si="182"/>
        <v>1236.4000000000001</v>
      </c>
      <c r="N1362" s="3"/>
      <c r="Q1362" s="4"/>
      <c r="S1362" s="13">
        <v>6</v>
      </c>
      <c r="T1362" s="7" t="s">
        <v>739</v>
      </c>
      <c r="U1362" s="1" t="s">
        <v>1792</v>
      </c>
      <c r="V1362" s="8">
        <f t="shared" si="180"/>
        <v>53.4</v>
      </c>
      <c r="W1362" s="7" t="s">
        <v>739</v>
      </c>
      <c r="X1362" s="8">
        <f t="shared" si="181"/>
        <v>320.39999999999998</v>
      </c>
      <c r="Y1362" s="16">
        <v>4</v>
      </c>
      <c r="Z1362" s="7" t="s">
        <v>739</v>
      </c>
      <c r="AA1362" s="1" t="s">
        <v>1794</v>
      </c>
      <c r="AB1362" s="8">
        <f t="shared" si="178"/>
        <v>20</v>
      </c>
      <c r="AC1362" s="7" t="s">
        <v>739</v>
      </c>
      <c r="AD1362" s="8">
        <f t="shared" si="179"/>
        <v>80</v>
      </c>
      <c r="AE1362" s="52">
        <f t="shared" si="183"/>
        <v>0</v>
      </c>
    </row>
    <row r="1363" spans="6:31" ht="24" customHeight="1">
      <c r="F1363" s="8">
        <v>1.1000000000000001</v>
      </c>
      <c r="G1363" s="7" t="s">
        <v>739</v>
      </c>
      <c r="H1363" s="1" t="s">
        <v>299</v>
      </c>
      <c r="I1363" s="8">
        <f>(C13)</f>
        <v>461</v>
      </c>
      <c r="J1363" s="1" t="s">
        <v>739</v>
      </c>
      <c r="K1363" s="8">
        <f t="shared" si="182"/>
        <v>507.1</v>
      </c>
      <c r="M1363">
        <v>2</v>
      </c>
      <c r="N1363" s="3" t="s">
        <v>1375</v>
      </c>
      <c r="O1363" t="s">
        <v>326</v>
      </c>
      <c r="P1363">
        <f>C12</f>
        <v>562</v>
      </c>
      <c r="Q1363" s="4" t="s">
        <v>1656</v>
      </c>
      <c r="R1363">
        <f>P1363*M1363</f>
        <v>1124</v>
      </c>
      <c r="S1363" s="13">
        <v>6</v>
      </c>
      <c r="T1363" s="7" t="s">
        <v>739</v>
      </c>
      <c r="U1363" s="1" t="s">
        <v>1793</v>
      </c>
      <c r="V1363" s="8">
        <f t="shared" si="180"/>
        <v>30</v>
      </c>
      <c r="W1363" s="7" t="s">
        <v>739</v>
      </c>
      <c r="X1363" s="8">
        <f t="shared" si="181"/>
        <v>180</v>
      </c>
      <c r="Y1363" s="16">
        <v>4</v>
      </c>
      <c r="Z1363" s="7" t="s">
        <v>739</v>
      </c>
      <c r="AA1363" s="1" t="s">
        <v>1795</v>
      </c>
      <c r="AB1363" s="8">
        <f t="shared" si="178"/>
        <v>15</v>
      </c>
      <c r="AC1363" s="7" t="s">
        <v>739</v>
      </c>
      <c r="AD1363" s="8">
        <f t="shared" si="179"/>
        <v>60</v>
      </c>
      <c r="AE1363" s="52">
        <f t="shared" si="183"/>
        <v>0</v>
      </c>
    </row>
    <row r="1364" spans="6:31" ht="24" customHeight="1">
      <c r="G1364" s="7" t="s">
        <v>419</v>
      </c>
      <c r="H1364" s="1" t="s">
        <v>420</v>
      </c>
      <c r="J1364" s="1" t="s">
        <v>419</v>
      </c>
      <c r="K1364" s="8">
        <v>0</v>
      </c>
      <c r="N1364" s="3"/>
      <c r="Q1364" s="4"/>
      <c r="S1364" s="13">
        <v>6</v>
      </c>
      <c r="T1364" s="7" t="s">
        <v>739</v>
      </c>
      <c r="U1364" s="1" t="s">
        <v>1794</v>
      </c>
      <c r="V1364" s="8">
        <f t="shared" si="180"/>
        <v>20</v>
      </c>
      <c r="W1364" s="7" t="s">
        <v>739</v>
      </c>
      <c r="X1364" s="8">
        <f t="shared" si="181"/>
        <v>120</v>
      </c>
      <c r="Y1364" s="16">
        <v>0.94499999999999995</v>
      </c>
      <c r="Z1364" s="7" t="s">
        <v>2199</v>
      </c>
      <c r="AA1364" s="1" t="s">
        <v>1796</v>
      </c>
      <c r="AB1364" s="8">
        <f t="shared" si="178"/>
        <v>1724</v>
      </c>
      <c r="AC1364" s="7" t="s">
        <v>2199</v>
      </c>
      <c r="AD1364" s="8">
        <f t="shared" si="179"/>
        <v>1629.18</v>
      </c>
      <c r="AE1364" s="52">
        <f t="shared" si="183"/>
        <v>0</v>
      </c>
    </row>
    <row r="1365" spans="6:31" ht="24" customHeight="1">
      <c r="K1365" s="5" t="s">
        <v>1530</v>
      </c>
      <c r="N1365" s="3"/>
      <c r="O1365" t="s">
        <v>1162</v>
      </c>
      <c r="P1365" t="s">
        <v>625</v>
      </c>
      <c r="Q1365" s="4"/>
      <c r="R1365">
        <v>11.5</v>
      </c>
      <c r="S1365" s="13">
        <v>4</v>
      </c>
      <c r="T1365" s="7" t="s">
        <v>739</v>
      </c>
      <c r="U1365" s="1" t="s">
        <v>1795</v>
      </c>
      <c r="V1365" s="8">
        <f t="shared" si="180"/>
        <v>15</v>
      </c>
      <c r="W1365" s="7" t="s">
        <v>739</v>
      </c>
      <c r="X1365" s="8">
        <f t="shared" si="181"/>
        <v>60</v>
      </c>
      <c r="Z1365" s="3"/>
      <c r="AA1365" s="1" t="s">
        <v>1797</v>
      </c>
      <c r="AC1365" s="4"/>
      <c r="AD1365" s="8">
        <v>0.81</v>
      </c>
      <c r="AE1365" s="52">
        <f t="shared" si="183"/>
        <v>0</v>
      </c>
    </row>
    <row r="1366" spans="6:31" ht="24" customHeight="1">
      <c r="H1366" s="1" t="s">
        <v>411</v>
      </c>
      <c r="K1366" s="8">
        <f>SUM(K1356:K1364)</f>
        <v>10759.07</v>
      </c>
      <c r="N1366" s="3"/>
      <c r="O1366" s="92" t="s">
        <v>1163</v>
      </c>
      <c r="Q1366" s="4"/>
      <c r="R1366">
        <f>SUM(R1361:R1365)</f>
        <v>1894.5</v>
      </c>
      <c r="S1366" s="13">
        <v>1.4179999999999999</v>
      </c>
      <c r="T1366" s="7" t="s">
        <v>2199</v>
      </c>
      <c r="U1366" s="1" t="s">
        <v>1796</v>
      </c>
      <c r="V1366" s="8">
        <f t="shared" si="180"/>
        <v>1724</v>
      </c>
      <c r="W1366" s="7" t="s">
        <v>2199</v>
      </c>
      <c r="X1366" s="8">
        <f t="shared" si="181"/>
        <v>2444.63</v>
      </c>
      <c r="AA1366" s="42" t="s">
        <v>3490</v>
      </c>
      <c r="AD1366" s="39">
        <f>SUM(AD1353:AD1365)</f>
        <v>6373.77</v>
      </c>
      <c r="AE1366" s="52">
        <f t="shared" si="183"/>
        <v>0</v>
      </c>
    </row>
    <row r="1367" spans="6:31" ht="24" customHeight="1">
      <c r="K1367" s="5" t="s">
        <v>1530</v>
      </c>
      <c r="N1367" s="3"/>
      <c r="Q1367" s="4"/>
      <c r="T1367" s="3"/>
      <c r="U1367" s="1" t="s">
        <v>1797</v>
      </c>
      <c r="W1367" s="4"/>
      <c r="X1367" s="8"/>
      <c r="AE1367" s="52">
        <f t="shared" si="183"/>
        <v>0</v>
      </c>
    </row>
    <row r="1368" spans="6:31" ht="24" customHeight="1">
      <c r="H1368" s="59" t="s">
        <v>521</v>
      </c>
      <c r="K1368" s="39">
        <f>(K1366/10)</f>
        <v>1075.9100000000001</v>
      </c>
      <c r="N1368" s="3"/>
      <c r="O1368" s="92" t="s">
        <v>1164</v>
      </c>
      <c r="Q1368" s="4"/>
      <c r="R1368" s="37">
        <f>R1366/6</f>
        <v>315.75</v>
      </c>
      <c r="U1368" s="42" t="s">
        <v>3490</v>
      </c>
      <c r="X1368" s="39">
        <f>SUM(X1355:X1367)</f>
        <v>9473.89</v>
      </c>
      <c r="AE1368" s="52">
        <f t="shared" si="183"/>
        <v>0</v>
      </c>
    </row>
    <row r="1369" spans="6:31" ht="24" customHeight="1">
      <c r="K1369" s="5" t="s">
        <v>1980</v>
      </c>
      <c r="N1369" s="3"/>
      <c r="Q1369" s="4"/>
      <c r="Z1369" s="3"/>
      <c r="AA1369" s="218" t="s">
        <v>3427</v>
      </c>
      <c r="AC1369" s="11"/>
      <c r="AE1369" s="52">
        <f t="shared" si="183"/>
        <v>0</v>
      </c>
    </row>
    <row r="1370" spans="6:31" ht="24" customHeight="1">
      <c r="K1370" s="5"/>
      <c r="N1370" s="3"/>
      <c r="Q1370" s="11"/>
      <c r="Y1370" s="16">
        <v>3.72</v>
      </c>
      <c r="Z1370" s="7" t="s">
        <v>876</v>
      </c>
      <c r="AA1370" s="1" t="s">
        <v>1788</v>
      </c>
      <c r="AB1370" s="8">
        <f>AB1353</f>
        <v>301</v>
      </c>
      <c r="AC1370" s="7" t="s">
        <v>876</v>
      </c>
      <c r="AD1370" s="8">
        <f t="shared" ref="AD1370:AD1381" si="184">AB1370*Y1370</f>
        <v>1119.72</v>
      </c>
      <c r="AE1370" s="52">
        <f t="shared" si="183"/>
        <v>0</v>
      </c>
    </row>
    <row r="1371" spans="6:31" ht="24" customHeight="1">
      <c r="K1371" s="5"/>
      <c r="M1371" s="25">
        <v>29.5</v>
      </c>
      <c r="N1371" s="7" t="s">
        <v>2167</v>
      </c>
      <c r="O1371" s="1" t="s">
        <v>1165</v>
      </c>
      <c r="Q1371" s="4"/>
      <c r="T1371" s="3"/>
      <c r="U1371" s="218" t="s">
        <v>3426</v>
      </c>
      <c r="W1371" s="11"/>
      <c r="Y1371" s="16">
        <v>2.69</v>
      </c>
      <c r="Z1371" s="7" t="s">
        <v>876</v>
      </c>
      <c r="AA1371" s="1" t="s">
        <v>1788</v>
      </c>
      <c r="AB1371" s="8">
        <f t="shared" ref="AB1371:AB1381" si="185">AB1354</f>
        <v>301</v>
      </c>
      <c r="AC1371" s="7" t="s">
        <v>876</v>
      </c>
      <c r="AD1371" s="8">
        <f t="shared" si="184"/>
        <v>809.69</v>
      </c>
      <c r="AE1371" s="52">
        <f t="shared" si="183"/>
        <v>0</v>
      </c>
    </row>
    <row r="1372" spans="6:31" ht="24" customHeight="1">
      <c r="F1372" s="25">
        <v>32.200000000000003</v>
      </c>
      <c r="G1372" s="7" t="s">
        <v>2167</v>
      </c>
      <c r="H1372" s="1" t="s">
        <v>724</v>
      </c>
      <c r="K1372" s="5"/>
      <c r="N1372" s="3"/>
      <c r="O1372" s="1" t="s">
        <v>825</v>
      </c>
      <c r="Q1372" s="4"/>
      <c r="S1372" s="13">
        <v>3.49</v>
      </c>
      <c r="T1372" s="7" t="s">
        <v>876</v>
      </c>
      <c r="U1372" s="1" t="s">
        <v>1788</v>
      </c>
      <c r="V1372" s="8">
        <f>P1411</f>
        <v>301</v>
      </c>
      <c r="W1372" s="7" t="s">
        <v>876</v>
      </c>
      <c r="X1372" s="8">
        <f>V1372*S1372</f>
        <v>1050.49</v>
      </c>
      <c r="Y1372" s="16">
        <v>6.15</v>
      </c>
      <c r="Z1372" s="7" t="s">
        <v>876</v>
      </c>
      <c r="AA1372" s="1" t="s">
        <v>1788</v>
      </c>
      <c r="AB1372" s="8">
        <f t="shared" si="185"/>
        <v>301</v>
      </c>
      <c r="AC1372" s="7" t="s">
        <v>876</v>
      </c>
      <c r="AD1372" s="8">
        <f t="shared" si="184"/>
        <v>1851.15</v>
      </c>
      <c r="AE1372" s="52">
        <f t="shared" si="183"/>
        <v>0</v>
      </c>
    </row>
    <row r="1373" spans="6:31" ht="24" customHeight="1">
      <c r="H1373" s="1" t="s">
        <v>1426</v>
      </c>
      <c r="K1373" s="5"/>
      <c r="N1373" s="3"/>
      <c r="O1373" s="1" t="s">
        <v>1869</v>
      </c>
      <c r="Q1373" s="4"/>
      <c r="S1373" s="13">
        <v>2.5299999999999998</v>
      </c>
      <c r="T1373" s="7" t="s">
        <v>876</v>
      </c>
      <c r="U1373" s="1" t="s">
        <v>1788</v>
      </c>
      <c r="V1373" s="8">
        <f t="shared" ref="V1373:V1383" si="186">P1412</f>
        <v>301</v>
      </c>
      <c r="W1373" s="7" t="s">
        <v>876</v>
      </c>
      <c r="X1373" s="8">
        <f t="shared" ref="X1373:X1383" si="187">V1373*S1373</f>
        <v>761.53</v>
      </c>
      <c r="Y1373" s="16">
        <v>1.07</v>
      </c>
      <c r="Z1373" s="7" t="s">
        <v>876</v>
      </c>
      <c r="AA1373" s="1" t="s">
        <v>1788</v>
      </c>
      <c r="AB1373" s="8">
        <f t="shared" si="185"/>
        <v>301</v>
      </c>
      <c r="AC1373" s="7" t="s">
        <v>876</v>
      </c>
      <c r="AD1373" s="8">
        <f t="shared" si="184"/>
        <v>322.07</v>
      </c>
      <c r="AE1373" s="52">
        <f t="shared" si="183"/>
        <v>0</v>
      </c>
    </row>
    <row r="1374" spans="6:31" ht="24" customHeight="1">
      <c r="H1374" s="1" t="s">
        <v>651</v>
      </c>
      <c r="K1374" s="5"/>
      <c r="N1374" s="3"/>
      <c r="O1374" s="5" t="s">
        <v>1530</v>
      </c>
      <c r="P1374" s="5" t="s">
        <v>1530</v>
      </c>
      <c r="Q1374" s="4"/>
      <c r="R1374" s="8"/>
      <c r="S1374" s="13">
        <v>5.75</v>
      </c>
      <c r="T1374" s="7" t="s">
        <v>876</v>
      </c>
      <c r="U1374" s="1" t="s">
        <v>1788</v>
      </c>
      <c r="V1374" s="8">
        <f t="shared" si="186"/>
        <v>301</v>
      </c>
      <c r="W1374" s="7" t="s">
        <v>876</v>
      </c>
      <c r="X1374" s="8">
        <f t="shared" si="187"/>
        <v>1730.75</v>
      </c>
      <c r="Y1374" s="16">
        <v>1.153</v>
      </c>
      <c r="Z1374" s="7" t="s">
        <v>222</v>
      </c>
      <c r="AA1374" s="1" t="s">
        <v>1789</v>
      </c>
      <c r="AB1374" s="8">
        <f t="shared" si="185"/>
        <v>303.89999999999998</v>
      </c>
      <c r="AC1374" s="7" t="s">
        <v>222</v>
      </c>
      <c r="AD1374" s="8">
        <f t="shared" si="184"/>
        <v>350.4</v>
      </c>
      <c r="AE1374" s="52">
        <f t="shared" si="183"/>
        <v>0</v>
      </c>
    </row>
    <row r="1375" spans="6:31" ht="24" customHeight="1">
      <c r="H1375" s="1" t="s">
        <v>1899</v>
      </c>
      <c r="K1375" s="5"/>
      <c r="M1375" s="8">
        <v>10</v>
      </c>
      <c r="N1375" s="7" t="s">
        <v>578</v>
      </c>
      <c r="O1375" s="1" t="s">
        <v>1166</v>
      </c>
      <c r="P1375" s="6">
        <f>P1335</f>
        <v>1610</v>
      </c>
      <c r="Q1375" s="2" t="s">
        <v>578</v>
      </c>
      <c r="R1375" s="8">
        <f>M1375*P1375</f>
        <v>16100</v>
      </c>
      <c r="S1375" s="13">
        <v>1</v>
      </c>
      <c r="T1375" s="7" t="s">
        <v>876</v>
      </c>
      <c r="U1375" s="1" t="s">
        <v>1788</v>
      </c>
      <c r="V1375" s="8">
        <f t="shared" si="186"/>
        <v>301</v>
      </c>
      <c r="W1375" s="7" t="s">
        <v>876</v>
      </c>
      <c r="X1375" s="8">
        <f t="shared" si="187"/>
        <v>301</v>
      </c>
      <c r="Y1375" s="16">
        <v>8.6720000000000006</v>
      </c>
      <c r="Z1375" s="7" t="s">
        <v>794</v>
      </c>
      <c r="AA1375" s="1" t="s">
        <v>1790</v>
      </c>
      <c r="AB1375" s="8">
        <f t="shared" si="185"/>
        <v>28.8</v>
      </c>
      <c r="AC1375" s="7" t="s">
        <v>794</v>
      </c>
      <c r="AD1375" s="8">
        <f t="shared" si="184"/>
        <v>249.75</v>
      </c>
      <c r="AE1375" s="52">
        <f t="shared" si="183"/>
        <v>0</v>
      </c>
    </row>
    <row r="1376" spans="6:31" ht="24" customHeight="1">
      <c r="H1376" s="1" t="s">
        <v>1245</v>
      </c>
      <c r="K1376" s="5"/>
      <c r="M1376" s="8">
        <v>0.21</v>
      </c>
      <c r="N1376" s="7" t="s">
        <v>836</v>
      </c>
      <c r="O1376" s="1" t="s">
        <v>1810</v>
      </c>
      <c r="P1376" s="8">
        <f>P1336</f>
        <v>4361.62</v>
      </c>
      <c r="Q1376" s="2" t="s">
        <v>836</v>
      </c>
      <c r="R1376" s="8">
        <f>(M1376*P1376)</f>
        <v>915.94</v>
      </c>
      <c r="S1376" s="13">
        <v>0.96699999999999997</v>
      </c>
      <c r="T1376" s="7" t="s">
        <v>222</v>
      </c>
      <c r="U1376" s="1" t="s">
        <v>1789</v>
      </c>
      <c r="V1376" s="8">
        <f t="shared" si="186"/>
        <v>303.89999999999998</v>
      </c>
      <c r="W1376" s="7" t="s">
        <v>222</v>
      </c>
      <c r="X1376" s="8">
        <f t="shared" si="187"/>
        <v>293.87</v>
      </c>
      <c r="Y1376" s="16">
        <v>8</v>
      </c>
      <c r="Z1376" s="7" t="s">
        <v>739</v>
      </c>
      <c r="AA1376" s="1" t="s">
        <v>1791</v>
      </c>
      <c r="AB1376" s="8">
        <f t="shared" si="185"/>
        <v>66.599999999999994</v>
      </c>
      <c r="AC1376" s="7" t="s">
        <v>739</v>
      </c>
      <c r="AD1376" s="8">
        <f t="shared" si="184"/>
        <v>532.79999999999995</v>
      </c>
      <c r="AE1376" s="52">
        <f t="shared" si="183"/>
        <v>0</v>
      </c>
    </row>
    <row r="1377" spans="6:31" ht="24" customHeight="1">
      <c r="H1377" s="5" t="s">
        <v>1530</v>
      </c>
      <c r="K1377" s="5"/>
      <c r="N1377" s="3"/>
      <c r="O1377" s="1" t="s">
        <v>1811</v>
      </c>
      <c r="P1377" s="1" t="s">
        <v>940</v>
      </c>
      <c r="Q1377" s="4"/>
      <c r="R1377" s="1" t="s">
        <v>940</v>
      </c>
      <c r="S1377" s="13">
        <v>8.0719999999999992</v>
      </c>
      <c r="T1377" s="7" t="s">
        <v>794</v>
      </c>
      <c r="U1377" s="1" t="s">
        <v>1790</v>
      </c>
      <c r="V1377" s="8">
        <f t="shared" si="186"/>
        <v>28.8</v>
      </c>
      <c r="W1377" s="7" t="s">
        <v>794</v>
      </c>
      <c r="X1377" s="8">
        <f t="shared" si="187"/>
        <v>232.47</v>
      </c>
      <c r="Y1377" s="16">
        <v>4</v>
      </c>
      <c r="Z1377" s="7" t="s">
        <v>739</v>
      </c>
      <c r="AA1377" s="1" t="s">
        <v>1792</v>
      </c>
      <c r="AB1377" s="8">
        <f t="shared" si="185"/>
        <v>53.4</v>
      </c>
      <c r="AC1377" s="7" t="s">
        <v>739</v>
      </c>
      <c r="AD1377" s="8">
        <f t="shared" si="184"/>
        <v>213.6</v>
      </c>
      <c r="AE1377" s="52">
        <f t="shared" si="183"/>
        <v>0</v>
      </c>
    </row>
    <row r="1378" spans="6:31" ht="24" customHeight="1">
      <c r="F1378" s="8">
        <v>190</v>
      </c>
      <c r="G1378" s="7" t="s">
        <v>1807</v>
      </c>
      <c r="H1378" s="1" t="s">
        <v>1513</v>
      </c>
      <c r="I1378" s="623">
        <f>E86</f>
        <v>8710</v>
      </c>
      <c r="J1378" s="1" t="s">
        <v>1424</v>
      </c>
      <c r="K1378" s="8">
        <f>(F1378*I1378)/1000</f>
        <v>1654.9</v>
      </c>
      <c r="M1378" s="8">
        <v>1.1000000000000001</v>
      </c>
      <c r="N1378" s="7" t="s">
        <v>739</v>
      </c>
      <c r="O1378" s="1" t="s">
        <v>1938</v>
      </c>
      <c r="P1378" s="8">
        <f>AE9</f>
        <v>861</v>
      </c>
      <c r="Q1378" s="2" t="s">
        <v>739</v>
      </c>
      <c r="R1378" s="8">
        <f>(M1378*P1378)</f>
        <v>947.1</v>
      </c>
      <c r="S1378" s="13">
        <v>8</v>
      </c>
      <c r="T1378" s="7" t="s">
        <v>739</v>
      </c>
      <c r="U1378" s="1" t="s">
        <v>1791</v>
      </c>
      <c r="V1378" s="8">
        <f t="shared" si="186"/>
        <v>66.599999999999994</v>
      </c>
      <c r="W1378" s="7" t="s">
        <v>739</v>
      </c>
      <c r="X1378" s="8">
        <f t="shared" si="187"/>
        <v>532.79999999999995</v>
      </c>
      <c r="Y1378" s="16">
        <v>4</v>
      </c>
      <c r="Z1378" s="7" t="s">
        <v>739</v>
      </c>
      <c r="AA1378" s="1" t="s">
        <v>1793</v>
      </c>
      <c r="AB1378" s="8">
        <f t="shared" si="185"/>
        <v>30</v>
      </c>
      <c r="AC1378" s="7" t="s">
        <v>739</v>
      </c>
      <c r="AD1378" s="8">
        <f t="shared" si="184"/>
        <v>120</v>
      </c>
      <c r="AE1378" s="52">
        <f t="shared" si="183"/>
        <v>0</v>
      </c>
    </row>
    <row r="1379" spans="6:31" ht="24" customHeight="1">
      <c r="F1379" s="8">
        <v>0.12</v>
      </c>
      <c r="G1379" s="7" t="s">
        <v>836</v>
      </c>
      <c r="H1379" s="1" t="s">
        <v>1810</v>
      </c>
      <c r="I1379">
        <f>K32</f>
        <v>4361.62</v>
      </c>
      <c r="J1379" s="1" t="s">
        <v>836</v>
      </c>
      <c r="K1379" s="8">
        <f t="shared" ref="K1379:K1385" si="188">(F1379*I1379)</f>
        <v>523.39</v>
      </c>
      <c r="M1379" s="8">
        <v>1.1000000000000001</v>
      </c>
      <c r="N1379" s="7" t="s">
        <v>739</v>
      </c>
      <c r="O1379" s="1" t="s">
        <v>1654</v>
      </c>
      <c r="P1379" s="8">
        <f>AE10</f>
        <v>804</v>
      </c>
      <c r="Q1379" s="2" t="s">
        <v>739</v>
      </c>
      <c r="R1379" s="8">
        <f>(M1379*P1379)</f>
        <v>884.4</v>
      </c>
      <c r="S1379" s="13">
        <v>4</v>
      </c>
      <c r="T1379" s="7" t="s">
        <v>739</v>
      </c>
      <c r="U1379" s="1" t="s">
        <v>1792</v>
      </c>
      <c r="V1379" s="8">
        <f t="shared" si="186"/>
        <v>53.4</v>
      </c>
      <c r="W1379" s="7" t="s">
        <v>739</v>
      </c>
      <c r="X1379" s="8">
        <f t="shared" si="187"/>
        <v>213.6</v>
      </c>
      <c r="Y1379" s="16">
        <v>4</v>
      </c>
      <c r="Z1379" s="7" t="s">
        <v>739</v>
      </c>
      <c r="AA1379" s="1" t="s">
        <v>1794</v>
      </c>
      <c r="AB1379" s="8">
        <f t="shared" si="185"/>
        <v>20</v>
      </c>
      <c r="AC1379" s="7" t="s">
        <v>739</v>
      </c>
      <c r="AD1379" s="8">
        <f t="shared" si="184"/>
        <v>80</v>
      </c>
      <c r="AE1379" s="52">
        <f t="shared" si="183"/>
        <v>0</v>
      </c>
    </row>
    <row r="1380" spans="6:31" ht="24" customHeight="1">
      <c r="F1380" s="8">
        <v>10</v>
      </c>
      <c r="G1380" s="7" t="s">
        <v>578</v>
      </c>
      <c r="H1380" s="1" t="s">
        <v>1247</v>
      </c>
      <c r="I1380">
        <f>K1347</f>
        <v>273.14</v>
      </c>
      <c r="J1380" s="1" t="s">
        <v>578</v>
      </c>
      <c r="K1380" s="8">
        <f t="shared" si="188"/>
        <v>2731.4</v>
      </c>
      <c r="M1380" s="8">
        <v>2.2000000000000002</v>
      </c>
      <c r="N1380" s="7" t="s">
        <v>739</v>
      </c>
      <c r="O1380" s="1" t="s">
        <v>1836</v>
      </c>
      <c r="P1380" s="8">
        <f>AE11</f>
        <v>562</v>
      </c>
      <c r="Q1380" s="2" t="s">
        <v>739</v>
      </c>
      <c r="R1380" s="8">
        <f>(M1380*P1380)</f>
        <v>1236.4000000000001</v>
      </c>
      <c r="S1380" s="13">
        <v>4</v>
      </c>
      <c r="T1380" s="7" t="s">
        <v>739</v>
      </c>
      <c r="U1380" s="1" t="s">
        <v>1793</v>
      </c>
      <c r="V1380" s="8">
        <f t="shared" si="186"/>
        <v>30</v>
      </c>
      <c r="W1380" s="7" t="s">
        <v>739</v>
      </c>
      <c r="X1380" s="8">
        <f t="shared" si="187"/>
        <v>120</v>
      </c>
      <c r="Y1380" s="16">
        <v>4</v>
      </c>
      <c r="Z1380" s="7" t="s">
        <v>739</v>
      </c>
      <c r="AA1380" s="1" t="s">
        <v>1795</v>
      </c>
      <c r="AB1380" s="8">
        <f t="shared" si="185"/>
        <v>15</v>
      </c>
      <c r="AC1380" s="7" t="s">
        <v>739</v>
      </c>
      <c r="AD1380" s="8">
        <f t="shared" si="184"/>
        <v>60</v>
      </c>
      <c r="AE1380" s="52">
        <f t="shared" si="183"/>
        <v>0</v>
      </c>
    </row>
    <row r="1381" spans="6:31" ht="24" customHeight="1">
      <c r="F1381" s="8">
        <v>5.8</v>
      </c>
      <c r="G1381" s="7" t="s">
        <v>1591</v>
      </c>
      <c r="H1381" s="1" t="s">
        <v>929</v>
      </c>
      <c r="I1381">
        <f>C656</f>
        <v>42.3</v>
      </c>
      <c r="J1381" s="1" t="s">
        <v>1591</v>
      </c>
      <c r="K1381" s="8">
        <f t="shared" si="188"/>
        <v>245.34</v>
      </c>
      <c r="M1381" s="8">
        <v>2.2000000000000002</v>
      </c>
      <c r="N1381" s="7" t="s">
        <v>739</v>
      </c>
      <c r="O1381" s="1" t="s">
        <v>299</v>
      </c>
      <c r="P1381" s="8">
        <f>AE12</f>
        <v>461</v>
      </c>
      <c r="Q1381" s="2" t="s">
        <v>739</v>
      </c>
      <c r="R1381" s="8">
        <f>(M1381*P1381)</f>
        <v>1014.2</v>
      </c>
      <c r="S1381" s="13">
        <v>4</v>
      </c>
      <c r="T1381" s="7" t="s">
        <v>739</v>
      </c>
      <c r="U1381" s="1" t="s">
        <v>1794</v>
      </c>
      <c r="V1381" s="8">
        <f t="shared" si="186"/>
        <v>20</v>
      </c>
      <c r="W1381" s="7" t="s">
        <v>739</v>
      </c>
      <c r="X1381" s="8">
        <f t="shared" si="187"/>
        <v>80</v>
      </c>
      <c r="Y1381" s="16">
        <v>1.42</v>
      </c>
      <c r="Z1381" s="7" t="s">
        <v>2199</v>
      </c>
      <c r="AA1381" s="1" t="s">
        <v>1796</v>
      </c>
      <c r="AB1381" s="8">
        <f t="shared" si="185"/>
        <v>1724</v>
      </c>
      <c r="AC1381" s="7" t="s">
        <v>2199</v>
      </c>
      <c r="AD1381" s="8">
        <f t="shared" si="184"/>
        <v>2448.08</v>
      </c>
      <c r="AE1381" s="52">
        <f t="shared" si="183"/>
        <v>0</v>
      </c>
    </row>
    <row r="1382" spans="6:31" ht="24" customHeight="1">
      <c r="F1382" s="8">
        <v>1.1000000000000001</v>
      </c>
      <c r="G1382" s="7" t="s">
        <v>739</v>
      </c>
      <c r="H1382" s="1" t="s">
        <v>1938</v>
      </c>
      <c r="I1382">
        <f>C10</f>
        <v>861</v>
      </c>
      <c r="J1382" s="1" t="s">
        <v>739</v>
      </c>
      <c r="K1382" s="8">
        <f t="shared" si="188"/>
        <v>947.1</v>
      </c>
      <c r="M1382" s="13">
        <v>20</v>
      </c>
      <c r="N1382" s="7" t="s">
        <v>1591</v>
      </c>
      <c r="O1382" s="1" t="s">
        <v>829</v>
      </c>
      <c r="P1382" s="8">
        <f>AC31</f>
        <v>5960</v>
      </c>
      <c r="Q1382" s="2" t="s">
        <v>828</v>
      </c>
      <c r="R1382" s="8">
        <f>(M1382*P1382)/1000</f>
        <v>119.2</v>
      </c>
      <c r="S1382" s="13">
        <v>4</v>
      </c>
      <c r="T1382" s="7" t="s">
        <v>739</v>
      </c>
      <c r="U1382" s="1" t="s">
        <v>1795</v>
      </c>
      <c r="V1382" s="8">
        <f t="shared" si="186"/>
        <v>15</v>
      </c>
      <c r="W1382" s="7" t="s">
        <v>739</v>
      </c>
      <c r="X1382" s="8">
        <f t="shared" si="187"/>
        <v>60</v>
      </c>
      <c r="Z1382" s="3"/>
      <c r="AA1382" s="1" t="s">
        <v>1797</v>
      </c>
      <c r="AC1382" s="4"/>
      <c r="AD1382" s="8">
        <v>0.85</v>
      </c>
      <c r="AE1382" s="52">
        <f t="shared" si="183"/>
        <v>0</v>
      </c>
    </row>
    <row r="1383" spans="6:31" ht="24" customHeight="1">
      <c r="F1383" s="8">
        <v>2.1</v>
      </c>
      <c r="G1383" s="7" t="s">
        <v>739</v>
      </c>
      <c r="H1383" s="1" t="s">
        <v>1654</v>
      </c>
      <c r="I1383">
        <f>C11</f>
        <v>804</v>
      </c>
      <c r="J1383" s="1" t="s">
        <v>739</v>
      </c>
      <c r="K1383" s="8">
        <f t="shared" si="188"/>
        <v>1688.4</v>
      </c>
      <c r="M1383" s="13">
        <v>2</v>
      </c>
      <c r="N1383" s="7" t="s">
        <v>1591</v>
      </c>
      <c r="O1383" s="1" t="s">
        <v>2001</v>
      </c>
      <c r="P1383" s="735">
        <f>P1267</f>
        <v>36.1</v>
      </c>
      <c r="Q1383" s="2" t="s">
        <v>1591</v>
      </c>
      <c r="R1383" s="8">
        <f>(M1383*P1383)</f>
        <v>72.2</v>
      </c>
      <c r="S1383" s="13">
        <v>1.2150000000000001</v>
      </c>
      <c r="T1383" s="7" t="s">
        <v>2199</v>
      </c>
      <c r="U1383" s="1" t="s">
        <v>1796</v>
      </c>
      <c r="V1383" s="8">
        <f t="shared" si="186"/>
        <v>1724</v>
      </c>
      <c r="W1383" s="7" t="s">
        <v>2199</v>
      </c>
      <c r="X1383" s="8">
        <f t="shared" si="187"/>
        <v>2094.66</v>
      </c>
      <c r="AA1383" s="42" t="s">
        <v>3490</v>
      </c>
      <c r="AD1383" s="39">
        <f>SUM(AD1370:AD1382)</f>
        <v>8158.11</v>
      </c>
      <c r="AE1383" s="52">
        <f t="shared" si="183"/>
        <v>0</v>
      </c>
    </row>
    <row r="1384" spans="6:31" ht="24" customHeight="1">
      <c r="F1384" s="8">
        <v>2.2000000000000002</v>
      </c>
      <c r="G1384" s="7" t="s">
        <v>739</v>
      </c>
      <c r="H1384" s="1" t="s">
        <v>1836</v>
      </c>
      <c r="I1384">
        <f>C12</f>
        <v>562</v>
      </c>
      <c r="J1384" s="1" t="s">
        <v>739</v>
      </c>
      <c r="K1384" s="8">
        <f t="shared" si="188"/>
        <v>1236.4000000000001</v>
      </c>
      <c r="M1384" s="8">
        <v>1.6</v>
      </c>
      <c r="N1384" s="7" t="s">
        <v>739</v>
      </c>
      <c r="O1384" s="1" t="s">
        <v>1654</v>
      </c>
      <c r="P1384" s="8">
        <f>P1268</f>
        <v>804</v>
      </c>
      <c r="Q1384" s="2" t="s">
        <v>739</v>
      </c>
      <c r="R1384" s="8">
        <f>(M1384*P1384)</f>
        <v>1286.4000000000001</v>
      </c>
      <c r="T1384" s="3"/>
      <c r="U1384" s="1" t="s">
        <v>1797</v>
      </c>
      <c r="W1384" s="4"/>
      <c r="X1384" s="8">
        <v>0.23</v>
      </c>
      <c r="AE1384" s="52">
        <f t="shared" si="183"/>
        <v>0</v>
      </c>
    </row>
    <row r="1385" spans="6:31" ht="24" customHeight="1">
      <c r="F1385" s="8">
        <v>1.1000000000000001</v>
      </c>
      <c r="G1385" s="7" t="s">
        <v>739</v>
      </c>
      <c r="H1385" s="1" t="s">
        <v>299</v>
      </c>
      <c r="I1385">
        <f>C13</f>
        <v>461</v>
      </c>
      <c r="J1385" s="1" t="s">
        <v>739</v>
      </c>
      <c r="K1385" s="8">
        <f t="shared" si="188"/>
        <v>507.1</v>
      </c>
      <c r="M1385" s="8">
        <v>0.5</v>
      </c>
      <c r="N1385" s="7" t="s">
        <v>739</v>
      </c>
      <c r="O1385" s="1" t="s">
        <v>1836</v>
      </c>
      <c r="P1385" s="8">
        <f>P1269</f>
        <v>562</v>
      </c>
      <c r="Q1385" s="2" t="s">
        <v>739</v>
      </c>
      <c r="R1385" s="8">
        <f>(M1385*P1385)</f>
        <v>281</v>
      </c>
      <c r="U1385" s="42" t="s">
        <v>3490</v>
      </c>
      <c r="X1385" s="39">
        <f>SUM(X1372:X1384)</f>
        <v>7471.4</v>
      </c>
      <c r="AE1385" s="52">
        <f t="shared" si="183"/>
        <v>0</v>
      </c>
    </row>
    <row r="1386" spans="6:31" ht="24" customHeight="1">
      <c r="G1386" s="7" t="s">
        <v>419</v>
      </c>
      <c r="H1386" s="1" t="s">
        <v>420</v>
      </c>
      <c r="J1386" s="1" t="s">
        <v>419</v>
      </c>
      <c r="K1386" s="8">
        <v>0</v>
      </c>
      <c r="M1386" s="8">
        <v>1.1000000000000001</v>
      </c>
      <c r="N1386" s="7" t="s">
        <v>739</v>
      </c>
      <c r="O1386" s="1" t="s">
        <v>299</v>
      </c>
      <c r="P1386" s="8">
        <f>P1270</f>
        <v>461</v>
      </c>
      <c r="Q1386" s="2" t="s">
        <v>739</v>
      </c>
      <c r="R1386" s="8">
        <f>(M1386*P1386)</f>
        <v>507.1</v>
      </c>
      <c r="Z1386" s="3"/>
      <c r="AA1386" s="218" t="s">
        <v>3428</v>
      </c>
      <c r="AC1386" s="11"/>
      <c r="AE1386" s="52">
        <f t="shared" si="183"/>
        <v>0</v>
      </c>
    </row>
    <row r="1387" spans="6:31" ht="24" customHeight="1">
      <c r="K1387" s="5" t="s">
        <v>1530</v>
      </c>
      <c r="N1387" s="7" t="s">
        <v>419</v>
      </c>
      <c r="O1387" s="1" t="s">
        <v>420</v>
      </c>
      <c r="P1387" s="8"/>
      <c r="Q1387" s="2" t="s">
        <v>419</v>
      </c>
      <c r="R1387" s="8">
        <v>0.28000000000000003</v>
      </c>
      <c r="Y1387" s="16">
        <v>2.87</v>
      </c>
      <c r="Z1387" s="7" t="s">
        <v>876</v>
      </c>
      <c r="AA1387" s="1" t="s">
        <v>1788</v>
      </c>
      <c r="AB1387" s="8">
        <f>AB1370</f>
        <v>301</v>
      </c>
      <c r="AC1387" s="7" t="s">
        <v>876</v>
      </c>
      <c r="AD1387" s="8">
        <f t="shared" ref="AD1387:AD1398" si="189">AB1387*Y1387</f>
        <v>863.87</v>
      </c>
      <c r="AE1387" s="52">
        <f t="shared" si="183"/>
        <v>0</v>
      </c>
    </row>
    <row r="1388" spans="6:31" ht="24" customHeight="1">
      <c r="H1388" s="1" t="s">
        <v>411</v>
      </c>
      <c r="K1388" s="8">
        <f>SUM(K1378:K1386)</f>
        <v>9534.0300000000007</v>
      </c>
      <c r="N1388" s="3"/>
      <c r="Q1388" s="4"/>
      <c r="R1388" s="5" t="s">
        <v>1530</v>
      </c>
      <c r="T1388" s="3"/>
      <c r="U1388" s="218" t="s">
        <v>3435</v>
      </c>
      <c r="W1388" s="11"/>
      <c r="Y1388" s="16">
        <v>0.56000000000000005</v>
      </c>
      <c r="Z1388" s="7" t="s">
        <v>876</v>
      </c>
      <c r="AA1388" s="1" t="s">
        <v>1788</v>
      </c>
      <c r="AB1388" s="8">
        <f t="shared" ref="AB1388:AB1398" si="190">AB1371</f>
        <v>301</v>
      </c>
      <c r="AC1388" s="7" t="s">
        <v>876</v>
      </c>
      <c r="AD1388" s="8">
        <f t="shared" si="189"/>
        <v>168.56</v>
      </c>
      <c r="AE1388" s="52">
        <f t="shared" si="183"/>
        <v>0</v>
      </c>
    </row>
    <row r="1389" spans="6:31" ht="24" customHeight="1">
      <c r="K1389" s="5" t="s">
        <v>1530</v>
      </c>
      <c r="N1389" s="3"/>
      <c r="O1389" s="1" t="s">
        <v>411</v>
      </c>
      <c r="Q1389" s="4"/>
      <c r="R1389" s="8">
        <f>SUM(R1375:R1387)</f>
        <v>23364.22</v>
      </c>
      <c r="S1389" s="13">
        <v>4.88</v>
      </c>
      <c r="T1389" s="7" t="s">
        <v>876</v>
      </c>
      <c r="U1389" s="1" t="s">
        <v>1788</v>
      </c>
      <c r="V1389" s="8">
        <f>V1372</f>
        <v>301</v>
      </c>
      <c r="W1389" s="7" t="s">
        <v>876</v>
      </c>
      <c r="X1389" s="8">
        <f>V1389*S1389</f>
        <v>1468.88</v>
      </c>
      <c r="Y1389" s="16">
        <v>2.98</v>
      </c>
      <c r="Z1389" s="7" t="s">
        <v>876</v>
      </c>
      <c r="AA1389" s="1" t="s">
        <v>1788</v>
      </c>
      <c r="AB1389" s="8">
        <f t="shared" si="190"/>
        <v>301</v>
      </c>
      <c r="AC1389" s="7" t="s">
        <v>876</v>
      </c>
      <c r="AD1389" s="8">
        <f t="shared" si="189"/>
        <v>896.98</v>
      </c>
      <c r="AE1389" s="52">
        <f t="shared" si="183"/>
        <v>0</v>
      </c>
    </row>
    <row r="1390" spans="6:31" ht="24" customHeight="1">
      <c r="H1390" s="59" t="s">
        <v>521</v>
      </c>
      <c r="K1390" s="39">
        <f>(K1388/10)</f>
        <v>953.4</v>
      </c>
      <c r="N1390" s="3"/>
      <c r="Q1390" s="4"/>
      <c r="R1390" s="5" t="s">
        <v>1530</v>
      </c>
      <c r="S1390" s="13">
        <v>6.57</v>
      </c>
      <c r="T1390" s="7" t="s">
        <v>876</v>
      </c>
      <c r="U1390" s="1" t="s">
        <v>1788</v>
      </c>
      <c r="V1390" s="8">
        <f t="shared" ref="V1390:V1400" si="191">V1373</f>
        <v>301</v>
      </c>
      <c r="W1390" s="7" t="s">
        <v>876</v>
      </c>
      <c r="X1390" s="8">
        <f t="shared" ref="X1390:X1400" si="192">V1390*S1390</f>
        <v>1977.57</v>
      </c>
      <c r="Y1390" s="16">
        <v>0.52</v>
      </c>
      <c r="Z1390" s="7" t="s">
        <v>876</v>
      </c>
      <c r="AA1390" s="1" t="s">
        <v>1788</v>
      </c>
      <c r="AB1390" s="8">
        <f t="shared" si="190"/>
        <v>301</v>
      </c>
      <c r="AC1390" s="7" t="s">
        <v>876</v>
      </c>
      <c r="AD1390" s="8">
        <f t="shared" si="189"/>
        <v>156.52000000000001</v>
      </c>
      <c r="AE1390" s="52">
        <f t="shared" si="183"/>
        <v>0</v>
      </c>
    </row>
    <row r="1391" spans="6:31" ht="24" customHeight="1">
      <c r="K1391" s="5" t="s">
        <v>1980</v>
      </c>
      <c r="N1391" s="3"/>
      <c r="O1391" s="1" t="s">
        <v>521</v>
      </c>
      <c r="Q1391" s="4"/>
      <c r="R1391" s="8">
        <f>(R1389/10)</f>
        <v>2336.42</v>
      </c>
      <c r="S1391" s="13">
        <v>11.56</v>
      </c>
      <c r="T1391" s="7" t="s">
        <v>876</v>
      </c>
      <c r="U1391" s="1" t="s">
        <v>1788</v>
      </c>
      <c r="V1391" s="8">
        <f t="shared" si="191"/>
        <v>301</v>
      </c>
      <c r="W1391" s="7" t="s">
        <v>876</v>
      </c>
      <c r="X1391" s="8">
        <f t="shared" si="192"/>
        <v>3479.56</v>
      </c>
      <c r="Y1391" s="16">
        <v>0.53300000000000003</v>
      </c>
      <c r="Z1391" s="7" t="s">
        <v>222</v>
      </c>
      <c r="AA1391" s="1" t="s">
        <v>1789</v>
      </c>
      <c r="AB1391" s="8">
        <f t="shared" si="190"/>
        <v>303.89999999999998</v>
      </c>
      <c r="AC1391" s="7" t="s">
        <v>222</v>
      </c>
      <c r="AD1391" s="8">
        <f t="shared" si="189"/>
        <v>161.97999999999999</v>
      </c>
      <c r="AE1391" s="52">
        <f t="shared" si="183"/>
        <v>0</v>
      </c>
    </row>
    <row r="1392" spans="6:31" ht="24" customHeight="1">
      <c r="K1392" s="5"/>
      <c r="N1392" s="3"/>
      <c r="Q1392" s="4"/>
      <c r="R1392" s="5" t="s">
        <v>1980</v>
      </c>
      <c r="S1392" s="13">
        <v>2.0099999999999998</v>
      </c>
      <c r="T1392" s="7" t="s">
        <v>876</v>
      </c>
      <c r="U1392" s="1" t="s">
        <v>1788</v>
      </c>
      <c r="V1392" s="8">
        <f t="shared" si="191"/>
        <v>301</v>
      </c>
      <c r="W1392" s="7" t="s">
        <v>876</v>
      </c>
      <c r="X1392" s="8">
        <f t="shared" si="192"/>
        <v>605.01</v>
      </c>
      <c r="Y1392" s="16">
        <v>4.1959999999999997</v>
      </c>
      <c r="Z1392" s="7" t="s">
        <v>794</v>
      </c>
      <c r="AA1392" s="1" t="s">
        <v>1790</v>
      </c>
      <c r="AB1392" s="8">
        <f t="shared" si="190"/>
        <v>28.8</v>
      </c>
      <c r="AC1392" s="7" t="s">
        <v>794</v>
      </c>
      <c r="AD1392" s="8">
        <f t="shared" si="189"/>
        <v>120.84</v>
      </c>
      <c r="AE1392" s="52">
        <f t="shared" si="183"/>
        <v>0</v>
      </c>
    </row>
    <row r="1393" spans="6:31" ht="24" customHeight="1">
      <c r="F1393" s="2" t="s">
        <v>1248</v>
      </c>
      <c r="G1393" s="7" t="s">
        <v>2167</v>
      </c>
      <c r="H1393" s="1" t="s">
        <v>5</v>
      </c>
      <c r="N1393" s="3"/>
      <c r="O1393" s="218" t="s">
        <v>3430</v>
      </c>
      <c r="Q1393" s="11"/>
      <c r="S1393" s="13">
        <v>1.96</v>
      </c>
      <c r="T1393" s="7" t="s">
        <v>222</v>
      </c>
      <c r="U1393" s="1" t="s">
        <v>1789</v>
      </c>
      <c r="V1393" s="8">
        <f t="shared" si="191"/>
        <v>303.89999999999998</v>
      </c>
      <c r="W1393" s="7" t="s">
        <v>222</v>
      </c>
      <c r="X1393" s="8">
        <f t="shared" si="192"/>
        <v>595.64</v>
      </c>
      <c r="Y1393" s="16">
        <v>4</v>
      </c>
      <c r="Z1393" s="7" t="s">
        <v>739</v>
      </c>
      <c r="AA1393" s="1" t="s">
        <v>1791</v>
      </c>
      <c r="AB1393" s="8">
        <f t="shared" si="190"/>
        <v>66.599999999999994</v>
      </c>
      <c r="AC1393" s="7" t="s">
        <v>739</v>
      </c>
      <c r="AD1393" s="8">
        <f t="shared" si="189"/>
        <v>266.39999999999998</v>
      </c>
      <c r="AE1393" s="52">
        <f t="shared" si="183"/>
        <v>0</v>
      </c>
    </row>
    <row r="1394" spans="6:31" ht="24" customHeight="1">
      <c r="H1394" s="5" t="s">
        <v>1530</v>
      </c>
      <c r="M1394" s="16">
        <v>4.1849999999999996</v>
      </c>
      <c r="N1394" s="7" t="s">
        <v>876</v>
      </c>
      <c r="O1394" s="512" t="s">
        <v>4883</v>
      </c>
      <c r="P1394" s="423">
        <v>301</v>
      </c>
      <c r="Q1394" s="7" t="s">
        <v>876</v>
      </c>
      <c r="R1394" s="8">
        <f>P1394*M1394</f>
        <v>1259.69</v>
      </c>
      <c r="S1394" s="13">
        <v>16.224</v>
      </c>
      <c r="T1394" s="7" t="s">
        <v>794</v>
      </c>
      <c r="U1394" s="1" t="s">
        <v>1790</v>
      </c>
      <c r="V1394" s="8">
        <f t="shared" si="191"/>
        <v>28.8</v>
      </c>
      <c r="W1394" s="7" t="s">
        <v>794</v>
      </c>
      <c r="X1394" s="8">
        <f t="shared" si="192"/>
        <v>467.25</v>
      </c>
      <c r="Y1394" s="16">
        <v>2</v>
      </c>
      <c r="Z1394" s="7" t="s">
        <v>739</v>
      </c>
      <c r="AA1394" s="1" t="s">
        <v>1792</v>
      </c>
      <c r="AB1394" s="8">
        <f t="shared" si="190"/>
        <v>53.4</v>
      </c>
      <c r="AC1394" s="7" t="s">
        <v>739</v>
      </c>
      <c r="AD1394" s="8">
        <f t="shared" si="189"/>
        <v>106.8</v>
      </c>
      <c r="AE1394" s="52">
        <f t="shared" si="183"/>
        <v>0</v>
      </c>
    </row>
    <row r="1395" spans="6:31" ht="24" customHeight="1">
      <c r="F1395" s="8">
        <v>0.14000000000000001</v>
      </c>
      <c r="G1395" s="7" t="s">
        <v>836</v>
      </c>
      <c r="H1395" s="1" t="s">
        <v>1571</v>
      </c>
      <c r="I1395" s="8">
        <f>(K52)</f>
        <v>3217.3</v>
      </c>
      <c r="J1395" s="1" t="s">
        <v>836</v>
      </c>
      <c r="K1395" s="8">
        <f>(F1395*I1395)</f>
        <v>450.42</v>
      </c>
      <c r="M1395" s="16">
        <v>4.55</v>
      </c>
      <c r="N1395" s="7" t="s">
        <v>876</v>
      </c>
      <c r="O1395" s="1" t="s">
        <v>1788</v>
      </c>
      <c r="P1395" s="8">
        <f>P1394</f>
        <v>301</v>
      </c>
      <c r="Q1395" s="7" t="s">
        <v>876</v>
      </c>
      <c r="R1395" s="8">
        <f t="shared" ref="R1395:R1405" si="193">P1395*M1395</f>
        <v>1369.55</v>
      </c>
      <c r="S1395" s="13">
        <v>16</v>
      </c>
      <c r="T1395" s="7" t="s">
        <v>739</v>
      </c>
      <c r="U1395" s="1" t="s">
        <v>1791</v>
      </c>
      <c r="V1395" s="8">
        <f t="shared" si="191"/>
        <v>66.599999999999994</v>
      </c>
      <c r="W1395" s="7" t="s">
        <v>739</v>
      </c>
      <c r="X1395" s="8">
        <f t="shared" si="192"/>
        <v>1065.5999999999999</v>
      </c>
      <c r="Y1395" s="16">
        <v>2</v>
      </c>
      <c r="Z1395" s="7" t="s">
        <v>739</v>
      </c>
      <c r="AA1395" s="1" t="s">
        <v>1793</v>
      </c>
      <c r="AB1395" s="8">
        <f t="shared" si="190"/>
        <v>30</v>
      </c>
      <c r="AC1395" s="7" t="s">
        <v>739</v>
      </c>
      <c r="AD1395" s="8">
        <f t="shared" si="189"/>
        <v>60</v>
      </c>
      <c r="AE1395" s="52">
        <f t="shared" si="183"/>
        <v>0</v>
      </c>
    </row>
    <row r="1396" spans="6:31" ht="24" customHeight="1">
      <c r="F1396" s="8">
        <v>1.1000000000000001</v>
      </c>
      <c r="G1396" s="7" t="s">
        <v>835</v>
      </c>
      <c r="H1396" s="1" t="s">
        <v>1938</v>
      </c>
      <c r="I1396" s="8">
        <f>(C10)</f>
        <v>861</v>
      </c>
      <c r="J1396" s="1" t="s">
        <v>835</v>
      </c>
      <c r="K1396" s="8">
        <f>(F1396*I1396)</f>
        <v>947.1</v>
      </c>
      <c r="M1396" s="16">
        <v>8.66</v>
      </c>
      <c r="N1396" s="7" t="s">
        <v>876</v>
      </c>
      <c r="O1396" s="1" t="s">
        <v>1788</v>
      </c>
      <c r="P1396" s="8">
        <f>P1394</f>
        <v>301</v>
      </c>
      <c r="Q1396" s="7" t="s">
        <v>876</v>
      </c>
      <c r="R1396" s="8">
        <f t="shared" si="193"/>
        <v>2606.66</v>
      </c>
      <c r="S1396" s="13">
        <v>8</v>
      </c>
      <c r="T1396" s="7" t="s">
        <v>739</v>
      </c>
      <c r="U1396" s="1" t="s">
        <v>1792</v>
      </c>
      <c r="V1396" s="8">
        <f t="shared" si="191"/>
        <v>53.4</v>
      </c>
      <c r="W1396" s="7" t="s">
        <v>739</v>
      </c>
      <c r="X1396" s="8">
        <f t="shared" si="192"/>
        <v>427.2</v>
      </c>
      <c r="Y1396" s="16">
        <v>2</v>
      </c>
      <c r="Z1396" s="7" t="s">
        <v>739</v>
      </c>
      <c r="AA1396" s="1" t="s">
        <v>1794</v>
      </c>
      <c r="AB1396" s="8">
        <f t="shared" si="190"/>
        <v>20</v>
      </c>
      <c r="AC1396" s="7" t="s">
        <v>739</v>
      </c>
      <c r="AD1396" s="8">
        <f t="shared" si="189"/>
        <v>40</v>
      </c>
      <c r="AE1396" s="52">
        <f t="shared" si="183"/>
        <v>0</v>
      </c>
    </row>
    <row r="1397" spans="6:31" ht="24" customHeight="1">
      <c r="F1397" s="8">
        <v>0.5</v>
      </c>
      <c r="G1397" s="7" t="s">
        <v>835</v>
      </c>
      <c r="H1397" s="1" t="s">
        <v>1836</v>
      </c>
      <c r="I1397" s="8">
        <f>(C12)</f>
        <v>562</v>
      </c>
      <c r="J1397" s="1" t="s">
        <v>835</v>
      </c>
      <c r="K1397" s="8">
        <f>(F1397*I1397)</f>
        <v>281</v>
      </c>
      <c r="M1397" s="16">
        <v>1.51</v>
      </c>
      <c r="N1397" s="7" t="s">
        <v>876</v>
      </c>
      <c r="O1397" s="1" t="s">
        <v>1788</v>
      </c>
      <c r="P1397" s="8">
        <f>P1394</f>
        <v>301</v>
      </c>
      <c r="Q1397" s="7" t="s">
        <v>876</v>
      </c>
      <c r="R1397" s="8">
        <f t="shared" si="193"/>
        <v>454.51</v>
      </c>
      <c r="S1397" s="13">
        <v>8</v>
      </c>
      <c r="T1397" s="7" t="s">
        <v>739</v>
      </c>
      <c r="U1397" s="1" t="s">
        <v>1793</v>
      </c>
      <c r="V1397" s="8">
        <f t="shared" si="191"/>
        <v>30</v>
      </c>
      <c r="W1397" s="7" t="s">
        <v>739</v>
      </c>
      <c r="X1397" s="8">
        <f t="shared" si="192"/>
        <v>240</v>
      </c>
      <c r="Y1397" s="16">
        <v>4</v>
      </c>
      <c r="Z1397" s="7" t="s">
        <v>739</v>
      </c>
      <c r="AA1397" s="1" t="s">
        <v>1795</v>
      </c>
      <c r="AB1397" s="8">
        <f t="shared" si="190"/>
        <v>15</v>
      </c>
      <c r="AC1397" s="7" t="s">
        <v>739</v>
      </c>
      <c r="AD1397" s="8">
        <f t="shared" si="189"/>
        <v>60</v>
      </c>
      <c r="AE1397" s="52">
        <f t="shared" si="183"/>
        <v>0</v>
      </c>
    </row>
    <row r="1398" spans="6:31" ht="24" customHeight="1">
      <c r="F1398" s="8">
        <v>1.1000000000000001</v>
      </c>
      <c r="G1398" s="7" t="s">
        <v>835</v>
      </c>
      <c r="H1398" s="1" t="s">
        <v>299</v>
      </c>
      <c r="I1398" s="8">
        <f>(C13)</f>
        <v>461</v>
      </c>
      <c r="J1398" s="1" t="s">
        <v>835</v>
      </c>
      <c r="K1398" s="8">
        <f>(F1398*I1398)</f>
        <v>507.1</v>
      </c>
      <c r="M1398" s="16">
        <v>1.462</v>
      </c>
      <c r="N1398" s="7" t="s">
        <v>222</v>
      </c>
      <c r="O1398" s="512" t="s">
        <v>1789</v>
      </c>
      <c r="P1398" s="423">
        <v>303.89999999999998</v>
      </c>
      <c r="Q1398" s="7" t="s">
        <v>222</v>
      </c>
      <c r="R1398" s="8">
        <f t="shared" si="193"/>
        <v>444.3</v>
      </c>
      <c r="S1398" s="13">
        <v>8</v>
      </c>
      <c r="T1398" s="7" t="s">
        <v>739</v>
      </c>
      <c r="U1398" s="1" t="s">
        <v>1794</v>
      </c>
      <c r="V1398" s="8">
        <f t="shared" si="191"/>
        <v>20</v>
      </c>
      <c r="W1398" s="7" t="s">
        <v>739</v>
      </c>
      <c r="X1398" s="8">
        <f t="shared" si="192"/>
        <v>160</v>
      </c>
      <c r="Y1398" s="16">
        <v>0.67500000000000004</v>
      </c>
      <c r="Z1398" s="7" t="s">
        <v>2199</v>
      </c>
      <c r="AA1398" s="1" t="s">
        <v>1796</v>
      </c>
      <c r="AB1398" s="8">
        <f t="shared" si="190"/>
        <v>1724</v>
      </c>
      <c r="AC1398" s="7" t="s">
        <v>2199</v>
      </c>
      <c r="AD1398" s="8">
        <f t="shared" si="189"/>
        <v>1163.7</v>
      </c>
      <c r="AE1398" s="52">
        <f t="shared" si="183"/>
        <v>0</v>
      </c>
    </row>
    <row r="1399" spans="6:31" ht="24" customHeight="1">
      <c r="G1399" s="7" t="s">
        <v>419</v>
      </c>
      <c r="H1399" s="1" t="s">
        <v>420</v>
      </c>
      <c r="I1399" s="1" t="s">
        <v>940</v>
      </c>
      <c r="J1399" s="1" t="s">
        <v>419</v>
      </c>
      <c r="K1399" s="8">
        <v>0</v>
      </c>
      <c r="M1399" s="16">
        <v>12.144</v>
      </c>
      <c r="N1399" s="7" t="s">
        <v>794</v>
      </c>
      <c r="O1399" s="512" t="s">
        <v>4519</v>
      </c>
      <c r="P1399" s="423">
        <v>28.8</v>
      </c>
      <c r="Q1399" s="7" t="s">
        <v>794</v>
      </c>
      <c r="R1399" s="8">
        <f t="shared" si="193"/>
        <v>349.75</v>
      </c>
      <c r="S1399" s="13">
        <v>4</v>
      </c>
      <c r="T1399" s="7" t="s">
        <v>739</v>
      </c>
      <c r="U1399" s="1" t="s">
        <v>1795</v>
      </c>
      <c r="V1399" s="8">
        <f t="shared" si="191"/>
        <v>15</v>
      </c>
      <c r="W1399" s="7" t="s">
        <v>739</v>
      </c>
      <c r="X1399" s="8">
        <f t="shared" si="192"/>
        <v>60</v>
      </c>
      <c r="Z1399" s="3"/>
      <c r="AA1399" s="1" t="s">
        <v>1797</v>
      </c>
      <c r="AC1399" s="4"/>
      <c r="AD1399" s="8">
        <v>0.39</v>
      </c>
      <c r="AE1399" s="52">
        <f t="shared" si="183"/>
        <v>0</v>
      </c>
    </row>
    <row r="1400" spans="6:31" ht="24" customHeight="1">
      <c r="K1400" s="5" t="s">
        <v>1530</v>
      </c>
      <c r="M1400" s="16">
        <v>12</v>
      </c>
      <c r="N1400" s="7" t="s">
        <v>739</v>
      </c>
      <c r="O1400" s="512" t="s">
        <v>4520</v>
      </c>
      <c r="P1400" s="423">
        <v>66.599999999999994</v>
      </c>
      <c r="Q1400" s="7" t="s">
        <v>739</v>
      </c>
      <c r="R1400" s="8">
        <f t="shared" si="193"/>
        <v>799.2</v>
      </c>
      <c r="S1400" s="13">
        <v>2.4300000000000002</v>
      </c>
      <c r="T1400" s="7" t="s">
        <v>2199</v>
      </c>
      <c r="U1400" s="1" t="s">
        <v>1796</v>
      </c>
      <c r="V1400" s="8">
        <f t="shared" si="191"/>
        <v>1724</v>
      </c>
      <c r="W1400" s="7" t="s">
        <v>2199</v>
      </c>
      <c r="X1400" s="8">
        <f t="shared" si="192"/>
        <v>4189.32</v>
      </c>
      <c r="AA1400" s="42" t="s">
        <v>3490</v>
      </c>
      <c r="AD1400" s="39">
        <f>SUM(AD1387:AD1399)</f>
        <v>4066.04</v>
      </c>
      <c r="AE1400" s="52">
        <f t="shared" si="183"/>
        <v>0</v>
      </c>
    </row>
    <row r="1401" spans="6:31" ht="24" customHeight="1">
      <c r="H1401" s="1" t="s">
        <v>411</v>
      </c>
      <c r="K1401" s="8">
        <f>SUM(K1395:K1399)</f>
        <v>2185.62</v>
      </c>
      <c r="M1401" s="16">
        <v>6</v>
      </c>
      <c r="N1401" s="7" t="s">
        <v>739</v>
      </c>
      <c r="O1401" s="512" t="s">
        <v>4171</v>
      </c>
      <c r="P1401" s="443">
        <f>P1097</f>
        <v>53.4</v>
      </c>
      <c r="Q1401" s="7" t="s">
        <v>739</v>
      </c>
      <c r="R1401" s="8">
        <f t="shared" si="193"/>
        <v>320.39999999999998</v>
      </c>
      <c r="T1401" s="3"/>
      <c r="U1401" s="1" t="s">
        <v>1797</v>
      </c>
      <c r="W1401" s="4"/>
      <c r="X1401" s="8"/>
      <c r="AE1401" s="52">
        <f t="shared" si="183"/>
        <v>0</v>
      </c>
    </row>
    <row r="1402" spans="6:31" ht="24" customHeight="1">
      <c r="K1402" s="5" t="s">
        <v>1530</v>
      </c>
      <c r="M1402" s="16">
        <v>6</v>
      </c>
      <c r="N1402" s="7" t="s">
        <v>739</v>
      </c>
      <c r="O1402" s="1" t="s">
        <v>3488</v>
      </c>
      <c r="P1402" s="735">
        <v>30</v>
      </c>
      <c r="Q1402" s="7" t="s">
        <v>739</v>
      </c>
      <c r="R1402" s="8">
        <f t="shared" si="193"/>
        <v>180</v>
      </c>
      <c r="U1402" s="42" t="s">
        <v>3490</v>
      </c>
      <c r="X1402" s="39">
        <f>SUM(X1389:X1401)</f>
        <v>14736.03</v>
      </c>
      <c r="Z1402" s="3"/>
      <c r="AA1402" s="218" t="s">
        <v>3433</v>
      </c>
      <c r="AC1402" s="11"/>
      <c r="AE1402" s="52">
        <f t="shared" si="183"/>
        <v>0</v>
      </c>
    </row>
    <row r="1403" spans="6:31" ht="24" customHeight="1">
      <c r="H1403" s="59" t="s">
        <v>521</v>
      </c>
      <c r="K1403" s="39">
        <f>(K1401/10)</f>
        <v>218.56</v>
      </c>
      <c r="M1403" s="16">
        <v>6</v>
      </c>
      <c r="N1403" s="7" t="s">
        <v>739</v>
      </c>
      <c r="O1403" s="1" t="s">
        <v>1794</v>
      </c>
      <c r="P1403" s="545">
        <v>20</v>
      </c>
      <c r="Q1403" s="7" t="s">
        <v>739</v>
      </c>
      <c r="R1403" s="8">
        <f t="shared" si="193"/>
        <v>120</v>
      </c>
      <c r="Y1403" s="16">
        <v>2.33</v>
      </c>
      <c r="Z1403" s="7" t="s">
        <v>876</v>
      </c>
      <c r="AA1403" s="1" t="s">
        <v>1788</v>
      </c>
      <c r="AB1403" s="8">
        <f t="shared" ref="AB1403:AB1414" si="194">V1405</f>
        <v>301</v>
      </c>
      <c r="AC1403" s="7" t="s">
        <v>876</v>
      </c>
      <c r="AD1403" s="8">
        <f t="shared" ref="AD1403:AD1414" si="195">AB1403*Y1403</f>
        <v>701.33</v>
      </c>
      <c r="AE1403" s="52">
        <f t="shared" si="183"/>
        <v>0</v>
      </c>
    </row>
    <row r="1404" spans="6:31" ht="24" customHeight="1">
      <c r="F1404" s="1" t="s">
        <v>940</v>
      </c>
      <c r="M1404" s="16">
        <v>4</v>
      </c>
      <c r="N1404" s="7" t="s">
        <v>739</v>
      </c>
      <c r="O1404" s="1" t="s">
        <v>1795</v>
      </c>
      <c r="P1404" s="545">
        <v>15</v>
      </c>
      <c r="Q1404" s="7" t="s">
        <v>739</v>
      </c>
      <c r="R1404" s="8">
        <f t="shared" si="193"/>
        <v>60</v>
      </c>
      <c r="T1404" s="3"/>
      <c r="U1404" s="218" t="s">
        <v>3434</v>
      </c>
      <c r="W1404" s="11"/>
      <c r="Y1404" s="16">
        <v>0.67</v>
      </c>
      <c r="Z1404" s="7" t="s">
        <v>876</v>
      </c>
      <c r="AA1404" s="1" t="s">
        <v>1788</v>
      </c>
      <c r="AB1404" s="8">
        <f t="shared" si="194"/>
        <v>301</v>
      </c>
      <c r="AC1404" s="7" t="s">
        <v>876</v>
      </c>
      <c r="AD1404" s="8">
        <f t="shared" si="195"/>
        <v>201.67</v>
      </c>
      <c r="AE1404" s="52">
        <f t="shared" si="183"/>
        <v>0</v>
      </c>
    </row>
    <row r="1405" spans="6:31" ht="24" customHeight="1">
      <c r="K1405" s="5" t="s">
        <v>1980</v>
      </c>
      <c r="M1405" s="16">
        <v>1.823</v>
      </c>
      <c r="N1405" s="7" t="s">
        <v>2199</v>
      </c>
      <c r="O1405" s="1" t="s">
        <v>1796</v>
      </c>
      <c r="P1405">
        <f>ROUND(AE17+AE11+(AE20*0.5),2)</f>
        <v>1724</v>
      </c>
      <c r="Q1405" s="7" t="s">
        <v>2199</v>
      </c>
      <c r="R1405" s="8">
        <f t="shared" si="193"/>
        <v>3142.85</v>
      </c>
      <c r="S1405" s="13">
        <f>8*0.775</f>
        <v>6.2</v>
      </c>
      <c r="T1405" s="7" t="s">
        <v>876</v>
      </c>
      <c r="U1405" s="1" t="s">
        <v>1788</v>
      </c>
      <c r="V1405" s="8">
        <f>V1389</f>
        <v>301</v>
      </c>
      <c r="W1405" s="7" t="s">
        <v>876</v>
      </c>
      <c r="X1405" s="8">
        <f>V1405*S1405</f>
        <v>1866.2</v>
      </c>
      <c r="Y1405" s="16">
        <v>2.65</v>
      </c>
      <c r="Z1405" s="7" t="s">
        <v>876</v>
      </c>
      <c r="AA1405" s="1" t="s">
        <v>1788</v>
      </c>
      <c r="AB1405" s="8">
        <f t="shared" si="194"/>
        <v>301</v>
      </c>
      <c r="AC1405" s="7" t="s">
        <v>876</v>
      </c>
      <c r="AD1405" s="8">
        <f t="shared" si="195"/>
        <v>797.65</v>
      </c>
      <c r="AE1405" s="52">
        <f t="shared" si="183"/>
        <v>0</v>
      </c>
    </row>
    <row r="1406" spans="6:31" ht="24" customHeight="1">
      <c r="F1406" s="2" t="s">
        <v>6</v>
      </c>
      <c r="G1406" s="7" t="s">
        <v>2167</v>
      </c>
      <c r="H1406" s="1" t="s">
        <v>7</v>
      </c>
      <c r="N1406" s="3"/>
      <c r="O1406" s="1" t="s">
        <v>1797</v>
      </c>
      <c r="Q1406" s="4"/>
      <c r="R1406" s="8">
        <v>0.51</v>
      </c>
      <c r="S1406" s="13">
        <f>8.4*1.123</f>
        <v>9.4329999999999998</v>
      </c>
      <c r="T1406" s="7" t="s">
        <v>876</v>
      </c>
      <c r="U1406" s="1" t="s">
        <v>1788</v>
      </c>
      <c r="V1406" s="8">
        <f t="shared" ref="V1406:V1416" si="196">V1390</f>
        <v>301</v>
      </c>
      <c r="W1406" s="7" t="s">
        <v>876</v>
      </c>
      <c r="X1406" s="8">
        <f t="shared" ref="X1406:X1416" si="197">V1406*S1406</f>
        <v>2839.33</v>
      </c>
      <c r="Y1406" s="16">
        <v>0.46</v>
      </c>
      <c r="Z1406" s="7" t="s">
        <v>876</v>
      </c>
      <c r="AA1406" s="1" t="s">
        <v>1788</v>
      </c>
      <c r="AB1406" s="8">
        <f t="shared" si="194"/>
        <v>301</v>
      </c>
      <c r="AC1406" s="7" t="s">
        <v>876</v>
      </c>
      <c r="AD1406" s="8">
        <f t="shared" si="195"/>
        <v>138.46</v>
      </c>
      <c r="AE1406" s="52">
        <f t="shared" si="183"/>
        <v>0</v>
      </c>
    </row>
    <row r="1407" spans="6:31" ht="24" customHeight="1">
      <c r="H1407" s="5" t="s">
        <v>1530</v>
      </c>
      <c r="L1407">
        <f>5.85*1.123</f>
        <v>6.57</v>
      </c>
      <c r="R1407" s="39">
        <f>SUM(R1394:R1406)</f>
        <v>11107.42</v>
      </c>
      <c r="S1407" s="13">
        <f>24.24*0.663</f>
        <v>16.071000000000002</v>
      </c>
      <c r="T1407" s="7" t="s">
        <v>876</v>
      </c>
      <c r="U1407" s="1" t="s">
        <v>1788</v>
      </c>
      <c r="V1407" s="8">
        <f t="shared" si="196"/>
        <v>301</v>
      </c>
      <c r="W1407" s="7" t="s">
        <v>876</v>
      </c>
      <c r="X1407" s="8">
        <f t="shared" si="197"/>
        <v>4837.37</v>
      </c>
      <c r="Y1407" s="16">
        <v>0.41699999999999998</v>
      </c>
      <c r="Z1407" s="7" t="s">
        <v>222</v>
      </c>
      <c r="AA1407" s="1" t="s">
        <v>1789</v>
      </c>
      <c r="AB1407" s="8">
        <f t="shared" si="194"/>
        <v>303.89999999999998</v>
      </c>
      <c r="AC1407" s="7" t="s">
        <v>222</v>
      </c>
      <c r="AD1407" s="8">
        <f t="shared" si="195"/>
        <v>126.73</v>
      </c>
      <c r="AE1407" s="52">
        <f t="shared" si="183"/>
        <v>0</v>
      </c>
    </row>
    <row r="1408" spans="6:31" ht="24" customHeight="1">
      <c r="F1408" s="8">
        <v>0.14000000000000001</v>
      </c>
      <c r="G1408" s="7" t="s">
        <v>836</v>
      </c>
      <c r="H1408" s="1" t="s">
        <v>1258</v>
      </c>
      <c r="I1408" s="8">
        <f>(K40)</f>
        <v>3646.42</v>
      </c>
      <c r="J1408" s="1" t="s">
        <v>836</v>
      </c>
      <c r="K1408" s="8">
        <f>(F1408*I1408)</f>
        <v>510.5</v>
      </c>
      <c r="O1408" s="716"/>
      <c r="S1408" s="13">
        <f>23.02*0.124</f>
        <v>2.8540000000000001</v>
      </c>
      <c r="T1408" s="7" t="s">
        <v>876</v>
      </c>
      <c r="U1408" s="1" t="s">
        <v>1788</v>
      </c>
      <c r="V1408" s="8">
        <f t="shared" si="196"/>
        <v>301</v>
      </c>
      <c r="W1408" s="7" t="s">
        <v>876</v>
      </c>
      <c r="X1408" s="8">
        <f t="shared" si="197"/>
        <v>859.05</v>
      </c>
      <c r="Y1408" s="16">
        <v>3.6960000000000002</v>
      </c>
      <c r="Z1408" s="7" t="s">
        <v>794</v>
      </c>
      <c r="AA1408" s="1" t="s">
        <v>1790</v>
      </c>
      <c r="AB1408" s="8">
        <f t="shared" si="194"/>
        <v>28.8</v>
      </c>
      <c r="AC1408" s="7" t="s">
        <v>794</v>
      </c>
      <c r="AD1408" s="8">
        <f t="shared" si="195"/>
        <v>106.44</v>
      </c>
      <c r="AE1408" s="52">
        <f t="shared" si="183"/>
        <v>0</v>
      </c>
    </row>
    <row r="1409" spans="6:31" ht="24" customHeight="1">
      <c r="F1409" s="8">
        <v>1.1000000000000001</v>
      </c>
      <c r="G1409" s="7" t="s">
        <v>835</v>
      </c>
      <c r="H1409" s="1" t="s">
        <v>1938</v>
      </c>
      <c r="I1409" s="8">
        <f>(C10)</f>
        <v>861</v>
      </c>
      <c r="J1409" s="1" t="s">
        <v>835</v>
      </c>
      <c r="K1409" s="8">
        <f>(F1409*I1409)</f>
        <v>947.1</v>
      </c>
      <c r="S1409" s="13">
        <f>3.31</f>
        <v>3.31</v>
      </c>
      <c r="T1409" s="7" t="s">
        <v>222</v>
      </c>
      <c r="U1409" s="1" t="s">
        <v>1789</v>
      </c>
      <c r="V1409" s="8">
        <f t="shared" si="196"/>
        <v>303.89999999999998</v>
      </c>
      <c r="W1409" s="7" t="s">
        <v>222</v>
      </c>
      <c r="X1409" s="8">
        <f t="shared" si="197"/>
        <v>1005.91</v>
      </c>
      <c r="Y1409" s="16">
        <v>4</v>
      </c>
      <c r="Z1409" s="7" t="s">
        <v>739</v>
      </c>
      <c r="AA1409" s="1" t="s">
        <v>1791</v>
      </c>
      <c r="AB1409" s="8">
        <f t="shared" si="194"/>
        <v>66.599999999999994</v>
      </c>
      <c r="AC1409" s="7" t="s">
        <v>739</v>
      </c>
      <c r="AD1409" s="8">
        <f t="shared" si="195"/>
        <v>266.39999999999998</v>
      </c>
      <c r="AE1409" s="52">
        <f t="shared" si="183"/>
        <v>0</v>
      </c>
    </row>
    <row r="1410" spans="6:31" ht="24" customHeight="1">
      <c r="F1410" s="8">
        <v>0.5</v>
      </c>
      <c r="G1410" s="7" t="s">
        <v>835</v>
      </c>
      <c r="H1410" s="1" t="s">
        <v>1836</v>
      </c>
      <c r="I1410" s="8">
        <f>(C12)</f>
        <v>562</v>
      </c>
      <c r="J1410" s="1" t="s">
        <v>835</v>
      </c>
      <c r="K1410" s="8">
        <f>(F1410*I1410)</f>
        <v>281</v>
      </c>
      <c r="N1410" s="3"/>
      <c r="O1410" s="218" t="s">
        <v>3425</v>
      </c>
      <c r="Q1410" s="11"/>
      <c r="S1410" s="13">
        <v>23.02</v>
      </c>
      <c r="T1410" s="7" t="s">
        <v>794</v>
      </c>
      <c r="U1410" s="1" t="s">
        <v>1790</v>
      </c>
      <c r="V1410" s="8">
        <f t="shared" si="196"/>
        <v>28.8</v>
      </c>
      <c r="W1410" s="7" t="s">
        <v>794</v>
      </c>
      <c r="X1410" s="8">
        <f t="shared" si="197"/>
        <v>662.98</v>
      </c>
      <c r="Y1410" s="16">
        <v>2</v>
      </c>
      <c r="Z1410" s="7" t="s">
        <v>739</v>
      </c>
      <c r="AA1410" s="1" t="s">
        <v>1792</v>
      </c>
      <c r="AB1410" s="8">
        <f t="shared" si="194"/>
        <v>53.4</v>
      </c>
      <c r="AC1410" s="7" t="s">
        <v>739</v>
      </c>
      <c r="AD1410" s="8">
        <f t="shared" si="195"/>
        <v>106.8</v>
      </c>
      <c r="AE1410" s="52">
        <f t="shared" si="183"/>
        <v>0</v>
      </c>
    </row>
    <row r="1411" spans="6:31" ht="24" customHeight="1">
      <c r="F1411" s="8">
        <v>1.1000000000000001</v>
      </c>
      <c r="G1411" s="7" t="s">
        <v>835</v>
      </c>
      <c r="H1411" s="1" t="s">
        <v>299</v>
      </c>
      <c r="I1411" s="8">
        <f>(C13)</f>
        <v>461</v>
      </c>
      <c r="J1411" s="1" t="s">
        <v>835</v>
      </c>
      <c r="K1411" s="8">
        <f>(F1411*I1411)</f>
        <v>507.1</v>
      </c>
      <c r="M1411" s="16">
        <v>3.95</v>
      </c>
      <c r="N1411" s="7" t="s">
        <v>876</v>
      </c>
      <c r="O1411" s="512" t="s">
        <v>4169</v>
      </c>
      <c r="P1411" s="8">
        <f>P1394</f>
        <v>301</v>
      </c>
      <c r="Q1411" s="7" t="s">
        <v>876</v>
      </c>
      <c r="R1411" s="8">
        <f>P1411*M1411</f>
        <v>1188.95</v>
      </c>
      <c r="S1411" s="13">
        <v>16</v>
      </c>
      <c r="T1411" s="7" t="s">
        <v>739</v>
      </c>
      <c r="U1411" s="1" t="s">
        <v>1791</v>
      </c>
      <c r="V1411" s="8">
        <f t="shared" si="196"/>
        <v>66.599999999999994</v>
      </c>
      <c r="W1411" s="7" t="s">
        <v>739</v>
      </c>
      <c r="X1411" s="8">
        <f t="shared" si="197"/>
        <v>1065.5999999999999</v>
      </c>
      <c r="Y1411" s="16">
        <v>2</v>
      </c>
      <c r="Z1411" s="7" t="s">
        <v>739</v>
      </c>
      <c r="AA1411" s="1" t="s">
        <v>1793</v>
      </c>
      <c r="AB1411" s="8">
        <f t="shared" si="194"/>
        <v>30</v>
      </c>
      <c r="AC1411" s="7" t="s">
        <v>739</v>
      </c>
      <c r="AD1411" s="8">
        <f t="shared" si="195"/>
        <v>60</v>
      </c>
      <c r="AE1411" s="52">
        <f t="shared" si="183"/>
        <v>0</v>
      </c>
    </row>
    <row r="1412" spans="6:31" ht="24" customHeight="1">
      <c r="G1412" s="7" t="s">
        <v>419</v>
      </c>
      <c r="H1412" s="1" t="s">
        <v>420</v>
      </c>
      <c r="I1412" s="1" t="s">
        <v>940</v>
      </c>
      <c r="J1412" s="1" t="s">
        <v>419</v>
      </c>
      <c r="K1412" s="8">
        <v>0</v>
      </c>
      <c r="M1412" s="16">
        <v>2.86</v>
      </c>
      <c r="N1412" s="7" t="s">
        <v>876</v>
      </c>
      <c r="O1412" s="1" t="s">
        <v>1788</v>
      </c>
      <c r="P1412" s="8">
        <f t="shared" ref="P1412:P1422" si="198">P1395</f>
        <v>301</v>
      </c>
      <c r="Q1412" s="7" t="s">
        <v>876</v>
      </c>
      <c r="R1412" s="8">
        <f t="shared" ref="R1412:R1422" si="199">P1412*M1412</f>
        <v>860.86</v>
      </c>
      <c r="S1412" s="13">
        <v>8</v>
      </c>
      <c r="T1412" s="7" t="s">
        <v>739</v>
      </c>
      <c r="U1412" s="1" t="s">
        <v>1792</v>
      </c>
      <c r="V1412" s="8">
        <f t="shared" si="196"/>
        <v>53.4</v>
      </c>
      <c r="W1412" s="7" t="s">
        <v>739</v>
      </c>
      <c r="X1412" s="8">
        <f t="shared" si="197"/>
        <v>427.2</v>
      </c>
      <c r="Y1412" s="16">
        <v>2</v>
      </c>
      <c r="Z1412" s="7" t="s">
        <v>739</v>
      </c>
      <c r="AA1412" s="1" t="s">
        <v>1794</v>
      </c>
      <c r="AB1412" s="8">
        <f t="shared" si="194"/>
        <v>20</v>
      </c>
      <c r="AC1412" s="7" t="s">
        <v>739</v>
      </c>
      <c r="AD1412" s="8">
        <f t="shared" si="195"/>
        <v>40</v>
      </c>
      <c r="AE1412" s="52">
        <f t="shared" si="183"/>
        <v>0</v>
      </c>
    </row>
    <row r="1413" spans="6:31" ht="24" customHeight="1">
      <c r="G1413" s="7"/>
      <c r="H1413" s="1"/>
      <c r="I1413" s="1"/>
      <c r="J1413" s="1"/>
      <c r="K1413" s="8"/>
      <c r="M1413" s="16">
        <v>6.55</v>
      </c>
      <c r="N1413" s="7" t="s">
        <v>876</v>
      </c>
      <c r="O1413" s="1" t="s">
        <v>1788</v>
      </c>
      <c r="P1413" s="8">
        <f t="shared" si="198"/>
        <v>301</v>
      </c>
      <c r="Q1413" s="7" t="s">
        <v>876</v>
      </c>
      <c r="R1413" s="8">
        <f t="shared" si="199"/>
        <v>1971.55</v>
      </c>
      <c r="S1413" s="13">
        <v>8</v>
      </c>
      <c r="T1413" s="7" t="s">
        <v>739</v>
      </c>
      <c r="U1413" s="1" t="s">
        <v>1793</v>
      </c>
      <c r="V1413" s="8">
        <f t="shared" si="196"/>
        <v>30</v>
      </c>
      <c r="W1413" s="7" t="s">
        <v>739</v>
      </c>
      <c r="X1413" s="8">
        <f t="shared" si="197"/>
        <v>240</v>
      </c>
      <c r="Y1413" s="16">
        <v>2</v>
      </c>
      <c r="Z1413" s="7" t="s">
        <v>739</v>
      </c>
      <c r="AA1413" s="1" t="s">
        <v>1795</v>
      </c>
      <c r="AB1413" s="8">
        <f t="shared" si="194"/>
        <v>15</v>
      </c>
      <c r="AC1413" s="7" t="s">
        <v>739</v>
      </c>
      <c r="AD1413" s="8">
        <f t="shared" si="195"/>
        <v>30</v>
      </c>
      <c r="AE1413" s="52">
        <f t="shared" si="183"/>
        <v>0</v>
      </c>
    </row>
    <row r="1414" spans="6:31" ht="24" customHeight="1">
      <c r="K1414" s="5" t="s">
        <v>1530</v>
      </c>
      <c r="M1414" s="16">
        <v>1.1499999999999999</v>
      </c>
      <c r="N1414" s="7" t="s">
        <v>876</v>
      </c>
      <c r="O1414" s="1" t="s">
        <v>1788</v>
      </c>
      <c r="P1414" s="8">
        <f t="shared" si="198"/>
        <v>301</v>
      </c>
      <c r="Q1414" s="7" t="s">
        <v>876</v>
      </c>
      <c r="R1414" s="8">
        <f t="shared" si="199"/>
        <v>346.15</v>
      </c>
      <c r="S1414" s="13">
        <v>8</v>
      </c>
      <c r="T1414" s="7" t="s">
        <v>739</v>
      </c>
      <c r="U1414" s="1" t="s">
        <v>1794</v>
      </c>
      <c r="V1414" s="8">
        <f t="shared" si="196"/>
        <v>20</v>
      </c>
      <c r="W1414" s="7" t="s">
        <v>739</v>
      </c>
      <c r="X1414" s="8">
        <f t="shared" si="197"/>
        <v>160</v>
      </c>
      <c r="Y1414" s="16">
        <v>0.54</v>
      </c>
      <c r="Z1414" s="7" t="s">
        <v>2199</v>
      </c>
      <c r="AA1414" s="1" t="s">
        <v>1796</v>
      </c>
      <c r="AB1414" s="8">
        <f t="shared" si="194"/>
        <v>1724</v>
      </c>
      <c r="AC1414" s="7" t="s">
        <v>2199</v>
      </c>
      <c r="AD1414" s="8">
        <f t="shared" si="195"/>
        <v>930.96</v>
      </c>
      <c r="AE1414" s="52">
        <f t="shared" si="183"/>
        <v>0</v>
      </c>
    </row>
    <row r="1415" spans="6:31" ht="24" customHeight="1">
      <c r="H1415" s="1" t="s">
        <v>411</v>
      </c>
      <c r="K1415" s="8">
        <f>SUM(K1408:K1412)</f>
        <v>2245.6999999999998</v>
      </c>
      <c r="L1415">
        <f>SUM(K1436:K1439)</f>
        <v>2345.83</v>
      </c>
      <c r="M1415" s="16">
        <v>1.3380000000000001</v>
      </c>
      <c r="N1415" s="7" t="s">
        <v>222</v>
      </c>
      <c r="O1415" s="1" t="s">
        <v>1789</v>
      </c>
      <c r="P1415" s="8">
        <f t="shared" si="198"/>
        <v>303.89999999999998</v>
      </c>
      <c r="Q1415" s="7" t="s">
        <v>222</v>
      </c>
      <c r="R1415" s="8">
        <f t="shared" si="199"/>
        <v>406.62</v>
      </c>
      <c r="S1415" s="13">
        <v>4</v>
      </c>
      <c r="T1415" s="7" t="s">
        <v>739</v>
      </c>
      <c r="U1415" s="1" t="s">
        <v>1795</v>
      </c>
      <c r="V1415" s="8">
        <f t="shared" si="196"/>
        <v>15</v>
      </c>
      <c r="W1415" s="7" t="s">
        <v>739</v>
      </c>
      <c r="X1415" s="8">
        <f t="shared" si="197"/>
        <v>60</v>
      </c>
      <c r="Z1415" s="3"/>
      <c r="AA1415" s="1" t="s">
        <v>1797</v>
      </c>
      <c r="AC1415" s="4"/>
      <c r="AD1415" s="8">
        <v>0.7</v>
      </c>
      <c r="AE1415" s="52">
        <f t="shared" si="183"/>
        <v>0</v>
      </c>
    </row>
    <row r="1416" spans="6:31" ht="24" customHeight="1">
      <c r="K1416" s="5" t="s">
        <v>1530</v>
      </c>
      <c r="M1416" s="16">
        <v>9.2720000000000002</v>
      </c>
      <c r="N1416" s="7" t="s">
        <v>794</v>
      </c>
      <c r="O1416" s="512" t="s">
        <v>4172</v>
      </c>
      <c r="P1416" s="8">
        <f t="shared" si="198"/>
        <v>28.8</v>
      </c>
      <c r="Q1416" s="7" t="s">
        <v>794</v>
      </c>
      <c r="R1416" s="8">
        <f t="shared" si="199"/>
        <v>267.02999999999997</v>
      </c>
      <c r="S1416" s="13">
        <v>3.96</v>
      </c>
      <c r="T1416" s="7" t="s">
        <v>2199</v>
      </c>
      <c r="U1416" s="1" t="s">
        <v>1796</v>
      </c>
      <c r="V1416" s="8">
        <f t="shared" si="196"/>
        <v>1724</v>
      </c>
      <c r="W1416" s="7" t="s">
        <v>2199</v>
      </c>
      <c r="X1416" s="8">
        <f t="shared" si="197"/>
        <v>6827.04</v>
      </c>
      <c r="AA1416" s="42" t="s">
        <v>3490</v>
      </c>
      <c r="AD1416" s="39">
        <f>SUM(AD1403:AD1415)</f>
        <v>3507.14</v>
      </c>
      <c r="AE1416" s="52">
        <f t="shared" si="183"/>
        <v>0</v>
      </c>
    </row>
    <row r="1417" spans="6:31" ht="24" customHeight="1">
      <c r="H1417" s="59" t="s">
        <v>521</v>
      </c>
      <c r="K1417" s="39">
        <f>(K1415/10)</f>
        <v>224.57</v>
      </c>
      <c r="M1417" s="16">
        <v>8</v>
      </c>
      <c r="N1417" s="7" t="s">
        <v>739</v>
      </c>
      <c r="O1417" s="512" t="s">
        <v>4170</v>
      </c>
      <c r="P1417" s="8">
        <f t="shared" si="198"/>
        <v>66.599999999999994</v>
      </c>
      <c r="Q1417" s="7" t="s">
        <v>739</v>
      </c>
      <c r="R1417" s="8">
        <f t="shared" si="199"/>
        <v>532.79999999999995</v>
      </c>
      <c r="T1417" s="3"/>
      <c r="U1417" s="1" t="s">
        <v>1797</v>
      </c>
      <c r="W1417" s="4"/>
      <c r="X1417" s="8">
        <v>0.09</v>
      </c>
      <c r="AE1417" s="52">
        <f t="shared" si="183"/>
        <v>0</v>
      </c>
    </row>
    <row r="1418" spans="6:31" ht="24" customHeight="1">
      <c r="K1418" s="5" t="s">
        <v>1980</v>
      </c>
      <c r="M1418" s="16">
        <v>4</v>
      </c>
      <c r="N1418" s="7" t="s">
        <v>739</v>
      </c>
      <c r="O1418" s="512" t="s">
        <v>4171</v>
      </c>
      <c r="P1418" s="8">
        <f t="shared" si="198"/>
        <v>53.4</v>
      </c>
      <c r="Q1418" s="7" t="s">
        <v>739</v>
      </c>
      <c r="R1418" s="8">
        <f t="shared" si="199"/>
        <v>213.6</v>
      </c>
      <c r="U1418" s="42" t="s">
        <v>3490</v>
      </c>
      <c r="X1418" s="39">
        <f>SUM(X1405:X1417)</f>
        <v>20850.77</v>
      </c>
      <c r="AE1418" s="52">
        <f t="shared" si="183"/>
        <v>0</v>
      </c>
    </row>
    <row r="1419" spans="6:31" ht="24" customHeight="1">
      <c r="F1419" s="2" t="s">
        <v>8</v>
      </c>
      <c r="G1419" s="7" t="s">
        <v>2167</v>
      </c>
      <c r="H1419" s="1" t="s">
        <v>9</v>
      </c>
      <c r="M1419" s="16">
        <v>4</v>
      </c>
      <c r="N1419" s="7" t="s">
        <v>739</v>
      </c>
      <c r="O1419" s="1" t="s">
        <v>1793</v>
      </c>
      <c r="P1419" s="8">
        <f t="shared" si="198"/>
        <v>30</v>
      </c>
      <c r="Q1419" s="7" t="s">
        <v>739</v>
      </c>
      <c r="R1419" s="8">
        <f t="shared" si="199"/>
        <v>120</v>
      </c>
      <c r="Z1419" s="3"/>
      <c r="AA1419" s="218" t="s">
        <v>3424</v>
      </c>
      <c r="AC1419" s="11"/>
      <c r="AE1419" s="52">
        <f t="shared" si="183"/>
        <v>0</v>
      </c>
    </row>
    <row r="1420" spans="6:31" ht="24" customHeight="1">
      <c r="H1420" s="5" t="s">
        <v>1530</v>
      </c>
      <c r="M1420" s="16">
        <v>4</v>
      </c>
      <c r="N1420" s="7" t="s">
        <v>739</v>
      </c>
      <c r="O1420" s="1" t="s">
        <v>1794</v>
      </c>
      <c r="P1420" s="8">
        <f t="shared" si="198"/>
        <v>20</v>
      </c>
      <c r="Q1420" s="7" t="s">
        <v>739</v>
      </c>
      <c r="R1420" s="8">
        <f t="shared" si="199"/>
        <v>80</v>
      </c>
      <c r="Y1420" s="16">
        <f>4.2*0.775</f>
        <v>3.2549999999999999</v>
      </c>
      <c r="Z1420" s="7" t="s">
        <v>876</v>
      </c>
      <c r="AA1420" s="1" t="s">
        <v>1788</v>
      </c>
      <c r="AB1420" s="8">
        <f>AB1403</f>
        <v>301</v>
      </c>
      <c r="AC1420" s="7" t="s">
        <v>876</v>
      </c>
      <c r="AD1420" s="8">
        <f t="shared" ref="AD1420:AD1431" si="200">AB1420*Y1420</f>
        <v>979.76</v>
      </c>
      <c r="AE1420" s="52">
        <f t="shared" si="183"/>
        <v>0</v>
      </c>
    </row>
    <row r="1421" spans="6:31" ht="24" customHeight="1">
      <c r="F1421" s="8">
        <v>0.1</v>
      </c>
      <c r="G1421" s="7" t="s">
        <v>836</v>
      </c>
      <c r="H1421" s="1" t="s">
        <v>1301</v>
      </c>
      <c r="I1421" s="8">
        <f>(K32)</f>
        <v>4361.62</v>
      </c>
      <c r="J1421" s="1" t="s">
        <v>836</v>
      </c>
      <c r="K1421" s="8">
        <f>(F1421*I1421)</f>
        <v>436.16</v>
      </c>
      <c r="M1421" s="16">
        <v>4</v>
      </c>
      <c r="N1421" s="7" t="s">
        <v>739</v>
      </c>
      <c r="O1421" s="1" t="s">
        <v>1795</v>
      </c>
      <c r="P1421" s="8">
        <f t="shared" si="198"/>
        <v>15</v>
      </c>
      <c r="Q1421" s="7" t="s">
        <v>739</v>
      </c>
      <c r="R1421" s="8">
        <f t="shared" si="199"/>
        <v>60</v>
      </c>
      <c r="U1421" s="37" t="s">
        <v>3491</v>
      </c>
      <c r="Y1421" s="16">
        <v>2.3580000000000001</v>
      </c>
      <c r="Z1421" s="7" t="s">
        <v>876</v>
      </c>
      <c r="AA1421" s="1" t="s">
        <v>1788</v>
      </c>
      <c r="AB1421" s="8">
        <f t="shared" ref="AB1421:AB1431" si="201">AB1404</f>
        <v>301</v>
      </c>
      <c r="AC1421" s="7" t="s">
        <v>876</v>
      </c>
      <c r="AD1421" s="8">
        <f t="shared" si="200"/>
        <v>709.76</v>
      </c>
      <c r="AE1421" s="52">
        <f t="shared" ref="AE1421:AE1484" si="202">AG1421</f>
        <v>0</v>
      </c>
    </row>
    <row r="1422" spans="6:31" ht="24" customHeight="1">
      <c r="F1422" s="8">
        <v>1.1000000000000001</v>
      </c>
      <c r="G1422" s="7" t="s">
        <v>835</v>
      </c>
      <c r="H1422" s="1" t="s">
        <v>1938</v>
      </c>
      <c r="I1422" s="8">
        <f>(C10)</f>
        <v>861</v>
      </c>
      <c r="J1422" s="1" t="s">
        <v>835</v>
      </c>
      <c r="K1422" s="8">
        <f>(F1422*I1422)</f>
        <v>947.1</v>
      </c>
      <c r="L1422">
        <f>M1461+M1462+M1463</f>
        <v>11.74</v>
      </c>
      <c r="M1422" s="16">
        <v>1.62</v>
      </c>
      <c r="N1422" s="7" t="s">
        <v>2199</v>
      </c>
      <c r="O1422" s="1" t="s">
        <v>1796</v>
      </c>
      <c r="P1422" s="8">
        <f t="shared" si="198"/>
        <v>1724</v>
      </c>
      <c r="Q1422" s="7" t="s">
        <v>2199</v>
      </c>
      <c r="R1422" s="8">
        <f t="shared" si="199"/>
        <v>2792.88</v>
      </c>
      <c r="S1422" s="13">
        <v>4.42</v>
      </c>
      <c r="T1422" s="7" t="s">
        <v>876</v>
      </c>
      <c r="U1422" s="1" t="s">
        <v>1788</v>
      </c>
      <c r="V1422" s="8">
        <f>P1461</f>
        <v>301</v>
      </c>
      <c r="W1422" s="7" t="s">
        <v>876</v>
      </c>
      <c r="X1422" s="52">
        <f>V1422*S1422</f>
        <v>1330.42</v>
      </c>
      <c r="Y1422" s="16">
        <f>8.08*0.663</f>
        <v>5.3570000000000002</v>
      </c>
      <c r="Z1422" s="7" t="s">
        <v>876</v>
      </c>
      <c r="AA1422" s="1" t="s">
        <v>1788</v>
      </c>
      <c r="AB1422" s="8">
        <f t="shared" si="201"/>
        <v>301</v>
      </c>
      <c r="AC1422" s="7" t="s">
        <v>876</v>
      </c>
      <c r="AD1422" s="8">
        <f t="shared" si="200"/>
        <v>1612.46</v>
      </c>
      <c r="AE1422" s="52">
        <f t="shared" si="202"/>
        <v>0</v>
      </c>
    </row>
    <row r="1423" spans="6:31" ht="24" customHeight="1">
      <c r="F1423" s="8">
        <v>1.1000000000000001</v>
      </c>
      <c r="G1423" s="7" t="s">
        <v>835</v>
      </c>
      <c r="H1423" s="1" t="s">
        <v>1836</v>
      </c>
      <c r="I1423" s="8">
        <f>(C12)</f>
        <v>562</v>
      </c>
      <c r="J1423" s="1" t="s">
        <v>835</v>
      </c>
      <c r="K1423" s="8">
        <f>(F1423*I1423)</f>
        <v>618.20000000000005</v>
      </c>
      <c r="N1423" s="3"/>
      <c r="O1423" s="1" t="s">
        <v>1797</v>
      </c>
      <c r="Q1423" s="4"/>
      <c r="R1423" s="8">
        <v>0.25</v>
      </c>
      <c r="S1423" s="13">
        <v>4.72</v>
      </c>
      <c r="T1423" s="7" t="s">
        <v>876</v>
      </c>
      <c r="U1423" s="1" t="s">
        <v>1788</v>
      </c>
      <c r="V1423" s="8">
        <f>P1462</f>
        <v>301</v>
      </c>
      <c r="W1423" s="7" t="s">
        <v>876</v>
      </c>
      <c r="X1423" s="52">
        <f t="shared" ref="X1423:X1433" si="203">V1423*S1423</f>
        <v>1420.72</v>
      </c>
      <c r="Y1423" s="16">
        <v>0.92600000000000005</v>
      </c>
      <c r="Z1423" s="7" t="s">
        <v>876</v>
      </c>
      <c r="AA1423" s="1" t="s">
        <v>1788</v>
      </c>
      <c r="AB1423" s="8">
        <f t="shared" si="201"/>
        <v>301</v>
      </c>
      <c r="AC1423" s="7" t="s">
        <v>876</v>
      </c>
      <c r="AD1423" s="8">
        <f t="shared" si="200"/>
        <v>278.73</v>
      </c>
      <c r="AE1423" s="52">
        <f t="shared" si="202"/>
        <v>0</v>
      </c>
    </row>
    <row r="1424" spans="6:31" ht="24" customHeight="1">
      <c r="F1424" s="8">
        <v>1.1000000000000001</v>
      </c>
      <c r="G1424" s="7" t="s">
        <v>835</v>
      </c>
      <c r="H1424" s="1" t="s">
        <v>299</v>
      </c>
      <c r="I1424" s="8">
        <f>(C13)</f>
        <v>461</v>
      </c>
      <c r="J1424" s="1" t="s">
        <v>835</v>
      </c>
      <c r="K1424" s="8">
        <f>(F1424*I1424)</f>
        <v>507.1</v>
      </c>
      <c r="R1424" s="39">
        <f>SUM(R1411:R1423)</f>
        <v>8840.69</v>
      </c>
      <c r="S1424" s="13">
        <v>9.06</v>
      </c>
      <c r="T1424" s="7" t="s">
        <v>876</v>
      </c>
      <c r="U1424" s="1" t="s">
        <v>1788</v>
      </c>
      <c r="V1424" s="8">
        <f>P1463</f>
        <v>301</v>
      </c>
      <c r="W1424" s="7" t="s">
        <v>876</v>
      </c>
      <c r="X1424" s="52">
        <f t="shared" si="203"/>
        <v>2727.06</v>
      </c>
      <c r="Y1424" s="16">
        <v>0.85</v>
      </c>
      <c r="Z1424" s="7" t="s">
        <v>222</v>
      </c>
      <c r="AA1424" s="1" t="s">
        <v>1789</v>
      </c>
      <c r="AB1424" s="8">
        <f t="shared" si="201"/>
        <v>303.89999999999998</v>
      </c>
      <c r="AC1424" s="7" t="s">
        <v>222</v>
      </c>
      <c r="AD1424" s="8">
        <f t="shared" si="200"/>
        <v>258.32</v>
      </c>
      <c r="AE1424" s="52">
        <f t="shared" si="202"/>
        <v>0</v>
      </c>
    </row>
    <row r="1425" spans="6:31" ht="24" customHeight="1">
      <c r="G1425" s="7" t="s">
        <v>419</v>
      </c>
      <c r="H1425" s="1" t="s">
        <v>420</v>
      </c>
      <c r="I1425" s="1" t="s">
        <v>940</v>
      </c>
      <c r="J1425" s="1" t="s">
        <v>419</v>
      </c>
      <c r="K1425" s="8">
        <v>0</v>
      </c>
      <c r="M1425" s="8"/>
      <c r="N1425" s="7"/>
      <c r="O1425" s="1"/>
      <c r="P1425" s="8"/>
      <c r="Q1425" s="2"/>
      <c r="R1425" s="8"/>
      <c r="S1425" s="13">
        <v>1.58</v>
      </c>
      <c r="T1425" s="7" t="s">
        <v>876</v>
      </c>
      <c r="U1425" s="1" t="s">
        <v>1788</v>
      </c>
      <c r="V1425" s="8">
        <f>P1464</f>
        <v>301</v>
      </c>
      <c r="W1425" s="7" t="s">
        <v>876</v>
      </c>
      <c r="X1425" s="52">
        <f t="shared" si="203"/>
        <v>475.58</v>
      </c>
      <c r="Y1425" s="16">
        <v>7.4720000000000004</v>
      </c>
      <c r="Z1425" s="7" t="s">
        <v>794</v>
      </c>
      <c r="AA1425" s="1" t="s">
        <v>1790</v>
      </c>
      <c r="AB1425" s="8">
        <f t="shared" si="201"/>
        <v>28.8</v>
      </c>
      <c r="AC1425" s="7" t="s">
        <v>794</v>
      </c>
      <c r="AD1425" s="8">
        <f t="shared" si="200"/>
        <v>215.19</v>
      </c>
      <c r="AE1425" s="52">
        <f t="shared" si="202"/>
        <v>0</v>
      </c>
    </row>
    <row r="1426" spans="6:31" ht="24" customHeight="1">
      <c r="K1426" s="5" t="s">
        <v>1530</v>
      </c>
      <c r="M1426" s="8"/>
      <c r="N1426" s="7"/>
      <c r="O1426" s="1"/>
      <c r="P1426" s="8"/>
      <c r="Q1426" s="2"/>
      <c r="R1426" s="8"/>
      <c r="S1426" s="13">
        <v>1.65</v>
      </c>
      <c r="T1426" s="7" t="s">
        <v>222</v>
      </c>
      <c r="U1426" s="1" t="s">
        <v>1789</v>
      </c>
      <c r="V1426" s="8">
        <f>P1432</f>
        <v>303.89999999999998</v>
      </c>
      <c r="W1426" s="7" t="s">
        <v>222</v>
      </c>
      <c r="X1426" s="52">
        <f t="shared" si="203"/>
        <v>501.44</v>
      </c>
      <c r="Y1426" s="16">
        <v>8</v>
      </c>
      <c r="Z1426" s="7" t="s">
        <v>739</v>
      </c>
      <c r="AA1426" s="1" t="s">
        <v>1791</v>
      </c>
      <c r="AB1426" s="8">
        <f t="shared" si="201"/>
        <v>66.599999999999994</v>
      </c>
      <c r="AC1426" s="7" t="s">
        <v>739</v>
      </c>
      <c r="AD1426" s="8">
        <f t="shared" si="200"/>
        <v>532.79999999999995</v>
      </c>
      <c r="AE1426" s="52">
        <f t="shared" si="202"/>
        <v>0</v>
      </c>
    </row>
    <row r="1427" spans="6:31" ht="24" customHeight="1">
      <c r="H1427" s="1" t="s">
        <v>411</v>
      </c>
      <c r="K1427" s="8">
        <f>SUM(K1421:K1425)</f>
        <v>2508.56</v>
      </c>
      <c r="N1427" s="3"/>
      <c r="O1427" s="218" t="s">
        <v>3429</v>
      </c>
      <c r="Q1427" s="11"/>
      <c r="S1427" s="13">
        <v>12.74</v>
      </c>
      <c r="T1427" s="7" t="s">
        <v>794</v>
      </c>
      <c r="U1427" s="1" t="s">
        <v>1790</v>
      </c>
      <c r="V1427" s="8">
        <f>P1466</f>
        <v>28.8</v>
      </c>
      <c r="W1427" s="7" t="s">
        <v>794</v>
      </c>
      <c r="X1427" s="52">
        <f t="shared" si="203"/>
        <v>366.91</v>
      </c>
      <c r="Y1427" s="16">
        <v>4</v>
      </c>
      <c r="Z1427" s="7" t="s">
        <v>739</v>
      </c>
      <c r="AA1427" s="1" t="s">
        <v>1792</v>
      </c>
      <c r="AB1427" s="8">
        <f t="shared" si="201"/>
        <v>53.4</v>
      </c>
      <c r="AC1427" s="7" t="s">
        <v>739</v>
      </c>
      <c r="AD1427" s="8">
        <f t="shared" si="200"/>
        <v>213.6</v>
      </c>
      <c r="AE1427" s="52">
        <f t="shared" si="202"/>
        <v>0</v>
      </c>
    </row>
    <row r="1428" spans="6:31" ht="24" customHeight="1">
      <c r="H1428" s="4"/>
      <c r="K1428" s="5" t="s">
        <v>1530</v>
      </c>
      <c r="M1428" s="16">
        <v>2.79</v>
      </c>
      <c r="N1428" s="7" t="s">
        <v>876</v>
      </c>
      <c r="O1428" s="512" t="s">
        <v>4169</v>
      </c>
      <c r="P1428" s="8">
        <f>P1411</f>
        <v>301</v>
      </c>
      <c r="Q1428" s="7" t="s">
        <v>876</v>
      </c>
      <c r="R1428" s="8">
        <f>P1428*M1428</f>
        <v>839.79</v>
      </c>
      <c r="S1428" s="13">
        <v>12</v>
      </c>
      <c r="T1428" s="7" t="s">
        <v>739</v>
      </c>
      <c r="U1428" s="1" t="s">
        <v>1791</v>
      </c>
      <c r="V1428" s="8">
        <f>P1467</f>
        <v>66.599999999999994</v>
      </c>
      <c r="W1428" s="7" t="s">
        <v>739</v>
      </c>
      <c r="X1428" s="52">
        <f t="shared" si="203"/>
        <v>799.2</v>
      </c>
      <c r="Y1428" s="16">
        <v>4</v>
      </c>
      <c r="Z1428" s="7" t="s">
        <v>739</v>
      </c>
      <c r="AA1428" s="1" t="s">
        <v>1793</v>
      </c>
      <c r="AB1428" s="8">
        <f t="shared" si="201"/>
        <v>30</v>
      </c>
      <c r="AC1428" s="7" t="s">
        <v>739</v>
      </c>
      <c r="AD1428" s="8">
        <f t="shared" si="200"/>
        <v>120</v>
      </c>
      <c r="AE1428" s="52">
        <f t="shared" si="202"/>
        <v>0</v>
      </c>
    </row>
    <row r="1429" spans="6:31" ht="24" customHeight="1">
      <c r="H1429" s="59" t="s">
        <v>521</v>
      </c>
      <c r="I1429" s="37"/>
      <c r="J1429" s="99"/>
      <c r="K1429" s="39">
        <f>(K1427/10)</f>
        <v>250.86</v>
      </c>
      <c r="M1429" s="16">
        <v>0.5</v>
      </c>
      <c r="N1429" s="7" t="s">
        <v>876</v>
      </c>
      <c r="O1429" s="1" t="s">
        <v>1788</v>
      </c>
      <c r="P1429" s="8">
        <f t="shared" ref="P1429:P1439" si="204">P1412</f>
        <v>301</v>
      </c>
      <c r="Q1429" s="7" t="s">
        <v>876</v>
      </c>
      <c r="R1429" s="8">
        <f t="shared" ref="R1429:R1439" si="205">P1429*M1429</f>
        <v>150.5</v>
      </c>
      <c r="S1429" s="13">
        <v>6</v>
      </c>
      <c r="T1429" s="7" t="s">
        <v>739</v>
      </c>
      <c r="U1429" s="1" t="s">
        <v>1792</v>
      </c>
      <c r="V1429" s="8">
        <f>P1468</f>
        <v>53.4</v>
      </c>
      <c r="W1429" s="7" t="s">
        <v>739</v>
      </c>
      <c r="X1429" s="52">
        <f t="shared" si="203"/>
        <v>320.39999999999998</v>
      </c>
      <c r="Y1429" s="16">
        <v>4</v>
      </c>
      <c r="Z1429" s="7" t="s">
        <v>739</v>
      </c>
      <c r="AA1429" s="1" t="s">
        <v>1794</v>
      </c>
      <c r="AB1429" s="8">
        <f t="shared" si="201"/>
        <v>20</v>
      </c>
      <c r="AC1429" s="7" t="s">
        <v>739</v>
      </c>
      <c r="AD1429" s="8">
        <f t="shared" si="200"/>
        <v>80</v>
      </c>
      <c r="AE1429" s="52">
        <f t="shared" si="202"/>
        <v>0</v>
      </c>
    </row>
    <row r="1430" spans="6:31" ht="24" customHeight="1">
      <c r="K1430" s="5" t="s">
        <v>1980</v>
      </c>
      <c r="M1430" s="16">
        <v>2.85</v>
      </c>
      <c r="N1430" s="7" t="s">
        <v>876</v>
      </c>
      <c r="O1430" s="1" t="s">
        <v>1788</v>
      </c>
      <c r="P1430" s="8">
        <f t="shared" si="204"/>
        <v>301</v>
      </c>
      <c r="Q1430" s="7" t="s">
        <v>876</v>
      </c>
      <c r="R1430" s="8">
        <f t="shared" si="205"/>
        <v>857.85</v>
      </c>
      <c r="S1430" s="13">
        <v>6</v>
      </c>
      <c r="T1430" s="7" t="s">
        <v>739</v>
      </c>
      <c r="U1430" s="1" t="s">
        <v>1793</v>
      </c>
      <c r="V1430" s="545">
        <v>30</v>
      </c>
      <c r="W1430" s="7" t="s">
        <v>739</v>
      </c>
      <c r="X1430" s="52">
        <f t="shared" si="203"/>
        <v>180</v>
      </c>
      <c r="Y1430" s="16">
        <v>4</v>
      </c>
      <c r="Z1430" s="7" t="s">
        <v>739</v>
      </c>
      <c r="AA1430" s="1" t="s">
        <v>1795</v>
      </c>
      <c r="AB1430" s="8">
        <f t="shared" si="201"/>
        <v>15</v>
      </c>
      <c r="AC1430" s="7" t="s">
        <v>739</v>
      </c>
      <c r="AD1430" s="8">
        <f t="shared" si="200"/>
        <v>60</v>
      </c>
      <c r="AE1430" s="52">
        <f t="shared" si="202"/>
        <v>0</v>
      </c>
    </row>
    <row r="1431" spans="6:31" ht="24" customHeight="1">
      <c r="M1431" s="16">
        <v>0.5</v>
      </c>
      <c r="N1431" s="7" t="s">
        <v>876</v>
      </c>
      <c r="O1431" s="1" t="s">
        <v>1788</v>
      </c>
      <c r="P1431" s="8">
        <f t="shared" si="204"/>
        <v>301</v>
      </c>
      <c r="Q1431" s="7" t="s">
        <v>876</v>
      </c>
      <c r="R1431" s="8">
        <f t="shared" si="205"/>
        <v>150.5</v>
      </c>
      <c r="S1431" s="13">
        <v>6</v>
      </c>
      <c r="T1431" s="7" t="s">
        <v>739</v>
      </c>
      <c r="U1431" s="1" t="s">
        <v>1794</v>
      </c>
      <c r="V1431" s="545">
        <v>20</v>
      </c>
      <c r="W1431" s="7" t="s">
        <v>739</v>
      </c>
      <c r="X1431" s="52">
        <f t="shared" si="203"/>
        <v>120</v>
      </c>
      <c r="Y1431" s="16">
        <v>1.08</v>
      </c>
      <c r="Z1431" s="7" t="s">
        <v>2199</v>
      </c>
      <c r="AA1431" s="1" t="s">
        <v>1796</v>
      </c>
      <c r="AB1431" s="8">
        <f t="shared" si="201"/>
        <v>1724</v>
      </c>
      <c r="AC1431" s="7" t="s">
        <v>2199</v>
      </c>
      <c r="AD1431" s="8">
        <f t="shared" si="200"/>
        <v>1861.92</v>
      </c>
      <c r="AE1431" s="52">
        <f t="shared" si="202"/>
        <v>0</v>
      </c>
    </row>
    <row r="1432" spans="6:31" ht="24" customHeight="1">
      <c r="G1432" s="7" t="s">
        <v>2167</v>
      </c>
      <c r="H1432" s="1" t="s">
        <v>809</v>
      </c>
      <c r="M1432" s="16">
        <v>0.47099999999999997</v>
      </c>
      <c r="N1432" s="7" t="s">
        <v>222</v>
      </c>
      <c r="O1432" s="1" t="s">
        <v>1789</v>
      </c>
      <c r="P1432" s="545">
        <f t="shared" si="204"/>
        <v>303.89999999999998</v>
      </c>
      <c r="Q1432" s="7" t="s">
        <v>222</v>
      </c>
      <c r="R1432" s="8">
        <f t="shared" si="205"/>
        <v>143.13999999999999</v>
      </c>
      <c r="S1432" s="13">
        <v>4</v>
      </c>
      <c r="T1432" s="7" t="s">
        <v>739</v>
      </c>
      <c r="U1432" s="1" t="s">
        <v>1795</v>
      </c>
      <c r="V1432" s="545">
        <v>15</v>
      </c>
      <c r="W1432" s="7" t="s">
        <v>739</v>
      </c>
      <c r="X1432" s="52">
        <f t="shared" si="203"/>
        <v>60</v>
      </c>
      <c r="Z1432" s="3"/>
      <c r="AA1432" s="1" t="s">
        <v>1797</v>
      </c>
      <c r="AC1432" s="4"/>
      <c r="AD1432" s="8">
        <v>0.96</v>
      </c>
      <c r="AE1432" s="52">
        <f t="shared" si="202"/>
        <v>0</v>
      </c>
    </row>
    <row r="1433" spans="6:31" ht="24" customHeight="1">
      <c r="H1433" s="1" t="s">
        <v>810</v>
      </c>
      <c r="M1433" s="16">
        <v>3.996</v>
      </c>
      <c r="N1433" s="7" t="s">
        <v>794</v>
      </c>
      <c r="O1433" s="512" t="s">
        <v>4172</v>
      </c>
      <c r="P1433" s="8">
        <f t="shared" si="204"/>
        <v>28.8</v>
      </c>
      <c r="Q1433" s="7" t="s">
        <v>794</v>
      </c>
      <c r="R1433" s="8">
        <f t="shared" si="205"/>
        <v>115.08</v>
      </c>
      <c r="S1433" s="13">
        <f>1.5*1.35</f>
        <v>2.0249999999999999</v>
      </c>
      <c r="T1433" s="7" t="s">
        <v>2199</v>
      </c>
      <c r="U1433" s="1" t="s">
        <v>1796</v>
      </c>
      <c r="V1433" s="8">
        <f>P1472</f>
        <v>1724</v>
      </c>
      <c r="W1433" s="7" t="s">
        <v>2199</v>
      </c>
      <c r="X1433" s="8">
        <f t="shared" si="203"/>
        <v>3491.1</v>
      </c>
      <c r="AA1433" s="42" t="s">
        <v>3490</v>
      </c>
      <c r="AD1433" s="39">
        <f>SUM(AD1420:AD1432)</f>
        <v>6923.5</v>
      </c>
      <c r="AE1433" s="52">
        <f t="shared" si="202"/>
        <v>0</v>
      </c>
    </row>
    <row r="1434" spans="6:31" ht="24" customHeight="1">
      <c r="H1434" s="1" t="s">
        <v>811</v>
      </c>
      <c r="M1434" s="16">
        <v>4</v>
      </c>
      <c r="N1434" s="7" t="s">
        <v>739</v>
      </c>
      <c r="O1434" s="512" t="s">
        <v>4170</v>
      </c>
      <c r="P1434" s="8">
        <f t="shared" si="204"/>
        <v>66.599999999999994</v>
      </c>
      <c r="Q1434" s="7" t="s">
        <v>739</v>
      </c>
      <c r="R1434" s="8">
        <f t="shared" si="205"/>
        <v>266.39999999999998</v>
      </c>
      <c r="T1434" s="3"/>
      <c r="U1434" s="1" t="s">
        <v>1797</v>
      </c>
      <c r="W1434" s="4"/>
      <c r="X1434" s="8">
        <v>0.31</v>
      </c>
      <c r="AE1434" s="52">
        <f t="shared" si="202"/>
        <v>0</v>
      </c>
    </row>
    <row r="1435" spans="6:31" ht="24" customHeight="1">
      <c r="H1435" s="5" t="s">
        <v>1530</v>
      </c>
      <c r="M1435" s="16">
        <v>2</v>
      </c>
      <c r="N1435" s="7" t="s">
        <v>739</v>
      </c>
      <c r="O1435" s="512" t="s">
        <v>4171</v>
      </c>
      <c r="P1435" s="8">
        <f t="shared" si="204"/>
        <v>53.4</v>
      </c>
      <c r="Q1435" s="7" t="s">
        <v>739</v>
      </c>
      <c r="R1435" s="8">
        <f t="shared" si="205"/>
        <v>106.8</v>
      </c>
      <c r="U1435" s="42" t="s">
        <v>3490</v>
      </c>
      <c r="X1435" s="39">
        <f>SUM(X1422:X1434)</f>
        <v>11793.14</v>
      </c>
      <c r="AE1435" s="52">
        <f t="shared" si="202"/>
        <v>0</v>
      </c>
    </row>
    <row r="1436" spans="6:31" ht="24" customHeight="1">
      <c r="F1436" s="8">
        <v>0.14000000000000001</v>
      </c>
      <c r="G1436" s="7" t="s">
        <v>836</v>
      </c>
      <c r="H1436" s="1" t="s">
        <v>1301</v>
      </c>
      <c r="I1436" s="8">
        <f>(K32)</f>
        <v>4361.62</v>
      </c>
      <c r="J1436" s="1" t="s">
        <v>836</v>
      </c>
      <c r="K1436" s="8">
        <f>(F1436*I1436)</f>
        <v>610.63</v>
      </c>
      <c r="M1436" s="16">
        <v>2</v>
      </c>
      <c r="N1436" s="7" t="s">
        <v>739</v>
      </c>
      <c r="O1436" s="1" t="s">
        <v>1793</v>
      </c>
      <c r="P1436" s="8">
        <f t="shared" si="204"/>
        <v>30</v>
      </c>
      <c r="Q1436" s="7" t="s">
        <v>739</v>
      </c>
      <c r="R1436" s="8">
        <f t="shared" si="205"/>
        <v>60</v>
      </c>
      <c r="U1436">
        <f>2.025</f>
        <v>2.0299999999999998</v>
      </c>
      <c r="Y1436" s="51"/>
      <c r="Z1436" s="3"/>
      <c r="AA1436" s="218" t="s">
        <v>3455</v>
      </c>
      <c r="AB1436" s="73" t="s">
        <v>2274</v>
      </c>
      <c r="AC1436" s="73"/>
      <c r="AD1436" s="73"/>
      <c r="AE1436" s="52">
        <f t="shared" si="202"/>
        <v>0</v>
      </c>
    </row>
    <row r="1437" spans="6:31" ht="24" customHeight="1">
      <c r="F1437" s="8">
        <v>1.1000000000000001</v>
      </c>
      <c r="G1437" s="7" t="s">
        <v>835</v>
      </c>
      <c r="H1437" s="1" t="s">
        <v>1938</v>
      </c>
      <c r="I1437" s="8">
        <f>(C10)</f>
        <v>861</v>
      </c>
      <c r="J1437" s="1" t="s">
        <v>835</v>
      </c>
      <c r="K1437" s="8">
        <f>(F1437*I1437)</f>
        <v>947.1</v>
      </c>
      <c r="M1437" s="16">
        <v>2</v>
      </c>
      <c r="N1437" s="7" t="s">
        <v>739</v>
      </c>
      <c r="O1437" s="1" t="s">
        <v>1794</v>
      </c>
      <c r="P1437" s="8">
        <f t="shared" si="204"/>
        <v>20</v>
      </c>
      <c r="Q1437" s="7" t="s">
        <v>739</v>
      </c>
      <c r="R1437" s="8">
        <f t="shared" si="205"/>
        <v>40</v>
      </c>
      <c r="Y1437" s="13">
        <v>4.21</v>
      </c>
      <c r="Z1437" s="7" t="s">
        <v>876</v>
      </c>
      <c r="AA1437" s="1" t="s">
        <v>1788</v>
      </c>
      <c r="AB1437" s="8">
        <f>V1439</f>
        <v>301</v>
      </c>
      <c r="AC1437" s="7" t="s">
        <v>876</v>
      </c>
      <c r="AD1437" s="8">
        <f>AB1437*Y1437</f>
        <v>1267.21</v>
      </c>
      <c r="AE1437" s="52">
        <f t="shared" si="202"/>
        <v>0</v>
      </c>
    </row>
    <row r="1438" spans="6:31" ht="24" customHeight="1">
      <c r="F1438" s="8">
        <v>0.5</v>
      </c>
      <c r="G1438" s="7" t="s">
        <v>835</v>
      </c>
      <c r="H1438" s="1" t="s">
        <v>1836</v>
      </c>
      <c r="I1438" s="8">
        <f>(C12)</f>
        <v>562</v>
      </c>
      <c r="J1438" s="1" t="s">
        <v>835</v>
      </c>
      <c r="K1438" s="8">
        <f>(F1438*I1438)</f>
        <v>281</v>
      </c>
      <c r="M1438" s="16">
        <v>4</v>
      </c>
      <c r="N1438" s="7" t="s">
        <v>739</v>
      </c>
      <c r="O1438" s="1" t="s">
        <v>1795</v>
      </c>
      <c r="P1438" s="8">
        <f t="shared" si="204"/>
        <v>15</v>
      </c>
      <c r="Q1438" s="7" t="s">
        <v>739</v>
      </c>
      <c r="R1438" s="8">
        <f t="shared" si="205"/>
        <v>60</v>
      </c>
      <c r="T1438" s="3"/>
      <c r="U1438" s="218" t="s">
        <v>3652</v>
      </c>
      <c r="V1438" s="73" t="s">
        <v>2274</v>
      </c>
      <c r="W1438" s="73"/>
      <c r="X1438" s="73"/>
      <c r="Y1438" s="13">
        <v>0.40500000000000003</v>
      </c>
      <c r="Z1438" s="7" t="s">
        <v>222</v>
      </c>
      <c r="AA1438" s="1" t="s">
        <v>1789</v>
      </c>
      <c r="AB1438" s="8">
        <f>V1440</f>
        <v>303.89999999999998</v>
      </c>
      <c r="AC1438" s="7" t="s">
        <v>876</v>
      </c>
      <c r="AD1438" s="8">
        <f>AB1438*Y1438</f>
        <v>123.08</v>
      </c>
      <c r="AE1438" s="52">
        <f t="shared" si="202"/>
        <v>0</v>
      </c>
    </row>
    <row r="1439" spans="6:31" ht="24" customHeight="1">
      <c r="F1439" s="8">
        <v>1.1000000000000001</v>
      </c>
      <c r="G1439" s="7" t="s">
        <v>835</v>
      </c>
      <c r="H1439" s="1" t="s">
        <v>299</v>
      </c>
      <c r="I1439" s="8">
        <f>(C13)</f>
        <v>461</v>
      </c>
      <c r="J1439" s="1" t="s">
        <v>835</v>
      </c>
      <c r="K1439" s="8">
        <f>(F1439*I1439)</f>
        <v>507.1</v>
      </c>
      <c r="M1439" s="16">
        <v>0.60799999999999998</v>
      </c>
      <c r="N1439" s="7" t="s">
        <v>2199</v>
      </c>
      <c r="O1439" s="1" t="s">
        <v>1796</v>
      </c>
      <c r="P1439" s="8">
        <f t="shared" si="204"/>
        <v>1724</v>
      </c>
      <c r="Q1439" s="7" t="s">
        <v>2199</v>
      </c>
      <c r="R1439" s="8">
        <f t="shared" si="205"/>
        <v>1048.19</v>
      </c>
      <c r="S1439" s="13">
        <v>3.7389999999999999</v>
      </c>
      <c r="T1439" s="7" t="s">
        <v>876</v>
      </c>
      <c r="U1439" s="1" t="s">
        <v>1788</v>
      </c>
      <c r="V1439" s="8">
        <f>P1478</f>
        <v>301</v>
      </c>
      <c r="W1439" s="7" t="s">
        <v>876</v>
      </c>
      <c r="X1439" s="8">
        <f>V1439*S1439</f>
        <v>1125.44</v>
      </c>
      <c r="Y1439" s="13">
        <v>0.40500000000000003</v>
      </c>
      <c r="Z1439" s="7" t="s">
        <v>222</v>
      </c>
      <c r="AA1439" s="1" t="s">
        <v>1796</v>
      </c>
      <c r="AB1439" s="8">
        <f>V1441</f>
        <v>1724</v>
      </c>
      <c r="AC1439" s="7" t="s">
        <v>876</v>
      </c>
      <c r="AD1439" s="8">
        <f>AB1439*Y1439</f>
        <v>698.22</v>
      </c>
      <c r="AE1439" s="52">
        <f t="shared" si="202"/>
        <v>0</v>
      </c>
    </row>
    <row r="1440" spans="6:31" ht="24" customHeight="1">
      <c r="F1440" s="8">
        <v>2</v>
      </c>
      <c r="G1440" s="7" t="s">
        <v>1591</v>
      </c>
      <c r="H1440" s="1" t="s">
        <v>812</v>
      </c>
      <c r="I1440" s="8">
        <f>(C656)</f>
        <v>42.3</v>
      </c>
      <c r="J1440" s="1" t="s">
        <v>1591</v>
      </c>
      <c r="K1440" s="8">
        <f>(F1440*I1440)</f>
        <v>84.6</v>
      </c>
      <c r="N1440" s="3"/>
      <c r="O1440" s="1" t="s">
        <v>1797</v>
      </c>
      <c r="Q1440" s="4"/>
      <c r="R1440" s="8">
        <v>0.57999999999999996</v>
      </c>
      <c r="S1440" s="13">
        <v>0.36</v>
      </c>
      <c r="T1440" s="7" t="s">
        <v>222</v>
      </c>
      <c r="U1440" s="1" t="s">
        <v>1789</v>
      </c>
      <c r="V1440" s="8">
        <f>P1479</f>
        <v>303.89999999999998</v>
      </c>
      <c r="W1440" s="7" t="s">
        <v>876</v>
      </c>
      <c r="X1440" s="8">
        <f>V1440*S1440</f>
        <v>109.4</v>
      </c>
      <c r="Y1440" s="13"/>
      <c r="Z1440" s="7"/>
      <c r="AA1440" s="1"/>
      <c r="AB1440" s="8"/>
      <c r="AC1440" s="7"/>
      <c r="AD1440" s="8">
        <f>SUM(AD1437:AD1439)</f>
        <v>2088.5100000000002</v>
      </c>
      <c r="AE1440" s="52">
        <f t="shared" si="202"/>
        <v>0</v>
      </c>
    </row>
    <row r="1441" spans="6:31" ht="24" customHeight="1">
      <c r="G1441" s="7" t="s">
        <v>419</v>
      </c>
      <c r="H1441" s="1" t="s">
        <v>420</v>
      </c>
      <c r="I1441" s="1" t="s">
        <v>940</v>
      </c>
      <c r="J1441" s="1" t="s">
        <v>419</v>
      </c>
      <c r="K1441" s="8">
        <v>0</v>
      </c>
      <c r="R1441" s="39">
        <f>SUM(R1428:R1440)</f>
        <v>3838.83</v>
      </c>
      <c r="S1441" s="13">
        <v>0.36</v>
      </c>
      <c r="T1441" s="7" t="s">
        <v>222</v>
      </c>
      <c r="U1441" s="1" t="s">
        <v>1796</v>
      </c>
      <c r="V1441" s="8">
        <f>P1480</f>
        <v>1724</v>
      </c>
      <c r="W1441" s="7" t="s">
        <v>876</v>
      </c>
      <c r="X1441" s="8">
        <f>V1441*S1441</f>
        <v>620.64</v>
      </c>
      <c r="Y1441" s="13"/>
      <c r="Z1441" s="7"/>
      <c r="AA1441" s="42" t="s">
        <v>3489</v>
      </c>
      <c r="AB1441" s="8"/>
      <c r="AC1441" s="7"/>
      <c r="AD1441" s="39">
        <f>AD1440/Y1439</f>
        <v>5156.8100000000004</v>
      </c>
      <c r="AE1441" s="52">
        <f t="shared" si="202"/>
        <v>0</v>
      </c>
    </row>
    <row r="1442" spans="6:31" ht="24" customHeight="1">
      <c r="K1442" s="5" t="s">
        <v>1530</v>
      </c>
      <c r="M1442" s="8"/>
      <c r="N1442" s="7"/>
      <c r="O1442" s="1"/>
      <c r="P1442" s="8"/>
      <c r="Q1442" s="2"/>
      <c r="R1442" s="8"/>
      <c r="S1442" s="13"/>
      <c r="T1442" s="7"/>
      <c r="U1442" s="1"/>
      <c r="V1442" s="8"/>
      <c r="W1442" s="7"/>
      <c r="X1442" s="8">
        <f>SUM(X1439:X1441)</f>
        <v>1855.48</v>
      </c>
      <c r="AE1442" s="52">
        <f t="shared" si="202"/>
        <v>0</v>
      </c>
    </row>
    <row r="1443" spans="6:31" ht="24" customHeight="1">
      <c r="F1443" s="1" t="s">
        <v>940</v>
      </c>
      <c r="H1443" s="1" t="s">
        <v>411</v>
      </c>
      <c r="K1443" s="8">
        <f>SUM(K1436:K1441)</f>
        <v>2430.4299999999998</v>
      </c>
      <c r="N1443" s="3"/>
      <c r="O1443" s="218" t="s">
        <v>3436</v>
      </c>
      <c r="Q1443" s="11"/>
      <c r="S1443" s="13"/>
      <c r="T1443" s="7"/>
      <c r="U1443" s="42" t="s">
        <v>3489</v>
      </c>
      <c r="V1443" s="8"/>
      <c r="W1443" s="7"/>
      <c r="X1443" s="39">
        <f>X1442/S1441</f>
        <v>5154.1099999999997</v>
      </c>
      <c r="AE1443" s="52">
        <f t="shared" si="202"/>
        <v>0</v>
      </c>
    </row>
    <row r="1444" spans="6:31" ht="24" customHeight="1">
      <c r="H1444" s="37"/>
      <c r="I1444" s="37"/>
      <c r="J1444" s="99"/>
      <c r="K1444" s="41" t="s">
        <v>1530</v>
      </c>
      <c r="M1444" s="16">
        <v>5.35</v>
      </c>
      <c r="N1444" s="7" t="s">
        <v>876</v>
      </c>
      <c r="O1444" s="512" t="s">
        <v>4169</v>
      </c>
      <c r="P1444" s="8">
        <f>P1428</f>
        <v>301</v>
      </c>
      <c r="Q1444" s="7" t="s">
        <v>876</v>
      </c>
      <c r="R1444" s="8">
        <f>P1444*M1444</f>
        <v>1610.35</v>
      </c>
      <c r="AE1444" s="52">
        <f t="shared" si="202"/>
        <v>0</v>
      </c>
    </row>
    <row r="1445" spans="6:31" ht="24" customHeight="1">
      <c r="H1445" s="59" t="s">
        <v>521</v>
      </c>
      <c r="I1445" s="37"/>
      <c r="J1445" s="99"/>
      <c r="K1445" s="39">
        <f>(K1443/10)</f>
        <v>243.04</v>
      </c>
      <c r="M1445" s="16">
        <v>7.58</v>
      </c>
      <c r="N1445" s="7" t="s">
        <v>876</v>
      </c>
      <c r="O1445" s="1" t="s">
        <v>1788</v>
      </c>
      <c r="P1445" s="8">
        <f t="shared" ref="P1445:P1455" si="206">P1429</f>
        <v>301</v>
      </c>
      <c r="Q1445" s="7" t="s">
        <v>876</v>
      </c>
      <c r="R1445" s="8">
        <f t="shared" ref="R1445:R1455" si="207">P1445*M1445</f>
        <v>2281.58</v>
      </c>
      <c r="T1445" s="3"/>
      <c r="U1445" s="218" t="s">
        <v>3653</v>
      </c>
      <c r="V1445" s="73" t="s">
        <v>2274</v>
      </c>
      <c r="W1445" s="11"/>
      <c r="AE1445" s="52">
        <f t="shared" si="202"/>
        <v>0</v>
      </c>
    </row>
    <row r="1446" spans="6:31" ht="24" customHeight="1">
      <c r="K1446" s="5" t="s">
        <v>1980</v>
      </c>
      <c r="M1446" s="16">
        <v>13.15</v>
      </c>
      <c r="N1446" s="7" t="s">
        <v>876</v>
      </c>
      <c r="O1446" s="1" t="s">
        <v>1788</v>
      </c>
      <c r="P1446" s="8">
        <f t="shared" si="206"/>
        <v>301</v>
      </c>
      <c r="Q1446" s="7" t="s">
        <v>876</v>
      </c>
      <c r="R1446" s="8">
        <f t="shared" si="207"/>
        <v>3958.15</v>
      </c>
      <c r="S1446" s="13">
        <v>4.21</v>
      </c>
      <c r="T1446" s="7" t="s">
        <v>876</v>
      </c>
      <c r="U1446" s="1" t="s">
        <v>1788</v>
      </c>
      <c r="V1446" s="8">
        <f>P1485</f>
        <v>301</v>
      </c>
      <c r="W1446" s="7" t="s">
        <v>876</v>
      </c>
      <c r="X1446" s="8">
        <f>V1446*S1446</f>
        <v>1267.21</v>
      </c>
      <c r="AE1446" s="52">
        <f t="shared" si="202"/>
        <v>0</v>
      </c>
    </row>
    <row r="1447" spans="6:31" ht="24" customHeight="1">
      <c r="H1447" s="1" t="s">
        <v>940</v>
      </c>
      <c r="M1447" s="16">
        <v>2.31</v>
      </c>
      <c r="N1447" s="7" t="s">
        <v>876</v>
      </c>
      <c r="O1447" s="1" t="s">
        <v>1788</v>
      </c>
      <c r="P1447" s="8">
        <f t="shared" si="206"/>
        <v>301</v>
      </c>
      <c r="Q1447" s="7" t="s">
        <v>876</v>
      </c>
      <c r="R1447" s="8">
        <f t="shared" si="207"/>
        <v>695.31</v>
      </c>
      <c r="S1447" s="13">
        <v>0.45</v>
      </c>
      <c r="T1447" s="7" t="s">
        <v>222</v>
      </c>
      <c r="U1447" s="1" t="s">
        <v>1789</v>
      </c>
      <c r="V1447" s="8">
        <f>P1486</f>
        <v>303.89999999999998</v>
      </c>
      <c r="W1447" s="7" t="s">
        <v>876</v>
      </c>
      <c r="X1447" s="8">
        <f>V1447*S1447</f>
        <v>136.76</v>
      </c>
      <c r="AE1447" s="52">
        <f t="shared" si="202"/>
        <v>0</v>
      </c>
    </row>
    <row r="1448" spans="6:31" ht="24" customHeight="1">
      <c r="M1448" s="16">
        <v>2.44</v>
      </c>
      <c r="N1448" s="7" t="s">
        <v>222</v>
      </c>
      <c r="O1448" s="1" t="s">
        <v>1789</v>
      </c>
      <c r="P1448" s="545">
        <f t="shared" si="206"/>
        <v>303.89999999999998</v>
      </c>
      <c r="Q1448" s="7" t="s">
        <v>222</v>
      </c>
      <c r="R1448" s="8">
        <f t="shared" si="207"/>
        <v>741.52</v>
      </c>
      <c r="S1448" s="13">
        <v>0.45</v>
      </c>
      <c r="T1448" s="7" t="s">
        <v>222</v>
      </c>
      <c r="U1448" s="1" t="s">
        <v>1796</v>
      </c>
      <c r="V1448" s="8">
        <f>P1487</f>
        <v>1724</v>
      </c>
      <c r="W1448" s="7" t="s">
        <v>876</v>
      </c>
      <c r="X1448" s="8">
        <f>V1448*S1448</f>
        <v>775.8</v>
      </c>
      <c r="AE1448" s="52">
        <f t="shared" si="202"/>
        <v>0</v>
      </c>
    </row>
    <row r="1449" spans="6:31" ht="24" customHeight="1">
      <c r="F1449" s="2" t="s">
        <v>813</v>
      </c>
      <c r="G1449" s="7" t="s">
        <v>2167</v>
      </c>
      <c r="H1449" s="1" t="s">
        <v>814</v>
      </c>
      <c r="M1449" s="16">
        <v>18.62</v>
      </c>
      <c r="N1449" s="7" t="s">
        <v>794</v>
      </c>
      <c r="O1449" s="512" t="s">
        <v>4172</v>
      </c>
      <c r="P1449" s="8">
        <f t="shared" si="206"/>
        <v>28.8</v>
      </c>
      <c r="Q1449" s="7" t="s">
        <v>794</v>
      </c>
      <c r="R1449" s="8">
        <f t="shared" si="207"/>
        <v>536.26</v>
      </c>
      <c r="S1449" s="13">
        <f>R1488-2967</f>
        <v>786.29</v>
      </c>
      <c r="T1449" s="7"/>
      <c r="U1449" s="1"/>
      <c r="V1449" s="8"/>
      <c r="W1449" s="7"/>
      <c r="X1449" s="8">
        <f>SUM(X1446:X1448)</f>
        <v>2179.77</v>
      </c>
      <c r="AE1449" s="52">
        <f t="shared" si="202"/>
        <v>0</v>
      </c>
    </row>
    <row r="1450" spans="6:31" ht="24" customHeight="1">
      <c r="H1450" s="1" t="s">
        <v>1308</v>
      </c>
      <c r="M1450" s="16">
        <v>16</v>
      </c>
      <c r="N1450" s="7" t="s">
        <v>739</v>
      </c>
      <c r="O1450" s="512" t="s">
        <v>4170</v>
      </c>
      <c r="P1450" s="8">
        <f t="shared" si="206"/>
        <v>66.599999999999994</v>
      </c>
      <c r="Q1450" s="7" t="s">
        <v>739</v>
      </c>
      <c r="R1450" s="8">
        <f t="shared" si="207"/>
        <v>1065.5999999999999</v>
      </c>
      <c r="S1450" s="13"/>
      <c r="T1450" s="7"/>
      <c r="U1450" s="42" t="s">
        <v>3489</v>
      </c>
      <c r="V1450" s="8"/>
      <c r="W1450" s="7"/>
      <c r="X1450" s="39">
        <f>X1449/S1448</f>
        <v>4843.93</v>
      </c>
      <c r="Y1450" s="51"/>
      <c r="Z1450" s="3"/>
      <c r="AA1450" s="218" t="s">
        <v>3423</v>
      </c>
      <c r="AC1450" s="11"/>
      <c r="AE1450" s="52">
        <f t="shared" si="202"/>
        <v>0</v>
      </c>
    </row>
    <row r="1451" spans="6:31" ht="24" customHeight="1">
      <c r="H1451" s="1" t="s">
        <v>1309</v>
      </c>
      <c r="M1451" s="16">
        <v>8</v>
      </c>
      <c r="N1451" s="7" t="s">
        <v>739</v>
      </c>
      <c r="O1451" s="512" t="s">
        <v>4171</v>
      </c>
      <c r="P1451" s="8">
        <f t="shared" si="206"/>
        <v>53.4</v>
      </c>
      <c r="Q1451" s="7" t="s">
        <v>739</v>
      </c>
      <c r="R1451" s="8">
        <f t="shared" si="207"/>
        <v>427.2</v>
      </c>
      <c r="Y1451" s="13">
        <v>3.26</v>
      </c>
      <c r="Z1451" s="7" t="s">
        <v>876</v>
      </c>
      <c r="AA1451" s="1" t="s">
        <v>1788</v>
      </c>
      <c r="AB1451" s="8">
        <f t="shared" ref="AB1451:AB1462" si="208">V1453</f>
        <v>301</v>
      </c>
      <c r="AC1451" s="7" t="s">
        <v>876</v>
      </c>
      <c r="AD1451" s="8">
        <f t="shared" ref="AD1451:AD1462" si="209">AB1451*Y1451</f>
        <v>981.26</v>
      </c>
      <c r="AE1451" s="52">
        <f t="shared" si="202"/>
        <v>0</v>
      </c>
    </row>
    <row r="1452" spans="6:31" ht="24" customHeight="1">
      <c r="H1452" s="1" t="s">
        <v>665</v>
      </c>
      <c r="M1452" s="16">
        <v>8</v>
      </c>
      <c r="N1452" s="7" t="s">
        <v>739</v>
      </c>
      <c r="O1452" s="1" t="s">
        <v>1793</v>
      </c>
      <c r="P1452" s="8">
        <f t="shared" si="206"/>
        <v>30</v>
      </c>
      <c r="Q1452" s="7" t="s">
        <v>739</v>
      </c>
      <c r="R1452" s="8">
        <f t="shared" si="207"/>
        <v>240</v>
      </c>
      <c r="T1452" s="3"/>
      <c r="U1452" s="218" t="s">
        <v>3422</v>
      </c>
      <c r="W1452" s="11"/>
      <c r="Y1452" s="13">
        <v>0.84</v>
      </c>
      <c r="Z1452" s="7" t="s">
        <v>876</v>
      </c>
      <c r="AA1452" s="1" t="s">
        <v>1788</v>
      </c>
      <c r="AB1452" s="8">
        <f t="shared" si="208"/>
        <v>301</v>
      </c>
      <c r="AC1452" s="7" t="s">
        <v>876</v>
      </c>
      <c r="AD1452" s="8">
        <f t="shared" si="209"/>
        <v>252.84</v>
      </c>
      <c r="AE1452" s="52">
        <f t="shared" si="202"/>
        <v>0</v>
      </c>
    </row>
    <row r="1453" spans="6:31" ht="24" customHeight="1">
      <c r="H1453" s="5" t="s">
        <v>1530</v>
      </c>
      <c r="I1453" s="5" t="s">
        <v>1530</v>
      </c>
      <c r="M1453" s="16">
        <v>8</v>
      </c>
      <c r="N1453" s="7" t="s">
        <v>739</v>
      </c>
      <c r="O1453" s="1" t="s">
        <v>1794</v>
      </c>
      <c r="P1453" s="8">
        <f t="shared" si="206"/>
        <v>20</v>
      </c>
      <c r="Q1453" s="7" t="s">
        <v>739</v>
      </c>
      <c r="R1453" s="8">
        <f t="shared" si="207"/>
        <v>160</v>
      </c>
      <c r="S1453" s="13">
        <v>3.49</v>
      </c>
      <c r="T1453" s="7" t="s">
        <v>876</v>
      </c>
      <c r="U1453" s="1" t="s">
        <v>1788</v>
      </c>
      <c r="V1453" s="8">
        <f>P1492</f>
        <v>301</v>
      </c>
      <c r="W1453" s="7" t="s">
        <v>876</v>
      </c>
      <c r="X1453" s="8">
        <f>V1453*S1453</f>
        <v>1050.49</v>
      </c>
      <c r="Y1453" s="13">
        <v>3.65</v>
      </c>
      <c r="Z1453" s="7" t="s">
        <v>876</v>
      </c>
      <c r="AA1453" s="1" t="s">
        <v>1788</v>
      </c>
      <c r="AB1453" s="8">
        <f t="shared" si="208"/>
        <v>301</v>
      </c>
      <c r="AC1453" s="7" t="s">
        <v>876</v>
      </c>
      <c r="AD1453" s="8">
        <f t="shared" si="209"/>
        <v>1098.6500000000001</v>
      </c>
      <c r="AE1453" s="52">
        <f t="shared" si="202"/>
        <v>0</v>
      </c>
    </row>
    <row r="1454" spans="6:31" ht="24" customHeight="1">
      <c r="G1454" s="7" t="s">
        <v>1840</v>
      </c>
      <c r="H1454" s="1" t="s">
        <v>666</v>
      </c>
      <c r="M1454" s="16">
        <v>4</v>
      </c>
      <c r="N1454" s="7" t="s">
        <v>739</v>
      </c>
      <c r="O1454" s="1" t="s">
        <v>1795</v>
      </c>
      <c r="P1454" s="8">
        <f t="shared" si="206"/>
        <v>15</v>
      </c>
      <c r="Q1454" s="7" t="s">
        <v>739</v>
      </c>
      <c r="R1454" s="8">
        <f t="shared" si="207"/>
        <v>60</v>
      </c>
      <c r="S1454" s="13">
        <v>2.5299999999999998</v>
      </c>
      <c r="T1454" s="7" t="s">
        <v>876</v>
      </c>
      <c r="U1454" s="1" t="s">
        <v>1788</v>
      </c>
      <c r="V1454" s="8">
        <f t="shared" ref="V1454:V1464" si="210">P1493</f>
        <v>301</v>
      </c>
      <c r="W1454" s="7" t="s">
        <v>876</v>
      </c>
      <c r="X1454" s="8">
        <f t="shared" ref="X1454:X1464" si="211">V1454*S1454</f>
        <v>761.53</v>
      </c>
      <c r="Y1454" s="13">
        <v>0.64</v>
      </c>
      <c r="Z1454" s="7" t="s">
        <v>876</v>
      </c>
      <c r="AA1454" s="1" t="s">
        <v>1788</v>
      </c>
      <c r="AB1454" s="8">
        <f t="shared" si="208"/>
        <v>301</v>
      </c>
      <c r="AC1454" s="7" t="s">
        <v>876</v>
      </c>
      <c r="AD1454" s="8">
        <f t="shared" si="209"/>
        <v>192.64</v>
      </c>
      <c r="AE1454" s="52">
        <f t="shared" si="202"/>
        <v>0</v>
      </c>
    </row>
    <row r="1455" spans="6:31" ht="24" customHeight="1">
      <c r="G1455" s="7" t="s">
        <v>1530</v>
      </c>
      <c r="H1455" s="5" t="s">
        <v>1530</v>
      </c>
      <c r="M1455" s="16">
        <f>1.8*1.65</f>
        <v>2.97</v>
      </c>
      <c r="N1455" s="7" t="s">
        <v>2199</v>
      </c>
      <c r="O1455" s="1" t="s">
        <v>1796</v>
      </c>
      <c r="P1455" s="8">
        <f t="shared" si="206"/>
        <v>1724</v>
      </c>
      <c r="Q1455" s="7" t="s">
        <v>2199</v>
      </c>
      <c r="R1455" s="8">
        <f t="shared" si="207"/>
        <v>5120.28</v>
      </c>
      <c r="S1455" s="13">
        <v>5.7549999999999999</v>
      </c>
      <c r="T1455" s="7" t="s">
        <v>876</v>
      </c>
      <c r="U1455" s="1" t="s">
        <v>1788</v>
      </c>
      <c r="V1455" s="8">
        <f t="shared" si="210"/>
        <v>301</v>
      </c>
      <c r="W1455" s="7" t="s">
        <v>876</v>
      </c>
      <c r="X1455" s="8">
        <f t="shared" si="211"/>
        <v>1732.26</v>
      </c>
      <c r="Y1455" s="13">
        <v>0.84099999999999997</v>
      </c>
      <c r="Z1455" s="7" t="s">
        <v>222</v>
      </c>
      <c r="AA1455" s="1" t="s">
        <v>1789</v>
      </c>
      <c r="AB1455" s="8">
        <f t="shared" si="208"/>
        <v>303.89999999999998</v>
      </c>
      <c r="AC1455" s="7" t="s">
        <v>222</v>
      </c>
      <c r="AD1455" s="8">
        <f t="shared" si="209"/>
        <v>255.58</v>
      </c>
      <c r="AE1455" s="52">
        <f t="shared" si="202"/>
        <v>0</v>
      </c>
    </row>
    <row r="1456" spans="6:31" ht="24" customHeight="1">
      <c r="F1456" s="16">
        <v>1.4E-2</v>
      </c>
      <c r="G1456" s="7" t="s">
        <v>2070</v>
      </c>
      <c r="H1456" s="1" t="s">
        <v>667</v>
      </c>
      <c r="I1456" s="8">
        <f>K52</f>
        <v>3217.3</v>
      </c>
      <c r="J1456" s="1" t="s">
        <v>2070</v>
      </c>
      <c r="K1456" s="8">
        <f>(F1456*I1456)</f>
        <v>45.04</v>
      </c>
      <c r="N1456" s="3"/>
      <c r="O1456" s="1" t="s">
        <v>1797</v>
      </c>
      <c r="Q1456" s="4"/>
      <c r="R1456" s="8">
        <v>0.78</v>
      </c>
      <c r="S1456" s="13">
        <v>1.0009999999999999</v>
      </c>
      <c r="T1456" s="7" t="s">
        <v>876</v>
      </c>
      <c r="U1456" s="1" t="s">
        <v>1788</v>
      </c>
      <c r="V1456" s="8">
        <f t="shared" si="210"/>
        <v>301</v>
      </c>
      <c r="W1456" s="7" t="s">
        <v>876</v>
      </c>
      <c r="X1456" s="8">
        <f t="shared" si="211"/>
        <v>301.3</v>
      </c>
      <c r="Y1456" s="13">
        <v>5.1959999999999997</v>
      </c>
      <c r="Z1456" s="7" t="s">
        <v>794</v>
      </c>
      <c r="AA1456" s="1" t="s">
        <v>1790</v>
      </c>
      <c r="AB1456" s="8">
        <f t="shared" si="208"/>
        <v>28.8</v>
      </c>
      <c r="AC1456" s="7" t="s">
        <v>794</v>
      </c>
      <c r="AD1456" s="8">
        <f t="shared" si="209"/>
        <v>149.63999999999999</v>
      </c>
      <c r="AE1456" s="52">
        <f t="shared" si="202"/>
        <v>0</v>
      </c>
    </row>
    <row r="1457" spans="6:31" ht="24" customHeight="1">
      <c r="F1457" s="8">
        <v>0.3</v>
      </c>
      <c r="G1457" s="7" t="s">
        <v>529</v>
      </c>
      <c r="H1457" s="1" t="s">
        <v>668</v>
      </c>
      <c r="I1457" s="8">
        <f>C10</f>
        <v>861</v>
      </c>
      <c r="J1457" s="1" t="s">
        <v>529</v>
      </c>
      <c r="K1457" s="8">
        <f>(F1457*I1457)</f>
        <v>258.3</v>
      </c>
      <c r="R1457" s="39">
        <f>SUM(R1444:R1456)</f>
        <v>16897.03</v>
      </c>
      <c r="S1457" s="13">
        <f>1.012</f>
        <v>1.012</v>
      </c>
      <c r="T1457" s="7" t="s">
        <v>222</v>
      </c>
      <c r="U1457" s="1" t="s">
        <v>1789</v>
      </c>
      <c r="V1457" s="8">
        <f t="shared" si="210"/>
        <v>303.89999999999998</v>
      </c>
      <c r="W1457" s="7" t="s">
        <v>222</v>
      </c>
      <c r="X1457" s="8">
        <f t="shared" si="211"/>
        <v>307.55</v>
      </c>
      <c r="Y1457" s="13">
        <v>4</v>
      </c>
      <c r="Z1457" s="7" t="s">
        <v>739</v>
      </c>
      <c r="AA1457" s="1" t="s">
        <v>1791</v>
      </c>
      <c r="AB1457" s="8">
        <f t="shared" si="208"/>
        <v>66.599999999999994</v>
      </c>
      <c r="AC1457" s="7" t="s">
        <v>739</v>
      </c>
      <c r="AD1457" s="8">
        <f t="shared" si="209"/>
        <v>266.39999999999998</v>
      </c>
      <c r="AE1457" s="52">
        <f t="shared" si="202"/>
        <v>0</v>
      </c>
    </row>
    <row r="1458" spans="6:31" ht="24" customHeight="1">
      <c r="F1458" s="8">
        <v>0.3</v>
      </c>
      <c r="G1458" s="7" t="s">
        <v>529</v>
      </c>
      <c r="H1458" s="1" t="s">
        <v>792</v>
      </c>
      <c r="I1458" s="8">
        <f>C12</f>
        <v>562</v>
      </c>
      <c r="J1458" s="1" t="s">
        <v>529</v>
      </c>
      <c r="K1458" s="8">
        <f>(F1458*I1458)</f>
        <v>168.6</v>
      </c>
      <c r="R1458">
        <f>R1457/M1455</f>
        <v>5689.24</v>
      </c>
      <c r="S1458" s="13" t="s">
        <v>2199</v>
      </c>
      <c r="T1458" s="7" t="s">
        <v>794</v>
      </c>
      <c r="U1458" s="1" t="s">
        <v>1790</v>
      </c>
      <c r="V1458" s="8">
        <f t="shared" si="210"/>
        <v>28.8</v>
      </c>
      <c r="W1458" s="7" t="s">
        <v>794</v>
      </c>
      <c r="X1458" s="8">
        <f t="shared" si="211"/>
        <v>0</v>
      </c>
      <c r="Y1458" s="13">
        <v>2</v>
      </c>
      <c r="Z1458" s="7" t="s">
        <v>739</v>
      </c>
      <c r="AA1458" s="1" t="s">
        <v>1792</v>
      </c>
      <c r="AB1458" s="8">
        <f t="shared" si="208"/>
        <v>53.4</v>
      </c>
      <c r="AC1458" s="7" t="s">
        <v>739</v>
      </c>
      <c r="AD1458" s="8">
        <f t="shared" si="209"/>
        <v>106.8</v>
      </c>
      <c r="AE1458" s="52">
        <f t="shared" si="202"/>
        <v>0</v>
      </c>
    </row>
    <row r="1459" spans="6:31" ht="24" customHeight="1">
      <c r="G1459" s="7" t="s">
        <v>419</v>
      </c>
      <c r="H1459" s="1" t="s">
        <v>2187</v>
      </c>
      <c r="J1459" s="1" t="s">
        <v>419</v>
      </c>
      <c r="K1459">
        <v>0</v>
      </c>
      <c r="S1459" s="13">
        <v>8</v>
      </c>
      <c r="T1459" s="7" t="s">
        <v>739</v>
      </c>
      <c r="U1459" s="1" t="s">
        <v>1791</v>
      </c>
      <c r="V1459" s="8">
        <f t="shared" si="210"/>
        <v>66.599999999999994</v>
      </c>
      <c r="W1459" s="7" t="s">
        <v>739</v>
      </c>
      <c r="X1459" s="8">
        <f t="shared" si="211"/>
        <v>532.79999999999995</v>
      </c>
      <c r="Y1459" s="13">
        <v>2</v>
      </c>
      <c r="Z1459" s="7" t="s">
        <v>739</v>
      </c>
      <c r="AA1459" s="1" t="s">
        <v>1793</v>
      </c>
      <c r="AB1459" s="8">
        <f t="shared" si="208"/>
        <v>30</v>
      </c>
      <c r="AC1459" s="7" t="s">
        <v>739</v>
      </c>
      <c r="AD1459" s="8">
        <f t="shared" si="209"/>
        <v>60</v>
      </c>
      <c r="AE1459" s="52">
        <f t="shared" si="202"/>
        <v>0</v>
      </c>
    </row>
    <row r="1460" spans="6:31" ht="24" customHeight="1">
      <c r="K1460" s="5" t="s">
        <v>1530</v>
      </c>
      <c r="N1460" s="3"/>
      <c r="O1460" s="218" t="s">
        <v>2773</v>
      </c>
      <c r="Q1460" s="11"/>
      <c r="S1460" s="13">
        <v>4</v>
      </c>
      <c r="T1460" s="7" t="s">
        <v>739</v>
      </c>
      <c r="U1460" s="1" t="s">
        <v>1792</v>
      </c>
      <c r="V1460" s="8">
        <f t="shared" si="210"/>
        <v>53.4</v>
      </c>
      <c r="W1460" s="7" t="s">
        <v>739</v>
      </c>
      <c r="X1460" s="8">
        <f t="shared" si="211"/>
        <v>213.6</v>
      </c>
      <c r="Y1460" s="13">
        <v>2</v>
      </c>
      <c r="Z1460" s="7" t="s">
        <v>739</v>
      </c>
      <c r="AA1460" s="1" t="s">
        <v>1794</v>
      </c>
      <c r="AB1460" s="8">
        <f t="shared" si="208"/>
        <v>20</v>
      </c>
      <c r="AC1460" s="7" t="s">
        <v>739</v>
      </c>
      <c r="AD1460" s="8">
        <f t="shared" si="209"/>
        <v>40</v>
      </c>
      <c r="AE1460" s="52">
        <f t="shared" si="202"/>
        <v>0</v>
      </c>
    </row>
    <row r="1461" spans="6:31" ht="24" customHeight="1">
      <c r="H1461" s="2" t="s">
        <v>669</v>
      </c>
      <c r="K1461" s="8">
        <f>SUM(K1456:K1459)</f>
        <v>471.94</v>
      </c>
      <c r="M1461" s="16">
        <v>10.75</v>
      </c>
      <c r="N1461" s="7" t="s">
        <v>876</v>
      </c>
      <c r="O1461" s="512" t="s">
        <v>4169</v>
      </c>
      <c r="P1461" s="8">
        <f>P1444</f>
        <v>301</v>
      </c>
      <c r="Q1461" s="7" t="s">
        <v>876</v>
      </c>
      <c r="R1461" s="8">
        <f>P1461*M1461</f>
        <v>3235.75</v>
      </c>
      <c r="S1461" s="13">
        <v>4</v>
      </c>
      <c r="T1461" s="7" t="s">
        <v>739</v>
      </c>
      <c r="U1461" s="1" t="s">
        <v>1793</v>
      </c>
      <c r="V1461" s="8">
        <f t="shared" si="210"/>
        <v>30</v>
      </c>
      <c r="W1461" s="7" t="s">
        <v>739</v>
      </c>
      <c r="X1461" s="8">
        <f t="shared" si="211"/>
        <v>120</v>
      </c>
      <c r="Y1461" s="13">
        <v>4</v>
      </c>
      <c r="Z1461" s="7" t="s">
        <v>739</v>
      </c>
      <c r="AA1461" s="1" t="s">
        <v>1795</v>
      </c>
      <c r="AB1461" s="8">
        <f t="shared" si="208"/>
        <v>15</v>
      </c>
      <c r="AC1461" s="7" t="s">
        <v>739</v>
      </c>
      <c r="AD1461" s="8">
        <f t="shared" si="209"/>
        <v>60</v>
      </c>
      <c r="AE1461" s="52">
        <f t="shared" si="202"/>
        <v>0</v>
      </c>
    </row>
    <row r="1462" spans="6:31" ht="24" customHeight="1">
      <c r="K1462" s="5" t="s">
        <v>1530</v>
      </c>
      <c r="M1462" s="16">
        <v>0.99199999999999999</v>
      </c>
      <c r="N1462" s="7" t="s">
        <v>876</v>
      </c>
      <c r="O1462" s="1" t="s">
        <v>1788</v>
      </c>
      <c r="P1462" s="8">
        <f t="shared" ref="P1462:P1472" si="212">P1445</f>
        <v>301</v>
      </c>
      <c r="Q1462" s="7" t="s">
        <v>876</v>
      </c>
      <c r="R1462" s="8">
        <f t="shared" ref="R1462:R1472" si="213">P1462*M1462</f>
        <v>298.58999999999997</v>
      </c>
      <c r="S1462" s="13">
        <v>4</v>
      </c>
      <c r="T1462" s="7" t="s">
        <v>739</v>
      </c>
      <c r="U1462" s="1" t="s">
        <v>1794</v>
      </c>
      <c r="V1462" s="8">
        <f t="shared" si="210"/>
        <v>20</v>
      </c>
      <c r="W1462" s="7" t="s">
        <v>739</v>
      </c>
      <c r="X1462" s="8">
        <f t="shared" si="211"/>
        <v>80</v>
      </c>
      <c r="Y1462" s="13">
        <v>1.01</v>
      </c>
      <c r="Z1462" s="7" t="s">
        <v>2199</v>
      </c>
      <c r="AA1462" s="1" t="s">
        <v>1796</v>
      </c>
      <c r="AB1462" s="8">
        <f t="shared" si="208"/>
        <v>1724</v>
      </c>
      <c r="AC1462" s="7" t="s">
        <v>2199</v>
      </c>
      <c r="AD1462" s="8">
        <f t="shared" si="209"/>
        <v>1741.24</v>
      </c>
      <c r="AE1462" s="52">
        <f t="shared" si="202"/>
        <v>0</v>
      </c>
    </row>
    <row r="1463" spans="6:31" ht="24" customHeight="1">
      <c r="H1463" s="59" t="s">
        <v>670</v>
      </c>
      <c r="I1463" s="37"/>
      <c r="J1463" s="99"/>
      <c r="K1463" s="39">
        <f>K1461/6.77</f>
        <v>69.709999999999994</v>
      </c>
      <c r="M1463" s="16">
        <v>0</v>
      </c>
      <c r="N1463" s="7" t="s">
        <v>876</v>
      </c>
      <c r="O1463" s="1" t="s">
        <v>1788</v>
      </c>
      <c r="P1463" s="8">
        <f t="shared" si="212"/>
        <v>301</v>
      </c>
      <c r="Q1463" s="7" t="s">
        <v>876</v>
      </c>
      <c r="R1463" s="8">
        <f t="shared" si="213"/>
        <v>0</v>
      </c>
      <c r="S1463" s="13">
        <v>4</v>
      </c>
      <c r="T1463" s="7" t="s">
        <v>739</v>
      </c>
      <c r="U1463" s="1" t="s">
        <v>1795</v>
      </c>
      <c r="V1463" s="8">
        <f t="shared" si="210"/>
        <v>15</v>
      </c>
      <c r="W1463" s="7" t="s">
        <v>739</v>
      </c>
      <c r="X1463" s="8">
        <f t="shared" si="211"/>
        <v>60</v>
      </c>
      <c r="Y1463" s="51"/>
      <c r="Z1463" s="3"/>
      <c r="AA1463" s="1" t="s">
        <v>1797</v>
      </c>
      <c r="AC1463" s="4"/>
      <c r="AD1463" s="8">
        <v>0.84</v>
      </c>
      <c r="AE1463" s="52">
        <f t="shared" si="202"/>
        <v>0</v>
      </c>
    </row>
    <row r="1464" spans="6:31" ht="24" customHeight="1">
      <c r="F1464" s="1" t="s">
        <v>940</v>
      </c>
      <c r="M1464" s="16">
        <v>0</v>
      </c>
      <c r="N1464" s="7" t="s">
        <v>876</v>
      </c>
      <c r="O1464" s="1" t="s">
        <v>1788</v>
      </c>
      <c r="P1464" s="8">
        <f t="shared" si="212"/>
        <v>301</v>
      </c>
      <c r="Q1464" s="7" t="s">
        <v>876</v>
      </c>
      <c r="R1464" s="8">
        <f t="shared" si="213"/>
        <v>0</v>
      </c>
      <c r="S1464" s="13">
        <v>1.26</v>
      </c>
      <c r="T1464" s="7" t="s">
        <v>2199</v>
      </c>
      <c r="U1464" s="1" t="s">
        <v>1796</v>
      </c>
      <c r="V1464" s="8">
        <f t="shared" si="210"/>
        <v>1724</v>
      </c>
      <c r="W1464" s="7" t="s">
        <v>2199</v>
      </c>
      <c r="X1464" s="8">
        <f t="shared" si="211"/>
        <v>2172.2399999999998</v>
      </c>
      <c r="Y1464" s="51"/>
      <c r="AA1464" s="42" t="s">
        <v>3490</v>
      </c>
      <c r="AD1464" s="39">
        <f>SUM(AD1451:AD1463)</f>
        <v>5205.8900000000003</v>
      </c>
      <c r="AE1464" s="52">
        <f t="shared" si="202"/>
        <v>0</v>
      </c>
    </row>
    <row r="1465" spans="6:31" ht="24" customHeight="1">
      <c r="K1465" s="5" t="s">
        <v>1980</v>
      </c>
      <c r="M1465" s="16">
        <v>1.89</v>
      </c>
      <c r="N1465" s="7" t="s">
        <v>222</v>
      </c>
      <c r="O1465" s="1" t="s">
        <v>1789</v>
      </c>
      <c r="P1465" s="545">
        <f t="shared" si="212"/>
        <v>303.89999999999998</v>
      </c>
      <c r="Q1465" s="7" t="s">
        <v>222</v>
      </c>
      <c r="R1465" s="8">
        <f t="shared" si="213"/>
        <v>574.37</v>
      </c>
      <c r="T1465" s="3"/>
      <c r="U1465" s="1" t="s">
        <v>1797</v>
      </c>
      <c r="W1465" s="4"/>
      <c r="X1465" s="8">
        <v>0.14000000000000001</v>
      </c>
      <c r="AE1465" s="52">
        <f t="shared" si="202"/>
        <v>0</v>
      </c>
    </row>
    <row r="1466" spans="6:31" ht="24" customHeight="1">
      <c r="G1466" s="7" t="s">
        <v>486</v>
      </c>
      <c r="H1466" s="1" t="s">
        <v>671</v>
      </c>
      <c r="M1466" s="16">
        <v>8</v>
      </c>
      <c r="N1466" s="7" t="s">
        <v>794</v>
      </c>
      <c r="O1466" s="512" t="s">
        <v>4172</v>
      </c>
      <c r="P1466" s="8">
        <f t="shared" si="212"/>
        <v>28.8</v>
      </c>
      <c r="Q1466" s="7" t="s">
        <v>794</v>
      </c>
      <c r="R1466" s="8">
        <f t="shared" si="213"/>
        <v>230.4</v>
      </c>
      <c r="U1466" s="42" t="s">
        <v>3490</v>
      </c>
      <c r="X1466" s="39">
        <f>SUM(X1453:X1465)</f>
        <v>7331.91</v>
      </c>
      <c r="AE1466" s="52">
        <f t="shared" si="202"/>
        <v>0</v>
      </c>
    </row>
    <row r="1467" spans="6:31" ht="24" customHeight="1">
      <c r="G1467" s="7" t="s">
        <v>1530</v>
      </c>
      <c r="H1467" s="5" t="s">
        <v>1530</v>
      </c>
      <c r="M1467" s="16">
        <v>0</v>
      </c>
      <c r="N1467" s="7" t="s">
        <v>739</v>
      </c>
      <c r="O1467" s="512" t="s">
        <v>4170</v>
      </c>
      <c r="P1467" s="8">
        <f t="shared" si="212"/>
        <v>66.599999999999994</v>
      </c>
      <c r="Q1467" s="7" t="s">
        <v>739</v>
      </c>
      <c r="R1467" s="8">
        <f t="shared" si="213"/>
        <v>0</v>
      </c>
      <c r="AE1467" s="52">
        <f t="shared" si="202"/>
        <v>0</v>
      </c>
    </row>
    <row r="1468" spans="6:31" ht="24" customHeight="1">
      <c r="F1468" s="16">
        <v>7.0000000000000001E-3</v>
      </c>
      <c r="G1468" s="7" t="s">
        <v>2070</v>
      </c>
      <c r="H1468" s="1" t="s">
        <v>667</v>
      </c>
      <c r="I1468" s="8">
        <f>K52</f>
        <v>3217.3</v>
      </c>
      <c r="J1468" s="1" t="s">
        <v>2070</v>
      </c>
      <c r="K1468" s="8">
        <f>(F1468*I1468)</f>
        <v>22.52</v>
      </c>
      <c r="M1468" s="16">
        <v>0</v>
      </c>
      <c r="N1468" s="7" t="s">
        <v>739</v>
      </c>
      <c r="O1468" s="512" t="s">
        <v>4171</v>
      </c>
      <c r="P1468" s="8">
        <f t="shared" si="212"/>
        <v>53.4</v>
      </c>
      <c r="Q1468" s="7" t="s">
        <v>739</v>
      </c>
      <c r="R1468" s="8">
        <f t="shared" si="213"/>
        <v>0</v>
      </c>
      <c r="AE1468" s="52">
        <f t="shared" si="202"/>
        <v>0</v>
      </c>
    </row>
    <row r="1469" spans="6:31" ht="24" customHeight="1">
      <c r="F1469" s="8">
        <v>0.2</v>
      </c>
      <c r="G1469" s="7" t="s">
        <v>529</v>
      </c>
      <c r="H1469" s="1" t="s">
        <v>668</v>
      </c>
      <c r="I1469" s="8">
        <f>C10</f>
        <v>861</v>
      </c>
      <c r="J1469" s="1" t="s">
        <v>529</v>
      </c>
      <c r="K1469" s="8">
        <f>(F1469*I1469)</f>
        <v>172.2</v>
      </c>
      <c r="M1469" s="16">
        <v>0</v>
      </c>
      <c r="N1469" s="7" t="s">
        <v>739</v>
      </c>
      <c r="O1469" s="1" t="s">
        <v>1793</v>
      </c>
      <c r="P1469" s="8">
        <f t="shared" si="212"/>
        <v>30</v>
      </c>
      <c r="Q1469" s="7" t="s">
        <v>739</v>
      </c>
      <c r="R1469" s="8">
        <f t="shared" si="213"/>
        <v>0</v>
      </c>
      <c r="T1469" s="3"/>
      <c r="U1469" s="218" t="s">
        <v>2273</v>
      </c>
      <c r="V1469" s="73" t="s">
        <v>2274</v>
      </c>
      <c r="W1469" s="11"/>
      <c r="AE1469" s="52">
        <f t="shared" si="202"/>
        <v>0</v>
      </c>
    </row>
    <row r="1470" spans="6:31" ht="24" customHeight="1">
      <c r="F1470" s="8">
        <v>0.2</v>
      </c>
      <c r="G1470" s="7" t="s">
        <v>529</v>
      </c>
      <c r="H1470" s="1" t="s">
        <v>792</v>
      </c>
      <c r="I1470" s="8">
        <f>C12</f>
        <v>562</v>
      </c>
      <c r="J1470" s="1" t="s">
        <v>529</v>
      </c>
      <c r="K1470" s="8">
        <f>(F1470*I1470)</f>
        <v>112.4</v>
      </c>
      <c r="M1470" s="16">
        <v>0</v>
      </c>
      <c r="N1470" s="7" t="s">
        <v>739</v>
      </c>
      <c r="O1470" s="1" t="s">
        <v>1794</v>
      </c>
      <c r="P1470" s="8">
        <f t="shared" si="212"/>
        <v>20</v>
      </c>
      <c r="Q1470" s="7" t="s">
        <v>739</v>
      </c>
      <c r="R1470" s="8">
        <f t="shared" si="213"/>
        <v>0</v>
      </c>
      <c r="S1470" s="13">
        <v>6.81</v>
      </c>
      <c r="T1470" s="7" t="s">
        <v>876</v>
      </c>
      <c r="U1470" s="1" t="s">
        <v>1788</v>
      </c>
      <c r="V1470" s="8">
        <f>V1446</f>
        <v>301</v>
      </c>
      <c r="W1470" s="7" t="s">
        <v>876</v>
      </c>
      <c r="X1470" s="8">
        <f>V1470*S1470</f>
        <v>2049.81</v>
      </c>
      <c r="AE1470" s="52">
        <f t="shared" si="202"/>
        <v>0</v>
      </c>
    </row>
    <row r="1471" spans="6:31" ht="24" customHeight="1">
      <c r="H1471" s="1" t="s">
        <v>2187</v>
      </c>
      <c r="K1471">
        <v>0</v>
      </c>
      <c r="M1471" s="16">
        <v>0</v>
      </c>
      <c r="N1471" s="7" t="s">
        <v>739</v>
      </c>
      <c r="O1471" s="1" t="s">
        <v>1795</v>
      </c>
      <c r="P1471" s="8">
        <f t="shared" si="212"/>
        <v>15</v>
      </c>
      <c r="Q1471" s="7" t="s">
        <v>739</v>
      </c>
      <c r="R1471" s="8">
        <f t="shared" si="213"/>
        <v>0</v>
      </c>
      <c r="S1471" s="13">
        <v>0.77100000000000002</v>
      </c>
      <c r="T1471" s="7" t="s">
        <v>222</v>
      </c>
      <c r="U1471" s="1" t="s">
        <v>1789</v>
      </c>
      <c r="V1471" s="8">
        <f>V1447</f>
        <v>303.89999999999998</v>
      </c>
      <c r="W1471" s="7" t="s">
        <v>876</v>
      </c>
      <c r="X1471" s="8">
        <f>V1471*S1471</f>
        <v>234.31</v>
      </c>
      <c r="AE1471" s="52">
        <f t="shared" si="202"/>
        <v>0</v>
      </c>
    </row>
    <row r="1472" spans="6:31" ht="24" customHeight="1">
      <c r="K1472" s="5" t="s">
        <v>1530</v>
      </c>
      <c r="M1472" s="16">
        <v>1.89</v>
      </c>
      <c r="N1472" s="7" t="s">
        <v>2199</v>
      </c>
      <c r="O1472" s="1" t="s">
        <v>1796</v>
      </c>
      <c r="P1472" s="8">
        <f t="shared" si="212"/>
        <v>1724</v>
      </c>
      <c r="Q1472" s="7" t="s">
        <v>2199</v>
      </c>
      <c r="R1472" s="8">
        <f t="shared" si="213"/>
        <v>3258.36</v>
      </c>
      <c r="S1472" s="13">
        <v>0.77100000000000002</v>
      </c>
      <c r="T1472" s="7" t="s">
        <v>222</v>
      </c>
      <c r="U1472" s="1" t="s">
        <v>1796</v>
      </c>
      <c r="V1472" s="8">
        <f>V1448</f>
        <v>1724</v>
      </c>
      <c r="W1472" s="7" t="s">
        <v>876</v>
      </c>
      <c r="X1472" s="8">
        <f>V1472*S1472</f>
        <v>1329.2</v>
      </c>
      <c r="AE1472" s="52">
        <f t="shared" si="202"/>
        <v>0</v>
      </c>
    </row>
    <row r="1473" spans="6:31" ht="24" customHeight="1">
      <c r="H1473" s="2" t="s">
        <v>669</v>
      </c>
      <c r="K1473" s="8">
        <f>SUM(K1468:K1471)</f>
        <v>307.12</v>
      </c>
      <c r="N1473" s="3"/>
      <c r="O1473" s="1" t="s">
        <v>1797</v>
      </c>
      <c r="Q1473" s="4"/>
      <c r="R1473" s="8">
        <v>0.28000000000000003</v>
      </c>
      <c r="S1473" s="13"/>
      <c r="T1473" s="7"/>
      <c r="U1473" s="1"/>
      <c r="V1473" s="8"/>
      <c r="W1473" s="7"/>
      <c r="X1473" s="8">
        <f>SUM(X1470:X1472)</f>
        <v>3613.32</v>
      </c>
      <c r="AE1473" s="52">
        <f t="shared" si="202"/>
        <v>0</v>
      </c>
    </row>
    <row r="1474" spans="6:31" ht="24" customHeight="1">
      <c r="K1474" s="5" t="s">
        <v>1530</v>
      </c>
      <c r="R1474" s="39">
        <f>SUM(R1461:R1473)</f>
        <v>7597.75</v>
      </c>
      <c r="S1474" s="13"/>
      <c r="T1474" s="7"/>
      <c r="U1474" s="42" t="s">
        <v>3489</v>
      </c>
      <c r="V1474" s="8"/>
      <c r="W1474" s="7"/>
      <c r="X1474" s="39">
        <f>X1473/S1472</f>
        <v>4686.54</v>
      </c>
      <c r="AE1474" s="52">
        <f t="shared" si="202"/>
        <v>0</v>
      </c>
    </row>
    <row r="1475" spans="6:31" ht="24" customHeight="1">
      <c r="H1475" s="59" t="s">
        <v>670</v>
      </c>
      <c r="I1475" s="37"/>
      <c r="J1475" s="99"/>
      <c r="K1475" s="39">
        <f>K1473/6.77</f>
        <v>45.36</v>
      </c>
      <c r="AE1475" s="52">
        <f t="shared" si="202"/>
        <v>0</v>
      </c>
    </row>
    <row r="1476" spans="6:31" ht="24" customHeight="1">
      <c r="K1476" s="5" t="s">
        <v>1980</v>
      </c>
      <c r="AE1476" s="52">
        <f t="shared" si="202"/>
        <v>0</v>
      </c>
    </row>
    <row r="1477" spans="6:31" ht="24" customHeight="1">
      <c r="K1477" s="5"/>
      <c r="N1477" s="3"/>
      <c r="O1477" s="218" t="s">
        <v>2774</v>
      </c>
      <c r="P1477" s="1496" t="s">
        <v>2274</v>
      </c>
      <c r="Q1477" s="1496"/>
      <c r="R1477" s="1496"/>
      <c r="S1477" s="1531"/>
      <c r="T1477" s="1531"/>
      <c r="U1477" s="1531"/>
      <c r="V1477" s="594"/>
      <c r="W1477" s="594"/>
      <c r="AE1477" s="52">
        <f t="shared" si="202"/>
        <v>0</v>
      </c>
    </row>
    <row r="1478" spans="6:31" ht="24" customHeight="1">
      <c r="K1478" s="5"/>
      <c r="M1478" s="16">
        <v>4.67</v>
      </c>
      <c r="N1478" s="7" t="s">
        <v>876</v>
      </c>
      <c r="O1478" s="512" t="s">
        <v>4169</v>
      </c>
      <c r="P1478" s="8">
        <f>P1461</f>
        <v>301</v>
      </c>
      <c r="Q1478" s="7" t="s">
        <v>876</v>
      </c>
      <c r="R1478" s="8">
        <f>P1478*M1478</f>
        <v>1405.67</v>
      </c>
      <c r="S1478" s="16"/>
      <c r="T1478" s="7"/>
      <c r="U1478" s="1"/>
      <c r="V1478" s="8"/>
      <c r="W1478" s="7"/>
      <c r="X1478" s="8"/>
      <c r="AE1478" s="52">
        <f t="shared" si="202"/>
        <v>0</v>
      </c>
    </row>
    <row r="1479" spans="6:31" ht="24" customHeight="1">
      <c r="G1479" s="7" t="s">
        <v>295</v>
      </c>
      <c r="H1479" s="1" t="s">
        <v>902</v>
      </c>
      <c r="K1479" s="5"/>
      <c r="M1479" s="16">
        <v>0.54</v>
      </c>
      <c r="N1479" s="7" t="s">
        <v>222</v>
      </c>
      <c r="O1479" s="1" t="s">
        <v>1789</v>
      </c>
      <c r="P1479" s="545">
        <f>P1465</f>
        <v>303.89999999999998</v>
      </c>
      <c r="Q1479" s="7" t="s">
        <v>876</v>
      </c>
      <c r="R1479" s="8">
        <f>P1479*M1479</f>
        <v>164.11</v>
      </c>
      <c r="S1479" s="16"/>
      <c r="T1479" s="7"/>
      <c r="U1479" s="1"/>
      <c r="V1479" s="8"/>
      <c r="W1479" s="7"/>
      <c r="X1479" s="8"/>
      <c r="AE1479" s="52">
        <f t="shared" si="202"/>
        <v>0</v>
      </c>
    </row>
    <row r="1480" spans="6:31" ht="24" customHeight="1">
      <c r="G1480" s="7" t="s">
        <v>1530</v>
      </c>
      <c r="H1480" s="5" t="s">
        <v>1530</v>
      </c>
      <c r="K1480" s="5"/>
      <c r="M1480" s="16">
        <v>0.54</v>
      </c>
      <c r="N1480" s="7" t="s">
        <v>222</v>
      </c>
      <c r="O1480" s="1" t="s">
        <v>1796</v>
      </c>
      <c r="P1480" s="8">
        <f>P1472</f>
        <v>1724</v>
      </c>
      <c r="Q1480" s="7" t="s">
        <v>876</v>
      </c>
      <c r="R1480" s="8">
        <f>P1480*M1480</f>
        <v>930.96</v>
      </c>
      <c r="S1480" s="16"/>
      <c r="T1480" s="7"/>
      <c r="U1480" s="1"/>
      <c r="V1480" s="8"/>
      <c r="W1480" s="7"/>
      <c r="X1480" s="8"/>
      <c r="AE1480" s="52">
        <f t="shared" si="202"/>
        <v>0</v>
      </c>
    </row>
    <row r="1481" spans="6:31" ht="24" customHeight="1">
      <c r="F1481" s="16">
        <v>4.7000000000000002E-3</v>
      </c>
      <c r="G1481" s="7" t="s">
        <v>2070</v>
      </c>
      <c r="H1481" s="1" t="s">
        <v>667</v>
      </c>
      <c r="I1481">
        <f>K52</f>
        <v>3217.3</v>
      </c>
      <c r="J1481" s="1" t="s">
        <v>2070</v>
      </c>
      <c r="K1481" s="8">
        <f>(F1481*I1481)</f>
        <v>15.12</v>
      </c>
      <c r="M1481" s="16"/>
      <c r="N1481" s="7"/>
      <c r="O1481" s="1"/>
      <c r="P1481" s="8"/>
      <c r="Q1481" s="7"/>
      <c r="R1481" s="8">
        <f>SUM(R1478:R1480)</f>
        <v>2500.7399999999998</v>
      </c>
      <c r="S1481" s="16"/>
      <c r="T1481" s="7"/>
      <c r="U1481" s="1"/>
      <c r="V1481" s="595"/>
      <c r="W1481" s="596"/>
      <c r="X1481" s="8"/>
      <c r="AE1481" s="52">
        <f t="shared" si="202"/>
        <v>0</v>
      </c>
    </row>
    <row r="1482" spans="6:31" ht="24" customHeight="1">
      <c r="F1482" s="8">
        <v>0.15</v>
      </c>
      <c r="G1482" s="7" t="s">
        <v>529</v>
      </c>
      <c r="H1482" s="1" t="s">
        <v>668</v>
      </c>
      <c r="I1482">
        <f>C10</f>
        <v>861</v>
      </c>
      <c r="J1482" s="1" t="s">
        <v>529</v>
      </c>
      <c r="K1482" s="8">
        <f>(F1482*I1482)</f>
        <v>129.15</v>
      </c>
      <c r="M1482" s="16"/>
      <c r="N1482" s="7"/>
      <c r="O1482" s="42" t="s">
        <v>3489</v>
      </c>
      <c r="P1482" s="8"/>
      <c r="Q1482" s="7"/>
      <c r="R1482" s="39">
        <f>R1481/M1480</f>
        <v>4631</v>
      </c>
      <c r="S1482" s="16"/>
      <c r="T1482" s="7"/>
      <c r="U1482" s="1"/>
      <c r="V1482" s="8"/>
      <c r="W1482" s="7"/>
      <c r="X1482" s="39"/>
      <c r="AE1482" s="52">
        <f t="shared" si="202"/>
        <v>0</v>
      </c>
    </row>
    <row r="1483" spans="6:31" ht="24" customHeight="1">
      <c r="F1483" s="8">
        <v>0.15</v>
      </c>
      <c r="G1483" s="7" t="s">
        <v>529</v>
      </c>
      <c r="H1483" s="1" t="s">
        <v>792</v>
      </c>
      <c r="I1483">
        <f>C12</f>
        <v>562</v>
      </c>
      <c r="J1483" s="1" t="s">
        <v>529</v>
      </c>
      <c r="K1483" s="8">
        <f>(F1483*I1483)</f>
        <v>84.3</v>
      </c>
      <c r="M1483" s="16"/>
      <c r="N1483" s="7"/>
      <c r="O1483" s="1"/>
      <c r="P1483" s="8"/>
      <c r="Q1483" s="7"/>
      <c r="R1483" s="8"/>
      <c r="AE1483" s="52">
        <f t="shared" si="202"/>
        <v>0</v>
      </c>
    </row>
    <row r="1484" spans="6:31" ht="24" customHeight="1">
      <c r="H1484" s="1" t="s">
        <v>2187</v>
      </c>
      <c r="K1484">
        <v>0</v>
      </c>
      <c r="N1484" s="3"/>
      <c r="O1484" s="218" t="s">
        <v>2775</v>
      </c>
      <c r="P1484" s="73" t="s">
        <v>2274</v>
      </c>
      <c r="Q1484" s="11"/>
      <c r="AE1484" s="52">
        <f t="shared" si="202"/>
        <v>0</v>
      </c>
    </row>
    <row r="1485" spans="6:31" ht="24" customHeight="1">
      <c r="K1485" s="5" t="s">
        <v>1530</v>
      </c>
      <c r="M1485" s="16">
        <v>7.01</v>
      </c>
      <c r="N1485" s="7" t="s">
        <v>876</v>
      </c>
      <c r="O1485" s="512" t="s">
        <v>4169</v>
      </c>
      <c r="P1485" s="8">
        <f>P1478</f>
        <v>301</v>
      </c>
      <c r="Q1485" s="7" t="s">
        <v>876</v>
      </c>
      <c r="R1485" s="8">
        <f>P1485*M1485</f>
        <v>2110.0100000000002</v>
      </c>
      <c r="S1485" s="51">
        <f>0.3028*0.3028</f>
        <v>9.1999999999999998E-2</v>
      </c>
      <c r="T1485">
        <f>60*S1485</f>
        <v>5.52</v>
      </c>
      <c r="U1485">
        <f>4.58/10</f>
        <v>0.46</v>
      </c>
      <c r="AE1485" s="52">
        <f t="shared" ref="AE1485:AE1548" si="214">AG1485</f>
        <v>0</v>
      </c>
    </row>
    <row r="1486" spans="6:31" ht="24" customHeight="1">
      <c r="H1486" s="2" t="s">
        <v>669</v>
      </c>
      <c r="K1486" s="8">
        <f>SUM(K1481:K1484)</f>
        <v>228.57</v>
      </c>
      <c r="M1486" s="16">
        <v>0.81</v>
      </c>
      <c r="N1486" s="7" t="s">
        <v>222</v>
      </c>
      <c r="O1486" s="1" t="s">
        <v>1789</v>
      </c>
      <c r="P1486" s="545">
        <f>P1479</f>
        <v>303.89999999999998</v>
      </c>
      <c r="Q1486" s="7" t="s">
        <v>876</v>
      </c>
      <c r="R1486" s="8">
        <f>P1486*M1486</f>
        <v>246.16</v>
      </c>
      <c r="AE1486" s="52">
        <f t="shared" si="214"/>
        <v>0</v>
      </c>
    </row>
    <row r="1487" spans="6:31" ht="24" customHeight="1">
      <c r="K1487" s="5" t="s">
        <v>1530</v>
      </c>
      <c r="M1487" s="16">
        <v>0.81</v>
      </c>
      <c r="N1487" s="7" t="s">
        <v>222</v>
      </c>
      <c r="O1487" s="1" t="s">
        <v>1796</v>
      </c>
      <c r="P1487" s="8">
        <f>P1480</f>
        <v>1724</v>
      </c>
      <c r="Q1487" s="7" t="s">
        <v>876</v>
      </c>
      <c r="R1487" s="8">
        <f>P1487*M1487</f>
        <v>1396.44</v>
      </c>
      <c r="AE1487" s="52">
        <f t="shared" si="214"/>
        <v>0</v>
      </c>
    </row>
    <row r="1488" spans="6:31" ht="24" customHeight="1">
      <c r="H1488" s="59" t="s">
        <v>670</v>
      </c>
      <c r="I1488" s="37"/>
      <c r="J1488" s="99"/>
      <c r="K1488" s="39">
        <f>K1486/6.77</f>
        <v>33.76</v>
      </c>
      <c r="M1488" s="16"/>
      <c r="N1488" s="7"/>
      <c r="O1488" s="1"/>
      <c r="P1488" s="8"/>
      <c r="Q1488" s="7"/>
      <c r="R1488" s="8">
        <f>SUM(R1485:R1487)+0.68</f>
        <v>3753.29</v>
      </c>
      <c r="AE1488" s="52">
        <f t="shared" si="214"/>
        <v>0</v>
      </c>
    </row>
    <row r="1489" spans="6:31" ht="24" customHeight="1">
      <c r="K1489" s="5" t="s">
        <v>1980</v>
      </c>
      <c r="M1489" s="16"/>
      <c r="N1489" s="7"/>
      <c r="O1489" s="42" t="s">
        <v>3489</v>
      </c>
      <c r="P1489" s="8"/>
      <c r="Q1489" s="7"/>
      <c r="R1489" s="39">
        <f>R1488/M1487</f>
        <v>4633.6899999999996</v>
      </c>
      <c r="AE1489" s="52">
        <f t="shared" si="214"/>
        <v>0</v>
      </c>
    </row>
    <row r="1490" spans="6:31" ht="24" customHeight="1">
      <c r="K1490" s="5"/>
      <c r="N1490" s="3"/>
      <c r="O1490" s="1"/>
      <c r="Q1490" s="4"/>
      <c r="R1490" s="8"/>
      <c r="AE1490" s="52">
        <f t="shared" si="214"/>
        <v>0</v>
      </c>
    </row>
    <row r="1491" spans="6:31" ht="24" customHeight="1">
      <c r="F1491" s="25">
        <v>37.1</v>
      </c>
      <c r="G1491" s="7" t="s">
        <v>2167</v>
      </c>
      <c r="H1491" s="1" t="s">
        <v>366</v>
      </c>
      <c r="N1491" s="3"/>
      <c r="O1491" s="218" t="s">
        <v>3432</v>
      </c>
      <c r="Q1491" s="11"/>
      <c r="AE1491" s="52">
        <f t="shared" si="214"/>
        <v>0</v>
      </c>
    </row>
    <row r="1492" spans="6:31" ht="24" customHeight="1">
      <c r="H1492" s="5" t="s">
        <v>1530</v>
      </c>
      <c r="M1492" s="16">
        <v>4.42</v>
      </c>
      <c r="N1492" s="7" t="s">
        <v>876</v>
      </c>
      <c r="O1492" s="512" t="s">
        <v>4169</v>
      </c>
      <c r="P1492" s="8">
        <f>P1461</f>
        <v>301</v>
      </c>
      <c r="Q1492" s="7" t="s">
        <v>876</v>
      </c>
      <c r="R1492" s="8">
        <f>P1492*M1492</f>
        <v>1330.42</v>
      </c>
      <c r="AE1492" s="52">
        <f t="shared" si="214"/>
        <v>0</v>
      </c>
    </row>
    <row r="1493" spans="6:31" ht="24" customHeight="1">
      <c r="F1493" s="8">
        <v>0.09</v>
      </c>
      <c r="G1493" s="7" t="s">
        <v>836</v>
      </c>
      <c r="H1493" s="1" t="s">
        <v>1933</v>
      </c>
      <c r="I1493" s="8">
        <f>(C87)</f>
        <v>1322</v>
      </c>
      <c r="J1493" s="1" t="s">
        <v>836</v>
      </c>
      <c r="K1493" s="8">
        <f>(F1493*I1493)</f>
        <v>118.98</v>
      </c>
      <c r="M1493" s="16">
        <v>4.72</v>
      </c>
      <c r="N1493" s="7" t="s">
        <v>876</v>
      </c>
      <c r="O1493" s="512" t="s">
        <v>4169</v>
      </c>
      <c r="P1493" s="8">
        <f t="shared" ref="P1493:P1503" si="215">P1462</f>
        <v>301</v>
      </c>
      <c r="Q1493" s="7" t="s">
        <v>876</v>
      </c>
      <c r="R1493" s="8">
        <f t="shared" ref="R1493:R1503" si="216">P1493*M1493</f>
        <v>1420.72</v>
      </c>
      <c r="AE1493" s="52">
        <f t="shared" si="214"/>
        <v>0</v>
      </c>
    </row>
    <row r="1494" spans="6:31" ht="24" customHeight="1">
      <c r="F1494" s="8">
        <v>2.2000000000000002</v>
      </c>
      <c r="G1494" s="7" t="s">
        <v>835</v>
      </c>
      <c r="H1494" s="1" t="s">
        <v>1654</v>
      </c>
      <c r="I1494" s="8">
        <f>(C11)</f>
        <v>804</v>
      </c>
      <c r="J1494" s="1" t="s">
        <v>835</v>
      </c>
      <c r="K1494" s="8">
        <f>(F1494*I1494)</f>
        <v>1768.8</v>
      </c>
      <c r="M1494" s="16">
        <v>9.06</v>
      </c>
      <c r="N1494" s="7" t="s">
        <v>876</v>
      </c>
      <c r="O1494" s="1" t="s">
        <v>1788</v>
      </c>
      <c r="P1494" s="8">
        <f t="shared" si="215"/>
        <v>301</v>
      </c>
      <c r="Q1494" s="7" t="s">
        <v>876</v>
      </c>
      <c r="R1494" s="8">
        <f t="shared" si="216"/>
        <v>2727.06</v>
      </c>
      <c r="AE1494" s="52">
        <f t="shared" si="214"/>
        <v>0</v>
      </c>
    </row>
    <row r="1495" spans="6:31" ht="24" customHeight="1">
      <c r="F1495" s="8">
        <v>0.5</v>
      </c>
      <c r="G1495" s="7" t="s">
        <v>835</v>
      </c>
      <c r="H1495" s="1" t="s">
        <v>1836</v>
      </c>
      <c r="I1495" s="8">
        <f>(C12)</f>
        <v>562</v>
      </c>
      <c r="J1495" s="1" t="s">
        <v>835</v>
      </c>
      <c r="K1495" s="8">
        <f>(F1495*I1495)</f>
        <v>281</v>
      </c>
      <c r="M1495" s="16">
        <v>1.58</v>
      </c>
      <c r="N1495" s="7" t="s">
        <v>876</v>
      </c>
      <c r="O1495" s="1" t="s">
        <v>1788</v>
      </c>
      <c r="P1495" s="8">
        <f t="shared" si="215"/>
        <v>301</v>
      </c>
      <c r="Q1495" s="7" t="s">
        <v>876</v>
      </c>
      <c r="R1495" s="8">
        <f t="shared" si="216"/>
        <v>475.58</v>
      </c>
      <c r="AE1495" s="52">
        <f t="shared" si="214"/>
        <v>0</v>
      </c>
    </row>
    <row r="1496" spans="6:31" ht="24" customHeight="1">
      <c r="F1496" s="8">
        <v>3.8</v>
      </c>
      <c r="G1496" s="7" t="s">
        <v>835</v>
      </c>
      <c r="H1496" s="1" t="s">
        <v>299</v>
      </c>
      <c r="I1496" s="8">
        <f>(C13)</f>
        <v>461</v>
      </c>
      <c r="J1496" s="1" t="s">
        <v>835</v>
      </c>
      <c r="K1496" s="8">
        <f>(F1496*I1496)</f>
        <v>1751.8</v>
      </c>
      <c r="M1496" s="16">
        <v>1.65</v>
      </c>
      <c r="N1496" s="7" t="s">
        <v>222</v>
      </c>
      <c r="O1496" s="1" t="s">
        <v>1789</v>
      </c>
      <c r="P1496" s="8">
        <f t="shared" si="215"/>
        <v>303.89999999999998</v>
      </c>
      <c r="Q1496" s="7" t="s">
        <v>222</v>
      </c>
      <c r="R1496" s="8">
        <f t="shared" si="216"/>
        <v>501.44</v>
      </c>
      <c r="AE1496" s="52">
        <f t="shared" si="214"/>
        <v>0</v>
      </c>
    </row>
    <row r="1497" spans="6:31" ht="24" customHeight="1">
      <c r="G1497" s="7" t="s">
        <v>419</v>
      </c>
      <c r="H1497" s="1" t="s">
        <v>470</v>
      </c>
      <c r="I1497" s="1" t="s">
        <v>940</v>
      </c>
      <c r="J1497" s="1" t="s">
        <v>419</v>
      </c>
      <c r="K1497" s="8">
        <v>1.5</v>
      </c>
      <c r="M1497" s="16">
        <v>12.74</v>
      </c>
      <c r="N1497" s="7" t="s">
        <v>794</v>
      </c>
      <c r="O1497" s="1" t="str">
        <f>O1466</f>
        <v>rubber beeding P-41/64</v>
      </c>
      <c r="P1497" s="8">
        <f t="shared" si="215"/>
        <v>28.8</v>
      </c>
      <c r="Q1497" s="7" t="s">
        <v>794</v>
      </c>
      <c r="R1497" s="8">
        <f t="shared" si="216"/>
        <v>366.91</v>
      </c>
      <c r="AE1497" s="52">
        <f t="shared" si="214"/>
        <v>0</v>
      </c>
    </row>
    <row r="1498" spans="6:31" ht="24" customHeight="1">
      <c r="K1498" s="5" t="s">
        <v>1530</v>
      </c>
      <c r="M1498" s="16">
        <v>12</v>
      </c>
      <c r="N1498" s="7" t="s">
        <v>739</v>
      </c>
      <c r="O1498" s="1" t="str">
        <f>O1467</f>
        <v>hinges 75mm x 30 mm P-41/77 b</v>
      </c>
      <c r="P1498" s="8">
        <f t="shared" si="215"/>
        <v>66.599999999999994</v>
      </c>
      <c r="Q1498" s="7" t="s">
        <v>739</v>
      </c>
      <c r="R1498" s="8">
        <f t="shared" si="216"/>
        <v>799.2</v>
      </c>
      <c r="AE1498" s="52">
        <f t="shared" si="214"/>
        <v>0</v>
      </c>
    </row>
    <row r="1499" spans="6:31" ht="24" customHeight="1">
      <c r="H1499" s="1" t="s">
        <v>1773</v>
      </c>
      <c r="K1499" s="8">
        <f>SUM(K1492:K1497)</f>
        <v>3922.08</v>
      </c>
      <c r="M1499" s="16">
        <v>6</v>
      </c>
      <c r="N1499" s="7" t="s">
        <v>739</v>
      </c>
      <c r="O1499" s="1" t="str">
        <f>O1468</f>
        <v>handle 150 mm long p-42 /80b</v>
      </c>
      <c r="P1499" s="8">
        <f t="shared" si="215"/>
        <v>53.4</v>
      </c>
      <c r="Q1499" s="7" t="s">
        <v>739</v>
      </c>
      <c r="R1499" s="8">
        <f t="shared" si="216"/>
        <v>320.39999999999998</v>
      </c>
      <c r="AE1499" s="52">
        <f t="shared" si="214"/>
        <v>0</v>
      </c>
    </row>
    <row r="1500" spans="6:31" ht="24" customHeight="1">
      <c r="K1500" s="5" t="s">
        <v>1530</v>
      </c>
      <c r="M1500" s="16">
        <v>6</v>
      </c>
      <c r="N1500" s="7" t="s">
        <v>739</v>
      </c>
      <c r="O1500" s="1" t="s">
        <v>1793</v>
      </c>
      <c r="P1500" s="8">
        <f t="shared" si="215"/>
        <v>30</v>
      </c>
      <c r="Q1500" s="7" t="s">
        <v>739</v>
      </c>
      <c r="R1500" s="8">
        <f t="shared" si="216"/>
        <v>180</v>
      </c>
      <c r="AE1500" s="52">
        <f t="shared" si="214"/>
        <v>0</v>
      </c>
    </row>
    <row r="1501" spans="6:31" ht="24" customHeight="1">
      <c r="H1501" s="59" t="s">
        <v>521</v>
      </c>
      <c r="I1501" s="37"/>
      <c r="J1501" s="99"/>
      <c r="K1501" s="39">
        <f>(K1499/100)</f>
        <v>39.22</v>
      </c>
      <c r="M1501" s="16">
        <v>6</v>
      </c>
      <c r="N1501" s="7" t="s">
        <v>739</v>
      </c>
      <c r="O1501" s="1" t="s">
        <v>1794</v>
      </c>
      <c r="P1501" s="8">
        <f t="shared" si="215"/>
        <v>20</v>
      </c>
      <c r="Q1501" s="7" t="s">
        <v>739</v>
      </c>
      <c r="R1501" s="8">
        <f t="shared" si="216"/>
        <v>120</v>
      </c>
      <c r="AE1501" s="52">
        <f t="shared" si="214"/>
        <v>0</v>
      </c>
    </row>
    <row r="1502" spans="6:31" ht="24" customHeight="1">
      <c r="K1502" s="5" t="s">
        <v>1980</v>
      </c>
      <c r="M1502" s="16">
        <v>4</v>
      </c>
      <c r="N1502" s="7" t="s">
        <v>739</v>
      </c>
      <c r="O1502" s="1" t="s">
        <v>1795</v>
      </c>
      <c r="P1502" s="8">
        <f t="shared" si="215"/>
        <v>15</v>
      </c>
      <c r="Q1502" s="7" t="s">
        <v>739</v>
      </c>
      <c r="R1502" s="8">
        <f t="shared" si="216"/>
        <v>60</v>
      </c>
      <c r="AE1502" s="52">
        <f t="shared" si="214"/>
        <v>0</v>
      </c>
    </row>
    <row r="1503" spans="6:31" ht="24" customHeight="1">
      <c r="F1503" s="2" t="s">
        <v>815</v>
      </c>
      <c r="G1503" s="7" t="s">
        <v>2167</v>
      </c>
      <c r="H1503" s="1" t="s">
        <v>964</v>
      </c>
      <c r="M1503" s="16">
        <f>1.5*1.35</f>
        <v>2.0249999999999999</v>
      </c>
      <c r="N1503" s="7" t="s">
        <v>2199</v>
      </c>
      <c r="O1503" s="1" t="s">
        <v>1796</v>
      </c>
      <c r="P1503" s="8">
        <f t="shared" si="215"/>
        <v>1724</v>
      </c>
      <c r="Q1503" s="7" t="s">
        <v>2199</v>
      </c>
      <c r="R1503" s="8">
        <f t="shared" si="216"/>
        <v>3491.1</v>
      </c>
      <c r="AE1503" s="52">
        <f t="shared" si="214"/>
        <v>0</v>
      </c>
    </row>
    <row r="1504" spans="6:31" ht="24" customHeight="1">
      <c r="H1504" s="1" t="s">
        <v>965</v>
      </c>
      <c r="N1504" s="3"/>
      <c r="O1504" s="1" t="s">
        <v>1797</v>
      </c>
      <c r="Q1504" s="4"/>
      <c r="R1504" s="8">
        <v>0.31</v>
      </c>
      <c r="AE1504" s="52">
        <f t="shared" si="214"/>
        <v>0</v>
      </c>
    </row>
    <row r="1505" spans="6:31" ht="24" customHeight="1">
      <c r="H1505" s="1" t="s">
        <v>966</v>
      </c>
      <c r="R1505" s="39">
        <f>SUM(R1492:R1504)</f>
        <v>11793.14</v>
      </c>
      <c r="AE1505" s="52">
        <f t="shared" si="214"/>
        <v>0</v>
      </c>
    </row>
    <row r="1506" spans="6:31" ht="24" customHeight="1">
      <c r="H1506" s="1" t="s">
        <v>29</v>
      </c>
      <c r="AE1506" s="52">
        <f t="shared" si="214"/>
        <v>0</v>
      </c>
    </row>
    <row r="1507" spans="6:31" ht="24" customHeight="1">
      <c r="H1507" s="5" t="s">
        <v>1530</v>
      </c>
      <c r="AE1507" s="52">
        <f t="shared" si="214"/>
        <v>0</v>
      </c>
    </row>
    <row r="1508" spans="6:31" ht="24" customHeight="1">
      <c r="F1508" s="8">
        <v>4.8</v>
      </c>
      <c r="G1508" s="7" t="s">
        <v>1591</v>
      </c>
      <c r="H1508" s="1" t="s">
        <v>410</v>
      </c>
      <c r="I1508" s="8">
        <f>(C274)</f>
        <v>49.4</v>
      </c>
      <c r="J1508" s="1" t="s">
        <v>1591</v>
      </c>
      <c r="K1508" s="8">
        <f>(F1508*I1508)</f>
        <v>237.12</v>
      </c>
      <c r="AE1508" s="52">
        <f t="shared" si="214"/>
        <v>0</v>
      </c>
    </row>
    <row r="1509" spans="6:31" ht="24" customHeight="1">
      <c r="F1509" s="8">
        <v>0.75</v>
      </c>
      <c r="G1509" s="7" t="s">
        <v>835</v>
      </c>
      <c r="H1509" s="1" t="s">
        <v>30</v>
      </c>
      <c r="I1509" s="8">
        <f>(C14)</f>
        <v>688</v>
      </c>
      <c r="J1509" s="1" t="s">
        <v>835</v>
      </c>
      <c r="K1509" s="8">
        <f>(F1509*I1509)</f>
        <v>516</v>
      </c>
      <c r="AE1509" s="52">
        <f t="shared" si="214"/>
        <v>0</v>
      </c>
    </row>
    <row r="1510" spans="6:31" ht="24" customHeight="1">
      <c r="F1510" s="8">
        <v>0.75</v>
      </c>
      <c r="G1510" s="7" t="s">
        <v>835</v>
      </c>
      <c r="H1510" s="1" t="s">
        <v>897</v>
      </c>
      <c r="I1510" s="8">
        <f>(C12)</f>
        <v>562</v>
      </c>
      <c r="J1510" s="1" t="s">
        <v>835</v>
      </c>
      <c r="K1510" s="8">
        <f>(F1510*I1510)</f>
        <v>421.5</v>
      </c>
      <c r="AE1510" s="52">
        <f t="shared" si="214"/>
        <v>0</v>
      </c>
    </row>
    <row r="1511" spans="6:31" ht="24" customHeight="1">
      <c r="F1511" s="8">
        <v>1.2</v>
      </c>
      <c r="G1511" s="7" t="s">
        <v>835</v>
      </c>
      <c r="H1511" s="1" t="s">
        <v>299</v>
      </c>
      <c r="I1511" s="8">
        <f>(C13)</f>
        <v>461</v>
      </c>
      <c r="J1511" s="1" t="s">
        <v>835</v>
      </c>
      <c r="K1511" s="8">
        <f>(F1511*I1511)</f>
        <v>553.20000000000005</v>
      </c>
      <c r="AE1511" s="52">
        <f t="shared" si="214"/>
        <v>0</v>
      </c>
    </row>
    <row r="1512" spans="6:31" ht="24" customHeight="1">
      <c r="G1512" s="7" t="s">
        <v>419</v>
      </c>
      <c r="H1512" s="1" t="s">
        <v>1771</v>
      </c>
      <c r="I1512" s="1" t="s">
        <v>940</v>
      </c>
      <c r="J1512" s="1" t="s">
        <v>419</v>
      </c>
      <c r="K1512" s="8">
        <v>1.5</v>
      </c>
      <c r="AE1512" s="52">
        <f t="shared" si="214"/>
        <v>0</v>
      </c>
    </row>
    <row r="1513" spans="6:31" ht="24" customHeight="1">
      <c r="K1513" s="5" t="s">
        <v>1530</v>
      </c>
      <c r="AE1513" s="52">
        <f t="shared" si="214"/>
        <v>0</v>
      </c>
    </row>
    <row r="1514" spans="6:31" ht="24" customHeight="1">
      <c r="H1514" s="1" t="s">
        <v>411</v>
      </c>
      <c r="K1514" s="8">
        <f>SUM(K1508:K1512)</f>
        <v>1729.32</v>
      </c>
      <c r="AE1514" s="52">
        <f t="shared" si="214"/>
        <v>0</v>
      </c>
    </row>
    <row r="1515" spans="6:31" ht="24" customHeight="1">
      <c r="K1515" s="5" t="s">
        <v>1530</v>
      </c>
      <c r="AE1515" s="52">
        <f t="shared" si="214"/>
        <v>0</v>
      </c>
    </row>
    <row r="1516" spans="6:31" ht="24" customHeight="1">
      <c r="H1516" s="59" t="s">
        <v>521</v>
      </c>
      <c r="I1516" s="37"/>
      <c r="J1516" s="99"/>
      <c r="K1516" s="39">
        <f>(K1514/10)</f>
        <v>172.93</v>
      </c>
      <c r="AE1516" s="52">
        <f t="shared" si="214"/>
        <v>0</v>
      </c>
    </row>
    <row r="1517" spans="6:31" ht="24" customHeight="1">
      <c r="K1517" s="5" t="s">
        <v>1980</v>
      </c>
      <c r="AE1517" s="52">
        <f t="shared" si="214"/>
        <v>0</v>
      </c>
    </row>
    <row r="1518" spans="6:31" ht="24" customHeight="1">
      <c r="F1518" s="2" t="s">
        <v>31</v>
      </c>
      <c r="G1518" s="7" t="s">
        <v>2167</v>
      </c>
      <c r="H1518" s="2" t="s">
        <v>1900</v>
      </c>
      <c r="AE1518" s="52">
        <f t="shared" si="214"/>
        <v>0</v>
      </c>
    </row>
    <row r="1519" spans="6:31" ht="24" customHeight="1">
      <c r="H1519" s="2" t="s">
        <v>33</v>
      </c>
      <c r="M1519" s="2"/>
      <c r="N1519" s="7" t="s">
        <v>2167</v>
      </c>
      <c r="O1519" s="1" t="s">
        <v>1918</v>
      </c>
      <c r="Q1519" s="11"/>
      <c r="AE1519" s="52">
        <f t="shared" si="214"/>
        <v>0</v>
      </c>
    </row>
    <row r="1520" spans="6:31" ht="24" customHeight="1">
      <c r="F1520" s="8">
        <v>3.08</v>
      </c>
      <c r="G1520" s="7" t="s">
        <v>1315</v>
      </c>
      <c r="H1520" s="1" t="s">
        <v>32</v>
      </c>
      <c r="I1520" s="8">
        <f>E274</f>
        <v>155</v>
      </c>
      <c r="J1520" s="1" t="s">
        <v>1315</v>
      </c>
      <c r="K1520" s="8">
        <f>(F1520*I1520)</f>
        <v>477.4</v>
      </c>
      <c r="N1520" s="3"/>
      <c r="O1520" s="1" t="s">
        <v>965</v>
      </c>
      <c r="Q1520" s="11"/>
      <c r="AE1520" s="52">
        <f t="shared" si="214"/>
        <v>0</v>
      </c>
    </row>
    <row r="1521" spans="6:31" ht="24" customHeight="1">
      <c r="F1521" s="8">
        <v>0.5</v>
      </c>
      <c r="G1521" s="7" t="s">
        <v>529</v>
      </c>
      <c r="H1521" s="1" t="s">
        <v>1316</v>
      </c>
      <c r="I1521" s="8">
        <f>C14</f>
        <v>688</v>
      </c>
      <c r="J1521" s="1" t="s">
        <v>529</v>
      </c>
      <c r="K1521" s="8">
        <f>(F1521*I1521)</f>
        <v>344</v>
      </c>
      <c r="N1521" s="3"/>
      <c r="O1521" s="1" t="s">
        <v>966</v>
      </c>
      <c r="Q1521" s="11"/>
      <c r="AE1521" s="52">
        <f t="shared" si="214"/>
        <v>0</v>
      </c>
    </row>
    <row r="1522" spans="6:31" ht="24" customHeight="1">
      <c r="F1522" s="8">
        <v>0.5</v>
      </c>
      <c r="G1522" s="7" t="s">
        <v>529</v>
      </c>
      <c r="H1522" s="1" t="s">
        <v>792</v>
      </c>
      <c r="I1522" s="8">
        <f>C12</f>
        <v>562</v>
      </c>
      <c r="J1522" s="1" t="s">
        <v>529</v>
      </c>
      <c r="K1522" s="8">
        <f>(F1522*I1522)</f>
        <v>281</v>
      </c>
      <c r="N1522" s="3"/>
      <c r="O1522" s="1" t="s">
        <v>29</v>
      </c>
      <c r="Q1522" s="11"/>
      <c r="AE1522" s="52">
        <f t="shared" si="214"/>
        <v>0</v>
      </c>
    </row>
    <row r="1523" spans="6:31" ht="24" customHeight="1">
      <c r="F1523" s="8">
        <v>0.8</v>
      </c>
      <c r="G1523" s="7" t="s">
        <v>529</v>
      </c>
      <c r="H1523" s="1" t="s">
        <v>1317</v>
      </c>
      <c r="I1523" s="8">
        <f>C13</f>
        <v>461</v>
      </c>
      <c r="J1523" s="1" t="s">
        <v>529</v>
      </c>
      <c r="K1523" s="8">
        <f>(F1523*I1523)</f>
        <v>368.8</v>
      </c>
      <c r="N1523" s="3"/>
      <c r="O1523" s="5" t="s">
        <v>1530</v>
      </c>
      <c r="Q1523" s="11"/>
      <c r="AE1523" s="52">
        <f t="shared" si="214"/>
        <v>0</v>
      </c>
    </row>
    <row r="1524" spans="6:31" ht="24" customHeight="1">
      <c r="G1524" s="7" t="s">
        <v>419</v>
      </c>
      <c r="H1524" s="1" t="s">
        <v>1771</v>
      </c>
      <c r="J1524" s="1" t="s">
        <v>419</v>
      </c>
      <c r="K1524" s="8">
        <v>1.5</v>
      </c>
      <c r="M1524" s="8">
        <v>2.1800000000000002</v>
      </c>
      <c r="N1524" s="7" t="s">
        <v>1591</v>
      </c>
      <c r="O1524" s="1" t="s">
        <v>1919</v>
      </c>
      <c r="P1524" s="8">
        <v>70</v>
      </c>
      <c r="Q1524" s="1" t="s">
        <v>1591</v>
      </c>
      <c r="R1524" s="8">
        <f>M1524*P1524</f>
        <v>152.6</v>
      </c>
      <c r="AE1524" s="52">
        <f t="shared" si="214"/>
        <v>0</v>
      </c>
    </row>
    <row r="1525" spans="6:31" ht="24" customHeight="1">
      <c r="M1525" s="8">
        <v>0.75</v>
      </c>
      <c r="N1525" s="7" t="s">
        <v>835</v>
      </c>
      <c r="O1525" s="1" t="s">
        <v>30</v>
      </c>
      <c r="P1525" s="8">
        <f>C14</f>
        <v>688</v>
      </c>
      <c r="Q1525" s="1" t="s">
        <v>835</v>
      </c>
      <c r="R1525" s="8">
        <f>M1525*P1525</f>
        <v>516</v>
      </c>
      <c r="AE1525" s="52">
        <f t="shared" si="214"/>
        <v>0</v>
      </c>
    </row>
    <row r="1526" spans="6:31" ht="24" customHeight="1">
      <c r="K1526" s="5" t="s">
        <v>1530</v>
      </c>
      <c r="M1526" s="8">
        <v>0.75</v>
      </c>
      <c r="N1526" s="7" t="s">
        <v>835</v>
      </c>
      <c r="O1526" s="1" t="s">
        <v>897</v>
      </c>
      <c r="P1526" s="8">
        <f>C12</f>
        <v>562</v>
      </c>
      <c r="Q1526" s="1" t="s">
        <v>835</v>
      </c>
      <c r="R1526" s="8">
        <f>M1526*P1526</f>
        <v>421.5</v>
      </c>
      <c r="AE1526" s="52">
        <f t="shared" si="214"/>
        <v>0</v>
      </c>
    </row>
    <row r="1527" spans="6:31" ht="24" customHeight="1">
      <c r="H1527" s="2" t="s">
        <v>1318</v>
      </c>
      <c r="K1527" s="8">
        <f>SUM(K1520:K1524)</f>
        <v>1472.7</v>
      </c>
      <c r="M1527" s="8">
        <v>1.2</v>
      </c>
      <c r="N1527" s="7" t="s">
        <v>835</v>
      </c>
      <c r="O1527" s="1" t="s">
        <v>299</v>
      </c>
      <c r="P1527" s="8">
        <f>C13</f>
        <v>461</v>
      </c>
      <c r="Q1527" s="1" t="s">
        <v>835</v>
      </c>
      <c r="R1527" s="8">
        <f>M1527*P1527</f>
        <v>553.20000000000005</v>
      </c>
      <c r="AE1527" s="52">
        <f t="shared" si="214"/>
        <v>0</v>
      </c>
    </row>
    <row r="1528" spans="6:31" ht="24" customHeight="1">
      <c r="K1528" s="5" t="s">
        <v>1530</v>
      </c>
      <c r="N1528" s="7" t="s">
        <v>419</v>
      </c>
      <c r="O1528" s="1" t="s">
        <v>1771</v>
      </c>
      <c r="P1528" s="1" t="s">
        <v>940</v>
      </c>
      <c r="Q1528" s="1" t="s">
        <v>419</v>
      </c>
      <c r="R1528" s="8">
        <v>1.5</v>
      </c>
      <c r="AE1528" s="52">
        <f t="shared" si="214"/>
        <v>0</v>
      </c>
    </row>
    <row r="1529" spans="6:31" ht="24" customHeight="1">
      <c r="F1529" s="1" t="s">
        <v>940</v>
      </c>
      <c r="G1529" s="7" t="s">
        <v>940</v>
      </c>
      <c r="H1529" s="59" t="s">
        <v>1641</v>
      </c>
      <c r="I1529" s="34" t="s">
        <v>940</v>
      </c>
      <c r="J1529" s="34" t="s">
        <v>940</v>
      </c>
      <c r="K1529" s="39">
        <f>K1527/10</f>
        <v>147.27000000000001</v>
      </c>
      <c r="N1529" s="3"/>
      <c r="Q1529" s="11"/>
      <c r="R1529" s="5" t="s">
        <v>1530</v>
      </c>
      <c r="AE1529" s="52">
        <f t="shared" si="214"/>
        <v>0</v>
      </c>
    </row>
    <row r="1530" spans="6:31" ht="24" customHeight="1">
      <c r="K1530" s="5" t="s">
        <v>1980</v>
      </c>
      <c r="N1530" s="3"/>
      <c r="O1530" s="1" t="s">
        <v>411</v>
      </c>
      <c r="Q1530" s="11"/>
      <c r="R1530" s="8">
        <f>SUM(R1524:R1528)</f>
        <v>1644.8</v>
      </c>
      <c r="AE1530" s="52">
        <f t="shared" si="214"/>
        <v>0</v>
      </c>
    </row>
    <row r="1531" spans="6:31" ht="24" customHeight="1">
      <c r="F1531" s="2" t="s">
        <v>1319</v>
      </c>
      <c r="G1531" s="7" t="s">
        <v>2167</v>
      </c>
      <c r="H1531" s="1" t="s">
        <v>458</v>
      </c>
      <c r="N1531" s="3"/>
      <c r="Q1531" s="11"/>
      <c r="R1531" s="5" t="s">
        <v>1530</v>
      </c>
      <c r="AE1531" s="52">
        <f t="shared" si="214"/>
        <v>0</v>
      </c>
    </row>
    <row r="1532" spans="6:31" ht="24" customHeight="1">
      <c r="H1532" s="1" t="s">
        <v>1321</v>
      </c>
      <c r="N1532" s="3"/>
      <c r="O1532" s="1" t="s">
        <v>521</v>
      </c>
      <c r="Q1532" s="11"/>
      <c r="R1532" s="8">
        <f>(R1530/10)</f>
        <v>164.48</v>
      </c>
      <c r="AE1532" s="52">
        <f t="shared" si="214"/>
        <v>0</v>
      </c>
    </row>
    <row r="1533" spans="6:31" ht="24" customHeight="1">
      <c r="H1533" s="1" t="s">
        <v>1901</v>
      </c>
      <c r="N1533" s="3"/>
      <c r="Q1533" s="11"/>
      <c r="R1533" s="5" t="s">
        <v>1980</v>
      </c>
      <c r="AE1533" s="52">
        <f t="shared" si="214"/>
        <v>0</v>
      </c>
    </row>
    <row r="1534" spans="6:31" ht="24" customHeight="1">
      <c r="H1534" s="5" t="s">
        <v>1530</v>
      </c>
      <c r="L1534" s="178"/>
      <c r="M1534" s="578"/>
      <c r="N1534" s="1495" t="s">
        <v>4292</v>
      </c>
      <c r="O1534" s="1495"/>
      <c r="P1534" s="1495"/>
      <c r="Q1534" s="1495"/>
      <c r="R1534" s="1495"/>
      <c r="AE1534" s="52">
        <f t="shared" si="214"/>
        <v>0</v>
      </c>
    </row>
    <row r="1535" spans="6:31" ht="24" customHeight="1">
      <c r="F1535" s="8">
        <v>1.44</v>
      </c>
      <c r="G1535" s="7" t="s">
        <v>1192</v>
      </c>
      <c r="H1535" s="1" t="s">
        <v>1139</v>
      </c>
      <c r="I1535" s="8">
        <f>(C199)</f>
        <v>146.1</v>
      </c>
      <c r="J1535" s="1" t="s">
        <v>1192</v>
      </c>
      <c r="K1535" s="8">
        <f>(F1535*I1535)</f>
        <v>210.38</v>
      </c>
      <c r="L1535" s="184"/>
      <c r="M1535" s="582"/>
      <c r="N1535" s="583"/>
      <c r="O1535" s="590" t="s">
        <v>4293</v>
      </c>
      <c r="P1535" s="580"/>
      <c r="Q1535" s="583"/>
      <c r="R1535" s="580"/>
      <c r="AE1535" s="52">
        <f t="shared" si="214"/>
        <v>0</v>
      </c>
    </row>
    <row r="1536" spans="6:31" ht="24" customHeight="1">
      <c r="F1536" s="8">
        <v>0.7</v>
      </c>
      <c r="G1536" s="7" t="s">
        <v>739</v>
      </c>
      <c r="H1536" s="1" t="s">
        <v>1140</v>
      </c>
      <c r="I1536" s="8">
        <f>(C14)</f>
        <v>688</v>
      </c>
      <c r="J1536" s="1" t="s">
        <v>739</v>
      </c>
      <c r="K1536" s="8">
        <f>(F1536*I1536)</f>
        <v>481.6</v>
      </c>
      <c r="L1536" s="184"/>
      <c r="M1536" s="582"/>
      <c r="N1536" s="583"/>
      <c r="O1536" s="584"/>
      <c r="P1536" s="580"/>
      <c r="Q1536" s="583"/>
      <c r="R1536" s="580"/>
      <c r="AE1536" s="52">
        <f t="shared" si="214"/>
        <v>0</v>
      </c>
    </row>
    <row r="1537" spans="6:31" ht="24" customHeight="1">
      <c r="F1537" s="8">
        <v>2.5499999999999998</v>
      </c>
      <c r="G1537" s="7" t="s">
        <v>1192</v>
      </c>
      <c r="H1537" s="1" t="s">
        <v>1141</v>
      </c>
      <c r="I1537" s="8">
        <f>(C198)</f>
        <v>236.6</v>
      </c>
      <c r="J1537" s="1" t="s">
        <v>1192</v>
      </c>
      <c r="K1537" s="8">
        <f>(F1537*I1537)</f>
        <v>603.33000000000004</v>
      </c>
      <c r="L1537" s="184"/>
      <c r="M1537" s="582"/>
      <c r="N1537" s="583"/>
      <c r="O1537" s="584"/>
      <c r="P1537" s="580"/>
      <c r="Q1537" s="583"/>
      <c r="R1537" s="580"/>
      <c r="AE1537" s="52">
        <f t="shared" si="214"/>
        <v>0</v>
      </c>
    </row>
    <row r="1538" spans="6:31" ht="24" customHeight="1">
      <c r="F1538" s="8">
        <v>1.2</v>
      </c>
      <c r="G1538" s="7" t="s">
        <v>739</v>
      </c>
      <c r="H1538" s="1" t="s">
        <v>1140</v>
      </c>
      <c r="I1538" s="8">
        <f>(C14)</f>
        <v>688</v>
      </c>
      <c r="J1538" s="1" t="s">
        <v>739</v>
      </c>
      <c r="K1538" s="8">
        <f>(F1538*I1538)</f>
        <v>825.6</v>
      </c>
      <c r="L1538" s="184"/>
      <c r="M1538" s="582">
        <v>19.13</v>
      </c>
      <c r="N1538" s="583" t="s">
        <v>876</v>
      </c>
      <c r="O1538" s="584" t="s">
        <v>3830</v>
      </c>
      <c r="P1538" s="580">
        <f>P1492</f>
        <v>301</v>
      </c>
      <c r="Q1538" s="583" t="s">
        <v>876</v>
      </c>
      <c r="R1538" s="580">
        <f>P1538*M1538</f>
        <v>5758.13</v>
      </c>
      <c r="AE1538" s="52">
        <f t="shared" si="214"/>
        <v>0</v>
      </c>
    </row>
    <row r="1539" spans="6:31" ht="24" customHeight="1">
      <c r="G1539" s="7" t="s">
        <v>419</v>
      </c>
      <c r="H1539" s="1" t="s">
        <v>1142</v>
      </c>
      <c r="I1539" s="1" t="s">
        <v>940</v>
      </c>
      <c r="J1539" s="1" t="s">
        <v>419</v>
      </c>
      <c r="K1539" s="8">
        <v>1.5</v>
      </c>
      <c r="L1539" s="184"/>
      <c r="M1539" s="582">
        <v>2.97</v>
      </c>
      <c r="N1539" s="583" t="s">
        <v>222</v>
      </c>
      <c r="O1539" s="584" t="s">
        <v>3814</v>
      </c>
      <c r="P1539" s="580">
        <f>P1496</f>
        <v>303.89999999999998</v>
      </c>
      <c r="Q1539" s="583" t="s">
        <v>222</v>
      </c>
      <c r="R1539" s="580">
        <f t="shared" ref="R1539:R1544" si="217">P1539*M1539</f>
        <v>902.58</v>
      </c>
      <c r="AE1539" s="52">
        <f t="shared" si="214"/>
        <v>0</v>
      </c>
    </row>
    <row r="1540" spans="6:31" ht="24" customHeight="1">
      <c r="K1540" s="5" t="s">
        <v>1530</v>
      </c>
      <c r="L1540" s="184"/>
      <c r="M1540" s="582">
        <v>15.3</v>
      </c>
      <c r="N1540" s="583" t="s">
        <v>794</v>
      </c>
      <c r="O1540" s="584" t="s">
        <v>3813</v>
      </c>
      <c r="P1540" s="580">
        <f>P1497</f>
        <v>28.8</v>
      </c>
      <c r="Q1540" s="583" t="s">
        <v>794</v>
      </c>
      <c r="R1540" s="580">
        <f t="shared" si="217"/>
        <v>440.64</v>
      </c>
      <c r="AE1540" s="52">
        <f t="shared" si="214"/>
        <v>0</v>
      </c>
    </row>
    <row r="1541" spans="6:31" ht="24" customHeight="1">
      <c r="H1541" s="1" t="s">
        <v>411</v>
      </c>
      <c r="K1541" s="8">
        <f>SUM(K1535:K1539)</f>
        <v>2122.41</v>
      </c>
      <c r="L1541" s="184"/>
      <c r="M1541" s="582">
        <v>3</v>
      </c>
      <c r="N1541" s="583" t="s">
        <v>3822</v>
      </c>
      <c r="O1541" s="584" t="s">
        <v>3836</v>
      </c>
      <c r="P1541" s="580">
        <f>I4012</f>
        <v>350</v>
      </c>
      <c r="Q1541" s="583" t="s">
        <v>739</v>
      </c>
      <c r="R1541" s="580">
        <f t="shared" si="217"/>
        <v>1050</v>
      </c>
      <c r="AE1541" s="52">
        <f t="shared" si="214"/>
        <v>0</v>
      </c>
    </row>
    <row r="1542" spans="6:31" ht="24" customHeight="1">
      <c r="K1542" s="5" t="s">
        <v>1530</v>
      </c>
      <c r="L1542" s="184"/>
      <c r="M1542" s="582">
        <v>3</v>
      </c>
      <c r="N1542" s="583" t="s">
        <v>739</v>
      </c>
      <c r="O1542" s="584" t="s">
        <v>3815</v>
      </c>
      <c r="P1542" s="580">
        <f>I4013</f>
        <v>53.4</v>
      </c>
      <c r="Q1542" s="583" t="s">
        <v>739</v>
      </c>
      <c r="R1542" s="580">
        <f t="shared" si="217"/>
        <v>160.19999999999999</v>
      </c>
      <c r="AE1542" s="52">
        <f t="shared" si="214"/>
        <v>0</v>
      </c>
    </row>
    <row r="1543" spans="6:31" ht="24" customHeight="1">
      <c r="H1543" s="59" t="s">
        <v>521</v>
      </c>
      <c r="I1543" s="37"/>
      <c r="J1543" s="99"/>
      <c r="K1543" s="39">
        <f>(K1541/10)</f>
        <v>212.24</v>
      </c>
      <c r="L1543" s="184"/>
      <c r="M1543" s="582">
        <v>6</v>
      </c>
      <c r="N1543" s="583" t="s">
        <v>739</v>
      </c>
      <c r="O1543" s="584" t="s">
        <v>3817</v>
      </c>
      <c r="P1543" s="580">
        <f>I3998</f>
        <v>15</v>
      </c>
      <c r="Q1543" s="583" t="s">
        <v>739</v>
      </c>
      <c r="R1543" s="580">
        <f t="shared" si="217"/>
        <v>90</v>
      </c>
      <c r="AE1543" s="52">
        <f t="shared" si="214"/>
        <v>0</v>
      </c>
    </row>
    <row r="1544" spans="6:31" ht="24" customHeight="1">
      <c r="F1544" s="1" t="s">
        <v>940</v>
      </c>
      <c r="L1544" s="184"/>
      <c r="M1544" s="582">
        <v>2.97</v>
      </c>
      <c r="N1544" s="583" t="s">
        <v>2199</v>
      </c>
      <c r="O1544" s="584" t="s">
        <v>3818</v>
      </c>
      <c r="P1544" s="580">
        <f>R1555</f>
        <v>1724</v>
      </c>
      <c r="Q1544" s="583" t="s">
        <v>2199</v>
      </c>
      <c r="R1544" s="580">
        <f t="shared" si="217"/>
        <v>5120.28</v>
      </c>
      <c r="AE1544" s="52">
        <f t="shared" si="214"/>
        <v>0</v>
      </c>
    </row>
    <row r="1545" spans="6:31" ht="24" customHeight="1">
      <c r="K1545" s="5" t="s">
        <v>1980</v>
      </c>
      <c r="L1545" s="184"/>
      <c r="M1545" s="582"/>
      <c r="N1545" s="583"/>
      <c r="O1545" s="584" t="s">
        <v>2187</v>
      </c>
      <c r="P1545" s="578"/>
      <c r="Q1545" s="579"/>
      <c r="R1545" s="580">
        <v>3.5</v>
      </c>
      <c r="AE1545" s="52">
        <f t="shared" si="214"/>
        <v>0</v>
      </c>
    </row>
    <row r="1546" spans="6:31" ht="24" customHeight="1">
      <c r="F1546" s="12">
        <v>41</v>
      </c>
      <c r="G1546" s="7" t="s">
        <v>2167</v>
      </c>
      <c r="H1546" s="1" t="s">
        <v>1320</v>
      </c>
      <c r="L1546" s="184"/>
      <c r="M1546" s="578"/>
      <c r="N1546" s="585"/>
      <c r="O1546" s="1" t="s">
        <v>4294</v>
      </c>
      <c r="P1546" s="578"/>
      <c r="Q1546" s="578"/>
      <c r="R1546" s="587">
        <f>SUM(R1538:R1545)</f>
        <v>13525.33</v>
      </c>
      <c r="AE1546" s="52">
        <f t="shared" si="214"/>
        <v>0</v>
      </c>
    </row>
    <row r="1547" spans="6:31" ht="24" customHeight="1">
      <c r="H1547" s="1" t="s">
        <v>1014</v>
      </c>
      <c r="L1547" s="199"/>
      <c r="M1547" s="578"/>
      <c r="N1547" s="578"/>
      <c r="AE1547" s="52">
        <f t="shared" si="214"/>
        <v>0</v>
      </c>
    </row>
    <row r="1548" spans="6:31" ht="24" customHeight="1">
      <c r="H1548" s="1" t="s">
        <v>1191</v>
      </c>
      <c r="L1548" s="178"/>
      <c r="M1548" s="578"/>
      <c r="N1548" s="578"/>
      <c r="O1548" s="1" t="s">
        <v>521</v>
      </c>
      <c r="P1548" s="578"/>
      <c r="Q1548" s="578"/>
      <c r="R1548" s="588">
        <f>R1546/2.97</f>
        <v>4553.9799999999996</v>
      </c>
      <c r="S1548" s="51">
        <f>R1548-3740</f>
        <v>813.98</v>
      </c>
      <c r="AE1548" s="52">
        <f t="shared" si="214"/>
        <v>0</v>
      </c>
    </row>
    <row r="1549" spans="6:31" ht="24" customHeight="1">
      <c r="H1549" s="5" t="s">
        <v>1530</v>
      </c>
      <c r="L1549" s="184"/>
      <c r="M1549" s="578"/>
      <c r="N1549" s="578"/>
      <c r="O1549" s="591"/>
      <c r="P1549" s="578"/>
      <c r="Q1549" s="578"/>
      <c r="R1549" s="578"/>
      <c r="AE1549" s="52">
        <f t="shared" ref="AE1549:AE1612" si="218">AG1549</f>
        <v>0</v>
      </c>
    </row>
    <row r="1550" spans="6:31" ht="24" customHeight="1">
      <c r="F1550" s="8">
        <v>2.2200000000000002</v>
      </c>
      <c r="G1550" s="7" t="s">
        <v>1192</v>
      </c>
      <c r="H1550" s="1" t="s">
        <v>1141</v>
      </c>
      <c r="I1550" s="8">
        <f>(C210)</f>
        <v>225.4</v>
      </c>
      <c r="J1550" s="1" t="s">
        <v>1192</v>
      </c>
      <c r="K1550" s="8">
        <f>(F1550*I1550)</f>
        <v>500.39</v>
      </c>
      <c r="L1550" s="184"/>
      <c r="M1550" s="580">
        <v>1</v>
      </c>
      <c r="N1550" s="583" t="s">
        <v>835</v>
      </c>
      <c r="O1550" s="584" t="s">
        <v>3824</v>
      </c>
      <c r="P1550" s="580">
        <f>AE17</f>
        <v>760</v>
      </c>
      <c r="Q1550" s="584" t="s">
        <v>835</v>
      </c>
      <c r="R1550" s="580">
        <f>P1550*M1550</f>
        <v>760</v>
      </c>
      <c r="AE1550" s="52">
        <f t="shared" si="218"/>
        <v>0</v>
      </c>
    </row>
    <row r="1551" spans="6:31" ht="24" customHeight="1">
      <c r="F1551" s="8">
        <v>1.1000000000000001</v>
      </c>
      <c r="G1551" s="7" t="s">
        <v>739</v>
      </c>
      <c r="H1551" s="1" t="s">
        <v>1140</v>
      </c>
      <c r="I1551" s="8">
        <f>(C14)</f>
        <v>688</v>
      </c>
      <c r="J1551" s="1" t="s">
        <v>739</v>
      </c>
      <c r="K1551" s="8">
        <f>(F1551*I1551)</f>
        <v>756.8</v>
      </c>
      <c r="L1551" s="184"/>
      <c r="M1551" s="580">
        <v>1</v>
      </c>
      <c r="N1551" s="583" t="s">
        <v>835</v>
      </c>
      <c r="O1551" s="584" t="s">
        <v>3825</v>
      </c>
      <c r="P1551" s="580">
        <f>AE11</f>
        <v>562</v>
      </c>
      <c r="Q1551" s="584" t="s">
        <v>835</v>
      </c>
      <c r="R1551" s="580">
        <f>P1551*M1551</f>
        <v>562</v>
      </c>
      <c r="AE1551" s="52">
        <f t="shared" si="218"/>
        <v>0</v>
      </c>
    </row>
    <row r="1552" spans="6:31" ht="24" customHeight="1">
      <c r="G1552" s="7" t="s">
        <v>419</v>
      </c>
      <c r="H1552" s="1" t="s">
        <v>1142</v>
      </c>
      <c r="I1552" s="1" t="s">
        <v>940</v>
      </c>
      <c r="J1552" s="1" t="s">
        <v>419</v>
      </c>
      <c r="K1552" s="8">
        <v>1.5</v>
      </c>
      <c r="L1552" s="184"/>
      <c r="M1552" s="580">
        <v>0.5</v>
      </c>
      <c r="N1552" s="583" t="s">
        <v>835</v>
      </c>
      <c r="O1552" s="584" t="s">
        <v>3826</v>
      </c>
      <c r="P1552" s="580">
        <f>AE20</f>
        <v>804</v>
      </c>
      <c r="Q1552" s="584" t="s">
        <v>835</v>
      </c>
      <c r="R1552" s="580">
        <f>P1552*M1552</f>
        <v>402</v>
      </c>
      <c r="AE1552" s="52">
        <f t="shared" si="218"/>
        <v>0</v>
      </c>
    </row>
    <row r="1553" spans="6:31" ht="24" customHeight="1">
      <c r="K1553" s="5" t="s">
        <v>1530</v>
      </c>
      <c r="L1553" s="184"/>
      <c r="M1553" s="578"/>
      <c r="N1553" s="585"/>
      <c r="O1553" s="578"/>
      <c r="P1553" s="578"/>
      <c r="Q1553" s="592"/>
      <c r="R1553" s="580"/>
      <c r="AE1553" s="52">
        <f t="shared" si="218"/>
        <v>0</v>
      </c>
    </row>
    <row r="1554" spans="6:31" ht="24" customHeight="1">
      <c r="H1554" s="1" t="s">
        <v>411</v>
      </c>
      <c r="K1554" s="8">
        <f>SUM(K1550:K1552)</f>
        <v>1258.69</v>
      </c>
      <c r="L1554" s="184"/>
      <c r="M1554" s="578"/>
      <c r="N1554" s="585"/>
      <c r="O1554" s="584" t="s">
        <v>3827</v>
      </c>
      <c r="P1554" s="578"/>
      <c r="Q1554" s="592"/>
      <c r="R1554" s="593" t="s">
        <v>1530</v>
      </c>
      <c r="AE1554" s="52">
        <f t="shared" si="218"/>
        <v>0</v>
      </c>
    </row>
    <row r="1555" spans="6:31" ht="24" customHeight="1">
      <c r="K1555" s="5" t="s">
        <v>1530</v>
      </c>
      <c r="L1555" s="184"/>
      <c r="M1555" s="578"/>
      <c r="N1555" s="585"/>
      <c r="O1555" s="578"/>
      <c r="P1555" s="578"/>
      <c r="Q1555" s="592"/>
      <c r="R1555" s="587">
        <f>SUM(R1550:R1554)</f>
        <v>1724</v>
      </c>
      <c r="AE1555" s="52">
        <f t="shared" si="218"/>
        <v>0</v>
      </c>
    </row>
    <row r="1556" spans="6:31" ht="24" customHeight="1">
      <c r="H1556" s="59" t="s">
        <v>521</v>
      </c>
      <c r="I1556" s="37"/>
      <c r="J1556" s="99"/>
      <c r="K1556" s="39">
        <f>(K1554/10)</f>
        <v>125.87</v>
      </c>
      <c r="L1556" s="184"/>
      <c r="AE1556" s="52">
        <f t="shared" si="218"/>
        <v>0</v>
      </c>
    </row>
    <row r="1557" spans="6:31" ht="24" customHeight="1">
      <c r="H1557" s="1"/>
      <c r="K1557" s="8"/>
      <c r="L1557" s="184"/>
      <c r="AE1557" s="52">
        <f t="shared" si="218"/>
        <v>0</v>
      </c>
    </row>
    <row r="1558" spans="6:31" ht="24" customHeight="1">
      <c r="H1558" s="1"/>
      <c r="K1558" s="8"/>
      <c r="L1558" s="184"/>
      <c r="AE1558" s="52">
        <f t="shared" si="218"/>
        <v>0</v>
      </c>
    </row>
    <row r="1559" spans="6:31" ht="24" customHeight="1">
      <c r="F1559" s="173">
        <v>238</v>
      </c>
      <c r="G1559" s="174" t="s">
        <v>2167</v>
      </c>
      <c r="H1559" s="175" t="s">
        <v>555</v>
      </c>
      <c r="I1559" s="176"/>
      <c r="J1559" s="177"/>
      <c r="K1559" s="176"/>
      <c r="L1559" s="184"/>
      <c r="AE1559" s="52">
        <f t="shared" si="218"/>
        <v>0</v>
      </c>
    </row>
    <row r="1560" spans="6:31" ht="24" customHeight="1">
      <c r="F1560" s="179"/>
      <c r="G1560" s="180"/>
      <c r="H1560" s="181" t="s">
        <v>1902</v>
      </c>
      <c r="I1560" s="182"/>
      <c r="J1560" s="183"/>
      <c r="K1560" s="182"/>
      <c r="L1560" s="199"/>
      <c r="AE1560" s="52">
        <f t="shared" si="218"/>
        <v>0</v>
      </c>
    </row>
    <row r="1561" spans="6:31" ht="24" customHeight="1">
      <c r="F1561" s="179"/>
      <c r="G1561" s="180"/>
      <c r="H1561" s="185" t="s">
        <v>1530</v>
      </c>
      <c r="I1561" s="182"/>
      <c r="J1561" s="183"/>
      <c r="K1561" s="182"/>
      <c r="AE1561" s="52">
        <f t="shared" si="218"/>
        <v>0</v>
      </c>
    </row>
    <row r="1562" spans="6:31" ht="24" customHeight="1">
      <c r="F1562" s="186">
        <v>20</v>
      </c>
      <c r="G1562" s="187" t="s">
        <v>1192</v>
      </c>
      <c r="H1562" s="181" t="s">
        <v>4127</v>
      </c>
      <c r="I1562" s="709">
        <f>D40</f>
        <v>116.2</v>
      </c>
      <c r="J1562" s="181" t="s">
        <v>1192</v>
      </c>
      <c r="K1562" s="188">
        <f>(F1562*I1562)</f>
        <v>2324</v>
      </c>
      <c r="AE1562" s="52">
        <f t="shared" si="218"/>
        <v>0</v>
      </c>
    </row>
    <row r="1563" spans="6:31" ht="24" customHeight="1">
      <c r="F1563" s="179"/>
      <c r="G1563" s="180"/>
      <c r="H1563" s="181" t="s">
        <v>557</v>
      </c>
      <c r="I1563" s="182"/>
      <c r="J1563" s="183"/>
      <c r="K1563" s="181" t="s">
        <v>940</v>
      </c>
      <c r="AE1563" s="52">
        <f t="shared" si="218"/>
        <v>0</v>
      </c>
    </row>
    <row r="1564" spans="6:31" ht="24" customHeight="1">
      <c r="F1564" s="186">
        <v>50</v>
      </c>
      <c r="G1564" s="187" t="s">
        <v>1591</v>
      </c>
      <c r="H1564" s="181" t="s">
        <v>829</v>
      </c>
      <c r="I1564" s="188">
        <f>C70/1000</f>
        <v>5.96</v>
      </c>
      <c r="J1564" s="181" t="s">
        <v>1591</v>
      </c>
      <c r="K1564" s="188">
        <f>(F1564*I1564)</f>
        <v>298</v>
      </c>
      <c r="AE1564" s="52">
        <f t="shared" si="218"/>
        <v>0</v>
      </c>
    </row>
    <row r="1565" spans="6:31" ht="24" customHeight="1">
      <c r="F1565" s="186">
        <v>1</v>
      </c>
      <c r="G1565" s="187" t="s">
        <v>419</v>
      </c>
      <c r="H1565" s="181" t="s">
        <v>558</v>
      </c>
      <c r="I1565" s="513">
        <v>75</v>
      </c>
      <c r="J1565" s="181" t="s">
        <v>419</v>
      </c>
      <c r="K1565" s="188">
        <f>(F1565*I1565)</f>
        <v>75</v>
      </c>
      <c r="AE1565" s="52">
        <f t="shared" si="218"/>
        <v>0</v>
      </c>
    </row>
    <row r="1566" spans="6:31" ht="24" customHeight="1">
      <c r="F1566" s="186">
        <v>1</v>
      </c>
      <c r="G1566" s="187" t="s">
        <v>419</v>
      </c>
      <c r="H1566" s="181" t="s">
        <v>559</v>
      </c>
      <c r="I1566" s="188">
        <f>C38</f>
        <v>40</v>
      </c>
      <c r="J1566" s="181" t="s">
        <v>419</v>
      </c>
      <c r="K1566" s="188">
        <f>(F1566*I1566)</f>
        <v>40</v>
      </c>
      <c r="AE1566" s="52">
        <f t="shared" si="218"/>
        <v>0</v>
      </c>
    </row>
    <row r="1567" spans="6:31" ht="24" customHeight="1">
      <c r="F1567" s="186">
        <v>2.5</v>
      </c>
      <c r="G1567" s="187" t="s">
        <v>419</v>
      </c>
      <c r="H1567" s="181" t="s">
        <v>560</v>
      </c>
      <c r="I1567" s="188">
        <f>D14</f>
        <v>666</v>
      </c>
      <c r="J1567" s="181" t="s">
        <v>419</v>
      </c>
      <c r="K1567" s="188">
        <f>(F1567*I1567)</f>
        <v>1665</v>
      </c>
      <c r="AE1567" s="52">
        <f t="shared" si="218"/>
        <v>0</v>
      </c>
    </row>
    <row r="1568" spans="6:31" ht="24" customHeight="1">
      <c r="F1568" s="179"/>
      <c r="G1568" s="187" t="s">
        <v>419</v>
      </c>
      <c r="H1568" s="181" t="s">
        <v>471</v>
      </c>
      <c r="I1568" s="182"/>
      <c r="J1568" s="181" t="s">
        <v>419</v>
      </c>
      <c r="K1568" s="189">
        <v>1.5</v>
      </c>
      <c r="AE1568" s="52">
        <f t="shared" si="218"/>
        <v>0</v>
      </c>
    </row>
    <row r="1569" spans="6:31" ht="24" customHeight="1">
      <c r="F1569" s="179"/>
      <c r="G1569" s="180"/>
      <c r="H1569" s="182"/>
      <c r="I1569" s="182"/>
      <c r="J1569" s="183"/>
      <c r="K1569" s="185" t="s">
        <v>1530</v>
      </c>
      <c r="AE1569" s="52">
        <f t="shared" si="218"/>
        <v>0</v>
      </c>
    </row>
    <row r="1570" spans="6:31" ht="24" customHeight="1">
      <c r="F1570" s="179"/>
      <c r="G1570" s="180"/>
      <c r="H1570" s="190" t="s">
        <v>561</v>
      </c>
      <c r="I1570" s="191"/>
      <c r="J1570" s="192"/>
      <c r="K1570" s="193">
        <f>SUM(K1562:K1568)</f>
        <v>4403.5</v>
      </c>
      <c r="AE1570" s="52">
        <f t="shared" si="218"/>
        <v>0</v>
      </c>
    </row>
    <row r="1571" spans="6:31" ht="24" customHeight="1">
      <c r="F1571" s="179"/>
      <c r="G1571" s="180"/>
      <c r="H1571" s="181"/>
      <c r="I1571" s="182"/>
      <c r="J1571" s="183"/>
      <c r="K1571" s="185" t="s">
        <v>1530</v>
      </c>
      <c r="AE1571" s="52">
        <f t="shared" si="218"/>
        <v>0</v>
      </c>
    </row>
    <row r="1572" spans="6:31" ht="24" customHeight="1">
      <c r="F1572" s="194"/>
      <c r="G1572" s="195"/>
      <c r="H1572" s="196"/>
      <c r="I1572" s="196"/>
      <c r="J1572" s="197"/>
      <c r="K1572" s="198"/>
      <c r="AE1572" s="52">
        <f t="shared" si="218"/>
        <v>0</v>
      </c>
    </row>
    <row r="1573" spans="6:31" ht="24" customHeight="1">
      <c r="F1573" s="200" t="s">
        <v>1015</v>
      </c>
      <c r="G1573" s="174" t="s">
        <v>2167</v>
      </c>
      <c r="H1573" s="175" t="s">
        <v>520</v>
      </c>
      <c r="I1573" s="176"/>
      <c r="J1573" s="177"/>
      <c r="K1573" s="176"/>
      <c r="AE1573" s="52">
        <f t="shared" si="218"/>
        <v>0</v>
      </c>
    </row>
    <row r="1574" spans="6:31" ht="24" customHeight="1">
      <c r="F1574" s="179"/>
      <c r="G1574" s="180"/>
      <c r="H1574" s="181" t="s">
        <v>2053</v>
      </c>
      <c r="I1574" s="182"/>
      <c r="J1574" s="183"/>
      <c r="K1574" s="182"/>
      <c r="AE1574" s="52">
        <f t="shared" si="218"/>
        <v>0</v>
      </c>
    </row>
    <row r="1575" spans="6:31" ht="24" customHeight="1">
      <c r="F1575" s="179"/>
      <c r="G1575" s="180"/>
      <c r="H1575" s="185" t="s">
        <v>1530</v>
      </c>
      <c r="I1575" s="182"/>
      <c r="J1575" s="183"/>
      <c r="K1575" s="182"/>
      <c r="AE1575" s="52">
        <f t="shared" si="218"/>
        <v>0</v>
      </c>
    </row>
    <row r="1576" spans="6:31" ht="24" customHeight="1">
      <c r="F1576" s="186">
        <v>1</v>
      </c>
      <c r="G1576" s="187" t="s">
        <v>492</v>
      </c>
      <c r="H1576" s="181" t="s">
        <v>493</v>
      </c>
      <c r="I1576" s="188">
        <f>(C142)</f>
        <v>51750</v>
      </c>
      <c r="J1576" s="181" t="s">
        <v>494</v>
      </c>
      <c r="K1576" s="188">
        <f>(F1576*I1576)/10</f>
        <v>5175</v>
      </c>
      <c r="AE1576" s="52">
        <f t="shared" si="218"/>
        <v>0</v>
      </c>
    </row>
    <row r="1577" spans="6:31" ht="24" customHeight="1">
      <c r="F1577" s="201">
        <v>0.01</v>
      </c>
      <c r="G1577" s="187" t="s">
        <v>492</v>
      </c>
      <c r="H1577" s="181" t="s">
        <v>186</v>
      </c>
      <c r="I1577" s="188">
        <f>(C146)</f>
        <v>50300</v>
      </c>
      <c r="J1577" s="181" t="s">
        <v>494</v>
      </c>
      <c r="K1577" s="188">
        <f>(F1577*I1577)/10</f>
        <v>50.3</v>
      </c>
      <c r="AE1577" s="52">
        <f t="shared" si="218"/>
        <v>0</v>
      </c>
    </row>
    <row r="1578" spans="6:31" ht="24" customHeight="1">
      <c r="F1578" s="201">
        <v>3.5</v>
      </c>
      <c r="G1578" s="187" t="s">
        <v>739</v>
      </c>
      <c r="H1578" s="181" t="s">
        <v>495</v>
      </c>
      <c r="I1578" s="188">
        <f>AE38</f>
        <v>724</v>
      </c>
      <c r="J1578" s="181" t="s">
        <v>1341</v>
      </c>
      <c r="K1578" s="188">
        <f>(F1578*I1578)</f>
        <v>2534</v>
      </c>
      <c r="AE1578" s="52">
        <f t="shared" si="218"/>
        <v>0</v>
      </c>
    </row>
    <row r="1579" spans="6:31" ht="24" customHeight="1">
      <c r="F1579" s="186">
        <v>1.3</v>
      </c>
      <c r="G1579" s="187" t="s">
        <v>1591</v>
      </c>
      <c r="H1579" s="181" t="s">
        <v>496</v>
      </c>
      <c r="I1579" s="188">
        <f>C70/1000</f>
        <v>5.96</v>
      </c>
      <c r="J1579" s="181" t="s">
        <v>1591</v>
      </c>
      <c r="K1579" s="188">
        <f>(F1579*I1579)</f>
        <v>7.75</v>
      </c>
      <c r="AE1579" s="52">
        <f t="shared" si="218"/>
        <v>0</v>
      </c>
    </row>
    <row r="1580" spans="6:31" ht="24" customHeight="1">
      <c r="F1580" s="186">
        <v>0.25</v>
      </c>
      <c r="G1580" s="187" t="s">
        <v>739</v>
      </c>
      <c r="H1580" s="181" t="s">
        <v>497</v>
      </c>
      <c r="I1580" s="188">
        <f>D14</f>
        <v>666</v>
      </c>
      <c r="J1580" s="181" t="s">
        <v>1341</v>
      </c>
      <c r="K1580" s="188">
        <f>(F1580*I1580)</f>
        <v>166.5</v>
      </c>
      <c r="AE1580" s="52">
        <f t="shared" si="218"/>
        <v>0</v>
      </c>
    </row>
    <row r="1581" spans="6:31" ht="24" customHeight="1">
      <c r="F1581" s="201"/>
      <c r="G1581" s="187" t="s">
        <v>419</v>
      </c>
      <c r="H1581" s="181" t="s">
        <v>420</v>
      </c>
      <c r="I1581" s="182"/>
      <c r="J1581" s="181" t="s">
        <v>419</v>
      </c>
      <c r="K1581" s="188">
        <f>(F1581*I1581)</f>
        <v>0</v>
      </c>
      <c r="AE1581" s="52">
        <f t="shared" si="218"/>
        <v>0</v>
      </c>
    </row>
    <row r="1582" spans="6:31" ht="24" customHeight="1">
      <c r="F1582" s="201"/>
      <c r="G1582" s="180"/>
      <c r="H1582" s="182"/>
      <c r="I1582" s="182"/>
      <c r="J1582" s="183"/>
      <c r="K1582" s="185" t="s">
        <v>1530</v>
      </c>
      <c r="AE1582" s="52">
        <f t="shared" si="218"/>
        <v>0</v>
      </c>
    </row>
    <row r="1583" spans="6:31" ht="24" customHeight="1">
      <c r="F1583" s="201"/>
      <c r="G1583" s="180"/>
      <c r="H1583" s="181" t="s">
        <v>498</v>
      </c>
      <c r="I1583" s="182"/>
      <c r="J1583" s="183"/>
      <c r="K1583" s="188">
        <f>SUM(K1576:K1581)</f>
        <v>7933.55</v>
      </c>
      <c r="AE1583" s="52">
        <f t="shared" si="218"/>
        <v>0</v>
      </c>
    </row>
    <row r="1584" spans="6:31" ht="24" customHeight="1">
      <c r="F1584" s="201"/>
      <c r="G1584" s="180"/>
      <c r="H1584" s="182"/>
      <c r="I1584" s="182"/>
      <c r="J1584" s="183"/>
      <c r="K1584" s="185" t="s">
        <v>1530</v>
      </c>
      <c r="AE1584" s="52">
        <f t="shared" si="218"/>
        <v>0</v>
      </c>
    </row>
    <row r="1585" spans="6:31" ht="24" customHeight="1">
      <c r="F1585" s="202"/>
      <c r="G1585" s="195"/>
      <c r="H1585" s="203" t="s">
        <v>499</v>
      </c>
      <c r="I1585" s="204"/>
      <c r="J1585" s="205"/>
      <c r="K1585" s="206">
        <f>(K1583*10)</f>
        <v>79335.5</v>
      </c>
      <c r="AE1585" s="52">
        <f t="shared" si="218"/>
        <v>0</v>
      </c>
    </row>
    <row r="1586" spans="6:31" ht="24" customHeight="1">
      <c r="F1586" s="13"/>
      <c r="K1586" s="5"/>
      <c r="AE1586" s="52">
        <f t="shared" si="218"/>
        <v>0</v>
      </c>
    </row>
    <row r="1587" spans="6:31" ht="24" customHeight="1">
      <c r="F1587" s="13"/>
      <c r="K1587" s="5"/>
      <c r="AE1587" s="52">
        <f t="shared" si="218"/>
        <v>0</v>
      </c>
    </row>
    <row r="1588" spans="6:31" ht="24" customHeight="1">
      <c r="F1588" s="13"/>
      <c r="H1588" s="20" t="s">
        <v>500</v>
      </c>
      <c r="K1588" s="5"/>
      <c r="AE1588" s="52">
        <f t="shared" si="218"/>
        <v>0</v>
      </c>
    </row>
    <row r="1589" spans="6:31" ht="24" customHeight="1">
      <c r="F1589" s="8">
        <v>1</v>
      </c>
      <c r="G1589" s="7" t="s">
        <v>492</v>
      </c>
      <c r="H1589" s="1" t="s">
        <v>501</v>
      </c>
      <c r="I1589">
        <f>C141</f>
        <v>51750</v>
      </c>
      <c r="J1589" s="1" t="s">
        <v>494</v>
      </c>
      <c r="K1589" s="8">
        <f>(F1589*I1589)/10</f>
        <v>5175</v>
      </c>
      <c r="AE1589" s="52">
        <f t="shared" si="218"/>
        <v>0</v>
      </c>
    </row>
    <row r="1590" spans="6:31" ht="24" customHeight="1">
      <c r="F1590" s="13">
        <v>0.01</v>
      </c>
      <c r="G1590" s="7" t="s">
        <v>492</v>
      </c>
      <c r="H1590" s="1" t="s">
        <v>186</v>
      </c>
      <c r="I1590">
        <f>C146</f>
        <v>50300</v>
      </c>
      <c r="J1590" s="1" t="s">
        <v>494</v>
      </c>
      <c r="K1590" s="8">
        <f>(F1590*I1590)/10</f>
        <v>50.3</v>
      </c>
      <c r="AE1590" s="52">
        <f t="shared" si="218"/>
        <v>0</v>
      </c>
    </row>
    <row r="1591" spans="6:31" ht="24" customHeight="1">
      <c r="F1591" s="13">
        <v>3.5</v>
      </c>
      <c r="G1591" s="7" t="s">
        <v>739</v>
      </c>
      <c r="H1591" s="1" t="s">
        <v>495</v>
      </c>
      <c r="I1591">
        <f>I1578</f>
        <v>724</v>
      </c>
      <c r="J1591" s="1" t="s">
        <v>1341</v>
      </c>
      <c r="K1591" s="8">
        <f>(F1591*I1591)</f>
        <v>2534</v>
      </c>
      <c r="AE1591" s="52">
        <f t="shared" si="218"/>
        <v>0</v>
      </c>
    </row>
    <row r="1592" spans="6:31" ht="24" customHeight="1">
      <c r="F1592" s="8">
        <v>1.3</v>
      </c>
      <c r="G1592" s="7" t="s">
        <v>1591</v>
      </c>
      <c r="H1592" s="1" t="s">
        <v>496</v>
      </c>
      <c r="I1592">
        <f>C70/1000</f>
        <v>5.96</v>
      </c>
      <c r="J1592" s="1" t="s">
        <v>1591</v>
      </c>
      <c r="K1592" s="8">
        <f>(F1592*I1592)</f>
        <v>7.75</v>
      </c>
      <c r="AE1592" s="52">
        <f t="shared" si="218"/>
        <v>0</v>
      </c>
    </row>
    <row r="1593" spans="6:31" ht="24" customHeight="1">
      <c r="F1593" s="8">
        <v>0.25</v>
      </c>
      <c r="G1593" s="7" t="s">
        <v>739</v>
      </c>
      <c r="H1593" s="1" t="s">
        <v>497</v>
      </c>
      <c r="I1593">
        <f>D14</f>
        <v>666</v>
      </c>
      <c r="J1593" s="1" t="s">
        <v>1341</v>
      </c>
      <c r="K1593" s="8">
        <f>(F1593*I1593)</f>
        <v>166.5</v>
      </c>
      <c r="AE1593" s="52">
        <f t="shared" si="218"/>
        <v>0</v>
      </c>
    </row>
    <row r="1594" spans="6:31" ht="24" customHeight="1">
      <c r="F1594" s="13"/>
      <c r="G1594" s="7" t="s">
        <v>419</v>
      </c>
      <c r="H1594" s="1" t="s">
        <v>420</v>
      </c>
      <c r="J1594" s="1" t="s">
        <v>419</v>
      </c>
      <c r="K1594" s="8">
        <f>(F1594*I1594)</f>
        <v>0</v>
      </c>
      <c r="AE1594" s="52">
        <f t="shared" si="218"/>
        <v>0</v>
      </c>
    </row>
    <row r="1595" spans="6:31" ht="24" customHeight="1">
      <c r="F1595" s="13"/>
      <c r="K1595" s="5" t="s">
        <v>1530</v>
      </c>
      <c r="AE1595" s="52">
        <f t="shared" si="218"/>
        <v>0</v>
      </c>
    </row>
    <row r="1596" spans="6:31" ht="24" customHeight="1">
      <c r="F1596" s="13"/>
      <c r="H1596" s="1" t="s">
        <v>498</v>
      </c>
      <c r="K1596" s="8">
        <f>SUM(K1589:K1594)</f>
        <v>7933.55</v>
      </c>
      <c r="AE1596" s="52">
        <f t="shared" si="218"/>
        <v>0</v>
      </c>
    </row>
    <row r="1597" spans="6:31" ht="24" customHeight="1">
      <c r="F1597" s="13"/>
      <c r="K1597" s="5" t="s">
        <v>1530</v>
      </c>
      <c r="AE1597" s="52">
        <f t="shared" si="218"/>
        <v>0</v>
      </c>
    </row>
    <row r="1598" spans="6:31" ht="24" customHeight="1">
      <c r="F1598" s="13" t="s">
        <v>940</v>
      </c>
      <c r="H1598" s="59" t="s">
        <v>499</v>
      </c>
      <c r="I1598" s="37"/>
      <c r="J1598" s="99"/>
      <c r="K1598" s="39">
        <f>(K1596*10)</f>
        <v>79335.5</v>
      </c>
      <c r="AE1598" s="52">
        <f t="shared" si="218"/>
        <v>0</v>
      </c>
    </row>
    <row r="1599" spans="6:31" ht="24" customHeight="1">
      <c r="F1599" s="13"/>
      <c r="K1599" s="5" t="s">
        <v>1980</v>
      </c>
      <c r="AE1599" s="52">
        <f t="shared" si="218"/>
        <v>0</v>
      </c>
    </row>
    <row r="1600" spans="6:31" ht="24" customHeight="1">
      <c r="F1600" s="13"/>
      <c r="H1600" s="1" t="s">
        <v>940</v>
      </c>
      <c r="K1600" s="1" t="s">
        <v>940</v>
      </c>
      <c r="AE1600" s="52">
        <f t="shared" si="218"/>
        <v>0</v>
      </c>
    </row>
    <row r="1601" spans="6:31" ht="24" customHeight="1">
      <c r="F1601" s="21" t="s">
        <v>502</v>
      </c>
      <c r="G1601" s="7" t="s">
        <v>1840</v>
      </c>
      <c r="H1601" s="1" t="s">
        <v>520</v>
      </c>
      <c r="O1601" s="37" t="s">
        <v>3774</v>
      </c>
      <c r="AE1601" s="52">
        <f t="shared" si="218"/>
        <v>0</v>
      </c>
    </row>
    <row r="1602" spans="6:31" ht="24" customHeight="1">
      <c r="F1602" s="13"/>
      <c r="H1602" s="1" t="s">
        <v>503</v>
      </c>
      <c r="M1602" s="21" t="s">
        <v>502</v>
      </c>
      <c r="N1602" s="7" t="s">
        <v>1840</v>
      </c>
      <c r="O1602" s="1" t="s">
        <v>520</v>
      </c>
      <c r="Q1602" s="11"/>
      <c r="AE1602" s="52">
        <f t="shared" si="218"/>
        <v>0</v>
      </c>
    </row>
    <row r="1603" spans="6:31" ht="24" customHeight="1">
      <c r="F1603" s="13"/>
      <c r="H1603" s="5" t="s">
        <v>1530</v>
      </c>
      <c r="M1603" s="13"/>
      <c r="N1603" s="3"/>
      <c r="O1603" s="1" t="s">
        <v>503</v>
      </c>
      <c r="Q1603" s="11"/>
      <c r="AE1603" s="52">
        <f t="shared" si="218"/>
        <v>0</v>
      </c>
    </row>
    <row r="1604" spans="6:31" ht="24" customHeight="1">
      <c r="F1604" s="8">
        <v>1</v>
      </c>
      <c r="G1604" s="7" t="s">
        <v>492</v>
      </c>
      <c r="H1604" s="1" t="s">
        <v>493</v>
      </c>
      <c r="I1604" s="8">
        <f>(C142)</f>
        <v>51750</v>
      </c>
      <c r="J1604" s="1" t="s">
        <v>494</v>
      </c>
      <c r="K1604" s="8">
        <f>(F1604*I1604)/10</f>
        <v>5175</v>
      </c>
      <c r="L1604">
        <f>K1629+K1633</f>
        <v>393.42</v>
      </c>
      <c r="M1604" s="13"/>
      <c r="N1604" s="3"/>
      <c r="O1604" s="5" t="s">
        <v>1530</v>
      </c>
      <c r="Q1604" s="11"/>
      <c r="AE1604" s="52">
        <f t="shared" si="218"/>
        <v>0</v>
      </c>
    </row>
    <row r="1605" spans="6:31" ht="24" customHeight="1">
      <c r="F1605" s="13">
        <v>0.01</v>
      </c>
      <c r="G1605" s="7" t="s">
        <v>492</v>
      </c>
      <c r="H1605" s="1" t="s">
        <v>186</v>
      </c>
      <c r="I1605" s="443">
        <f>I1590</f>
        <v>50300</v>
      </c>
      <c r="J1605" s="1" t="s">
        <v>494</v>
      </c>
      <c r="K1605" s="8">
        <f>(F1605*I1605)/10</f>
        <v>50.3</v>
      </c>
      <c r="L1605">
        <f>L1604/3</f>
        <v>131.13999999999999</v>
      </c>
      <c r="M1605" s="8">
        <v>1</v>
      </c>
      <c r="N1605" s="7" t="s">
        <v>492</v>
      </c>
      <c r="O1605" s="1" t="s">
        <v>493</v>
      </c>
      <c r="P1605" s="8">
        <f>I1604</f>
        <v>51750</v>
      </c>
      <c r="Q1605" s="1" t="s">
        <v>494</v>
      </c>
      <c r="R1605" s="8">
        <f>(M1605*P1605)/10</f>
        <v>5175</v>
      </c>
      <c r="AE1605" s="52">
        <f t="shared" si="218"/>
        <v>0</v>
      </c>
    </row>
    <row r="1606" spans="6:31" ht="24" customHeight="1">
      <c r="F1606" s="13">
        <v>3.5</v>
      </c>
      <c r="G1606" s="7" t="s">
        <v>739</v>
      </c>
      <c r="H1606" s="1" t="s">
        <v>495</v>
      </c>
      <c r="I1606" s="8">
        <f>AE38</f>
        <v>724</v>
      </c>
      <c r="J1606" s="1" t="s">
        <v>739</v>
      </c>
      <c r="K1606" s="8">
        <f>(F1606*I1606)</f>
        <v>2534</v>
      </c>
      <c r="M1606" s="13">
        <v>0.01</v>
      </c>
      <c r="N1606" s="7" t="s">
        <v>492</v>
      </c>
      <c r="O1606" s="34" t="s">
        <v>3928</v>
      </c>
      <c r="P1606" s="708">
        <f>80000/112*100</f>
        <v>71428.570000000007</v>
      </c>
      <c r="Q1606" s="1" t="s">
        <v>494</v>
      </c>
      <c r="R1606" s="8">
        <f>(M1606*P1606)/10</f>
        <v>71.430000000000007</v>
      </c>
      <c r="AE1606" s="52">
        <f t="shared" si="218"/>
        <v>0</v>
      </c>
    </row>
    <row r="1607" spans="6:31" ht="24" customHeight="1">
      <c r="F1607" s="13"/>
      <c r="G1607" s="7" t="s">
        <v>419</v>
      </c>
      <c r="H1607" s="1" t="s">
        <v>420</v>
      </c>
      <c r="J1607" s="1" t="s">
        <v>419</v>
      </c>
      <c r="K1607" s="8">
        <v>0</v>
      </c>
      <c r="M1607" s="13">
        <v>3.5</v>
      </c>
      <c r="N1607" s="7" t="s">
        <v>739</v>
      </c>
      <c r="O1607" s="1" t="s">
        <v>495</v>
      </c>
      <c r="P1607" s="8">
        <f>I1606</f>
        <v>724</v>
      </c>
      <c r="Q1607" s="1" t="s">
        <v>739</v>
      </c>
      <c r="R1607" s="8">
        <f>(M1607*P1607)</f>
        <v>2534</v>
      </c>
      <c r="AE1607" s="52">
        <f t="shared" si="218"/>
        <v>0</v>
      </c>
    </row>
    <row r="1608" spans="6:31" ht="24" customHeight="1">
      <c r="K1608" s="5" t="s">
        <v>1530</v>
      </c>
      <c r="M1608" s="13"/>
      <c r="N1608" s="7" t="s">
        <v>419</v>
      </c>
      <c r="O1608" s="1" t="s">
        <v>420</v>
      </c>
      <c r="Q1608" s="1" t="s">
        <v>419</v>
      </c>
      <c r="R1608" s="8">
        <v>0</v>
      </c>
      <c r="AE1608" s="52">
        <f t="shared" si="218"/>
        <v>0</v>
      </c>
    </row>
    <row r="1609" spans="6:31" ht="24" customHeight="1">
      <c r="H1609" s="1" t="s">
        <v>498</v>
      </c>
      <c r="K1609" s="8">
        <f>SUM(K1604:K1607)</f>
        <v>7759.3</v>
      </c>
      <c r="N1609" s="3"/>
      <c r="Q1609" s="11"/>
      <c r="R1609" s="5" t="s">
        <v>1530</v>
      </c>
      <c r="AE1609" s="52">
        <f t="shared" si="218"/>
        <v>0</v>
      </c>
    </row>
    <row r="1610" spans="6:31" ht="24" customHeight="1">
      <c r="K1610" s="5" t="s">
        <v>1530</v>
      </c>
      <c r="N1610" s="3"/>
      <c r="O1610" s="1" t="s">
        <v>498</v>
      </c>
      <c r="Q1610" s="11"/>
      <c r="R1610" s="8">
        <f>SUM(R1605:R1608)</f>
        <v>7780.43</v>
      </c>
      <c r="AE1610" s="52">
        <f t="shared" si="218"/>
        <v>0</v>
      </c>
    </row>
    <row r="1611" spans="6:31" ht="24" customHeight="1">
      <c r="H1611" s="59" t="s">
        <v>499</v>
      </c>
      <c r="I1611" s="37"/>
      <c r="J1611" s="99"/>
      <c r="K1611" s="39">
        <f>(K1609*10)</f>
        <v>77593</v>
      </c>
      <c r="N1611" s="3"/>
      <c r="Q1611" s="11"/>
      <c r="R1611" s="5" t="s">
        <v>1530</v>
      </c>
      <c r="AE1611" s="52">
        <f t="shared" si="218"/>
        <v>0</v>
      </c>
    </row>
    <row r="1612" spans="6:31" ht="24" customHeight="1">
      <c r="H1612" s="1" t="s">
        <v>940</v>
      </c>
      <c r="K1612" s="1" t="s">
        <v>940</v>
      </c>
      <c r="N1612" s="3"/>
      <c r="O1612" s="59" t="s">
        <v>499</v>
      </c>
      <c r="P1612" s="37"/>
      <c r="Q1612" s="99"/>
      <c r="R1612" s="39">
        <f>(R1610*10)</f>
        <v>77804.3</v>
      </c>
      <c r="AE1612" s="52">
        <f t="shared" si="218"/>
        <v>0</v>
      </c>
    </row>
    <row r="1613" spans="6:31" ht="24" customHeight="1">
      <c r="G1613" s="3" t="s">
        <v>486</v>
      </c>
      <c r="H1613" s="1" t="s">
        <v>520</v>
      </c>
      <c r="K1613" s="1"/>
      <c r="AE1613" s="52">
        <f t="shared" ref="AE1613:AE1676" si="219">AG1613</f>
        <v>0</v>
      </c>
    </row>
    <row r="1614" spans="6:31" ht="24" customHeight="1">
      <c r="H1614" s="1" t="s">
        <v>1539</v>
      </c>
      <c r="K1614" s="1"/>
      <c r="N1614" s="3" t="s">
        <v>486</v>
      </c>
      <c r="O1614" s="1" t="s">
        <v>520</v>
      </c>
      <c r="Q1614" s="11"/>
      <c r="R1614" s="1"/>
      <c r="AE1614" s="52">
        <f t="shared" si="219"/>
        <v>0</v>
      </c>
    </row>
    <row r="1615" spans="6:31" ht="24" customHeight="1">
      <c r="F1615" s="13"/>
      <c r="H1615" s="5" t="s">
        <v>1530</v>
      </c>
      <c r="K1615" s="1"/>
      <c r="N1615" s="3"/>
      <c r="O1615" s="1" t="s">
        <v>1539</v>
      </c>
      <c r="Q1615" s="11"/>
      <c r="R1615" s="1"/>
      <c r="AE1615" s="52">
        <f t="shared" si="219"/>
        <v>0</v>
      </c>
    </row>
    <row r="1616" spans="6:31" ht="24" customHeight="1">
      <c r="F1616" s="8">
        <v>1</v>
      </c>
      <c r="G1616" s="7" t="s">
        <v>492</v>
      </c>
      <c r="H1616" s="1" t="s">
        <v>501</v>
      </c>
      <c r="I1616">
        <f>C141</f>
        <v>51750</v>
      </c>
      <c r="J1616" s="1" t="s">
        <v>494</v>
      </c>
      <c r="K1616" s="8">
        <f>(F1616*I1616)/10</f>
        <v>5175</v>
      </c>
      <c r="M1616" s="13"/>
      <c r="N1616" s="3"/>
      <c r="O1616" s="5" t="s">
        <v>1530</v>
      </c>
      <c r="Q1616" s="11"/>
      <c r="R1616" s="1"/>
      <c r="AE1616" s="52">
        <f t="shared" si="219"/>
        <v>0</v>
      </c>
    </row>
    <row r="1617" spans="6:31" ht="24" customHeight="1">
      <c r="F1617" s="13">
        <v>0.01</v>
      </c>
      <c r="G1617" s="7" t="s">
        <v>492</v>
      </c>
      <c r="H1617" s="1" t="s">
        <v>186</v>
      </c>
      <c r="I1617">
        <f>C146</f>
        <v>50300</v>
      </c>
      <c r="J1617" s="1" t="s">
        <v>494</v>
      </c>
      <c r="K1617" s="8">
        <f>(F1617*I1617)/10</f>
        <v>50.3</v>
      </c>
      <c r="M1617" s="8">
        <v>1</v>
      </c>
      <c r="N1617" s="7" t="s">
        <v>492</v>
      </c>
      <c r="O1617" s="1" t="s">
        <v>501</v>
      </c>
      <c r="P1617">
        <f>I1616</f>
        <v>51750</v>
      </c>
      <c r="Q1617" s="1" t="s">
        <v>494</v>
      </c>
      <c r="R1617" s="8">
        <f>(M1617*P1617)/10</f>
        <v>5175</v>
      </c>
      <c r="AE1617" s="52">
        <f t="shared" si="219"/>
        <v>0</v>
      </c>
    </row>
    <row r="1618" spans="6:31" ht="24" customHeight="1">
      <c r="F1618" s="13">
        <v>3.5</v>
      </c>
      <c r="G1618" s="7" t="s">
        <v>739</v>
      </c>
      <c r="H1618" s="1" t="s">
        <v>495</v>
      </c>
      <c r="I1618">
        <f>I1606</f>
        <v>724</v>
      </c>
      <c r="J1618" s="1" t="s">
        <v>739</v>
      </c>
      <c r="K1618" s="8">
        <f>(F1618*I1618)</f>
        <v>2534</v>
      </c>
      <c r="M1618" s="13">
        <v>0.01</v>
      </c>
      <c r="N1618" s="7" t="s">
        <v>492</v>
      </c>
      <c r="O1618" s="34" t="str">
        <f>O1606</f>
        <v>BINDING WIRE insulated with PVC as per circular</v>
      </c>
      <c r="P1618">
        <f>P1606</f>
        <v>71428.570000000007</v>
      </c>
      <c r="Q1618" s="1" t="s">
        <v>494</v>
      </c>
      <c r="R1618" s="8">
        <f>(M1618*P1618)/10</f>
        <v>71.430000000000007</v>
      </c>
      <c r="AE1618" s="52">
        <f t="shared" si="219"/>
        <v>0</v>
      </c>
    </row>
    <row r="1619" spans="6:31" ht="24" customHeight="1">
      <c r="F1619" s="13"/>
      <c r="G1619" s="7" t="s">
        <v>419</v>
      </c>
      <c r="H1619" s="1" t="s">
        <v>420</v>
      </c>
      <c r="J1619" s="1" t="s">
        <v>419</v>
      </c>
      <c r="K1619" s="8">
        <v>0</v>
      </c>
      <c r="M1619" s="13">
        <v>3.5</v>
      </c>
      <c r="N1619" s="7" t="s">
        <v>492</v>
      </c>
      <c r="O1619" s="1" t="s">
        <v>495</v>
      </c>
      <c r="P1619">
        <f>I1618</f>
        <v>724</v>
      </c>
      <c r="Q1619" s="1" t="s">
        <v>739</v>
      </c>
      <c r="R1619" s="8">
        <f>(M1619*P1619)</f>
        <v>2534</v>
      </c>
      <c r="AE1619" s="52">
        <f t="shared" si="219"/>
        <v>0</v>
      </c>
    </row>
    <row r="1620" spans="6:31" ht="24" customHeight="1">
      <c r="K1620" s="5" t="s">
        <v>1530</v>
      </c>
      <c r="M1620" s="13"/>
      <c r="N1620" s="7" t="s">
        <v>492</v>
      </c>
      <c r="O1620" s="1" t="s">
        <v>420</v>
      </c>
      <c r="Q1620" s="1" t="s">
        <v>419</v>
      </c>
      <c r="R1620" s="8">
        <v>0</v>
      </c>
      <c r="AE1620" s="52">
        <f t="shared" si="219"/>
        <v>0</v>
      </c>
    </row>
    <row r="1621" spans="6:31" ht="24" customHeight="1">
      <c r="H1621" s="1" t="s">
        <v>498</v>
      </c>
      <c r="K1621" s="8">
        <f>SUM(K1616:K1619)</f>
        <v>7759.3</v>
      </c>
      <c r="N1621" s="3"/>
      <c r="Q1621" s="11"/>
      <c r="R1621" s="5" t="s">
        <v>1530</v>
      </c>
      <c r="AE1621" s="52">
        <f t="shared" si="219"/>
        <v>0</v>
      </c>
    </row>
    <row r="1622" spans="6:31" ht="24" customHeight="1">
      <c r="K1622" s="5" t="s">
        <v>1530</v>
      </c>
      <c r="N1622" s="3"/>
      <c r="O1622" s="1" t="s">
        <v>498</v>
      </c>
      <c r="Q1622" s="11"/>
      <c r="R1622" s="8">
        <f>SUM(R1617:R1620)</f>
        <v>7780.43</v>
      </c>
      <c r="AE1622" s="52">
        <f t="shared" si="219"/>
        <v>0</v>
      </c>
    </row>
    <row r="1623" spans="6:31" ht="24" customHeight="1">
      <c r="H1623" s="59" t="s">
        <v>499</v>
      </c>
      <c r="I1623" s="37"/>
      <c r="J1623" s="99"/>
      <c r="K1623" s="39">
        <f>(K1621*10)</f>
        <v>77593</v>
      </c>
      <c r="N1623" s="3"/>
      <c r="Q1623" s="11"/>
      <c r="R1623" s="5" t="s">
        <v>1530</v>
      </c>
      <c r="AE1623" s="52">
        <f t="shared" si="219"/>
        <v>0</v>
      </c>
    </row>
    <row r="1624" spans="6:31" ht="24" customHeight="1">
      <c r="H1624" s="1" t="s">
        <v>940</v>
      </c>
      <c r="N1624" s="3"/>
      <c r="O1624" s="59" t="s">
        <v>499</v>
      </c>
      <c r="P1624" s="37"/>
      <c r="Q1624" s="99"/>
      <c r="R1624" s="39">
        <f>(R1622*10)</f>
        <v>77804.3</v>
      </c>
      <c r="AE1624" s="52">
        <f t="shared" si="219"/>
        <v>0</v>
      </c>
    </row>
    <row r="1625" spans="6:31" ht="24" customHeight="1">
      <c r="F1625" s="25">
        <v>44.1</v>
      </c>
      <c r="G1625" s="7" t="s">
        <v>2167</v>
      </c>
      <c r="H1625" s="1" t="s">
        <v>1540</v>
      </c>
      <c r="AE1625" s="52">
        <f t="shared" si="219"/>
        <v>0</v>
      </c>
    </row>
    <row r="1626" spans="6:31" ht="24" customHeight="1">
      <c r="H1626" s="1" t="s">
        <v>1541</v>
      </c>
      <c r="R1626" t="s">
        <v>234</v>
      </c>
      <c r="AE1626" s="52">
        <f t="shared" si="219"/>
        <v>0</v>
      </c>
    </row>
    <row r="1627" spans="6:31" ht="24" customHeight="1">
      <c r="H1627" s="1" t="s">
        <v>1098</v>
      </c>
      <c r="M1627" s="25">
        <v>44.1</v>
      </c>
      <c r="N1627" s="7" t="s">
        <v>2167</v>
      </c>
      <c r="O1627" s="1" t="s">
        <v>1540</v>
      </c>
      <c r="AE1627" s="52">
        <f t="shared" si="219"/>
        <v>0</v>
      </c>
    </row>
    <row r="1628" spans="6:31" ht="24" customHeight="1">
      <c r="H1628" s="5" t="s">
        <v>1530</v>
      </c>
      <c r="N1628" s="3"/>
      <c r="O1628" s="1" t="s">
        <v>1541</v>
      </c>
      <c r="AE1628" s="52">
        <f t="shared" si="219"/>
        <v>0</v>
      </c>
    </row>
    <row r="1629" spans="6:31" ht="24" customHeight="1">
      <c r="F1629" s="8">
        <v>3</v>
      </c>
      <c r="G1629" s="7" t="s">
        <v>1714</v>
      </c>
      <c r="H1629" s="1" t="s">
        <v>1973</v>
      </c>
      <c r="I1629" s="8">
        <f>D623</f>
        <v>120.54</v>
      </c>
      <c r="J1629" s="1" t="s">
        <v>1714</v>
      </c>
      <c r="K1629" s="8">
        <f t="shared" ref="K1629:K1634" si="220">(F1629*I1629)</f>
        <v>361.62</v>
      </c>
      <c r="N1629" s="3"/>
      <c r="O1629" s="1" t="s">
        <v>1098</v>
      </c>
      <c r="AE1629" s="52">
        <f t="shared" si="219"/>
        <v>0</v>
      </c>
    </row>
    <row r="1630" spans="6:31" ht="24" customHeight="1">
      <c r="F1630" s="8">
        <v>1</v>
      </c>
      <c r="G1630" s="7" t="s">
        <v>835</v>
      </c>
      <c r="H1630" s="1" t="s">
        <v>2020</v>
      </c>
      <c r="I1630" s="487">
        <f>(C626)</f>
        <v>76</v>
      </c>
      <c r="J1630" s="1" t="s">
        <v>835</v>
      </c>
      <c r="K1630" s="8">
        <f t="shared" si="220"/>
        <v>76</v>
      </c>
      <c r="N1630" s="3"/>
      <c r="O1630" s="5" t="s">
        <v>1530</v>
      </c>
      <c r="AE1630" s="52">
        <f t="shared" si="219"/>
        <v>0</v>
      </c>
    </row>
    <row r="1631" spans="6:31" ht="24" customHeight="1">
      <c r="F1631" s="8">
        <v>1</v>
      </c>
      <c r="G1631" s="7" t="s">
        <v>835</v>
      </c>
      <c r="H1631" s="1" t="s">
        <v>2021</v>
      </c>
      <c r="I1631" s="8">
        <f>(C629)</f>
        <v>79.5</v>
      </c>
      <c r="J1631" s="1" t="s">
        <v>835</v>
      </c>
      <c r="K1631" s="8">
        <f t="shared" si="220"/>
        <v>79.5</v>
      </c>
      <c r="M1631" s="8">
        <v>3</v>
      </c>
      <c r="N1631" s="7" t="s">
        <v>1714</v>
      </c>
      <c r="O1631" s="1" t="s">
        <v>1973</v>
      </c>
      <c r="P1631">
        <f>I1629</f>
        <v>120.54</v>
      </c>
      <c r="Q1631" t="str">
        <f>J1631</f>
        <v>NO.</v>
      </c>
      <c r="R1631">
        <f t="shared" ref="R1631:R1636" si="221">P1631*M1631</f>
        <v>361.62</v>
      </c>
      <c r="AE1631" s="52">
        <f t="shared" si="219"/>
        <v>0</v>
      </c>
    </row>
    <row r="1632" spans="6:31" ht="24" customHeight="1">
      <c r="F1632" s="8">
        <v>2</v>
      </c>
      <c r="G1632" s="7" t="s">
        <v>835</v>
      </c>
      <c r="H1632" s="1" t="s">
        <v>2022</v>
      </c>
      <c r="I1632" s="8">
        <f>C600</f>
        <v>21.4</v>
      </c>
      <c r="J1632" s="1" t="s">
        <v>835</v>
      </c>
      <c r="K1632" s="8">
        <f t="shared" si="220"/>
        <v>42.8</v>
      </c>
      <c r="M1632" s="8">
        <v>1</v>
      </c>
      <c r="N1632" s="7" t="s">
        <v>835</v>
      </c>
      <c r="O1632" s="1" t="s">
        <v>2020</v>
      </c>
      <c r="P1632" s="623">
        <v>76.78</v>
      </c>
      <c r="Q1632" t="str">
        <f>J1632</f>
        <v>NO.</v>
      </c>
      <c r="R1632">
        <f t="shared" si="221"/>
        <v>76.78</v>
      </c>
      <c r="AE1632" s="52">
        <f t="shared" si="219"/>
        <v>0</v>
      </c>
    </row>
    <row r="1633" spans="6:31" ht="24" customHeight="1">
      <c r="F1633" s="8">
        <v>1</v>
      </c>
      <c r="G1633" s="7" t="s">
        <v>835</v>
      </c>
      <c r="H1633" s="1" t="s">
        <v>2023</v>
      </c>
      <c r="I1633" s="8">
        <f>(C699)</f>
        <v>31.8</v>
      </c>
      <c r="J1633" s="1" t="s">
        <v>835</v>
      </c>
      <c r="K1633" s="8">
        <f t="shared" si="220"/>
        <v>31.8</v>
      </c>
      <c r="M1633" s="8">
        <v>1</v>
      </c>
      <c r="N1633" s="7" t="s">
        <v>835</v>
      </c>
      <c r="O1633" s="1" t="s">
        <v>2021</v>
      </c>
      <c r="P1633">
        <f>I1631</f>
        <v>79.5</v>
      </c>
      <c r="Q1633" t="str">
        <f>J1633</f>
        <v>NO.</v>
      </c>
      <c r="R1633">
        <f t="shared" si="221"/>
        <v>79.5</v>
      </c>
      <c r="AE1633" s="52">
        <f t="shared" si="219"/>
        <v>0</v>
      </c>
    </row>
    <row r="1634" spans="6:31" ht="24" customHeight="1">
      <c r="F1634" s="8">
        <v>0.5</v>
      </c>
      <c r="G1634" s="7" t="s">
        <v>835</v>
      </c>
      <c r="H1634" s="1" t="s">
        <v>2024</v>
      </c>
      <c r="I1634" s="8">
        <f>(C15)</f>
        <v>747</v>
      </c>
      <c r="J1634" s="1" t="s">
        <v>835</v>
      </c>
      <c r="K1634" s="8">
        <f t="shared" si="220"/>
        <v>373.5</v>
      </c>
      <c r="M1634" s="39">
        <v>2</v>
      </c>
      <c r="N1634" s="408" t="s">
        <v>998</v>
      </c>
      <c r="O1634" s="710" t="s">
        <v>4128</v>
      </c>
      <c r="P1634" s="623">
        <v>12</v>
      </c>
      <c r="Q1634" t="str">
        <f>J1634</f>
        <v>NO.</v>
      </c>
      <c r="R1634">
        <f t="shared" si="221"/>
        <v>24</v>
      </c>
      <c r="AE1634" s="52">
        <f t="shared" si="219"/>
        <v>0</v>
      </c>
    </row>
    <row r="1635" spans="6:31" ht="24" customHeight="1">
      <c r="G1635" s="7" t="s">
        <v>419</v>
      </c>
      <c r="H1635" s="1" t="s">
        <v>574</v>
      </c>
      <c r="J1635" s="1" t="s">
        <v>419</v>
      </c>
      <c r="K1635" s="8"/>
      <c r="M1635" s="8">
        <v>1</v>
      </c>
      <c r="N1635" s="575" t="s">
        <v>998</v>
      </c>
      <c r="O1635" s="1" t="s">
        <v>2023</v>
      </c>
      <c r="P1635">
        <f>I1633</f>
        <v>31.8</v>
      </c>
      <c r="Q1635" t="str">
        <f>J1635</f>
        <v>L.S</v>
      </c>
      <c r="R1635">
        <f t="shared" si="221"/>
        <v>31.8</v>
      </c>
      <c r="AE1635" s="52">
        <f t="shared" si="219"/>
        <v>0</v>
      </c>
    </row>
    <row r="1636" spans="6:31" ht="24" customHeight="1">
      <c r="H1636" s="1" t="s">
        <v>21</v>
      </c>
      <c r="M1636" s="8">
        <v>0.5</v>
      </c>
      <c r="N1636" s="575" t="s">
        <v>998</v>
      </c>
      <c r="O1636" s="1" t="s">
        <v>2024</v>
      </c>
      <c r="P1636">
        <f>I1634</f>
        <v>747</v>
      </c>
      <c r="R1636">
        <f t="shared" si="221"/>
        <v>373.5</v>
      </c>
      <c r="AE1636" s="52">
        <f t="shared" si="219"/>
        <v>0</v>
      </c>
    </row>
    <row r="1637" spans="6:31" ht="24" customHeight="1">
      <c r="K1637" s="5" t="s">
        <v>1530</v>
      </c>
      <c r="N1637" s="575" t="s">
        <v>998</v>
      </c>
      <c r="O1637" s="1" t="s">
        <v>574</v>
      </c>
      <c r="P1637">
        <f>I1637</f>
        <v>0</v>
      </c>
      <c r="AE1637" s="52">
        <f t="shared" si="219"/>
        <v>0</v>
      </c>
    </row>
    <row r="1638" spans="6:31" ht="24" customHeight="1">
      <c r="H1638" s="1" t="s">
        <v>1267</v>
      </c>
      <c r="K1638" s="8">
        <f>SUM(K1629:K1635)</f>
        <v>965.22</v>
      </c>
      <c r="O1638" s="1" t="s">
        <v>21</v>
      </c>
      <c r="R1638">
        <f>26.98+4.7</f>
        <v>31.68</v>
      </c>
      <c r="AE1638" s="52">
        <f t="shared" si="219"/>
        <v>0</v>
      </c>
    </row>
    <row r="1639" spans="6:31" ht="24" customHeight="1">
      <c r="F1639" s="1" t="s">
        <v>940</v>
      </c>
      <c r="AE1639" s="52">
        <f t="shared" si="219"/>
        <v>0</v>
      </c>
    </row>
    <row r="1640" spans="6:31" ht="24" customHeight="1">
      <c r="K1640" s="5" t="s">
        <v>1530</v>
      </c>
      <c r="O1640" s="1" t="s">
        <v>1267</v>
      </c>
      <c r="R1640" s="37">
        <f>SUM(R1631:R1639)</f>
        <v>978.88</v>
      </c>
      <c r="AE1640" s="52">
        <f t="shared" si="219"/>
        <v>0</v>
      </c>
    </row>
    <row r="1641" spans="6:31" ht="24" customHeight="1">
      <c r="H1641" s="59" t="s">
        <v>1490</v>
      </c>
      <c r="I1641" s="37"/>
      <c r="J1641" s="99"/>
      <c r="K1641" s="39">
        <f>(K1638/3)</f>
        <v>321.74</v>
      </c>
      <c r="AE1641" s="52">
        <f t="shared" si="219"/>
        <v>0</v>
      </c>
    </row>
    <row r="1642" spans="6:31" ht="24" customHeight="1">
      <c r="H1642" s="1"/>
      <c r="K1642" s="5" t="s">
        <v>1980</v>
      </c>
      <c r="N1642" s="3"/>
      <c r="Q1642" s="11"/>
      <c r="R1642" s="5" t="s">
        <v>1530</v>
      </c>
      <c r="AE1642" s="52">
        <f t="shared" si="219"/>
        <v>0</v>
      </c>
    </row>
    <row r="1643" spans="6:31" ht="24" customHeight="1">
      <c r="F1643" s="2" t="s">
        <v>1268</v>
      </c>
      <c r="H1643" s="1" t="s">
        <v>15</v>
      </c>
      <c r="N1643" s="3"/>
      <c r="O1643" s="59" t="s">
        <v>1490</v>
      </c>
      <c r="P1643" s="37"/>
      <c r="Q1643" s="99"/>
      <c r="R1643" s="39">
        <f>(R1640/3)</f>
        <v>326.29000000000002</v>
      </c>
      <c r="S1643" s="51">
        <f>310*3</f>
        <v>930</v>
      </c>
      <c r="T1643">
        <f>S1643-R1640</f>
        <v>-48.88</v>
      </c>
      <c r="AE1643" s="52">
        <f t="shared" si="219"/>
        <v>0</v>
      </c>
    </row>
    <row r="1644" spans="6:31" ht="24" customHeight="1">
      <c r="H1644" s="1" t="s">
        <v>16</v>
      </c>
      <c r="N1644" s="3"/>
      <c r="O1644" s="1"/>
      <c r="Q1644" s="11"/>
      <c r="R1644" s="5" t="s">
        <v>1980</v>
      </c>
      <c r="AE1644" s="52">
        <f t="shared" si="219"/>
        <v>0</v>
      </c>
    </row>
    <row r="1645" spans="6:31" ht="24" customHeight="1">
      <c r="H1645" s="1" t="s">
        <v>1963</v>
      </c>
      <c r="AE1645" s="52">
        <f t="shared" si="219"/>
        <v>0</v>
      </c>
    </row>
    <row r="1646" spans="6:31" ht="24" customHeight="1">
      <c r="H1646" s="5" t="s">
        <v>1530</v>
      </c>
      <c r="AE1646" s="52">
        <f t="shared" si="219"/>
        <v>0</v>
      </c>
    </row>
    <row r="1647" spans="6:31" ht="24" customHeight="1">
      <c r="F1647" s="8">
        <v>0.15</v>
      </c>
      <c r="G1647" s="7" t="s">
        <v>836</v>
      </c>
      <c r="H1647" s="1" t="s">
        <v>1964</v>
      </c>
      <c r="I1647" s="8">
        <f>(C73)</f>
        <v>893.71</v>
      </c>
      <c r="J1647" s="1" t="s">
        <v>836</v>
      </c>
      <c r="K1647" s="8">
        <f>(F1647*I1647)</f>
        <v>134.06</v>
      </c>
      <c r="AE1647" s="52">
        <f t="shared" si="219"/>
        <v>0</v>
      </c>
    </row>
    <row r="1648" spans="6:31" ht="24" customHeight="1">
      <c r="F1648" s="16">
        <v>8.6499999999999994E-2</v>
      </c>
      <c r="G1648" s="7" t="s">
        <v>828</v>
      </c>
      <c r="H1648" s="1" t="s">
        <v>829</v>
      </c>
      <c r="I1648" s="8">
        <f>(C70)</f>
        <v>5960</v>
      </c>
      <c r="J1648" s="1" t="s">
        <v>828</v>
      </c>
      <c r="K1648" s="8">
        <f>(F1648*I1648)</f>
        <v>515.54</v>
      </c>
      <c r="AE1648" s="52">
        <f t="shared" si="219"/>
        <v>0</v>
      </c>
    </row>
    <row r="1649" spans="6:31" ht="24" customHeight="1">
      <c r="F1649" s="8">
        <v>1.6</v>
      </c>
      <c r="G1649" s="7" t="s">
        <v>739</v>
      </c>
      <c r="H1649" s="1" t="s">
        <v>1938</v>
      </c>
      <c r="I1649" s="8">
        <f>(C10)</f>
        <v>861</v>
      </c>
      <c r="J1649" s="1" t="s">
        <v>739</v>
      </c>
      <c r="K1649" s="8">
        <f>(F1649*I1649)</f>
        <v>1377.6</v>
      </c>
      <c r="AE1649" s="52">
        <f t="shared" si="219"/>
        <v>0</v>
      </c>
    </row>
    <row r="1650" spans="6:31" ht="24" customHeight="1">
      <c r="F1650" s="8">
        <v>0.5</v>
      </c>
      <c r="G1650" s="7" t="s">
        <v>739</v>
      </c>
      <c r="H1650" s="1" t="s">
        <v>1836</v>
      </c>
      <c r="I1650" s="8">
        <f>(C12)</f>
        <v>562</v>
      </c>
      <c r="J1650" s="1" t="s">
        <v>739</v>
      </c>
      <c r="K1650" s="8">
        <f>(F1650*I1650)</f>
        <v>281</v>
      </c>
      <c r="AE1650" s="52">
        <f t="shared" si="219"/>
        <v>0</v>
      </c>
    </row>
    <row r="1651" spans="6:31" ht="24" customHeight="1">
      <c r="F1651" s="8">
        <v>1.1000000000000001</v>
      </c>
      <c r="G1651" s="7" t="s">
        <v>739</v>
      </c>
      <c r="H1651" s="1" t="s">
        <v>299</v>
      </c>
      <c r="I1651" s="8">
        <f>(C13)</f>
        <v>461</v>
      </c>
      <c r="J1651" s="1" t="s">
        <v>739</v>
      </c>
      <c r="K1651" s="8">
        <f>(F1651*I1651)</f>
        <v>507.1</v>
      </c>
      <c r="AE1651" s="52">
        <f t="shared" si="219"/>
        <v>0</v>
      </c>
    </row>
    <row r="1652" spans="6:31" ht="24" customHeight="1">
      <c r="G1652" s="7" t="s">
        <v>419</v>
      </c>
      <c r="H1652" s="1" t="s">
        <v>420</v>
      </c>
      <c r="I1652" s="1" t="s">
        <v>940</v>
      </c>
      <c r="J1652" s="1" t="s">
        <v>419</v>
      </c>
      <c r="K1652" s="8">
        <v>0</v>
      </c>
      <c r="AE1652" s="52">
        <f t="shared" si="219"/>
        <v>0</v>
      </c>
    </row>
    <row r="1653" spans="6:31" ht="24" customHeight="1">
      <c r="K1653" s="5" t="s">
        <v>1530</v>
      </c>
      <c r="AE1653" s="52">
        <f t="shared" si="219"/>
        <v>0</v>
      </c>
    </row>
    <row r="1654" spans="6:31" ht="24" customHeight="1">
      <c r="H1654" s="1" t="s">
        <v>411</v>
      </c>
      <c r="K1654" s="8">
        <f>SUM(K1647:K1652)</f>
        <v>2815.3</v>
      </c>
      <c r="AE1654" s="52">
        <f t="shared" si="219"/>
        <v>0</v>
      </c>
    </row>
    <row r="1655" spans="6:31" ht="24" customHeight="1">
      <c r="K1655" s="5" t="s">
        <v>1530</v>
      </c>
      <c r="AE1655" s="52">
        <f t="shared" si="219"/>
        <v>0</v>
      </c>
    </row>
    <row r="1656" spans="6:31" ht="24" customHeight="1">
      <c r="H1656" s="59" t="s">
        <v>521</v>
      </c>
      <c r="I1656" s="37"/>
      <c r="J1656" s="99"/>
      <c r="K1656" s="39">
        <f>(K1654/10)</f>
        <v>281.52999999999997</v>
      </c>
      <c r="AE1656" s="52">
        <f t="shared" si="219"/>
        <v>0</v>
      </c>
    </row>
    <row r="1657" spans="6:31" ht="24" customHeight="1">
      <c r="K1657" s="5" t="s">
        <v>1980</v>
      </c>
      <c r="AE1657" s="52">
        <f t="shared" si="219"/>
        <v>0</v>
      </c>
    </row>
    <row r="1658" spans="6:31" ht="24" customHeight="1">
      <c r="F1658" s="2" t="s">
        <v>1965</v>
      </c>
      <c r="G1658" s="7" t="s">
        <v>2167</v>
      </c>
      <c r="H1658" s="1" t="s">
        <v>1966</v>
      </c>
      <c r="AE1658" s="52">
        <f t="shared" si="219"/>
        <v>0</v>
      </c>
    </row>
    <row r="1659" spans="6:31" ht="24" customHeight="1">
      <c r="H1659" s="1" t="s">
        <v>1168</v>
      </c>
      <c r="AE1659" s="52">
        <f t="shared" si="219"/>
        <v>0</v>
      </c>
    </row>
    <row r="1660" spans="6:31" ht="24" customHeight="1">
      <c r="H1660" s="1" t="s">
        <v>1169</v>
      </c>
      <c r="J1660" s="1" t="s">
        <v>940</v>
      </c>
      <c r="AE1660" s="52">
        <f t="shared" si="219"/>
        <v>0</v>
      </c>
    </row>
    <row r="1661" spans="6:31" ht="24" customHeight="1">
      <c r="H1661" s="1" t="s">
        <v>1067</v>
      </c>
      <c r="AE1661" s="52">
        <f t="shared" si="219"/>
        <v>0</v>
      </c>
    </row>
    <row r="1662" spans="6:31" ht="24" customHeight="1">
      <c r="H1662" s="1" t="s">
        <v>992</v>
      </c>
      <c r="AE1662" s="52">
        <f t="shared" si="219"/>
        <v>0</v>
      </c>
    </row>
    <row r="1663" spans="6:31" ht="24" customHeight="1">
      <c r="H1663" s="1" t="s">
        <v>1748</v>
      </c>
      <c r="AE1663" s="52">
        <f t="shared" si="219"/>
        <v>0</v>
      </c>
    </row>
    <row r="1664" spans="6:31" ht="24" customHeight="1">
      <c r="H1664" s="1" t="s">
        <v>261</v>
      </c>
      <c r="AE1664" s="52">
        <f t="shared" si="219"/>
        <v>0</v>
      </c>
    </row>
    <row r="1665" spans="6:31" ht="24" customHeight="1">
      <c r="H1665" s="1" t="s">
        <v>262</v>
      </c>
      <c r="AE1665" s="52">
        <f t="shared" si="219"/>
        <v>0</v>
      </c>
    </row>
    <row r="1666" spans="6:31" ht="24" customHeight="1">
      <c r="H1666" s="1" t="s">
        <v>263</v>
      </c>
      <c r="AE1666" s="52">
        <f t="shared" si="219"/>
        <v>0</v>
      </c>
    </row>
    <row r="1667" spans="6:31" ht="24" customHeight="1">
      <c r="H1667" s="5" t="s">
        <v>1980</v>
      </c>
      <c r="AE1667" s="52">
        <f t="shared" si="219"/>
        <v>0</v>
      </c>
    </row>
    <row r="1668" spans="6:31" ht="24" customHeight="1">
      <c r="AE1668" s="52">
        <f t="shared" si="219"/>
        <v>0</v>
      </c>
    </row>
    <row r="1669" spans="6:31" ht="24" customHeight="1">
      <c r="F1669" s="8">
        <v>1</v>
      </c>
      <c r="G1669" s="7" t="s">
        <v>794</v>
      </c>
      <c r="H1669" s="1" t="s">
        <v>3459</v>
      </c>
      <c r="I1669" s="491">
        <v>45.72</v>
      </c>
      <c r="J1669" s="1" t="s">
        <v>794</v>
      </c>
      <c r="K1669" s="8">
        <f>(F1669*I1669)</f>
        <v>45.72</v>
      </c>
      <c r="AE1669" s="52">
        <f t="shared" si="219"/>
        <v>0</v>
      </c>
    </row>
    <row r="1670" spans="6:31" ht="24" customHeight="1">
      <c r="F1670" s="8">
        <v>1</v>
      </c>
      <c r="G1670" s="7" t="s">
        <v>265</v>
      </c>
      <c r="H1670" s="1" t="s">
        <v>1116</v>
      </c>
      <c r="I1670" s="491">
        <v>5</v>
      </c>
      <c r="J1670" s="1" t="s">
        <v>265</v>
      </c>
      <c r="K1670" s="8">
        <f>(F1670*I1670)</f>
        <v>5</v>
      </c>
      <c r="AE1670" s="52">
        <f t="shared" si="219"/>
        <v>0</v>
      </c>
    </row>
    <row r="1671" spans="6:31" ht="24" customHeight="1">
      <c r="G1671" s="7" t="s">
        <v>419</v>
      </c>
      <c r="H1671" s="1" t="s">
        <v>472</v>
      </c>
      <c r="J1671" s="1" t="s">
        <v>419</v>
      </c>
      <c r="K1671" s="8">
        <v>7.28</v>
      </c>
      <c r="AE1671" s="52">
        <f t="shared" si="219"/>
        <v>0</v>
      </c>
    </row>
    <row r="1672" spans="6:31" ht="24" customHeight="1">
      <c r="K1672" s="5" t="s">
        <v>1530</v>
      </c>
      <c r="AE1672" s="52">
        <f t="shared" si="219"/>
        <v>0</v>
      </c>
    </row>
    <row r="1673" spans="6:31" ht="24" customHeight="1">
      <c r="H1673" s="2" t="s">
        <v>1585</v>
      </c>
      <c r="K1673" s="8">
        <f>SUM(K1669:K1671)</f>
        <v>58</v>
      </c>
      <c r="AE1673" s="52">
        <f t="shared" si="219"/>
        <v>0</v>
      </c>
    </row>
    <row r="1674" spans="6:31" ht="24" customHeight="1">
      <c r="K1674" s="5" t="s">
        <v>1980</v>
      </c>
      <c r="AE1674" s="52">
        <f t="shared" si="219"/>
        <v>0</v>
      </c>
    </row>
    <row r="1675" spans="6:31" ht="24" customHeight="1">
      <c r="F1675" s="2" t="s">
        <v>1586</v>
      </c>
      <c r="G1675" s="7" t="s">
        <v>2167</v>
      </c>
      <c r="H1675" s="1" t="s">
        <v>725</v>
      </c>
      <c r="AE1675" s="52">
        <f t="shared" si="219"/>
        <v>0</v>
      </c>
    </row>
    <row r="1676" spans="6:31" ht="24" customHeight="1">
      <c r="H1676" s="1" t="s">
        <v>373</v>
      </c>
      <c r="AE1676" s="52">
        <f t="shared" si="219"/>
        <v>0</v>
      </c>
    </row>
    <row r="1677" spans="6:31" ht="24" customHeight="1">
      <c r="H1677" s="1" t="s">
        <v>374</v>
      </c>
      <c r="AE1677" s="52">
        <f t="shared" ref="AE1677:AE1698" si="222">AG1677</f>
        <v>0</v>
      </c>
    </row>
    <row r="1678" spans="6:31" ht="24" customHeight="1">
      <c r="H1678" s="1" t="s">
        <v>371</v>
      </c>
      <c r="AE1678" s="52">
        <f t="shared" si="222"/>
        <v>0</v>
      </c>
    </row>
    <row r="1679" spans="6:31" ht="24" customHeight="1">
      <c r="H1679" s="1" t="s">
        <v>1702</v>
      </c>
      <c r="AE1679" s="52">
        <f t="shared" si="222"/>
        <v>0</v>
      </c>
    </row>
    <row r="1680" spans="6:31" ht="24" customHeight="1">
      <c r="H1680" s="5" t="s">
        <v>1530</v>
      </c>
      <c r="I1680" s="5" t="s">
        <v>1530</v>
      </c>
      <c r="AE1680" s="52">
        <f t="shared" si="222"/>
        <v>0</v>
      </c>
    </row>
    <row r="1681" spans="6:31" ht="24" customHeight="1">
      <c r="F1681" s="8">
        <v>1</v>
      </c>
      <c r="G1681" s="7" t="s">
        <v>1703</v>
      </c>
      <c r="H1681" s="1" t="s">
        <v>1497</v>
      </c>
      <c r="I1681" s="491">
        <v>85</v>
      </c>
      <c r="J1681" s="1" t="s">
        <v>1341</v>
      </c>
      <c r="K1681" s="8">
        <f>(F1681*I1681)</f>
        <v>85</v>
      </c>
      <c r="AE1681" s="52">
        <f t="shared" si="222"/>
        <v>0</v>
      </c>
    </row>
    <row r="1682" spans="6:31" ht="24" customHeight="1">
      <c r="G1682" s="7" t="s">
        <v>419</v>
      </c>
      <c r="H1682" s="1" t="s">
        <v>1498</v>
      </c>
      <c r="J1682" s="1" t="s">
        <v>419</v>
      </c>
      <c r="K1682" s="8">
        <v>7.5</v>
      </c>
      <c r="AE1682" s="52">
        <f t="shared" si="222"/>
        <v>0</v>
      </c>
    </row>
    <row r="1683" spans="6:31" ht="24" customHeight="1">
      <c r="G1683" s="7" t="s">
        <v>419</v>
      </c>
      <c r="H1683" s="1" t="s">
        <v>592</v>
      </c>
      <c r="J1683" s="1" t="s">
        <v>419</v>
      </c>
      <c r="K1683" s="8">
        <f>1.75+0.75</f>
        <v>2.5</v>
      </c>
      <c r="AE1683" s="52">
        <f t="shared" si="222"/>
        <v>0</v>
      </c>
    </row>
    <row r="1684" spans="6:31" ht="24" customHeight="1">
      <c r="H1684" s="1" t="s">
        <v>593</v>
      </c>
      <c r="K1684" s="5" t="s">
        <v>1530</v>
      </c>
      <c r="AE1684" s="52">
        <f t="shared" si="222"/>
        <v>0</v>
      </c>
    </row>
    <row r="1685" spans="6:31" ht="24" customHeight="1">
      <c r="H1685" s="2" t="s">
        <v>1585</v>
      </c>
      <c r="K1685" s="8">
        <f>SUM(K1681:K1683)</f>
        <v>95</v>
      </c>
      <c r="AE1685" s="52">
        <f t="shared" si="222"/>
        <v>0</v>
      </c>
    </row>
    <row r="1686" spans="6:31" ht="24" customHeight="1">
      <c r="K1686" s="5" t="s">
        <v>1980</v>
      </c>
      <c r="AE1686" s="52">
        <f t="shared" si="222"/>
        <v>0</v>
      </c>
    </row>
    <row r="1687" spans="6:31" ht="24" customHeight="1">
      <c r="F1687" s="2" t="s">
        <v>594</v>
      </c>
      <c r="G1687" s="7" t="s">
        <v>2167</v>
      </c>
      <c r="H1687" s="1" t="s">
        <v>508</v>
      </c>
      <c r="AE1687" s="52">
        <f t="shared" si="222"/>
        <v>0</v>
      </c>
    </row>
    <row r="1688" spans="6:31" ht="24" customHeight="1">
      <c r="H1688" s="1" t="s">
        <v>595</v>
      </c>
      <c r="K1688" s="1" t="s">
        <v>940</v>
      </c>
      <c r="AE1688" s="52">
        <f t="shared" si="222"/>
        <v>0</v>
      </c>
    </row>
    <row r="1689" spans="6:31" ht="24" customHeight="1">
      <c r="H1689" s="5" t="s">
        <v>1530</v>
      </c>
      <c r="AE1689" s="52">
        <f t="shared" si="222"/>
        <v>0</v>
      </c>
    </row>
    <row r="1690" spans="6:31" ht="24" customHeight="1">
      <c r="F1690" s="8">
        <v>1</v>
      </c>
      <c r="G1690" s="7" t="s">
        <v>1703</v>
      </c>
      <c r="H1690" s="1" t="s">
        <v>596</v>
      </c>
      <c r="I1690" s="491">
        <v>50</v>
      </c>
      <c r="J1690" s="1" t="s">
        <v>1341</v>
      </c>
      <c r="K1690" s="8">
        <f>(F1690*I1690)</f>
        <v>50</v>
      </c>
      <c r="AE1690" s="52">
        <f t="shared" si="222"/>
        <v>0</v>
      </c>
    </row>
    <row r="1691" spans="6:31" ht="24" customHeight="1">
      <c r="G1691" s="7" t="s">
        <v>419</v>
      </c>
      <c r="H1691" s="1" t="s">
        <v>597</v>
      </c>
      <c r="J1691" s="1" t="s">
        <v>419</v>
      </c>
      <c r="K1691" s="8">
        <v>5</v>
      </c>
      <c r="AE1691" s="52">
        <f t="shared" si="222"/>
        <v>0</v>
      </c>
    </row>
    <row r="1692" spans="6:31" ht="24" customHeight="1">
      <c r="K1692" s="5" t="s">
        <v>1530</v>
      </c>
      <c r="AE1692" s="52">
        <f t="shared" si="222"/>
        <v>0</v>
      </c>
    </row>
    <row r="1693" spans="6:31" ht="24" customHeight="1">
      <c r="H1693" s="2" t="s">
        <v>598</v>
      </c>
      <c r="K1693" s="8">
        <f>SUM(K1689:K1691)</f>
        <v>55</v>
      </c>
      <c r="AE1693" s="52">
        <f t="shared" si="222"/>
        <v>0</v>
      </c>
    </row>
    <row r="1694" spans="6:31" ht="24" customHeight="1">
      <c r="K1694" s="5" t="s">
        <v>1980</v>
      </c>
      <c r="AE1694" s="52">
        <f t="shared" si="222"/>
        <v>0</v>
      </c>
    </row>
    <row r="1695" spans="6:31" ht="24" customHeight="1">
      <c r="F1695" s="2" t="s">
        <v>2067</v>
      </c>
      <c r="G1695" s="7" t="s">
        <v>2167</v>
      </c>
      <c r="H1695" s="1" t="s">
        <v>509</v>
      </c>
      <c r="AE1695" s="52">
        <f t="shared" si="222"/>
        <v>0</v>
      </c>
    </row>
    <row r="1696" spans="6:31" ht="24" customHeight="1">
      <c r="H1696" s="5" t="s">
        <v>1530</v>
      </c>
      <c r="I1696" s="5" t="s">
        <v>1530</v>
      </c>
      <c r="AE1696" s="52">
        <f t="shared" si="222"/>
        <v>0</v>
      </c>
    </row>
    <row r="1697" spans="6:31" ht="24" customHeight="1">
      <c r="F1697" s="8">
        <v>1</v>
      </c>
      <c r="G1697" s="7" t="s">
        <v>1703</v>
      </c>
      <c r="H1697" s="1" t="s">
        <v>2068</v>
      </c>
      <c r="I1697" s="491">
        <v>1.2</v>
      </c>
      <c r="J1697" s="1" t="s">
        <v>1341</v>
      </c>
      <c r="K1697" s="8">
        <f>(F1697*I1697)</f>
        <v>1.2</v>
      </c>
      <c r="AE1697" s="52">
        <f t="shared" si="222"/>
        <v>0</v>
      </c>
    </row>
    <row r="1698" spans="6:31" ht="24" customHeight="1">
      <c r="G1698" s="7" t="s">
        <v>419</v>
      </c>
      <c r="H1698" s="1" t="s">
        <v>597</v>
      </c>
      <c r="J1698" s="1" t="s">
        <v>419</v>
      </c>
      <c r="K1698" s="8">
        <f>K1697*0.25</f>
        <v>0.3</v>
      </c>
      <c r="AE1698" s="52">
        <f t="shared" si="222"/>
        <v>0</v>
      </c>
    </row>
    <row r="1699" spans="6:31" ht="24" customHeight="1">
      <c r="K1699" s="5" t="s">
        <v>1530</v>
      </c>
    </row>
    <row r="1700" spans="6:31" ht="24" customHeight="1">
      <c r="H1700" s="2" t="s">
        <v>598</v>
      </c>
      <c r="K1700" s="8">
        <f>SUM(K1695:K1698)</f>
        <v>1.5</v>
      </c>
    </row>
    <row r="1701" spans="6:31" ht="24" customHeight="1">
      <c r="F1701" s="1" t="s">
        <v>940</v>
      </c>
      <c r="K1701" s="5" t="s">
        <v>1530</v>
      </c>
    </row>
    <row r="1702" spans="6:31" ht="24" customHeight="1">
      <c r="F1702" s="25">
        <v>50.1</v>
      </c>
      <c r="G1702" s="7" t="s">
        <v>2167</v>
      </c>
      <c r="H1702" s="1" t="s">
        <v>2084</v>
      </c>
    </row>
    <row r="1703" spans="6:31" ht="24" customHeight="1">
      <c r="H1703" s="1" t="s">
        <v>13</v>
      </c>
    </row>
    <row r="1704" spans="6:31" ht="24" customHeight="1">
      <c r="H1704" s="1" t="s">
        <v>40</v>
      </c>
    </row>
    <row r="1705" spans="6:31" ht="24" customHeight="1">
      <c r="H1705" s="1" t="s">
        <v>41</v>
      </c>
    </row>
    <row r="1706" spans="6:31" ht="24" customHeight="1">
      <c r="H1706" s="1" t="s">
        <v>42</v>
      </c>
    </row>
    <row r="1707" spans="6:31" ht="24" customHeight="1">
      <c r="H1707" s="5" t="s">
        <v>1530</v>
      </c>
      <c r="I1707" s="5" t="s">
        <v>1530</v>
      </c>
    </row>
    <row r="1708" spans="6:31" ht="24" customHeight="1">
      <c r="F1708" s="8">
        <v>9</v>
      </c>
      <c r="G1708" s="7" t="s">
        <v>2070</v>
      </c>
      <c r="H1708" s="1" t="s">
        <v>1519</v>
      </c>
      <c r="I1708" s="8">
        <f>C76</f>
        <v>1581.38</v>
      </c>
      <c r="J1708" s="1" t="s">
        <v>2070</v>
      </c>
      <c r="K1708" s="8">
        <f>(F1708*I1708)</f>
        <v>14232.42</v>
      </c>
    </row>
    <row r="1709" spans="6:31" ht="24" customHeight="1">
      <c r="F1709" s="8">
        <v>4.5</v>
      </c>
      <c r="G1709" s="7" t="s">
        <v>2070</v>
      </c>
      <c r="H1709" s="1" t="s">
        <v>1520</v>
      </c>
      <c r="I1709" s="8">
        <f>K32</f>
        <v>4361.62</v>
      </c>
      <c r="J1709" s="1" t="s">
        <v>2070</v>
      </c>
      <c r="K1709" s="8">
        <f>(F1709*I1709)</f>
        <v>19627.29</v>
      </c>
    </row>
    <row r="1710" spans="6:31" ht="24" customHeight="1">
      <c r="F1710" s="8">
        <v>1.8</v>
      </c>
      <c r="G1710" s="7" t="s">
        <v>529</v>
      </c>
      <c r="H1710" s="1" t="s">
        <v>1521</v>
      </c>
      <c r="I1710" s="8">
        <f>C11</f>
        <v>804</v>
      </c>
      <c r="J1710" s="1" t="s">
        <v>1341</v>
      </c>
      <c r="K1710" s="8">
        <f>(F1710*I1710)</f>
        <v>1447.2</v>
      </c>
    </row>
    <row r="1711" spans="6:31" ht="24" customHeight="1">
      <c r="F1711" s="8">
        <v>17.7</v>
      </c>
      <c r="G1711" s="7" t="s">
        <v>529</v>
      </c>
      <c r="H1711" s="1" t="s">
        <v>792</v>
      </c>
      <c r="I1711" s="8">
        <f>C12</f>
        <v>562</v>
      </c>
      <c r="J1711" s="1" t="s">
        <v>1341</v>
      </c>
      <c r="K1711" s="8">
        <f>(F1711*I1711)</f>
        <v>9947.4</v>
      </c>
    </row>
    <row r="1712" spans="6:31" ht="24" customHeight="1">
      <c r="F1712" s="8">
        <v>14.1</v>
      </c>
      <c r="G1712" s="7" t="s">
        <v>529</v>
      </c>
      <c r="H1712" s="1" t="s">
        <v>1317</v>
      </c>
      <c r="I1712" s="8">
        <f>C13</f>
        <v>461</v>
      </c>
      <c r="J1712" s="1" t="s">
        <v>1341</v>
      </c>
      <c r="K1712" s="8">
        <f>(F1712*I1712)</f>
        <v>6500.1</v>
      </c>
    </row>
    <row r="1713" spans="6:11" ht="24" customHeight="1">
      <c r="K1713" s="5" t="s">
        <v>1530</v>
      </c>
    </row>
    <row r="1714" spans="6:11" ht="24" customHeight="1">
      <c r="H1714" s="2" t="s">
        <v>1522</v>
      </c>
      <c r="K1714" s="8">
        <f>SUM(K1708:K1712)</f>
        <v>51754.41</v>
      </c>
    </row>
    <row r="1715" spans="6:11" ht="24" customHeight="1">
      <c r="K1715" s="5" t="s">
        <v>1530</v>
      </c>
    </row>
    <row r="1716" spans="6:11" ht="24" customHeight="1">
      <c r="H1716" s="2" t="s">
        <v>1523</v>
      </c>
      <c r="K1716" s="39">
        <f>(K1714/10)</f>
        <v>5175.4399999999996</v>
      </c>
    </row>
    <row r="1717" spans="6:11" ht="24" customHeight="1">
      <c r="K1717" s="5" t="s">
        <v>1980</v>
      </c>
    </row>
    <row r="1719" spans="6:11" ht="24" customHeight="1">
      <c r="G1719" s="7" t="s">
        <v>643</v>
      </c>
      <c r="H1719" s="1" t="s">
        <v>1108</v>
      </c>
    </row>
    <row r="1720" spans="6:11" ht="24" customHeight="1">
      <c r="H1720" s="1" t="s">
        <v>569</v>
      </c>
    </row>
    <row r="1721" spans="6:11" ht="24" customHeight="1">
      <c r="H1721" s="5" t="s">
        <v>1530</v>
      </c>
      <c r="I1721" s="5" t="s">
        <v>1530</v>
      </c>
    </row>
    <row r="1723" spans="6:11" ht="24" customHeight="1">
      <c r="F1723" s="13">
        <v>0.314</v>
      </c>
      <c r="G1723" s="7" t="s">
        <v>2070</v>
      </c>
      <c r="H1723" s="1" t="s">
        <v>412</v>
      </c>
      <c r="I1723" s="8">
        <f>K1716</f>
        <v>5175.4399999999996</v>
      </c>
      <c r="J1723" s="1" t="s">
        <v>2070</v>
      </c>
      <c r="K1723" s="8">
        <f>(F1723*I1723)</f>
        <v>1625.09</v>
      </c>
    </row>
    <row r="1724" spans="6:11" ht="24" customHeight="1">
      <c r="F1724" s="8">
        <v>18</v>
      </c>
      <c r="G1724" s="7" t="s">
        <v>529</v>
      </c>
      <c r="H1724" s="621" t="s">
        <v>4129</v>
      </c>
      <c r="I1724" s="487">
        <v>41.87</v>
      </c>
      <c r="J1724" s="1" t="s">
        <v>1341</v>
      </c>
      <c r="K1724" s="8">
        <f>(F1724*I1724)</f>
        <v>753.66</v>
      </c>
    </row>
    <row r="1725" spans="6:11" ht="24" customHeight="1">
      <c r="F1725" s="8">
        <v>18</v>
      </c>
      <c r="G1725" s="7" t="s">
        <v>529</v>
      </c>
      <c r="H1725" s="1" t="s">
        <v>505</v>
      </c>
      <c r="I1725" s="8">
        <v>1</v>
      </c>
      <c r="J1725" s="1" t="s">
        <v>1341</v>
      </c>
      <c r="K1725" s="8">
        <f>(F1725*I1725)</f>
        <v>18</v>
      </c>
    </row>
    <row r="1726" spans="6:11" ht="24" customHeight="1">
      <c r="F1726" s="8">
        <v>18</v>
      </c>
      <c r="G1726" s="7" t="s">
        <v>529</v>
      </c>
      <c r="H1726" s="1" t="s">
        <v>506</v>
      </c>
      <c r="I1726" s="8">
        <v>2</v>
      </c>
      <c r="J1726" s="1" t="s">
        <v>1341</v>
      </c>
      <c r="K1726" s="8">
        <f>(F1726*I1726)</f>
        <v>36</v>
      </c>
    </row>
    <row r="1727" spans="6:11" ht="24" customHeight="1">
      <c r="K1727" s="5" t="s">
        <v>1530</v>
      </c>
    </row>
    <row r="1728" spans="6:11" ht="24" customHeight="1">
      <c r="H1728" s="2" t="s">
        <v>1881</v>
      </c>
      <c r="K1728" s="8">
        <f>SUM(K1722:K1726)</f>
        <v>2432.75</v>
      </c>
    </row>
    <row r="1729" spans="6:11" ht="24" customHeight="1">
      <c r="K1729" s="5" t="s">
        <v>1530</v>
      </c>
    </row>
    <row r="1730" spans="6:11" ht="24" customHeight="1">
      <c r="H1730" s="2" t="s">
        <v>1882</v>
      </c>
      <c r="K1730" s="39">
        <f>(K1728/6.28)</f>
        <v>387.38</v>
      </c>
    </row>
    <row r="1731" spans="6:11" ht="24" customHeight="1">
      <c r="K1731" s="5" t="s">
        <v>1980</v>
      </c>
    </row>
    <row r="1732" spans="6:11" ht="24" customHeight="1">
      <c r="F1732" s="1" t="s">
        <v>940</v>
      </c>
      <c r="H1732" s="1" t="s">
        <v>700</v>
      </c>
    </row>
    <row r="1733" spans="6:11" ht="24" customHeight="1">
      <c r="H1733" s="5" t="s">
        <v>1530</v>
      </c>
    </row>
    <row r="1734" spans="6:11" ht="24" customHeight="1">
      <c r="F1734" s="13">
        <v>0.01</v>
      </c>
      <c r="G1734" s="7" t="s">
        <v>2070</v>
      </c>
      <c r="H1734" s="1" t="s">
        <v>412</v>
      </c>
      <c r="I1734" s="8">
        <f>K1716</f>
        <v>5175.4399999999996</v>
      </c>
      <c r="J1734" s="1" t="s">
        <v>2070</v>
      </c>
      <c r="K1734" s="8">
        <f>ROUND(F1734*I1734,2)</f>
        <v>51.75</v>
      </c>
    </row>
    <row r="1735" spans="6:11" ht="24" customHeight="1">
      <c r="F1735" s="8">
        <v>0.01</v>
      </c>
      <c r="G1735" s="7" t="s">
        <v>1289</v>
      </c>
      <c r="H1735" s="1" t="s">
        <v>701</v>
      </c>
      <c r="I1735" s="6" t="s">
        <v>625</v>
      </c>
      <c r="K1735" s="8">
        <v>1.2</v>
      </c>
    </row>
    <row r="1736" spans="6:11" ht="24" customHeight="1">
      <c r="I1736" s="33"/>
      <c r="K1736" s="5" t="s">
        <v>1530</v>
      </c>
    </row>
    <row r="1737" spans="6:11" ht="24" customHeight="1">
      <c r="H1737" s="2" t="s">
        <v>709</v>
      </c>
      <c r="K1737" s="8">
        <f>SUM(K1731:K1735)</f>
        <v>52.95</v>
      </c>
    </row>
    <row r="1738" spans="6:11" ht="24" customHeight="1">
      <c r="K1738" s="5" t="s">
        <v>1530</v>
      </c>
    </row>
    <row r="1739" spans="6:11" ht="24" customHeight="1">
      <c r="H1739" s="2" t="s">
        <v>2093</v>
      </c>
      <c r="K1739" s="8">
        <f>K1737/0.01</f>
        <v>5295</v>
      </c>
    </row>
    <row r="1740" spans="6:11" ht="24" customHeight="1">
      <c r="K1740" s="5" t="s">
        <v>1980</v>
      </c>
    </row>
    <row r="1741" spans="6:11" ht="24" customHeight="1">
      <c r="F1741" s="2" t="s">
        <v>2094</v>
      </c>
      <c r="G1741" s="7" t="s">
        <v>643</v>
      </c>
      <c r="H1741" s="1" t="s">
        <v>1108</v>
      </c>
    </row>
    <row r="1742" spans="6:11" ht="24" customHeight="1">
      <c r="H1742" s="34" t="s">
        <v>570</v>
      </c>
    </row>
    <row r="1743" spans="6:11" ht="24" customHeight="1">
      <c r="H1743" s="5" t="s">
        <v>1530</v>
      </c>
      <c r="I1743" s="5" t="s">
        <v>1530</v>
      </c>
    </row>
    <row r="1744" spans="6:11" ht="24" customHeight="1">
      <c r="F1744" s="13">
        <v>0.40500000000000003</v>
      </c>
      <c r="G1744" s="7" t="s">
        <v>2070</v>
      </c>
      <c r="H1744" s="1" t="s">
        <v>412</v>
      </c>
      <c r="I1744" s="8">
        <f>K1739</f>
        <v>5295</v>
      </c>
      <c r="J1744" s="1" t="s">
        <v>2070</v>
      </c>
      <c r="K1744" s="8">
        <f>(F1744*I1744)</f>
        <v>2144.48</v>
      </c>
    </row>
    <row r="1745" spans="6:11" ht="24" customHeight="1">
      <c r="F1745" s="1" t="s">
        <v>940</v>
      </c>
      <c r="G1745" s="7" t="s">
        <v>940</v>
      </c>
      <c r="H1745" s="1" t="s">
        <v>1594</v>
      </c>
      <c r="I1745" s="6" t="s">
        <v>625</v>
      </c>
      <c r="K1745" s="1" t="s">
        <v>940</v>
      </c>
    </row>
    <row r="1746" spans="6:11" ht="24" customHeight="1">
      <c r="K1746" s="5" t="s">
        <v>1530</v>
      </c>
    </row>
    <row r="1747" spans="6:11" ht="24" customHeight="1">
      <c r="H1747" s="2" t="s">
        <v>1595</v>
      </c>
      <c r="K1747" s="8">
        <f>SUM(K1741:K1745)</f>
        <v>2144.48</v>
      </c>
    </row>
    <row r="1748" spans="6:11" ht="24" customHeight="1">
      <c r="K1748" s="5" t="s">
        <v>1530</v>
      </c>
    </row>
    <row r="1749" spans="6:11" ht="24" customHeight="1">
      <c r="H1749" s="2" t="s">
        <v>1596</v>
      </c>
      <c r="K1749" s="39">
        <f>K1747/9</f>
        <v>238.28</v>
      </c>
    </row>
    <row r="1750" spans="6:11" ht="24" customHeight="1">
      <c r="K1750" s="5" t="s">
        <v>1980</v>
      </c>
    </row>
    <row r="1751" spans="6:11" ht="24" customHeight="1">
      <c r="F1751" s="2" t="s">
        <v>1348</v>
      </c>
      <c r="H1751" s="1" t="s">
        <v>439</v>
      </c>
    </row>
    <row r="1752" spans="6:11" ht="24" customHeight="1">
      <c r="H1752" s="5" t="s">
        <v>1530</v>
      </c>
    </row>
    <row r="1753" spans="6:11" ht="24" customHeight="1">
      <c r="F1753" s="8">
        <v>4.32</v>
      </c>
      <c r="G1753" s="7" t="s">
        <v>836</v>
      </c>
      <c r="H1753" s="1" t="s">
        <v>335</v>
      </c>
      <c r="I1753" s="8">
        <f>C64</f>
        <v>96.6</v>
      </c>
      <c r="J1753" s="1" t="s">
        <v>836</v>
      </c>
      <c r="K1753" s="8">
        <f t="shared" ref="K1753:K1760" si="223">(F1753*I1753)</f>
        <v>417.31</v>
      </c>
    </row>
    <row r="1754" spans="6:11" ht="24" customHeight="1">
      <c r="F1754" s="8">
        <v>1.44</v>
      </c>
      <c r="G1754" s="7" t="s">
        <v>836</v>
      </c>
      <c r="H1754" s="1" t="s">
        <v>440</v>
      </c>
      <c r="I1754" s="491">
        <v>69.099999999999994</v>
      </c>
      <c r="J1754" s="1" t="s">
        <v>836</v>
      </c>
      <c r="K1754" s="8">
        <f t="shared" si="223"/>
        <v>99.5</v>
      </c>
    </row>
    <row r="1755" spans="6:11" ht="24" customHeight="1">
      <c r="F1755" s="8">
        <v>1.44</v>
      </c>
      <c r="G1755" s="7" t="s">
        <v>836</v>
      </c>
      <c r="H1755" s="1" t="s">
        <v>441</v>
      </c>
      <c r="I1755" s="8">
        <f>C35</f>
        <v>346.64</v>
      </c>
      <c r="J1755" s="1" t="s">
        <v>836</v>
      </c>
      <c r="K1755" s="8">
        <f t="shared" si="223"/>
        <v>499.16</v>
      </c>
    </row>
    <row r="1756" spans="6:11" ht="24" customHeight="1">
      <c r="F1756" s="8">
        <v>1.44</v>
      </c>
      <c r="G1756" s="7" t="s">
        <v>836</v>
      </c>
      <c r="H1756" s="1" t="s">
        <v>442</v>
      </c>
      <c r="I1756" s="8">
        <f>C81</f>
        <v>1400.82</v>
      </c>
      <c r="J1756" s="1" t="s">
        <v>836</v>
      </c>
      <c r="K1756" s="8">
        <f t="shared" si="223"/>
        <v>2017.18</v>
      </c>
    </row>
    <row r="1757" spans="6:11" ht="24" customHeight="1">
      <c r="F1757" s="8">
        <v>2.88</v>
      </c>
      <c r="G1757" s="7" t="s">
        <v>836</v>
      </c>
      <c r="H1757" s="1" t="s">
        <v>443</v>
      </c>
      <c r="I1757" s="487">
        <v>10</v>
      </c>
      <c r="J1757" s="1" t="s">
        <v>836</v>
      </c>
      <c r="K1757" s="8">
        <f t="shared" si="223"/>
        <v>28.8</v>
      </c>
    </row>
    <row r="1758" spans="6:11" ht="24" customHeight="1">
      <c r="F1758" s="8">
        <v>20</v>
      </c>
      <c r="G1758" s="7" t="s">
        <v>244</v>
      </c>
      <c r="H1758" s="1" t="s">
        <v>1570</v>
      </c>
      <c r="I1758" s="491">
        <v>46.1</v>
      </c>
      <c r="J1758" s="1" t="s">
        <v>244</v>
      </c>
      <c r="K1758" s="8">
        <f t="shared" si="223"/>
        <v>922</v>
      </c>
    </row>
    <row r="1759" spans="6:11" ht="24" customHeight="1">
      <c r="F1759" s="8">
        <v>42</v>
      </c>
      <c r="G1759" s="7" t="s">
        <v>2114</v>
      </c>
      <c r="H1759" s="1" t="s">
        <v>4743</v>
      </c>
      <c r="I1759" s="52">
        <v>17.5</v>
      </c>
      <c r="J1759" s="1" t="s">
        <v>2114</v>
      </c>
      <c r="K1759" s="8">
        <f t="shared" si="223"/>
        <v>735</v>
      </c>
    </row>
    <row r="1760" spans="6:11" ht="24" customHeight="1">
      <c r="F1760" s="8">
        <v>4.32</v>
      </c>
      <c r="G1760" s="7" t="s">
        <v>836</v>
      </c>
      <c r="H1760" s="1" t="s">
        <v>1562</v>
      </c>
      <c r="I1760" s="8">
        <f>C26</f>
        <v>33.6</v>
      </c>
      <c r="J1760" s="1" t="s">
        <v>836</v>
      </c>
      <c r="K1760" s="8">
        <f t="shared" si="223"/>
        <v>145.15</v>
      </c>
    </row>
    <row r="1761" spans="6:12" ht="24" customHeight="1">
      <c r="F1761" s="2" t="s">
        <v>702</v>
      </c>
      <c r="H1761" s="1" t="s">
        <v>986</v>
      </c>
      <c r="K1761" s="8">
        <v>2000</v>
      </c>
    </row>
    <row r="1762" spans="6:12" ht="24" customHeight="1">
      <c r="K1762" s="5" t="s">
        <v>1530</v>
      </c>
    </row>
    <row r="1763" spans="6:12" ht="24" customHeight="1">
      <c r="H1763" s="1" t="s">
        <v>987</v>
      </c>
      <c r="K1763" s="8">
        <f>SUM(K1753:K1761)</f>
        <v>6864.1</v>
      </c>
    </row>
    <row r="1764" spans="6:12" ht="24" customHeight="1">
      <c r="K1764" s="5" t="s">
        <v>1530</v>
      </c>
    </row>
    <row r="1765" spans="6:12" ht="24" customHeight="1">
      <c r="H1765" s="1" t="s">
        <v>1344</v>
      </c>
      <c r="K1765" s="39">
        <f>K1763/20</f>
        <v>343.21</v>
      </c>
    </row>
    <row r="1766" spans="6:12" ht="24" customHeight="1">
      <c r="K1766" s="5" t="s">
        <v>1980</v>
      </c>
    </row>
    <row r="1768" spans="6:12" ht="24" customHeight="1">
      <c r="F1768" s="2" t="s">
        <v>988</v>
      </c>
      <c r="H1768" s="1" t="s">
        <v>1266</v>
      </c>
    </row>
    <row r="1769" spans="6:12" ht="24" customHeight="1">
      <c r="H1769" s="5" t="s">
        <v>1530</v>
      </c>
    </row>
    <row r="1770" spans="6:12" ht="24" customHeight="1">
      <c r="F1770" s="8">
        <v>0.1</v>
      </c>
      <c r="G1770" s="7" t="s">
        <v>836</v>
      </c>
      <c r="H1770" s="1" t="s">
        <v>335</v>
      </c>
      <c r="I1770" s="8">
        <f>K93</f>
        <v>193.2</v>
      </c>
      <c r="J1770" s="1" t="s">
        <v>836</v>
      </c>
      <c r="K1770" s="8">
        <f t="shared" ref="K1770:K1775" si="224">(F1770*I1770)</f>
        <v>19.32</v>
      </c>
    </row>
    <row r="1771" spans="6:12" ht="24" customHeight="1">
      <c r="F1771" s="8">
        <v>6.3</v>
      </c>
      <c r="G1771" s="7" t="s">
        <v>2114</v>
      </c>
      <c r="H1771" s="1" t="s">
        <v>4744</v>
      </c>
      <c r="I1771" s="52">
        <v>34.6</v>
      </c>
      <c r="J1771" s="1" t="s">
        <v>2114</v>
      </c>
      <c r="K1771" s="8">
        <f t="shared" si="224"/>
        <v>217.98</v>
      </c>
    </row>
    <row r="1772" spans="6:12" ht="24" customHeight="1">
      <c r="F1772" s="8">
        <v>6.3</v>
      </c>
      <c r="G1772" s="7" t="s">
        <v>2114</v>
      </c>
      <c r="H1772" s="1" t="s">
        <v>1099</v>
      </c>
      <c r="I1772" s="443">
        <f>I1759</f>
        <v>17.5</v>
      </c>
      <c r="J1772" s="1" t="s">
        <v>2114</v>
      </c>
      <c r="K1772" s="8">
        <f t="shared" si="224"/>
        <v>110.25</v>
      </c>
    </row>
    <row r="1773" spans="6:12" ht="24" customHeight="1">
      <c r="F1773" s="8">
        <v>3.15</v>
      </c>
      <c r="G1773" s="7" t="s">
        <v>222</v>
      </c>
      <c r="H1773" s="1" t="s">
        <v>604</v>
      </c>
      <c r="I1773" s="8">
        <f>C201</f>
        <v>36.299999999999997</v>
      </c>
      <c r="J1773" s="1" t="s">
        <v>222</v>
      </c>
      <c r="K1773" s="8">
        <f t="shared" si="224"/>
        <v>114.35</v>
      </c>
      <c r="L1773" t="s">
        <v>177</v>
      </c>
    </row>
    <row r="1774" spans="6:12" ht="24" customHeight="1">
      <c r="F1774" s="8">
        <v>0.25</v>
      </c>
      <c r="G1774" s="7" t="s">
        <v>1703</v>
      </c>
      <c r="H1774" s="1" t="s">
        <v>605</v>
      </c>
      <c r="I1774" s="8">
        <f>D16</f>
        <v>804</v>
      </c>
      <c r="J1774" s="1" t="s">
        <v>1703</v>
      </c>
      <c r="K1774" s="8">
        <f t="shared" si="224"/>
        <v>201</v>
      </c>
    </row>
    <row r="1775" spans="6:12" ht="24" customHeight="1">
      <c r="F1775" s="8">
        <v>0.2</v>
      </c>
      <c r="G1775" s="7" t="s">
        <v>1703</v>
      </c>
      <c r="H1775" s="1" t="s">
        <v>606</v>
      </c>
      <c r="I1775" s="8">
        <f>AE38</f>
        <v>724</v>
      </c>
      <c r="J1775" s="1" t="s">
        <v>1703</v>
      </c>
      <c r="K1775" s="8">
        <f t="shared" si="224"/>
        <v>144.80000000000001</v>
      </c>
    </row>
    <row r="1776" spans="6:12" ht="24" customHeight="1">
      <c r="H1776" s="1" t="s">
        <v>473</v>
      </c>
      <c r="I1776" s="1" t="s">
        <v>940</v>
      </c>
      <c r="J1776" s="1" t="s">
        <v>940</v>
      </c>
      <c r="K1776" s="8">
        <v>0</v>
      </c>
    </row>
    <row r="1777" spans="6:11" ht="24" customHeight="1">
      <c r="J1777" s="1" t="s">
        <v>940</v>
      </c>
      <c r="K1777" s="5" t="s">
        <v>1530</v>
      </c>
    </row>
    <row r="1778" spans="6:11" ht="24" customHeight="1">
      <c r="F1778" s="1" t="s">
        <v>940</v>
      </c>
      <c r="G1778" s="7" t="s">
        <v>940</v>
      </c>
      <c r="H1778" s="1" t="s">
        <v>1344</v>
      </c>
      <c r="K1778" s="39">
        <f>SUM(K1770:K1777)</f>
        <v>807.7</v>
      </c>
    </row>
    <row r="1779" spans="6:11" ht="24" customHeight="1">
      <c r="H1779" s="1" t="s">
        <v>940</v>
      </c>
      <c r="K1779" s="5" t="s">
        <v>1530</v>
      </c>
    </row>
    <row r="1780" spans="6:11" ht="24" customHeight="1">
      <c r="K1780" s="5"/>
    </row>
    <row r="1781" spans="6:11" ht="24" customHeight="1">
      <c r="F1781" s="2" t="s">
        <v>562</v>
      </c>
      <c r="H1781" s="1" t="s">
        <v>893</v>
      </c>
    </row>
    <row r="1782" spans="6:11" ht="24" customHeight="1">
      <c r="H1782" s="5" t="s">
        <v>1530</v>
      </c>
    </row>
    <row r="1783" spans="6:11" ht="24" customHeight="1">
      <c r="F1783" s="16">
        <v>0.48599999999999999</v>
      </c>
      <c r="G1783" s="7" t="s">
        <v>1289</v>
      </c>
      <c r="H1783" s="1" t="s">
        <v>335</v>
      </c>
      <c r="I1783" s="8">
        <f>C64</f>
        <v>96.6</v>
      </c>
      <c r="J1783" s="1" t="s">
        <v>1289</v>
      </c>
      <c r="K1783" s="8">
        <f t="shared" ref="K1783:K1789" si="225">(F1783*I1783)</f>
        <v>46.95</v>
      </c>
    </row>
    <row r="1784" spans="6:11" ht="24" customHeight="1">
      <c r="F1784" s="16">
        <v>0.48599999999999999</v>
      </c>
      <c r="G1784" s="7" t="s">
        <v>1289</v>
      </c>
      <c r="H1784" s="1" t="s">
        <v>336</v>
      </c>
      <c r="I1784" s="8">
        <f>K207</f>
        <v>4297.8</v>
      </c>
      <c r="J1784" s="1" t="s">
        <v>1289</v>
      </c>
      <c r="K1784" s="8">
        <f t="shared" si="225"/>
        <v>2088.73</v>
      </c>
    </row>
    <row r="1785" spans="6:11" ht="24" customHeight="1">
      <c r="F1785" s="8">
        <v>81.75</v>
      </c>
      <c r="G1785" s="7" t="s">
        <v>337</v>
      </c>
      <c r="H1785" s="1" t="s">
        <v>338</v>
      </c>
      <c r="I1785" s="8">
        <f>I748</f>
        <v>47.3</v>
      </c>
      <c r="J1785" s="1" t="s">
        <v>337</v>
      </c>
      <c r="K1785" s="8">
        <f t="shared" si="225"/>
        <v>3866.78</v>
      </c>
    </row>
    <row r="1786" spans="6:11" ht="24" customHeight="1">
      <c r="F1786" s="8">
        <v>7.2</v>
      </c>
      <c r="G1786" s="7" t="s">
        <v>337</v>
      </c>
      <c r="H1786" s="1" t="s">
        <v>339</v>
      </c>
      <c r="I1786" s="8">
        <f>I748</f>
        <v>47.3</v>
      </c>
      <c r="J1786" s="1" t="s">
        <v>337</v>
      </c>
      <c r="K1786" s="8">
        <f t="shared" si="225"/>
        <v>340.56</v>
      </c>
    </row>
    <row r="1787" spans="6:11" ht="24" customHeight="1">
      <c r="F1787" s="8">
        <v>43.68</v>
      </c>
      <c r="G1787" s="7" t="s">
        <v>337</v>
      </c>
      <c r="H1787" s="1" t="s">
        <v>1501</v>
      </c>
      <c r="I1787" s="8">
        <f>I746</f>
        <v>47.3</v>
      </c>
      <c r="J1787" s="1" t="s">
        <v>337</v>
      </c>
      <c r="K1787" s="8">
        <f t="shared" si="225"/>
        <v>2066.06</v>
      </c>
    </row>
    <row r="1788" spans="6:11" ht="24" customHeight="1">
      <c r="F1788" s="8">
        <v>132.63</v>
      </c>
      <c r="G1788" s="7" t="s">
        <v>337</v>
      </c>
      <c r="H1788" s="1" t="s">
        <v>1502</v>
      </c>
      <c r="I1788" s="8">
        <f>C37</f>
        <v>47.8</v>
      </c>
      <c r="J1788" s="1" t="s">
        <v>337</v>
      </c>
      <c r="K1788" s="8">
        <f t="shared" si="225"/>
        <v>6339.71</v>
      </c>
    </row>
    <row r="1789" spans="6:11" ht="24" customHeight="1">
      <c r="F1789" s="8">
        <v>2.2000000000000002</v>
      </c>
      <c r="G1789" s="7" t="s">
        <v>222</v>
      </c>
      <c r="H1789" s="1" t="s">
        <v>4131</v>
      </c>
      <c r="I1789" s="487">
        <v>970</v>
      </c>
      <c r="J1789" s="1" t="s">
        <v>222</v>
      </c>
      <c r="K1789" s="8">
        <f t="shared" si="225"/>
        <v>2134</v>
      </c>
    </row>
    <row r="1790" spans="6:11" ht="24" customHeight="1">
      <c r="F1790" s="6" t="s">
        <v>625</v>
      </c>
      <c r="H1790" s="1" t="s">
        <v>1503</v>
      </c>
      <c r="I1790" s="6" t="s">
        <v>625</v>
      </c>
      <c r="K1790" s="8">
        <v>250</v>
      </c>
    </row>
    <row r="1791" spans="6:11" ht="24" customHeight="1">
      <c r="F1791" s="6" t="s">
        <v>625</v>
      </c>
      <c r="H1791" s="1" t="s">
        <v>1343</v>
      </c>
      <c r="I1791" s="6" t="s">
        <v>625</v>
      </c>
      <c r="K1791" s="8">
        <v>20.47</v>
      </c>
    </row>
    <row r="1792" spans="6:11" ht="24" customHeight="1">
      <c r="K1792" s="5" t="s">
        <v>1530</v>
      </c>
    </row>
    <row r="1793" spans="6:11" ht="24" customHeight="1">
      <c r="K1793" s="8">
        <f>SUM(K1783:K1792)</f>
        <v>17153.259999999998</v>
      </c>
    </row>
    <row r="1794" spans="6:11" ht="24" customHeight="1">
      <c r="K1794" s="5" t="s">
        <v>1530</v>
      </c>
    </row>
    <row r="1795" spans="6:11" ht="24" customHeight="1">
      <c r="K1795" s="5"/>
    </row>
    <row r="1796" spans="6:11" ht="24" customHeight="1">
      <c r="F1796" s="12">
        <v>86</v>
      </c>
      <c r="H1796" s="1" t="s">
        <v>1982</v>
      </c>
      <c r="K1796" s="545">
        <f>C809</f>
        <v>33.9</v>
      </c>
    </row>
    <row r="1797" spans="6:11" ht="24" customHeight="1">
      <c r="F1797" s="25"/>
      <c r="H1797" s="1"/>
      <c r="K1797" s="8"/>
    </row>
    <row r="1798" spans="6:11" ht="24" customHeight="1">
      <c r="F1798" s="2" t="s">
        <v>1597</v>
      </c>
      <c r="H1798" s="1" t="s">
        <v>4745</v>
      </c>
      <c r="K1798" s="441">
        <v>9.6</v>
      </c>
    </row>
    <row r="1799" spans="6:11" ht="24" customHeight="1">
      <c r="H1799" s="1" t="s">
        <v>2192</v>
      </c>
      <c r="K1799">
        <f>700*K1798</f>
        <v>6720</v>
      </c>
    </row>
    <row r="1800" spans="6:11" ht="24" customHeight="1">
      <c r="F1800" s="1" t="s">
        <v>940</v>
      </c>
      <c r="H1800" s="1" t="s">
        <v>2653</v>
      </c>
      <c r="K1800">
        <f>200*K1798</f>
        <v>1920</v>
      </c>
    </row>
    <row r="1801" spans="6:11" ht="24" customHeight="1">
      <c r="F1801" s="25"/>
      <c r="G1801" s="7" t="s">
        <v>2167</v>
      </c>
      <c r="H1801" s="1" t="s">
        <v>1974</v>
      </c>
    </row>
    <row r="1802" spans="6:11" ht="24" customHeight="1">
      <c r="H1802" s="1" t="s">
        <v>2193</v>
      </c>
    </row>
    <row r="1803" spans="6:11" ht="24" customHeight="1">
      <c r="H1803" s="1" t="s">
        <v>913</v>
      </c>
    </row>
    <row r="1804" spans="6:11" ht="24" customHeight="1">
      <c r="H1804" s="5" t="s">
        <v>1530</v>
      </c>
    </row>
    <row r="1805" spans="6:11" ht="24" customHeight="1">
      <c r="G1805" s="7" t="s">
        <v>2194</v>
      </c>
      <c r="H1805" s="1" t="s">
        <v>913</v>
      </c>
      <c r="K1805" s="1" t="s">
        <v>1394</v>
      </c>
    </row>
    <row r="1806" spans="6:11" ht="24" customHeight="1">
      <c r="H1806" s="5" t="s">
        <v>1530</v>
      </c>
      <c r="K1806" s="5" t="s">
        <v>1980</v>
      </c>
    </row>
    <row r="1807" spans="6:11" ht="24" customHeight="1">
      <c r="F1807" s="8">
        <v>30</v>
      </c>
      <c r="G1807" s="7" t="s">
        <v>1714</v>
      </c>
      <c r="H1807" s="1" t="s">
        <v>1610</v>
      </c>
      <c r="I1807" s="8">
        <f>(C664)</f>
        <v>9.1199999999999992</v>
      </c>
      <c r="J1807" s="1" t="s">
        <v>1714</v>
      </c>
      <c r="K1807" s="8">
        <f>(F1807*I1807)</f>
        <v>273.60000000000002</v>
      </c>
    </row>
    <row r="1808" spans="6:11" ht="24" customHeight="1">
      <c r="F1808" s="1" t="s">
        <v>940</v>
      </c>
      <c r="H1808" s="1" t="s">
        <v>1613</v>
      </c>
      <c r="I1808" s="1" t="s">
        <v>940</v>
      </c>
      <c r="K1808" s="1" t="s">
        <v>940</v>
      </c>
    </row>
    <row r="1809" spans="6:11" ht="24" customHeight="1">
      <c r="F1809" s="8">
        <v>8</v>
      </c>
      <c r="G1809" s="7" t="s">
        <v>835</v>
      </c>
      <c r="H1809" s="1" t="s">
        <v>2062</v>
      </c>
      <c r="I1809" s="8">
        <f>(C666)</f>
        <v>8.1</v>
      </c>
      <c r="J1809" s="1" t="s">
        <v>835</v>
      </c>
      <c r="K1809" s="8">
        <f t="shared" ref="K1809:K1815" si="226">(F1809*I1809)</f>
        <v>64.8</v>
      </c>
    </row>
    <row r="1810" spans="6:11" ht="24" customHeight="1">
      <c r="F1810" s="8">
        <v>8</v>
      </c>
      <c r="G1810" s="7" t="s">
        <v>835</v>
      </c>
      <c r="H1810" s="1" t="s">
        <v>437</v>
      </c>
      <c r="I1810" s="8">
        <f>(C675)</f>
        <v>11.5</v>
      </c>
      <c r="J1810" s="1" t="s">
        <v>835</v>
      </c>
      <c r="K1810" s="8">
        <f t="shared" si="226"/>
        <v>92</v>
      </c>
    </row>
    <row r="1811" spans="6:11" ht="24" customHeight="1">
      <c r="F1811" s="8">
        <v>3</v>
      </c>
      <c r="G1811" s="7" t="s">
        <v>835</v>
      </c>
      <c r="H1811" s="1" t="s">
        <v>1779</v>
      </c>
      <c r="I1811" s="8">
        <f>(C44)</f>
        <v>637</v>
      </c>
      <c r="J1811" s="1" t="s">
        <v>835</v>
      </c>
      <c r="K1811" s="8">
        <f t="shared" si="226"/>
        <v>1911</v>
      </c>
    </row>
    <row r="1812" spans="6:11" ht="24" customHeight="1">
      <c r="F1812" s="8">
        <v>1</v>
      </c>
      <c r="G1812" s="7" t="s">
        <v>835</v>
      </c>
      <c r="H1812" s="1" t="s">
        <v>1325</v>
      </c>
      <c r="I1812" s="8">
        <f>(C10)</f>
        <v>861</v>
      </c>
      <c r="J1812" s="1" t="s">
        <v>835</v>
      </c>
      <c r="K1812" s="8">
        <f t="shared" si="226"/>
        <v>861</v>
      </c>
    </row>
    <row r="1813" spans="6:11" ht="24" customHeight="1">
      <c r="F1813" s="8">
        <v>2</v>
      </c>
      <c r="G1813" s="7" t="s">
        <v>835</v>
      </c>
      <c r="H1813" s="1" t="s">
        <v>1836</v>
      </c>
      <c r="I1813" s="8">
        <f>(C12)</f>
        <v>562</v>
      </c>
      <c r="J1813" s="1" t="s">
        <v>835</v>
      </c>
      <c r="K1813" s="8">
        <f t="shared" si="226"/>
        <v>1124</v>
      </c>
    </row>
    <row r="1814" spans="6:11" ht="24" customHeight="1">
      <c r="F1814" s="8">
        <v>1</v>
      </c>
      <c r="G1814" s="7" t="s">
        <v>835</v>
      </c>
      <c r="H1814" s="1" t="s">
        <v>299</v>
      </c>
      <c r="I1814" s="8">
        <f>(C13)</f>
        <v>461</v>
      </c>
      <c r="J1814" s="1" t="s">
        <v>835</v>
      </c>
      <c r="K1814" s="8">
        <f t="shared" si="226"/>
        <v>461</v>
      </c>
    </row>
    <row r="1815" spans="6:11" ht="24" customHeight="1">
      <c r="F1815" s="8">
        <v>1</v>
      </c>
      <c r="G1815" s="7" t="s">
        <v>835</v>
      </c>
      <c r="H1815" s="1" t="s">
        <v>1326</v>
      </c>
      <c r="I1815" s="1">
        <v>5</v>
      </c>
      <c r="J1815" s="1" t="s">
        <v>1341</v>
      </c>
      <c r="K1815" s="8">
        <f t="shared" si="226"/>
        <v>5</v>
      </c>
    </row>
    <row r="1816" spans="6:11" ht="24" customHeight="1">
      <c r="H1816" s="1" t="s">
        <v>895</v>
      </c>
      <c r="I1816" s="1" t="s">
        <v>940</v>
      </c>
      <c r="K1816" s="1" t="s">
        <v>940</v>
      </c>
    </row>
    <row r="1817" spans="6:11" ht="24" customHeight="1">
      <c r="G1817" s="7" t="s">
        <v>419</v>
      </c>
      <c r="H1817" s="1" t="s">
        <v>420</v>
      </c>
      <c r="J1817" s="1" t="s">
        <v>419</v>
      </c>
      <c r="K1817" s="8">
        <v>0</v>
      </c>
    </row>
    <row r="1818" spans="6:11" ht="24" customHeight="1">
      <c r="K1818" s="5" t="s">
        <v>1530</v>
      </c>
    </row>
    <row r="1819" spans="6:11" ht="24" customHeight="1">
      <c r="H1819" s="1" t="s">
        <v>1784</v>
      </c>
      <c r="K1819" s="8">
        <f>SUM(K1807:K1817)</f>
        <v>4792.3999999999996</v>
      </c>
    </row>
    <row r="1820" spans="6:11" ht="24" customHeight="1">
      <c r="K1820" s="5" t="s">
        <v>1530</v>
      </c>
    </row>
    <row r="1821" spans="6:11" ht="24" customHeight="1">
      <c r="H1821" s="1" t="s">
        <v>1490</v>
      </c>
      <c r="K1821" s="8">
        <f>(K1819/30)</f>
        <v>159.75</v>
      </c>
    </row>
    <row r="1822" spans="6:11" ht="24" customHeight="1">
      <c r="K1822" s="5" t="s">
        <v>1530</v>
      </c>
    </row>
    <row r="1823" spans="6:11" ht="24" customHeight="1">
      <c r="G1823" s="7" t="s">
        <v>486</v>
      </c>
      <c r="H1823" s="1" t="s">
        <v>913</v>
      </c>
      <c r="K1823" s="1" t="s">
        <v>22</v>
      </c>
    </row>
    <row r="1824" spans="6:11" ht="24" customHeight="1">
      <c r="H1824" s="5" t="s">
        <v>1530</v>
      </c>
      <c r="K1824" s="5" t="s">
        <v>1980</v>
      </c>
    </row>
    <row r="1825" spans="6:11" ht="24" customHeight="1">
      <c r="F1825" s="8">
        <v>30</v>
      </c>
      <c r="G1825" s="7" t="s">
        <v>1714</v>
      </c>
      <c r="H1825" s="1" t="s">
        <v>1610</v>
      </c>
      <c r="I1825" s="8">
        <f>(C664)</f>
        <v>9.1199999999999992</v>
      </c>
      <c r="J1825" s="1" t="s">
        <v>1714</v>
      </c>
      <c r="K1825" s="8">
        <f>(F1825*I1825)</f>
        <v>273.60000000000002</v>
      </c>
    </row>
    <row r="1826" spans="6:11" ht="24" customHeight="1">
      <c r="F1826" s="1" t="s">
        <v>940</v>
      </c>
      <c r="H1826" s="1" t="s">
        <v>1613</v>
      </c>
      <c r="I1826" s="1" t="s">
        <v>940</v>
      </c>
      <c r="K1826" s="1" t="s">
        <v>940</v>
      </c>
    </row>
    <row r="1827" spans="6:11" ht="24" customHeight="1">
      <c r="F1827" s="8">
        <v>8</v>
      </c>
      <c r="G1827" s="7" t="s">
        <v>835</v>
      </c>
      <c r="H1827" s="1" t="s">
        <v>2062</v>
      </c>
      <c r="I1827" s="8">
        <f>(C666)</f>
        <v>8.1</v>
      </c>
      <c r="J1827" s="1" t="s">
        <v>835</v>
      </c>
      <c r="K1827" s="8">
        <f t="shared" ref="K1827:K1833" si="227">(F1827*I1827)</f>
        <v>64.8</v>
      </c>
    </row>
    <row r="1828" spans="6:11" ht="24" customHeight="1">
      <c r="F1828" s="8">
        <v>8</v>
      </c>
      <c r="G1828" s="7" t="s">
        <v>835</v>
      </c>
      <c r="H1828" s="1" t="s">
        <v>437</v>
      </c>
      <c r="I1828" s="8">
        <f>D675</f>
        <v>11.7</v>
      </c>
      <c r="J1828" s="1" t="s">
        <v>835</v>
      </c>
      <c r="K1828" s="8">
        <f t="shared" si="227"/>
        <v>93.6</v>
      </c>
    </row>
    <row r="1829" spans="6:11" ht="24" customHeight="1">
      <c r="F1829" s="8">
        <v>3</v>
      </c>
      <c r="G1829" s="7" t="s">
        <v>835</v>
      </c>
      <c r="H1829" s="1" t="s">
        <v>1779</v>
      </c>
      <c r="I1829" s="8">
        <f>(C44)</f>
        <v>637</v>
      </c>
      <c r="J1829" s="1" t="s">
        <v>835</v>
      </c>
      <c r="K1829" s="8">
        <f t="shared" si="227"/>
        <v>1911</v>
      </c>
    </row>
    <row r="1830" spans="6:11" ht="24" customHeight="1">
      <c r="F1830" s="8">
        <v>1</v>
      </c>
      <c r="G1830" s="7" t="s">
        <v>835</v>
      </c>
      <c r="H1830" s="1" t="s">
        <v>1325</v>
      </c>
      <c r="I1830" s="8">
        <f>(C10)</f>
        <v>861</v>
      </c>
      <c r="J1830" s="1" t="s">
        <v>835</v>
      </c>
      <c r="K1830" s="8">
        <f t="shared" si="227"/>
        <v>861</v>
      </c>
    </row>
    <row r="1831" spans="6:11" ht="24" customHeight="1">
      <c r="F1831" s="8">
        <v>2</v>
      </c>
      <c r="G1831" s="7" t="s">
        <v>835</v>
      </c>
      <c r="H1831" s="1" t="s">
        <v>1836</v>
      </c>
      <c r="I1831" s="8">
        <f>(C12)</f>
        <v>562</v>
      </c>
      <c r="J1831" s="1" t="s">
        <v>835</v>
      </c>
      <c r="K1831" s="8">
        <f t="shared" si="227"/>
        <v>1124</v>
      </c>
    </row>
    <row r="1832" spans="6:11" ht="24" customHeight="1">
      <c r="F1832" s="8">
        <v>1</v>
      </c>
      <c r="G1832" s="7" t="s">
        <v>835</v>
      </c>
      <c r="H1832" s="1" t="s">
        <v>299</v>
      </c>
      <c r="I1832" s="8">
        <f>(C13)</f>
        <v>461</v>
      </c>
      <c r="J1832" s="1" t="s">
        <v>835</v>
      </c>
      <c r="K1832" s="8">
        <f t="shared" si="227"/>
        <v>461</v>
      </c>
    </row>
    <row r="1833" spans="6:11" ht="24" customHeight="1">
      <c r="F1833" s="8">
        <v>1</v>
      </c>
      <c r="G1833" s="7" t="s">
        <v>835</v>
      </c>
      <c r="H1833" s="1" t="s">
        <v>1326</v>
      </c>
      <c r="I1833" s="1">
        <v>3</v>
      </c>
      <c r="J1833" s="1" t="s">
        <v>835</v>
      </c>
      <c r="K1833" s="8">
        <f t="shared" si="227"/>
        <v>3</v>
      </c>
    </row>
    <row r="1834" spans="6:11" ht="24" customHeight="1">
      <c r="H1834" s="1" t="s">
        <v>895</v>
      </c>
      <c r="I1834" s="1" t="s">
        <v>940</v>
      </c>
      <c r="K1834" s="1" t="s">
        <v>940</v>
      </c>
    </row>
    <row r="1835" spans="6:11" ht="24" customHeight="1">
      <c r="G1835" s="7" t="s">
        <v>419</v>
      </c>
      <c r="H1835" s="1" t="s">
        <v>420</v>
      </c>
      <c r="J1835" s="1" t="s">
        <v>419</v>
      </c>
      <c r="K1835" s="8">
        <v>0</v>
      </c>
    </row>
    <row r="1836" spans="6:11" ht="24" customHeight="1">
      <c r="K1836" s="5" t="s">
        <v>1530</v>
      </c>
    </row>
    <row r="1837" spans="6:11" ht="24" customHeight="1">
      <c r="H1837" s="1" t="s">
        <v>1784</v>
      </c>
      <c r="K1837" s="8">
        <f>SUM(K1825:K1835)</f>
        <v>4792</v>
      </c>
    </row>
    <row r="1838" spans="6:11" ht="24" customHeight="1">
      <c r="K1838" s="5" t="s">
        <v>1530</v>
      </c>
    </row>
    <row r="1839" spans="6:11" ht="24" customHeight="1">
      <c r="H1839" s="1" t="s">
        <v>1490</v>
      </c>
      <c r="K1839" s="8">
        <f>(K1837/30)</f>
        <v>159.72999999999999</v>
      </c>
    </row>
    <row r="1840" spans="6:11" ht="24" customHeight="1">
      <c r="K1840" s="5" t="s">
        <v>1530</v>
      </c>
    </row>
    <row r="1841" spans="6:11" ht="24" customHeight="1">
      <c r="G1841" s="7" t="s">
        <v>1840</v>
      </c>
      <c r="H1841" s="1" t="s">
        <v>913</v>
      </c>
      <c r="K1841" s="1" t="s">
        <v>23</v>
      </c>
    </row>
    <row r="1842" spans="6:11" ht="24" customHeight="1">
      <c r="H1842" s="5" t="s">
        <v>1530</v>
      </c>
      <c r="K1842" s="5" t="s">
        <v>1980</v>
      </c>
    </row>
    <row r="1843" spans="6:11" ht="24" customHeight="1">
      <c r="F1843" s="8">
        <v>30</v>
      </c>
      <c r="G1843" s="7" t="s">
        <v>1714</v>
      </c>
      <c r="H1843" s="1" t="s">
        <v>1610</v>
      </c>
      <c r="I1843" s="8">
        <f>(C664)</f>
        <v>9.1199999999999992</v>
      </c>
      <c r="J1843" s="1" t="s">
        <v>1714</v>
      </c>
      <c r="K1843" s="8">
        <f>(F1843*I1843)</f>
        <v>273.60000000000002</v>
      </c>
    </row>
    <row r="1844" spans="6:11" ht="24" customHeight="1">
      <c r="F1844" s="1" t="s">
        <v>940</v>
      </c>
      <c r="H1844" s="1" t="s">
        <v>1613</v>
      </c>
      <c r="I1844" s="1" t="s">
        <v>940</v>
      </c>
      <c r="K1844" s="1" t="s">
        <v>940</v>
      </c>
    </row>
    <row r="1845" spans="6:11" ht="24" customHeight="1">
      <c r="F1845" s="8">
        <v>8</v>
      </c>
      <c r="G1845" s="7" t="s">
        <v>835</v>
      </c>
      <c r="H1845" s="1" t="s">
        <v>2062</v>
      </c>
      <c r="I1845" s="8">
        <f>D666</f>
        <v>8.1</v>
      </c>
      <c r="J1845" s="1" t="s">
        <v>835</v>
      </c>
      <c r="K1845" s="8">
        <f t="shared" ref="K1845:K1851" si="228">(F1845*I1845)</f>
        <v>64.8</v>
      </c>
    </row>
    <row r="1846" spans="6:11" ht="24" customHeight="1">
      <c r="F1846" s="8">
        <v>8</v>
      </c>
      <c r="G1846" s="7" t="s">
        <v>835</v>
      </c>
      <c r="H1846" s="1" t="s">
        <v>437</v>
      </c>
      <c r="I1846" s="8">
        <f>C680</f>
        <v>32.700000000000003</v>
      </c>
      <c r="J1846" s="1" t="s">
        <v>835</v>
      </c>
      <c r="K1846" s="8">
        <f t="shared" si="228"/>
        <v>261.60000000000002</v>
      </c>
    </row>
    <row r="1847" spans="6:11" ht="24" customHeight="1">
      <c r="F1847" s="8">
        <v>3</v>
      </c>
      <c r="G1847" s="7" t="s">
        <v>835</v>
      </c>
      <c r="H1847" s="1" t="s">
        <v>1779</v>
      </c>
      <c r="I1847" s="8">
        <f>(C44)</f>
        <v>637</v>
      </c>
      <c r="J1847" s="1" t="s">
        <v>835</v>
      </c>
      <c r="K1847" s="8">
        <f t="shared" si="228"/>
        <v>1911</v>
      </c>
    </row>
    <row r="1848" spans="6:11" ht="24" customHeight="1">
      <c r="F1848" s="8">
        <v>1</v>
      </c>
      <c r="G1848" s="7" t="s">
        <v>835</v>
      </c>
      <c r="H1848" s="1" t="s">
        <v>1325</v>
      </c>
      <c r="I1848" s="8">
        <f>(C10)</f>
        <v>861</v>
      </c>
      <c r="J1848" s="1" t="s">
        <v>835</v>
      </c>
      <c r="K1848" s="8">
        <f t="shared" si="228"/>
        <v>861</v>
      </c>
    </row>
    <row r="1849" spans="6:11" ht="24" customHeight="1">
      <c r="F1849" s="8">
        <v>2</v>
      </c>
      <c r="G1849" s="7" t="s">
        <v>835</v>
      </c>
      <c r="H1849" s="1" t="s">
        <v>1836</v>
      </c>
      <c r="I1849" s="8">
        <f>(C12)</f>
        <v>562</v>
      </c>
      <c r="J1849" s="1" t="s">
        <v>835</v>
      </c>
      <c r="K1849" s="8">
        <f t="shared" si="228"/>
        <v>1124</v>
      </c>
    </row>
    <row r="1850" spans="6:11" ht="24" customHeight="1">
      <c r="F1850" s="8">
        <v>1</v>
      </c>
      <c r="G1850" s="7" t="s">
        <v>835</v>
      </c>
      <c r="H1850" s="1" t="s">
        <v>299</v>
      </c>
      <c r="I1850" s="8">
        <f>(C13)</f>
        <v>461</v>
      </c>
      <c r="J1850" s="1" t="s">
        <v>835</v>
      </c>
      <c r="K1850" s="8">
        <f t="shared" si="228"/>
        <v>461</v>
      </c>
    </row>
    <row r="1851" spans="6:11" ht="24" customHeight="1">
      <c r="F1851" s="8">
        <v>1</v>
      </c>
      <c r="G1851" s="7" t="s">
        <v>835</v>
      </c>
      <c r="H1851" s="1" t="s">
        <v>1326</v>
      </c>
      <c r="I1851" s="1">
        <v>5.26</v>
      </c>
      <c r="J1851" s="1" t="s">
        <v>835</v>
      </c>
      <c r="K1851" s="8">
        <f t="shared" si="228"/>
        <v>5.26</v>
      </c>
    </row>
    <row r="1852" spans="6:11" ht="24" customHeight="1">
      <c r="H1852" s="1" t="s">
        <v>895</v>
      </c>
      <c r="I1852" s="1" t="s">
        <v>940</v>
      </c>
      <c r="K1852" s="1" t="s">
        <v>940</v>
      </c>
    </row>
    <row r="1853" spans="6:11" ht="24" customHeight="1">
      <c r="G1853" s="7" t="s">
        <v>419</v>
      </c>
      <c r="H1853" s="1" t="s">
        <v>420</v>
      </c>
      <c r="J1853" s="1" t="s">
        <v>419</v>
      </c>
      <c r="K1853" s="8">
        <v>0</v>
      </c>
    </row>
    <row r="1854" spans="6:11" ht="24" customHeight="1">
      <c r="K1854" s="5" t="s">
        <v>1530</v>
      </c>
    </row>
    <row r="1855" spans="6:11" ht="24" customHeight="1">
      <c r="H1855" s="1" t="s">
        <v>1784</v>
      </c>
      <c r="K1855" s="8">
        <f>SUM(K1843:K1853)</f>
        <v>4962.26</v>
      </c>
    </row>
    <row r="1856" spans="6:11" ht="24" customHeight="1">
      <c r="K1856" s="5" t="s">
        <v>1530</v>
      </c>
    </row>
    <row r="1857" spans="6:18" ht="24" customHeight="1">
      <c r="H1857" s="1" t="s">
        <v>1490</v>
      </c>
      <c r="K1857" s="8">
        <f>(K1855/30)</f>
        <v>165.41</v>
      </c>
      <c r="N1857" s="7" t="s">
        <v>1840</v>
      </c>
      <c r="O1857" s="1" t="s">
        <v>913</v>
      </c>
      <c r="Q1857" s="11"/>
      <c r="R1857" s="1" t="s">
        <v>1665</v>
      </c>
    </row>
    <row r="1858" spans="6:18" ht="24" customHeight="1">
      <c r="K1858" s="5" t="s">
        <v>1530</v>
      </c>
      <c r="N1858" s="3"/>
      <c r="O1858" s="5" t="s">
        <v>1530</v>
      </c>
      <c r="Q1858" s="11"/>
      <c r="R1858" s="5" t="s">
        <v>1980</v>
      </c>
    </row>
    <row r="1859" spans="6:18" ht="24" customHeight="1">
      <c r="M1859" s="8">
        <v>30</v>
      </c>
      <c r="N1859" s="7" t="s">
        <v>1714</v>
      </c>
      <c r="O1859" s="1" t="s">
        <v>1610</v>
      </c>
      <c r="P1859" s="8">
        <f>I1843</f>
        <v>9.1199999999999992</v>
      </c>
      <c r="Q1859" s="1" t="s">
        <v>1714</v>
      </c>
      <c r="R1859" s="8">
        <f>(M1859*P1859)</f>
        <v>273.60000000000002</v>
      </c>
    </row>
    <row r="1860" spans="6:18" ht="24" customHeight="1">
      <c r="F1860" s="44">
        <v>52</v>
      </c>
      <c r="G1860" s="7" t="s">
        <v>2167</v>
      </c>
      <c r="H1860" s="1" t="s">
        <v>97</v>
      </c>
      <c r="M1860" s="1" t="s">
        <v>940</v>
      </c>
      <c r="N1860" s="3"/>
      <c r="O1860" s="1" t="s">
        <v>1613</v>
      </c>
      <c r="P1860" s="8" t="str">
        <f t="shared" ref="P1860:P1869" si="229">I1844</f>
        <v xml:space="preserve"> </v>
      </c>
      <c r="Q1860" s="11"/>
      <c r="R1860" s="1" t="s">
        <v>940</v>
      </c>
    </row>
    <row r="1861" spans="6:18" ht="24" customHeight="1">
      <c r="H1861" s="1" t="s">
        <v>2087</v>
      </c>
      <c r="M1861" s="8">
        <v>8</v>
      </c>
      <c r="N1861" s="7" t="s">
        <v>835</v>
      </c>
      <c r="O1861" s="512" t="s">
        <v>4173</v>
      </c>
      <c r="P1861" s="52">
        <v>11.7</v>
      </c>
      <c r="Q1861" s="1" t="s">
        <v>835</v>
      </c>
      <c r="R1861" s="8">
        <f t="shared" ref="R1861:R1866" si="230">(M1861*P1861)</f>
        <v>93.6</v>
      </c>
    </row>
    <row r="1862" spans="6:18" ht="24" customHeight="1">
      <c r="H1862" s="1" t="s">
        <v>2088</v>
      </c>
      <c r="M1862" s="8">
        <v>8</v>
      </c>
      <c r="N1862" s="7" t="s">
        <v>835</v>
      </c>
      <c r="O1862" s="512" t="s">
        <v>4174</v>
      </c>
      <c r="P1862" s="52">
        <v>32.700000000000003</v>
      </c>
      <c r="Q1862" s="1" t="s">
        <v>835</v>
      </c>
      <c r="R1862" s="8">
        <f t="shared" si="230"/>
        <v>261.60000000000002</v>
      </c>
    </row>
    <row r="1863" spans="6:18" ht="24" customHeight="1">
      <c r="H1863" s="1" t="s">
        <v>1349</v>
      </c>
      <c r="M1863" s="8">
        <v>3</v>
      </c>
      <c r="N1863" s="7" t="s">
        <v>835</v>
      </c>
      <c r="O1863" s="1" t="s">
        <v>1779</v>
      </c>
      <c r="P1863" s="8">
        <f t="shared" si="229"/>
        <v>637</v>
      </c>
      <c r="Q1863" s="1" t="s">
        <v>835</v>
      </c>
      <c r="R1863" s="8">
        <f t="shared" si="230"/>
        <v>1911</v>
      </c>
    </row>
    <row r="1864" spans="6:18" ht="24" customHeight="1">
      <c r="H1864" s="1" t="s">
        <v>1350</v>
      </c>
      <c r="M1864" s="8">
        <v>1</v>
      </c>
      <c r="N1864" s="7" t="s">
        <v>835</v>
      </c>
      <c r="O1864" s="1" t="s">
        <v>1325</v>
      </c>
      <c r="P1864" s="8">
        <f t="shared" si="229"/>
        <v>861</v>
      </c>
      <c r="Q1864" s="1" t="s">
        <v>835</v>
      </c>
      <c r="R1864" s="8">
        <f t="shared" si="230"/>
        <v>861</v>
      </c>
    </row>
    <row r="1865" spans="6:18" ht="24" customHeight="1">
      <c r="H1865" s="1" t="s">
        <v>1299</v>
      </c>
      <c r="M1865" s="8">
        <v>2</v>
      </c>
      <c r="N1865" s="7" t="s">
        <v>835</v>
      </c>
      <c r="O1865" s="1" t="s">
        <v>1836</v>
      </c>
      <c r="P1865" s="8">
        <f t="shared" si="229"/>
        <v>562</v>
      </c>
      <c r="Q1865" s="1" t="s">
        <v>835</v>
      </c>
      <c r="R1865" s="8">
        <f t="shared" si="230"/>
        <v>1124</v>
      </c>
    </row>
    <row r="1866" spans="6:18" ht="24" customHeight="1">
      <c r="H1866" s="1" t="s">
        <v>1300</v>
      </c>
      <c r="M1866" s="8">
        <v>1</v>
      </c>
      <c r="N1866" s="7" t="s">
        <v>835</v>
      </c>
      <c r="O1866" s="1" t="s">
        <v>299</v>
      </c>
      <c r="P1866" s="8">
        <f t="shared" si="229"/>
        <v>461</v>
      </c>
      <c r="Q1866" s="1" t="s">
        <v>835</v>
      </c>
      <c r="R1866" s="8">
        <f t="shared" si="230"/>
        <v>461</v>
      </c>
    </row>
    <row r="1867" spans="6:18" ht="24" customHeight="1">
      <c r="H1867" s="1" t="s">
        <v>677</v>
      </c>
      <c r="N1867" s="7" t="s">
        <v>419</v>
      </c>
      <c r="O1867" s="1" t="s">
        <v>1326</v>
      </c>
      <c r="P1867" s="8">
        <f t="shared" si="229"/>
        <v>5.26</v>
      </c>
      <c r="Q1867" s="1" t="s">
        <v>419</v>
      </c>
      <c r="R1867" s="8">
        <v>5</v>
      </c>
    </row>
    <row r="1868" spans="6:18" ht="24" customHeight="1">
      <c r="H1868" s="5" t="s">
        <v>1980</v>
      </c>
      <c r="I1868" s="5" t="s">
        <v>1980</v>
      </c>
      <c r="N1868" s="3"/>
      <c r="O1868" s="1" t="s">
        <v>895</v>
      </c>
      <c r="P1868" s="8" t="str">
        <f t="shared" si="229"/>
        <v xml:space="preserve"> </v>
      </c>
      <c r="Q1868" s="11"/>
      <c r="R1868" s="1" t="s">
        <v>940</v>
      </c>
    </row>
    <row r="1869" spans="6:18" ht="24" customHeight="1">
      <c r="G1869" s="7" t="s">
        <v>2167</v>
      </c>
      <c r="H1869" s="1" t="s">
        <v>881</v>
      </c>
      <c r="N1869" s="7" t="s">
        <v>419</v>
      </c>
      <c r="O1869" s="1" t="s">
        <v>420</v>
      </c>
      <c r="P1869" s="8">
        <f t="shared" si="229"/>
        <v>0</v>
      </c>
      <c r="Q1869" s="1" t="s">
        <v>419</v>
      </c>
      <c r="R1869" s="8">
        <v>0</v>
      </c>
    </row>
    <row r="1870" spans="6:18" ht="24" customHeight="1">
      <c r="H1870" s="1" t="s">
        <v>776</v>
      </c>
      <c r="N1870" s="3"/>
      <c r="Q1870" s="11"/>
      <c r="R1870" s="5" t="s">
        <v>1530</v>
      </c>
    </row>
    <row r="1871" spans="6:18" ht="24" customHeight="1">
      <c r="G1871" s="7" t="s">
        <v>295</v>
      </c>
      <c r="H1871" s="1" t="s">
        <v>777</v>
      </c>
      <c r="N1871" s="3"/>
      <c r="O1871" s="1" t="s">
        <v>1784</v>
      </c>
      <c r="Q1871" s="11"/>
      <c r="R1871" s="8">
        <f>SUM(R1859:R1869)</f>
        <v>4990.8</v>
      </c>
    </row>
    <row r="1872" spans="6:18" ht="24" customHeight="1">
      <c r="H1872" s="5" t="s">
        <v>1530</v>
      </c>
      <c r="N1872" s="3"/>
      <c r="Q1872" s="11"/>
      <c r="R1872" s="5" t="s">
        <v>1530</v>
      </c>
    </row>
    <row r="1873" spans="6:18" ht="24" customHeight="1">
      <c r="F1873" s="8">
        <v>1</v>
      </c>
      <c r="G1873" s="7" t="s">
        <v>794</v>
      </c>
      <c r="H1873" s="1" t="s">
        <v>587</v>
      </c>
      <c r="I1873" s="8">
        <f>C520</f>
        <v>26</v>
      </c>
      <c r="J1873" s="1" t="s">
        <v>794</v>
      </c>
      <c r="K1873" s="8">
        <f>(F1873*I1873)</f>
        <v>26</v>
      </c>
      <c r="N1873" s="3"/>
      <c r="O1873" s="1" t="s">
        <v>1490</v>
      </c>
      <c r="Q1873" s="11"/>
      <c r="R1873" s="8">
        <f>(R1871/30)</f>
        <v>166.36</v>
      </c>
    </row>
    <row r="1874" spans="6:18" ht="24" customHeight="1">
      <c r="F1874" s="8">
        <v>1</v>
      </c>
      <c r="G1874" s="7" t="s">
        <v>419</v>
      </c>
      <c r="H1874" s="1" t="s">
        <v>1739</v>
      </c>
      <c r="I1874" s="8">
        <f>I1873*0.7</f>
        <v>18.2</v>
      </c>
      <c r="J1874" s="1" t="s">
        <v>419</v>
      </c>
      <c r="K1874" s="8">
        <f>(F1874*I1874)</f>
        <v>18.2</v>
      </c>
      <c r="N1874" s="3"/>
      <c r="Q1874" s="11"/>
      <c r="R1874" s="5" t="s">
        <v>1530</v>
      </c>
    </row>
    <row r="1875" spans="6:18" ht="24" customHeight="1">
      <c r="F1875" s="8">
        <v>1</v>
      </c>
      <c r="G1875" s="7" t="s">
        <v>794</v>
      </c>
      <c r="H1875" s="1" t="s">
        <v>159</v>
      </c>
      <c r="I1875" s="8">
        <f>K1821</f>
        <v>159.75</v>
      </c>
      <c r="J1875" s="1" t="s">
        <v>794</v>
      </c>
      <c r="K1875" s="8">
        <f>(F1875*I1875)</f>
        <v>159.75</v>
      </c>
    </row>
    <row r="1876" spans="6:18" ht="24" customHeight="1">
      <c r="I1876" s="1" t="s">
        <v>940</v>
      </c>
      <c r="K1876" s="5" t="s">
        <v>1530</v>
      </c>
    </row>
    <row r="1877" spans="6:18" ht="24" customHeight="1">
      <c r="H1877" s="1" t="s">
        <v>352</v>
      </c>
      <c r="K1877" s="39">
        <f>SUM(K1873:K1875)</f>
        <v>203.95</v>
      </c>
    </row>
    <row r="1878" spans="6:18" ht="24" customHeight="1">
      <c r="H1878" s="1" t="s">
        <v>940</v>
      </c>
      <c r="I1878" s="1" t="s">
        <v>940</v>
      </c>
      <c r="K1878" s="5" t="s">
        <v>1980</v>
      </c>
      <c r="N1878" s="7" t="s">
        <v>1840</v>
      </c>
      <c r="O1878" s="1" t="s">
        <v>4884</v>
      </c>
      <c r="Q1878" s="11"/>
    </row>
    <row r="1879" spans="6:18" ht="24" customHeight="1">
      <c r="G1879" s="7" t="s">
        <v>486</v>
      </c>
      <c r="H1879" s="1" t="s">
        <v>711</v>
      </c>
      <c r="N1879" s="3"/>
      <c r="O1879" s="5" t="s">
        <v>1530</v>
      </c>
      <c r="Q1879" s="11"/>
    </row>
    <row r="1880" spans="6:18" ht="24" customHeight="1">
      <c r="H1880" s="5" t="s">
        <v>1530</v>
      </c>
      <c r="M1880" s="8">
        <v>1</v>
      </c>
      <c r="N1880" s="7" t="s">
        <v>794</v>
      </c>
      <c r="O1880" s="1" t="s">
        <v>2842</v>
      </c>
      <c r="P1880" s="8">
        <v>127.4</v>
      </c>
      <c r="Q1880" s="1" t="s">
        <v>794</v>
      </c>
      <c r="R1880" s="8">
        <f>(M1880*P1880)</f>
        <v>127.4</v>
      </c>
    </row>
    <row r="1881" spans="6:18" ht="24" customHeight="1">
      <c r="F1881" s="8">
        <v>1</v>
      </c>
      <c r="G1881" s="7" t="s">
        <v>794</v>
      </c>
      <c r="H1881" s="1" t="s">
        <v>712</v>
      </c>
      <c r="I1881" s="8">
        <f>C521</f>
        <v>35</v>
      </c>
      <c r="J1881" s="1" t="s">
        <v>794</v>
      </c>
      <c r="K1881" s="8">
        <f>(F1881*I1881)</f>
        <v>35</v>
      </c>
      <c r="M1881" s="8">
        <v>1</v>
      </c>
      <c r="N1881" s="7" t="s">
        <v>419</v>
      </c>
      <c r="O1881" s="1" t="s">
        <v>1618</v>
      </c>
      <c r="P1881" s="8">
        <f>P1880*0.2</f>
        <v>25.48</v>
      </c>
      <c r="Q1881" s="1" t="s">
        <v>419</v>
      </c>
      <c r="R1881" s="8">
        <f>(M1881*P1881)</f>
        <v>25.48</v>
      </c>
    </row>
    <row r="1882" spans="6:18" ht="24" customHeight="1">
      <c r="F1882" s="8">
        <v>1</v>
      </c>
      <c r="G1882" s="7" t="s">
        <v>419</v>
      </c>
      <c r="H1882" s="1" t="s">
        <v>860</v>
      </c>
      <c r="I1882" s="8">
        <f>I1881*0.4</f>
        <v>14</v>
      </c>
      <c r="J1882" s="1" t="s">
        <v>419</v>
      </c>
      <c r="K1882" s="8">
        <f>(F1882*I1882)</f>
        <v>14</v>
      </c>
      <c r="M1882" s="8">
        <v>1</v>
      </c>
      <c r="N1882" s="7" t="s">
        <v>794</v>
      </c>
      <c r="O1882" s="1" t="s">
        <v>159</v>
      </c>
      <c r="P1882" s="8">
        <f>R1873</f>
        <v>166.36</v>
      </c>
      <c r="Q1882" s="1" t="s">
        <v>794</v>
      </c>
      <c r="R1882" s="8">
        <f>(M1882*P1882)</f>
        <v>166.36</v>
      </c>
    </row>
    <row r="1883" spans="6:18" ht="24" customHeight="1">
      <c r="F1883" s="8">
        <v>1</v>
      </c>
      <c r="G1883" s="7" t="s">
        <v>794</v>
      </c>
      <c r="H1883" s="1" t="s">
        <v>159</v>
      </c>
      <c r="I1883" s="8">
        <f>K1839</f>
        <v>159.72999999999999</v>
      </c>
      <c r="J1883" s="1" t="s">
        <v>794</v>
      </c>
      <c r="K1883" s="8">
        <f>(F1883*I1883)</f>
        <v>159.72999999999999</v>
      </c>
      <c r="N1883" s="3"/>
      <c r="P1883" s="1" t="s">
        <v>940</v>
      </c>
      <c r="Q1883" s="11"/>
      <c r="R1883" s="5" t="s">
        <v>1530</v>
      </c>
    </row>
    <row r="1884" spans="6:18" ht="24" customHeight="1">
      <c r="I1884" s="1" t="s">
        <v>940</v>
      </c>
      <c r="K1884" s="5" t="s">
        <v>1530</v>
      </c>
      <c r="N1884" s="3"/>
      <c r="O1884" s="1" t="s">
        <v>352</v>
      </c>
      <c r="Q1884" s="11"/>
      <c r="R1884" s="39">
        <f>SUM(R1880:R1882)</f>
        <v>319.24</v>
      </c>
    </row>
    <row r="1885" spans="6:18" ht="24" customHeight="1">
      <c r="H1885" s="1" t="s">
        <v>352</v>
      </c>
      <c r="K1885" s="39">
        <f>SUM(K1881:K1883)</f>
        <v>208.73</v>
      </c>
      <c r="N1885" s="3"/>
      <c r="P1885" s="1" t="s">
        <v>940</v>
      </c>
      <c r="Q1885" s="11"/>
      <c r="R1885" s="5" t="s">
        <v>1980</v>
      </c>
    </row>
    <row r="1886" spans="6:18" ht="24" customHeight="1">
      <c r="I1886" s="1" t="s">
        <v>940</v>
      </c>
      <c r="K1886" s="5" t="s">
        <v>1980</v>
      </c>
    </row>
    <row r="1887" spans="6:18" ht="49.5" customHeight="1">
      <c r="G1887" s="7" t="s">
        <v>1840</v>
      </c>
      <c r="H1887" s="1" t="s">
        <v>350</v>
      </c>
    </row>
    <row r="1888" spans="6:18" ht="24" customHeight="1">
      <c r="H1888" s="5" t="s">
        <v>1530</v>
      </c>
      <c r="N1888" s="7" t="s">
        <v>1840</v>
      </c>
      <c r="O1888" s="1" t="s">
        <v>913</v>
      </c>
      <c r="Q1888" s="11"/>
      <c r="R1888" s="1" t="s">
        <v>3528</v>
      </c>
    </row>
    <row r="1889" spans="6:18" ht="24" customHeight="1">
      <c r="F1889" s="8">
        <v>1</v>
      </c>
      <c r="G1889" s="7" t="s">
        <v>794</v>
      </c>
      <c r="H1889" s="1" t="s">
        <v>1617</v>
      </c>
      <c r="I1889" s="8">
        <v>52</v>
      </c>
      <c r="J1889" s="1" t="s">
        <v>794</v>
      </c>
      <c r="K1889" s="8">
        <f>(F1889*I1889)</f>
        <v>52</v>
      </c>
      <c r="N1889" s="3"/>
      <c r="O1889" s="5" t="s">
        <v>1530</v>
      </c>
      <c r="Q1889" s="11"/>
      <c r="R1889" s="5" t="s">
        <v>1980</v>
      </c>
    </row>
    <row r="1890" spans="6:18" ht="24" customHeight="1">
      <c r="F1890" s="8">
        <v>1</v>
      </c>
      <c r="G1890" s="7" t="s">
        <v>419</v>
      </c>
      <c r="H1890" s="1" t="s">
        <v>1618</v>
      </c>
      <c r="I1890" s="8">
        <f>I1889*0.2</f>
        <v>10.4</v>
      </c>
      <c r="J1890" s="1" t="s">
        <v>419</v>
      </c>
      <c r="K1890" s="8">
        <f>(F1890*I1890)</f>
        <v>10.4</v>
      </c>
      <c r="M1890" s="8">
        <v>30</v>
      </c>
      <c r="N1890" s="7" t="s">
        <v>1714</v>
      </c>
      <c r="O1890" s="1" t="s">
        <v>4885</v>
      </c>
      <c r="P1890" s="8">
        <v>15.43</v>
      </c>
      <c r="Q1890" s="1" t="s">
        <v>1714</v>
      </c>
      <c r="R1890" s="8">
        <f>(M1890*P1890)</f>
        <v>462.9</v>
      </c>
    </row>
    <row r="1891" spans="6:18" ht="24" customHeight="1">
      <c r="F1891" s="8">
        <v>1</v>
      </c>
      <c r="G1891" s="7" t="s">
        <v>794</v>
      </c>
      <c r="H1891" s="1" t="s">
        <v>159</v>
      </c>
      <c r="I1891" s="8">
        <f>K1857</f>
        <v>165.41</v>
      </c>
      <c r="J1891" s="1" t="s">
        <v>794</v>
      </c>
      <c r="K1891" s="8">
        <f>(F1891*I1891)</f>
        <v>165.41</v>
      </c>
      <c r="M1891" s="1" t="s">
        <v>940</v>
      </c>
      <c r="N1891" s="3"/>
      <c r="O1891" s="1" t="s">
        <v>4886</v>
      </c>
      <c r="P1891" s="8" t="str">
        <f t="shared" ref="P1891:P1899" si="231">P1860</f>
        <v xml:space="preserve"> </v>
      </c>
      <c r="Q1891" s="11"/>
      <c r="R1891" s="1" t="s">
        <v>940</v>
      </c>
    </row>
    <row r="1892" spans="6:18" ht="24" customHeight="1">
      <c r="I1892" s="1" t="s">
        <v>940</v>
      </c>
      <c r="K1892" s="5" t="s">
        <v>1530</v>
      </c>
      <c r="M1892" s="8">
        <v>8</v>
      </c>
      <c r="N1892" s="7" t="s">
        <v>835</v>
      </c>
      <c r="O1892" s="1" t="s">
        <v>4887</v>
      </c>
      <c r="P1892" s="423">
        <v>15.8</v>
      </c>
      <c r="Q1892" s="1" t="s">
        <v>835</v>
      </c>
      <c r="R1892" s="8">
        <f t="shared" ref="R1892:R1897" si="232">(M1892*P1892)</f>
        <v>126.4</v>
      </c>
    </row>
    <row r="1893" spans="6:18" ht="24" customHeight="1">
      <c r="H1893" s="1" t="s">
        <v>352</v>
      </c>
      <c r="K1893" s="39">
        <f>SUM(K1889:K1891)</f>
        <v>227.81</v>
      </c>
      <c r="M1893" s="8">
        <v>8</v>
      </c>
      <c r="N1893" s="7" t="s">
        <v>835</v>
      </c>
      <c r="O1893" s="1" t="s">
        <v>4888</v>
      </c>
      <c r="P1893" s="423">
        <v>36.799999999999997</v>
      </c>
      <c r="Q1893" s="1" t="s">
        <v>835</v>
      </c>
      <c r="R1893" s="8">
        <f t="shared" si="232"/>
        <v>294.39999999999998</v>
      </c>
    </row>
    <row r="1894" spans="6:18" ht="36.75" customHeight="1">
      <c r="I1894" s="1" t="s">
        <v>940</v>
      </c>
      <c r="K1894" s="5" t="s">
        <v>1980</v>
      </c>
      <c r="M1894" s="8">
        <v>3</v>
      </c>
      <c r="N1894" s="7" t="s">
        <v>835</v>
      </c>
      <c r="O1894" s="1" t="s">
        <v>1779</v>
      </c>
      <c r="P1894" s="8">
        <f t="shared" si="231"/>
        <v>637</v>
      </c>
      <c r="Q1894" s="1" t="s">
        <v>835</v>
      </c>
      <c r="R1894" s="8">
        <f t="shared" si="232"/>
        <v>1911</v>
      </c>
    </row>
    <row r="1895" spans="6:18" ht="24" customHeight="1">
      <c r="I1895" s="1"/>
      <c r="K1895" s="5"/>
      <c r="M1895" s="8">
        <v>1</v>
      </c>
      <c r="N1895" s="7" t="s">
        <v>835</v>
      </c>
      <c r="O1895" s="1" t="s">
        <v>1325</v>
      </c>
      <c r="P1895" s="8">
        <f t="shared" si="231"/>
        <v>861</v>
      </c>
      <c r="Q1895" s="1" t="s">
        <v>835</v>
      </c>
      <c r="R1895" s="8">
        <f t="shared" si="232"/>
        <v>861</v>
      </c>
    </row>
    <row r="1896" spans="6:18" ht="24" customHeight="1">
      <c r="G1896" s="7" t="s">
        <v>1840</v>
      </c>
      <c r="H1896" s="1" t="s">
        <v>3525</v>
      </c>
      <c r="M1896" s="8">
        <v>2</v>
      </c>
      <c r="N1896" s="7" t="s">
        <v>835</v>
      </c>
      <c r="O1896" s="1" t="s">
        <v>1836</v>
      </c>
      <c r="P1896" s="8">
        <f t="shared" si="231"/>
        <v>562</v>
      </c>
      <c r="Q1896" s="1" t="s">
        <v>835</v>
      </c>
      <c r="R1896" s="8">
        <f t="shared" si="232"/>
        <v>1124</v>
      </c>
    </row>
    <row r="1897" spans="6:18" ht="24" customHeight="1">
      <c r="H1897" s="5" t="s">
        <v>1530</v>
      </c>
      <c r="M1897" s="8">
        <v>1</v>
      </c>
      <c r="N1897" s="7" t="s">
        <v>835</v>
      </c>
      <c r="O1897" s="1" t="s">
        <v>299</v>
      </c>
      <c r="P1897" s="8">
        <f t="shared" si="231"/>
        <v>461</v>
      </c>
      <c r="Q1897" s="1" t="s">
        <v>835</v>
      </c>
      <c r="R1897" s="8">
        <f t="shared" si="232"/>
        <v>461</v>
      </c>
    </row>
    <row r="1898" spans="6:18" ht="24" customHeight="1">
      <c r="F1898" s="8">
        <v>1</v>
      </c>
      <c r="G1898" s="7" t="s">
        <v>794</v>
      </c>
      <c r="H1898" s="1" t="s">
        <v>3526</v>
      </c>
      <c r="I1898" s="8">
        <f>C524</f>
        <v>82</v>
      </c>
      <c r="J1898" s="1" t="s">
        <v>794</v>
      </c>
      <c r="K1898" s="8">
        <f>(F1898*I1898)</f>
        <v>82</v>
      </c>
      <c r="N1898" s="7" t="s">
        <v>419</v>
      </c>
      <c r="O1898" s="1" t="s">
        <v>1326</v>
      </c>
      <c r="P1898" s="8">
        <f t="shared" si="231"/>
        <v>5.26</v>
      </c>
      <c r="Q1898" s="1" t="s">
        <v>419</v>
      </c>
      <c r="R1898" s="8">
        <v>5</v>
      </c>
    </row>
    <row r="1899" spans="6:18" ht="24" customHeight="1">
      <c r="F1899" s="8">
        <v>1</v>
      </c>
      <c r="G1899" s="7" t="s">
        <v>419</v>
      </c>
      <c r="H1899" s="1" t="s">
        <v>1618</v>
      </c>
      <c r="I1899" s="8">
        <f>I1898*0.2</f>
        <v>16.399999999999999</v>
      </c>
      <c r="J1899" s="1" t="s">
        <v>419</v>
      </c>
      <c r="K1899" s="8">
        <f>(F1899*I1899)</f>
        <v>16.399999999999999</v>
      </c>
      <c r="N1899" s="3"/>
      <c r="O1899" s="1" t="s">
        <v>895</v>
      </c>
      <c r="P1899" s="8" t="str">
        <f t="shared" si="231"/>
        <v xml:space="preserve"> </v>
      </c>
      <c r="Q1899" s="11"/>
      <c r="R1899" s="1" t="s">
        <v>940</v>
      </c>
    </row>
    <row r="1900" spans="6:18" ht="24" customHeight="1">
      <c r="F1900" s="8">
        <v>1</v>
      </c>
      <c r="G1900" s="7" t="s">
        <v>794</v>
      </c>
      <c r="H1900" s="1" t="s">
        <v>159</v>
      </c>
      <c r="I1900" s="8">
        <f>I1891</f>
        <v>165.41</v>
      </c>
      <c r="J1900" s="1" t="s">
        <v>794</v>
      </c>
      <c r="K1900" s="8">
        <f>(F1900*I1900)</f>
        <v>165.41</v>
      </c>
      <c r="N1900" s="7" t="s">
        <v>419</v>
      </c>
      <c r="O1900" s="1" t="s">
        <v>420</v>
      </c>
      <c r="P1900" s="8" t="str">
        <f>I1884</f>
        <v xml:space="preserve"> </v>
      </c>
      <c r="Q1900" s="1" t="s">
        <v>419</v>
      </c>
      <c r="R1900" s="8">
        <v>0</v>
      </c>
    </row>
    <row r="1901" spans="6:18" ht="24" customHeight="1">
      <c r="I1901" s="1" t="s">
        <v>940</v>
      </c>
      <c r="K1901" s="5" t="s">
        <v>1530</v>
      </c>
      <c r="N1901" s="3"/>
      <c r="Q1901" s="11"/>
      <c r="R1901" s="5" t="s">
        <v>1530</v>
      </c>
    </row>
    <row r="1902" spans="6:18" ht="24" customHeight="1">
      <c r="H1902" s="1" t="s">
        <v>352</v>
      </c>
      <c r="K1902" s="39">
        <f>SUM(K1898:K1900)</f>
        <v>263.81</v>
      </c>
      <c r="N1902" s="3"/>
      <c r="O1902" s="1" t="s">
        <v>1784</v>
      </c>
      <c r="Q1902" s="11"/>
      <c r="R1902" s="8">
        <f>SUM(R1890:R1900)</f>
        <v>5245.7</v>
      </c>
    </row>
    <row r="1903" spans="6:18" ht="24" customHeight="1">
      <c r="I1903" s="1" t="s">
        <v>940</v>
      </c>
      <c r="K1903" s="5" t="s">
        <v>1980</v>
      </c>
      <c r="N1903" s="3"/>
      <c r="Q1903" s="11"/>
      <c r="R1903" s="5" t="s">
        <v>1530</v>
      </c>
    </row>
    <row r="1904" spans="6:18" ht="24" customHeight="1">
      <c r="I1904" s="1"/>
      <c r="K1904" s="5"/>
      <c r="N1904" s="3"/>
      <c r="O1904" s="1" t="s">
        <v>1490</v>
      </c>
      <c r="Q1904" s="11"/>
      <c r="R1904" s="8">
        <f>(R1902/30)</f>
        <v>174.86</v>
      </c>
    </row>
    <row r="1905" spans="6:18" ht="39" customHeight="1">
      <c r="F1905" s="29">
        <v>52.1</v>
      </c>
      <c r="H1905" s="28" t="s">
        <v>2119</v>
      </c>
      <c r="I1905" s="1"/>
      <c r="K1905" s="5"/>
      <c r="N1905" s="3"/>
      <c r="Q1905" s="11"/>
      <c r="R1905" s="5" t="s">
        <v>1530</v>
      </c>
    </row>
    <row r="1906" spans="6:18" ht="24" customHeight="1">
      <c r="I1906" s="1"/>
      <c r="K1906" s="5"/>
    </row>
    <row r="1907" spans="6:18" ht="24" customHeight="1">
      <c r="F1907" s="2"/>
      <c r="G1907" s="7"/>
      <c r="H1907" s="1" t="s">
        <v>1974</v>
      </c>
      <c r="I1907" s="1"/>
      <c r="K1907" s="5"/>
    </row>
    <row r="1908" spans="6:18" ht="24" customHeight="1">
      <c r="G1908" s="7"/>
      <c r="H1908" s="1" t="s">
        <v>2120</v>
      </c>
      <c r="I1908" s="1"/>
      <c r="K1908" s="5"/>
    </row>
    <row r="1909" spans="6:18" ht="24" customHeight="1">
      <c r="H1909" s="5" t="s">
        <v>1530</v>
      </c>
      <c r="I1909" s="1"/>
      <c r="K1909" s="5"/>
      <c r="N1909" s="7" t="s">
        <v>1840</v>
      </c>
      <c r="O1909" s="1" t="s">
        <v>3525</v>
      </c>
      <c r="Q1909" s="11"/>
    </row>
    <row r="1910" spans="6:18" ht="24" customHeight="1">
      <c r="F1910" s="8">
        <v>30</v>
      </c>
      <c r="G1910" s="7" t="s">
        <v>1714</v>
      </c>
      <c r="H1910" s="1" t="s">
        <v>145</v>
      </c>
      <c r="I1910" s="6">
        <f>E664</f>
        <v>15.53</v>
      </c>
      <c r="J1910" s="1" t="s">
        <v>1714</v>
      </c>
      <c r="K1910" s="8">
        <f>(F1910*I1910)</f>
        <v>465.9</v>
      </c>
      <c r="N1910" s="3"/>
      <c r="O1910" s="5" t="s">
        <v>1530</v>
      </c>
      <c r="Q1910" s="11"/>
    </row>
    <row r="1911" spans="6:18" ht="24" customHeight="1">
      <c r="F1911" s="8">
        <v>8</v>
      </c>
      <c r="G1911" s="7" t="s">
        <v>835</v>
      </c>
      <c r="H1911" s="1" t="s">
        <v>2062</v>
      </c>
      <c r="I1911" s="6">
        <f>C666</f>
        <v>8.1</v>
      </c>
      <c r="J1911" s="1" t="s">
        <v>835</v>
      </c>
      <c r="K1911" s="8">
        <f t="shared" ref="K1911:K1916" si="233">(F1911*I1911)</f>
        <v>64.8</v>
      </c>
      <c r="M1911" s="8">
        <v>1</v>
      </c>
      <c r="N1911" s="7" t="s">
        <v>794</v>
      </c>
      <c r="O1911" s="1" t="s">
        <v>3527</v>
      </c>
      <c r="P1911" s="8">
        <v>96.6</v>
      </c>
      <c r="Q1911" s="1" t="s">
        <v>794</v>
      </c>
      <c r="R1911" s="8">
        <f>(M1911*P1911)</f>
        <v>96.6</v>
      </c>
    </row>
    <row r="1912" spans="6:18" ht="24" customHeight="1">
      <c r="F1912" s="8">
        <v>8</v>
      </c>
      <c r="G1912" s="7" t="s">
        <v>835</v>
      </c>
      <c r="H1912" s="1" t="s">
        <v>437</v>
      </c>
      <c r="I1912" s="6">
        <f>D675</f>
        <v>11.7</v>
      </c>
      <c r="J1912" s="1" t="s">
        <v>835</v>
      </c>
      <c r="K1912" s="8">
        <f t="shared" si="233"/>
        <v>93.6</v>
      </c>
      <c r="M1912" s="8">
        <v>1</v>
      </c>
      <c r="N1912" s="7" t="s">
        <v>419</v>
      </c>
      <c r="O1912" s="1" t="s">
        <v>1618</v>
      </c>
      <c r="P1912" s="8">
        <f>P1911*0.2</f>
        <v>19.32</v>
      </c>
      <c r="Q1912" s="1" t="s">
        <v>419</v>
      </c>
      <c r="R1912" s="8">
        <f>(M1912*P1912)</f>
        <v>19.32</v>
      </c>
    </row>
    <row r="1913" spans="6:18" ht="24" customHeight="1">
      <c r="F1913" s="8">
        <v>3</v>
      </c>
      <c r="G1913" s="7" t="s">
        <v>835</v>
      </c>
      <c r="H1913" s="1" t="s">
        <v>1779</v>
      </c>
      <c r="I1913" s="6">
        <f>C44</f>
        <v>637</v>
      </c>
      <c r="J1913" s="1" t="s">
        <v>835</v>
      </c>
      <c r="K1913" s="8">
        <f t="shared" si="233"/>
        <v>1911</v>
      </c>
      <c r="M1913" s="8">
        <v>1</v>
      </c>
      <c r="N1913" s="7" t="s">
        <v>794</v>
      </c>
      <c r="O1913" s="1" t="s">
        <v>159</v>
      </c>
      <c r="P1913" s="8">
        <f>R1904</f>
        <v>174.86</v>
      </c>
      <c r="Q1913" s="1" t="s">
        <v>794</v>
      </c>
      <c r="R1913" s="8">
        <f>(M1913*P1913)</f>
        <v>174.86</v>
      </c>
    </row>
    <row r="1914" spans="6:18" ht="24" customHeight="1">
      <c r="F1914" s="8">
        <v>1</v>
      </c>
      <c r="G1914" s="7" t="s">
        <v>835</v>
      </c>
      <c r="H1914" s="1" t="s">
        <v>1325</v>
      </c>
      <c r="I1914" s="6">
        <f>C10</f>
        <v>861</v>
      </c>
      <c r="J1914" s="1" t="s">
        <v>835</v>
      </c>
      <c r="K1914" s="8">
        <f t="shared" si="233"/>
        <v>861</v>
      </c>
      <c r="N1914" s="3"/>
      <c r="P1914" s="1" t="s">
        <v>940</v>
      </c>
      <c r="Q1914" s="11"/>
      <c r="R1914" s="5" t="s">
        <v>1530</v>
      </c>
    </row>
    <row r="1915" spans="6:18" ht="24" customHeight="1">
      <c r="F1915" s="8">
        <v>2</v>
      </c>
      <c r="G1915" s="7" t="s">
        <v>835</v>
      </c>
      <c r="H1915" s="1" t="s">
        <v>1836</v>
      </c>
      <c r="I1915" s="6">
        <f>C12</f>
        <v>562</v>
      </c>
      <c r="J1915" s="1" t="s">
        <v>835</v>
      </c>
      <c r="K1915" s="8">
        <f t="shared" si="233"/>
        <v>1124</v>
      </c>
      <c r="N1915" s="3"/>
      <c r="O1915" s="1" t="s">
        <v>352</v>
      </c>
      <c r="Q1915" s="11"/>
      <c r="R1915" s="39">
        <f>SUM(R1911:R1913)</f>
        <v>290.77999999999997</v>
      </c>
    </row>
    <row r="1916" spans="6:18" ht="24" customHeight="1">
      <c r="F1916" s="8">
        <v>1</v>
      </c>
      <c r="G1916" s="7" t="s">
        <v>835</v>
      </c>
      <c r="H1916" s="1" t="s">
        <v>299</v>
      </c>
      <c r="I1916" s="6">
        <f>C13</f>
        <v>461</v>
      </c>
      <c r="J1916" s="1" t="s">
        <v>835</v>
      </c>
      <c r="K1916" s="8">
        <f t="shared" si="233"/>
        <v>461</v>
      </c>
      <c r="N1916" s="3"/>
      <c r="P1916" s="1" t="s">
        <v>940</v>
      </c>
      <c r="Q1916" s="11"/>
      <c r="R1916" s="5" t="s">
        <v>1980</v>
      </c>
    </row>
    <row r="1917" spans="6:18" ht="24" customHeight="1">
      <c r="K1917" s="5" t="s">
        <v>1530</v>
      </c>
    </row>
    <row r="1918" spans="6:18" ht="24" customHeight="1">
      <c r="H1918" s="1" t="s">
        <v>1784</v>
      </c>
      <c r="K1918" s="8">
        <f>SUM(K1910:K1916)</f>
        <v>4981.3</v>
      </c>
    </row>
    <row r="1919" spans="6:18" ht="24" customHeight="1">
      <c r="K1919" s="5" t="s">
        <v>1530</v>
      </c>
    </row>
    <row r="1920" spans="6:18" ht="24" customHeight="1">
      <c r="H1920" s="1" t="s">
        <v>1490</v>
      </c>
      <c r="K1920" s="8">
        <f>(K1918/30)</f>
        <v>166.04</v>
      </c>
    </row>
    <row r="1921" spans="6:11" ht="24" customHeight="1">
      <c r="K1921" s="5" t="s">
        <v>1530</v>
      </c>
    </row>
    <row r="1922" spans="6:11" ht="24" customHeight="1">
      <c r="I1922" s="1"/>
      <c r="K1922" s="5"/>
    </row>
    <row r="1923" spans="6:11" ht="24" customHeight="1">
      <c r="H1923" t="s">
        <v>316</v>
      </c>
      <c r="I1923" s="1"/>
      <c r="K1923" s="5"/>
    </row>
    <row r="1924" spans="6:11" ht="24" customHeight="1">
      <c r="H1924" s="5" t="s">
        <v>1530</v>
      </c>
      <c r="I1924" s="1"/>
      <c r="K1924" s="5"/>
    </row>
    <row r="1925" spans="6:11" ht="24" customHeight="1">
      <c r="F1925" s="8">
        <v>1</v>
      </c>
      <c r="G1925" s="7" t="s">
        <v>794</v>
      </c>
      <c r="H1925" s="1" t="s">
        <v>317</v>
      </c>
      <c r="I1925" s="6">
        <f>E701</f>
        <v>98.6</v>
      </c>
      <c r="J1925" s="1" t="s">
        <v>794</v>
      </c>
      <c r="K1925" s="8">
        <f>(F1925*I1925)</f>
        <v>98.6</v>
      </c>
    </row>
    <row r="1926" spans="6:11" ht="24" customHeight="1">
      <c r="F1926" s="8">
        <v>1</v>
      </c>
      <c r="G1926" s="7" t="s">
        <v>419</v>
      </c>
      <c r="H1926" s="1" t="s">
        <v>318</v>
      </c>
      <c r="I1926" s="6">
        <f>I1925*0.2</f>
        <v>19.72</v>
      </c>
      <c r="J1926" s="1" t="s">
        <v>419</v>
      </c>
      <c r="K1926" s="8">
        <f>(F1926*I1926)</f>
        <v>19.72</v>
      </c>
    </row>
    <row r="1927" spans="6:11" ht="24" customHeight="1">
      <c r="F1927" s="8">
        <v>1</v>
      </c>
      <c r="G1927" s="7" t="s">
        <v>794</v>
      </c>
      <c r="H1927" s="1" t="s">
        <v>159</v>
      </c>
      <c r="I1927" s="6">
        <f>K1920</f>
        <v>166.04</v>
      </c>
      <c r="J1927" s="1" t="s">
        <v>794</v>
      </c>
      <c r="K1927" s="8">
        <f>(F1927*I1927)</f>
        <v>166.04</v>
      </c>
    </row>
    <row r="1928" spans="6:11" ht="36.75" customHeight="1">
      <c r="F1928" s="8"/>
      <c r="G1928" s="7"/>
      <c r="H1928" s="23" t="s">
        <v>1038</v>
      </c>
      <c r="I1928" s="6"/>
      <c r="J1928" s="1" t="s">
        <v>419</v>
      </c>
      <c r="K1928" s="8">
        <f>1.25+0.47</f>
        <v>1.72</v>
      </c>
    </row>
    <row r="1929" spans="6:11" ht="24" customHeight="1">
      <c r="I1929" s="1"/>
      <c r="K1929" s="5" t="s">
        <v>1530</v>
      </c>
    </row>
    <row r="1930" spans="6:11" ht="24" customHeight="1">
      <c r="H1930" s="1" t="s">
        <v>352</v>
      </c>
      <c r="I1930" s="1"/>
      <c r="K1930" s="39">
        <f>SUM(K1925:K1928)</f>
        <v>286.08</v>
      </c>
    </row>
    <row r="1931" spans="6:11" ht="24" customHeight="1">
      <c r="I1931" s="1"/>
      <c r="K1931" s="5" t="s">
        <v>1980</v>
      </c>
    </row>
    <row r="1932" spans="6:11" ht="24" customHeight="1">
      <c r="I1932" s="1"/>
      <c r="K1932" s="5"/>
    </row>
    <row r="1933" spans="6:11" ht="24" customHeight="1">
      <c r="I1933" s="1"/>
      <c r="K1933" s="5"/>
    </row>
    <row r="1934" spans="6:11" ht="24" customHeight="1">
      <c r="F1934" s="25">
        <v>53.1</v>
      </c>
      <c r="G1934" s="7" t="s">
        <v>2167</v>
      </c>
      <c r="H1934" s="1" t="s">
        <v>2137</v>
      </c>
    </row>
    <row r="1935" spans="6:11" ht="24" customHeight="1">
      <c r="H1935" s="34" t="s">
        <v>1391</v>
      </c>
    </row>
    <row r="1936" spans="6:11" ht="24" customHeight="1">
      <c r="H1936" s="1" t="s">
        <v>1103</v>
      </c>
    </row>
    <row r="1937" spans="6:14" ht="24" customHeight="1">
      <c r="H1937" s="1" t="s">
        <v>1104</v>
      </c>
    </row>
    <row r="1938" spans="6:14" ht="24" customHeight="1">
      <c r="H1938" s="5" t="s">
        <v>1530</v>
      </c>
    </row>
    <row r="1939" spans="6:14" ht="85.5" customHeight="1">
      <c r="F1939" s="22">
        <v>1</v>
      </c>
      <c r="G1939" s="22" t="s">
        <v>835</v>
      </c>
      <c r="H1939" s="160" t="s">
        <v>1524</v>
      </c>
      <c r="I1939" s="22">
        <v>1625</v>
      </c>
      <c r="J1939" s="98" t="s">
        <v>835</v>
      </c>
      <c r="K1939" s="22">
        <f>(F1939*I1939)</f>
        <v>1625</v>
      </c>
    </row>
    <row r="1940" spans="6:14" ht="24" customHeight="1">
      <c r="F1940" s="8"/>
      <c r="G1940" s="7"/>
      <c r="H1940" s="62"/>
      <c r="I1940" s="8"/>
      <c r="J1940" s="1"/>
      <c r="K1940" s="8"/>
    </row>
    <row r="1941" spans="6:14" ht="24" customHeight="1">
      <c r="F1941" s="8"/>
      <c r="G1941" s="7"/>
      <c r="H1941" s="62"/>
      <c r="I1941" s="8"/>
      <c r="J1941" s="2"/>
      <c r="K1941" s="8"/>
    </row>
    <row r="1942" spans="6:14" ht="24" customHeight="1">
      <c r="F1942" s="161">
        <v>1</v>
      </c>
      <c r="G1942" s="161" t="s">
        <v>835</v>
      </c>
      <c r="H1942" s="1" t="s">
        <v>4545</v>
      </c>
      <c r="I1942" s="625">
        <v>-167</v>
      </c>
      <c r="J1942" s="62" t="s">
        <v>835</v>
      </c>
      <c r="K1942" s="161">
        <f>(F1942*I1942)</f>
        <v>-167</v>
      </c>
    </row>
    <row r="1943" spans="6:14" ht="24" customHeight="1">
      <c r="F1943" s="64"/>
      <c r="G1943" s="65"/>
      <c r="H1943" s="62"/>
      <c r="I1943" s="64"/>
      <c r="J1943" s="61"/>
      <c r="K1943" s="64"/>
    </row>
    <row r="1944" spans="6:14" ht="24" customHeight="1">
      <c r="F1944" s="64">
        <v>1</v>
      </c>
      <c r="G1944" s="65" t="s">
        <v>835</v>
      </c>
      <c r="H1944" s="62" t="s">
        <v>2052</v>
      </c>
      <c r="I1944" s="756">
        <v>250</v>
      </c>
      <c r="J1944" s="62" t="s">
        <v>835</v>
      </c>
      <c r="K1944" s="498">
        <f>(F1944*I1944)</f>
        <v>250</v>
      </c>
    </row>
    <row r="1945" spans="6:14" ht="24" customHeight="1">
      <c r="F1945" s="8"/>
      <c r="G1945" s="7"/>
      <c r="H1945" s="1"/>
      <c r="I1945" s="8"/>
      <c r="J1945" s="1"/>
      <c r="K1945" s="8"/>
    </row>
    <row r="1946" spans="6:14" ht="24" customHeight="1">
      <c r="F1946" s="8">
        <v>0.5</v>
      </c>
      <c r="G1946" s="7" t="s">
        <v>835</v>
      </c>
      <c r="H1946" s="1" t="s">
        <v>2024</v>
      </c>
      <c r="I1946" s="8">
        <f>(C15)</f>
        <v>747</v>
      </c>
      <c r="J1946" s="1" t="s">
        <v>835</v>
      </c>
      <c r="K1946" s="8">
        <f>(F1946*I1946)</f>
        <v>373.5</v>
      </c>
      <c r="N1946">
        <f>7635</f>
        <v>7635</v>
      </c>
    </row>
    <row r="1947" spans="6:14" ht="24" customHeight="1">
      <c r="F1947" s="8">
        <v>1</v>
      </c>
      <c r="G1947" s="7" t="s">
        <v>835</v>
      </c>
      <c r="H1947" s="1" t="s">
        <v>1836</v>
      </c>
      <c r="I1947" s="8">
        <f>(C12)</f>
        <v>562</v>
      </c>
      <c r="J1947" s="1" t="s">
        <v>835</v>
      </c>
      <c r="K1947" s="8">
        <f>(F1947*I1947)</f>
        <v>562</v>
      </c>
      <c r="N1947">
        <f>N1946*4%</f>
        <v>305.39999999999998</v>
      </c>
    </row>
    <row r="1948" spans="6:14" ht="24" customHeight="1">
      <c r="F1948" s="8">
        <v>0.5</v>
      </c>
      <c r="G1948" s="7" t="s">
        <v>835</v>
      </c>
      <c r="H1948" s="1" t="s">
        <v>1938</v>
      </c>
      <c r="I1948" s="8">
        <f>(C10)</f>
        <v>861</v>
      </c>
      <c r="J1948" s="1" t="s">
        <v>835</v>
      </c>
      <c r="K1948" s="8">
        <f>(F1948*I1948)</f>
        <v>430.5</v>
      </c>
      <c r="N1948">
        <f>SUM(N1946:N1947)</f>
        <v>7940.4</v>
      </c>
    </row>
    <row r="1949" spans="6:14" ht="24" customHeight="1">
      <c r="G1949" s="7" t="s">
        <v>419</v>
      </c>
      <c r="H1949" s="1" t="s">
        <v>1105</v>
      </c>
      <c r="J1949" s="1" t="s">
        <v>419</v>
      </c>
      <c r="K1949" s="8">
        <v>0.82</v>
      </c>
    </row>
    <row r="1950" spans="6:14" ht="24" customHeight="1">
      <c r="K1950" s="5" t="s">
        <v>1530</v>
      </c>
    </row>
    <row r="1951" spans="6:14" ht="24" customHeight="1">
      <c r="H1951" s="1" t="s">
        <v>1694</v>
      </c>
      <c r="K1951" s="8">
        <f>SUM(K1939:K1949)</f>
        <v>3074.82</v>
      </c>
    </row>
    <row r="1952" spans="6:14" ht="24" customHeight="1">
      <c r="K1952" s="5" t="s">
        <v>1530</v>
      </c>
    </row>
    <row r="1953" spans="6:22" ht="24" customHeight="1">
      <c r="F1953" s="2" t="s">
        <v>1345</v>
      </c>
      <c r="H1953" s="1" t="s">
        <v>1346</v>
      </c>
      <c r="J1953" s="1" t="s">
        <v>1341</v>
      </c>
      <c r="K1953" s="499">
        <v>967.5</v>
      </c>
      <c r="V1953" s="1" t="s">
        <v>1394</v>
      </c>
    </row>
    <row r="1954" spans="6:22" ht="24" customHeight="1">
      <c r="H1954" s="1" t="s">
        <v>4746</v>
      </c>
      <c r="J1954" s="1" t="s">
        <v>1341</v>
      </c>
      <c r="K1954" s="573">
        <v>1846</v>
      </c>
    </row>
    <row r="1955" spans="6:22" ht="24" customHeight="1">
      <c r="F1955" s="2" t="s">
        <v>1347</v>
      </c>
      <c r="H1955" s="1" t="s">
        <v>975</v>
      </c>
      <c r="J1955" s="1" t="s">
        <v>1341</v>
      </c>
      <c r="K1955" s="499">
        <v>30</v>
      </c>
    </row>
    <row r="1956" spans="6:22" ht="24" customHeight="1">
      <c r="F1956" s="2"/>
      <c r="H1956" s="1"/>
      <c r="K1956" s="1"/>
    </row>
    <row r="1957" spans="6:22" ht="24" customHeight="1">
      <c r="F1957" s="12">
        <v>54</v>
      </c>
      <c r="G1957" s="7" t="s">
        <v>2167</v>
      </c>
      <c r="H1957" s="1" t="s">
        <v>4747</v>
      </c>
      <c r="J1957" s="1" t="s">
        <v>1341</v>
      </c>
      <c r="K1957" s="570">
        <v>204</v>
      </c>
    </row>
    <row r="1958" spans="6:22" ht="24" customHeight="1">
      <c r="K1958" s="5" t="s">
        <v>1980</v>
      </c>
    </row>
    <row r="1960" spans="6:22" ht="24" customHeight="1">
      <c r="F1960" s="25">
        <v>54.1</v>
      </c>
      <c r="G1960" s="7" t="s">
        <v>2167</v>
      </c>
      <c r="H1960" s="1" t="s">
        <v>1246</v>
      </c>
      <c r="J1960" s="1" t="s">
        <v>1341</v>
      </c>
      <c r="K1960" s="491">
        <v>300</v>
      </c>
    </row>
    <row r="1961" spans="6:22" ht="24" customHeight="1">
      <c r="K1961" s="5" t="s">
        <v>1980</v>
      </c>
    </row>
    <row r="1963" spans="6:22" ht="24" customHeight="1">
      <c r="F1963" s="25">
        <v>54.2</v>
      </c>
      <c r="G1963" s="7" t="s">
        <v>2167</v>
      </c>
      <c r="H1963" s="1" t="s">
        <v>901</v>
      </c>
      <c r="J1963" s="1" t="s">
        <v>1341</v>
      </c>
      <c r="K1963" s="491">
        <v>250</v>
      </c>
    </row>
    <row r="1964" spans="6:22" ht="24" customHeight="1">
      <c r="K1964" s="5" t="s">
        <v>1980</v>
      </c>
    </row>
    <row r="1966" spans="6:22" ht="24" customHeight="1">
      <c r="F1966" s="2" t="s">
        <v>1101</v>
      </c>
      <c r="G1966" s="7" t="s">
        <v>2167</v>
      </c>
      <c r="H1966" s="1" t="s">
        <v>80</v>
      </c>
      <c r="M1966" s="2" t="s">
        <v>1101</v>
      </c>
      <c r="N1966" s="7" t="s">
        <v>2167</v>
      </c>
      <c r="O1966" s="1" t="s">
        <v>80</v>
      </c>
      <c r="Q1966" s="11"/>
    </row>
    <row r="1967" spans="6:22" ht="24" customHeight="1">
      <c r="H1967" s="1" t="s">
        <v>1062</v>
      </c>
      <c r="N1967" s="3"/>
      <c r="O1967" s="1" t="s">
        <v>1062</v>
      </c>
      <c r="Q1967" s="11"/>
    </row>
    <row r="1968" spans="6:22" ht="24" customHeight="1">
      <c r="H1968" s="1" t="s">
        <v>1063</v>
      </c>
      <c r="N1968" s="3"/>
      <c r="O1968" s="1" t="s">
        <v>1063</v>
      </c>
      <c r="Q1968" s="11"/>
    </row>
    <row r="1969" spans="6:18" ht="24" customHeight="1">
      <c r="H1969" s="1" t="s">
        <v>1064</v>
      </c>
      <c r="N1969" s="3"/>
      <c r="O1969" s="1" t="s">
        <v>1064</v>
      </c>
      <c r="Q1969" s="11"/>
    </row>
    <row r="1970" spans="6:18" ht="24" customHeight="1">
      <c r="H1970" s="5" t="s">
        <v>1530</v>
      </c>
      <c r="N1970" s="3"/>
      <c r="O1970" s="5" t="s">
        <v>1530</v>
      </c>
      <c r="Q1970" s="11"/>
    </row>
    <row r="1971" spans="6:18" ht="24" customHeight="1">
      <c r="F1971" s="8">
        <v>1</v>
      </c>
      <c r="G1971" s="7" t="s">
        <v>835</v>
      </c>
      <c r="H1971" s="1" t="s">
        <v>679</v>
      </c>
      <c r="I1971" s="8">
        <f>(C204)</f>
        <v>1190</v>
      </c>
      <c r="J1971" s="1" t="s">
        <v>835</v>
      </c>
      <c r="K1971" s="8">
        <f t="shared" ref="K1971:K1977" si="234">(F1971*I1971)</f>
        <v>1190</v>
      </c>
      <c r="M1971" s="8">
        <v>1</v>
      </c>
      <c r="N1971" s="7" t="s">
        <v>835</v>
      </c>
      <c r="O1971" s="1" t="s">
        <v>679</v>
      </c>
      <c r="P1971" s="8">
        <f>I1971</f>
        <v>1190</v>
      </c>
      <c r="Q1971" s="1" t="s">
        <v>835</v>
      </c>
      <c r="R1971" s="8">
        <f t="shared" ref="R1971:R1977" si="235">(M1971*P1971)</f>
        <v>1190</v>
      </c>
    </row>
    <row r="1972" spans="6:18" ht="24" customHeight="1">
      <c r="F1972" s="8">
        <v>0.65</v>
      </c>
      <c r="G1972" s="7" t="s">
        <v>836</v>
      </c>
      <c r="H1972" s="1" t="s">
        <v>235</v>
      </c>
      <c r="I1972" s="8">
        <f>(C64*2)</f>
        <v>193.2</v>
      </c>
      <c r="J1972" s="1" t="s">
        <v>836</v>
      </c>
      <c r="K1972" s="8">
        <f t="shared" si="234"/>
        <v>125.58</v>
      </c>
      <c r="M1972" s="8">
        <v>0.65</v>
      </c>
      <c r="N1972" s="7" t="s">
        <v>836</v>
      </c>
      <c r="O1972" s="1" t="s">
        <v>235</v>
      </c>
      <c r="P1972" s="8">
        <f t="shared" ref="P1972:P1978" si="236">I1972</f>
        <v>193.2</v>
      </c>
      <c r="Q1972" s="1" t="s">
        <v>836</v>
      </c>
      <c r="R1972" s="8">
        <f t="shared" si="235"/>
        <v>125.58</v>
      </c>
    </row>
    <row r="1973" spans="6:18" ht="24" customHeight="1">
      <c r="F1973" s="8">
        <v>0.56999999999999995</v>
      </c>
      <c r="G1973" s="7" t="s">
        <v>836</v>
      </c>
      <c r="H1973" s="1" t="s">
        <v>236</v>
      </c>
      <c r="I1973" s="8">
        <f>(C26)</f>
        <v>33.6</v>
      </c>
      <c r="J1973" s="1" t="s">
        <v>836</v>
      </c>
      <c r="K1973" s="8">
        <f t="shared" si="234"/>
        <v>19.149999999999999</v>
      </c>
      <c r="M1973" s="8">
        <v>0.56999999999999995</v>
      </c>
      <c r="N1973" s="7" t="s">
        <v>836</v>
      </c>
      <c r="O1973" s="1" t="s">
        <v>236</v>
      </c>
      <c r="P1973" s="8">
        <f t="shared" si="236"/>
        <v>33.6</v>
      </c>
      <c r="Q1973" s="1" t="s">
        <v>836</v>
      </c>
      <c r="R1973" s="8">
        <f t="shared" si="235"/>
        <v>19.149999999999999</v>
      </c>
    </row>
    <row r="1974" spans="6:18" ht="24" customHeight="1">
      <c r="F1974" s="13">
        <v>8.1000000000000003E-2</v>
      </c>
      <c r="G1974" s="7" t="s">
        <v>836</v>
      </c>
      <c r="H1974" s="1" t="s">
        <v>237</v>
      </c>
      <c r="I1974" s="8">
        <f>(R50)</f>
        <v>3587.43</v>
      </c>
      <c r="J1974" s="1" t="s">
        <v>836</v>
      </c>
      <c r="K1974" s="8">
        <f t="shared" si="234"/>
        <v>290.58</v>
      </c>
      <c r="M1974" s="13">
        <v>8.1000000000000003E-2</v>
      </c>
      <c r="N1974" s="7" t="s">
        <v>836</v>
      </c>
      <c r="O1974" s="1" t="s">
        <v>237</v>
      </c>
      <c r="P1974" s="8">
        <f t="shared" si="236"/>
        <v>3587.43</v>
      </c>
      <c r="Q1974" s="1" t="s">
        <v>836</v>
      </c>
      <c r="R1974" s="8">
        <f t="shared" si="235"/>
        <v>290.58</v>
      </c>
    </row>
    <row r="1975" spans="6:18" ht="24" customHeight="1">
      <c r="F1975" s="8">
        <v>1</v>
      </c>
      <c r="G1975" s="7" t="s">
        <v>835</v>
      </c>
      <c r="H1975" s="1" t="s">
        <v>2024</v>
      </c>
      <c r="I1975" s="8">
        <f>(C15)</f>
        <v>747</v>
      </c>
      <c r="J1975" s="1" t="s">
        <v>835</v>
      </c>
      <c r="K1975" s="8">
        <f t="shared" si="234"/>
        <v>747</v>
      </c>
      <c r="M1975" s="8">
        <v>1</v>
      </c>
      <c r="N1975" s="7" t="s">
        <v>835</v>
      </c>
      <c r="O1975" s="1" t="s">
        <v>2024</v>
      </c>
      <c r="P1975" s="8">
        <f t="shared" si="236"/>
        <v>747</v>
      </c>
      <c r="Q1975" s="1" t="s">
        <v>835</v>
      </c>
      <c r="R1975" s="8">
        <f t="shared" si="235"/>
        <v>747</v>
      </c>
    </row>
    <row r="1976" spans="6:18" ht="24" customHeight="1">
      <c r="F1976" s="8">
        <v>0.5</v>
      </c>
      <c r="G1976" s="7" t="s">
        <v>835</v>
      </c>
      <c r="H1976" s="1" t="s">
        <v>1654</v>
      </c>
      <c r="I1976" s="8">
        <f>(C11)</f>
        <v>804</v>
      </c>
      <c r="J1976" s="1" t="s">
        <v>835</v>
      </c>
      <c r="K1976" s="8">
        <f t="shared" si="234"/>
        <v>402</v>
      </c>
      <c r="M1976" s="8">
        <v>0.5</v>
      </c>
      <c r="N1976" s="7" t="s">
        <v>835</v>
      </c>
      <c r="O1976" s="1" t="s">
        <v>1654</v>
      </c>
      <c r="P1976" s="8">
        <f t="shared" si="236"/>
        <v>804</v>
      </c>
      <c r="Q1976" s="1" t="s">
        <v>835</v>
      </c>
      <c r="R1976" s="8">
        <f t="shared" si="235"/>
        <v>402</v>
      </c>
    </row>
    <row r="1977" spans="6:18" ht="24" customHeight="1">
      <c r="F1977" s="8">
        <v>0.5</v>
      </c>
      <c r="G1977" s="7" t="s">
        <v>835</v>
      </c>
      <c r="H1977" s="1" t="s">
        <v>1836</v>
      </c>
      <c r="I1977" s="8">
        <f>(C12)</f>
        <v>562</v>
      </c>
      <c r="J1977" s="1" t="s">
        <v>835</v>
      </c>
      <c r="K1977" s="8">
        <f t="shared" si="234"/>
        <v>281</v>
      </c>
      <c r="M1977" s="8">
        <v>0.5</v>
      </c>
      <c r="N1977" s="7" t="s">
        <v>835</v>
      </c>
      <c r="O1977" s="1" t="s">
        <v>1836</v>
      </c>
      <c r="P1977" s="8">
        <f t="shared" si="236"/>
        <v>562</v>
      </c>
      <c r="Q1977" s="1" t="s">
        <v>835</v>
      </c>
      <c r="R1977" s="8">
        <f t="shared" si="235"/>
        <v>281</v>
      </c>
    </row>
    <row r="1978" spans="6:18" ht="24" customHeight="1">
      <c r="G1978" s="7" t="s">
        <v>419</v>
      </c>
      <c r="H1978" s="1" t="s">
        <v>420</v>
      </c>
      <c r="I1978" s="1" t="s">
        <v>940</v>
      </c>
      <c r="J1978" s="1" t="s">
        <v>419</v>
      </c>
      <c r="K1978" s="8">
        <v>1.25</v>
      </c>
      <c r="N1978" s="7"/>
      <c r="O1978" s="34" t="s">
        <v>4136</v>
      </c>
      <c r="P1978" s="8" t="str">
        <f t="shared" si="236"/>
        <v xml:space="preserve"> </v>
      </c>
      <c r="Q1978" s="1"/>
      <c r="R1978" s="841">
        <v>-164</v>
      </c>
    </row>
    <row r="1979" spans="6:18" ht="24" customHeight="1">
      <c r="K1979" s="5" t="s">
        <v>1530</v>
      </c>
      <c r="O1979" s="34" t="s">
        <v>4137</v>
      </c>
      <c r="P1979" s="8"/>
      <c r="Q1979" s="1"/>
      <c r="R1979" s="841">
        <v>134.1</v>
      </c>
    </row>
    <row r="1980" spans="6:18" ht="24" customHeight="1" thickBot="1">
      <c r="H1980" s="1" t="s">
        <v>1694</v>
      </c>
      <c r="K1980" s="8">
        <f>SUM(K1971:K1978)</f>
        <v>3056.56</v>
      </c>
      <c r="N1980" s="3" t="s">
        <v>625</v>
      </c>
      <c r="O1980" s="34" t="s">
        <v>2187</v>
      </c>
      <c r="Q1980" s="11"/>
      <c r="R1980" s="8">
        <v>0.39</v>
      </c>
    </row>
    <row r="1981" spans="6:18" ht="24" customHeight="1" thickTop="1">
      <c r="K1981" s="5" t="s">
        <v>1980</v>
      </c>
      <c r="N1981" s="3"/>
      <c r="O1981" s="1" t="s">
        <v>1694</v>
      </c>
      <c r="Q1981" s="11"/>
      <c r="R1981" s="553">
        <f>SUM(R1971:R1980)</f>
        <v>3025.8</v>
      </c>
    </row>
    <row r="1982" spans="6:18" ht="24" customHeight="1" thickBot="1">
      <c r="G1982" s="7" t="s">
        <v>940</v>
      </c>
      <c r="H1982" s="1" t="s">
        <v>940</v>
      </c>
      <c r="K1982" s="1" t="s">
        <v>940</v>
      </c>
      <c r="N1982" s="3"/>
      <c r="Q1982" s="11"/>
      <c r="R1982" s="554"/>
    </row>
    <row r="1983" spans="6:18" ht="24" customHeight="1" thickTop="1">
      <c r="J1983" s="1" t="s">
        <v>940</v>
      </c>
      <c r="K1983" s="1" t="s">
        <v>940</v>
      </c>
    </row>
    <row r="1984" spans="6:18" ht="24" customHeight="1">
      <c r="F1984" s="2" t="s">
        <v>238</v>
      </c>
      <c r="G1984" s="7" t="s">
        <v>2167</v>
      </c>
      <c r="H1984" s="1" t="s">
        <v>80</v>
      </c>
      <c r="M1984" s="2" t="s">
        <v>238</v>
      </c>
      <c r="N1984" s="7" t="s">
        <v>2167</v>
      </c>
      <c r="O1984" s="1" t="s">
        <v>80</v>
      </c>
      <c r="Q1984" s="11"/>
    </row>
    <row r="1985" spans="6:18" ht="24" customHeight="1">
      <c r="H1985" s="1" t="s">
        <v>1062</v>
      </c>
      <c r="N1985" s="3"/>
      <c r="O1985" s="1" t="s">
        <v>1062</v>
      </c>
      <c r="Q1985" s="11"/>
    </row>
    <row r="1986" spans="6:18" ht="24" customHeight="1">
      <c r="H1986" s="1" t="s">
        <v>1063</v>
      </c>
      <c r="N1986" s="3"/>
      <c r="O1986" s="1" t="s">
        <v>1063</v>
      </c>
      <c r="Q1986" s="11"/>
    </row>
    <row r="1987" spans="6:18" ht="24" customHeight="1">
      <c r="H1987" s="1" t="s">
        <v>239</v>
      </c>
      <c r="N1987" s="3"/>
      <c r="O1987" s="1" t="s">
        <v>239</v>
      </c>
      <c r="Q1987" s="11"/>
    </row>
    <row r="1988" spans="6:18" ht="24" customHeight="1">
      <c r="H1988" s="5" t="s">
        <v>1530</v>
      </c>
      <c r="N1988" s="3"/>
      <c r="O1988" s="5" t="s">
        <v>1530</v>
      </c>
      <c r="Q1988" s="11"/>
    </row>
    <row r="1989" spans="6:18" ht="24" customHeight="1">
      <c r="F1989" s="8">
        <v>1</v>
      </c>
      <c r="G1989" s="7" t="s">
        <v>835</v>
      </c>
      <c r="H1989" s="1" t="s">
        <v>679</v>
      </c>
      <c r="I1989" s="8">
        <f>(C204)</f>
        <v>1190</v>
      </c>
      <c r="J1989" s="1" t="s">
        <v>835</v>
      </c>
      <c r="K1989" s="8">
        <f>(F1989*I1989)</f>
        <v>1190</v>
      </c>
      <c r="M1989" s="8">
        <v>1</v>
      </c>
      <c r="N1989" s="7" t="s">
        <v>835</v>
      </c>
      <c r="O1989" s="1" t="s">
        <v>679</v>
      </c>
      <c r="P1989" s="8">
        <f>I1989</f>
        <v>1190</v>
      </c>
      <c r="Q1989" s="1" t="s">
        <v>835</v>
      </c>
      <c r="R1989" s="8">
        <f>(M1989*P1989)</f>
        <v>1190</v>
      </c>
    </row>
    <row r="1990" spans="6:18" ht="24" customHeight="1">
      <c r="F1990" s="13">
        <v>0.40500000000000003</v>
      </c>
      <c r="G1990" s="7" t="s">
        <v>836</v>
      </c>
      <c r="H1990" s="1" t="s">
        <v>2134</v>
      </c>
      <c r="I1990" s="8">
        <f>(K1333)</f>
        <v>3297.83</v>
      </c>
      <c r="J1990" s="1" t="s">
        <v>836</v>
      </c>
      <c r="K1990" s="8">
        <f>(F1990*I1990)</f>
        <v>1335.62</v>
      </c>
      <c r="M1990" s="13">
        <v>0.40500000000000003</v>
      </c>
      <c r="N1990" s="7" t="s">
        <v>836</v>
      </c>
      <c r="O1990" s="1" t="s">
        <v>2134</v>
      </c>
      <c r="P1990" s="8">
        <f t="shared" ref="P1990:P1999" si="237">I1990</f>
        <v>3297.83</v>
      </c>
      <c r="Q1990" s="1" t="s">
        <v>836</v>
      </c>
      <c r="R1990" s="8">
        <f>(M1990*P1990)</f>
        <v>1335.62</v>
      </c>
    </row>
    <row r="1991" spans="6:18" ht="24" customHeight="1">
      <c r="H1991" s="1" t="s">
        <v>1057</v>
      </c>
      <c r="I1991" s="1" t="s">
        <v>940</v>
      </c>
      <c r="K1991" s="1" t="s">
        <v>940</v>
      </c>
      <c r="N1991" s="3"/>
      <c r="O1991" s="1" t="s">
        <v>1057</v>
      </c>
      <c r="P1991" s="8" t="str">
        <f t="shared" si="237"/>
        <v xml:space="preserve"> </v>
      </c>
      <c r="Q1991" s="11"/>
      <c r="R1991" s="1" t="s">
        <v>940</v>
      </c>
    </row>
    <row r="1992" spans="6:18" ht="24" customHeight="1">
      <c r="F1992" s="8">
        <v>1.89</v>
      </c>
      <c r="G1992" s="7" t="s">
        <v>578</v>
      </c>
      <c r="H1992" s="1" t="s">
        <v>250</v>
      </c>
      <c r="I1992" s="8">
        <f>(K1445)</f>
        <v>243.04</v>
      </c>
      <c r="J1992" s="1" t="s">
        <v>578</v>
      </c>
      <c r="K1992" s="8">
        <f>(F1992*I1992)</f>
        <v>459.35</v>
      </c>
      <c r="M1992" s="8">
        <v>1.89</v>
      </c>
      <c r="N1992" s="7" t="s">
        <v>578</v>
      </c>
      <c r="O1992" s="1" t="s">
        <v>250</v>
      </c>
      <c r="P1992" s="8">
        <f t="shared" si="237"/>
        <v>243.04</v>
      </c>
      <c r="Q1992" s="1" t="s">
        <v>578</v>
      </c>
      <c r="R1992" s="8">
        <f>(M1992*P1992)</f>
        <v>459.35</v>
      </c>
    </row>
    <row r="1993" spans="6:18" ht="24" customHeight="1">
      <c r="H1993" s="1" t="s">
        <v>251</v>
      </c>
      <c r="I1993" s="1" t="s">
        <v>940</v>
      </c>
      <c r="K1993" s="1" t="s">
        <v>940</v>
      </c>
      <c r="N1993" s="3"/>
      <c r="O1993" s="1" t="s">
        <v>251</v>
      </c>
      <c r="P1993" s="8" t="str">
        <f t="shared" si="237"/>
        <v xml:space="preserve"> </v>
      </c>
      <c r="Q1993" s="11"/>
      <c r="R1993" s="1" t="s">
        <v>940</v>
      </c>
    </row>
    <row r="1994" spans="6:18" ht="24" customHeight="1">
      <c r="F1994" s="13">
        <v>8.1000000000000003E-2</v>
      </c>
      <c r="G1994" s="7" t="s">
        <v>836</v>
      </c>
      <c r="H1994" s="1" t="s">
        <v>252</v>
      </c>
      <c r="I1994" s="8">
        <f>(R50)</f>
        <v>3587.43</v>
      </c>
      <c r="J1994" s="1" t="s">
        <v>836</v>
      </c>
      <c r="K1994" s="8">
        <f>(F1994*I1994)</f>
        <v>290.58</v>
      </c>
      <c r="M1994" s="13">
        <v>8.1000000000000003E-2</v>
      </c>
      <c r="N1994" s="7" t="s">
        <v>836</v>
      </c>
      <c r="O1994" s="1" t="s">
        <v>252</v>
      </c>
      <c r="P1994" s="8">
        <f t="shared" si="237"/>
        <v>3587.43</v>
      </c>
      <c r="Q1994" s="1" t="s">
        <v>836</v>
      </c>
      <c r="R1994" s="8">
        <f>(M1994*P1994)</f>
        <v>290.58</v>
      </c>
    </row>
    <row r="1995" spans="6:18" ht="24" customHeight="1">
      <c r="H1995" s="1" t="s">
        <v>253</v>
      </c>
      <c r="N1995" s="3"/>
      <c r="O1995" s="1" t="s">
        <v>253</v>
      </c>
      <c r="P1995" s="8"/>
      <c r="Q1995" s="11"/>
    </row>
    <row r="1996" spans="6:18" ht="24" customHeight="1">
      <c r="F1996" s="8">
        <v>1</v>
      </c>
      <c r="G1996" s="7" t="s">
        <v>739</v>
      </c>
      <c r="H1996" s="1" t="s">
        <v>2024</v>
      </c>
      <c r="I1996" s="8">
        <f>(C15)</f>
        <v>747</v>
      </c>
      <c r="J1996" s="1" t="s">
        <v>739</v>
      </c>
      <c r="K1996" s="8">
        <f>(F1996*I1996)</f>
        <v>747</v>
      </c>
      <c r="M1996" s="8">
        <v>1</v>
      </c>
      <c r="N1996" s="7" t="s">
        <v>739</v>
      </c>
      <c r="O1996" s="1" t="s">
        <v>2024</v>
      </c>
      <c r="P1996" s="8">
        <f t="shared" si="237"/>
        <v>747</v>
      </c>
      <c r="Q1996" s="1" t="s">
        <v>739</v>
      </c>
      <c r="R1996" s="8">
        <f>(M1996*P1996)</f>
        <v>747</v>
      </c>
    </row>
    <row r="1997" spans="6:18" ht="24" customHeight="1">
      <c r="F1997" s="8">
        <v>0.5</v>
      </c>
      <c r="G1997" s="7" t="s">
        <v>835</v>
      </c>
      <c r="H1997" s="1" t="s">
        <v>1654</v>
      </c>
      <c r="I1997" s="8">
        <f>(C11)</f>
        <v>804</v>
      </c>
      <c r="J1997" s="1" t="s">
        <v>835</v>
      </c>
      <c r="K1997" s="8">
        <f>(F1997*I1997)</f>
        <v>402</v>
      </c>
      <c r="M1997" s="8">
        <v>0.5</v>
      </c>
      <c r="N1997" s="7" t="s">
        <v>835</v>
      </c>
      <c r="O1997" s="1" t="s">
        <v>1654</v>
      </c>
      <c r="P1997" s="8">
        <f t="shared" si="237"/>
        <v>804</v>
      </c>
      <c r="Q1997" s="1" t="s">
        <v>835</v>
      </c>
      <c r="R1997" s="841">
        <f>(M1997*P1997)</f>
        <v>402</v>
      </c>
    </row>
    <row r="1998" spans="6:18" ht="24" customHeight="1">
      <c r="F1998" s="8">
        <v>0.5</v>
      </c>
      <c r="G1998" s="7" t="s">
        <v>835</v>
      </c>
      <c r="H1998" s="1" t="s">
        <v>1836</v>
      </c>
      <c r="I1998" s="8">
        <f>(C12)</f>
        <v>562</v>
      </c>
      <c r="J1998" s="1" t="s">
        <v>835</v>
      </c>
      <c r="K1998" s="8">
        <f>(F1998*I1998)</f>
        <v>281</v>
      </c>
      <c r="M1998" s="8">
        <v>0.5</v>
      </c>
      <c r="N1998" s="7" t="s">
        <v>835</v>
      </c>
      <c r="O1998" s="1" t="s">
        <v>1836</v>
      </c>
      <c r="P1998" s="8">
        <f t="shared" si="237"/>
        <v>562</v>
      </c>
      <c r="Q1998" s="1" t="s">
        <v>835</v>
      </c>
      <c r="R1998" s="841">
        <f>(M1998*P1998)</f>
        <v>281</v>
      </c>
    </row>
    <row r="1999" spans="6:18" ht="24" customHeight="1">
      <c r="G1999" s="7" t="s">
        <v>419</v>
      </c>
      <c r="H1999" s="1" t="s">
        <v>420</v>
      </c>
      <c r="I1999" s="1" t="s">
        <v>940</v>
      </c>
      <c r="J1999" s="1" t="s">
        <v>419</v>
      </c>
      <c r="K1999" s="8">
        <v>1.03</v>
      </c>
      <c r="N1999" s="7"/>
      <c r="O1999" s="34" t="s">
        <v>4136</v>
      </c>
      <c r="P1999" s="8" t="str">
        <f t="shared" si="237"/>
        <v xml:space="preserve"> </v>
      </c>
      <c r="Q1999" s="1"/>
      <c r="R1999" s="841">
        <v>-164</v>
      </c>
    </row>
    <row r="2000" spans="6:18" ht="24" customHeight="1">
      <c r="H2000" s="1" t="s">
        <v>940</v>
      </c>
      <c r="K2000" s="5" t="s">
        <v>1530</v>
      </c>
      <c r="O2000" s="34" t="s">
        <v>4137</v>
      </c>
      <c r="P2000" s="8"/>
      <c r="Q2000" s="1"/>
      <c r="R2000" s="841">
        <v>134.1</v>
      </c>
    </row>
    <row r="2001" spans="6:19" ht="24" customHeight="1" thickBot="1">
      <c r="H2001" s="1" t="s">
        <v>1694</v>
      </c>
      <c r="K2001" s="8">
        <f>SUM(K1989:K1999)</f>
        <v>4706.58</v>
      </c>
      <c r="N2001" s="3" t="s">
        <v>625</v>
      </c>
      <c r="O2001" s="34" t="s">
        <v>2187</v>
      </c>
      <c r="Q2001" s="11"/>
      <c r="R2001" s="841">
        <v>0.47</v>
      </c>
    </row>
    <row r="2002" spans="6:19" ht="24" customHeight="1" thickTop="1">
      <c r="K2002" s="5" t="s">
        <v>1980</v>
      </c>
      <c r="N2002" s="3"/>
      <c r="O2002" s="530" t="s">
        <v>1694</v>
      </c>
      <c r="Q2002" s="11"/>
      <c r="R2002" s="553">
        <f>SUM(R1989:R2001)</f>
        <v>4676.12</v>
      </c>
    </row>
    <row r="2003" spans="6:19" ht="24" customHeight="1" thickBot="1">
      <c r="G2003" s="7" t="s">
        <v>940</v>
      </c>
      <c r="H2003" s="1" t="s">
        <v>940</v>
      </c>
      <c r="K2003" s="1" t="s">
        <v>940</v>
      </c>
      <c r="N2003" s="3"/>
      <c r="Q2003" s="11"/>
      <c r="R2003" s="554"/>
    </row>
    <row r="2004" spans="6:19" ht="24" customHeight="1" thickTop="1">
      <c r="F2004" s="12">
        <v>57</v>
      </c>
      <c r="G2004" s="7" t="s">
        <v>2167</v>
      </c>
      <c r="H2004" s="1" t="s">
        <v>243</v>
      </c>
    </row>
    <row r="2005" spans="6:19" ht="24" customHeight="1">
      <c r="H2005" s="1" t="s">
        <v>194</v>
      </c>
      <c r="M2005" s="12">
        <v>57</v>
      </c>
      <c r="N2005" s="7" t="s">
        <v>2167</v>
      </c>
      <c r="O2005" s="1" t="s">
        <v>243</v>
      </c>
      <c r="Q2005" s="11"/>
      <c r="S2005"/>
    </row>
    <row r="2006" spans="6:19" ht="24" customHeight="1">
      <c r="H2006" s="1" t="s">
        <v>1715</v>
      </c>
      <c r="N2006" s="3"/>
      <c r="O2006" s="1" t="s">
        <v>194</v>
      </c>
      <c r="Q2006" s="11"/>
      <c r="S2006"/>
    </row>
    <row r="2007" spans="6:19" ht="24" customHeight="1">
      <c r="H2007" s="5" t="s">
        <v>1530</v>
      </c>
      <c r="N2007" s="3"/>
      <c r="O2007" s="1" t="s">
        <v>1715</v>
      </c>
      <c r="Q2007" s="11"/>
      <c r="S2007"/>
    </row>
    <row r="2008" spans="6:19" ht="60.75" customHeight="1">
      <c r="F2008" s="22">
        <v>1</v>
      </c>
      <c r="G2008" s="22" t="s">
        <v>753</v>
      </c>
      <c r="H2008" s="27" t="s">
        <v>4026</v>
      </c>
      <c r="I2008" s="22">
        <f>C616</f>
        <v>3060</v>
      </c>
      <c r="J2008" s="98" t="s">
        <v>753</v>
      </c>
      <c r="K2008" s="22">
        <f>(F2008*I2008)</f>
        <v>3060</v>
      </c>
      <c r="N2008" s="3"/>
      <c r="O2008" s="5" t="s">
        <v>1530</v>
      </c>
      <c r="Q2008" s="11"/>
      <c r="S2008"/>
    </row>
    <row r="2009" spans="6:19" ht="48.75" customHeight="1">
      <c r="F2009" s="8"/>
      <c r="G2009" s="7"/>
      <c r="H2009" s="24" t="s">
        <v>1122</v>
      </c>
      <c r="I2009" s="8"/>
      <c r="J2009" s="1"/>
      <c r="K2009" s="8"/>
      <c r="M2009" s="22">
        <v>1</v>
      </c>
      <c r="N2009" s="22" t="s">
        <v>753</v>
      </c>
      <c r="O2009" s="27" t="s">
        <v>1082</v>
      </c>
      <c r="P2009" s="22">
        <f>I2008</f>
        <v>3060</v>
      </c>
      <c r="Q2009" s="98" t="s">
        <v>753</v>
      </c>
      <c r="R2009" s="22">
        <f>(M2009*P2009)</f>
        <v>3060</v>
      </c>
      <c r="S2009"/>
    </row>
    <row r="2010" spans="6:19" ht="36" customHeight="1">
      <c r="F2010" s="8">
        <v>1</v>
      </c>
      <c r="G2010" s="7" t="s">
        <v>835</v>
      </c>
      <c r="H2010" s="1" t="s">
        <v>1938</v>
      </c>
      <c r="I2010" s="8">
        <f>(C10)</f>
        <v>861</v>
      </c>
      <c r="J2010" s="1" t="s">
        <v>835</v>
      </c>
      <c r="K2010" s="8">
        <f>(F2010*I2010)</f>
        <v>861</v>
      </c>
      <c r="M2010" s="8"/>
      <c r="N2010" s="7"/>
      <c r="O2010" s="24" t="s">
        <v>1122</v>
      </c>
      <c r="P2010" s="8"/>
      <c r="Q2010" s="1"/>
      <c r="R2010" s="8"/>
      <c r="S2010"/>
    </row>
    <row r="2011" spans="6:19" ht="24" customHeight="1">
      <c r="F2011" s="8">
        <v>2</v>
      </c>
      <c r="G2011" s="7" t="s">
        <v>835</v>
      </c>
      <c r="H2011" s="1" t="s">
        <v>2024</v>
      </c>
      <c r="I2011" s="8">
        <f>(C15)</f>
        <v>747</v>
      </c>
      <c r="J2011" s="1" t="s">
        <v>835</v>
      </c>
      <c r="K2011" s="8">
        <f>(F2011*I2011)</f>
        <v>1494</v>
      </c>
      <c r="M2011" s="8">
        <v>1</v>
      </c>
      <c r="N2011" s="7" t="s">
        <v>835</v>
      </c>
      <c r="O2011" s="1" t="s">
        <v>1938</v>
      </c>
      <c r="P2011" s="8">
        <f t="shared" ref="P2011:P2016" si="238">I2010</f>
        <v>861</v>
      </c>
      <c r="Q2011" s="1" t="s">
        <v>835</v>
      </c>
      <c r="R2011" s="8">
        <f>(M2011*P2011)</f>
        <v>861</v>
      </c>
      <c r="S2011"/>
    </row>
    <row r="2012" spans="6:19" ht="24" customHeight="1">
      <c r="F2012" s="8">
        <v>1</v>
      </c>
      <c r="G2012" s="7" t="s">
        <v>835</v>
      </c>
      <c r="H2012" s="1" t="s">
        <v>299</v>
      </c>
      <c r="I2012" s="8">
        <f>(C13)</f>
        <v>461</v>
      </c>
      <c r="J2012" s="1" t="s">
        <v>835</v>
      </c>
      <c r="K2012" s="8">
        <f>(F2012*I2012)</f>
        <v>461</v>
      </c>
      <c r="M2012" s="8">
        <v>2</v>
      </c>
      <c r="N2012" s="7" t="s">
        <v>835</v>
      </c>
      <c r="O2012" s="1" t="s">
        <v>2024</v>
      </c>
      <c r="P2012" s="8">
        <f t="shared" si="238"/>
        <v>747</v>
      </c>
      <c r="Q2012" s="1" t="s">
        <v>835</v>
      </c>
      <c r="R2012" s="8">
        <f>(M2012*P2012)</f>
        <v>1494</v>
      </c>
      <c r="S2012"/>
    </row>
    <row r="2013" spans="6:19" ht="24" customHeight="1">
      <c r="F2013" s="8"/>
      <c r="G2013" s="7"/>
      <c r="H2013" s="24" t="s">
        <v>680</v>
      </c>
      <c r="I2013" s="8"/>
      <c r="J2013" s="1"/>
      <c r="K2013" s="8"/>
      <c r="M2013" s="8">
        <v>1</v>
      </c>
      <c r="N2013" s="7" t="s">
        <v>835</v>
      </c>
      <c r="O2013" s="1" t="s">
        <v>299</v>
      </c>
      <c r="P2013" s="8">
        <f t="shared" si="238"/>
        <v>461</v>
      </c>
      <c r="Q2013" s="1" t="s">
        <v>835</v>
      </c>
      <c r="R2013" s="8">
        <f>(M2013*P2013)</f>
        <v>461</v>
      </c>
      <c r="S2013"/>
    </row>
    <row r="2014" spans="6:19" ht="24" customHeight="1">
      <c r="F2014" s="8">
        <v>0.5</v>
      </c>
      <c r="G2014" s="7" t="s">
        <v>835</v>
      </c>
      <c r="H2014" s="1" t="s">
        <v>2024</v>
      </c>
      <c r="I2014" s="8">
        <f>(C15)</f>
        <v>747</v>
      </c>
      <c r="J2014" s="1" t="s">
        <v>835</v>
      </c>
      <c r="K2014" s="8">
        <f>(F2014*I2014)</f>
        <v>373.5</v>
      </c>
      <c r="M2014" s="8"/>
      <c r="N2014" s="7"/>
      <c r="O2014" s="24" t="s">
        <v>680</v>
      </c>
      <c r="P2014" s="8"/>
      <c r="Q2014" s="1"/>
      <c r="R2014" s="8"/>
      <c r="S2014"/>
    </row>
    <row r="2015" spans="6:19" ht="24" customHeight="1">
      <c r="F2015" s="8">
        <v>0.5</v>
      </c>
      <c r="G2015" s="7" t="s">
        <v>835</v>
      </c>
      <c r="H2015" s="1" t="s">
        <v>1836</v>
      </c>
      <c r="I2015" s="8">
        <f>(C12)</f>
        <v>562</v>
      </c>
      <c r="J2015" s="1" t="s">
        <v>835</v>
      </c>
      <c r="K2015" s="8">
        <f>(F2015*I2015)</f>
        <v>281</v>
      </c>
      <c r="M2015" s="8">
        <v>0.5</v>
      </c>
      <c r="N2015" s="7" t="s">
        <v>835</v>
      </c>
      <c r="O2015" s="1" t="s">
        <v>2024</v>
      </c>
      <c r="P2015" s="8">
        <f t="shared" si="238"/>
        <v>747</v>
      </c>
      <c r="Q2015" s="1" t="s">
        <v>835</v>
      </c>
      <c r="R2015" s="8">
        <f>(M2015*P2015)</f>
        <v>373.5</v>
      </c>
      <c r="S2015"/>
    </row>
    <row r="2016" spans="6:19" ht="24" customHeight="1">
      <c r="G2016" s="7" t="s">
        <v>419</v>
      </c>
      <c r="H2016" s="1" t="s">
        <v>420</v>
      </c>
      <c r="J2016" s="1" t="s">
        <v>419</v>
      </c>
      <c r="K2016" s="8">
        <v>0.7</v>
      </c>
      <c r="M2016" s="8">
        <v>0.5</v>
      </c>
      <c r="N2016" s="7" t="s">
        <v>835</v>
      </c>
      <c r="O2016" s="1" t="s">
        <v>1836</v>
      </c>
      <c r="P2016" s="8">
        <f t="shared" si="238"/>
        <v>562</v>
      </c>
      <c r="Q2016" s="1" t="s">
        <v>835</v>
      </c>
      <c r="R2016" s="8">
        <f>(M2016*P2016)</f>
        <v>281</v>
      </c>
      <c r="S2016"/>
    </row>
    <row r="2017" spans="6:19" ht="24" customHeight="1">
      <c r="K2017" s="5" t="s">
        <v>1530</v>
      </c>
      <c r="M2017" s="8"/>
      <c r="N2017" s="7"/>
      <c r="O2017" s="34" t="s">
        <v>4136</v>
      </c>
      <c r="P2017" s="8">
        <f>I2017</f>
        <v>0</v>
      </c>
      <c r="Q2017" s="1"/>
      <c r="R2017" s="545">
        <v>-164</v>
      </c>
      <c r="S2017"/>
    </row>
    <row r="2018" spans="6:19" ht="24" customHeight="1">
      <c r="H2018" s="1" t="s">
        <v>1694</v>
      </c>
      <c r="K2018" s="8">
        <f>SUM(K2008:K2016)</f>
        <v>6531.2</v>
      </c>
      <c r="M2018" s="8"/>
      <c r="N2018" s="7"/>
      <c r="O2018" s="34" t="s">
        <v>4137</v>
      </c>
      <c r="P2018" s="8"/>
      <c r="Q2018" s="1"/>
      <c r="R2018" s="545">
        <v>134.1</v>
      </c>
      <c r="S2018"/>
    </row>
    <row r="2019" spans="6:19" ht="24" customHeight="1">
      <c r="F2019" s="1" t="s">
        <v>940</v>
      </c>
      <c r="N2019" s="7" t="s">
        <v>419</v>
      </c>
      <c r="O2019" s="1" t="s">
        <v>420</v>
      </c>
      <c r="Q2019" s="1" t="s">
        <v>419</v>
      </c>
      <c r="R2019" s="8">
        <v>0.7</v>
      </c>
      <c r="S2019"/>
    </row>
    <row r="2020" spans="6:19" ht="24" customHeight="1">
      <c r="K2020" s="5" t="s">
        <v>1530</v>
      </c>
      <c r="N2020" s="3"/>
      <c r="O2020" s="1" t="s">
        <v>1694</v>
      </c>
      <c r="Q2020" s="11"/>
      <c r="R2020" s="8"/>
      <c r="S2020"/>
    </row>
    <row r="2021" spans="6:19" ht="24" customHeight="1">
      <c r="G2021" s="7" t="s">
        <v>940</v>
      </c>
      <c r="H2021" s="1" t="s">
        <v>940</v>
      </c>
      <c r="K2021" s="1" t="s">
        <v>940</v>
      </c>
      <c r="N2021" s="3"/>
      <c r="Q2021" s="11"/>
      <c r="R2021" s="37">
        <f>SUM(R2009:R2020)</f>
        <v>6501.3</v>
      </c>
      <c r="S2021"/>
    </row>
    <row r="2022" spans="6:19" ht="24" customHeight="1">
      <c r="H2022" s="1" t="s">
        <v>940</v>
      </c>
      <c r="M2022" s="1" t="s">
        <v>940</v>
      </c>
      <c r="N2022" s="3"/>
      <c r="S2022"/>
    </row>
    <row r="2023" spans="6:19" ht="24" customHeight="1">
      <c r="F2023" s="25">
        <v>57.1</v>
      </c>
      <c r="G2023" s="7" t="s">
        <v>2167</v>
      </c>
      <c r="H2023" s="1" t="s">
        <v>1504</v>
      </c>
      <c r="M2023" s="12">
        <v>57</v>
      </c>
      <c r="N2023" s="7" t="s">
        <v>2167</v>
      </c>
      <c r="O2023" s="1" t="s">
        <v>1504</v>
      </c>
      <c r="Q2023" s="11"/>
      <c r="S2023"/>
    </row>
    <row r="2024" spans="6:19" ht="24" customHeight="1">
      <c r="H2024" s="1" t="s">
        <v>194</v>
      </c>
      <c r="N2024" s="3"/>
      <c r="O2024" s="1" t="s">
        <v>194</v>
      </c>
      <c r="Q2024" s="11"/>
    </row>
    <row r="2025" spans="6:19" ht="24" customHeight="1">
      <c r="H2025" s="1" t="s">
        <v>1715</v>
      </c>
      <c r="N2025" s="3"/>
      <c r="O2025" s="1" t="s">
        <v>1715</v>
      </c>
      <c r="Q2025" s="11"/>
    </row>
    <row r="2026" spans="6:19" ht="24" customHeight="1">
      <c r="H2026" s="5" t="s">
        <v>1530</v>
      </c>
      <c r="N2026" s="3"/>
      <c r="O2026" s="5" t="s">
        <v>1530</v>
      </c>
      <c r="Q2026" s="11"/>
    </row>
    <row r="2027" spans="6:19" ht="62.25" customHeight="1">
      <c r="F2027" s="22">
        <v>1</v>
      </c>
      <c r="G2027" s="22" t="s">
        <v>753</v>
      </c>
      <c r="H2027" s="23" t="s">
        <v>1082</v>
      </c>
      <c r="I2027">
        <f>E616</f>
        <v>3450</v>
      </c>
      <c r="J2027" s="98" t="s">
        <v>753</v>
      </c>
      <c r="K2027" s="22">
        <f>(F2027*I2027)</f>
        <v>3450</v>
      </c>
      <c r="M2027" s="22">
        <v>1</v>
      </c>
      <c r="N2027" s="22" t="s">
        <v>753</v>
      </c>
      <c r="O2027" s="27" t="s">
        <v>1082</v>
      </c>
      <c r="P2027" s="22">
        <f>I2027</f>
        <v>3450</v>
      </c>
      <c r="Q2027" s="98" t="s">
        <v>753</v>
      </c>
      <c r="R2027" s="22">
        <f>(M2027*P2027)</f>
        <v>3450</v>
      </c>
    </row>
    <row r="2028" spans="6:19" ht="54.75" customHeight="1">
      <c r="F2028" s="8"/>
      <c r="G2028" s="7"/>
      <c r="H2028" s="24" t="s">
        <v>1122</v>
      </c>
      <c r="J2028" s="1"/>
      <c r="K2028" s="8"/>
      <c r="M2028" s="8"/>
      <c r="N2028" s="7"/>
      <c r="O2028" s="24" t="s">
        <v>1122</v>
      </c>
      <c r="P2028" s="8"/>
      <c r="Q2028" s="1"/>
      <c r="R2028" s="22"/>
    </row>
    <row r="2029" spans="6:19" ht="24" customHeight="1">
      <c r="F2029" s="8">
        <v>1</v>
      </c>
      <c r="G2029" s="7" t="s">
        <v>835</v>
      </c>
      <c r="H2029" s="1" t="s">
        <v>1938</v>
      </c>
      <c r="I2029">
        <f>C10</f>
        <v>861</v>
      </c>
      <c r="J2029" s="1" t="s">
        <v>835</v>
      </c>
      <c r="K2029" s="8">
        <f>(F2029*I2029)</f>
        <v>861</v>
      </c>
      <c r="M2029" s="8">
        <v>1</v>
      </c>
      <c r="N2029" s="7" t="s">
        <v>835</v>
      </c>
      <c r="O2029" s="1" t="s">
        <v>1938</v>
      </c>
      <c r="P2029" s="8">
        <f>I2029</f>
        <v>861</v>
      </c>
      <c r="Q2029" s="1" t="s">
        <v>835</v>
      </c>
      <c r="R2029" s="22">
        <f>(M2029*P2029)</f>
        <v>861</v>
      </c>
    </row>
    <row r="2030" spans="6:19" ht="24" customHeight="1">
      <c r="F2030" s="8">
        <v>2</v>
      </c>
      <c r="G2030" s="7" t="s">
        <v>835</v>
      </c>
      <c r="H2030" s="1" t="s">
        <v>2024</v>
      </c>
      <c r="I2030">
        <f>C15</f>
        <v>747</v>
      </c>
      <c r="J2030" s="1" t="s">
        <v>835</v>
      </c>
      <c r="K2030" s="8">
        <f>(F2030*I2030)</f>
        <v>1494</v>
      </c>
      <c r="M2030" s="8">
        <v>2</v>
      </c>
      <c r="N2030" s="7" t="s">
        <v>835</v>
      </c>
      <c r="O2030" s="1" t="s">
        <v>2024</v>
      </c>
      <c r="P2030" s="8">
        <f>I2030</f>
        <v>747</v>
      </c>
      <c r="Q2030" s="1" t="s">
        <v>835</v>
      </c>
      <c r="R2030" s="22">
        <f>(M2030*P2030)</f>
        <v>1494</v>
      </c>
    </row>
    <row r="2031" spans="6:19" ht="24" customHeight="1">
      <c r="F2031" s="8">
        <v>1</v>
      </c>
      <c r="G2031" s="7" t="s">
        <v>835</v>
      </c>
      <c r="H2031" s="1" t="s">
        <v>299</v>
      </c>
      <c r="I2031">
        <f>C13</f>
        <v>461</v>
      </c>
      <c r="J2031" s="1" t="s">
        <v>835</v>
      </c>
      <c r="K2031" s="8">
        <f>(F2031*I2031)</f>
        <v>461</v>
      </c>
      <c r="M2031" s="8">
        <v>1</v>
      </c>
      <c r="N2031" s="7" t="s">
        <v>835</v>
      </c>
      <c r="O2031" s="1" t="s">
        <v>299</v>
      </c>
      <c r="P2031" s="8">
        <f>I2031</f>
        <v>461</v>
      </c>
      <c r="Q2031" s="1" t="s">
        <v>835</v>
      </c>
      <c r="R2031" s="22">
        <f>(M2031*P2031)</f>
        <v>461</v>
      </c>
    </row>
    <row r="2032" spans="6:19" ht="24" customHeight="1">
      <c r="F2032" s="8"/>
      <c r="G2032" s="7"/>
      <c r="H2032" s="24" t="s">
        <v>680</v>
      </c>
      <c r="J2032" s="1"/>
      <c r="K2032" s="8"/>
      <c r="M2032" s="8"/>
      <c r="N2032" s="7"/>
      <c r="O2032" s="24" t="s">
        <v>680</v>
      </c>
      <c r="Q2032" s="1"/>
      <c r="R2032" s="8"/>
    </row>
    <row r="2033" spans="6:18" ht="24" customHeight="1">
      <c r="F2033" s="8">
        <v>0.5</v>
      </c>
      <c r="G2033" s="7" t="s">
        <v>835</v>
      </c>
      <c r="H2033" s="1" t="s">
        <v>2024</v>
      </c>
      <c r="I2033">
        <f>C15</f>
        <v>747</v>
      </c>
      <c r="J2033" s="1" t="s">
        <v>835</v>
      </c>
      <c r="K2033" s="8">
        <f>(F2033*I2033)</f>
        <v>373.5</v>
      </c>
      <c r="M2033" s="8">
        <v>0.5</v>
      </c>
      <c r="N2033" s="7" t="s">
        <v>835</v>
      </c>
      <c r="O2033" s="1" t="s">
        <v>2024</v>
      </c>
      <c r="P2033" s="8">
        <f>I2033</f>
        <v>747</v>
      </c>
      <c r="Q2033" s="1" t="s">
        <v>835</v>
      </c>
      <c r="R2033" s="8">
        <f>(M2033*P2033)</f>
        <v>373.5</v>
      </c>
    </row>
    <row r="2034" spans="6:18" ht="24" customHeight="1">
      <c r="F2034" s="8">
        <v>0.5</v>
      </c>
      <c r="G2034" s="7" t="s">
        <v>835</v>
      </c>
      <c r="H2034" s="1" t="s">
        <v>1836</v>
      </c>
      <c r="I2034">
        <f>C12</f>
        <v>562</v>
      </c>
      <c r="J2034" s="1" t="s">
        <v>835</v>
      </c>
      <c r="K2034" s="8">
        <f>(F2034*I2034)</f>
        <v>281</v>
      </c>
      <c r="M2034" s="8">
        <v>0.5</v>
      </c>
      <c r="N2034" s="7" t="s">
        <v>835</v>
      </c>
      <c r="O2034" s="1" t="s">
        <v>1836</v>
      </c>
      <c r="P2034" s="8">
        <f>I2034</f>
        <v>562</v>
      </c>
      <c r="Q2034" s="1" t="s">
        <v>835</v>
      </c>
      <c r="R2034" s="8">
        <f>(M2034*P2034)</f>
        <v>281</v>
      </c>
    </row>
    <row r="2035" spans="6:18" ht="24" customHeight="1">
      <c r="G2035" s="7" t="s">
        <v>419</v>
      </c>
      <c r="H2035" s="1" t="s">
        <v>420</v>
      </c>
      <c r="J2035" s="1" t="s">
        <v>419</v>
      </c>
      <c r="K2035" s="8">
        <v>0.7</v>
      </c>
      <c r="M2035" s="8"/>
      <c r="N2035" s="7"/>
      <c r="O2035" s="34" t="s">
        <v>4136</v>
      </c>
      <c r="P2035" s="8">
        <f>I2035</f>
        <v>0</v>
      </c>
      <c r="Q2035" s="1"/>
      <c r="R2035" s="545">
        <v>-164</v>
      </c>
    </row>
    <row r="2036" spans="6:18" ht="24" customHeight="1">
      <c r="K2036" s="5" t="s">
        <v>1530</v>
      </c>
      <c r="M2036" s="8"/>
      <c r="N2036" s="7"/>
      <c r="O2036" s="34" t="s">
        <v>4137</v>
      </c>
      <c r="P2036" s="8"/>
      <c r="Q2036" s="1"/>
      <c r="R2036" s="545">
        <v>134.1</v>
      </c>
    </row>
    <row r="2037" spans="6:18" ht="24" customHeight="1">
      <c r="H2037" s="1" t="s">
        <v>1694</v>
      </c>
      <c r="K2037" s="8">
        <f>SUM(K2027:K2035)</f>
        <v>6921.2</v>
      </c>
      <c r="N2037" s="7" t="s">
        <v>419</v>
      </c>
      <c r="O2037" s="1" t="s">
        <v>420</v>
      </c>
      <c r="Q2037" s="1" t="s">
        <v>419</v>
      </c>
      <c r="R2037" s="8">
        <v>0.7</v>
      </c>
    </row>
    <row r="2038" spans="6:18" ht="24" customHeight="1">
      <c r="H2038" s="1"/>
      <c r="N2038" s="3"/>
      <c r="Q2038" s="11"/>
      <c r="R2038" s="5" t="s">
        <v>1530</v>
      </c>
    </row>
    <row r="2039" spans="6:18" ht="24" customHeight="1">
      <c r="H2039" s="1"/>
      <c r="K2039" s="5" t="s">
        <v>1530</v>
      </c>
      <c r="N2039" s="3"/>
      <c r="O2039" s="1" t="s">
        <v>1694</v>
      </c>
      <c r="Q2039" s="11"/>
      <c r="R2039" s="8"/>
    </row>
    <row r="2040" spans="6:18" ht="24" customHeight="1">
      <c r="H2040" s="1"/>
      <c r="M2040" s="1" t="s">
        <v>940</v>
      </c>
      <c r="N2040" s="3"/>
      <c r="Q2040" s="11"/>
      <c r="R2040" s="37">
        <f>SUM(R2027:R2039)</f>
        <v>6891.3</v>
      </c>
    </row>
    <row r="2041" spans="6:18" ht="24" customHeight="1">
      <c r="F2041" s="2" t="s">
        <v>681</v>
      </c>
      <c r="G2041" s="7" t="s">
        <v>2167</v>
      </c>
      <c r="H2041" s="1" t="s">
        <v>778</v>
      </c>
      <c r="N2041" s="3"/>
      <c r="Q2041" s="11"/>
      <c r="R2041" s="5" t="s">
        <v>1530</v>
      </c>
    </row>
    <row r="2042" spans="6:18" ht="24" customHeight="1">
      <c r="H2042" s="1" t="s">
        <v>158</v>
      </c>
    </row>
    <row r="2043" spans="6:18" ht="24" customHeight="1">
      <c r="H2043" s="5" t="s">
        <v>1530</v>
      </c>
    </row>
    <row r="2044" spans="6:18" ht="24" customHeight="1">
      <c r="G2044" s="7" t="s">
        <v>657</v>
      </c>
      <c r="H2044" s="1" t="s">
        <v>39</v>
      </c>
    </row>
    <row r="2045" spans="6:18" ht="24" customHeight="1">
      <c r="H2045" s="1" t="s">
        <v>209</v>
      </c>
    </row>
    <row r="2046" spans="6:18" ht="24" customHeight="1">
      <c r="H2046" s="1" t="s">
        <v>911</v>
      </c>
      <c r="M2046" s="928"/>
      <c r="N2046" s="929"/>
      <c r="O2046" s="930" t="s">
        <v>1928</v>
      </c>
      <c r="P2046" s="931"/>
      <c r="Q2046" s="932"/>
      <c r="R2046" s="931"/>
    </row>
    <row r="2047" spans="6:18" ht="24" customHeight="1">
      <c r="H2047" s="1" t="s">
        <v>912</v>
      </c>
      <c r="M2047" s="928"/>
      <c r="N2047" s="929"/>
      <c r="O2047" s="930" t="s">
        <v>4919</v>
      </c>
      <c r="P2047" s="931"/>
      <c r="Q2047" s="932"/>
      <c r="R2047" s="931"/>
    </row>
    <row r="2048" spans="6:18" ht="24" customHeight="1">
      <c r="H2048" s="1" t="s">
        <v>2025</v>
      </c>
      <c r="M2048" s="931"/>
      <c r="N2048" s="929"/>
      <c r="O2048" s="933" t="s">
        <v>1530</v>
      </c>
      <c r="P2048" s="933" t="s">
        <v>1530</v>
      </c>
      <c r="Q2048" s="930" t="s">
        <v>1530</v>
      </c>
      <c r="R2048" s="931"/>
    </row>
    <row r="2049" spans="6:18" ht="24" customHeight="1">
      <c r="H2049" s="1" t="s">
        <v>2026</v>
      </c>
      <c r="M2049" s="931"/>
      <c r="N2049" s="929"/>
      <c r="O2049" s="931"/>
      <c r="P2049" s="931"/>
      <c r="Q2049" s="932"/>
      <c r="R2049" s="931"/>
    </row>
    <row r="2050" spans="6:18" ht="24" customHeight="1">
      <c r="H2050" s="1" t="s">
        <v>192</v>
      </c>
      <c r="M2050" s="931"/>
      <c r="N2050" s="929"/>
      <c r="O2050" s="934" t="s">
        <v>4920</v>
      </c>
      <c r="P2050" s="931">
        <f>3.93*2.1</f>
        <v>8.25</v>
      </c>
      <c r="Q2050" s="932" t="s">
        <v>2070</v>
      </c>
      <c r="R2050" s="931"/>
    </row>
    <row r="2051" spans="6:18" ht="24" customHeight="1">
      <c r="H2051" s="5" t="s">
        <v>1530</v>
      </c>
      <c r="M2051" s="931"/>
      <c r="N2051" s="929"/>
      <c r="O2051" s="930" t="s">
        <v>4921</v>
      </c>
      <c r="P2051" s="931"/>
      <c r="Q2051" s="932"/>
      <c r="R2051" s="931"/>
    </row>
    <row r="2052" spans="6:18" ht="24" customHeight="1">
      <c r="F2052" s="8">
        <v>3</v>
      </c>
      <c r="G2052" s="7" t="s">
        <v>1714</v>
      </c>
      <c r="H2052" s="1" t="s">
        <v>2027</v>
      </c>
      <c r="I2052" s="487">
        <f>(C623)</f>
        <v>193.05</v>
      </c>
      <c r="J2052" s="1" t="s">
        <v>1714</v>
      </c>
      <c r="K2052" s="8">
        <f t="shared" ref="K2052:K2058" si="239">(F2052*I2052)</f>
        <v>579.15</v>
      </c>
      <c r="M2052" s="931"/>
      <c r="N2052" s="929"/>
      <c r="O2052" s="930" t="s">
        <v>4922</v>
      </c>
      <c r="P2052" s="935">
        <f>1*7*2.1*0.075*0.0375</f>
        <v>4.1000000000000002E-2</v>
      </c>
      <c r="Q2052" s="932"/>
      <c r="R2052" s="931"/>
    </row>
    <row r="2053" spans="6:18" ht="24" customHeight="1">
      <c r="F2053" s="8">
        <v>1</v>
      </c>
      <c r="G2053" s="7" t="s">
        <v>739</v>
      </c>
      <c r="H2053" s="1" t="s">
        <v>638</v>
      </c>
      <c r="I2053" s="545">
        <v>76</v>
      </c>
      <c r="J2053" s="1" t="s">
        <v>1658</v>
      </c>
      <c r="K2053" s="8">
        <f t="shared" si="239"/>
        <v>76</v>
      </c>
      <c r="M2053" s="931"/>
      <c r="N2053" s="929"/>
      <c r="O2053" s="930" t="s">
        <v>4923</v>
      </c>
      <c r="P2053" s="935">
        <f>5*3.93*0.075*0.0375</f>
        <v>5.5E-2</v>
      </c>
      <c r="Q2053" s="932"/>
      <c r="R2053" s="931"/>
    </row>
    <row r="2054" spans="6:18" ht="24" customHeight="1">
      <c r="F2054" s="8">
        <v>1</v>
      </c>
      <c r="G2054" s="7" t="s">
        <v>739</v>
      </c>
      <c r="H2054" s="1" t="s">
        <v>639</v>
      </c>
      <c r="I2054" s="8">
        <f>C651</f>
        <v>78.400000000000006</v>
      </c>
      <c r="J2054" s="1" t="s">
        <v>1658</v>
      </c>
      <c r="K2054" s="8">
        <f t="shared" si="239"/>
        <v>78.400000000000006</v>
      </c>
      <c r="M2054" s="931"/>
      <c r="N2054" s="929"/>
      <c r="O2054" s="930"/>
      <c r="P2054" s="936">
        <f>SUM(P2052:P2053)</f>
        <v>9.6000000000000002E-2</v>
      </c>
      <c r="Q2054" s="932" t="s">
        <v>2070</v>
      </c>
      <c r="R2054" s="931"/>
    </row>
    <row r="2055" spans="6:18" ht="24" customHeight="1">
      <c r="F2055" s="8">
        <v>1</v>
      </c>
      <c r="G2055" s="7" t="s">
        <v>739</v>
      </c>
      <c r="H2055" s="1" t="s">
        <v>4027</v>
      </c>
      <c r="I2055" s="8">
        <f>C648</f>
        <v>178.9</v>
      </c>
      <c r="J2055" s="1" t="s">
        <v>1658</v>
      </c>
      <c r="K2055" s="8">
        <f t="shared" si="239"/>
        <v>178.9</v>
      </c>
      <c r="M2055" s="931"/>
      <c r="N2055" s="929"/>
      <c r="O2055" s="930" t="s">
        <v>4924</v>
      </c>
      <c r="P2055" s="931"/>
      <c r="Q2055" s="932"/>
      <c r="R2055" s="931"/>
    </row>
    <row r="2056" spans="6:18" ht="24" customHeight="1">
      <c r="F2056" s="8">
        <v>0.5</v>
      </c>
      <c r="G2056" s="7" t="s">
        <v>835</v>
      </c>
      <c r="H2056" s="1" t="s">
        <v>2024</v>
      </c>
      <c r="I2056" s="8">
        <f>(C15)</f>
        <v>747</v>
      </c>
      <c r="J2056" s="1" t="s">
        <v>1658</v>
      </c>
      <c r="K2056" s="8">
        <f t="shared" si="239"/>
        <v>373.5</v>
      </c>
      <c r="M2056" s="931"/>
      <c r="N2056" s="929"/>
      <c r="O2056" s="930" t="s">
        <v>4925</v>
      </c>
      <c r="P2056" s="931"/>
      <c r="Q2056" s="932"/>
      <c r="R2056" s="931"/>
    </row>
    <row r="2057" spans="6:18" ht="24" customHeight="1">
      <c r="F2057" s="8">
        <v>0.5</v>
      </c>
      <c r="G2057" s="7" t="s">
        <v>835</v>
      </c>
      <c r="H2057" s="1" t="s">
        <v>1654</v>
      </c>
      <c r="I2057" s="8">
        <f>(C11)</f>
        <v>804</v>
      </c>
      <c r="J2057" s="1" t="s">
        <v>1658</v>
      </c>
      <c r="K2057" s="8">
        <f t="shared" si="239"/>
        <v>402</v>
      </c>
      <c r="M2057" s="931"/>
      <c r="N2057" s="929"/>
      <c r="O2057" s="930" t="s">
        <v>4926</v>
      </c>
      <c r="P2057" s="935">
        <f>2*18*0.6*0.075*0.0375</f>
        <v>6.0999999999999999E-2</v>
      </c>
      <c r="Q2057" s="932"/>
      <c r="R2057" s="931"/>
    </row>
    <row r="2058" spans="6:18" ht="24" customHeight="1">
      <c r="F2058" s="8">
        <v>0.5</v>
      </c>
      <c r="G2058" s="7" t="s">
        <v>835</v>
      </c>
      <c r="H2058" s="1" t="s">
        <v>1836</v>
      </c>
      <c r="I2058" s="8">
        <f>(C12)</f>
        <v>562</v>
      </c>
      <c r="J2058" s="1" t="s">
        <v>1658</v>
      </c>
      <c r="K2058" s="8">
        <f t="shared" si="239"/>
        <v>281</v>
      </c>
      <c r="M2058" s="931"/>
      <c r="N2058" s="929"/>
      <c r="O2058" s="930" t="s">
        <v>4927</v>
      </c>
      <c r="P2058" s="935">
        <f>2*18*0.69*0.075*0.0375</f>
        <v>7.0000000000000007E-2</v>
      </c>
      <c r="Q2058" s="932"/>
      <c r="R2058" s="931"/>
    </row>
    <row r="2059" spans="6:18" ht="24" customHeight="1">
      <c r="G2059" s="7" t="s">
        <v>419</v>
      </c>
      <c r="H2059" s="1" t="s">
        <v>1466</v>
      </c>
      <c r="I2059" s="487">
        <v>2.79</v>
      </c>
      <c r="J2059" s="1" t="s">
        <v>419</v>
      </c>
      <c r="K2059" s="8">
        <v>2.79</v>
      </c>
      <c r="M2059" s="931"/>
      <c r="N2059" s="929"/>
      <c r="O2059" s="930"/>
      <c r="P2059" s="936">
        <f>SUM(P2057:P2058)</f>
        <v>0.13100000000000001</v>
      </c>
      <c r="Q2059" s="932"/>
      <c r="R2059" s="931"/>
    </row>
    <row r="2060" spans="6:18" ht="24" customHeight="1">
      <c r="H2060" s="1" t="s">
        <v>82</v>
      </c>
      <c r="M2060" s="931"/>
      <c r="N2060" s="929"/>
      <c r="O2060" s="930" t="s">
        <v>4928</v>
      </c>
      <c r="P2060" s="931"/>
      <c r="Q2060" s="932"/>
      <c r="R2060" s="931"/>
    </row>
    <row r="2061" spans="6:18" ht="24" customHeight="1">
      <c r="H2061" s="1" t="s">
        <v>184</v>
      </c>
      <c r="M2061" s="931"/>
      <c r="N2061" s="929"/>
      <c r="O2061" s="930" t="s">
        <v>4929</v>
      </c>
      <c r="P2061" s="935">
        <f>2*6*0.66*0.075*0.0375</f>
        <v>2.1999999999999999E-2</v>
      </c>
      <c r="Q2061" s="932"/>
      <c r="R2061" s="931"/>
    </row>
    <row r="2062" spans="6:18" ht="24" customHeight="1">
      <c r="H2062" s="1" t="s">
        <v>703</v>
      </c>
      <c r="J2062" s="1" t="s">
        <v>419</v>
      </c>
      <c r="K2062" s="8">
        <v>0.12</v>
      </c>
      <c r="M2062" s="931"/>
      <c r="N2062" s="929"/>
      <c r="O2062" s="930" t="s">
        <v>4930</v>
      </c>
      <c r="P2062" s="935">
        <f>2*6*0.69*0.075*0.0375</f>
        <v>2.3E-2</v>
      </c>
      <c r="Q2062" s="932"/>
      <c r="R2062" s="931"/>
    </row>
    <row r="2063" spans="6:18" ht="24" customHeight="1">
      <c r="K2063" s="5" t="s">
        <v>1530</v>
      </c>
      <c r="M2063" s="931"/>
      <c r="N2063" s="929"/>
      <c r="O2063" s="930"/>
      <c r="P2063" s="936">
        <f>SUM(P2061:P2062)</f>
        <v>4.4999999999999998E-2</v>
      </c>
      <c r="Q2063" s="932"/>
      <c r="R2063" s="931"/>
    </row>
    <row r="2064" spans="6:18" ht="24" customHeight="1">
      <c r="H2064" s="1" t="s">
        <v>1267</v>
      </c>
      <c r="K2064" s="8">
        <f>SUM(K2052:K2062)</f>
        <v>1971.86</v>
      </c>
      <c r="M2064" s="931"/>
      <c r="N2064" s="929"/>
      <c r="O2064" s="930"/>
      <c r="P2064" s="936">
        <f>P2059+P2063</f>
        <v>0.17599999999999999</v>
      </c>
      <c r="Q2064" s="932" t="s">
        <v>2070</v>
      </c>
      <c r="R2064" s="935">
        <f>P2064+P2054</f>
        <v>0.27200000000000002</v>
      </c>
    </row>
    <row r="2065" spans="6:18" ht="24" customHeight="1">
      <c r="K2065" s="5" t="s">
        <v>1530</v>
      </c>
      <c r="M2065" s="931"/>
      <c r="N2065" s="929"/>
      <c r="O2065" s="930" t="s">
        <v>4931</v>
      </c>
      <c r="P2065" s="931"/>
      <c r="Q2065" s="932"/>
      <c r="R2065" s="931"/>
    </row>
    <row r="2066" spans="6:18" ht="24" customHeight="1">
      <c r="H2066" s="1" t="s">
        <v>1490</v>
      </c>
      <c r="K2066" s="8">
        <f>(K2064/3)</f>
        <v>657.29</v>
      </c>
      <c r="M2066" s="931"/>
      <c r="N2066" s="929"/>
      <c r="O2066" s="930" t="s">
        <v>4932</v>
      </c>
      <c r="P2066" s="931">
        <f>1*18*0.54*0.45</f>
        <v>4.37</v>
      </c>
      <c r="Q2066" s="932"/>
      <c r="R2066" s="931"/>
    </row>
    <row r="2067" spans="6:18" ht="24" customHeight="1">
      <c r="K2067" s="5" t="s">
        <v>1530</v>
      </c>
      <c r="M2067" s="931"/>
      <c r="N2067" s="929"/>
      <c r="O2067" s="930" t="s">
        <v>4933</v>
      </c>
      <c r="P2067" s="931">
        <f>1*6*0.54*0.51</f>
        <v>1.65</v>
      </c>
      <c r="Q2067" s="932"/>
      <c r="R2067" s="931"/>
    </row>
    <row r="2068" spans="6:18" ht="24" customHeight="1">
      <c r="F2068" s="2" t="s">
        <v>704</v>
      </c>
      <c r="G2068" s="7" t="s">
        <v>267</v>
      </c>
      <c r="H2068" s="1" t="s">
        <v>705</v>
      </c>
      <c r="M2068" s="931"/>
      <c r="N2068" s="929"/>
      <c r="O2068" s="930"/>
      <c r="P2068" s="937">
        <f>SUM(P2066:P2067)</f>
        <v>6.02</v>
      </c>
      <c r="Q2068" s="932" t="s">
        <v>2199</v>
      </c>
      <c r="R2068" s="931"/>
    </row>
    <row r="2069" spans="6:18" ht="24" customHeight="1">
      <c r="H2069" s="1" t="s">
        <v>2041</v>
      </c>
      <c r="M2069" s="931"/>
      <c r="N2069" s="929"/>
      <c r="O2069" s="930"/>
      <c r="P2069" s="931"/>
      <c r="Q2069" s="932"/>
      <c r="R2069" s="931"/>
    </row>
    <row r="2070" spans="6:18" ht="24" customHeight="1">
      <c r="H2070" s="1" t="s">
        <v>911</v>
      </c>
      <c r="M2070" s="931"/>
      <c r="N2070" s="929"/>
      <c r="O2070" s="930" t="s">
        <v>4934</v>
      </c>
      <c r="P2070" s="931">
        <f>3.78*1.95</f>
        <v>7.37</v>
      </c>
      <c r="Q2070" s="932" t="s">
        <v>2199</v>
      </c>
      <c r="R2070" s="938" t="s">
        <v>940</v>
      </c>
    </row>
    <row r="2071" spans="6:18" ht="24" customHeight="1">
      <c r="H2071" s="1" t="s">
        <v>706</v>
      </c>
      <c r="M2071" s="931"/>
      <c r="N2071" s="929"/>
      <c r="O2071" s="930"/>
      <c r="P2071" s="931"/>
      <c r="Q2071" s="932"/>
      <c r="R2071" s="938"/>
    </row>
    <row r="2072" spans="6:18" ht="24" customHeight="1">
      <c r="H2072" s="1" t="s">
        <v>507</v>
      </c>
      <c r="M2072" s="931"/>
      <c r="N2072" s="929"/>
      <c r="O2072" s="930" t="s">
        <v>4935</v>
      </c>
      <c r="P2072" s="931">
        <f>18*2</f>
        <v>36</v>
      </c>
      <c r="Q2072" s="932" t="s">
        <v>1337</v>
      </c>
      <c r="R2072" s="938"/>
    </row>
    <row r="2073" spans="6:18" ht="24" customHeight="1">
      <c r="H2073" s="1" t="s">
        <v>2026</v>
      </c>
      <c r="M2073" s="931"/>
      <c r="N2073" s="929"/>
      <c r="O2073" s="930" t="s">
        <v>4936</v>
      </c>
      <c r="P2073" s="931">
        <f>18*1</f>
        <v>18</v>
      </c>
      <c r="Q2073" s="932" t="s">
        <v>1337</v>
      </c>
      <c r="R2073" s="938"/>
    </row>
    <row r="2074" spans="6:18" ht="24" customHeight="1">
      <c r="H2074" s="1" t="s">
        <v>192</v>
      </c>
      <c r="M2074" s="931"/>
      <c r="N2074" s="929"/>
      <c r="O2074" s="939" t="s">
        <v>4135</v>
      </c>
      <c r="P2074" s="931">
        <f>18*1</f>
        <v>18</v>
      </c>
      <c r="Q2074" s="932" t="s">
        <v>1337</v>
      </c>
      <c r="R2074" s="938"/>
    </row>
    <row r="2075" spans="6:18" ht="24" customHeight="1">
      <c r="H2075" s="5" t="s">
        <v>1530</v>
      </c>
      <c r="M2075" s="931"/>
      <c r="N2075" s="929"/>
      <c r="O2075" s="930" t="s">
        <v>4937</v>
      </c>
      <c r="P2075" s="931">
        <f>3.93*2.6*2.1</f>
        <v>21.46</v>
      </c>
      <c r="Q2075" s="932" t="s">
        <v>2199</v>
      </c>
      <c r="R2075" s="938"/>
    </row>
    <row r="2076" spans="6:18" ht="24" customHeight="1">
      <c r="F2076" s="8">
        <v>3</v>
      </c>
      <c r="G2076" s="7" t="s">
        <v>1714</v>
      </c>
      <c r="H2076" s="1" t="s">
        <v>969</v>
      </c>
      <c r="I2076" s="545">
        <f>C624</f>
        <v>115.85</v>
      </c>
      <c r="J2076" s="1" t="s">
        <v>1714</v>
      </c>
      <c r="K2076" s="8">
        <f t="shared" ref="K2076:K2082" si="240">(F2076*I2076)</f>
        <v>347.55</v>
      </c>
      <c r="M2076" s="931"/>
      <c r="N2076" s="929"/>
      <c r="O2076" s="931"/>
      <c r="P2076" s="931"/>
      <c r="Q2076" s="932"/>
      <c r="R2076" s="931"/>
    </row>
    <row r="2077" spans="6:18" ht="24" customHeight="1">
      <c r="F2077" s="8">
        <v>1</v>
      </c>
      <c r="G2077" s="7" t="s">
        <v>739</v>
      </c>
      <c r="H2077" s="1" t="s">
        <v>970</v>
      </c>
      <c r="I2077" s="545">
        <f>C627</f>
        <v>45</v>
      </c>
      <c r="J2077" s="1" t="s">
        <v>1658</v>
      </c>
      <c r="K2077" s="8">
        <f t="shared" si="240"/>
        <v>45</v>
      </c>
      <c r="M2077" s="940">
        <f>P2054</f>
        <v>9.6000000000000002E-2</v>
      </c>
      <c r="N2077" s="941" t="s">
        <v>836</v>
      </c>
      <c r="O2077" s="930" t="s">
        <v>660</v>
      </c>
      <c r="P2077" s="942">
        <f>I3103</f>
        <v>111600</v>
      </c>
      <c r="Q2077" s="930" t="s">
        <v>836</v>
      </c>
      <c r="R2077" s="942">
        <f t="shared" ref="R2077:R2086" si="241">(M2077*P2077)</f>
        <v>10713.6</v>
      </c>
    </row>
    <row r="2078" spans="6:18" ht="24" customHeight="1">
      <c r="F2078" s="8">
        <v>1</v>
      </c>
      <c r="G2078" s="7" t="s">
        <v>739</v>
      </c>
      <c r="H2078" s="1" t="s">
        <v>971</v>
      </c>
      <c r="I2078" s="8">
        <f>C652</f>
        <v>52.9</v>
      </c>
      <c r="J2078" s="1" t="s">
        <v>1658</v>
      </c>
      <c r="K2078" s="8">
        <f t="shared" si="240"/>
        <v>52.9</v>
      </c>
      <c r="M2078" s="940">
        <f>P2064</f>
        <v>0.17599999999999999</v>
      </c>
      <c r="N2078" s="941" t="s">
        <v>836</v>
      </c>
      <c r="O2078" s="930" t="s">
        <v>661</v>
      </c>
      <c r="P2078" s="942">
        <f t="shared" ref="P2078:P2086" si="242">I3104</f>
        <v>99400</v>
      </c>
      <c r="Q2078" s="930" t="s">
        <v>836</v>
      </c>
      <c r="R2078" s="942">
        <f t="shared" si="241"/>
        <v>17494.400000000001</v>
      </c>
    </row>
    <row r="2079" spans="6:18" ht="24" customHeight="1">
      <c r="F2079" s="8">
        <v>1</v>
      </c>
      <c r="G2079" s="7" t="s">
        <v>739</v>
      </c>
      <c r="H2079" s="1" t="s">
        <v>83</v>
      </c>
      <c r="I2079" s="8">
        <f>C649</f>
        <v>119.3</v>
      </c>
      <c r="J2079" s="1" t="s">
        <v>1658</v>
      </c>
      <c r="K2079" s="8">
        <f t="shared" si="240"/>
        <v>119.3</v>
      </c>
      <c r="M2079" s="940">
        <f>SUM(M2077:M2078)</f>
        <v>0.27200000000000002</v>
      </c>
      <c r="N2079" s="941" t="s">
        <v>836</v>
      </c>
      <c r="O2079" s="930" t="s">
        <v>853</v>
      </c>
      <c r="P2079" s="942">
        <f t="shared" si="242"/>
        <v>11800</v>
      </c>
      <c r="Q2079" s="930" t="s">
        <v>836</v>
      </c>
      <c r="R2079" s="942">
        <f t="shared" si="241"/>
        <v>3209.6</v>
      </c>
    </row>
    <row r="2080" spans="6:18" ht="24" customHeight="1">
      <c r="F2080" s="8">
        <v>0.5</v>
      </c>
      <c r="G2080" s="7" t="s">
        <v>835</v>
      </c>
      <c r="H2080" s="1" t="s">
        <v>2024</v>
      </c>
      <c r="I2080" s="8">
        <f>(C15)</f>
        <v>747</v>
      </c>
      <c r="J2080" s="1" t="s">
        <v>1658</v>
      </c>
      <c r="K2080" s="8">
        <f t="shared" si="240"/>
        <v>373.5</v>
      </c>
      <c r="M2080" s="940">
        <f>P2068</f>
        <v>6.02</v>
      </c>
      <c r="N2080" s="941" t="s">
        <v>578</v>
      </c>
      <c r="O2080" s="930" t="s">
        <v>4938</v>
      </c>
      <c r="P2080" s="942">
        <f t="shared" si="242"/>
        <v>387.4</v>
      </c>
      <c r="Q2080" s="930" t="s">
        <v>578</v>
      </c>
      <c r="R2080" s="942">
        <f t="shared" si="241"/>
        <v>2332.15</v>
      </c>
    </row>
    <row r="2081" spans="6:18" ht="24" customHeight="1">
      <c r="F2081" s="8">
        <v>0.5</v>
      </c>
      <c r="G2081" s="7" t="s">
        <v>835</v>
      </c>
      <c r="H2081" s="1" t="s">
        <v>1654</v>
      </c>
      <c r="I2081" s="8">
        <f>(C11)</f>
        <v>804</v>
      </c>
      <c r="J2081" s="1" t="s">
        <v>1658</v>
      </c>
      <c r="K2081" s="8">
        <f t="shared" si="240"/>
        <v>402</v>
      </c>
      <c r="M2081" s="940">
        <f>P2070</f>
        <v>7.37</v>
      </c>
      <c r="N2081" s="941" t="s">
        <v>578</v>
      </c>
      <c r="O2081" s="930" t="s">
        <v>1449</v>
      </c>
      <c r="P2081" s="942">
        <f t="shared" si="242"/>
        <v>1105</v>
      </c>
      <c r="Q2081" s="930" t="s">
        <v>578</v>
      </c>
      <c r="R2081" s="942">
        <f t="shared" si="241"/>
        <v>8143.85</v>
      </c>
    </row>
    <row r="2082" spans="6:18" ht="24" customHeight="1">
      <c r="F2082" s="8">
        <v>0.5</v>
      </c>
      <c r="G2082" s="7" t="s">
        <v>835</v>
      </c>
      <c r="H2082" s="1" t="s">
        <v>1836</v>
      </c>
      <c r="I2082" s="8">
        <f>(C12)</f>
        <v>562</v>
      </c>
      <c r="J2082" s="1" t="s">
        <v>1658</v>
      </c>
      <c r="K2082" s="8">
        <f t="shared" si="240"/>
        <v>281</v>
      </c>
      <c r="M2082" s="942">
        <f>P2072</f>
        <v>36</v>
      </c>
      <c r="N2082" s="941" t="s">
        <v>835</v>
      </c>
      <c r="O2082" s="930" t="s">
        <v>1291</v>
      </c>
      <c r="P2082" s="942">
        <f t="shared" si="242"/>
        <v>52.8</v>
      </c>
      <c r="Q2082" s="930" t="s">
        <v>835</v>
      </c>
      <c r="R2082" s="942">
        <f t="shared" si="241"/>
        <v>1900.8</v>
      </c>
    </row>
    <row r="2083" spans="6:18" ht="24" customHeight="1">
      <c r="G2083" s="7" t="s">
        <v>419</v>
      </c>
      <c r="H2083" s="1" t="s">
        <v>1466</v>
      </c>
      <c r="I2083" s="1" t="s">
        <v>940</v>
      </c>
      <c r="J2083" s="1" t="s">
        <v>419</v>
      </c>
      <c r="K2083" s="8">
        <v>2.73</v>
      </c>
      <c r="M2083" s="942">
        <f>P2073</f>
        <v>18</v>
      </c>
      <c r="N2083" s="941" t="s">
        <v>835</v>
      </c>
      <c r="O2083" s="930" t="s">
        <v>4939</v>
      </c>
      <c r="P2083" s="942">
        <f t="shared" si="242"/>
        <v>45.7</v>
      </c>
      <c r="Q2083" s="930" t="s">
        <v>835</v>
      </c>
      <c r="R2083" s="942">
        <f t="shared" si="241"/>
        <v>822.6</v>
      </c>
    </row>
    <row r="2084" spans="6:18" ht="24" customHeight="1">
      <c r="H2084" s="1" t="s">
        <v>82</v>
      </c>
      <c r="M2084" s="942">
        <f>P2074</f>
        <v>18</v>
      </c>
      <c r="N2084" s="941" t="s">
        <v>835</v>
      </c>
      <c r="O2084" s="939" t="s">
        <v>4940</v>
      </c>
      <c r="P2084" s="942">
        <f t="shared" si="242"/>
        <v>56.4</v>
      </c>
      <c r="Q2084" s="930" t="s">
        <v>835</v>
      </c>
      <c r="R2084" s="942">
        <f t="shared" si="241"/>
        <v>1015.2</v>
      </c>
    </row>
    <row r="2085" spans="6:18" ht="24" customHeight="1">
      <c r="H2085" s="1" t="s">
        <v>184</v>
      </c>
      <c r="M2085" s="942">
        <f>P2075</f>
        <v>21.46</v>
      </c>
      <c r="N2085" s="941" t="s">
        <v>578</v>
      </c>
      <c r="O2085" s="930" t="s">
        <v>4941</v>
      </c>
      <c r="P2085" s="942">
        <f t="shared" si="242"/>
        <v>63.2</v>
      </c>
      <c r="Q2085" s="930" t="s">
        <v>578</v>
      </c>
      <c r="R2085" s="942">
        <f t="shared" si="241"/>
        <v>1356.27</v>
      </c>
    </row>
    <row r="2086" spans="6:18" ht="24" customHeight="1">
      <c r="H2086" s="1" t="s">
        <v>703</v>
      </c>
      <c r="J2086" s="1" t="s">
        <v>419</v>
      </c>
      <c r="K2086" s="8">
        <v>0.27</v>
      </c>
      <c r="M2086" s="931">
        <v>50</v>
      </c>
      <c r="N2086" s="941" t="s">
        <v>1375</v>
      </c>
      <c r="O2086" s="930" t="s">
        <v>1357</v>
      </c>
      <c r="P2086" s="942">
        <f t="shared" si="242"/>
        <v>212.24</v>
      </c>
      <c r="Q2086" s="932" t="s">
        <v>835</v>
      </c>
      <c r="R2086" s="942">
        <f t="shared" si="241"/>
        <v>10612</v>
      </c>
    </row>
    <row r="2087" spans="6:18" ht="24" customHeight="1">
      <c r="K2087" s="5" t="s">
        <v>1530</v>
      </c>
      <c r="M2087" s="931"/>
      <c r="N2087" s="929"/>
      <c r="O2087" s="931"/>
      <c r="P2087" s="931"/>
      <c r="Q2087" s="932"/>
      <c r="R2087" s="933" t="s">
        <v>1530</v>
      </c>
    </row>
    <row r="2088" spans="6:18" ht="24" customHeight="1">
      <c r="H2088" s="1" t="s">
        <v>1267</v>
      </c>
      <c r="K2088" s="8">
        <f>SUM(K2076:K2086)</f>
        <v>1624.25</v>
      </c>
      <c r="M2088" s="931"/>
      <c r="N2088" s="929"/>
      <c r="O2088" s="943" t="s">
        <v>1358</v>
      </c>
      <c r="P2088" s="931"/>
      <c r="Q2088" s="932"/>
      <c r="R2088" s="942">
        <f>SUM(R2077:R2086)</f>
        <v>57600.47</v>
      </c>
    </row>
    <row r="2089" spans="6:18" ht="24" customHeight="1">
      <c r="K2089" s="5" t="s">
        <v>1530</v>
      </c>
      <c r="M2089" s="931"/>
      <c r="N2089" s="941" t="s">
        <v>940</v>
      </c>
      <c r="O2089" s="931"/>
      <c r="P2089" s="931"/>
      <c r="Q2089" s="932"/>
      <c r="R2089" s="933" t="s">
        <v>1530</v>
      </c>
    </row>
    <row r="2090" spans="6:18" ht="24" customHeight="1">
      <c r="H2090" s="1" t="s">
        <v>1490</v>
      </c>
      <c r="K2090" s="8">
        <f>(K2088/3)</f>
        <v>541.41999999999996</v>
      </c>
      <c r="M2090" s="931"/>
      <c r="N2090" s="929"/>
      <c r="O2090" s="944" t="s">
        <v>521</v>
      </c>
      <c r="P2090" s="931"/>
      <c r="Q2090" s="932"/>
      <c r="R2090" s="945">
        <f>R2088/P2050</f>
        <v>6981.88</v>
      </c>
    </row>
    <row r="2091" spans="6:18" ht="24" customHeight="1">
      <c r="K2091" s="5" t="s">
        <v>1530</v>
      </c>
      <c r="M2091" s="931"/>
      <c r="N2091" s="929"/>
      <c r="O2091" s="931"/>
      <c r="P2091" s="931"/>
      <c r="Q2091" s="932"/>
      <c r="R2091" s="933" t="s">
        <v>1980</v>
      </c>
    </row>
    <row r="2092" spans="6:18" ht="24" customHeight="1">
      <c r="F2092" s="2" t="s">
        <v>84</v>
      </c>
      <c r="H2092" s="1" t="s">
        <v>199</v>
      </c>
      <c r="M2092" s="931"/>
      <c r="N2092" s="931"/>
      <c r="O2092" s="931"/>
      <c r="P2092" s="931"/>
      <c r="Q2092" s="931"/>
      <c r="R2092" s="931"/>
    </row>
    <row r="2093" spans="6:18" ht="24" customHeight="1">
      <c r="H2093" s="1" t="s">
        <v>1755</v>
      </c>
    </row>
    <row r="2094" spans="6:18" ht="24" customHeight="1">
      <c r="F2094" s="1" t="s">
        <v>940</v>
      </c>
      <c r="H2094" s="1" t="s">
        <v>2113</v>
      </c>
    </row>
    <row r="2095" spans="6:18" ht="24" customHeight="1">
      <c r="H2095" s="5" t="s">
        <v>1530</v>
      </c>
      <c r="M2095" s="946"/>
      <c r="N2095" s="946"/>
      <c r="O2095" s="946" t="s">
        <v>4942</v>
      </c>
      <c r="P2095" s="946"/>
      <c r="Q2095" s="946"/>
      <c r="R2095" s="946"/>
    </row>
    <row r="2096" spans="6:18" ht="24" customHeight="1">
      <c r="F2096" s="8">
        <v>3</v>
      </c>
      <c r="G2096" s="7" t="s">
        <v>2114</v>
      </c>
      <c r="H2096" s="1" t="s">
        <v>2115</v>
      </c>
      <c r="I2096" s="545">
        <f>D623</f>
        <v>120.54</v>
      </c>
      <c r="J2096" s="1" t="s">
        <v>2114</v>
      </c>
      <c r="K2096" s="8">
        <f>(F2096*I2096)</f>
        <v>361.62</v>
      </c>
      <c r="M2096" s="947">
        <v>8.5000000000000006E-2</v>
      </c>
      <c r="N2096" s="946" t="s">
        <v>2070</v>
      </c>
      <c r="O2096" s="946" t="s">
        <v>4943</v>
      </c>
      <c r="P2096" s="946">
        <f>Y691</f>
        <v>7584.57</v>
      </c>
      <c r="Q2096" s="946" t="s">
        <v>1341</v>
      </c>
      <c r="R2096" s="946">
        <f>M2096*P2096</f>
        <v>644.69000000000005</v>
      </c>
    </row>
    <row r="2097" spans="6:18" ht="24" customHeight="1">
      <c r="F2097" s="8">
        <v>1</v>
      </c>
      <c r="G2097" s="7" t="s">
        <v>1703</v>
      </c>
      <c r="H2097" s="1" t="s">
        <v>2116</v>
      </c>
      <c r="I2097" s="8">
        <f>C651</f>
        <v>78.400000000000006</v>
      </c>
      <c r="J2097" s="1" t="s">
        <v>1703</v>
      </c>
      <c r="K2097" s="8">
        <f>(F2097*I2097)</f>
        <v>78.400000000000006</v>
      </c>
      <c r="M2097" s="946">
        <v>8.5</v>
      </c>
      <c r="N2097" s="946" t="s">
        <v>1591</v>
      </c>
      <c r="O2097" s="946" t="s">
        <v>4944</v>
      </c>
      <c r="P2097" s="946">
        <f>K1611/1000</f>
        <v>77.59</v>
      </c>
      <c r="Q2097" s="946" t="s">
        <v>1591</v>
      </c>
      <c r="R2097" s="946">
        <f>M2097*P2097</f>
        <v>659.52</v>
      </c>
    </row>
    <row r="2098" spans="6:18" ht="24" customHeight="1">
      <c r="F2098" s="8">
        <v>1</v>
      </c>
      <c r="G2098" s="7" t="s">
        <v>1703</v>
      </c>
      <c r="H2098" s="1" t="s">
        <v>2117</v>
      </c>
      <c r="I2098" s="8">
        <v>8</v>
      </c>
      <c r="J2098" s="1" t="s">
        <v>1703</v>
      </c>
      <c r="K2098" s="8">
        <f>(F2098*I2098)</f>
        <v>8</v>
      </c>
      <c r="M2098" s="946"/>
      <c r="N2098" s="946"/>
      <c r="O2098" s="946" t="s">
        <v>2187</v>
      </c>
      <c r="P2098" s="946"/>
      <c r="Q2098" s="946"/>
      <c r="R2098" s="948" t="s">
        <v>1530</v>
      </c>
    </row>
    <row r="2099" spans="6:18" ht="24" customHeight="1">
      <c r="F2099" s="2" t="s">
        <v>702</v>
      </c>
      <c r="H2099" s="1" t="s">
        <v>2118</v>
      </c>
      <c r="I2099" s="2" t="s">
        <v>702</v>
      </c>
      <c r="K2099" s="8">
        <f>1.21+0.47+0.4</f>
        <v>2.08</v>
      </c>
      <c r="M2099" s="946"/>
      <c r="N2099" s="946"/>
      <c r="O2099" s="946"/>
      <c r="P2099" s="946"/>
      <c r="Q2099" s="946"/>
      <c r="R2099" s="946">
        <f>SUM(R2096:R2098)</f>
        <v>1304.21</v>
      </c>
    </row>
    <row r="2100" spans="6:18" ht="24" customHeight="1">
      <c r="K2100" s="5" t="s">
        <v>1530</v>
      </c>
    </row>
    <row r="2101" spans="6:18" ht="24" customHeight="1">
      <c r="H2101" s="1" t="s">
        <v>367</v>
      </c>
      <c r="K2101" s="8">
        <f>SUM(K2096:K2099)</f>
        <v>450.1</v>
      </c>
    </row>
    <row r="2102" spans="6:18" ht="24" customHeight="1">
      <c r="K2102" s="5" t="s">
        <v>1530</v>
      </c>
    </row>
    <row r="2104" spans="6:18" ht="24" customHeight="1">
      <c r="F2104" s="2" t="s">
        <v>368</v>
      </c>
      <c r="G2104" s="7" t="s">
        <v>2167</v>
      </c>
      <c r="H2104" s="1" t="s">
        <v>1093</v>
      </c>
    </row>
    <row r="2105" spans="6:18" ht="24" customHeight="1">
      <c r="H2105" s="1" t="s">
        <v>276</v>
      </c>
    </row>
    <row r="2106" spans="6:18" ht="24" customHeight="1">
      <c r="H2106" s="5" t="s">
        <v>1530</v>
      </c>
    </row>
    <row r="2107" spans="6:18" ht="24" customHeight="1">
      <c r="F2107" s="8">
        <v>1</v>
      </c>
      <c r="G2107" s="7" t="s">
        <v>835</v>
      </c>
      <c r="H2107" s="1" t="s">
        <v>276</v>
      </c>
      <c r="I2107" s="8">
        <f>(C269)</f>
        <v>168.7</v>
      </c>
      <c r="J2107" s="1" t="s">
        <v>835</v>
      </c>
      <c r="K2107" s="8">
        <f>(F2107*I2107)</f>
        <v>168.7</v>
      </c>
    </row>
    <row r="2108" spans="6:18" ht="24" customHeight="1">
      <c r="F2108" s="8">
        <v>0.05</v>
      </c>
      <c r="G2108" s="7" t="s">
        <v>836</v>
      </c>
      <c r="H2108" s="1" t="s">
        <v>1136</v>
      </c>
      <c r="I2108" s="8">
        <f>(R50)</f>
        <v>3587.43</v>
      </c>
      <c r="J2108" s="1" t="s">
        <v>836</v>
      </c>
      <c r="K2108" s="8">
        <f>(F2108*I2108)</f>
        <v>179.37</v>
      </c>
    </row>
    <row r="2109" spans="6:18" ht="24" customHeight="1">
      <c r="F2109" s="8">
        <v>0.5</v>
      </c>
      <c r="G2109" s="7" t="s">
        <v>835</v>
      </c>
      <c r="H2109" s="1" t="s">
        <v>2024</v>
      </c>
      <c r="I2109" s="8">
        <f>(C15)</f>
        <v>747</v>
      </c>
      <c r="J2109" s="1" t="s">
        <v>835</v>
      </c>
      <c r="K2109" s="8">
        <f>(F2109*I2109)</f>
        <v>373.5</v>
      </c>
    </row>
    <row r="2110" spans="6:18" ht="24" customHeight="1">
      <c r="F2110" s="8">
        <v>1</v>
      </c>
      <c r="G2110" s="7" t="s">
        <v>835</v>
      </c>
      <c r="H2110" s="1" t="s">
        <v>1836</v>
      </c>
      <c r="I2110" s="8">
        <f>(C12)</f>
        <v>562</v>
      </c>
      <c r="J2110" s="1" t="s">
        <v>835</v>
      </c>
      <c r="K2110" s="8">
        <f>(F2110*I2110)</f>
        <v>562</v>
      </c>
    </row>
    <row r="2111" spans="6:18" ht="24" customHeight="1">
      <c r="F2111" s="8">
        <v>1</v>
      </c>
      <c r="G2111" s="7" t="s">
        <v>835</v>
      </c>
      <c r="H2111" s="1" t="s">
        <v>299</v>
      </c>
      <c r="I2111" s="8">
        <f>(C13)</f>
        <v>461</v>
      </c>
      <c r="J2111" s="1" t="s">
        <v>835</v>
      </c>
      <c r="K2111" s="8">
        <f>(F2111*I2111)</f>
        <v>461</v>
      </c>
    </row>
    <row r="2112" spans="6:18" ht="24" customHeight="1">
      <c r="G2112" s="7" t="s">
        <v>419</v>
      </c>
      <c r="H2112" s="1" t="s">
        <v>420</v>
      </c>
      <c r="I2112" s="1" t="s">
        <v>940</v>
      </c>
      <c r="J2112" s="1" t="s">
        <v>419</v>
      </c>
      <c r="K2112" s="8">
        <v>0.54</v>
      </c>
    </row>
    <row r="2113" spans="6:11" ht="24" customHeight="1">
      <c r="H2113" s="1" t="s">
        <v>940</v>
      </c>
      <c r="K2113" s="5" t="s">
        <v>1530</v>
      </c>
    </row>
    <row r="2114" spans="6:11" ht="24" customHeight="1">
      <c r="H2114" s="1" t="s">
        <v>1694</v>
      </c>
      <c r="K2114" s="8">
        <f>SUM(K2107:K2112)</f>
        <v>1745.11</v>
      </c>
    </row>
    <row r="2115" spans="6:11" ht="24" customHeight="1">
      <c r="K2115" s="5" t="s">
        <v>1980</v>
      </c>
    </row>
    <row r="2116" spans="6:11" ht="24" customHeight="1">
      <c r="F2116" s="2" t="s">
        <v>1137</v>
      </c>
      <c r="G2116" s="7" t="s">
        <v>2167</v>
      </c>
      <c r="H2116" s="1" t="s">
        <v>2142</v>
      </c>
    </row>
    <row r="2117" spans="6:11" ht="24" customHeight="1">
      <c r="H2117" s="1" t="s">
        <v>2042</v>
      </c>
    </row>
    <row r="2118" spans="6:11" ht="24" customHeight="1">
      <c r="H2118" s="5" t="s">
        <v>1530</v>
      </c>
    </row>
    <row r="2119" spans="6:11" ht="24" customHeight="1">
      <c r="F2119" s="8">
        <v>1</v>
      </c>
      <c r="G2119" s="7" t="s">
        <v>835</v>
      </c>
      <c r="H2119" s="1" t="s">
        <v>2143</v>
      </c>
      <c r="I2119" s="8">
        <f>(D270)</f>
        <v>148.6</v>
      </c>
      <c r="J2119" s="1" t="s">
        <v>835</v>
      </c>
      <c r="K2119" s="8">
        <f>(F2119*I2119)</f>
        <v>148.6</v>
      </c>
    </row>
    <row r="2120" spans="6:11" ht="24" customHeight="1">
      <c r="G2120" s="7" t="s">
        <v>419</v>
      </c>
      <c r="H2120" s="1" t="s">
        <v>1632</v>
      </c>
      <c r="J2120" s="1" t="s">
        <v>419</v>
      </c>
      <c r="K2120" s="8">
        <v>4</v>
      </c>
    </row>
    <row r="2121" spans="6:11" ht="24" customHeight="1">
      <c r="J2121" s="1" t="s">
        <v>940</v>
      </c>
      <c r="K2121" s="5" t="s">
        <v>1530</v>
      </c>
    </row>
    <row r="2122" spans="6:11" ht="24" customHeight="1">
      <c r="H2122" s="1" t="s">
        <v>1694</v>
      </c>
      <c r="K2122" s="8">
        <f>SUM(K2119:K2121)</f>
        <v>152.6</v>
      </c>
    </row>
    <row r="2123" spans="6:11" ht="24" customHeight="1">
      <c r="K2123" s="5" t="s">
        <v>1530</v>
      </c>
    </row>
    <row r="2124" spans="6:11" ht="24" customHeight="1">
      <c r="F2124" s="2" t="s">
        <v>1633</v>
      </c>
      <c r="G2124" s="7" t="s">
        <v>2167</v>
      </c>
      <c r="H2124" s="1" t="s">
        <v>50</v>
      </c>
    </row>
    <row r="2125" spans="6:11" ht="24" customHeight="1">
      <c r="H2125" s="1" t="s">
        <v>51</v>
      </c>
    </row>
    <row r="2126" spans="6:11" ht="24" customHeight="1">
      <c r="H2126" s="5" t="s">
        <v>1530</v>
      </c>
    </row>
    <row r="2127" spans="6:11" ht="24" customHeight="1">
      <c r="F2127" s="8">
        <v>50</v>
      </c>
      <c r="G2127" s="7" t="s">
        <v>835</v>
      </c>
      <c r="H2127" s="1" t="s">
        <v>760</v>
      </c>
      <c r="I2127" s="64">
        <f>C207</f>
        <v>62.8</v>
      </c>
      <c r="J2127" s="1" t="s">
        <v>835</v>
      </c>
      <c r="K2127" s="8">
        <f t="shared" ref="K2127:K2136" si="243">(F2127*I2127)</f>
        <v>3140</v>
      </c>
    </row>
    <row r="2128" spans="6:11" ht="24" customHeight="1">
      <c r="F2128" s="8">
        <v>21.6</v>
      </c>
      <c r="G2128" s="7" t="s">
        <v>836</v>
      </c>
      <c r="H2128" s="1" t="s">
        <v>761</v>
      </c>
      <c r="I2128" s="8">
        <f>(C64*2)</f>
        <v>193.2</v>
      </c>
      <c r="J2128" s="1" t="s">
        <v>836</v>
      </c>
      <c r="K2128" s="8">
        <f t="shared" si="243"/>
        <v>4173.12</v>
      </c>
    </row>
    <row r="2129" spans="6:11" ht="24" customHeight="1">
      <c r="F2129" s="8">
        <v>21.6</v>
      </c>
      <c r="G2129" s="7" t="s">
        <v>836</v>
      </c>
      <c r="H2129" s="1" t="s">
        <v>236</v>
      </c>
      <c r="I2129" s="8">
        <f>(C26)</f>
        <v>33.6</v>
      </c>
      <c r="J2129" s="1" t="s">
        <v>836</v>
      </c>
      <c r="K2129" s="8">
        <f t="shared" si="243"/>
        <v>725.76</v>
      </c>
    </row>
    <row r="2130" spans="6:11" ht="24" customHeight="1">
      <c r="F2130" s="8">
        <v>45</v>
      </c>
      <c r="G2130" s="7" t="s">
        <v>1591</v>
      </c>
      <c r="H2130" s="1" t="s">
        <v>829</v>
      </c>
      <c r="I2130" s="8">
        <f>(C70/1000)</f>
        <v>5.96</v>
      </c>
      <c r="J2130" s="1" t="s">
        <v>1591</v>
      </c>
      <c r="K2130" s="8">
        <f t="shared" si="243"/>
        <v>268.2</v>
      </c>
    </row>
    <row r="2131" spans="6:11" ht="24" customHeight="1">
      <c r="F2131" s="8">
        <v>0.04</v>
      </c>
      <c r="G2131" s="7" t="s">
        <v>836</v>
      </c>
      <c r="H2131" s="1" t="s">
        <v>837</v>
      </c>
      <c r="I2131" s="8">
        <f>(C81)</f>
        <v>1400.82</v>
      </c>
      <c r="J2131" s="1" t="s">
        <v>836</v>
      </c>
      <c r="K2131" s="8">
        <f t="shared" si="243"/>
        <v>56.03</v>
      </c>
    </row>
    <row r="2132" spans="6:11" ht="24" customHeight="1">
      <c r="F2132" s="8">
        <v>3.63</v>
      </c>
      <c r="G2132" s="7" t="s">
        <v>1591</v>
      </c>
      <c r="H2132" s="1" t="s">
        <v>762</v>
      </c>
      <c r="I2132" s="8">
        <f>(C610)</f>
        <v>11.7</v>
      </c>
      <c r="J2132" s="1" t="s">
        <v>1591</v>
      </c>
      <c r="K2132" s="8">
        <f t="shared" si="243"/>
        <v>42.47</v>
      </c>
    </row>
    <row r="2133" spans="6:11" ht="24" customHeight="1">
      <c r="F2133" s="8">
        <v>2</v>
      </c>
      <c r="G2133" s="7" t="s">
        <v>835</v>
      </c>
      <c r="H2133" s="1" t="s">
        <v>1938</v>
      </c>
      <c r="I2133" s="8">
        <f>(C10)</f>
        <v>861</v>
      </c>
      <c r="J2133" s="1" t="s">
        <v>835</v>
      </c>
      <c r="K2133" s="8">
        <f t="shared" si="243"/>
        <v>1722</v>
      </c>
    </row>
    <row r="2134" spans="6:11" ht="24" customHeight="1">
      <c r="F2134" s="8">
        <v>1</v>
      </c>
      <c r="G2134" s="7" t="s">
        <v>835</v>
      </c>
      <c r="H2134" s="1" t="s">
        <v>763</v>
      </c>
      <c r="I2134" s="8">
        <f>AE37</f>
        <v>747</v>
      </c>
      <c r="J2134" s="1" t="s">
        <v>835</v>
      </c>
      <c r="K2134" s="8">
        <f t="shared" si="243"/>
        <v>747</v>
      </c>
    </row>
    <row r="2135" spans="6:11" ht="24" customHeight="1">
      <c r="F2135" s="8">
        <v>5</v>
      </c>
      <c r="G2135" s="7" t="s">
        <v>835</v>
      </c>
      <c r="H2135" s="1" t="s">
        <v>1836</v>
      </c>
      <c r="I2135" s="8">
        <f>(C12)</f>
        <v>562</v>
      </c>
      <c r="J2135" s="1" t="s">
        <v>835</v>
      </c>
      <c r="K2135" s="8">
        <f t="shared" si="243"/>
        <v>2810</v>
      </c>
    </row>
    <row r="2136" spans="6:11" ht="24" customHeight="1">
      <c r="F2136" s="8">
        <v>2</v>
      </c>
      <c r="G2136" s="7" t="s">
        <v>835</v>
      </c>
      <c r="H2136" s="1" t="s">
        <v>299</v>
      </c>
      <c r="I2136" s="8">
        <f>(C13)</f>
        <v>461</v>
      </c>
      <c r="J2136" s="1" t="s">
        <v>835</v>
      </c>
      <c r="K2136" s="8">
        <f t="shared" si="243"/>
        <v>922</v>
      </c>
    </row>
    <row r="2137" spans="6:11" ht="24" customHeight="1">
      <c r="G2137" s="7" t="s">
        <v>419</v>
      </c>
      <c r="H2137" s="1" t="s">
        <v>2055</v>
      </c>
      <c r="J2137" s="1" t="s">
        <v>419</v>
      </c>
      <c r="K2137" s="8">
        <f>SUM(K2133:K2136)/10+7.5</f>
        <v>627.6</v>
      </c>
    </row>
    <row r="2138" spans="6:11" ht="24" customHeight="1">
      <c r="K2138" s="5" t="s">
        <v>1530</v>
      </c>
    </row>
    <row r="2139" spans="6:11" ht="24" customHeight="1">
      <c r="H2139" s="1" t="s">
        <v>2056</v>
      </c>
      <c r="K2139" s="8">
        <f>SUM(K2127:K2137)</f>
        <v>15234.18</v>
      </c>
    </row>
    <row r="2140" spans="6:11" ht="24" customHeight="1">
      <c r="K2140" s="5" t="s">
        <v>1530</v>
      </c>
    </row>
    <row r="2141" spans="6:11" ht="24" customHeight="1">
      <c r="H2141" s="1" t="s">
        <v>1083</v>
      </c>
      <c r="K2141" s="8">
        <f>(K2139/30)</f>
        <v>507.81</v>
      </c>
    </row>
    <row r="2142" spans="6:11" ht="24" customHeight="1">
      <c r="K2142" s="5" t="s">
        <v>1980</v>
      </c>
    </row>
    <row r="2144" spans="6:11" ht="24" customHeight="1">
      <c r="F2144" s="2" t="s">
        <v>1084</v>
      </c>
      <c r="G2144" s="7" t="s">
        <v>2167</v>
      </c>
      <c r="H2144" s="1" t="s">
        <v>985</v>
      </c>
    </row>
    <row r="2145" spans="6:18" ht="24" customHeight="1">
      <c r="H2145" s="1" t="s">
        <v>51</v>
      </c>
    </row>
    <row r="2146" spans="6:18" ht="24" customHeight="1">
      <c r="H2146" s="5" t="s">
        <v>1530</v>
      </c>
    </row>
    <row r="2147" spans="6:18" ht="24" customHeight="1">
      <c r="F2147" s="8">
        <v>50</v>
      </c>
      <c r="G2147" s="7" t="s">
        <v>835</v>
      </c>
      <c r="H2147" s="1" t="s">
        <v>537</v>
      </c>
      <c r="I2147" s="64">
        <f>C208</f>
        <v>101</v>
      </c>
      <c r="J2147" s="1" t="s">
        <v>835</v>
      </c>
      <c r="K2147" s="8">
        <f t="shared" ref="K2147:K2156" si="244">(F2147*I2147)</f>
        <v>5050</v>
      </c>
    </row>
    <row r="2148" spans="6:18" ht="24" customHeight="1">
      <c r="F2148" s="8">
        <v>21.6</v>
      </c>
      <c r="G2148" s="7" t="s">
        <v>836</v>
      </c>
      <c r="H2148" s="1" t="s">
        <v>761</v>
      </c>
      <c r="I2148" s="8">
        <f>(C64*2)</f>
        <v>193.2</v>
      </c>
      <c r="J2148" s="1" t="s">
        <v>836</v>
      </c>
      <c r="K2148" s="8">
        <f t="shared" si="244"/>
        <v>4173.12</v>
      </c>
    </row>
    <row r="2149" spans="6:18" ht="24" customHeight="1">
      <c r="F2149" s="8">
        <v>21.6</v>
      </c>
      <c r="G2149" s="7" t="s">
        <v>836</v>
      </c>
      <c r="H2149" s="1" t="s">
        <v>236</v>
      </c>
      <c r="I2149" s="8">
        <f>(C26)</f>
        <v>33.6</v>
      </c>
      <c r="J2149" s="1" t="s">
        <v>836</v>
      </c>
      <c r="K2149" s="8">
        <f t="shared" si="244"/>
        <v>725.76</v>
      </c>
    </row>
    <row r="2150" spans="6:18" ht="24" customHeight="1">
      <c r="F2150" s="8">
        <v>68</v>
      </c>
      <c r="G2150" s="7" t="s">
        <v>1591</v>
      </c>
      <c r="H2150" s="1" t="s">
        <v>829</v>
      </c>
      <c r="I2150" s="8">
        <f>(C70/1000)</f>
        <v>5.96</v>
      </c>
      <c r="J2150" s="1" t="s">
        <v>1591</v>
      </c>
      <c r="K2150" s="8">
        <f t="shared" si="244"/>
        <v>405.28</v>
      </c>
    </row>
    <row r="2151" spans="6:18" ht="24" customHeight="1">
      <c r="F2151" s="8">
        <v>7.0000000000000007E-2</v>
      </c>
      <c r="G2151" s="7" t="s">
        <v>836</v>
      </c>
      <c r="H2151" s="1" t="s">
        <v>837</v>
      </c>
      <c r="I2151" s="8">
        <f>(C81)</f>
        <v>1400.82</v>
      </c>
      <c r="J2151" s="1" t="s">
        <v>836</v>
      </c>
      <c r="K2151" s="8">
        <f t="shared" si="244"/>
        <v>98.06</v>
      </c>
      <c r="M2151" s="2" t="s">
        <v>1084</v>
      </c>
      <c r="N2151" s="7" t="s">
        <v>2167</v>
      </c>
      <c r="O2151" s="1" t="s">
        <v>708</v>
      </c>
      <c r="Q2151" s="11"/>
    </row>
    <row r="2152" spans="6:18" ht="24" customHeight="1">
      <c r="F2152" s="8">
        <v>5.45</v>
      </c>
      <c r="G2152" s="7" t="s">
        <v>1591</v>
      </c>
      <c r="H2152" s="1" t="s">
        <v>762</v>
      </c>
      <c r="I2152" s="8">
        <f>(C610)</f>
        <v>11.7</v>
      </c>
      <c r="J2152" s="1" t="s">
        <v>1591</v>
      </c>
      <c r="K2152" s="8">
        <f t="shared" si="244"/>
        <v>63.77</v>
      </c>
      <c r="N2152" s="3"/>
      <c r="O2152" s="1" t="s">
        <v>51</v>
      </c>
      <c r="Q2152" s="11"/>
    </row>
    <row r="2153" spans="6:18" ht="24" customHeight="1">
      <c r="F2153" s="8">
        <v>3</v>
      </c>
      <c r="G2153" s="7" t="s">
        <v>835</v>
      </c>
      <c r="H2153" s="1" t="s">
        <v>1938</v>
      </c>
      <c r="I2153" s="8">
        <f>(C10)</f>
        <v>861</v>
      </c>
      <c r="J2153" s="1" t="s">
        <v>835</v>
      </c>
      <c r="K2153" s="8">
        <f t="shared" si="244"/>
        <v>2583</v>
      </c>
      <c r="N2153" s="3"/>
      <c r="O2153" s="5" t="s">
        <v>1530</v>
      </c>
      <c r="Q2153" s="11"/>
    </row>
    <row r="2154" spans="6:18" ht="39" customHeight="1">
      <c r="F2154" s="8">
        <v>2</v>
      </c>
      <c r="G2154" s="7" t="s">
        <v>835</v>
      </c>
      <c r="H2154" s="1" t="s">
        <v>763</v>
      </c>
      <c r="I2154" s="8">
        <f>AE37</f>
        <v>747</v>
      </c>
      <c r="J2154" s="1" t="s">
        <v>835</v>
      </c>
      <c r="K2154" s="8">
        <f t="shared" si="244"/>
        <v>1494</v>
      </c>
      <c r="M2154" s="8">
        <v>50</v>
      </c>
      <c r="N2154" s="7" t="s">
        <v>835</v>
      </c>
      <c r="O2154" s="23" t="s">
        <v>4889</v>
      </c>
      <c r="P2154" s="521">
        <v>455</v>
      </c>
      <c r="Q2154" s="1" t="s">
        <v>835</v>
      </c>
      <c r="R2154" s="8">
        <f t="shared" ref="R2154:R2163" si="245">(M2154*P2154)</f>
        <v>22750</v>
      </c>
    </row>
    <row r="2155" spans="6:18" ht="24" customHeight="1">
      <c r="F2155" s="8">
        <v>6</v>
      </c>
      <c r="G2155" s="7" t="s">
        <v>835</v>
      </c>
      <c r="H2155" s="1" t="s">
        <v>1836</v>
      </c>
      <c r="I2155" s="8">
        <f>(C12)</f>
        <v>562</v>
      </c>
      <c r="J2155" s="1" t="s">
        <v>835</v>
      </c>
      <c r="K2155" s="8">
        <f t="shared" si="244"/>
        <v>3372</v>
      </c>
      <c r="M2155" s="8">
        <v>21.6</v>
      </c>
      <c r="N2155" s="7" t="s">
        <v>836</v>
      </c>
      <c r="O2155" s="1" t="s">
        <v>761</v>
      </c>
      <c r="P2155" s="8">
        <f>I2148</f>
        <v>193.2</v>
      </c>
      <c r="Q2155" s="1" t="s">
        <v>836</v>
      </c>
      <c r="R2155" s="8">
        <f t="shared" si="245"/>
        <v>4173.12</v>
      </c>
    </row>
    <row r="2156" spans="6:18" ht="24" customHeight="1">
      <c r="F2156" s="8">
        <v>3</v>
      </c>
      <c r="G2156" s="7" t="s">
        <v>835</v>
      </c>
      <c r="H2156" s="1" t="s">
        <v>299</v>
      </c>
      <c r="I2156" s="8">
        <f>(C13)</f>
        <v>461</v>
      </c>
      <c r="J2156" s="1" t="s">
        <v>835</v>
      </c>
      <c r="K2156" s="8">
        <f t="shared" si="244"/>
        <v>1383</v>
      </c>
      <c r="M2156" s="8">
        <v>21.6</v>
      </c>
      <c r="N2156" s="7" t="s">
        <v>836</v>
      </c>
      <c r="O2156" s="1" t="s">
        <v>236</v>
      </c>
      <c r="P2156" s="8">
        <f t="shared" ref="P2156:P2163" si="246">I2149</f>
        <v>33.6</v>
      </c>
      <c r="Q2156" s="1" t="s">
        <v>836</v>
      </c>
      <c r="R2156" s="8">
        <f t="shared" si="245"/>
        <v>725.76</v>
      </c>
    </row>
    <row r="2157" spans="6:18" ht="24" customHeight="1">
      <c r="G2157" s="7" t="s">
        <v>419</v>
      </c>
      <c r="H2157" s="1" t="s">
        <v>2055</v>
      </c>
      <c r="J2157" s="1" t="s">
        <v>419</v>
      </c>
      <c r="K2157" s="8">
        <f>SUM(K2153:K2156)/10+4.8</f>
        <v>888</v>
      </c>
      <c r="M2157" s="8">
        <v>115</v>
      </c>
      <c r="N2157" s="7" t="s">
        <v>1591</v>
      </c>
      <c r="O2157" s="1" t="s">
        <v>829</v>
      </c>
      <c r="P2157" s="8">
        <f t="shared" si="246"/>
        <v>5.96</v>
      </c>
      <c r="Q2157" s="1" t="s">
        <v>1591</v>
      </c>
      <c r="R2157" s="8">
        <f t="shared" si="245"/>
        <v>685.4</v>
      </c>
    </row>
    <row r="2158" spans="6:18" ht="24" customHeight="1">
      <c r="K2158" s="5" t="s">
        <v>1530</v>
      </c>
      <c r="M2158" s="8">
        <v>0.11</v>
      </c>
      <c r="N2158" s="7" t="s">
        <v>836</v>
      </c>
      <c r="O2158" s="1" t="s">
        <v>837</v>
      </c>
      <c r="P2158" s="8">
        <f t="shared" si="246"/>
        <v>1400.82</v>
      </c>
      <c r="Q2158" s="1" t="s">
        <v>836</v>
      </c>
      <c r="R2158" s="8">
        <f t="shared" si="245"/>
        <v>154.09</v>
      </c>
    </row>
    <row r="2159" spans="6:18" ht="24" customHeight="1">
      <c r="H2159" s="1" t="s">
        <v>2056</v>
      </c>
      <c r="K2159" s="8">
        <f>SUM(K2147:K2157)</f>
        <v>20235.990000000002</v>
      </c>
      <c r="M2159" s="8">
        <v>8.35</v>
      </c>
      <c r="N2159" s="7" t="s">
        <v>1591</v>
      </c>
      <c r="O2159" s="1" t="s">
        <v>762</v>
      </c>
      <c r="P2159" s="8">
        <f t="shared" si="246"/>
        <v>11.7</v>
      </c>
      <c r="Q2159" s="1" t="s">
        <v>1591</v>
      </c>
      <c r="R2159" s="8">
        <f t="shared" si="245"/>
        <v>97.7</v>
      </c>
    </row>
    <row r="2160" spans="6:18" ht="24" customHeight="1">
      <c r="K2160" s="5" t="s">
        <v>1530</v>
      </c>
      <c r="M2160" s="8">
        <v>5</v>
      </c>
      <c r="N2160" s="7" t="s">
        <v>835</v>
      </c>
      <c r="O2160" s="1" t="s">
        <v>1938</v>
      </c>
      <c r="P2160" s="8">
        <f t="shared" si="246"/>
        <v>861</v>
      </c>
      <c r="Q2160" s="1" t="s">
        <v>835</v>
      </c>
      <c r="R2160" s="8">
        <f t="shared" si="245"/>
        <v>4305</v>
      </c>
    </row>
    <row r="2161" spans="6:18" ht="24" customHeight="1">
      <c r="H2161" s="1" t="s">
        <v>1083</v>
      </c>
      <c r="K2161" s="8">
        <f>(K2159/30)</f>
        <v>674.53</v>
      </c>
      <c r="M2161" s="8">
        <v>3</v>
      </c>
      <c r="N2161" s="7" t="s">
        <v>835</v>
      </c>
      <c r="O2161" s="1" t="s">
        <v>763</v>
      </c>
      <c r="P2161" s="8">
        <f t="shared" si="246"/>
        <v>747</v>
      </c>
      <c r="Q2161" s="1" t="s">
        <v>835</v>
      </c>
      <c r="R2161" s="8">
        <f t="shared" si="245"/>
        <v>2241</v>
      </c>
    </row>
    <row r="2162" spans="6:18" ht="24" customHeight="1">
      <c r="K2162" s="5" t="s">
        <v>1980</v>
      </c>
      <c r="M2162" s="8">
        <v>7</v>
      </c>
      <c r="N2162" s="7" t="s">
        <v>835</v>
      </c>
      <c r="O2162" s="1" t="s">
        <v>1836</v>
      </c>
      <c r="P2162" s="8">
        <f t="shared" si="246"/>
        <v>562</v>
      </c>
      <c r="Q2162" s="1" t="s">
        <v>835</v>
      </c>
      <c r="R2162" s="8">
        <f t="shared" si="245"/>
        <v>3934</v>
      </c>
    </row>
    <row r="2163" spans="6:18" ht="24" customHeight="1">
      <c r="F2163" s="2" t="s">
        <v>538</v>
      </c>
      <c r="G2163" s="7" t="s">
        <v>2167</v>
      </c>
      <c r="H2163" s="1" t="s">
        <v>50</v>
      </c>
      <c r="M2163" s="8">
        <v>5</v>
      </c>
      <c r="N2163" s="7" t="s">
        <v>835</v>
      </c>
      <c r="O2163" s="1" t="s">
        <v>299</v>
      </c>
      <c r="P2163" s="8">
        <f t="shared" si="246"/>
        <v>461</v>
      </c>
      <c r="Q2163" s="1" t="s">
        <v>835</v>
      </c>
      <c r="R2163" s="8">
        <f t="shared" si="245"/>
        <v>2305</v>
      </c>
    </row>
    <row r="2164" spans="6:18" ht="24" customHeight="1">
      <c r="H2164" s="1" t="s">
        <v>212</v>
      </c>
      <c r="N2164" s="7" t="s">
        <v>419</v>
      </c>
      <c r="O2164" s="1" t="s">
        <v>2055</v>
      </c>
      <c r="Q2164" s="1" t="s">
        <v>419</v>
      </c>
      <c r="R2164" s="8">
        <v>234</v>
      </c>
    </row>
    <row r="2165" spans="6:18" ht="24" customHeight="1">
      <c r="H2165" s="5" t="s">
        <v>1530</v>
      </c>
      <c r="N2165" s="3"/>
      <c r="Q2165" s="11"/>
      <c r="R2165" s="5" t="s">
        <v>1530</v>
      </c>
    </row>
    <row r="2166" spans="6:18" ht="24" customHeight="1">
      <c r="F2166" s="8">
        <v>50</v>
      </c>
      <c r="G2166" s="7" t="s">
        <v>835</v>
      </c>
      <c r="H2166" s="1" t="s">
        <v>213</v>
      </c>
      <c r="I2166" s="8">
        <f>C207</f>
        <v>62.8</v>
      </c>
      <c r="J2166" s="1" t="s">
        <v>835</v>
      </c>
      <c r="K2166" s="8">
        <f>(F2166*I2166)</f>
        <v>3140</v>
      </c>
      <c r="N2166" s="3"/>
      <c r="O2166" s="1" t="s">
        <v>2056</v>
      </c>
      <c r="Q2166" s="11"/>
      <c r="R2166" s="8">
        <f>SUM(R2154:R2164)</f>
        <v>41605.07</v>
      </c>
    </row>
    <row r="2167" spans="6:18" ht="24" customHeight="1">
      <c r="F2167" s="8">
        <v>1</v>
      </c>
      <c r="G2167" s="7" t="s">
        <v>835</v>
      </c>
      <c r="H2167" s="1" t="s">
        <v>763</v>
      </c>
      <c r="I2167" s="8">
        <f>AE37</f>
        <v>747</v>
      </c>
      <c r="J2167" s="1" t="s">
        <v>835</v>
      </c>
      <c r="K2167" s="8">
        <f>(F2167*I2167)</f>
        <v>747</v>
      </c>
      <c r="N2167" s="3"/>
      <c r="Q2167" s="11"/>
      <c r="R2167" s="5" t="s">
        <v>1530</v>
      </c>
    </row>
    <row r="2168" spans="6:18" ht="24" customHeight="1">
      <c r="F2168" s="8">
        <v>5</v>
      </c>
      <c r="G2168" s="7" t="s">
        <v>835</v>
      </c>
      <c r="H2168" s="1" t="s">
        <v>1836</v>
      </c>
      <c r="I2168" s="8">
        <f>C12</f>
        <v>562</v>
      </c>
      <c r="J2168" s="1" t="s">
        <v>835</v>
      </c>
      <c r="K2168" s="8">
        <f>(F2168*I2168)</f>
        <v>2810</v>
      </c>
      <c r="N2168" s="3"/>
      <c r="O2168" s="1" t="s">
        <v>1083</v>
      </c>
      <c r="Q2168" s="11"/>
      <c r="R2168" s="8">
        <f>(R2166/30)</f>
        <v>1386.84</v>
      </c>
    </row>
    <row r="2169" spans="6:18" ht="24" customHeight="1">
      <c r="H2169" s="1" t="s">
        <v>2187</v>
      </c>
      <c r="K2169" s="6">
        <v>1.8</v>
      </c>
      <c r="N2169" s="3"/>
      <c r="Q2169" s="11"/>
      <c r="R2169" s="5" t="s">
        <v>1980</v>
      </c>
    </row>
    <row r="2170" spans="6:18" ht="24" customHeight="1">
      <c r="H2170" s="1" t="s">
        <v>2056</v>
      </c>
      <c r="K2170" s="8">
        <f>SUM(K2166:K2169)</f>
        <v>6698.8</v>
      </c>
    </row>
    <row r="2171" spans="6:18" ht="24" customHeight="1">
      <c r="F2171" s="1" t="s">
        <v>940</v>
      </c>
      <c r="K2171" s="5" t="s">
        <v>1530</v>
      </c>
    </row>
    <row r="2172" spans="6:18" ht="24" customHeight="1">
      <c r="H2172" s="1" t="s">
        <v>1083</v>
      </c>
      <c r="K2172" s="8">
        <f>(K2170/30)</f>
        <v>223.29</v>
      </c>
    </row>
    <row r="2173" spans="6:18" ht="24" customHeight="1">
      <c r="F2173" s="1" t="s">
        <v>940</v>
      </c>
    </row>
    <row r="2174" spans="6:18" ht="24" customHeight="1">
      <c r="F2174" s="1" t="s">
        <v>940</v>
      </c>
    </row>
    <row r="2175" spans="6:18" ht="24" customHeight="1">
      <c r="K2175" s="5" t="s">
        <v>1980</v>
      </c>
    </row>
    <row r="2176" spans="6:18" ht="24" customHeight="1">
      <c r="F2176" s="2" t="s">
        <v>1084</v>
      </c>
      <c r="G2176" s="7" t="s">
        <v>2167</v>
      </c>
      <c r="H2176" s="1" t="s">
        <v>985</v>
      </c>
    </row>
    <row r="2177" spans="6:11" ht="24" customHeight="1">
      <c r="H2177" s="8" t="str">
        <f>H2164</f>
        <v>DIA S.W.PIPE(LOOSE JOINTING)</v>
      </c>
    </row>
    <row r="2178" spans="6:11" ht="24" customHeight="1">
      <c r="H2178" s="5" t="s">
        <v>1530</v>
      </c>
    </row>
    <row r="2179" spans="6:11" ht="24" customHeight="1">
      <c r="F2179" s="8">
        <v>50</v>
      </c>
      <c r="G2179" s="7" t="s">
        <v>835</v>
      </c>
      <c r="H2179" s="1" t="s">
        <v>214</v>
      </c>
      <c r="I2179" s="8">
        <f>C208</f>
        <v>101</v>
      </c>
      <c r="J2179" s="1" t="s">
        <v>835</v>
      </c>
      <c r="K2179" s="8">
        <f>(F2179*I2179)</f>
        <v>5050</v>
      </c>
    </row>
    <row r="2180" spans="6:11" ht="24" customHeight="1">
      <c r="F2180" s="8">
        <v>2</v>
      </c>
      <c r="G2180" s="7" t="s">
        <v>835</v>
      </c>
      <c r="H2180" s="1" t="s">
        <v>763</v>
      </c>
      <c r="I2180" s="8">
        <f>AE37</f>
        <v>747</v>
      </c>
      <c r="J2180" s="1" t="s">
        <v>835</v>
      </c>
      <c r="K2180" s="8">
        <f>(F2180*I2180)</f>
        <v>1494</v>
      </c>
    </row>
    <row r="2181" spans="6:11" ht="24" customHeight="1">
      <c r="F2181" s="8">
        <v>6</v>
      </c>
      <c r="G2181" s="7" t="s">
        <v>835</v>
      </c>
      <c r="H2181" s="1" t="s">
        <v>1836</v>
      </c>
      <c r="I2181" s="8">
        <f>C12</f>
        <v>562</v>
      </c>
      <c r="J2181" s="1" t="s">
        <v>835</v>
      </c>
      <c r="K2181" s="8">
        <f>(F2181*I2181)</f>
        <v>3372</v>
      </c>
    </row>
    <row r="2182" spans="6:11" ht="24" customHeight="1">
      <c r="H2182" s="1" t="s">
        <v>2187</v>
      </c>
      <c r="K2182" s="6">
        <v>0.6</v>
      </c>
    </row>
    <row r="2183" spans="6:11" ht="24" customHeight="1">
      <c r="H2183" s="1" t="s">
        <v>2056</v>
      </c>
      <c r="K2183" s="8">
        <f>SUM(K2179:K2182)</f>
        <v>9916.6</v>
      </c>
    </row>
    <row r="2184" spans="6:11" ht="24" customHeight="1">
      <c r="K2184" s="5" t="s">
        <v>1530</v>
      </c>
    </row>
    <row r="2185" spans="6:11" ht="24" customHeight="1">
      <c r="H2185" s="1" t="s">
        <v>1083</v>
      </c>
      <c r="K2185" s="8">
        <f>(K2183/30)</f>
        <v>330.55</v>
      </c>
    </row>
    <row r="2186" spans="6:11" ht="24" customHeight="1">
      <c r="K2186" s="5" t="s">
        <v>1980</v>
      </c>
    </row>
    <row r="2187" spans="6:11" ht="24" customHeight="1">
      <c r="H2187" s="2" t="s">
        <v>215</v>
      </c>
      <c r="K2187" s="8">
        <f>SUM(K2184:K2185)</f>
        <v>330.55</v>
      </c>
    </row>
    <row r="2188" spans="6:11" ht="24" customHeight="1">
      <c r="K2188" s="5" t="s">
        <v>1980</v>
      </c>
    </row>
    <row r="2189" spans="6:11" ht="24" customHeight="1">
      <c r="F2189" s="2" t="s">
        <v>1803</v>
      </c>
      <c r="G2189" s="7" t="s">
        <v>2167</v>
      </c>
      <c r="H2189" s="1" t="s">
        <v>50</v>
      </c>
    </row>
    <row r="2190" spans="6:11" ht="24" customHeight="1">
      <c r="H2190" s="1" t="s">
        <v>55</v>
      </c>
    </row>
    <row r="2191" spans="6:11" ht="24" customHeight="1">
      <c r="H2191" s="5" t="s">
        <v>1530</v>
      </c>
    </row>
    <row r="2192" spans="6:11" ht="24" customHeight="1">
      <c r="F2192" s="8">
        <v>1</v>
      </c>
      <c r="G2192" s="7" t="s">
        <v>835</v>
      </c>
      <c r="H2192" s="1" t="s">
        <v>1049</v>
      </c>
      <c r="I2192" s="8">
        <f>C209</f>
        <v>100.6</v>
      </c>
      <c r="J2192" s="1" t="s">
        <v>835</v>
      </c>
      <c r="K2192" s="8">
        <f>(F2192*I2192)</f>
        <v>100.6</v>
      </c>
    </row>
    <row r="2193" spans="6:11" ht="24" customHeight="1">
      <c r="F2193" s="1" t="s">
        <v>940</v>
      </c>
      <c r="H2193" s="1" t="s">
        <v>56</v>
      </c>
    </row>
    <row r="2194" spans="6:11" ht="24" customHeight="1">
      <c r="F2194" s="1" t="s">
        <v>940</v>
      </c>
      <c r="H2194" s="1" t="s">
        <v>57</v>
      </c>
      <c r="I2194" s="2" t="s">
        <v>419</v>
      </c>
      <c r="K2194" s="8">
        <v>2.5</v>
      </c>
    </row>
    <row r="2195" spans="6:11" ht="24" customHeight="1">
      <c r="K2195" s="5" t="s">
        <v>1530</v>
      </c>
    </row>
    <row r="2196" spans="6:11" ht="24" customHeight="1">
      <c r="H2196" s="1" t="s">
        <v>2056</v>
      </c>
      <c r="K2196" s="8">
        <f>SUM(K2192:K2194)</f>
        <v>103.1</v>
      </c>
    </row>
    <row r="2197" spans="6:11" ht="24" customHeight="1">
      <c r="F2197" s="2" t="s">
        <v>1803</v>
      </c>
      <c r="G2197" s="7" t="s">
        <v>2167</v>
      </c>
      <c r="H2197" s="1" t="s">
        <v>985</v>
      </c>
      <c r="K2197" s="5" t="s">
        <v>1530</v>
      </c>
    </row>
    <row r="2198" spans="6:11" ht="24" customHeight="1">
      <c r="H2198" s="1" t="s">
        <v>55</v>
      </c>
      <c r="K2198" s="8"/>
    </row>
    <row r="2199" spans="6:11" ht="24" customHeight="1">
      <c r="H2199" s="5" t="s">
        <v>1530</v>
      </c>
      <c r="K2199" s="5" t="s">
        <v>1530</v>
      </c>
    </row>
    <row r="2200" spans="6:11" ht="24" customHeight="1">
      <c r="F2200">
        <v>1</v>
      </c>
      <c r="G2200" s="3" t="s">
        <v>739</v>
      </c>
      <c r="H2200" s="1" t="s">
        <v>1048</v>
      </c>
      <c r="J2200" s="11">
        <f>E209</f>
        <v>138</v>
      </c>
      <c r="K2200" s="8">
        <f>J2200</f>
        <v>138</v>
      </c>
    </row>
    <row r="2201" spans="6:11" ht="24" customHeight="1">
      <c r="H2201" s="1" t="s">
        <v>57</v>
      </c>
      <c r="I2201" s="2" t="s">
        <v>419</v>
      </c>
      <c r="K2201" s="8">
        <v>2.5</v>
      </c>
    </row>
    <row r="2202" spans="6:11" ht="24" customHeight="1">
      <c r="F2202" s="2" t="s">
        <v>1217</v>
      </c>
      <c r="G2202" s="7" t="s">
        <v>2167</v>
      </c>
      <c r="H2202" s="34" t="s">
        <v>50</v>
      </c>
      <c r="K2202" s="5" t="s">
        <v>1530</v>
      </c>
    </row>
    <row r="2203" spans="6:11" ht="24" customHeight="1">
      <c r="H2203" s="34" t="s">
        <v>1224</v>
      </c>
      <c r="K2203" s="8">
        <f>SUM(K2199:K2201)</f>
        <v>140.5</v>
      </c>
    </row>
    <row r="2204" spans="6:11" ht="24" customHeight="1">
      <c r="H2204" s="5" t="s">
        <v>1530</v>
      </c>
      <c r="K2204" s="5" t="s">
        <v>1530</v>
      </c>
    </row>
    <row r="2205" spans="6:11" ht="24" customHeight="1">
      <c r="F2205" s="8">
        <v>1</v>
      </c>
      <c r="G2205" s="7" t="s">
        <v>835</v>
      </c>
      <c r="H2205" s="1" t="s">
        <v>1047</v>
      </c>
      <c r="I2205" s="8">
        <f>C206</f>
        <v>126.8</v>
      </c>
      <c r="J2205" s="1" t="s">
        <v>835</v>
      </c>
      <c r="K2205" s="8">
        <f>(F2205*I2205)</f>
        <v>126.8</v>
      </c>
    </row>
    <row r="2206" spans="6:11" ht="24" customHeight="1">
      <c r="F2206" s="1" t="s">
        <v>940</v>
      </c>
      <c r="H2206" s="1" t="s">
        <v>56</v>
      </c>
    </row>
    <row r="2207" spans="6:11" ht="24" customHeight="1">
      <c r="F2207" s="1" t="s">
        <v>940</v>
      </c>
      <c r="H2207" s="1" t="s">
        <v>57</v>
      </c>
      <c r="I2207" s="2" t="s">
        <v>419</v>
      </c>
      <c r="K2207" s="8">
        <v>3</v>
      </c>
    </row>
    <row r="2208" spans="6:11" ht="24" customHeight="1">
      <c r="K2208" s="5" t="s">
        <v>1530</v>
      </c>
    </row>
    <row r="2209" spans="6:12" ht="24" customHeight="1">
      <c r="H2209" s="1" t="s">
        <v>2056</v>
      </c>
      <c r="K2209" s="8">
        <f>SUM(K2205:K2207)</f>
        <v>129.80000000000001</v>
      </c>
    </row>
    <row r="2210" spans="6:12" ht="24" customHeight="1">
      <c r="K2210" s="5" t="s">
        <v>1530</v>
      </c>
    </row>
    <row r="2212" spans="6:12" ht="24" customHeight="1">
      <c r="F2212" s="2" t="s">
        <v>1741</v>
      </c>
      <c r="G2212" s="7" t="s">
        <v>2167</v>
      </c>
      <c r="H2212" s="34" t="s">
        <v>985</v>
      </c>
    </row>
    <row r="2213" spans="6:12" ht="24" customHeight="1">
      <c r="H2213" s="34" t="s">
        <v>1224</v>
      </c>
    </row>
    <row r="2214" spans="6:12" ht="24" customHeight="1">
      <c r="H2214" s="5" t="s">
        <v>1530</v>
      </c>
    </row>
    <row r="2215" spans="6:12" ht="24" customHeight="1">
      <c r="F2215" s="8">
        <v>1</v>
      </c>
      <c r="G2215" s="7" t="s">
        <v>835</v>
      </c>
      <c r="H2215" s="1" t="s">
        <v>775</v>
      </c>
      <c r="I2215" s="8">
        <f>C211</f>
        <v>164.5</v>
      </c>
      <c r="J2215" s="1" t="s">
        <v>835</v>
      </c>
      <c r="K2215" s="8">
        <f>(F2215*I2215)</f>
        <v>164.5</v>
      </c>
    </row>
    <row r="2216" spans="6:12" ht="24" customHeight="1">
      <c r="F2216" s="1" t="s">
        <v>940</v>
      </c>
      <c r="H2216" s="1" t="s">
        <v>56</v>
      </c>
    </row>
    <row r="2217" spans="6:12" ht="24" customHeight="1">
      <c r="F2217" s="1" t="s">
        <v>940</v>
      </c>
      <c r="H2217" s="1" t="s">
        <v>57</v>
      </c>
      <c r="I2217" s="2" t="s">
        <v>419</v>
      </c>
      <c r="K2217" s="8">
        <v>3</v>
      </c>
    </row>
    <row r="2218" spans="6:12" ht="24" customHeight="1">
      <c r="K2218" s="5" t="s">
        <v>1530</v>
      </c>
    </row>
    <row r="2219" spans="6:12" ht="24" customHeight="1">
      <c r="H2219" s="34" t="s">
        <v>2056</v>
      </c>
      <c r="K2219" s="8">
        <f>SUM(K2215:K2217)</f>
        <v>167.5</v>
      </c>
    </row>
    <row r="2220" spans="6:12" ht="24" customHeight="1">
      <c r="K2220" s="5" t="s">
        <v>1530</v>
      </c>
    </row>
    <row r="2221" spans="6:12" ht="24" customHeight="1">
      <c r="F2221" s="2" t="s">
        <v>1485</v>
      </c>
      <c r="H2221" s="34" t="s">
        <v>1486</v>
      </c>
    </row>
    <row r="2222" spans="6:12" ht="24" customHeight="1">
      <c r="H2222" s="34" t="s">
        <v>1032</v>
      </c>
    </row>
    <row r="2223" spans="6:12" ht="24" customHeight="1">
      <c r="H2223" s="5" t="s">
        <v>1530</v>
      </c>
    </row>
    <row r="2224" spans="6:12" ht="24" customHeight="1">
      <c r="F2224" s="8">
        <v>2.5</v>
      </c>
      <c r="G2224" s="7" t="s">
        <v>1033</v>
      </c>
      <c r="H2224" s="1" t="s">
        <v>1486</v>
      </c>
      <c r="I2224" s="8">
        <f>C591</f>
        <v>30</v>
      </c>
      <c r="J2224" s="1">
        <v>2.5</v>
      </c>
      <c r="K2224" s="514">
        <f>(F2224*I2224)/F2224</f>
        <v>30</v>
      </c>
      <c r="L2224">
        <f>1394*1.62-K2255</f>
        <v>-1571.36</v>
      </c>
    </row>
    <row r="2225" spans="6:11" ht="24" customHeight="1">
      <c r="H2225" s="1" t="s">
        <v>1034</v>
      </c>
      <c r="J2225" s="1" t="s">
        <v>1033</v>
      </c>
      <c r="K2225" s="515"/>
    </row>
    <row r="2226" spans="6:11" ht="24" customHeight="1">
      <c r="G2226" s="7" t="s">
        <v>419</v>
      </c>
      <c r="H2226" s="1" t="s">
        <v>1035</v>
      </c>
      <c r="J2226" s="1" t="s">
        <v>419</v>
      </c>
      <c r="K2226" s="491">
        <v>1.87</v>
      </c>
    </row>
    <row r="2227" spans="6:11" ht="24" customHeight="1">
      <c r="K2227" s="5" t="s">
        <v>1530</v>
      </c>
    </row>
    <row r="2228" spans="6:11" ht="24" customHeight="1">
      <c r="H2228" s="59" t="s">
        <v>215</v>
      </c>
      <c r="K2228" s="39">
        <f>SUM(K2224:K2226)</f>
        <v>31.87</v>
      </c>
    </row>
    <row r="2229" spans="6:11" ht="24" customHeight="1">
      <c r="K2229" s="5" t="s">
        <v>1980</v>
      </c>
    </row>
    <row r="2231" spans="6:11" ht="24" customHeight="1">
      <c r="F2231" s="2" t="s">
        <v>1036</v>
      </c>
      <c r="G2231" s="7" t="s">
        <v>2167</v>
      </c>
      <c r="H2231" s="1" t="s">
        <v>256</v>
      </c>
    </row>
    <row r="2232" spans="6:11" ht="24" customHeight="1">
      <c r="H2232" s="1" t="s">
        <v>61</v>
      </c>
    </row>
    <row r="2233" spans="6:11" ht="24" customHeight="1">
      <c r="H2233" s="1" t="s">
        <v>345</v>
      </c>
    </row>
    <row r="2234" spans="6:11" ht="24" customHeight="1">
      <c r="H2234" s="1" t="s">
        <v>329</v>
      </c>
    </row>
    <row r="2235" spans="6:11" ht="24" customHeight="1">
      <c r="H2235" s="1" t="s">
        <v>401</v>
      </c>
    </row>
    <row r="2236" spans="6:11" ht="24" customHeight="1">
      <c r="H2236" s="1" t="s">
        <v>1422</v>
      </c>
    </row>
    <row r="2237" spans="6:11" ht="24" customHeight="1">
      <c r="H2237" s="1" t="s">
        <v>1801</v>
      </c>
    </row>
    <row r="2238" spans="6:11" ht="24" customHeight="1">
      <c r="H2238" s="1" t="s">
        <v>2121</v>
      </c>
    </row>
    <row r="2239" spans="6:11" ht="24" customHeight="1">
      <c r="H2239" s="1" t="s">
        <v>535</v>
      </c>
    </row>
    <row r="2240" spans="6:11" ht="24" customHeight="1">
      <c r="H2240" s="1" t="s">
        <v>1227</v>
      </c>
    </row>
    <row r="2241" spans="6:11" ht="24" customHeight="1">
      <c r="H2241" s="1" t="s">
        <v>1228</v>
      </c>
    </row>
    <row r="2242" spans="6:11" ht="24" customHeight="1">
      <c r="H2242" s="1" t="s">
        <v>1229</v>
      </c>
    </row>
    <row r="2243" spans="6:11" ht="24" customHeight="1">
      <c r="H2243" s="5" t="s">
        <v>1530</v>
      </c>
      <c r="I2243" s="5" t="s">
        <v>1530</v>
      </c>
    </row>
    <row r="2244" spans="6:11" ht="24" customHeight="1">
      <c r="F2244" s="1" t="s">
        <v>940</v>
      </c>
    </row>
    <row r="2245" spans="6:11" ht="24" customHeight="1">
      <c r="F2245" s="16">
        <v>1.7399999999999999E-2</v>
      </c>
      <c r="G2245" s="7" t="s">
        <v>2070</v>
      </c>
      <c r="H2245" s="1" t="s">
        <v>1230</v>
      </c>
      <c r="I2245" s="8">
        <f>C89</f>
        <v>34300</v>
      </c>
      <c r="J2245" s="1" t="s">
        <v>2070</v>
      </c>
      <c r="K2245" s="8">
        <f t="shared" ref="K2245:K2252" si="247">F2245*I2245</f>
        <v>596.82000000000005</v>
      </c>
    </row>
    <row r="2246" spans="6:11" ht="24" customHeight="1">
      <c r="F2246" s="16">
        <v>2.93E-2</v>
      </c>
      <c r="G2246" s="7" t="s">
        <v>2070</v>
      </c>
      <c r="H2246" s="1" t="s">
        <v>1231</v>
      </c>
      <c r="I2246" s="8">
        <f>C90</f>
        <v>39400</v>
      </c>
      <c r="J2246" s="1" t="s">
        <v>2070</v>
      </c>
      <c r="K2246" s="8">
        <f t="shared" si="247"/>
        <v>1154.42</v>
      </c>
    </row>
    <row r="2247" spans="6:11" ht="24" customHeight="1">
      <c r="F2247" s="16">
        <v>1.093</v>
      </c>
      <c r="G2247" s="7" t="s">
        <v>2199</v>
      </c>
      <c r="H2247" s="1" t="s">
        <v>1232</v>
      </c>
      <c r="I2247" s="8">
        <f>C202</f>
        <v>339</v>
      </c>
      <c r="J2247" s="1" t="s">
        <v>2199</v>
      </c>
      <c r="K2247" s="8">
        <f t="shared" si="247"/>
        <v>370.53</v>
      </c>
    </row>
    <row r="2248" spans="6:11" ht="24" customHeight="1">
      <c r="F2248" s="8">
        <v>6</v>
      </c>
      <c r="G2248" s="7" t="s">
        <v>529</v>
      </c>
      <c r="H2248" s="1" t="s">
        <v>1106</v>
      </c>
      <c r="I2248" s="8">
        <f>C300</f>
        <v>7</v>
      </c>
      <c r="J2248" s="1" t="s">
        <v>1341</v>
      </c>
      <c r="K2248" s="8">
        <f t="shared" si="247"/>
        <v>42</v>
      </c>
    </row>
    <row r="2249" spans="6:11" ht="24" customHeight="1">
      <c r="F2249" s="8">
        <v>1</v>
      </c>
      <c r="G2249" s="7" t="s">
        <v>529</v>
      </c>
      <c r="H2249" s="1" t="s">
        <v>2135</v>
      </c>
      <c r="I2249" s="8">
        <f>C290</f>
        <v>94.1</v>
      </c>
      <c r="J2249" s="1" t="s">
        <v>1341</v>
      </c>
      <c r="K2249" s="8">
        <f t="shared" si="247"/>
        <v>94.1</v>
      </c>
    </row>
    <row r="2250" spans="6:11" ht="24" customHeight="1">
      <c r="F2250" s="8">
        <v>2</v>
      </c>
      <c r="G2250" s="7" t="s">
        <v>529</v>
      </c>
      <c r="H2250" s="1" t="s">
        <v>1692</v>
      </c>
      <c r="I2250" s="8">
        <f>C311</f>
        <v>3</v>
      </c>
      <c r="J2250" s="1" t="s">
        <v>1341</v>
      </c>
      <c r="K2250" s="8">
        <f t="shared" si="247"/>
        <v>6</v>
      </c>
    </row>
    <row r="2251" spans="6:11" ht="24" customHeight="1">
      <c r="F2251" s="8">
        <v>6</v>
      </c>
      <c r="G2251" s="7" t="s">
        <v>529</v>
      </c>
      <c r="H2251" s="1" t="s">
        <v>137</v>
      </c>
      <c r="I2251" s="496">
        <v>10.5</v>
      </c>
      <c r="J2251" s="1" t="s">
        <v>1341</v>
      </c>
      <c r="K2251" s="8">
        <f t="shared" si="247"/>
        <v>63</v>
      </c>
    </row>
    <row r="2252" spans="6:11" ht="24" customHeight="1">
      <c r="F2252" s="13">
        <v>1.62</v>
      </c>
      <c r="G2252" s="7" t="s">
        <v>2199</v>
      </c>
      <c r="H2252" s="1" t="s">
        <v>138</v>
      </c>
      <c r="I2252" s="8">
        <f>D33</f>
        <v>925</v>
      </c>
      <c r="J2252" s="1" t="s">
        <v>2199</v>
      </c>
      <c r="K2252" s="8">
        <f t="shared" si="247"/>
        <v>1498.5</v>
      </c>
    </row>
    <row r="2253" spans="6:11" ht="24" customHeight="1">
      <c r="G2253" s="7" t="s">
        <v>419</v>
      </c>
      <c r="H2253" s="1" t="s">
        <v>474</v>
      </c>
      <c r="J2253" s="1" t="s">
        <v>419</v>
      </c>
      <c r="K2253" s="8">
        <v>4.2699999999999996</v>
      </c>
    </row>
    <row r="2254" spans="6:11" ht="24" customHeight="1">
      <c r="K2254" s="5" t="s">
        <v>1530</v>
      </c>
    </row>
    <row r="2255" spans="6:11" ht="24" customHeight="1">
      <c r="H2255" s="59" t="s">
        <v>139</v>
      </c>
      <c r="K2255" s="39">
        <f>SUM(K2245:K2253)</f>
        <v>3829.64</v>
      </c>
    </row>
    <row r="2256" spans="6:11" ht="24" customHeight="1">
      <c r="K2256" s="41" t="s">
        <v>1530</v>
      </c>
    </row>
    <row r="2257" spans="6:13" ht="24" customHeight="1">
      <c r="K2257" s="37"/>
    </row>
    <row r="2258" spans="6:13" ht="24" customHeight="1">
      <c r="H2258" s="59" t="s">
        <v>140</v>
      </c>
      <c r="I2258" s="1" t="s">
        <v>940</v>
      </c>
      <c r="K2258" s="39">
        <f>K2255/1.62</f>
        <v>2363.98</v>
      </c>
      <c r="M2258">
        <f>1921*1.62</f>
        <v>3112.02</v>
      </c>
    </row>
    <row r="2259" spans="6:13" ht="15" customHeight="1">
      <c r="F2259" s="1" t="s">
        <v>940</v>
      </c>
      <c r="G2259" s="7" t="s">
        <v>940</v>
      </c>
      <c r="H2259" s="1" t="s">
        <v>940</v>
      </c>
      <c r="I2259" s="1" t="s">
        <v>940</v>
      </c>
      <c r="J2259" s="1" t="s">
        <v>940</v>
      </c>
      <c r="M2259">
        <f>M2258-K2255</f>
        <v>-717.62</v>
      </c>
    </row>
    <row r="2260" spans="6:13" ht="13.5" customHeight="1"/>
    <row r="2261" spans="6:13" ht="24" customHeight="1">
      <c r="G2261" s="7" t="s">
        <v>1484</v>
      </c>
      <c r="H2261" s="34" t="s">
        <v>1336</v>
      </c>
    </row>
    <row r="2262" spans="6:13" ht="24" customHeight="1">
      <c r="H2262" s="1" t="s">
        <v>767</v>
      </c>
      <c r="L2262">
        <f>3.6*1.1</f>
        <v>3.96</v>
      </c>
    </row>
    <row r="2263" spans="6:13" ht="24" customHeight="1">
      <c r="F2263" s="1" t="s">
        <v>940</v>
      </c>
      <c r="H2263" s="1" t="s">
        <v>768</v>
      </c>
      <c r="L2263">
        <f>3.6*1.6</f>
        <v>5.76</v>
      </c>
    </row>
    <row r="2264" spans="6:13" ht="35.25" customHeight="1">
      <c r="F2264" s="2" t="s">
        <v>769</v>
      </c>
      <c r="H2264" s="1" t="s">
        <v>2096</v>
      </c>
      <c r="K2264" s="162">
        <f>Elec.Data!K2860</f>
        <v>1499.19</v>
      </c>
    </row>
    <row r="2265" spans="6:13" ht="30.75" customHeight="1">
      <c r="F2265" s="2" t="s">
        <v>770</v>
      </c>
      <c r="H2265" s="2" t="s">
        <v>744</v>
      </c>
      <c r="K2265" s="162">
        <f>Elec.Data!K2884</f>
        <v>1503.34</v>
      </c>
    </row>
    <row r="2266" spans="6:13" ht="30.75" customHeight="1">
      <c r="F2266" s="2" t="s">
        <v>771</v>
      </c>
      <c r="H2266" s="1" t="s">
        <v>1221</v>
      </c>
      <c r="K2266" s="162">
        <f>Elec.Data!K2899</f>
        <v>1538.57</v>
      </c>
    </row>
    <row r="2267" spans="6:13" ht="30.75" customHeight="1">
      <c r="F2267" s="12">
        <v>65</v>
      </c>
      <c r="H2267" s="1" t="s">
        <v>746</v>
      </c>
      <c r="K2267" s="162">
        <f>Elec.Data!K2921</f>
        <v>1565.4</v>
      </c>
    </row>
    <row r="2268" spans="6:13" ht="30.75" customHeight="1">
      <c r="F2268" s="12">
        <v>66</v>
      </c>
      <c r="H2268" s="1" t="s">
        <v>581</v>
      </c>
      <c r="K2268" s="162">
        <f>Elec.Data!K2945</f>
        <v>2802.09</v>
      </c>
    </row>
    <row r="2269" spans="6:13" ht="30.75" customHeight="1">
      <c r="F2269" s="12">
        <v>67</v>
      </c>
      <c r="H2269" s="1" t="s">
        <v>539</v>
      </c>
      <c r="K2269" s="162">
        <f>Elec.Data!K2977</f>
        <v>764.91</v>
      </c>
    </row>
    <row r="2270" spans="6:13" ht="30.75" customHeight="1">
      <c r="F2270" s="12">
        <v>68</v>
      </c>
      <c r="H2270" s="1" t="s">
        <v>806</v>
      </c>
      <c r="K2270" s="162">
        <f>Elec.Data!K2965</f>
        <v>1041.2</v>
      </c>
    </row>
    <row r="2271" spans="6:13" ht="30.75" customHeight="1">
      <c r="F2271" s="12">
        <v>69</v>
      </c>
      <c r="H2271" s="1" t="s">
        <v>772</v>
      </c>
      <c r="K2271" s="162">
        <f>Elec.Data!K2988</f>
        <v>138.69999999999999</v>
      </c>
    </row>
    <row r="2272" spans="6:13" ht="30.75" customHeight="1">
      <c r="F2272" s="12" t="s">
        <v>773</v>
      </c>
      <c r="H2272" s="1" t="s">
        <v>463</v>
      </c>
      <c r="K2272" s="162">
        <f>Elec.Data!K3135</f>
        <v>486.5</v>
      </c>
    </row>
    <row r="2273" spans="6:12" ht="30.75" customHeight="1">
      <c r="F2273" s="12" t="s">
        <v>275</v>
      </c>
      <c r="H2273" s="1" t="s">
        <v>271</v>
      </c>
      <c r="J2273" s="4"/>
      <c r="K2273" s="162"/>
      <c r="L2273">
        <f>37.7*90</f>
        <v>3393</v>
      </c>
    </row>
    <row r="2274" spans="6:12" ht="30.75" customHeight="1">
      <c r="F2274" s="12" t="s">
        <v>1875</v>
      </c>
      <c r="H2274" s="1" t="s">
        <v>1445</v>
      </c>
      <c r="K2274" s="423">
        <v>9.4</v>
      </c>
    </row>
    <row r="2275" spans="6:12" ht="24" customHeight="1">
      <c r="F2275" s="12" t="s">
        <v>1876</v>
      </c>
      <c r="H2275" s="1" t="s">
        <v>551</v>
      </c>
      <c r="K2275" s="487">
        <v>10</v>
      </c>
    </row>
    <row r="2276" spans="6:12" ht="24" customHeight="1">
      <c r="F2276" s="12">
        <v>71</v>
      </c>
      <c r="H2276" s="1" t="s">
        <v>1117</v>
      </c>
      <c r="K2276" s="162">
        <f>Elec.Data!K3173</f>
        <v>1308</v>
      </c>
    </row>
    <row r="2277" spans="6:12" ht="24" customHeight="1">
      <c r="F2277" s="12">
        <v>72</v>
      </c>
      <c r="H2277" s="1" t="s">
        <v>774</v>
      </c>
      <c r="K2277" s="487">
        <v>33.9</v>
      </c>
    </row>
    <row r="2278" spans="6:12" ht="24" customHeight="1">
      <c r="F2278" s="12" t="s">
        <v>552</v>
      </c>
      <c r="H2278" s="1" t="s">
        <v>258</v>
      </c>
      <c r="K2278" s="162">
        <f>Elec.Data!K3233</f>
        <v>4116.8500000000004</v>
      </c>
    </row>
    <row r="2279" spans="6:12" ht="24" customHeight="1">
      <c r="F2279" s="12" t="s">
        <v>553</v>
      </c>
      <c r="H2279" s="1" t="s">
        <v>554</v>
      </c>
      <c r="K2279" s="162">
        <f>Elec.Data!K3221</f>
        <v>3342.85</v>
      </c>
    </row>
    <row r="2280" spans="6:12" ht="24" customHeight="1">
      <c r="F2280" s="12">
        <v>74</v>
      </c>
      <c r="H2280" s="1" t="s">
        <v>160</v>
      </c>
      <c r="K2280" s="162">
        <f>Elec.Data!K3277</f>
        <v>521.46</v>
      </c>
    </row>
    <row r="2281" spans="6:12" ht="24" customHeight="1">
      <c r="F2281" s="12" t="s">
        <v>601</v>
      </c>
      <c r="H2281" s="1" t="s">
        <v>1212</v>
      </c>
      <c r="K2281" s="162">
        <v>1265</v>
      </c>
    </row>
    <row r="2282" spans="6:12" ht="24" customHeight="1">
      <c r="F2282" s="12" t="s">
        <v>602</v>
      </c>
      <c r="H2282" s="1" t="s">
        <v>129</v>
      </c>
    </row>
    <row r="2283" spans="6:12" ht="24" customHeight="1">
      <c r="F2283" s="12">
        <v>112</v>
      </c>
      <c r="H2283" s="1" t="s">
        <v>715</v>
      </c>
      <c r="K2283" s="162">
        <f>Elec.Data!K3744</f>
        <v>2110.5</v>
      </c>
    </row>
    <row r="2284" spans="6:12" ht="34.5" customHeight="1">
      <c r="F2284" s="12">
        <v>76</v>
      </c>
      <c r="H2284" s="1" t="s">
        <v>1864</v>
      </c>
      <c r="K2284" s="162">
        <f>Elec.Data!K3294</f>
        <v>23.79</v>
      </c>
    </row>
    <row r="2285" spans="6:12" ht="31.5" customHeight="1">
      <c r="F2285" s="12">
        <v>77</v>
      </c>
      <c r="H2285" s="1" t="s">
        <v>2184</v>
      </c>
      <c r="K2285" s="162">
        <f>Elec.Data!K3080</f>
        <v>192.58</v>
      </c>
    </row>
    <row r="2286" spans="6:12" ht="38.25" customHeight="1">
      <c r="F2286" s="32">
        <v>77.099999999999994</v>
      </c>
      <c r="H2286" s="23" t="s">
        <v>1744</v>
      </c>
      <c r="K2286" s="168">
        <f>Elec.Data!K3105</f>
        <v>246.68</v>
      </c>
    </row>
    <row r="2287" spans="6:12" ht="24" customHeight="1">
      <c r="F2287" s="25">
        <v>77.2</v>
      </c>
      <c r="H2287" s="1" t="s">
        <v>1745</v>
      </c>
      <c r="K2287" s="545">
        <v>500</v>
      </c>
    </row>
    <row r="2288" spans="6:12" ht="24" customHeight="1">
      <c r="F2288" s="25">
        <v>77.3</v>
      </c>
      <c r="H2288" s="1" t="s">
        <v>1444</v>
      </c>
      <c r="K2288" s="545">
        <f>Elec.Data!K3712</f>
        <v>76.67</v>
      </c>
    </row>
    <row r="2289" spans="6:18" ht="24" customHeight="1">
      <c r="F2289" s="12">
        <v>78</v>
      </c>
      <c r="H2289" s="1" t="s">
        <v>78</v>
      </c>
      <c r="K2289" s="162">
        <f>Elec.Data!K3319</f>
        <v>2723</v>
      </c>
    </row>
    <row r="2290" spans="6:18" ht="24" customHeight="1">
      <c r="F2290" s="12">
        <v>80</v>
      </c>
      <c r="H2290" s="1" t="s">
        <v>2037</v>
      </c>
      <c r="K2290" s="162">
        <f>Elec.Data!K3441</f>
        <v>770.34</v>
      </c>
    </row>
    <row r="2291" spans="6:18" ht="24" customHeight="1">
      <c r="F2291" s="12">
        <v>81</v>
      </c>
      <c r="H2291" s="1" t="s">
        <v>89</v>
      </c>
      <c r="K2291" s="8">
        <f>K2258</f>
        <v>2363.98</v>
      </c>
    </row>
    <row r="2292" spans="6:18" ht="24" customHeight="1">
      <c r="F2292" s="12">
        <v>82</v>
      </c>
      <c r="H2292" s="1" t="s">
        <v>1494</v>
      </c>
      <c r="K2292" s="162">
        <f>Elec.Data!K3638</f>
        <v>2774.3</v>
      </c>
    </row>
    <row r="2293" spans="6:18" ht="24" customHeight="1">
      <c r="F2293" s="12">
        <v>87</v>
      </c>
      <c r="H2293" s="1" t="s">
        <v>1705</v>
      </c>
      <c r="K2293" s="162">
        <f>Elec.Data!K3458</f>
        <v>2850.6</v>
      </c>
    </row>
    <row r="2294" spans="6:18" ht="24" customHeight="1">
      <c r="H2294" s="105" t="s">
        <v>1852</v>
      </c>
      <c r="K2294" s="162">
        <f>Elec.Data!K3762</f>
        <v>1941.5</v>
      </c>
    </row>
    <row r="2295" spans="6:18" ht="24" customHeight="1">
      <c r="H2295" s="169" t="s">
        <v>249</v>
      </c>
      <c r="K2295" s="545">
        <v>137</v>
      </c>
    </row>
    <row r="2296" spans="6:18" ht="28.5" customHeight="1">
      <c r="F2296" s="30">
        <v>77.400000000000006</v>
      </c>
      <c r="H2296" s="58" t="s">
        <v>1663</v>
      </c>
      <c r="M2296" s="30">
        <v>77.400000000000006</v>
      </c>
      <c r="N2296" s="3"/>
      <c r="O2296" s="58" t="s">
        <v>4609</v>
      </c>
      <c r="Q2296" s="11"/>
    </row>
    <row r="2297" spans="6:18" ht="27" customHeight="1">
      <c r="H2297" s="1" t="s">
        <v>767</v>
      </c>
      <c r="N2297" s="3"/>
      <c r="O2297" s="1" t="s">
        <v>767</v>
      </c>
      <c r="Q2297" s="11"/>
    </row>
    <row r="2298" spans="6:18" ht="42.75" customHeight="1">
      <c r="F2298">
        <v>90</v>
      </c>
      <c r="G2298" s="3" t="s">
        <v>347</v>
      </c>
      <c r="H2298" s="28" t="s">
        <v>4836</v>
      </c>
      <c r="I2298" s="571">
        <v>19.100000000000001</v>
      </c>
      <c r="J2298" s="11" t="s">
        <v>347</v>
      </c>
      <c r="K2298">
        <f>I2298*F2298</f>
        <v>1719</v>
      </c>
      <c r="M2298">
        <v>90</v>
      </c>
      <c r="N2298" s="3" t="s">
        <v>347</v>
      </c>
      <c r="O2298" s="28" t="s">
        <v>4512</v>
      </c>
      <c r="P2298" s="571">
        <v>19.100000000000001</v>
      </c>
      <c r="Q2298" s="11" t="s">
        <v>347</v>
      </c>
      <c r="R2298">
        <f>P2298*M2298</f>
        <v>1719</v>
      </c>
    </row>
    <row r="2299" spans="6:18" ht="24" customHeight="1">
      <c r="F2299">
        <v>0.15</v>
      </c>
      <c r="G2299" s="3" t="s">
        <v>494</v>
      </c>
      <c r="H2299" t="s">
        <v>829</v>
      </c>
      <c r="I2299">
        <f>AC31</f>
        <v>5960</v>
      </c>
      <c r="J2299" s="11" t="s">
        <v>494</v>
      </c>
      <c r="K2299">
        <f>I2299*F2299</f>
        <v>894</v>
      </c>
      <c r="M2299">
        <v>0.15</v>
      </c>
      <c r="N2299" s="3" t="s">
        <v>494</v>
      </c>
      <c r="O2299" t="s">
        <v>829</v>
      </c>
      <c r="P2299">
        <f>I2299</f>
        <v>5960</v>
      </c>
      <c r="Q2299" s="11" t="s">
        <v>494</v>
      </c>
      <c r="R2299">
        <f>P2299*M2299</f>
        <v>894</v>
      </c>
    </row>
    <row r="2300" spans="6:18" ht="24" customHeight="1">
      <c r="F2300">
        <v>1</v>
      </c>
      <c r="G2300" s="3" t="s">
        <v>739</v>
      </c>
      <c r="H2300" t="s">
        <v>346</v>
      </c>
      <c r="I2300" s="166">
        <f>C812</f>
        <v>636</v>
      </c>
      <c r="J2300" s="11" t="s">
        <v>739</v>
      </c>
      <c r="K2300">
        <f>I2300*F2300</f>
        <v>636</v>
      </c>
      <c r="M2300">
        <v>1</v>
      </c>
      <c r="N2300" s="3" t="s">
        <v>739</v>
      </c>
      <c r="O2300" t="s">
        <v>346</v>
      </c>
      <c r="P2300">
        <f>I2300</f>
        <v>636</v>
      </c>
      <c r="Q2300" s="11" t="s">
        <v>739</v>
      </c>
      <c r="R2300">
        <f>P2300*M2300</f>
        <v>636</v>
      </c>
    </row>
    <row r="2301" spans="6:18" ht="24" customHeight="1">
      <c r="F2301">
        <v>2</v>
      </c>
      <c r="G2301" s="3" t="s">
        <v>739</v>
      </c>
      <c r="H2301" t="s">
        <v>1654</v>
      </c>
      <c r="I2301">
        <f>AE10</f>
        <v>804</v>
      </c>
      <c r="J2301" s="11" t="s">
        <v>739</v>
      </c>
      <c r="K2301">
        <f>I2301*F2301</f>
        <v>1608</v>
      </c>
      <c r="M2301">
        <v>2</v>
      </c>
      <c r="N2301" s="3" t="s">
        <v>739</v>
      </c>
      <c r="O2301" t="s">
        <v>1654</v>
      </c>
      <c r="P2301">
        <f>I2301</f>
        <v>804</v>
      </c>
      <c r="Q2301" s="11" t="s">
        <v>739</v>
      </c>
      <c r="R2301">
        <f>P2301*M2301</f>
        <v>1608</v>
      </c>
    </row>
    <row r="2302" spans="6:18" ht="24" customHeight="1">
      <c r="F2302">
        <v>4</v>
      </c>
      <c r="G2302" s="3" t="s">
        <v>739</v>
      </c>
      <c r="H2302" t="str">
        <f>B813</f>
        <v>Electrical HELPERp-15 it-100</v>
      </c>
      <c r="I2302" s="166">
        <f>C813</f>
        <v>497</v>
      </c>
      <c r="J2302" s="11" t="s">
        <v>739</v>
      </c>
      <c r="K2302">
        <f>I2302*F2302</f>
        <v>1988</v>
      </c>
      <c r="M2302">
        <v>4</v>
      </c>
      <c r="N2302" s="3" t="s">
        <v>739</v>
      </c>
      <c r="O2302" t="str">
        <f>H2302</f>
        <v>Electrical HELPERp-15 it-100</v>
      </c>
      <c r="P2302">
        <f>I2302</f>
        <v>497</v>
      </c>
      <c r="Q2302" s="11" t="s">
        <v>739</v>
      </c>
      <c r="R2302">
        <f>P2302*M2302</f>
        <v>1988</v>
      </c>
    </row>
    <row r="2303" spans="6:18" ht="24" customHeight="1">
      <c r="H2303" t="s">
        <v>348</v>
      </c>
      <c r="K2303">
        <v>11.5</v>
      </c>
      <c r="N2303" s="3"/>
      <c r="O2303" t="s">
        <v>348</v>
      </c>
      <c r="Q2303" s="11"/>
      <c r="R2303">
        <v>11.5</v>
      </c>
    </row>
    <row r="2304" spans="6:18" ht="24" customHeight="1">
      <c r="K2304" s="5" t="s">
        <v>1530</v>
      </c>
      <c r="N2304" s="3"/>
      <c r="Q2304" s="11"/>
      <c r="R2304" s="5" t="s">
        <v>1530</v>
      </c>
    </row>
    <row r="2305" spans="5:253" ht="36.75" customHeight="1">
      <c r="H2305" s="1" t="s">
        <v>2183</v>
      </c>
      <c r="K2305" s="8">
        <f>SUM(K2298:K2303)</f>
        <v>6856.5</v>
      </c>
      <c r="N2305" s="3"/>
      <c r="O2305" s="1" t="s">
        <v>2183</v>
      </c>
      <c r="Q2305" s="11"/>
      <c r="R2305" s="8">
        <f>SUM(R2298:R2303)</f>
        <v>6856.5</v>
      </c>
    </row>
    <row r="2306" spans="5:253" ht="24" customHeight="1">
      <c r="K2306" s="5" t="s">
        <v>1530</v>
      </c>
      <c r="N2306" s="3"/>
      <c r="Q2306" s="11"/>
      <c r="R2306" s="5" t="s">
        <v>1530</v>
      </c>
    </row>
    <row r="2307" spans="5:253" ht="24" customHeight="1">
      <c r="H2307" s="1" t="s">
        <v>1083</v>
      </c>
      <c r="K2307" s="8">
        <f>(K2305/90)</f>
        <v>76.180000000000007</v>
      </c>
      <c r="N2307" s="3"/>
      <c r="O2307" s="1" t="s">
        <v>1083</v>
      </c>
      <c r="Q2307" s="11"/>
      <c r="R2307" s="8">
        <f>(R2305/90)</f>
        <v>76.180000000000007</v>
      </c>
      <c r="AG2307">
        <v>0</v>
      </c>
    </row>
    <row r="2308" spans="5:253" ht="24" customHeight="1">
      <c r="K2308" s="5" t="s">
        <v>1980</v>
      </c>
      <c r="IS2308">
        <v>0</v>
      </c>
    </row>
    <row r="2310" spans="5:253" ht="24" customHeight="1">
      <c r="F2310" s="31">
        <v>78.099999999999994</v>
      </c>
      <c r="H2310" s="34" t="s">
        <v>1506</v>
      </c>
      <c r="L2310">
        <f>31.5+85</f>
        <v>116.5</v>
      </c>
    </row>
    <row r="2311" spans="5:253" ht="24" customHeight="1">
      <c r="H2311" s="1" t="s">
        <v>767</v>
      </c>
      <c r="L2311">
        <f>L2310*10%</f>
        <v>11.65</v>
      </c>
    </row>
    <row r="2312" spans="5:253" ht="24" customHeight="1">
      <c r="F2312">
        <v>2.5</v>
      </c>
      <c r="G2312" s="3" t="s">
        <v>739</v>
      </c>
      <c r="H2312" t="s">
        <v>1507</v>
      </c>
      <c r="I2312" s="442">
        <f>C398</f>
        <v>163</v>
      </c>
      <c r="J2312" s="11" t="s">
        <v>739</v>
      </c>
      <c r="K2312">
        <f t="shared" ref="K2312:K2317" si="248">I2312*F2312</f>
        <v>407.5</v>
      </c>
    </row>
    <row r="2313" spans="5:253" ht="24" customHeight="1">
      <c r="F2313">
        <v>20</v>
      </c>
      <c r="G2313" s="3" t="s">
        <v>337</v>
      </c>
      <c r="H2313" s="355" t="s">
        <v>4261</v>
      </c>
      <c r="I2313" s="819">
        <f>Elec.Data!I3313</f>
        <v>4.96</v>
      </c>
      <c r="J2313" s="11" t="s">
        <v>337</v>
      </c>
      <c r="K2313">
        <f t="shared" si="248"/>
        <v>99.2</v>
      </c>
    </row>
    <row r="2314" spans="5:253" ht="24" customHeight="1">
      <c r="F2314">
        <v>9</v>
      </c>
      <c r="G2314" s="3" t="s">
        <v>337</v>
      </c>
      <c r="H2314" t="s">
        <v>3936</v>
      </c>
      <c r="I2314" s="442">
        <f>Elec.Data!I3316</f>
        <v>3.7</v>
      </c>
      <c r="J2314" s="11" t="s">
        <v>337</v>
      </c>
      <c r="K2314">
        <f t="shared" si="248"/>
        <v>33.299999999999997</v>
      </c>
    </row>
    <row r="2315" spans="5:253" ht="51.75" customHeight="1">
      <c r="F2315">
        <v>0.5</v>
      </c>
      <c r="G2315" s="3" t="s">
        <v>337</v>
      </c>
      <c r="H2315" t="s">
        <v>3925</v>
      </c>
      <c r="I2315" s="536">
        <f>Elec.Data!I3289</f>
        <v>94.9</v>
      </c>
      <c r="J2315" s="11" t="s">
        <v>337</v>
      </c>
      <c r="K2315">
        <f t="shared" si="248"/>
        <v>47.45</v>
      </c>
    </row>
    <row r="2316" spans="5:253" ht="36.75" customHeight="1">
      <c r="E2316" s="51">
        <f>25.2/5</f>
        <v>5.04</v>
      </c>
      <c r="F2316">
        <v>0.5</v>
      </c>
      <c r="G2316" s="3" t="s">
        <v>739</v>
      </c>
      <c r="H2316" t="s">
        <v>1236</v>
      </c>
      <c r="I2316">
        <f>I2300</f>
        <v>636</v>
      </c>
      <c r="J2316" s="11" t="s">
        <v>739</v>
      </c>
      <c r="K2316">
        <f t="shared" si="248"/>
        <v>318</v>
      </c>
    </row>
    <row r="2317" spans="5:253" ht="24" customHeight="1">
      <c r="F2317">
        <v>1</v>
      </c>
      <c r="G2317" s="3" t="s">
        <v>739</v>
      </c>
      <c r="H2317" t="s">
        <v>1237</v>
      </c>
      <c r="I2317">
        <f>I2302</f>
        <v>497</v>
      </c>
      <c r="J2317" s="11" t="s">
        <v>739</v>
      </c>
      <c r="K2317">
        <f t="shared" si="248"/>
        <v>497</v>
      </c>
    </row>
    <row r="2318" spans="5:253" ht="45.75" customHeight="1">
      <c r="G2318" s="3" t="s">
        <v>625</v>
      </c>
      <c r="H2318" s="330" t="s">
        <v>1238</v>
      </c>
      <c r="J2318" s="11" t="s">
        <v>625</v>
      </c>
      <c r="K2318">
        <v>200</v>
      </c>
    </row>
    <row r="2319" spans="5:253" ht="24" customHeight="1">
      <c r="G2319" s="3" t="s">
        <v>625</v>
      </c>
      <c r="H2319" t="s">
        <v>1167</v>
      </c>
      <c r="J2319" s="11" t="s">
        <v>625</v>
      </c>
      <c r="K2319">
        <v>8.32</v>
      </c>
    </row>
    <row r="2320" spans="5:253" ht="24" customHeight="1">
      <c r="K2320" s="5" t="s">
        <v>1530</v>
      </c>
    </row>
    <row r="2321" spans="6:19" ht="24" customHeight="1">
      <c r="H2321" t="s">
        <v>266</v>
      </c>
      <c r="K2321" s="8">
        <f>SUM(K2312:K2319)</f>
        <v>1610.77</v>
      </c>
      <c r="L2321">
        <f>K2355/3</f>
        <v>30.62</v>
      </c>
    </row>
    <row r="2322" spans="6:19" ht="27" customHeight="1">
      <c r="K2322" s="5" t="s">
        <v>1530</v>
      </c>
    </row>
    <row r="2323" spans="6:19" ht="45" customHeight="1">
      <c r="H2323" s="37" t="s">
        <v>2146</v>
      </c>
    </row>
    <row r="2324" spans="6:19" ht="24" customHeight="1">
      <c r="F2324">
        <v>0.7</v>
      </c>
      <c r="G2324" s="3" t="s">
        <v>739</v>
      </c>
      <c r="H2324" t="s">
        <v>621</v>
      </c>
      <c r="I2324">
        <f>C17</f>
        <v>760</v>
      </c>
      <c r="J2324" s="11" t="s">
        <v>1341</v>
      </c>
      <c r="K2324">
        <f>I2324*F2324</f>
        <v>532</v>
      </c>
      <c r="S2324" s="51">
        <f>R2362+R2363</f>
        <v>763</v>
      </c>
    </row>
    <row r="2325" spans="6:19" ht="24" customHeight="1">
      <c r="F2325">
        <v>0.5</v>
      </c>
      <c r="G2325" s="3" t="s">
        <v>739</v>
      </c>
      <c r="H2325" t="s">
        <v>622</v>
      </c>
      <c r="I2325">
        <f>C12</f>
        <v>562</v>
      </c>
      <c r="J2325" s="11" t="s">
        <v>1341</v>
      </c>
      <c r="K2325">
        <f>I2325*F2325</f>
        <v>281</v>
      </c>
    </row>
    <row r="2326" spans="6:19" ht="24" customHeight="1">
      <c r="H2326" t="s">
        <v>2147</v>
      </c>
      <c r="K2326">
        <f>SUM(K2324:K2325)</f>
        <v>813</v>
      </c>
    </row>
    <row r="2327" spans="6:19" ht="24" customHeight="1">
      <c r="H2327" t="s">
        <v>406</v>
      </c>
      <c r="K2327" s="37">
        <f>K2326/8.16</f>
        <v>99.63</v>
      </c>
    </row>
    <row r="2329" spans="6:19" ht="24" customHeight="1">
      <c r="H2329" s="37" t="s">
        <v>1756</v>
      </c>
    </row>
    <row r="2330" spans="6:19" ht="24" customHeight="1">
      <c r="F2330">
        <v>2</v>
      </c>
      <c r="G2330" s="3" t="s">
        <v>876</v>
      </c>
      <c r="H2330" t="s">
        <v>4837</v>
      </c>
      <c r="I2330" s="541">
        <v>61.5</v>
      </c>
      <c r="J2330" s="11" t="s">
        <v>876</v>
      </c>
      <c r="K2330">
        <f>I2330*F2330</f>
        <v>123</v>
      </c>
    </row>
    <row r="2331" spans="6:19" ht="24" customHeight="1">
      <c r="F2331">
        <v>0.2</v>
      </c>
      <c r="G2331" s="3" t="s">
        <v>876</v>
      </c>
      <c r="H2331" t="s">
        <v>1757</v>
      </c>
      <c r="I2331">
        <f>C146/1000</f>
        <v>50.3</v>
      </c>
      <c r="J2331" s="11" t="s">
        <v>876</v>
      </c>
      <c r="K2331">
        <f>I2331*F2331</f>
        <v>10.06</v>
      </c>
    </row>
    <row r="2332" spans="6:19" ht="24" customHeight="1">
      <c r="F2332">
        <v>2</v>
      </c>
      <c r="G2332" s="3" t="s">
        <v>876</v>
      </c>
      <c r="H2332" t="s">
        <v>1758</v>
      </c>
      <c r="I2332">
        <f>K2327</f>
        <v>99.63</v>
      </c>
      <c r="J2332" s="11" t="s">
        <v>876</v>
      </c>
      <c r="K2332">
        <f>I2332*F2332</f>
        <v>199.26</v>
      </c>
    </row>
    <row r="2333" spans="6:19" ht="24" customHeight="1">
      <c r="H2333" t="s">
        <v>1759</v>
      </c>
      <c r="K2333">
        <f>SUM(K2330:K2332)</f>
        <v>332.32</v>
      </c>
    </row>
    <row r="2334" spans="6:19" ht="24" customHeight="1">
      <c r="H2334" t="s">
        <v>1760</v>
      </c>
      <c r="K2334" s="37">
        <f>K2333/10</f>
        <v>33.229999999999997</v>
      </c>
    </row>
    <row r="2336" spans="6:19" ht="24" customHeight="1">
      <c r="H2336" s="37" t="s">
        <v>957</v>
      </c>
      <c r="N2336" s="3"/>
      <c r="O2336" s="37" t="s">
        <v>883</v>
      </c>
      <c r="Q2336" s="11"/>
    </row>
    <row r="2337" spans="4:18" ht="24" customHeight="1">
      <c r="F2337">
        <v>0.25</v>
      </c>
      <c r="G2337" s="3" t="s">
        <v>529</v>
      </c>
      <c r="H2337" t="s">
        <v>1761</v>
      </c>
      <c r="I2337">
        <f>C11</f>
        <v>804</v>
      </c>
      <c r="J2337" s="11" t="s">
        <v>1341</v>
      </c>
      <c r="K2337">
        <f>I2337*F2337</f>
        <v>201</v>
      </c>
      <c r="M2337">
        <v>15</v>
      </c>
      <c r="N2337" s="3" t="s">
        <v>222</v>
      </c>
      <c r="O2337" s="520" t="s">
        <v>4521</v>
      </c>
      <c r="P2337" s="435">
        <v>158.69999999999999</v>
      </c>
      <c r="Q2337" s="11" t="s">
        <v>222</v>
      </c>
      <c r="R2337">
        <f>P2337*M2337</f>
        <v>2380.5</v>
      </c>
    </row>
    <row r="2338" spans="4:18" ht="24" customHeight="1">
      <c r="F2338">
        <v>1</v>
      </c>
      <c r="G2338" s="3" t="s">
        <v>529</v>
      </c>
      <c r="H2338" t="s">
        <v>622</v>
      </c>
      <c r="I2338">
        <f>C12</f>
        <v>562</v>
      </c>
      <c r="J2338" s="11" t="s">
        <v>1341</v>
      </c>
      <c r="K2338">
        <f>I2338*F2338</f>
        <v>562</v>
      </c>
      <c r="M2338">
        <v>0.5</v>
      </c>
      <c r="N2338" s="3" t="s">
        <v>876</v>
      </c>
      <c r="O2338" t="s">
        <v>1757</v>
      </c>
      <c r="P2338">
        <f>C146/1000</f>
        <v>50.3</v>
      </c>
      <c r="Q2338" s="11" t="s">
        <v>876</v>
      </c>
      <c r="R2338">
        <f>P2338*M2338</f>
        <v>25.15</v>
      </c>
    </row>
    <row r="2339" spans="4:18" ht="24" customHeight="1">
      <c r="G2339" s="11" t="s">
        <v>419</v>
      </c>
      <c r="H2339" t="s">
        <v>1948</v>
      </c>
      <c r="I2339">
        <f>SUM(K2337:K2338)*10/100</f>
        <v>76.3</v>
      </c>
      <c r="J2339" s="11" t="s">
        <v>419</v>
      </c>
      <c r="K2339">
        <f>I2339</f>
        <v>76.3</v>
      </c>
      <c r="M2339">
        <v>0.5</v>
      </c>
      <c r="N2339" s="3" t="s">
        <v>529</v>
      </c>
      <c r="O2339" t="s">
        <v>621</v>
      </c>
      <c r="P2339">
        <f>C17</f>
        <v>760</v>
      </c>
      <c r="Q2339" s="11" t="s">
        <v>876</v>
      </c>
      <c r="R2339">
        <f>P2339*M2339</f>
        <v>380</v>
      </c>
    </row>
    <row r="2340" spans="4:18" ht="24" customHeight="1">
      <c r="H2340" t="s">
        <v>1952</v>
      </c>
      <c r="K2340">
        <f>SUM(K2337:K2339)</f>
        <v>839.3</v>
      </c>
      <c r="M2340">
        <v>0.5</v>
      </c>
      <c r="N2340" s="3" t="s">
        <v>529</v>
      </c>
      <c r="O2340" t="s">
        <v>622</v>
      </c>
      <c r="P2340">
        <f>C12</f>
        <v>562</v>
      </c>
      <c r="Q2340" s="11" t="s">
        <v>876</v>
      </c>
      <c r="R2340">
        <f>P2340*M2340</f>
        <v>281</v>
      </c>
    </row>
    <row r="2341" spans="4:18" ht="24" customHeight="1">
      <c r="H2341" t="s">
        <v>958</v>
      </c>
      <c r="K2341" s="37">
        <f>K2340/2.44</f>
        <v>343.98</v>
      </c>
      <c r="N2341" s="3"/>
      <c r="O2341" t="s">
        <v>38</v>
      </c>
      <c r="Q2341" s="11"/>
      <c r="R2341">
        <f>SUM(R2337:R2340)</f>
        <v>3066.65</v>
      </c>
    </row>
    <row r="2342" spans="4:18" ht="24" customHeight="1">
      <c r="K2342">
        <v>0</v>
      </c>
      <c r="O2342" s="37" t="s">
        <v>1671</v>
      </c>
      <c r="Q2342" s="11"/>
      <c r="R2342" s="37">
        <f>R2341/15</f>
        <v>204.44</v>
      </c>
    </row>
    <row r="2343" spans="4:18" ht="24" customHeight="1">
      <c r="H2343" s="37" t="s">
        <v>903</v>
      </c>
    </row>
    <row r="2344" spans="4:18" ht="24" customHeight="1">
      <c r="F2344" s="51">
        <v>7.0999999999999994E-2</v>
      </c>
      <c r="G2344" s="3" t="s">
        <v>342</v>
      </c>
      <c r="H2344" t="s">
        <v>904</v>
      </c>
      <c r="I2344">
        <f>Y691</f>
        <v>7584.57</v>
      </c>
      <c r="J2344" s="11" t="s">
        <v>343</v>
      </c>
      <c r="K2344">
        <f>I2344*F2344</f>
        <v>538.5</v>
      </c>
    </row>
    <row r="2345" spans="4:18" ht="24" customHeight="1">
      <c r="F2345">
        <v>1</v>
      </c>
      <c r="G2345" s="3" t="s">
        <v>2114</v>
      </c>
      <c r="H2345" t="s">
        <v>878</v>
      </c>
      <c r="I2345">
        <f>K2341</f>
        <v>343.98</v>
      </c>
      <c r="J2345" s="11" t="s">
        <v>2114</v>
      </c>
      <c r="K2345">
        <f>I2345*F2345</f>
        <v>343.98</v>
      </c>
    </row>
    <row r="2346" spans="4:18" ht="43.5" customHeight="1">
      <c r="F2346" t="s">
        <v>940</v>
      </c>
      <c r="H2346" t="s">
        <v>344</v>
      </c>
      <c r="K2346" s="37">
        <f>SUM(K2344:K2345)</f>
        <v>882.48</v>
      </c>
      <c r="N2346" s="3"/>
      <c r="O2346" s="1528" t="s">
        <v>1127</v>
      </c>
      <c r="P2346" s="1529"/>
      <c r="Q2346" s="1529"/>
    </row>
    <row r="2347" spans="4:18" ht="51" customHeight="1">
      <c r="M2347">
        <v>0.47</v>
      </c>
      <c r="N2347" s="3" t="s">
        <v>2070</v>
      </c>
      <c r="O2347" t="s">
        <v>335</v>
      </c>
      <c r="P2347">
        <f>K93</f>
        <v>193.2</v>
      </c>
      <c r="Q2347" s="11" t="s">
        <v>1341</v>
      </c>
      <c r="R2347">
        <f>P2347*M2347</f>
        <v>90.8</v>
      </c>
    </row>
    <row r="2348" spans="4:18" ht="24" customHeight="1">
      <c r="M2348">
        <v>2</v>
      </c>
      <c r="R2348">
        <f>P2348*M2348</f>
        <v>0</v>
      </c>
    </row>
    <row r="2349" spans="4:18" ht="36.75" customHeight="1">
      <c r="H2349" s="53" t="s">
        <v>1280</v>
      </c>
      <c r="K2349" s="51"/>
      <c r="M2349">
        <v>0.24</v>
      </c>
      <c r="N2349" s="3" t="s">
        <v>2070</v>
      </c>
      <c r="O2349" t="s">
        <v>1128</v>
      </c>
      <c r="P2349">
        <f>AC15</f>
        <v>1178.3800000000001</v>
      </c>
      <c r="Q2349" s="11" t="s">
        <v>1341</v>
      </c>
      <c r="R2349">
        <f>P2349*M2349</f>
        <v>282.81</v>
      </c>
    </row>
    <row r="2350" spans="4:18" ht="41.25" customHeight="1">
      <c r="D2350">
        <f>24/5</f>
        <v>4.8</v>
      </c>
      <c r="F2350">
        <v>98.5</v>
      </c>
      <c r="G2350" s="54" t="s">
        <v>1714</v>
      </c>
      <c r="H2350" s="516" t="s">
        <v>4838</v>
      </c>
      <c r="I2350" s="622">
        <f>25.2/5</f>
        <v>5.04</v>
      </c>
      <c r="J2350" s="11" t="s">
        <v>1714</v>
      </c>
      <c r="K2350">
        <f>I2350*F2350</f>
        <v>496.44</v>
      </c>
      <c r="M2350">
        <v>0.79</v>
      </c>
      <c r="N2350" s="11" t="s">
        <v>2199</v>
      </c>
      <c r="O2350" s="412" t="s">
        <v>3910</v>
      </c>
      <c r="P2350">
        <f>AD562</f>
        <v>1433.51</v>
      </c>
      <c r="Q2350" s="11" t="s">
        <v>419</v>
      </c>
      <c r="R2350">
        <f>P2350*M2350</f>
        <v>1132.47</v>
      </c>
    </row>
    <row r="2351" spans="4:18" ht="24" customHeight="1">
      <c r="F2351">
        <v>0.3</v>
      </c>
      <c r="G2351" s="3" t="s">
        <v>1714</v>
      </c>
      <c r="H2351" t="s">
        <v>257</v>
      </c>
      <c r="I2351">
        <f>C16</f>
        <v>842</v>
      </c>
      <c r="J2351" s="11" t="s">
        <v>1341</v>
      </c>
      <c r="K2351">
        <f>I2351*F2351</f>
        <v>252.6</v>
      </c>
      <c r="M2351">
        <v>0.24</v>
      </c>
      <c r="N2351" s="3" t="s">
        <v>2070</v>
      </c>
      <c r="O2351" t="s">
        <v>875</v>
      </c>
      <c r="P2351">
        <f>I143</f>
        <v>1400.82</v>
      </c>
      <c r="Q2351" s="11"/>
      <c r="R2351">
        <f>P2351*M2351</f>
        <v>336.2</v>
      </c>
    </row>
    <row r="2352" spans="4:18" ht="24" customHeight="1">
      <c r="F2352">
        <v>0.3</v>
      </c>
      <c r="G2352" t="s">
        <v>1714</v>
      </c>
      <c r="H2352" t="s">
        <v>622</v>
      </c>
      <c r="I2352">
        <f>C12</f>
        <v>562</v>
      </c>
      <c r="J2352" s="11" t="s">
        <v>1341</v>
      </c>
      <c r="K2352">
        <f>I2352*F2352</f>
        <v>168.6</v>
      </c>
      <c r="N2352" s="3"/>
      <c r="O2352" t="s">
        <v>2187</v>
      </c>
      <c r="Q2352" s="11"/>
      <c r="R2352" t="s">
        <v>1259</v>
      </c>
    </row>
    <row r="2353" spans="6:18" ht="24" customHeight="1">
      <c r="H2353" t="s">
        <v>14</v>
      </c>
      <c r="K2353">
        <v>0.9</v>
      </c>
      <c r="R2353" s="37">
        <f>SUM(R2347:R2351)</f>
        <v>1842.28</v>
      </c>
    </row>
    <row r="2354" spans="6:18" ht="24" customHeight="1">
      <c r="H2354" s="37" t="s">
        <v>3493</v>
      </c>
      <c r="K2354" s="37">
        <f>SUM(K2350:K2353)</f>
        <v>918.54</v>
      </c>
      <c r="R2354" t="s">
        <v>3909</v>
      </c>
    </row>
    <row r="2355" spans="6:18" ht="24" customHeight="1">
      <c r="H2355" s="37" t="s">
        <v>3494</v>
      </c>
      <c r="K2355" s="37">
        <f>K2354/10</f>
        <v>91.85</v>
      </c>
      <c r="R2355">
        <v>0</v>
      </c>
    </row>
    <row r="2356" spans="6:18" ht="24" customHeight="1">
      <c r="H2356" s="37" t="s">
        <v>3495</v>
      </c>
      <c r="K2356" s="37">
        <f>K2355/3</f>
        <v>30.62</v>
      </c>
      <c r="N2356" s="3"/>
      <c r="O2356" s="1528" t="s">
        <v>1260</v>
      </c>
      <c r="P2356" s="1529"/>
      <c r="Q2356" s="1529"/>
    </row>
    <row r="2357" spans="6:18" ht="24" customHeight="1">
      <c r="G2357" s="92" t="s">
        <v>697</v>
      </c>
      <c r="H2357" s="55" t="s">
        <v>693</v>
      </c>
      <c r="I2357" s="37">
        <f>I2359-K2355</f>
        <v>739.38</v>
      </c>
      <c r="K2357" s="37"/>
      <c r="M2357">
        <v>1</v>
      </c>
      <c r="N2357" s="3" t="s">
        <v>2070</v>
      </c>
      <c r="O2357" t="s">
        <v>878</v>
      </c>
      <c r="P2357">
        <f>R2368</f>
        <v>343.98</v>
      </c>
      <c r="Q2357" s="11" t="s">
        <v>1341</v>
      </c>
      <c r="R2357">
        <f>P2357*M2357</f>
        <v>343.98</v>
      </c>
    </row>
    <row r="2358" spans="6:18" ht="24" customHeight="1">
      <c r="G2358" s="73"/>
      <c r="H2358" s="55"/>
      <c r="I2358" s="37"/>
      <c r="K2358" s="37"/>
      <c r="M2358" s="51">
        <v>7.0999999999999994E-2</v>
      </c>
      <c r="N2358" s="3" t="s">
        <v>2070</v>
      </c>
      <c r="O2358" t="s">
        <v>1128</v>
      </c>
      <c r="P2358">
        <f>P2349</f>
        <v>1178.3800000000001</v>
      </c>
      <c r="Q2358" s="11" t="s">
        <v>1341</v>
      </c>
      <c r="R2358">
        <f>P2358*M2358</f>
        <v>83.66</v>
      </c>
    </row>
    <row r="2359" spans="6:18" ht="24" customHeight="1">
      <c r="G2359" s="92" t="s">
        <v>486</v>
      </c>
      <c r="H2359" s="55" t="s">
        <v>694</v>
      </c>
      <c r="I2359" s="37">
        <f>K773</f>
        <v>831.23</v>
      </c>
      <c r="K2359" s="37"/>
      <c r="R2359" t="s">
        <v>1259</v>
      </c>
    </row>
    <row r="2360" spans="6:18" ht="24" customHeight="1">
      <c r="G2360" s="73"/>
      <c r="H2360" s="55"/>
      <c r="I2360" s="37"/>
      <c r="K2360" s="37"/>
      <c r="N2360" s="11"/>
      <c r="Q2360" s="11"/>
      <c r="R2360" s="37">
        <f>SUM(R2357:R2358)</f>
        <v>427.64</v>
      </c>
    </row>
    <row r="2361" spans="6:18" ht="24" customHeight="1">
      <c r="G2361" s="94" t="s">
        <v>295</v>
      </c>
      <c r="H2361" s="93" t="s">
        <v>695</v>
      </c>
      <c r="I2361" s="37">
        <f>I2359*1.2</f>
        <v>997.48</v>
      </c>
      <c r="K2361" s="37"/>
      <c r="N2361" s="3"/>
      <c r="Q2361" s="11"/>
      <c r="R2361" t="s">
        <v>1259</v>
      </c>
    </row>
    <row r="2362" spans="6:18" ht="24" customHeight="1">
      <c r="G2362" s="92"/>
      <c r="H2362" s="55"/>
      <c r="K2362" s="37"/>
      <c r="M2362">
        <v>0.25</v>
      </c>
      <c r="N2362" s="3" t="s">
        <v>1337</v>
      </c>
      <c r="O2362" t="s">
        <v>1261</v>
      </c>
      <c r="P2362">
        <f>AE10</f>
        <v>804</v>
      </c>
      <c r="Q2362" s="11"/>
      <c r="R2362">
        <f>P2362*M2362</f>
        <v>201</v>
      </c>
    </row>
    <row r="2363" spans="6:18" ht="24" customHeight="1">
      <c r="G2363" s="92" t="s">
        <v>698</v>
      </c>
      <c r="H2363" s="55" t="s">
        <v>696</v>
      </c>
      <c r="I2363" s="37">
        <f>I2359*1.1</f>
        <v>914.35</v>
      </c>
      <c r="K2363" s="37"/>
      <c r="M2363">
        <v>1</v>
      </c>
      <c r="N2363" s="3" t="s">
        <v>1337</v>
      </c>
      <c r="O2363" t="s">
        <v>1262</v>
      </c>
      <c r="P2363">
        <f>AE11</f>
        <v>562</v>
      </c>
      <c r="R2363">
        <f>P2363*M2363</f>
        <v>562</v>
      </c>
    </row>
    <row r="2364" spans="6:18" ht="42" customHeight="1">
      <c r="H2364" s="55"/>
      <c r="K2364" s="37"/>
      <c r="M2364">
        <v>1</v>
      </c>
      <c r="N2364" t="s">
        <v>1337</v>
      </c>
      <c r="O2364" s="28" t="s">
        <v>1263</v>
      </c>
      <c r="P2364" t="s">
        <v>625</v>
      </c>
      <c r="R2364">
        <f>(R2362+R2363)*10%</f>
        <v>76.3</v>
      </c>
    </row>
    <row r="2365" spans="6:18" ht="24" customHeight="1">
      <c r="R2365" t="s">
        <v>1259</v>
      </c>
    </row>
    <row r="2366" spans="6:18" ht="24" customHeight="1">
      <c r="H2366" s="37" t="s">
        <v>2109</v>
      </c>
      <c r="R2366" s="37">
        <f>SUM(R2362:R2364)</f>
        <v>839.3</v>
      </c>
    </row>
    <row r="2367" spans="6:18" ht="24" customHeight="1">
      <c r="F2367">
        <v>11.5</v>
      </c>
      <c r="G2367" s="3" t="s">
        <v>2199</v>
      </c>
      <c r="H2367" s="489" t="s">
        <v>4839</v>
      </c>
      <c r="I2367" s="106">
        <v>168.5</v>
      </c>
      <c r="J2367" s="11" t="s">
        <v>2199</v>
      </c>
      <c r="K2367">
        <f t="shared" ref="K2367:K2372" si="249">F2367*I2367</f>
        <v>1937.75</v>
      </c>
      <c r="R2367" t="s">
        <v>1259</v>
      </c>
    </row>
    <row r="2368" spans="6:18" ht="24" customHeight="1">
      <c r="F2368">
        <v>2</v>
      </c>
      <c r="G2368" s="3" t="s">
        <v>1897</v>
      </c>
      <c r="H2368" s="489" t="s">
        <v>4840</v>
      </c>
      <c r="I2368" s="106">
        <v>194.5</v>
      </c>
      <c r="J2368" s="11" t="s">
        <v>1898</v>
      </c>
      <c r="K2368">
        <f t="shared" si="249"/>
        <v>389</v>
      </c>
      <c r="R2368">
        <f>R2366/2.44</f>
        <v>343.98</v>
      </c>
    </row>
    <row r="2369" spans="6:18" ht="24" customHeight="1">
      <c r="F2369">
        <v>20</v>
      </c>
      <c r="G2369" s="3" t="s">
        <v>143</v>
      </c>
      <c r="H2369" s="740" t="s">
        <v>4841</v>
      </c>
      <c r="I2369" s="106">
        <v>3.88</v>
      </c>
      <c r="J2369" s="11" t="s">
        <v>143</v>
      </c>
      <c r="K2369">
        <f t="shared" si="249"/>
        <v>77.599999999999994</v>
      </c>
    </row>
    <row r="2370" spans="6:18" ht="24" customHeight="1">
      <c r="F2370">
        <v>2.2000000000000002</v>
      </c>
      <c r="G2370" s="3" t="s">
        <v>1337</v>
      </c>
      <c r="H2370" t="s">
        <v>930</v>
      </c>
      <c r="I2370">
        <f>AE18</f>
        <v>739</v>
      </c>
      <c r="J2370" s="11" t="s">
        <v>1341</v>
      </c>
      <c r="K2370">
        <f t="shared" si="249"/>
        <v>1625.8</v>
      </c>
    </row>
    <row r="2371" spans="6:18" ht="24" customHeight="1">
      <c r="F2371">
        <v>1.1000000000000001</v>
      </c>
      <c r="G2371" s="3" t="s">
        <v>1337</v>
      </c>
      <c r="H2371" t="s">
        <v>141</v>
      </c>
      <c r="I2371">
        <f>C16</f>
        <v>842</v>
      </c>
      <c r="J2371" s="11" t="s">
        <v>1341</v>
      </c>
      <c r="K2371">
        <f t="shared" si="249"/>
        <v>926.2</v>
      </c>
    </row>
    <row r="2372" spans="6:18" ht="24" customHeight="1">
      <c r="F2372">
        <v>3.2</v>
      </c>
      <c r="G2372" s="3" t="s">
        <v>1337</v>
      </c>
      <c r="H2372" t="s">
        <v>142</v>
      </c>
      <c r="I2372">
        <f>C12</f>
        <v>562</v>
      </c>
      <c r="J2372" s="11" t="s">
        <v>1341</v>
      </c>
      <c r="K2372">
        <f t="shared" si="249"/>
        <v>1798.4</v>
      </c>
      <c r="O2372" s="4"/>
    </row>
    <row r="2373" spans="6:18" ht="24" customHeight="1">
      <c r="H2373" t="s">
        <v>1401</v>
      </c>
      <c r="J2373" s="11" t="s">
        <v>419</v>
      </c>
      <c r="K2373">
        <v>0.5</v>
      </c>
      <c r="N2373" s="3"/>
      <c r="O2373" s="40" t="s">
        <v>2110</v>
      </c>
      <c r="Q2373" s="11"/>
    </row>
    <row r="2374" spans="6:18" ht="24" customHeight="1">
      <c r="K2374" s="56" t="s">
        <v>144</v>
      </c>
      <c r="M2374">
        <v>11</v>
      </c>
      <c r="N2374" s="3" t="s">
        <v>2199</v>
      </c>
      <c r="O2374" s="55" t="s">
        <v>2843</v>
      </c>
      <c r="P2374" s="223">
        <f>I2367</f>
        <v>168.5</v>
      </c>
      <c r="Q2374" s="11" t="s">
        <v>2199</v>
      </c>
      <c r="R2374">
        <f>M2374*P2374</f>
        <v>1853.5</v>
      </c>
    </row>
    <row r="2375" spans="6:18" ht="24" customHeight="1">
      <c r="H2375" s="40" t="s">
        <v>1402</v>
      </c>
      <c r="K2375" s="37">
        <f>SUM(K2367:K2374)</f>
        <v>6755.25</v>
      </c>
      <c r="M2375">
        <v>20</v>
      </c>
      <c r="N2375" s="11" t="s">
        <v>265</v>
      </c>
      <c r="O2375" s="55" t="s">
        <v>764</v>
      </c>
      <c r="P2375" s="223">
        <f>I2369</f>
        <v>3.88</v>
      </c>
      <c r="Q2375" s="11" t="s">
        <v>265</v>
      </c>
      <c r="R2375">
        <f>M2375*P2375</f>
        <v>77.599999999999994</v>
      </c>
    </row>
    <row r="2376" spans="6:18" ht="24" customHeight="1">
      <c r="K2376" s="56" t="s">
        <v>144</v>
      </c>
      <c r="M2376">
        <v>2.2000000000000002</v>
      </c>
      <c r="N2376" s="3" t="s">
        <v>1337</v>
      </c>
      <c r="O2376" t="s">
        <v>930</v>
      </c>
      <c r="P2376">
        <f>AE18</f>
        <v>739</v>
      </c>
      <c r="Q2376" s="11" t="s">
        <v>1341</v>
      </c>
      <c r="R2376">
        <f>M2376*P2376</f>
        <v>1625.8</v>
      </c>
    </row>
    <row r="2377" spans="6:18" ht="24" customHeight="1">
      <c r="H2377" s="40" t="s">
        <v>1882</v>
      </c>
      <c r="I2377" t="s">
        <v>940</v>
      </c>
      <c r="K2377" s="37">
        <f>K2375/10</f>
        <v>675.53</v>
      </c>
      <c r="M2377">
        <v>1.1000000000000001</v>
      </c>
      <c r="N2377" s="3" t="s">
        <v>1337</v>
      </c>
      <c r="O2377" t="s">
        <v>141</v>
      </c>
      <c r="P2377">
        <f>I2371</f>
        <v>842</v>
      </c>
      <c r="Q2377" s="11" t="s">
        <v>1341</v>
      </c>
      <c r="R2377">
        <f>M2377*P2377</f>
        <v>926.2</v>
      </c>
    </row>
    <row r="2378" spans="6:18" ht="24" customHeight="1">
      <c r="K2378" s="56" t="s">
        <v>144</v>
      </c>
      <c r="M2378">
        <v>3.2</v>
      </c>
      <c r="N2378" s="3" t="s">
        <v>1337</v>
      </c>
      <c r="O2378" t="s">
        <v>142</v>
      </c>
      <c r="P2378">
        <f>I2372</f>
        <v>562</v>
      </c>
      <c r="Q2378" s="11" t="s">
        <v>1341</v>
      </c>
      <c r="R2378">
        <f>M2378*P2378</f>
        <v>1798.4</v>
      </c>
    </row>
    <row r="2379" spans="6:18" ht="24" customHeight="1">
      <c r="N2379" s="3"/>
      <c r="O2379" t="s">
        <v>1401</v>
      </c>
      <c r="Q2379" s="11" t="s">
        <v>625</v>
      </c>
      <c r="R2379">
        <v>0.74</v>
      </c>
    </row>
    <row r="2381" spans="6:18" ht="39" customHeight="1">
      <c r="G2381"/>
      <c r="H2381" s="70" t="s">
        <v>1954</v>
      </c>
      <c r="N2381" s="3"/>
      <c r="Q2381" s="11"/>
      <c r="R2381" s="56" t="s">
        <v>144</v>
      </c>
    </row>
    <row r="2382" spans="6:18" ht="24" customHeight="1">
      <c r="G2382"/>
      <c r="N2382" s="3"/>
      <c r="O2382" s="40" t="s">
        <v>1402</v>
      </c>
      <c r="Q2382" s="11"/>
      <c r="R2382" s="37">
        <f>SUM(R2374:R2381)</f>
        <v>6282.24</v>
      </c>
    </row>
    <row r="2383" spans="6:18" ht="24" customHeight="1">
      <c r="F2383" t="s">
        <v>1955</v>
      </c>
      <c r="G2383"/>
      <c r="H2383" t="s">
        <v>1956</v>
      </c>
      <c r="N2383" s="3"/>
      <c r="Q2383" s="11"/>
      <c r="R2383" s="56" t="s">
        <v>144</v>
      </c>
    </row>
    <row r="2384" spans="6:18" ht="24" customHeight="1">
      <c r="G2384"/>
      <c r="H2384" t="s">
        <v>330</v>
      </c>
      <c r="N2384" s="3"/>
      <c r="O2384" s="40" t="s">
        <v>1403</v>
      </c>
      <c r="Q2384" s="11"/>
      <c r="R2384" s="37">
        <f>R2382/10</f>
        <v>628.22</v>
      </c>
    </row>
    <row r="2385" spans="5:18" ht="24" customHeight="1">
      <c r="G2385"/>
      <c r="N2385" s="3"/>
      <c r="Q2385" s="11"/>
      <c r="R2385" s="56" t="s">
        <v>144</v>
      </c>
    </row>
    <row r="2386" spans="5:18" ht="24" customHeight="1">
      <c r="F2386">
        <v>1.96</v>
      </c>
      <c r="G2386" t="s">
        <v>2070</v>
      </c>
      <c r="H2386" t="s">
        <v>331</v>
      </c>
      <c r="I2386">
        <f>K1716</f>
        <v>5175.4399999999996</v>
      </c>
      <c r="J2386" s="1" t="s">
        <v>836</v>
      </c>
      <c r="K2386" s="8">
        <f t="shared" ref="K2386:K2391" si="250">(F2386*I2386)</f>
        <v>10143.86</v>
      </c>
    </row>
    <row r="2387" spans="5:18" ht="24" customHeight="1">
      <c r="F2387">
        <v>2</v>
      </c>
      <c r="G2387" t="s">
        <v>1337</v>
      </c>
      <c r="H2387" t="s">
        <v>332</v>
      </c>
      <c r="I2387">
        <f>C10</f>
        <v>861</v>
      </c>
      <c r="J2387" s="1" t="s">
        <v>835</v>
      </c>
      <c r="K2387" s="8">
        <f t="shared" si="250"/>
        <v>1722</v>
      </c>
    </row>
    <row r="2388" spans="5:18" ht="24" customHeight="1">
      <c r="F2388">
        <v>2</v>
      </c>
      <c r="G2388" t="s">
        <v>1337</v>
      </c>
      <c r="H2388" t="s">
        <v>333</v>
      </c>
      <c r="I2388">
        <f>C13</f>
        <v>461</v>
      </c>
      <c r="J2388" s="1" t="s">
        <v>835</v>
      </c>
      <c r="K2388" s="8">
        <f t="shared" si="250"/>
        <v>922</v>
      </c>
      <c r="N2388" s="7" t="s">
        <v>2167</v>
      </c>
      <c r="Q2388" s="11"/>
    </row>
    <row r="2389" spans="5:18" ht="24" customHeight="1">
      <c r="F2389">
        <v>0.28000000000000003</v>
      </c>
      <c r="G2389" t="s">
        <v>2199</v>
      </c>
      <c r="H2389" t="s">
        <v>334</v>
      </c>
      <c r="I2389">
        <f>I2357</f>
        <v>739.38</v>
      </c>
      <c r="J2389" s="1" t="s">
        <v>835</v>
      </c>
      <c r="K2389" s="8">
        <f t="shared" si="250"/>
        <v>207.03</v>
      </c>
      <c r="N2389" s="3"/>
      <c r="O2389" s="1" t="s">
        <v>3581</v>
      </c>
      <c r="Q2389" s="4"/>
    </row>
    <row r="2390" spans="5:18" ht="24" customHeight="1">
      <c r="F2390">
        <v>500</v>
      </c>
      <c r="G2390" t="s">
        <v>1337</v>
      </c>
      <c r="H2390" s="60" t="s">
        <v>2064</v>
      </c>
      <c r="I2390">
        <v>2</v>
      </c>
      <c r="J2390" s="1" t="s">
        <v>835</v>
      </c>
      <c r="K2390" s="8">
        <f t="shared" si="250"/>
        <v>1000</v>
      </c>
      <c r="N2390" s="3"/>
      <c r="O2390" s="1" t="s">
        <v>3582</v>
      </c>
      <c r="Q2390" s="4"/>
    </row>
    <row r="2391" spans="5:18" ht="24" customHeight="1">
      <c r="F2391">
        <v>8.5</v>
      </c>
      <c r="G2391" t="s">
        <v>2065</v>
      </c>
      <c r="H2391" s="820" t="s">
        <v>4130</v>
      </c>
      <c r="I2391" s="490">
        <v>43.6</v>
      </c>
      <c r="J2391" s="11" t="s">
        <v>2065</v>
      </c>
      <c r="K2391" s="8">
        <f t="shared" si="250"/>
        <v>370.6</v>
      </c>
      <c r="N2391" s="3"/>
      <c r="O2391" s="1" t="s">
        <v>3583</v>
      </c>
      <c r="Q2391" s="4"/>
    </row>
    <row r="2392" spans="5:18" ht="24" customHeight="1">
      <c r="G2392"/>
      <c r="H2392" t="s">
        <v>2187</v>
      </c>
      <c r="K2392" s="6">
        <v>1.96</v>
      </c>
      <c r="N2392" s="3"/>
      <c r="O2392" s="1" t="s">
        <v>3584</v>
      </c>
      <c r="Q2392" s="4"/>
    </row>
    <row r="2393" spans="5:18" ht="24" customHeight="1">
      <c r="G2393"/>
      <c r="I2393" t="s">
        <v>1670</v>
      </c>
      <c r="K2393" s="8">
        <f>SUM(K2386:K2392)</f>
        <v>14367.45</v>
      </c>
      <c r="N2393" s="3"/>
      <c r="O2393" s="5" t="s">
        <v>1530</v>
      </c>
      <c r="P2393" s="5" t="s">
        <v>1530</v>
      </c>
      <c r="Q2393" s="4"/>
      <c r="R2393" s="8"/>
    </row>
    <row r="2394" spans="5:18" ht="24" customHeight="1">
      <c r="G2394"/>
      <c r="K2394" s="5" t="s">
        <v>1530</v>
      </c>
      <c r="M2394">
        <v>8</v>
      </c>
      <c r="N2394" s="7" t="s">
        <v>1807</v>
      </c>
      <c r="O2394" s="1" t="s">
        <v>4175</v>
      </c>
      <c r="P2394" s="743">
        <v>4.0999999999999996</v>
      </c>
      <c r="Q2394" s="2" t="s">
        <v>1341</v>
      </c>
      <c r="R2394" s="8">
        <f>P2394*M2394</f>
        <v>32.799999999999997</v>
      </c>
    </row>
    <row r="2395" spans="5:18" ht="24" customHeight="1">
      <c r="E2395">
        <f>23+26.65</f>
        <v>49.65</v>
      </c>
      <c r="G2395"/>
      <c r="I2395" t="s">
        <v>1671</v>
      </c>
      <c r="K2395" s="39">
        <f>K2393/39.2</f>
        <v>366.52</v>
      </c>
      <c r="M2395">
        <v>8</v>
      </c>
      <c r="N2395" s="7" t="s">
        <v>1807</v>
      </c>
      <c r="O2395" s="1" t="s">
        <v>3585</v>
      </c>
      <c r="P2395" s="743">
        <v>3.69</v>
      </c>
      <c r="Q2395" s="2" t="s">
        <v>1341</v>
      </c>
      <c r="R2395" s="8">
        <f>P2395*M2395</f>
        <v>29.52</v>
      </c>
    </row>
    <row r="2396" spans="5:18" ht="24" customHeight="1">
      <c r="E2396">
        <f>E2395/2</f>
        <v>24.83</v>
      </c>
      <c r="G2396"/>
      <c r="K2396" s="5" t="s">
        <v>1980</v>
      </c>
      <c r="M2396">
        <v>8</v>
      </c>
      <c r="N2396" s="7" t="s">
        <v>1807</v>
      </c>
      <c r="O2396" s="1" t="s">
        <v>3586</v>
      </c>
      <c r="P2396" s="743">
        <v>4.0999999999999996</v>
      </c>
      <c r="Q2396" s="2" t="s">
        <v>1341</v>
      </c>
      <c r="R2396" s="8">
        <f>P2396*M2396</f>
        <v>32.799999999999997</v>
      </c>
    </row>
    <row r="2397" spans="5:18" ht="24" customHeight="1">
      <c r="G2397"/>
      <c r="M2397">
        <v>0.75</v>
      </c>
      <c r="N2397" s="7" t="s">
        <v>1591</v>
      </c>
      <c r="O2397" s="1" t="s">
        <v>3587</v>
      </c>
      <c r="P2397" s="545">
        <v>176.4</v>
      </c>
      <c r="Q2397" s="2" t="s">
        <v>1341</v>
      </c>
      <c r="R2397" s="8">
        <f t="shared" ref="R2397:R2402" si="251">(M2397*P2397)</f>
        <v>132.30000000000001</v>
      </c>
    </row>
    <row r="2398" spans="5:18" ht="24" customHeight="1">
      <c r="G2398"/>
      <c r="M2398">
        <v>2.25</v>
      </c>
      <c r="N2398" s="7" t="s">
        <v>3588</v>
      </c>
      <c r="O2398" s="1" t="s">
        <v>3589</v>
      </c>
      <c r="P2398" s="545">
        <v>140.41</v>
      </c>
      <c r="Q2398" s="2" t="s">
        <v>3588</v>
      </c>
      <c r="R2398" s="8">
        <f t="shared" si="251"/>
        <v>315.92</v>
      </c>
    </row>
    <row r="2399" spans="5:18" ht="24" customHeight="1">
      <c r="G2399"/>
      <c r="H2399" s="37" t="s">
        <v>940</v>
      </c>
      <c r="M2399">
        <v>4.5</v>
      </c>
      <c r="N2399" s="7" t="s">
        <v>3588</v>
      </c>
      <c r="O2399" s="1" t="s">
        <v>3590</v>
      </c>
      <c r="P2399" s="545">
        <v>65</v>
      </c>
      <c r="Q2399" s="2" t="s">
        <v>3588</v>
      </c>
      <c r="R2399" s="8">
        <f t="shared" si="251"/>
        <v>292.5</v>
      </c>
    </row>
    <row r="2400" spans="5:18" ht="34.5" customHeight="1">
      <c r="F2400">
        <v>1</v>
      </c>
      <c r="G2400" t="s">
        <v>1337</v>
      </c>
      <c r="H2400" s="821" t="s">
        <v>4842</v>
      </c>
      <c r="I2400" s="106">
        <v>450</v>
      </c>
      <c r="J2400" s="1" t="s">
        <v>835</v>
      </c>
      <c r="K2400" s="8">
        <f>(F2400*I2400)</f>
        <v>450</v>
      </c>
      <c r="M2400">
        <v>6</v>
      </c>
      <c r="N2400" s="7" t="s">
        <v>1807</v>
      </c>
      <c r="O2400" s="1" t="s">
        <v>3591</v>
      </c>
      <c r="P2400" s="545">
        <v>8</v>
      </c>
      <c r="Q2400" s="2" t="s">
        <v>1341</v>
      </c>
      <c r="R2400" s="8">
        <f t="shared" si="251"/>
        <v>48</v>
      </c>
    </row>
    <row r="2401" spans="6:18" ht="24" customHeight="1">
      <c r="F2401">
        <v>0.25</v>
      </c>
      <c r="G2401" t="s">
        <v>1337</v>
      </c>
      <c r="H2401" t="s">
        <v>332</v>
      </c>
      <c r="I2401">
        <f>I2387</f>
        <v>861</v>
      </c>
      <c r="J2401" s="1" t="s">
        <v>835</v>
      </c>
      <c r="K2401" s="8">
        <f>(F2401*I2401)</f>
        <v>215.25</v>
      </c>
      <c r="M2401">
        <v>6</v>
      </c>
      <c r="N2401" s="7" t="s">
        <v>1807</v>
      </c>
      <c r="O2401" s="1" t="s">
        <v>3592</v>
      </c>
      <c r="P2401" s="545">
        <v>8.61</v>
      </c>
      <c r="Q2401" s="2" t="s">
        <v>1341</v>
      </c>
      <c r="R2401" s="8">
        <f t="shared" si="251"/>
        <v>51.66</v>
      </c>
    </row>
    <row r="2402" spans="6:18" ht="24" customHeight="1">
      <c r="F2402">
        <v>0.28000000000000003</v>
      </c>
      <c r="G2402" t="s">
        <v>2199</v>
      </c>
      <c r="H2402" t="s">
        <v>622</v>
      </c>
      <c r="I2402">
        <f>C12</f>
        <v>562</v>
      </c>
      <c r="J2402" s="1" t="s">
        <v>835</v>
      </c>
      <c r="K2402" s="8">
        <f>(F2402*I2402)</f>
        <v>157.36000000000001</v>
      </c>
      <c r="M2402">
        <v>4</v>
      </c>
      <c r="N2402" s="7" t="s">
        <v>1807</v>
      </c>
      <c r="O2402" s="1" t="s">
        <v>3593</v>
      </c>
      <c r="P2402" s="545">
        <v>8.61</v>
      </c>
      <c r="Q2402" s="2" t="s">
        <v>1341</v>
      </c>
      <c r="R2402" s="8">
        <f t="shared" si="251"/>
        <v>34.44</v>
      </c>
    </row>
    <row r="2403" spans="6:18" ht="24" customHeight="1">
      <c r="G2403"/>
      <c r="H2403" s="60"/>
      <c r="J2403" s="1"/>
      <c r="K2403" s="8"/>
      <c r="M2403">
        <v>300</v>
      </c>
      <c r="N2403" s="7" t="s">
        <v>3594</v>
      </c>
      <c r="O2403" s="1" t="s">
        <v>3595</v>
      </c>
      <c r="P2403" s="545">
        <v>30</v>
      </c>
      <c r="Q2403" s="2" t="s">
        <v>4140</v>
      </c>
      <c r="R2403" s="8">
        <f>P2403*M2403/100</f>
        <v>90</v>
      </c>
    </row>
    <row r="2404" spans="6:18" ht="24" customHeight="1">
      <c r="G2404"/>
      <c r="K2404" s="8"/>
      <c r="M2404">
        <v>300</v>
      </c>
      <c r="N2404" s="7" t="s">
        <v>3594</v>
      </c>
      <c r="O2404" s="1" t="s">
        <v>3596</v>
      </c>
      <c r="P2404" s="545">
        <v>44.99</v>
      </c>
      <c r="Q2404" s="2" t="s">
        <v>4141</v>
      </c>
      <c r="R2404" s="8">
        <f>P2404*M2404/500</f>
        <v>26.99</v>
      </c>
    </row>
    <row r="2405" spans="6:18" ht="24" customHeight="1">
      <c r="G2405"/>
      <c r="K2405" s="69" t="s">
        <v>144</v>
      </c>
      <c r="M2405">
        <v>1.5</v>
      </c>
      <c r="N2405" s="7" t="s">
        <v>1591</v>
      </c>
      <c r="O2405" s="1" t="s">
        <v>3597</v>
      </c>
      <c r="P2405" s="545">
        <v>20.95</v>
      </c>
      <c r="Q2405" s="2" t="s">
        <v>1591</v>
      </c>
      <c r="R2405" s="8">
        <f>P2405*M2405</f>
        <v>31.43</v>
      </c>
    </row>
    <row r="2406" spans="6:18" ht="24" customHeight="1">
      <c r="G2406"/>
      <c r="K2406" s="39">
        <f>SUM(K2400:K2405)</f>
        <v>822.61</v>
      </c>
      <c r="M2406">
        <v>2.25</v>
      </c>
      <c r="N2406" s="7" t="s">
        <v>3588</v>
      </c>
      <c r="O2406" s="1" t="s">
        <v>4176</v>
      </c>
      <c r="P2406" s="545">
        <v>212.41</v>
      </c>
      <c r="Q2406" s="2" t="s">
        <v>3588</v>
      </c>
      <c r="R2406" s="8">
        <f>(M2406*P2406)</f>
        <v>477.92</v>
      </c>
    </row>
    <row r="2407" spans="6:18" ht="24" customHeight="1">
      <c r="G2407"/>
      <c r="K2407" s="69" t="s">
        <v>144</v>
      </c>
      <c r="M2407">
        <v>0.75</v>
      </c>
      <c r="N2407" s="7" t="s">
        <v>3588</v>
      </c>
      <c r="O2407" s="1" t="s">
        <v>3598</v>
      </c>
      <c r="P2407" s="545">
        <v>205.21</v>
      </c>
      <c r="Q2407" s="2" t="s">
        <v>3588</v>
      </c>
      <c r="R2407" s="8">
        <f>(M2407*P2407)</f>
        <v>153.91</v>
      </c>
    </row>
    <row r="2408" spans="6:18" ht="24" customHeight="1">
      <c r="G2408"/>
      <c r="K2408" s="8"/>
      <c r="M2408">
        <v>2.25</v>
      </c>
      <c r="N2408" s="7" t="s">
        <v>3588</v>
      </c>
      <c r="O2408" s="1" t="s">
        <v>3599</v>
      </c>
      <c r="P2408" s="545">
        <v>185.21</v>
      </c>
      <c r="Q2408" s="2" t="s">
        <v>3588</v>
      </c>
      <c r="R2408" s="8">
        <f>(M2408*P2408)</f>
        <v>416.72</v>
      </c>
    </row>
    <row r="2409" spans="6:18" ht="24" customHeight="1">
      <c r="G2409"/>
      <c r="M2409">
        <v>500</v>
      </c>
      <c r="N2409" s="7" t="s">
        <v>3594</v>
      </c>
      <c r="O2409" s="1" t="s">
        <v>3600</v>
      </c>
      <c r="P2409" s="545">
        <v>52.25</v>
      </c>
      <c r="Q2409" s="2" t="s">
        <v>1591</v>
      </c>
      <c r="R2409" s="8">
        <f>(M2409*P2409)/1000</f>
        <v>26.13</v>
      </c>
    </row>
    <row r="2410" spans="6:18" ht="24" customHeight="1">
      <c r="G2410"/>
      <c r="H2410" s="37" t="s">
        <v>2043</v>
      </c>
      <c r="M2410">
        <v>1</v>
      </c>
      <c r="N2410" s="7" t="s">
        <v>1807</v>
      </c>
      <c r="O2410" s="1" t="s">
        <v>3601</v>
      </c>
      <c r="P2410" s="545">
        <v>131.21</v>
      </c>
      <c r="Q2410" s="4" t="s">
        <v>4142</v>
      </c>
      <c r="R2410" s="443">
        <f>P2410/1</f>
        <v>131.21</v>
      </c>
    </row>
    <row r="2411" spans="6:18" ht="24" customHeight="1">
      <c r="F2411">
        <v>1</v>
      </c>
      <c r="G2411" t="s">
        <v>1337</v>
      </c>
      <c r="H2411" s="489" t="s">
        <v>4166</v>
      </c>
      <c r="I2411">
        <f>C622</f>
        <v>931</v>
      </c>
      <c r="J2411" s="1" t="s">
        <v>835</v>
      </c>
      <c r="K2411" s="8">
        <f>(F2411*I2411)</f>
        <v>931</v>
      </c>
      <c r="M2411">
        <v>1</v>
      </c>
      <c r="N2411" s="7" t="s">
        <v>1807</v>
      </c>
      <c r="O2411" s="1" t="s">
        <v>3602</v>
      </c>
      <c r="P2411" s="545">
        <v>12.3</v>
      </c>
      <c r="Q2411" s="4" t="s">
        <v>4142</v>
      </c>
      <c r="R2411" s="443">
        <f>P2411/1</f>
        <v>12.3</v>
      </c>
    </row>
    <row r="2412" spans="6:18" ht="24" customHeight="1">
      <c r="F2412">
        <v>0.5</v>
      </c>
      <c r="G2412" t="s">
        <v>1337</v>
      </c>
      <c r="H2412" t="s">
        <v>1983</v>
      </c>
      <c r="I2412">
        <f>C15</f>
        <v>747</v>
      </c>
      <c r="J2412" s="1" t="s">
        <v>835</v>
      </c>
      <c r="K2412" s="8">
        <f>(F2412*I2412)</f>
        <v>373.5</v>
      </c>
      <c r="M2412">
        <v>4</v>
      </c>
      <c r="N2412" s="7" t="s">
        <v>1807</v>
      </c>
      <c r="O2412" s="512" t="s">
        <v>3603</v>
      </c>
      <c r="P2412" s="8">
        <f>AE13</f>
        <v>688</v>
      </c>
      <c r="Q2412" s="2" t="s">
        <v>1341</v>
      </c>
      <c r="R2412" s="8">
        <f>(M2412*P2412)</f>
        <v>2752</v>
      </c>
    </row>
    <row r="2413" spans="6:18" ht="24" customHeight="1">
      <c r="F2413">
        <v>0.5</v>
      </c>
      <c r="G2413" t="s">
        <v>1337</v>
      </c>
      <c r="H2413" t="s">
        <v>332</v>
      </c>
      <c r="I2413">
        <f>I2401</f>
        <v>861</v>
      </c>
      <c r="J2413" s="1" t="s">
        <v>835</v>
      </c>
      <c r="K2413" s="8">
        <f>(F2413*I2413)</f>
        <v>430.5</v>
      </c>
      <c r="M2413">
        <v>2</v>
      </c>
      <c r="N2413" s="7" t="s">
        <v>1807</v>
      </c>
      <c r="O2413" s="512" t="s">
        <v>3604</v>
      </c>
      <c r="P2413" s="8">
        <f>AE14</f>
        <v>666</v>
      </c>
      <c r="Q2413" s="2" t="s">
        <v>1341</v>
      </c>
      <c r="R2413" s="8">
        <f>(M2413*P2413)</f>
        <v>1332</v>
      </c>
    </row>
    <row r="2414" spans="6:18" ht="24" customHeight="1">
      <c r="F2414">
        <v>0.5</v>
      </c>
      <c r="G2414" t="s">
        <v>2199</v>
      </c>
      <c r="H2414" t="s">
        <v>622</v>
      </c>
      <c r="I2414">
        <f>I2402</f>
        <v>562</v>
      </c>
      <c r="J2414" s="1" t="s">
        <v>835</v>
      </c>
      <c r="K2414" s="8">
        <f>(F2414*I2414)</f>
        <v>281</v>
      </c>
      <c r="M2414">
        <v>2</v>
      </c>
      <c r="N2414" s="7" t="s">
        <v>1807</v>
      </c>
      <c r="O2414" s="512" t="s">
        <v>3605</v>
      </c>
      <c r="P2414" s="8">
        <f>AE12</f>
        <v>461</v>
      </c>
      <c r="Q2414" s="2" t="s">
        <v>1341</v>
      </c>
      <c r="R2414" s="8">
        <f>(M2414*P2414)</f>
        <v>922</v>
      </c>
    </row>
    <row r="2415" spans="6:18" ht="24" customHeight="1">
      <c r="G2415"/>
      <c r="H2415" t="s">
        <v>286</v>
      </c>
      <c r="J2415" s="2" t="s">
        <v>66</v>
      </c>
      <c r="K2415" s="8">
        <v>0.25</v>
      </c>
      <c r="N2415" s="7"/>
      <c r="O2415" s="1" t="s">
        <v>3606</v>
      </c>
      <c r="P2415" s="8"/>
      <c r="Q2415" s="2"/>
      <c r="R2415" s="8">
        <v>20</v>
      </c>
    </row>
    <row r="2416" spans="6:18" ht="24" customHeight="1">
      <c r="G2416"/>
      <c r="K2416" s="8"/>
      <c r="N2416" s="3"/>
      <c r="P2416" s="8"/>
      <c r="Q2416" s="11"/>
      <c r="R2416" s="56" t="s">
        <v>3607</v>
      </c>
    </row>
    <row r="2417" spans="6:18" ht="24" customHeight="1">
      <c r="G2417"/>
      <c r="K2417" s="69" t="s">
        <v>144</v>
      </c>
      <c r="N2417" s="3"/>
      <c r="O2417" s="1" t="s">
        <v>3608</v>
      </c>
      <c r="Q2417" s="11"/>
      <c r="R2417">
        <f>SUM(R2394:R2416)</f>
        <v>7362.55</v>
      </c>
    </row>
    <row r="2418" spans="6:18" ht="26.25" customHeight="1">
      <c r="G2418"/>
      <c r="K2418" s="39">
        <f>SUM(K2411:K2417)</f>
        <v>2016.25</v>
      </c>
      <c r="N2418" s="3"/>
      <c r="O2418" s="37"/>
      <c r="P2418" s="37"/>
      <c r="Q2418" s="99"/>
      <c r="R2418" s="5" t="s">
        <v>1980</v>
      </c>
    </row>
    <row r="2419" spans="6:18" ht="24" customHeight="1">
      <c r="G2419"/>
      <c r="K2419" s="69" t="s">
        <v>144</v>
      </c>
      <c r="N2419" s="3"/>
      <c r="O2419" s="37" t="s">
        <v>3174</v>
      </c>
      <c r="P2419" s="37"/>
      <c r="Q2419" s="99"/>
      <c r="R2419" s="42">
        <f>R2417/5.67</f>
        <v>1298.51</v>
      </c>
    </row>
    <row r="2420" spans="6:18" ht="32.25" customHeight="1">
      <c r="G2420"/>
      <c r="K2420" s="2"/>
    </row>
    <row r="2421" spans="6:18" ht="24" customHeight="1">
      <c r="G2421"/>
      <c r="K2421" s="2"/>
    </row>
    <row r="2422" spans="6:18" ht="24" customHeight="1">
      <c r="G2422"/>
      <c r="K2422" s="2"/>
    </row>
    <row r="2423" spans="6:18" ht="24" customHeight="1">
      <c r="F2423" s="61" t="s">
        <v>898</v>
      </c>
      <c r="G2423" s="61"/>
      <c r="H2423" s="1542" t="s">
        <v>322</v>
      </c>
      <c r="I2423" s="1542"/>
      <c r="J2423" s="1542"/>
      <c r="K2423" s="1542"/>
    </row>
    <row r="2424" spans="6:18" ht="24" customHeight="1">
      <c r="F2424" s="61"/>
      <c r="G2424" s="61"/>
      <c r="H2424" s="61"/>
      <c r="I2424" s="61"/>
      <c r="J2424" s="72"/>
      <c r="K2424" s="55"/>
    </row>
    <row r="2425" spans="6:18" ht="24" customHeight="1">
      <c r="F2425" s="64">
        <v>10.5</v>
      </c>
      <c r="G2425" s="65" t="s">
        <v>2199</v>
      </c>
      <c r="H2425" s="1540" t="s">
        <v>4843</v>
      </c>
      <c r="I2425" s="52">
        <v>315</v>
      </c>
      <c r="J2425" s="62" t="s">
        <v>2199</v>
      </c>
      <c r="K2425" s="64">
        <f>(F2425*I2425)</f>
        <v>3307.5</v>
      </c>
    </row>
    <row r="2426" spans="6:18" ht="24" customHeight="1">
      <c r="F2426" s="55"/>
      <c r="G2426" s="54"/>
      <c r="H2426" s="1541"/>
      <c r="I2426" s="62" t="s">
        <v>940</v>
      </c>
      <c r="J2426" s="72"/>
      <c r="K2426" s="62" t="s">
        <v>940</v>
      </c>
    </row>
    <row r="2427" spans="6:18" ht="24" customHeight="1">
      <c r="F2427" s="64">
        <v>0.22</v>
      </c>
      <c r="G2427" s="65" t="s">
        <v>836</v>
      </c>
      <c r="H2427" s="62" t="s">
        <v>1810</v>
      </c>
      <c r="I2427" s="64">
        <f>K32</f>
        <v>4361.62</v>
      </c>
      <c r="J2427" s="62" t="s">
        <v>836</v>
      </c>
      <c r="K2427" s="64">
        <f>(F2427*I2427)</f>
        <v>959.56</v>
      </c>
    </row>
    <row r="2428" spans="6:18" ht="24" customHeight="1">
      <c r="F2428" s="64">
        <v>64</v>
      </c>
      <c r="G2428" s="65" t="s">
        <v>1591</v>
      </c>
      <c r="H2428" s="62" t="s">
        <v>323</v>
      </c>
      <c r="I2428" s="64">
        <f>C70</f>
        <v>5960</v>
      </c>
      <c r="J2428" s="62" t="s">
        <v>324</v>
      </c>
      <c r="K2428" s="64">
        <f>I2428*F2428/1000</f>
        <v>381.44</v>
      </c>
    </row>
    <row r="2429" spans="6:18" ht="24" customHeight="1">
      <c r="F2429" s="64">
        <v>4.5</v>
      </c>
      <c r="G2429" s="65" t="s">
        <v>1591</v>
      </c>
      <c r="H2429" s="501" t="s">
        <v>4167</v>
      </c>
      <c r="I2429" s="64">
        <f>C611</f>
        <v>24.7</v>
      </c>
      <c r="J2429" s="62" t="s">
        <v>1591</v>
      </c>
      <c r="K2429" s="64">
        <f>F2429*I2429</f>
        <v>111.15</v>
      </c>
    </row>
    <row r="2430" spans="6:18" ht="24" customHeight="1">
      <c r="F2430" s="64">
        <v>5.4</v>
      </c>
      <c r="G2430" s="65" t="s">
        <v>739</v>
      </c>
      <c r="H2430" s="1" t="s">
        <v>325</v>
      </c>
      <c r="I2430" s="64">
        <f>C11</f>
        <v>804</v>
      </c>
      <c r="J2430" s="62" t="s">
        <v>739</v>
      </c>
      <c r="K2430" s="64">
        <f>(F2430*I2430)</f>
        <v>4341.6000000000004</v>
      </c>
      <c r="M2430" s="61" t="s">
        <v>898</v>
      </c>
      <c r="N2430" s="61"/>
      <c r="O2430" s="1535" t="s">
        <v>2727</v>
      </c>
      <c r="P2430" s="1535"/>
      <c r="Q2430" s="1535"/>
      <c r="R2430" s="1535"/>
    </row>
    <row r="2431" spans="6:18" ht="24" customHeight="1">
      <c r="F2431" s="64">
        <v>2.16</v>
      </c>
      <c r="G2431" s="65" t="s">
        <v>739</v>
      </c>
      <c r="H2431" s="62" t="s">
        <v>326</v>
      </c>
      <c r="I2431" s="64">
        <f>C12</f>
        <v>562</v>
      </c>
      <c r="J2431" s="62" t="s">
        <v>739</v>
      </c>
      <c r="K2431" s="64">
        <f>(F2431*I2431)</f>
        <v>1213.92</v>
      </c>
      <c r="M2431" s="61"/>
      <c r="N2431" s="61"/>
      <c r="O2431" s="61"/>
      <c r="P2431" s="61"/>
      <c r="Q2431" s="72"/>
      <c r="R2431" s="55"/>
    </row>
    <row r="2432" spans="6:18" ht="24" customHeight="1">
      <c r="F2432" s="64">
        <v>6.5</v>
      </c>
      <c r="G2432" s="65" t="s">
        <v>739</v>
      </c>
      <c r="H2432" s="62" t="s">
        <v>1177</v>
      </c>
      <c r="I2432" s="64">
        <f>C13</f>
        <v>461</v>
      </c>
      <c r="J2432" s="62" t="s">
        <v>739</v>
      </c>
      <c r="K2432" s="64">
        <f>(F2432*I2432)</f>
        <v>2996.5</v>
      </c>
      <c r="M2432" s="64">
        <v>10.5</v>
      </c>
      <c r="N2432" s="65" t="s">
        <v>2199</v>
      </c>
      <c r="O2432" s="1536" t="s">
        <v>4890</v>
      </c>
      <c r="P2432" s="423">
        <v>480</v>
      </c>
      <c r="Q2432" s="62" t="s">
        <v>2199</v>
      </c>
      <c r="R2432" s="64">
        <f>(M2432*P2432)</f>
        <v>5040</v>
      </c>
    </row>
    <row r="2433" spans="6:18" ht="24" customHeight="1">
      <c r="F2433" s="64"/>
      <c r="G2433" s="65"/>
      <c r="H2433" s="62"/>
      <c r="I2433" s="64"/>
      <c r="J2433" s="62" t="s">
        <v>739</v>
      </c>
      <c r="K2433" s="64">
        <v>0</v>
      </c>
      <c r="M2433" s="55"/>
      <c r="N2433" s="54"/>
      <c r="O2433" s="1537"/>
      <c r="P2433" s="62" t="s">
        <v>940</v>
      </c>
      <c r="Q2433" s="72"/>
      <c r="R2433" s="62" t="s">
        <v>940</v>
      </c>
    </row>
    <row r="2434" spans="6:18" ht="24" customHeight="1">
      <c r="F2434" s="66"/>
      <c r="G2434" s="65"/>
      <c r="H2434" s="55"/>
      <c r="I2434" s="64"/>
      <c r="J2434" s="62"/>
      <c r="K2434" s="64"/>
      <c r="M2434" s="64">
        <v>0.22</v>
      </c>
      <c r="N2434" s="65" t="s">
        <v>836</v>
      </c>
      <c r="O2434" s="62" t="s">
        <v>1810</v>
      </c>
      <c r="P2434" s="64">
        <f t="shared" ref="P2434:P2439" si="252">I2427</f>
        <v>4361.62</v>
      </c>
      <c r="Q2434" s="62" t="s">
        <v>836</v>
      </c>
      <c r="R2434" s="64">
        <f>(M2434*P2434)</f>
        <v>959.56</v>
      </c>
    </row>
    <row r="2435" spans="6:18" ht="24" customHeight="1">
      <c r="F2435" s="64"/>
      <c r="G2435" s="65"/>
      <c r="H2435" s="34" t="s">
        <v>411</v>
      </c>
      <c r="I2435" s="55"/>
      <c r="J2435" s="72"/>
      <c r="K2435" s="67" t="s">
        <v>144</v>
      </c>
      <c r="M2435" s="64">
        <v>64</v>
      </c>
      <c r="N2435" s="65" t="s">
        <v>1591</v>
      </c>
      <c r="O2435" s="62" t="s">
        <v>323</v>
      </c>
      <c r="P2435" s="64">
        <f t="shared" si="252"/>
        <v>5960</v>
      </c>
      <c r="Q2435" s="62" t="s">
        <v>324</v>
      </c>
      <c r="R2435" s="64">
        <f>P2435*M2435/1000</f>
        <v>381.44</v>
      </c>
    </row>
    <row r="2436" spans="6:18" ht="24" customHeight="1">
      <c r="F2436" s="64"/>
      <c r="G2436" s="65"/>
      <c r="H2436" s="34"/>
      <c r="I2436" s="55"/>
      <c r="J2436" s="72"/>
      <c r="K2436" s="39">
        <f>SUM(K2425:K2433)</f>
        <v>13311.67</v>
      </c>
      <c r="M2436" s="64">
        <v>4.5</v>
      </c>
      <c r="N2436" s="65" t="s">
        <v>1591</v>
      </c>
      <c r="O2436" s="62" t="s">
        <v>2844</v>
      </c>
      <c r="P2436" s="64">
        <f t="shared" si="252"/>
        <v>24.7</v>
      </c>
      <c r="Q2436" s="62" t="s">
        <v>1591</v>
      </c>
      <c r="R2436" s="64">
        <f>M2436*P2436</f>
        <v>111.15</v>
      </c>
    </row>
    <row r="2437" spans="6:18" ht="24" customHeight="1">
      <c r="F2437" s="64"/>
      <c r="G2437" s="65"/>
      <c r="H2437" s="34"/>
      <c r="I2437" s="64"/>
      <c r="J2437" s="62"/>
      <c r="K2437" s="68" t="s">
        <v>1178</v>
      </c>
      <c r="M2437" s="64">
        <v>5.4</v>
      </c>
      <c r="N2437" s="65" t="s">
        <v>739</v>
      </c>
      <c r="O2437" s="62" t="s">
        <v>325</v>
      </c>
      <c r="P2437" s="64">
        <f t="shared" si="252"/>
        <v>804</v>
      </c>
      <c r="Q2437" s="62" t="s">
        <v>739</v>
      </c>
      <c r="R2437" s="64">
        <f>(M2437*P2437)</f>
        <v>4341.6000000000004</v>
      </c>
    </row>
    <row r="2438" spans="6:18" ht="24" customHeight="1">
      <c r="F2438" s="62"/>
      <c r="G2438" s="54"/>
      <c r="H2438" s="34" t="s">
        <v>521</v>
      </c>
      <c r="I2438" s="62"/>
      <c r="J2438" s="72"/>
      <c r="K2438" s="42">
        <f>K2436/10</f>
        <v>1331.17</v>
      </c>
      <c r="M2438" s="64">
        <v>2.16</v>
      </c>
      <c r="N2438" s="65" t="s">
        <v>739</v>
      </c>
      <c r="O2438" s="62" t="s">
        <v>326</v>
      </c>
      <c r="P2438" s="64">
        <f t="shared" si="252"/>
        <v>562</v>
      </c>
      <c r="Q2438" s="62" t="s">
        <v>739</v>
      </c>
      <c r="R2438" s="64">
        <f>(M2438*P2438)</f>
        <v>1213.92</v>
      </c>
    </row>
    <row r="2439" spans="6:18" ht="24" customHeight="1">
      <c r="K2439" s="56" t="s">
        <v>144</v>
      </c>
      <c r="M2439" s="64">
        <v>6.5</v>
      </c>
      <c r="N2439" s="65" t="s">
        <v>739</v>
      </c>
      <c r="O2439" s="62" t="s">
        <v>1177</v>
      </c>
      <c r="P2439" s="64">
        <f t="shared" si="252"/>
        <v>461</v>
      </c>
      <c r="Q2439" s="62" t="s">
        <v>739</v>
      </c>
      <c r="R2439" s="64">
        <f>(M2439*P2439)</f>
        <v>2996.5</v>
      </c>
    </row>
    <row r="2440" spans="6:18" ht="24" customHeight="1">
      <c r="M2440" s="64"/>
      <c r="N2440" s="65"/>
      <c r="O2440" s="62"/>
      <c r="P2440" s="64"/>
      <c r="Q2440" s="62" t="s">
        <v>739</v>
      </c>
      <c r="R2440" s="64">
        <f>(M2440*P2440)</f>
        <v>0</v>
      </c>
    </row>
    <row r="2441" spans="6:18" ht="24" customHeight="1">
      <c r="M2441" s="66"/>
      <c r="N2441" s="65"/>
      <c r="O2441" s="55"/>
      <c r="P2441" s="64"/>
      <c r="Q2441" s="62"/>
      <c r="R2441" s="64"/>
    </row>
    <row r="2442" spans="6:18" ht="24" customHeight="1">
      <c r="F2442" s="64"/>
      <c r="G2442" s="65"/>
      <c r="H2442" s="34" t="s">
        <v>1179</v>
      </c>
      <c r="I2442" s="64"/>
      <c r="J2442" s="62"/>
      <c r="K2442" s="64"/>
      <c r="M2442" s="64"/>
      <c r="N2442" s="65"/>
      <c r="O2442" s="34" t="s">
        <v>411</v>
      </c>
      <c r="P2442" s="55"/>
      <c r="Q2442" s="72"/>
      <c r="R2442" s="67" t="s">
        <v>144</v>
      </c>
    </row>
    <row r="2443" spans="6:18" ht="24" customHeight="1">
      <c r="F2443" s="64"/>
      <c r="G2443" s="65"/>
      <c r="H2443" s="55"/>
      <c r="I2443" s="64"/>
      <c r="J2443" s="62"/>
      <c r="K2443" s="55"/>
      <c r="M2443" s="64"/>
      <c r="N2443" s="65"/>
      <c r="O2443" s="34"/>
      <c r="P2443" s="55"/>
      <c r="Q2443" s="72"/>
      <c r="R2443" s="39">
        <f>SUM(R2432:R2440)</f>
        <v>15044.17</v>
      </c>
    </row>
    <row r="2444" spans="6:18" ht="24" customHeight="1">
      <c r="F2444" s="64">
        <v>10</v>
      </c>
      <c r="G2444" s="65" t="s">
        <v>2199</v>
      </c>
      <c r="H2444" s="62" t="s">
        <v>205</v>
      </c>
      <c r="I2444" s="64">
        <f>K1216</f>
        <v>445.26</v>
      </c>
      <c r="J2444" s="62" t="s">
        <v>2199</v>
      </c>
      <c r="K2444" s="64">
        <f>F2444*I2444</f>
        <v>4452.6000000000004</v>
      </c>
      <c r="M2444" s="64"/>
      <c r="N2444" s="65"/>
      <c r="O2444" s="34"/>
      <c r="P2444" s="64"/>
      <c r="Q2444" s="62"/>
      <c r="R2444" s="68" t="s">
        <v>1178</v>
      </c>
    </row>
    <row r="2445" spans="6:18" ht="24" customHeight="1">
      <c r="F2445" s="55">
        <v>9.8000000000000007</v>
      </c>
      <c r="G2445" s="65" t="s">
        <v>1591</v>
      </c>
      <c r="H2445" t="s">
        <v>3699</v>
      </c>
      <c r="I2445" s="64">
        <f>C151</f>
        <v>143.80000000000001</v>
      </c>
      <c r="J2445" s="62" t="s">
        <v>1591</v>
      </c>
      <c r="K2445" s="64">
        <f>F2445*I2445</f>
        <v>1409.24</v>
      </c>
      <c r="M2445" s="62"/>
      <c r="N2445" s="54"/>
      <c r="O2445" s="34" t="s">
        <v>521</v>
      </c>
      <c r="P2445" s="62"/>
      <c r="Q2445" s="72"/>
      <c r="R2445" s="42">
        <f>R2443/10</f>
        <v>1504.42</v>
      </c>
    </row>
    <row r="2446" spans="6:18" ht="24" customHeight="1">
      <c r="F2446" s="55">
        <v>1.1000000000000001</v>
      </c>
      <c r="G2446" s="54" t="s">
        <v>1807</v>
      </c>
      <c r="H2446" s="62" t="s">
        <v>1938</v>
      </c>
      <c r="I2446" s="55">
        <f>I2413</f>
        <v>861</v>
      </c>
      <c r="J2446" s="72" t="s">
        <v>1341</v>
      </c>
      <c r="K2446" s="55">
        <f>F2446*I2446</f>
        <v>947.1</v>
      </c>
      <c r="N2446" s="3"/>
      <c r="Q2446" s="11"/>
      <c r="R2446" s="56" t="s">
        <v>144</v>
      </c>
    </row>
    <row r="2447" spans="6:18" ht="24" customHeight="1">
      <c r="F2447" s="55"/>
      <c r="G2447" s="54"/>
      <c r="H2447" t="s">
        <v>2187</v>
      </c>
      <c r="I2447" s="55"/>
      <c r="J2447" s="72"/>
      <c r="K2447" s="55">
        <v>0.2</v>
      </c>
    </row>
    <row r="2448" spans="6:18" ht="24" customHeight="1">
      <c r="F2448" s="55"/>
      <c r="G2448" s="54"/>
      <c r="H2448" s="55"/>
      <c r="I2448" s="55"/>
      <c r="J2448" s="72"/>
      <c r="K2448" s="63" t="s">
        <v>1980</v>
      </c>
    </row>
    <row r="2449" spans="6:11" ht="24" customHeight="1">
      <c r="F2449" s="62" t="s">
        <v>940</v>
      </c>
      <c r="G2449" s="54"/>
      <c r="H2449" s="34" t="s">
        <v>411</v>
      </c>
      <c r="I2449" s="55"/>
      <c r="J2449" s="72"/>
      <c r="K2449" s="37">
        <f>SUM(K2444:K2447)</f>
        <v>6809.14</v>
      </c>
    </row>
    <row r="2450" spans="6:11" ht="24" customHeight="1">
      <c r="F2450" s="55"/>
      <c r="G2450" s="54"/>
      <c r="H2450" s="55"/>
      <c r="I2450" s="55"/>
      <c r="J2450" s="72"/>
      <c r="K2450" s="71" t="s">
        <v>144</v>
      </c>
    </row>
    <row r="2451" spans="6:11" ht="24" customHeight="1">
      <c r="F2451" s="62" t="s">
        <v>940</v>
      </c>
      <c r="G2451" s="54"/>
      <c r="H2451" s="34" t="s">
        <v>521</v>
      </c>
      <c r="I2451" s="55"/>
      <c r="J2451" s="72"/>
      <c r="K2451" s="42">
        <f>K2449/10</f>
        <v>680.91</v>
      </c>
    </row>
    <row r="2452" spans="6:11" ht="24" customHeight="1">
      <c r="F2452" s="55"/>
      <c r="G2452" s="54"/>
      <c r="I2452" s="55"/>
      <c r="J2452" s="72"/>
      <c r="K2452" s="56" t="s">
        <v>144</v>
      </c>
    </row>
    <row r="2453" spans="6:11" ht="24" customHeight="1">
      <c r="F2453" s="55"/>
      <c r="G2453" s="54"/>
      <c r="H2453" s="55"/>
      <c r="I2453" s="55"/>
      <c r="J2453" s="72"/>
      <c r="K2453" s="55"/>
    </row>
    <row r="2454" spans="6:11" ht="24" customHeight="1">
      <c r="F2454" s="55"/>
      <c r="G2454" s="54"/>
      <c r="H2454" s="55"/>
      <c r="I2454" s="55"/>
      <c r="J2454" s="72"/>
      <c r="K2454" s="55"/>
    </row>
    <row r="2455" spans="6:11" ht="24" customHeight="1">
      <c r="F2455" s="55"/>
      <c r="G2455" s="54"/>
      <c r="H2455" s="55"/>
      <c r="I2455" s="55"/>
      <c r="J2455" s="72"/>
      <c r="K2455" s="55"/>
    </row>
    <row r="2456" spans="6:11" ht="24" customHeight="1">
      <c r="F2456" s="55"/>
      <c r="G2456" s="54"/>
      <c r="H2456" s="55"/>
      <c r="I2456" s="55"/>
      <c r="J2456" s="72"/>
      <c r="K2456" s="55"/>
    </row>
    <row r="2457" spans="6:11" ht="24" customHeight="1">
      <c r="F2457" s="55"/>
      <c r="G2457" s="54"/>
      <c r="H2457" s="37" t="s">
        <v>206</v>
      </c>
      <c r="I2457" s="55"/>
      <c r="J2457" s="72"/>
      <c r="K2457" s="55"/>
    </row>
    <row r="2458" spans="6:11" ht="24" customHeight="1">
      <c r="F2458" s="55"/>
      <c r="G2458" s="54"/>
      <c r="H2458" s="55"/>
      <c r="I2458" s="55"/>
      <c r="J2458" s="72"/>
      <c r="K2458" s="55"/>
    </row>
    <row r="2459" spans="6:11" ht="24" customHeight="1">
      <c r="F2459" s="72" t="s">
        <v>207</v>
      </c>
      <c r="G2459" s="72"/>
      <c r="H2459" s="72"/>
      <c r="I2459" s="55">
        <v>15.21</v>
      </c>
      <c r="J2459" s="72" t="s">
        <v>337</v>
      </c>
      <c r="K2459" s="55"/>
    </row>
    <row r="2460" spans="6:11" ht="24" customHeight="1">
      <c r="F2460" s="55" t="s">
        <v>208</v>
      </c>
      <c r="G2460" s="54"/>
      <c r="H2460" s="55"/>
      <c r="I2460" s="55">
        <v>22.61</v>
      </c>
      <c r="J2460" s="72" t="s">
        <v>337</v>
      </c>
      <c r="K2460" s="55"/>
    </row>
    <row r="2461" spans="6:11" ht="24" customHeight="1">
      <c r="F2461" s="55" t="s">
        <v>477</v>
      </c>
      <c r="G2461" s="54"/>
      <c r="H2461" s="55"/>
      <c r="I2461" s="55">
        <v>3.24</v>
      </c>
      <c r="J2461" s="72" t="s">
        <v>337</v>
      </c>
      <c r="K2461" s="55"/>
    </row>
    <row r="2462" spans="6:11" ht="24" customHeight="1">
      <c r="F2462" s="55" t="s">
        <v>478</v>
      </c>
      <c r="G2462" s="54"/>
      <c r="H2462" s="55"/>
      <c r="I2462" s="55">
        <v>2.16</v>
      </c>
      <c r="J2462" s="72" t="s">
        <v>337</v>
      </c>
      <c r="K2462" s="55"/>
    </row>
    <row r="2463" spans="6:11" ht="24" customHeight="1">
      <c r="F2463" s="55"/>
      <c r="G2463" s="54"/>
      <c r="H2463" s="55"/>
      <c r="I2463" s="55"/>
      <c r="J2463" s="72"/>
      <c r="K2463" s="55"/>
    </row>
    <row r="2464" spans="6:11" ht="24" customHeight="1">
      <c r="F2464" s="55"/>
      <c r="G2464" s="54"/>
      <c r="H2464" s="55"/>
      <c r="I2464" s="57" t="s">
        <v>144</v>
      </c>
      <c r="J2464" s="72"/>
      <c r="K2464" s="55"/>
    </row>
    <row r="2465" spans="6:11" ht="24" customHeight="1">
      <c r="F2465" s="55"/>
      <c r="G2465" s="54"/>
      <c r="H2465" s="55"/>
      <c r="I2465" s="55">
        <f>SUM(I2459:I2463)</f>
        <v>43.22</v>
      </c>
      <c r="J2465" s="72"/>
      <c r="K2465" s="55"/>
    </row>
    <row r="2466" spans="6:11" ht="24" customHeight="1">
      <c r="F2466" s="55"/>
      <c r="G2466" s="54"/>
      <c r="H2466" s="55"/>
      <c r="I2466" s="55" t="s">
        <v>1631</v>
      </c>
      <c r="J2466" s="72"/>
      <c r="K2466" s="55"/>
    </row>
    <row r="2467" spans="6:11" ht="24" customHeight="1">
      <c r="F2467" s="55"/>
      <c r="G2467" s="54"/>
      <c r="H2467" s="55"/>
      <c r="I2467" s="55"/>
      <c r="J2467" s="72"/>
      <c r="K2467" s="55"/>
    </row>
    <row r="2468" spans="6:11" ht="24" customHeight="1">
      <c r="F2468" s="55"/>
      <c r="G2468" s="54"/>
      <c r="H2468" s="55"/>
      <c r="I2468" s="55"/>
      <c r="J2468" s="72"/>
      <c r="K2468" s="55"/>
    </row>
    <row r="2469" spans="6:11" ht="24" customHeight="1">
      <c r="F2469" s="55">
        <v>43.22</v>
      </c>
      <c r="G2469" s="54" t="s">
        <v>1591</v>
      </c>
      <c r="H2469" s="500" t="s">
        <v>479</v>
      </c>
      <c r="I2469" s="55">
        <f>C663</f>
        <v>62.6</v>
      </c>
      <c r="J2469" s="72" t="s">
        <v>1591</v>
      </c>
      <c r="K2469" s="55">
        <f>I2469*F2469</f>
        <v>2705.57</v>
      </c>
    </row>
    <row r="2470" spans="6:11" ht="24" customHeight="1">
      <c r="F2470" s="55">
        <v>0.81</v>
      </c>
      <c r="G2470" s="54" t="s">
        <v>2199</v>
      </c>
      <c r="H2470" s="55" t="s">
        <v>2044</v>
      </c>
      <c r="I2470" s="55">
        <f>C202</f>
        <v>339</v>
      </c>
      <c r="J2470" s="72" t="s">
        <v>2199</v>
      </c>
      <c r="K2470" s="55">
        <f>I2470*F2470</f>
        <v>274.58999999999997</v>
      </c>
    </row>
    <row r="2471" spans="6:11" ht="24" customHeight="1">
      <c r="F2471" s="55">
        <v>0.81</v>
      </c>
      <c r="G2471" s="54" t="s">
        <v>2199</v>
      </c>
      <c r="H2471" s="55" t="s">
        <v>1883</v>
      </c>
      <c r="I2471" s="55">
        <f>D202</f>
        <v>104</v>
      </c>
      <c r="J2471" s="72" t="s">
        <v>2199</v>
      </c>
      <c r="K2471" s="55">
        <f>I2471*F2471</f>
        <v>84.24</v>
      </c>
    </row>
    <row r="2472" spans="6:11" ht="24" customHeight="1">
      <c r="F2472" s="55"/>
      <c r="G2472" s="54"/>
      <c r="H2472" s="55" t="s">
        <v>481</v>
      </c>
      <c r="I2472" s="490">
        <f>46.61</f>
        <v>46.61</v>
      </c>
      <c r="J2472" s="72" t="s">
        <v>419</v>
      </c>
      <c r="K2472" s="55">
        <f>I2472</f>
        <v>46.61</v>
      </c>
    </row>
    <row r="2473" spans="6:11" ht="24" customHeight="1">
      <c r="F2473" s="55"/>
      <c r="G2473" s="54"/>
      <c r="H2473" s="55"/>
      <c r="I2473" s="55"/>
      <c r="J2473" s="72"/>
      <c r="K2473" s="57" t="s">
        <v>144</v>
      </c>
    </row>
    <row r="2474" spans="6:11" ht="24" customHeight="1">
      <c r="F2474" s="55"/>
      <c r="G2474" s="54"/>
      <c r="H2474" s="37" t="s">
        <v>482</v>
      </c>
      <c r="I2474" s="55"/>
      <c r="J2474" s="72"/>
      <c r="K2474" s="37">
        <f>SUM(K2469:K2472)</f>
        <v>3111.01</v>
      </c>
    </row>
    <row r="2475" spans="6:11" ht="24" customHeight="1">
      <c r="F2475" s="55"/>
      <c r="G2475" s="54"/>
      <c r="H2475" s="55">
        <f>0.6*1.35</f>
        <v>0.81</v>
      </c>
      <c r="I2475" s="55"/>
      <c r="J2475" s="72"/>
      <c r="K2475" s="57" t="s">
        <v>144</v>
      </c>
    </row>
    <row r="2476" spans="6:11" ht="24" customHeight="1">
      <c r="F2476" s="55"/>
      <c r="G2476" s="54"/>
      <c r="H2476" s="37" t="s">
        <v>476</v>
      </c>
      <c r="I2476" s="55"/>
      <c r="J2476" s="72"/>
      <c r="K2476" s="37">
        <f>K2474/H2475</f>
        <v>3840.75</v>
      </c>
    </row>
    <row r="2477" spans="6:11" ht="24" customHeight="1">
      <c r="F2477" s="55"/>
      <c r="G2477" s="54"/>
      <c r="H2477" s="55"/>
      <c r="I2477" s="55"/>
      <c r="J2477" s="72"/>
      <c r="K2477" s="55"/>
    </row>
    <row r="2478" spans="6:11" ht="24" customHeight="1">
      <c r="F2478" s="72" t="s">
        <v>2057</v>
      </c>
      <c r="G2478" s="72"/>
      <c r="H2478" s="72"/>
      <c r="I2478" s="55">
        <v>11.78</v>
      </c>
      <c r="J2478" s="72" t="s">
        <v>337</v>
      </c>
      <c r="K2478" s="55"/>
    </row>
    <row r="2479" spans="6:11" ht="24" customHeight="1">
      <c r="F2479" s="55" t="s">
        <v>1298</v>
      </c>
      <c r="G2479" s="54"/>
      <c r="H2479" s="55"/>
      <c r="I2479" s="55">
        <v>15.07</v>
      </c>
      <c r="J2479" s="72" t="s">
        <v>337</v>
      </c>
      <c r="K2479" s="55"/>
    </row>
    <row r="2480" spans="6:11" ht="24" customHeight="1">
      <c r="F2480" s="55" t="s">
        <v>1961</v>
      </c>
      <c r="G2480" s="54"/>
      <c r="H2480" s="55"/>
      <c r="I2480" s="55">
        <v>2.16</v>
      </c>
      <c r="J2480" s="72" t="s">
        <v>337</v>
      </c>
      <c r="K2480" s="55"/>
    </row>
    <row r="2481" spans="6:11" ht="24" customHeight="1">
      <c r="F2481" s="55" t="s">
        <v>478</v>
      </c>
      <c r="G2481" s="54"/>
      <c r="H2481" s="55"/>
      <c r="I2481" s="55">
        <v>2.16</v>
      </c>
      <c r="J2481" s="72" t="s">
        <v>337</v>
      </c>
      <c r="K2481" s="55"/>
    </row>
    <row r="2482" spans="6:11" ht="24" customHeight="1">
      <c r="F2482" s="55" t="s">
        <v>510</v>
      </c>
      <c r="G2482" s="54"/>
      <c r="H2482" s="55"/>
      <c r="I2482" s="55">
        <f>1.91-0.08</f>
        <v>1.83</v>
      </c>
      <c r="J2482" s="72"/>
      <c r="K2482" s="55"/>
    </row>
    <row r="2483" spans="6:11" ht="24" customHeight="1">
      <c r="F2483" s="55"/>
      <c r="G2483" s="54"/>
      <c r="H2483" s="55"/>
      <c r="I2483" s="57" t="s">
        <v>846</v>
      </c>
      <c r="J2483" s="72"/>
      <c r="K2483" s="55"/>
    </row>
    <row r="2484" spans="6:11" ht="24" customHeight="1">
      <c r="F2484" s="55"/>
      <c r="G2484" s="54"/>
      <c r="H2484" s="55"/>
      <c r="I2484" s="37">
        <f>SUM(I2478:I2482)</f>
        <v>33</v>
      </c>
      <c r="J2484" s="72" t="s">
        <v>337</v>
      </c>
      <c r="K2484" s="55"/>
    </row>
    <row r="2485" spans="6:11" ht="24" customHeight="1">
      <c r="F2485" s="55"/>
      <c r="G2485" s="54"/>
      <c r="H2485" s="55"/>
      <c r="I2485" s="57" t="s">
        <v>846</v>
      </c>
      <c r="J2485" s="72"/>
      <c r="K2485" s="55"/>
    </row>
    <row r="2486" spans="6:11" ht="24" customHeight="1">
      <c r="F2486" s="55"/>
      <c r="G2486" s="54"/>
      <c r="H2486" s="55"/>
      <c r="I2486" s="55"/>
      <c r="J2486" s="72"/>
      <c r="K2486" s="55"/>
    </row>
    <row r="2487" spans="6:11" ht="24" customHeight="1">
      <c r="F2487" s="55"/>
      <c r="G2487" s="54"/>
      <c r="H2487" s="55"/>
      <c r="I2487" s="55"/>
      <c r="J2487" s="72"/>
      <c r="K2487" s="55"/>
    </row>
    <row r="2488" spans="6:11" ht="24" customHeight="1">
      <c r="F2488" s="55">
        <f>I2484</f>
        <v>33</v>
      </c>
      <c r="G2488" s="54" t="s">
        <v>1591</v>
      </c>
      <c r="H2488" s="55" t="s">
        <v>479</v>
      </c>
      <c r="I2488" s="55">
        <f>I2469</f>
        <v>62.6</v>
      </c>
      <c r="J2488" s="72" t="s">
        <v>1591</v>
      </c>
      <c r="K2488" s="55">
        <f>I2488*F2488</f>
        <v>2065.8000000000002</v>
      </c>
    </row>
    <row r="2489" spans="6:11" ht="24" customHeight="1">
      <c r="F2489" s="55">
        <v>0.54</v>
      </c>
      <c r="G2489" s="54" t="s">
        <v>2199</v>
      </c>
      <c r="H2489" s="55" t="s">
        <v>2044</v>
      </c>
      <c r="I2489" s="55">
        <f>I2470</f>
        <v>339</v>
      </c>
      <c r="J2489" s="72" t="s">
        <v>2199</v>
      </c>
      <c r="K2489" s="55">
        <f>I2489*F2489</f>
        <v>183.06</v>
      </c>
    </row>
    <row r="2490" spans="6:11" ht="24" customHeight="1">
      <c r="F2490" s="55">
        <v>0.54</v>
      </c>
      <c r="G2490" s="54" t="s">
        <v>2199</v>
      </c>
      <c r="H2490" s="55" t="str">
        <f>H2471</f>
        <v>Fly proof  Mesh</v>
      </c>
      <c r="I2490" s="55">
        <f>I2471</f>
        <v>104</v>
      </c>
      <c r="J2490" s="72" t="s">
        <v>2199</v>
      </c>
      <c r="K2490" s="55">
        <f>I2490*F2490</f>
        <v>56.16</v>
      </c>
    </row>
    <row r="2491" spans="6:11" ht="24" customHeight="1">
      <c r="F2491" s="55"/>
      <c r="G2491" s="54"/>
      <c r="H2491" s="55" t="s">
        <v>481</v>
      </c>
      <c r="I2491" s="490">
        <v>53.5</v>
      </c>
      <c r="J2491" s="72" t="s">
        <v>419</v>
      </c>
      <c r="K2491" s="55">
        <v>52.8</v>
      </c>
    </row>
    <row r="2492" spans="6:11" ht="24" customHeight="1">
      <c r="F2492" s="55"/>
      <c r="G2492" s="54"/>
      <c r="H2492" s="55"/>
      <c r="I2492" s="55"/>
      <c r="J2492" s="72"/>
      <c r="K2492" s="57" t="s">
        <v>144</v>
      </c>
    </row>
    <row r="2493" spans="6:11" ht="24" customHeight="1">
      <c r="F2493" s="55"/>
      <c r="G2493" s="54"/>
      <c r="H2493" s="37" t="s">
        <v>482</v>
      </c>
      <c r="I2493" s="55"/>
      <c r="J2493" s="72"/>
      <c r="K2493" s="37">
        <f>SUM(K2488:K2491)</f>
        <v>2357.8200000000002</v>
      </c>
    </row>
    <row r="2494" spans="6:11" ht="24" customHeight="1">
      <c r="F2494" s="55"/>
      <c r="G2494" s="54"/>
      <c r="H2494" s="55"/>
      <c r="I2494" s="55"/>
      <c r="J2494" s="72"/>
      <c r="K2494" s="57" t="s">
        <v>144</v>
      </c>
    </row>
    <row r="2495" spans="6:11" ht="24" customHeight="1">
      <c r="F2495" s="55"/>
      <c r="G2495" s="54"/>
      <c r="H2495" s="55"/>
      <c r="I2495" s="37" t="s">
        <v>2726</v>
      </c>
      <c r="J2495" s="72"/>
      <c r="K2495" s="37">
        <f>K2493/0.54</f>
        <v>4366.33</v>
      </c>
    </row>
    <row r="2496" spans="6:11" ht="24" customHeight="1">
      <c r="F2496" s="55"/>
      <c r="G2496" s="54"/>
      <c r="H2496" s="55"/>
      <c r="I2496" s="55"/>
      <c r="J2496" s="72"/>
      <c r="K2496" s="55"/>
    </row>
    <row r="2497" spans="6:18" ht="24" customHeight="1">
      <c r="F2497" s="55"/>
      <c r="G2497" s="54"/>
      <c r="H2497" s="55"/>
      <c r="I2497" s="55"/>
      <c r="J2497" s="72"/>
      <c r="K2497" s="55"/>
    </row>
    <row r="2498" spans="6:18" ht="24" customHeight="1">
      <c r="F2498" s="55"/>
      <c r="G2498" s="54"/>
      <c r="H2498" s="37" t="s">
        <v>1922</v>
      </c>
      <c r="I2498" s="55"/>
      <c r="J2498" s="72"/>
      <c r="K2498" s="55"/>
    </row>
    <row r="2499" spans="6:18" ht="24" customHeight="1">
      <c r="F2499" s="55"/>
      <c r="G2499" s="54"/>
      <c r="H2499" s="55"/>
      <c r="I2499" s="55"/>
      <c r="J2499" s="72"/>
      <c r="K2499" s="55"/>
    </row>
    <row r="2500" spans="6:18" ht="24" customHeight="1">
      <c r="F2500" s="72" t="s">
        <v>1763</v>
      </c>
      <c r="G2500" s="72"/>
      <c r="H2500" s="72"/>
      <c r="I2500" s="55">
        <v>9.42</v>
      </c>
      <c r="J2500" s="72" t="s">
        <v>337</v>
      </c>
      <c r="K2500" s="72"/>
    </row>
    <row r="2501" spans="6:18" ht="24" customHeight="1">
      <c r="F2501" s="55" t="s">
        <v>1764</v>
      </c>
      <c r="G2501" s="54"/>
      <c r="H2501" s="55"/>
      <c r="I2501" s="55">
        <v>9.42</v>
      </c>
      <c r="J2501" s="72" t="s">
        <v>337</v>
      </c>
      <c r="K2501" s="72"/>
    </row>
    <row r="2502" spans="6:18" ht="24" customHeight="1">
      <c r="F2502" s="55" t="s">
        <v>69</v>
      </c>
      <c r="G2502" s="54"/>
      <c r="H2502" s="55"/>
      <c r="I2502" s="55">
        <v>1.44</v>
      </c>
      <c r="J2502" s="72" t="s">
        <v>337</v>
      </c>
      <c r="K2502" s="72"/>
    </row>
    <row r="2503" spans="6:18" ht="24" customHeight="1">
      <c r="F2503" s="55" t="s">
        <v>478</v>
      </c>
      <c r="G2503" s="54"/>
      <c r="H2503" s="55"/>
      <c r="I2503" s="55">
        <v>2.16</v>
      </c>
      <c r="J2503" s="72" t="s">
        <v>337</v>
      </c>
      <c r="K2503" s="72"/>
    </row>
    <row r="2504" spans="6:18" ht="24" customHeight="1">
      <c r="F2504" s="55" t="s">
        <v>510</v>
      </c>
      <c r="G2504" s="54"/>
      <c r="H2504" s="55"/>
      <c r="I2504" s="55">
        <v>1.56</v>
      </c>
      <c r="J2504" s="72"/>
      <c r="K2504" s="72"/>
    </row>
    <row r="2505" spans="6:18" ht="24" customHeight="1">
      <c r="F2505" s="55"/>
      <c r="G2505" s="54"/>
      <c r="H2505" s="55"/>
      <c r="I2505" s="57" t="s">
        <v>846</v>
      </c>
      <c r="J2505" s="72"/>
      <c r="K2505" s="72"/>
      <c r="M2505" s="55"/>
      <c r="N2505" s="54"/>
      <c r="O2505" s="37" t="s">
        <v>2525</v>
      </c>
      <c r="P2505" s="55"/>
      <c r="Q2505" s="72"/>
      <c r="R2505" s="55"/>
    </row>
    <row r="2506" spans="6:18" ht="24" customHeight="1">
      <c r="F2506" s="55"/>
      <c r="G2506" s="54"/>
      <c r="H2506" s="55"/>
      <c r="I2506" s="55">
        <f>SUM(I2500:I2504)</f>
        <v>24</v>
      </c>
      <c r="J2506" s="72" t="s">
        <v>337</v>
      </c>
      <c r="K2506" s="72"/>
      <c r="M2506" s="55"/>
      <c r="N2506" s="54"/>
      <c r="O2506" s="55"/>
      <c r="P2506" s="55"/>
      <c r="Q2506" s="72"/>
      <c r="R2506" s="55"/>
    </row>
    <row r="2507" spans="6:18" ht="24" customHeight="1">
      <c r="F2507" s="55"/>
      <c r="G2507" s="54"/>
      <c r="H2507" s="55"/>
      <c r="I2507" s="57" t="s">
        <v>846</v>
      </c>
      <c r="J2507" s="72"/>
      <c r="K2507" s="55"/>
      <c r="M2507" s="72" t="s">
        <v>2526</v>
      </c>
      <c r="N2507" s="72"/>
      <c r="O2507" s="72"/>
      <c r="P2507" s="74">
        <f>3.77*3.9</f>
        <v>14.702999999999999</v>
      </c>
      <c r="Q2507" s="72" t="s">
        <v>337</v>
      </c>
      <c r="R2507" s="72"/>
    </row>
    <row r="2508" spans="6:18" ht="24" customHeight="1">
      <c r="F2508" s="55"/>
      <c r="G2508" s="54"/>
      <c r="H2508" s="55"/>
      <c r="I2508" s="55"/>
      <c r="J2508" s="72"/>
      <c r="K2508" s="55"/>
      <c r="M2508" s="55" t="s">
        <v>2527</v>
      </c>
      <c r="N2508" s="54"/>
      <c r="O2508" s="55"/>
      <c r="P2508" s="55">
        <f>12*0.6*3.14</f>
        <v>22.61</v>
      </c>
      <c r="Q2508" s="72" t="s">
        <v>337</v>
      </c>
      <c r="R2508" s="72"/>
    </row>
    <row r="2509" spans="6:18" ht="24" customHeight="1">
      <c r="F2509" s="55"/>
      <c r="G2509" s="54"/>
      <c r="H2509" s="55"/>
      <c r="I2509" s="55"/>
      <c r="J2509" s="72"/>
      <c r="K2509" s="55"/>
      <c r="M2509" s="55" t="s">
        <v>3176</v>
      </c>
      <c r="N2509" s="54"/>
      <c r="O2509" s="55"/>
      <c r="P2509" s="55">
        <f>2*1.285*1.2</f>
        <v>3.08</v>
      </c>
      <c r="Q2509" s="72" t="s">
        <v>337</v>
      </c>
      <c r="R2509" s="72"/>
    </row>
    <row r="2510" spans="6:18" ht="24" customHeight="1">
      <c r="F2510" s="55">
        <v>24</v>
      </c>
      <c r="G2510" s="54" t="s">
        <v>1591</v>
      </c>
      <c r="H2510" s="55" t="s">
        <v>479</v>
      </c>
      <c r="I2510" s="55">
        <f>I2488</f>
        <v>62.6</v>
      </c>
      <c r="J2510" s="72" t="s">
        <v>1591</v>
      </c>
      <c r="K2510" s="55">
        <f>I2510*F2510</f>
        <v>1502.4</v>
      </c>
      <c r="M2510" s="55" t="s">
        <v>478</v>
      </c>
      <c r="N2510" s="54"/>
      <c r="O2510" s="55"/>
      <c r="P2510" s="55">
        <f>3*0.6*1.2</f>
        <v>2.16</v>
      </c>
      <c r="Q2510" s="72" t="s">
        <v>337</v>
      </c>
      <c r="R2510" s="72"/>
    </row>
    <row r="2511" spans="6:18" ht="24" customHeight="1">
      <c r="F2511" s="55">
        <v>0.36</v>
      </c>
      <c r="G2511" s="54" t="s">
        <v>2199</v>
      </c>
      <c r="H2511" s="55" t="s">
        <v>2044</v>
      </c>
      <c r="I2511" s="55">
        <f>I2489</f>
        <v>339</v>
      </c>
      <c r="J2511" s="72" t="s">
        <v>2199</v>
      </c>
      <c r="K2511" s="55">
        <f>I2511*F2511</f>
        <v>122.04</v>
      </c>
      <c r="M2511" s="55" t="s">
        <v>510</v>
      </c>
      <c r="N2511" s="54"/>
      <c r="O2511" s="55"/>
      <c r="P2511" s="55">
        <v>0.16</v>
      </c>
      <c r="Q2511" s="72"/>
      <c r="R2511" s="72"/>
    </row>
    <row r="2512" spans="6:18" ht="24" customHeight="1">
      <c r="F2512" s="55">
        <v>0.36</v>
      </c>
      <c r="G2512" s="54" t="s">
        <v>2199</v>
      </c>
      <c r="H2512" s="55" t="s">
        <v>480</v>
      </c>
      <c r="I2512" s="55">
        <f>C201</f>
        <v>36.299999999999997</v>
      </c>
      <c r="J2512" s="72" t="s">
        <v>2199</v>
      </c>
      <c r="K2512" s="55">
        <f>I2512*F2512</f>
        <v>13.07</v>
      </c>
      <c r="M2512" s="55"/>
      <c r="N2512" s="54"/>
      <c r="O2512" s="55"/>
      <c r="P2512" s="57" t="s">
        <v>846</v>
      </c>
      <c r="Q2512" s="72"/>
      <c r="R2512" s="72"/>
    </row>
    <row r="2513" spans="6:18" ht="24" customHeight="1">
      <c r="F2513" s="55"/>
      <c r="G2513" s="54"/>
      <c r="H2513" s="55" t="s">
        <v>540</v>
      </c>
      <c r="I2513" s="502">
        <v>28.34</v>
      </c>
      <c r="J2513" s="72" t="s">
        <v>419</v>
      </c>
      <c r="K2513" s="55">
        <f>28.14</f>
        <v>28.14</v>
      </c>
      <c r="M2513" s="55"/>
      <c r="N2513" s="54"/>
      <c r="O2513" s="55"/>
      <c r="P2513" s="76">
        <f>SUM(P2507:P2511)</f>
        <v>42.713000000000001</v>
      </c>
      <c r="Q2513" s="72" t="s">
        <v>337</v>
      </c>
      <c r="R2513" s="72">
        <f>42.55-42.713</f>
        <v>-0.16</v>
      </c>
    </row>
    <row r="2514" spans="6:18" ht="24" customHeight="1">
      <c r="F2514" s="55"/>
      <c r="G2514" s="54"/>
      <c r="H2514" s="55"/>
      <c r="I2514" s="55"/>
      <c r="J2514" s="72"/>
      <c r="K2514" s="57" t="s">
        <v>144</v>
      </c>
      <c r="M2514" s="55"/>
      <c r="N2514" s="54"/>
      <c r="O2514" s="55"/>
      <c r="P2514" s="57" t="s">
        <v>846</v>
      </c>
      <c r="Q2514" s="72"/>
      <c r="R2514" s="55"/>
    </row>
    <row r="2515" spans="6:18" ht="24" customHeight="1">
      <c r="F2515" s="55"/>
      <c r="G2515" s="54"/>
      <c r="H2515" s="37" t="s">
        <v>482</v>
      </c>
      <c r="I2515" s="55"/>
      <c r="J2515" s="72"/>
      <c r="K2515" s="37">
        <f>SUM(K2510:K2513)</f>
        <v>1665.65</v>
      </c>
      <c r="M2515" s="55"/>
      <c r="N2515" s="54"/>
      <c r="O2515" s="55"/>
      <c r="P2515" s="55"/>
      <c r="Q2515" s="72"/>
      <c r="R2515" s="55"/>
    </row>
    <row r="2516" spans="6:18" ht="24" customHeight="1">
      <c r="F2516" s="55"/>
      <c r="G2516" s="54"/>
      <c r="H2516" s="55"/>
      <c r="I2516" s="55"/>
      <c r="J2516" s="72"/>
      <c r="K2516" s="57" t="s">
        <v>144</v>
      </c>
      <c r="M2516" s="55"/>
      <c r="N2516" s="54"/>
      <c r="O2516" s="55"/>
      <c r="P2516" s="55"/>
      <c r="Q2516" s="72"/>
      <c r="R2516" s="55"/>
    </row>
    <row r="2517" spans="6:18" ht="24" customHeight="1">
      <c r="F2517" s="55"/>
      <c r="G2517" s="54"/>
      <c r="H2517" s="55"/>
      <c r="I2517" s="55"/>
      <c r="J2517" s="72"/>
      <c r="K2517" s="55">
        <f>0.6*0.6</f>
        <v>0.36</v>
      </c>
      <c r="M2517" s="74">
        <f>P2513</f>
        <v>42.713000000000001</v>
      </c>
      <c r="N2517" s="54" t="s">
        <v>1591</v>
      </c>
      <c r="O2517" s="55" t="s">
        <v>479</v>
      </c>
      <c r="P2517" s="55">
        <f>I2510</f>
        <v>62.6</v>
      </c>
      <c r="Q2517" s="72" t="s">
        <v>1591</v>
      </c>
      <c r="R2517" s="55">
        <f>P2517*M2517</f>
        <v>2673.83</v>
      </c>
    </row>
    <row r="2518" spans="6:18" ht="24" customHeight="1">
      <c r="F2518" s="55"/>
      <c r="G2518" s="54"/>
      <c r="H2518" s="37" t="s">
        <v>1667</v>
      </c>
      <c r="I2518" s="55"/>
      <c r="J2518" s="72"/>
      <c r="K2518" s="55">
        <f>K2515/K2517</f>
        <v>4626.8100000000004</v>
      </c>
      <c r="M2518" s="55">
        <v>0.77</v>
      </c>
      <c r="N2518" s="54" t="s">
        <v>2199</v>
      </c>
      <c r="O2518" s="55" t="s">
        <v>2044</v>
      </c>
      <c r="P2518" s="55">
        <f>I2511</f>
        <v>339</v>
      </c>
      <c r="Q2518" s="72" t="s">
        <v>2199</v>
      </c>
      <c r="R2518" s="55">
        <f>P2518*M2518</f>
        <v>261.02999999999997</v>
      </c>
    </row>
    <row r="2519" spans="6:18" ht="24" customHeight="1">
      <c r="F2519" s="55"/>
      <c r="G2519" s="54"/>
      <c r="H2519" s="55"/>
      <c r="I2519" s="55"/>
      <c r="J2519" s="72"/>
      <c r="K2519" s="55"/>
      <c r="M2519" s="55">
        <v>0.77</v>
      </c>
      <c r="N2519" s="54" t="s">
        <v>2199</v>
      </c>
      <c r="O2519" s="55" t="s">
        <v>480</v>
      </c>
      <c r="P2519" s="55">
        <f>I2512</f>
        <v>36.299999999999997</v>
      </c>
      <c r="Q2519" s="72" t="s">
        <v>2199</v>
      </c>
      <c r="R2519" s="55">
        <f>P2519*M2519</f>
        <v>27.95</v>
      </c>
    </row>
    <row r="2520" spans="6:18" ht="24" customHeight="1">
      <c r="F2520" s="37" t="s">
        <v>408</v>
      </c>
      <c r="G2520" s="73"/>
      <c r="H2520" s="55"/>
      <c r="I2520" s="55"/>
      <c r="J2520" s="72"/>
      <c r="K2520" s="55"/>
      <c r="M2520" s="55"/>
      <c r="N2520" s="54"/>
      <c r="O2520" s="55" t="s">
        <v>540</v>
      </c>
      <c r="P2520" s="55">
        <f>I2513</f>
        <v>28.34</v>
      </c>
      <c r="Q2520" s="72" t="s">
        <v>419</v>
      </c>
      <c r="R2520" s="55">
        <f>28.34+0.11</f>
        <v>28.45</v>
      </c>
    </row>
    <row r="2521" spans="6:18" ht="24" customHeight="1">
      <c r="F2521" s="55"/>
      <c r="G2521" s="54"/>
      <c r="H2521" s="55"/>
      <c r="I2521" s="55"/>
      <c r="J2521" s="72"/>
      <c r="K2521" s="55"/>
      <c r="M2521" s="55"/>
      <c r="N2521" s="54"/>
      <c r="O2521" s="55"/>
      <c r="P2521" s="55"/>
      <c r="Q2521" s="72"/>
      <c r="R2521" s="57" t="s">
        <v>144</v>
      </c>
    </row>
    <row r="2522" spans="6:18" ht="24" customHeight="1">
      <c r="F2522" s="55" t="s">
        <v>765</v>
      </c>
      <c r="G2522" s="54"/>
      <c r="H2522" s="55"/>
      <c r="I2522" s="55">
        <v>3.93</v>
      </c>
      <c r="J2522" s="72" t="s">
        <v>1591</v>
      </c>
      <c r="K2522" s="55"/>
      <c r="M2522" s="55"/>
      <c r="N2522" s="54"/>
      <c r="O2522" s="37" t="s">
        <v>482</v>
      </c>
      <c r="P2522" s="55"/>
      <c r="Q2522" s="72"/>
      <c r="R2522" s="37">
        <f>SUM(R2517:R2520)</f>
        <v>2991.26</v>
      </c>
    </row>
    <row r="2523" spans="6:18" ht="24" customHeight="1">
      <c r="F2523" s="55" t="s">
        <v>2148</v>
      </c>
      <c r="G2523" s="54"/>
      <c r="H2523" s="55"/>
      <c r="I2523" s="55">
        <v>3.14</v>
      </c>
      <c r="J2523" s="72" t="s">
        <v>1591</v>
      </c>
      <c r="K2523" s="55"/>
      <c r="M2523" s="55"/>
      <c r="N2523" s="54"/>
      <c r="O2523" s="55"/>
      <c r="P2523" s="55"/>
      <c r="Q2523" s="72"/>
      <c r="R2523" s="57" t="s">
        <v>144</v>
      </c>
    </row>
    <row r="2524" spans="6:18" ht="24" customHeight="1">
      <c r="F2524" s="55" t="s">
        <v>203</v>
      </c>
      <c r="G2524" s="54"/>
      <c r="H2524" s="55"/>
      <c r="I2524" s="55">
        <v>1.18</v>
      </c>
      <c r="J2524" s="72" t="s">
        <v>1591</v>
      </c>
      <c r="K2524" s="55"/>
      <c r="M2524" s="55"/>
      <c r="N2524" s="54"/>
      <c r="O2524" s="92" t="s">
        <v>2726</v>
      </c>
      <c r="P2524" s="55"/>
      <c r="Q2524" s="72"/>
      <c r="R2524" s="37">
        <f>R2522/M2518</f>
        <v>3884.75</v>
      </c>
    </row>
    <row r="2525" spans="6:18" ht="24" customHeight="1">
      <c r="F2525" s="55"/>
      <c r="G2525" s="54"/>
      <c r="H2525" s="55"/>
      <c r="I2525" s="55"/>
      <c r="J2525" s="72"/>
      <c r="K2525" s="55"/>
      <c r="N2525">
        <f>1.285*0.6</f>
        <v>0.77</v>
      </c>
    </row>
    <row r="2526" spans="6:18" ht="24" customHeight="1">
      <c r="F2526" s="55"/>
      <c r="G2526" s="54"/>
      <c r="H2526" s="55"/>
      <c r="I2526" s="55"/>
      <c r="J2526" s="72"/>
      <c r="K2526" s="55"/>
    </row>
    <row r="2527" spans="6:18" ht="24" customHeight="1">
      <c r="F2527" s="55"/>
      <c r="G2527" s="54"/>
      <c r="H2527" s="37" t="s">
        <v>1667</v>
      </c>
      <c r="I2527" s="55"/>
      <c r="J2527" s="72"/>
      <c r="K2527" s="55"/>
    </row>
    <row r="2528" spans="6:18" ht="24" customHeight="1">
      <c r="F2528" s="55"/>
      <c r="G2528" s="54"/>
      <c r="H2528" s="55"/>
      <c r="I2528" s="55"/>
      <c r="J2528" s="72"/>
      <c r="K2528" s="55"/>
    </row>
    <row r="2529" spans="6:12" ht="24" customHeight="1">
      <c r="F2529" s="55"/>
      <c r="G2529" s="54"/>
      <c r="H2529" s="55"/>
      <c r="I2529" s="55"/>
      <c r="J2529" s="72"/>
      <c r="K2529" s="55"/>
    </row>
    <row r="2530" spans="6:12" ht="24" customHeight="1">
      <c r="F2530" s="55" t="s">
        <v>1412</v>
      </c>
      <c r="G2530" s="54"/>
      <c r="H2530" s="55"/>
      <c r="I2530" s="55">
        <v>24.34</v>
      </c>
      <c r="J2530" s="72" t="s">
        <v>1591</v>
      </c>
      <c r="K2530" s="55"/>
    </row>
    <row r="2531" spans="6:12" ht="24" customHeight="1">
      <c r="F2531" s="55" t="s">
        <v>108</v>
      </c>
      <c r="G2531" s="54"/>
      <c r="H2531" s="55"/>
      <c r="I2531" s="55">
        <v>11.78</v>
      </c>
      <c r="J2531" s="72" t="s">
        <v>1591</v>
      </c>
      <c r="K2531" s="55"/>
    </row>
    <row r="2532" spans="6:12" ht="24" customHeight="1">
      <c r="F2532" s="55" t="s">
        <v>543</v>
      </c>
      <c r="G2532" s="54"/>
      <c r="H2532" s="55"/>
      <c r="I2532" s="55">
        <v>59.35</v>
      </c>
      <c r="J2532" s="72" t="s">
        <v>1591</v>
      </c>
      <c r="K2532" s="55"/>
    </row>
    <row r="2533" spans="6:12" ht="24" customHeight="1">
      <c r="F2533" s="55" t="s">
        <v>544</v>
      </c>
      <c r="G2533" s="54"/>
      <c r="H2533" s="55"/>
      <c r="I2533" s="55">
        <v>5.04</v>
      </c>
      <c r="J2533" s="72" t="s">
        <v>1591</v>
      </c>
      <c r="K2533" s="55"/>
    </row>
    <row r="2534" spans="6:12" ht="24" customHeight="1">
      <c r="F2534" s="55" t="s">
        <v>545</v>
      </c>
      <c r="G2534" s="54"/>
      <c r="H2534" s="55"/>
      <c r="I2534" s="55">
        <v>4.8</v>
      </c>
      <c r="J2534" s="72" t="s">
        <v>1591</v>
      </c>
      <c r="K2534" s="55"/>
    </row>
    <row r="2535" spans="6:12" ht="24" customHeight="1">
      <c r="F2535" s="55" t="s">
        <v>546</v>
      </c>
      <c r="G2535" s="54"/>
      <c r="H2535" s="55"/>
      <c r="I2535" s="55">
        <v>2.69</v>
      </c>
      <c r="J2535" s="72"/>
      <c r="K2535" s="55"/>
    </row>
    <row r="2536" spans="6:12" ht="24" customHeight="1">
      <c r="F2536" s="55"/>
      <c r="G2536" s="54"/>
      <c r="H2536" s="55"/>
      <c r="I2536" s="57" t="s">
        <v>846</v>
      </c>
      <c r="J2536" s="72"/>
      <c r="K2536" s="55"/>
    </row>
    <row r="2537" spans="6:12" ht="24" customHeight="1">
      <c r="F2537" s="55"/>
      <c r="G2537" s="54"/>
      <c r="H2537" s="55"/>
      <c r="I2537" s="37">
        <f>SUM(I2530:I2535)</f>
        <v>108</v>
      </c>
      <c r="J2537" s="72" t="s">
        <v>1591</v>
      </c>
      <c r="K2537" s="55"/>
    </row>
    <row r="2538" spans="6:12" ht="24" customHeight="1">
      <c r="F2538" s="55"/>
      <c r="G2538" s="54"/>
      <c r="H2538" s="55"/>
      <c r="I2538" s="57" t="s">
        <v>846</v>
      </c>
      <c r="J2538" s="72"/>
      <c r="K2538" s="55"/>
    </row>
    <row r="2539" spans="6:12" ht="24" customHeight="1">
      <c r="F2539" s="55"/>
      <c r="G2539" s="54"/>
      <c r="H2539" s="55"/>
      <c r="I2539" s="55"/>
      <c r="J2539" s="72"/>
      <c r="K2539" s="55"/>
      <c r="L2539" t="s">
        <v>1642</v>
      </c>
    </row>
    <row r="2540" spans="6:12" ht="24" customHeight="1">
      <c r="F2540" s="55">
        <v>108</v>
      </c>
      <c r="G2540" s="54" t="s">
        <v>1591</v>
      </c>
      <c r="H2540" s="55" t="s">
        <v>547</v>
      </c>
      <c r="I2540" s="55">
        <f>I2469</f>
        <v>62.6</v>
      </c>
      <c r="J2540" s="72" t="s">
        <v>1591</v>
      </c>
      <c r="K2540" s="55">
        <f>F2540*I2540</f>
        <v>6760.8</v>
      </c>
    </row>
    <row r="2541" spans="6:12" ht="24" customHeight="1">
      <c r="F2541" s="55">
        <v>2.1</v>
      </c>
      <c r="G2541" s="54" t="s">
        <v>2199</v>
      </c>
      <c r="H2541" s="55" t="s">
        <v>2044</v>
      </c>
      <c r="I2541" s="55">
        <f>I2470</f>
        <v>339</v>
      </c>
      <c r="J2541" s="72" t="s">
        <v>2199</v>
      </c>
      <c r="K2541" s="55">
        <f>F2541*I2541</f>
        <v>711.9</v>
      </c>
      <c r="L2541" s="51">
        <v>42.713000000000001</v>
      </c>
    </row>
    <row r="2542" spans="6:12" ht="24" customHeight="1">
      <c r="F2542" s="55">
        <v>2.1</v>
      </c>
      <c r="G2542" s="54" t="s">
        <v>2199</v>
      </c>
      <c r="H2542" s="55" t="s">
        <v>1884</v>
      </c>
      <c r="I2542" s="55">
        <f>I2471</f>
        <v>104</v>
      </c>
      <c r="J2542" s="72" t="s">
        <v>2199</v>
      </c>
      <c r="K2542" s="55">
        <f>F2542*I2542</f>
        <v>218.4</v>
      </c>
      <c r="L2542">
        <v>0.77</v>
      </c>
    </row>
    <row r="2543" spans="6:12" ht="24" customHeight="1">
      <c r="F2543" s="55"/>
      <c r="G2543" s="54"/>
      <c r="H2543" s="55" t="s">
        <v>121</v>
      </c>
      <c r="I2543" s="55">
        <v>267.10000000000002</v>
      </c>
      <c r="J2543" s="72" t="s">
        <v>419</v>
      </c>
      <c r="K2543" s="55">
        <f>I2543</f>
        <v>267.10000000000002</v>
      </c>
      <c r="L2543">
        <v>0.77</v>
      </c>
    </row>
    <row r="2544" spans="6:12" ht="24" customHeight="1">
      <c r="F2544" s="55"/>
      <c r="G2544" s="54"/>
      <c r="H2544" s="55"/>
      <c r="I2544" s="55"/>
      <c r="J2544" s="72"/>
      <c r="K2544" s="57" t="s">
        <v>144</v>
      </c>
    </row>
    <row r="2545" spans="6:11" ht="24" customHeight="1">
      <c r="F2545" s="55"/>
      <c r="G2545" s="54"/>
      <c r="H2545" s="55"/>
      <c r="I2545" s="55"/>
      <c r="J2545" s="72"/>
      <c r="K2545" s="55">
        <f>SUM(K2540:K2543)</f>
        <v>7958.2</v>
      </c>
    </row>
    <row r="2546" spans="6:11" ht="24" customHeight="1">
      <c r="F2546" s="55"/>
      <c r="G2546" s="54"/>
      <c r="H2546" s="55" t="s">
        <v>122</v>
      </c>
      <c r="I2546" s="55">
        <v>500</v>
      </c>
      <c r="J2546" s="72" t="s">
        <v>419</v>
      </c>
      <c r="K2546" s="55">
        <f>I2546</f>
        <v>500</v>
      </c>
    </row>
    <row r="2547" spans="6:11" ht="24" customHeight="1">
      <c r="F2547" s="55"/>
      <c r="G2547" s="54"/>
      <c r="H2547" s="55"/>
      <c r="I2547" s="55"/>
      <c r="J2547" s="72"/>
      <c r="K2547" s="57" t="s">
        <v>144</v>
      </c>
    </row>
    <row r="2548" spans="6:11" ht="24" customHeight="1">
      <c r="F2548" s="55"/>
      <c r="G2548" s="54"/>
      <c r="H2548" s="37" t="s">
        <v>123</v>
      </c>
      <c r="I2548" s="55"/>
      <c r="J2548" s="72"/>
      <c r="K2548" s="37">
        <f>SUM(K2545:K2546)</f>
        <v>8458.2000000000007</v>
      </c>
    </row>
    <row r="2549" spans="6:11" ht="24" customHeight="1">
      <c r="F2549" s="55"/>
      <c r="G2549" s="54"/>
      <c r="H2549" s="55"/>
      <c r="I2549" s="55"/>
      <c r="J2549" s="72"/>
      <c r="K2549" s="57" t="s">
        <v>144</v>
      </c>
    </row>
    <row r="2550" spans="6:11" ht="24" customHeight="1">
      <c r="F2550" s="55"/>
      <c r="G2550" s="54"/>
      <c r="H2550" s="55"/>
      <c r="I2550" s="55"/>
      <c r="J2550" s="72"/>
      <c r="K2550" s="55"/>
    </row>
    <row r="2551" spans="6:11" ht="24" customHeight="1">
      <c r="F2551" s="55"/>
      <c r="G2551" s="54"/>
      <c r="H2551" s="55"/>
      <c r="I2551" s="55"/>
      <c r="J2551" s="72"/>
      <c r="K2551" s="55">
        <f>8054-K2548</f>
        <v>-404.2</v>
      </c>
    </row>
    <row r="2552" spans="6:11" ht="24" customHeight="1">
      <c r="F2552" s="55"/>
      <c r="G2552" s="54"/>
      <c r="H2552" s="55"/>
      <c r="I2552" s="55"/>
      <c r="J2552" s="72"/>
      <c r="K2552" s="55"/>
    </row>
    <row r="2553" spans="6:11" ht="24" customHeight="1">
      <c r="F2553" s="55"/>
      <c r="G2553" s="54"/>
      <c r="H2553" s="37" t="s">
        <v>12</v>
      </c>
      <c r="I2553" s="55"/>
      <c r="J2553" s="72"/>
      <c r="K2553" s="55"/>
    </row>
    <row r="2554" spans="6:11" ht="24" customHeight="1">
      <c r="F2554" s="55"/>
      <c r="G2554" s="54"/>
      <c r="H2554" s="55"/>
      <c r="I2554" s="55"/>
      <c r="J2554" s="72"/>
      <c r="K2554" s="55"/>
    </row>
    <row r="2555" spans="6:11" ht="24" customHeight="1">
      <c r="F2555" s="37" t="s">
        <v>408</v>
      </c>
      <c r="G2555" s="73"/>
      <c r="H2555" s="55"/>
      <c r="I2555" s="55"/>
      <c r="J2555" s="72"/>
      <c r="K2555" s="55"/>
    </row>
    <row r="2556" spans="6:11" ht="24" customHeight="1">
      <c r="F2556" s="55"/>
      <c r="G2556" s="54"/>
      <c r="H2556" s="55"/>
      <c r="I2556" s="55"/>
      <c r="J2556" s="72"/>
      <c r="K2556" s="55"/>
    </row>
    <row r="2557" spans="6:11" ht="24" customHeight="1">
      <c r="F2557" s="55" t="s">
        <v>785</v>
      </c>
      <c r="G2557" s="54"/>
      <c r="H2557" s="55"/>
      <c r="I2557" s="74">
        <v>2.944</v>
      </c>
      <c r="J2557" s="72" t="s">
        <v>1591</v>
      </c>
      <c r="K2557" s="55"/>
    </row>
    <row r="2558" spans="6:11" ht="24" customHeight="1">
      <c r="F2558" s="55" t="s">
        <v>1216</v>
      </c>
      <c r="G2558" s="54"/>
      <c r="H2558" s="55"/>
      <c r="I2558" s="74">
        <v>2.355</v>
      </c>
      <c r="J2558" s="72" t="s">
        <v>1591</v>
      </c>
      <c r="K2558" s="55"/>
    </row>
    <row r="2559" spans="6:11" ht="24" customHeight="1">
      <c r="F2559" s="55" t="s">
        <v>1190</v>
      </c>
      <c r="G2559" s="54"/>
      <c r="H2559" s="55"/>
      <c r="I2559" s="74">
        <v>0.88300000000000001</v>
      </c>
      <c r="J2559" s="72" t="s">
        <v>1591</v>
      </c>
      <c r="K2559" s="55"/>
    </row>
    <row r="2560" spans="6:11" ht="24" customHeight="1">
      <c r="F2560" s="55"/>
      <c r="G2560" s="54"/>
      <c r="H2560" s="55"/>
      <c r="I2560" s="55"/>
      <c r="J2560" s="72"/>
      <c r="K2560" s="55"/>
    </row>
    <row r="2561" spans="6:18" ht="24" customHeight="1">
      <c r="F2561" s="55"/>
      <c r="G2561" s="54"/>
      <c r="H2561" s="55"/>
      <c r="I2561" s="55"/>
      <c r="J2561" s="72"/>
      <c r="K2561" s="55"/>
    </row>
    <row r="2562" spans="6:18" ht="24" customHeight="1">
      <c r="F2562" s="55"/>
      <c r="G2562" s="54"/>
      <c r="H2562" s="37" t="s">
        <v>12</v>
      </c>
      <c r="I2562" s="55"/>
      <c r="J2562" s="72"/>
      <c r="K2562" s="55"/>
    </row>
    <row r="2563" spans="6:18" ht="24" customHeight="1">
      <c r="F2563" s="55"/>
      <c r="G2563" s="54"/>
      <c r="H2563" s="55"/>
      <c r="I2563" s="55"/>
      <c r="J2563" s="72"/>
      <c r="K2563" s="55"/>
    </row>
    <row r="2564" spans="6:18" ht="24" customHeight="1">
      <c r="F2564" s="55"/>
      <c r="G2564" s="54"/>
      <c r="H2564" s="55"/>
      <c r="I2564" s="55"/>
      <c r="J2564" s="72"/>
      <c r="K2564" s="55"/>
      <c r="M2564" s="55"/>
      <c r="N2564" s="398">
        <v>24.1</v>
      </c>
      <c r="O2564" s="37" t="s">
        <v>2525</v>
      </c>
      <c r="P2564" s="55"/>
      <c r="Q2564" s="72"/>
      <c r="R2564" s="55"/>
    </row>
    <row r="2565" spans="6:18" ht="24" customHeight="1">
      <c r="F2565" s="55" t="s">
        <v>1176</v>
      </c>
      <c r="G2565" s="54"/>
      <c r="H2565" s="55"/>
      <c r="I2565" s="55">
        <v>16.38</v>
      </c>
      <c r="J2565" s="72" t="s">
        <v>1591</v>
      </c>
      <c r="K2565" s="55"/>
      <c r="M2565" s="55"/>
      <c r="N2565" s="399" t="s">
        <v>1980</v>
      </c>
      <c r="O2565" s="400"/>
      <c r="P2565" s="55"/>
      <c r="Q2565" s="72"/>
      <c r="R2565" s="55"/>
    </row>
    <row r="2566" spans="6:18" ht="24" customHeight="1">
      <c r="F2566" s="55" t="s">
        <v>1183</v>
      </c>
      <c r="G2566" s="54"/>
      <c r="H2566" s="55"/>
      <c r="I2566" s="55">
        <v>8.7799999999999994</v>
      </c>
      <c r="J2566" s="72" t="s">
        <v>1591</v>
      </c>
      <c r="K2566" s="55"/>
      <c r="M2566" s="72" t="s">
        <v>2372</v>
      </c>
      <c r="N2566" s="72"/>
      <c r="O2566" s="72"/>
      <c r="P2566" s="55">
        <v>14.8</v>
      </c>
      <c r="Q2566" s="72" t="s">
        <v>337</v>
      </c>
      <c r="R2566" s="55"/>
    </row>
    <row r="2567" spans="6:18" ht="24" customHeight="1">
      <c r="F2567" s="55" t="s">
        <v>1549</v>
      </c>
      <c r="G2567" s="54"/>
      <c r="H2567" s="55"/>
      <c r="I2567" s="55">
        <v>37.67</v>
      </c>
      <c r="J2567" s="72" t="s">
        <v>1591</v>
      </c>
      <c r="K2567" s="55"/>
      <c r="M2567" s="55" t="s">
        <v>208</v>
      </c>
      <c r="N2567" s="54"/>
      <c r="O2567" s="55"/>
      <c r="P2567" s="55">
        <v>22.61</v>
      </c>
      <c r="Q2567" s="72" t="s">
        <v>337</v>
      </c>
      <c r="R2567" s="55"/>
    </row>
    <row r="2568" spans="6:18" ht="24" customHeight="1">
      <c r="F2568" s="55" t="s">
        <v>1607</v>
      </c>
      <c r="G2568" s="54"/>
      <c r="H2568" s="55"/>
      <c r="I2568" s="55">
        <v>3.24</v>
      </c>
      <c r="J2568" s="72" t="s">
        <v>1591</v>
      </c>
      <c r="K2568" s="55"/>
      <c r="M2568" s="55" t="s">
        <v>477</v>
      </c>
      <c r="N2568" s="54"/>
      <c r="O2568" s="55"/>
      <c r="P2568" s="55">
        <v>3.24</v>
      </c>
      <c r="Q2568" s="72" t="s">
        <v>337</v>
      </c>
      <c r="R2568" s="55"/>
    </row>
    <row r="2569" spans="6:18" ht="24" customHeight="1">
      <c r="F2569" s="55" t="s">
        <v>402</v>
      </c>
      <c r="G2569" s="54"/>
      <c r="H2569" s="55"/>
      <c r="I2569" s="55">
        <v>3.6</v>
      </c>
      <c r="J2569" s="72" t="s">
        <v>1591</v>
      </c>
      <c r="K2569" s="55"/>
      <c r="M2569" s="55" t="s">
        <v>478</v>
      </c>
      <c r="N2569" s="54"/>
      <c r="O2569" s="55"/>
      <c r="P2569" s="55">
        <v>2.16</v>
      </c>
      <c r="Q2569" s="72" t="s">
        <v>337</v>
      </c>
      <c r="R2569" s="55"/>
    </row>
    <row r="2570" spans="6:18" ht="24" customHeight="1">
      <c r="F2570" s="55" t="s">
        <v>546</v>
      </c>
      <c r="G2570" s="54"/>
      <c r="H2570" s="55"/>
      <c r="I2570" s="55">
        <v>2.88</v>
      </c>
      <c r="J2570" s="72"/>
      <c r="K2570" s="55"/>
      <c r="M2570" s="55"/>
      <c r="N2570" s="54"/>
      <c r="O2570" s="55"/>
      <c r="P2570" s="55"/>
      <c r="Q2570" s="72"/>
      <c r="R2570" s="55"/>
    </row>
    <row r="2571" spans="6:18" ht="24" customHeight="1">
      <c r="F2571" s="55"/>
      <c r="G2571" s="54"/>
      <c r="H2571" s="55"/>
      <c r="I2571" s="57" t="s">
        <v>846</v>
      </c>
      <c r="J2571" s="72"/>
      <c r="K2571" s="55"/>
      <c r="M2571" s="55"/>
      <c r="N2571" s="54"/>
      <c r="O2571" s="55"/>
      <c r="P2571" s="57" t="s">
        <v>144</v>
      </c>
      <c r="Q2571" s="72"/>
      <c r="R2571" s="55"/>
    </row>
    <row r="2572" spans="6:18" ht="24" customHeight="1">
      <c r="F2572" s="55"/>
      <c r="G2572" s="54"/>
      <c r="H2572" s="55"/>
      <c r="I2572" s="37">
        <f>SUM(I2565:I2570)</f>
        <v>72.55</v>
      </c>
      <c r="J2572" s="72" t="s">
        <v>1591</v>
      </c>
      <c r="K2572" s="55"/>
      <c r="M2572" s="55"/>
      <c r="N2572" s="54"/>
      <c r="O2572" s="55"/>
      <c r="P2572" s="55">
        <f>SUM(P2566:P2570)</f>
        <v>42.81</v>
      </c>
      <c r="Q2572" s="72"/>
      <c r="R2572" s="55"/>
    </row>
    <row r="2573" spans="6:18" ht="24" customHeight="1">
      <c r="F2573" s="55"/>
      <c r="G2573" s="54"/>
      <c r="H2573" s="55"/>
      <c r="I2573" s="57" t="s">
        <v>846</v>
      </c>
      <c r="J2573" s="72"/>
      <c r="K2573" s="55"/>
      <c r="M2573" s="55"/>
      <c r="N2573" s="54"/>
      <c r="O2573" s="55"/>
      <c r="P2573" s="55" t="s">
        <v>1631</v>
      </c>
      <c r="Q2573" s="72"/>
      <c r="R2573" s="55"/>
    </row>
    <row r="2574" spans="6:18" ht="24" customHeight="1">
      <c r="F2574" s="55"/>
      <c r="G2574" s="54"/>
      <c r="H2574" s="55"/>
      <c r="I2574" s="55"/>
      <c r="J2574" s="72"/>
      <c r="K2574" s="55"/>
      <c r="M2574" s="55"/>
      <c r="N2574" s="54"/>
      <c r="O2574" s="55"/>
      <c r="P2574" s="55"/>
      <c r="Q2574" s="72"/>
      <c r="R2574" s="55"/>
    </row>
    <row r="2575" spans="6:18" ht="24" customHeight="1">
      <c r="F2575" s="55">
        <v>72.55</v>
      </c>
      <c r="G2575" s="54" t="s">
        <v>1591</v>
      </c>
      <c r="H2575" s="55" t="s">
        <v>547</v>
      </c>
      <c r="I2575" s="55">
        <f>I2540</f>
        <v>62.6</v>
      </c>
      <c r="J2575" s="72" t="s">
        <v>1591</v>
      </c>
      <c r="K2575" s="55">
        <f>F2575*I2575</f>
        <v>4541.63</v>
      </c>
      <c r="M2575" s="55"/>
      <c r="N2575" s="54"/>
      <c r="O2575" s="55"/>
      <c r="P2575" s="55"/>
      <c r="Q2575" s="72"/>
      <c r="R2575" s="55"/>
    </row>
    <row r="2576" spans="6:18" ht="24" customHeight="1">
      <c r="F2576" s="55">
        <v>1.01</v>
      </c>
      <c r="G2576" s="54" t="s">
        <v>2199</v>
      </c>
      <c r="H2576" s="55" t="s">
        <v>2044</v>
      </c>
      <c r="I2576" s="55">
        <f>I2541</f>
        <v>339</v>
      </c>
      <c r="J2576" s="72" t="s">
        <v>2199</v>
      </c>
      <c r="K2576" s="75">
        <f>F2576*I2576</f>
        <v>342.39</v>
      </c>
      <c r="M2576" s="55">
        <v>42.81</v>
      </c>
      <c r="N2576" s="54" t="s">
        <v>1591</v>
      </c>
      <c r="O2576" t="s">
        <v>3983</v>
      </c>
      <c r="P2576" s="55">
        <f>I2575</f>
        <v>62.6</v>
      </c>
      <c r="Q2576" s="72" t="s">
        <v>1591</v>
      </c>
      <c r="R2576" s="55">
        <f>P2576*M2576</f>
        <v>2679.91</v>
      </c>
    </row>
    <row r="2577" spans="6:24" ht="24" customHeight="1">
      <c r="F2577" s="55">
        <v>1.01</v>
      </c>
      <c r="G2577" s="54" t="s">
        <v>2199</v>
      </c>
      <c r="H2577" s="55" t="str">
        <f>H2542</f>
        <v>Fly proof mesh</v>
      </c>
      <c r="I2577" s="55">
        <f>I2542</f>
        <v>104</v>
      </c>
      <c r="J2577" s="72" t="s">
        <v>2199</v>
      </c>
      <c r="K2577" s="55">
        <f>F2577*I2577</f>
        <v>105.04</v>
      </c>
      <c r="M2577" s="55">
        <v>0.77</v>
      </c>
      <c r="N2577" s="54" t="s">
        <v>2199</v>
      </c>
      <c r="O2577" s="55" t="s">
        <v>2373</v>
      </c>
      <c r="P2577" s="55">
        <f>I2576</f>
        <v>339</v>
      </c>
      <c r="Q2577" s="72" t="s">
        <v>2199</v>
      </c>
      <c r="R2577" s="55">
        <f>P2577*M2577</f>
        <v>261.02999999999997</v>
      </c>
    </row>
    <row r="2578" spans="6:24" ht="24" customHeight="1">
      <c r="F2578" s="55"/>
      <c r="G2578" s="54"/>
      <c r="H2578" s="55" t="s">
        <v>121</v>
      </c>
      <c r="I2578" s="55">
        <v>266.49</v>
      </c>
      <c r="J2578" s="72" t="s">
        <v>419</v>
      </c>
      <c r="K2578" s="55">
        <f>I2578</f>
        <v>266.49</v>
      </c>
      <c r="M2578" s="55">
        <v>0.77</v>
      </c>
      <c r="N2578" s="54" t="s">
        <v>2199</v>
      </c>
      <c r="O2578" s="520" t="s">
        <v>4177</v>
      </c>
      <c r="P2578" s="442">
        <f>I2577</f>
        <v>104</v>
      </c>
      <c r="Q2578" s="72" t="s">
        <v>2199</v>
      </c>
      <c r="R2578" s="55">
        <f>P2578*M2578</f>
        <v>80.08</v>
      </c>
    </row>
    <row r="2579" spans="6:24" ht="24" customHeight="1">
      <c r="F2579" s="55"/>
      <c r="G2579" s="54"/>
      <c r="H2579" s="55"/>
      <c r="I2579" s="55"/>
      <c r="J2579" s="72"/>
      <c r="K2579" s="57" t="s">
        <v>144</v>
      </c>
      <c r="M2579" s="55"/>
      <c r="N2579" s="54"/>
      <c r="O2579" s="55" t="s">
        <v>481</v>
      </c>
      <c r="P2579" s="55">
        <f>46.62+0.48</f>
        <v>47.1</v>
      </c>
      <c r="Q2579" s="72" t="s">
        <v>419</v>
      </c>
      <c r="R2579" s="55">
        <f>P2579</f>
        <v>47.1</v>
      </c>
    </row>
    <row r="2580" spans="6:24" ht="24" customHeight="1">
      <c r="F2580" s="55"/>
      <c r="G2580" s="54"/>
      <c r="H2580" s="55"/>
      <c r="I2580" s="55"/>
      <c r="J2580" s="72"/>
      <c r="K2580" s="55">
        <f>SUM(K2575:K2578)</f>
        <v>5255.55</v>
      </c>
      <c r="M2580" s="55"/>
      <c r="N2580" s="54"/>
      <c r="O2580" s="55"/>
      <c r="P2580" s="55"/>
      <c r="Q2580" s="72"/>
      <c r="R2580" s="57" t="s">
        <v>144</v>
      </c>
    </row>
    <row r="2581" spans="6:24" ht="24" customHeight="1">
      <c r="F2581" s="55"/>
      <c r="G2581" s="54"/>
      <c r="H2581" s="55" t="s">
        <v>122</v>
      </c>
      <c r="I2581" s="55">
        <v>255</v>
      </c>
      <c r="J2581" s="72" t="s">
        <v>419</v>
      </c>
      <c r="K2581">
        <v>255</v>
      </c>
      <c r="M2581" s="55"/>
      <c r="N2581" s="54"/>
      <c r="O2581" s="37" t="s">
        <v>482</v>
      </c>
      <c r="P2581" s="55"/>
      <c r="Q2581" s="72"/>
      <c r="R2581" s="37">
        <f>SUM(R2576:R2579)</f>
        <v>3068.12</v>
      </c>
    </row>
    <row r="2582" spans="6:24" ht="24" customHeight="1">
      <c r="F2582" s="55"/>
      <c r="G2582" s="54"/>
      <c r="H2582" s="55"/>
      <c r="I2582" s="55"/>
      <c r="J2582" s="72"/>
      <c r="K2582" s="57" t="s">
        <v>144</v>
      </c>
      <c r="M2582" s="55"/>
      <c r="N2582" s="54"/>
      <c r="O2582" s="55"/>
      <c r="P2582" s="55"/>
      <c r="Q2582" s="72"/>
      <c r="R2582" s="57" t="s">
        <v>144</v>
      </c>
    </row>
    <row r="2583" spans="6:24" ht="24" customHeight="1">
      <c r="F2583" s="55"/>
      <c r="G2583" s="54"/>
      <c r="H2583" s="37" t="s">
        <v>123</v>
      </c>
      <c r="I2583" s="55"/>
      <c r="J2583" s="72"/>
      <c r="K2583" s="37">
        <f>SUM(K2580:K2581)</f>
        <v>5510.55</v>
      </c>
      <c r="N2583" s="3"/>
      <c r="O2583">
        <f>1.285*0.6</f>
        <v>0.77</v>
      </c>
      <c r="Q2583" s="11"/>
      <c r="R2583">
        <f>R2581/O2583</f>
        <v>3984.57</v>
      </c>
    </row>
    <row r="2584" spans="6:24" ht="24" customHeight="1">
      <c r="F2584" s="55"/>
      <c r="G2584" s="54"/>
      <c r="H2584" s="55"/>
      <c r="I2584" s="55"/>
      <c r="J2584" s="72"/>
      <c r="K2584" s="57" t="s">
        <v>144</v>
      </c>
      <c r="M2584" s="55">
        <f>I2577</f>
        <v>104</v>
      </c>
      <c r="O2584" s="11">
        <f>M2584*L2543</f>
        <v>80.08</v>
      </c>
    </row>
    <row r="2585" spans="6:24" ht="24" customHeight="1">
      <c r="F2585" s="55"/>
      <c r="G2585" s="54"/>
      <c r="H2585" s="55"/>
      <c r="I2585" s="55"/>
      <c r="J2585" s="72"/>
      <c r="K2585" s="55"/>
      <c r="M2585" s="55"/>
      <c r="O2585" s="11">
        <v>0.8</v>
      </c>
    </row>
    <row r="2586" spans="6:24" ht="24" customHeight="1">
      <c r="F2586" s="55"/>
      <c r="G2586" s="54"/>
      <c r="H2586" s="55"/>
      <c r="I2586" s="55"/>
      <c r="J2586" s="72"/>
      <c r="K2586" s="55">
        <f>5261-K2583</f>
        <v>-249.55</v>
      </c>
      <c r="O2586" s="11">
        <f>SUM(O2582:O2585)</f>
        <v>81.650000000000006</v>
      </c>
    </row>
    <row r="2587" spans="6:24" ht="24" customHeight="1">
      <c r="F2587" s="55"/>
      <c r="G2587" s="54"/>
      <c r="H2587" s="55"/>
      <c r="I2587" s="55"/>
      <c r="J2587" s="72"/>
      <c r="K2587" s="55"/>
      <c r="O2587" s="11">
        <f>O2586/0.77</f>
        <v>106.04</v>
      </c>
    </row>
    <row r="2588" spans="6:24" ht="24" customHeight="1">
      <c r="F2588" s="55"/>
      <c r="G2588" s="54"/>
      <c r="H2588" s="37" t="s">
        <v>12</v>
      </c>
      <c r="I2588" s="55"/>
      <c r="J2588" s="72"/>
      <c r="K2588" s="55"/>
    </row>
    <row r="2589" spans="6:24" ht="24" customHeight="1">
      <c r="F2589" s="55"/>
      <c r="G2589" s="54"/>
      <c r="H2589" s="55"/>
      <c r="I2589" s="55"/>
      <c r="J2589" s="72"/>
      <c r="K2589" s="55"/>
    </row>
    <row r="2590" spans="6:24" ht="24" customHeight="1">
      <c r="F2590" s="37" t="s">
        <v>408</v>
      </c>
      <c r="G2590" s="73"/>
      <c r="H2590" s="55"/>
      <c r="I2590" s="55"/>
      <c r="J2590" s="72"/>
      <c r="K2590" s="55"/>
      <c r="S2590" s="74"/>
      <c r="T2590" s="54"/>
      <c r="U2590" t="s">
        <v>3654</v>
      </c>
      <c r="V2590" s="55"/>
      <c r="W2590" s="72"/>
      <c r="X2590" s="55"/>
    </row>
    <row r="2591" spans="6:24" ht="24" customHeight="1">
      <c r="F2591" s="55"/>
      <c r="G2591" s="54"/>
      <c r="H2591" s="55"/>
      <c r="I2591" s="55"/>
      <c r="J2591" s="72"/>
      <c r="K2591" s="55"/>
      <c r="S2591" s="74"/>
      <c r="T2591" s="54"/>
      <c r="U2591" s="55"/>
      <c r="V2591" s="55"/>
      <c r="W2591" s="72"/>
      <c r="X2591" s="55"/>
    </row>
    <row r="2592" spans="6:24" ht="24" customHeight="1">
      <c r="F2592" s="55" t="s">
        <v>785</v>
      </c>
      <c r="G2592" s="54"/>
      <c r="H2592" s="55"/>
      <c r="I2592" s="74">
        <v>2.944</v>
      </c>
      <c r="J2592" s="72" t="s">
        <v>1591</v>
      </c>
      <c r="K2592" s="55"/>
      <c r="S2592" s="74" t="s">
        <v>2407</v>
      </c>
      <c r="T2592" s="54"/>
      <c r="U2592" s="55"/>
      <c r="V2592" s="157">
        <f>2*0.85*2.025</f>
        <v>3.4424999999999999</v>
      </c>
      <c r="W2592" s="72"/>
      <c r="X2592" s="55"/>
    </row>
    <row r="2593" spans="6:33" ht="24" customHeight="1">
      <c r="F2593" s="55" t="s">
        <v>1216</v>
      </c>
      <c r="G2593" s="54"/>
      <c r="H2593" s="55"/>
      <c r="I2593" s="74">
        <v>2.355</v>
      </c>
      <c r="J2593" s="72" t="s">
        <v>1591</v>
      </c>
      <c r="K2593" s="55"/>
      <c r="S2593" s="74" t="s">
        <v>1865</v>
      </c>
      <c r="T2593" s="54"/>
      <c r="U2593" s="55"/>
      <c r="V2593" s="157">
        <v>2.2800000000000001E-2</v>
      </c>
      <c r="W2593" s="72"/>
      <c r="X2593" s="55"/>
    </row>
    <row r="2594" spans="6:33" ht="24" customHeight="1">
      <c r="F2594" s="55" t="s">
        <v>1190</v>
      </c>
      <c r="G2594" s="54"/>
      <c r="H2594" s="55"/>
      <c r="I2594" s="74">
        <v>0.88300000000000001</v>
      </c>
      <c r="J2594" s="72" t="s">
        <v>1591</v>
      </c>
      <c r="K2594" s="55"/>
      <c r="S2594" s="74" t="s">
        <v>2408</v>
      </c>
      <c r="T2594" s="54"/>
      <c r="U2594" s="55"/>
      <c r="V2594" s="76">
        <f>2*3*0.85*0.15*0.0375</f>
        <v>2.87E-2</v>
      </c>
      <c r="W2594" s="72"/>
      <c r="X2594" s="55"/>
    </row>
    <row r="2595" spans="6:33" ht="24" customHeight="1">
      <c r="F2595" s="55"/>
      <c r="G2595" s="54"/>
      <c r="H2595" s="55"/>
      <c r="I2595" s="55"/>
      <c r="J2595" s="72"/>
      <c r="K2595" s="55"/>
      <c r="S2595" s="74"/>
      <c r="T2595" s="54" t="s">
        <v>2409</v>
      </c>
      <c r="U2595" s="55"/>
      <c r="V2595" s="76">
        <f>2*3*0.85*0.075*0.0375</f>
        <v>1.43E-2</v>
      </c>
      <c r="W2595" s="72"/>
      <c r="X2595" s="55"/>
    </row>
    <row r="2596" spans="6:33" ht="24" customHeight="1">
      <c r="F2596" s="55"/>
      <c r="G2596" s="54"/>
      <c r="H2596" s="55"/>
      <c r="I2596" s="55"/>
      <c r="J2596" s="72"/>
      <c r="K2596" s="55"/>
      <c r="S2596" s="74"/>
      <c r="T2596" s="54"/>
      <c r="U2596" s="55"/>
      <c r="V2596" s="158">
        <f>SUM(V2594:V2595)</f>
        <v>4.2999999999999997E-2</v>
      </c>
      <c r="W2596" s="72"/>
      <c r="X2596" s="55"/>
    </row>
    <row r="2597" spans="6:33" ht="24" customHeight="1">
      <c r="F2597" s="55"/>
      <c r="G2597" s="54"/>
      <c r="H2597" s="37" t="s">
        <v>12</v>
      </c>
      <c r="I2597" s="55"/>
      <c r="J2597" s="72"/>
      <c r="K2597" s="55"/>
      <c r="S2597" s="74"/>
      <c r="T2597" s="54"/>
      <c r="U2597" s="55"/>
      <c r="V2597" s="55"/>
      <c r="W2597" s="72"/>
      <c r="X2597" s="55"/>
    </row>
    <row r="2598" spans="6:33" ht="24" customHeight="1">
      <c r="F2598" s="55"/>
      <c r="G2598" s="54"/>
      <c r="H2598" s="55"/>
      <c r="I2598" s="55"/>
      <c r="J2598" s="72"/>
      <c r="K2598" s="55"/>
      <c r="S2598" s="74"/>
      <c r="T2598" s="54"/>
      <c r="U2598" s="55"/>
      <c r="V2598" s="55"/>
      <c r="W2598" s="72"/>
      <c r="X2598" s="55"/>
    </row>
    <row r="2599" spans="6:33" ht="24" customHeight="1">
      <c r="F2599" s="55"/>
      <c r="G2599" s="54"/>
      <c r="H2599" s="55"/>
      <c r="I2599" s="55"/>
      <c r="J2599" s="72"/>
      <c r="K2599" s="55"/>
      <c r="S2599" s="74" t="s">
        <v>2410</v>
      </c>
      <c r="T2599" s="54"/>
      <c r="U2599" s="55"/>
      <c r="V2599" s="76">
        <f>2*4*0.725*0.3*0.01875</f>
        <v>3.2599999999999997E-2</v>
      </c>
      <c r="W2599" s="72"/>
      <c r="X2599" s="55"/>
    </row>
    <row r="2600" spans="6:33" ht="24" customHeight="1">
      <c r="F2600" s="55" t="s">
        <v>1176</v>
      </c>
      <c r="G2600" s="54"/>
      <c r="H2600" s="55"/>
      <c r="I2600" s="55">
        <v>16.38</v>
      </c>
      <c r="J2600" s="72" t="s">
        <v>1591</v>
      </c>
      <c r="K2600" s="55"/>
      <c r="S2600" s="74" t="s">
        <v>2411</v>
      </c>
      <c r="T2600" s="54"/>
      <c r="U2600" s="55"/>
      <c r="V2600" s="76">
        <f>2*0.725*0.3*0.01875</f>
        <v>8.2000000000000007E-3</v>
      </c>
      <c r="W2600" s="72"/>
      <c r="X2600" s="55"/>
    </row>
    <row r="2601" spans="6:33" ht="24" customHeight="1">
      <c r="F2601" s="55" t="s">
        <v>1183</v>
      </c>
      <c r="G2601" s="54"/>
      <c r="H2601" s="55"/>
      <c r="I2601" s="55">
        <v>8.7799999999999994</v>
      </c>
      <c r="J2601" s="72" t="s">
        <v>1591</v>
      </c>
      <c r="K2601" s="55"/>
      <c r="S2601" s="74"/>
      <c r="T2601" s="54"/>
      <c r="U2601" s="55"/>
      <c r="V2601" s="158">
        <f>SUM(V2599:V2600)</f>
        <v>4.0800000000000003E-2</v>
      </c>
      <c r="W2601" s="72"/>
      <c r="X2601" s="55"/>
    </row>
    <row r="2602" spans="6:33" ht="24" customHeight="1">
      <c r="F2602" s="55" t="s">
        <v>1549</v>
      </c>
      <c r="G2602" s="54"/>
      <c r="H2602" s="55"/>
      <c r="I2602" s="55">
        <v>37.67</v>
      </c>
      <c r="J2602" s="72" t="s">
        <v>1591</v>
      </c>
      <c r="K2602" s="55"/>
      <c r="S2602" s="74"/>
      <c r="T2602" s="54"/>
      <c r="U2602" s="37" t="s">
        <v>1568</v>
      </c>
      <c r="V2602" s="55"/>
      <c r="W2602" s="72"/>
      <c r="X2602" s="55"/>
      <c r="Y2602" s="384">
        <v>2.3099999999999999E-2</v>
      </c>
      <c r="Z2602">
        <f>Y2602*V2604</f>
        <v>2577.96</v>
      </c>
    </row>
    <row r="2603" spans="6:33" ht="24" customHeight="1">
      <c r="F2603" s="55" t="s">
        <v>1607</v>
      </c>
      <c r="G2603" s="54"/>
      <c r="H2603" s="55"/>
      <c r="I2603" s="55">
        <v>3.24</v>
      </c>
      <c r="J2603" s="72" t="s">
        <v>1591</v>
      </c>
      <c r="K2603" s="55"/>
      <c r="S2603" s="74"/>
      <c r="T2603" s="54"/>
      <c r="U2603" s="55"/>
      <c r="V2603" s="55"/>
      <c r="W2603" s="72"/>
      <c r="X2603" s="55"/>
      <c r="Y2603" s="384">
        <v>4.48E-2</v>
      </c>
      <c r="Z2603">
        <f>Y2603*V2605</f>
        <v>4453.12</v>
      </c>
    </row>
    <row r="2604" spans="6:33" ht="40.5" customHeight="1">
      <c r="F2604" s="55" t="s">
        <v>402</v>
      </c>
      <c r="G2604" s="54"/>
      <c r="H2604" s="55"/>
      <c r="I2604" s="55">
        <v>3.6</v>
      </c>
      <c r="J2604" s="72" t="s">
        <v>1591</v>
      </c>
      <c r="K2604" s="55"/>
      <c r="S2604" s="76">
        <f>V2593</f>
        <v>2.2800000000000001E-2</v>
      </c>
      <c r="T2604" s="54" t="s">
        <v>836</v>
      </c>
      <c r="U2604" s="55" t="s">
        <v>2412</v>
      </c>
      <c r="V2604" s="55">
        <f>I2636</f>
        <v>111600</v>
      </c>
      <c r="W2604" s="72" t="s">
        <v>836</v>
      </c>
      <c r="X2604" s="55">
        <f>S2604*V2604</f>
        <v>2544.48</v>
      </c>
      <c r="Y2604" s="384">
        <v>2.2690000000000001</v>
      </c>
      <c r="Z2604">
        <f>Y2604*336</f>
        <v>762.38</v>
      </c>
      <c r="AB2604" s="55"/>
      <c r="AC2604" s="54"/>
      <c r="AD2604" s="1533" t="s">
        <v>4424</v>
      </c>
      <c r="AE2604" s="1533"/>
      <c r="AF2604" s="1533"/>
      <c r="AG2604" s="1533"/>
    </row>
    <row r="2605" spans="6:33" ht="24" customHeight="1">
      <c r="F2605" s="55" t="s">
        <v>546</v>
      </c>
      <c r="G2605" s="54"/>
      <c r="H2605" s="55"/>
      <c r="I2605" s="55">
        <v>2.88</v>
      </c>
      <c r="J2605" s="72"/>
      <c r="K2605" s="55"/>
      <c r="S2605" s="76">
        <f>V2596</f>
        <v>4.2999999999999997E-2</v>
      </c>
      <c r="T2605" s="54" t="s">
        <v>836</v>
      </c>
      <c r="U2605" s="55" t="s">
        <v>2413</v>
      </c>
      <c r="V2605" s="55">
        <f t="shared" ref="V2605:V2613" si="253">I2637</f>
        <v>99400</v>
      </c>
      <c r="W2605" s="72" t="s">
        <v>836</v>
      </c>
      <c r="X2605" s="55">
        <f t="shared" ref="X2605:X2615" si="254">S2605*V2605</f>
        <v>4274.2</v>
      </c>
      <c r="Y2605" s="384">
        <v>3.4849999999999999</v>
      </c>
      <c r="Z2605">
        <f>Y2605*V2607</f>
        <v>4617.63</v>
      </c>
      <c r="AB2605" s="55"/>
      <c r="AC2605" s="54"/>
      <c r="AD2605" s="55"/>
      <c r="AE2605" s="55"/>
      <c r="AF2605" s="72"/>
      <c r="AG2605" s="55"/>
    </row>
    <row r="2606" spans="6:33" ht="24" customHeight="1">
      <c r="F2606" s="55"/>
      <c r="G2606" s="54"/>
      <c r="H2606" s="55"/>
      <c r="I2606" s="57" t="s">
        <v>846</v>
      </c>
      <c r="J2606" s="72"/>
      <c r="K2606" s="55"/>
      <c r="S2606" s="76">
        <f>V2601</f>
        <v>4.0800000000000003E-2</v>
      </c>
      <c r="T2606" s="54" t="s">
        <v>836</v>
      </c>
      <c r="U2606" s="55" t="s">
        <v>900</v>
      </c>
      <c r="V2606" s="55">
        <f t="shared" si="253"/>
        <v>107000</v>
      </c>
      <c r="W2606" s="72" t="s">
        <v>836</v>
      </c>
      <c r="X2606" s="55">
        <f t="shared" si="254"/>
        <v>4365.6000000000004</v>
      </c>
      <c r="Y2606" s="384">
        <v>2</v>
      </c>
      <c r="Z2606">
        <f>Y2606*V2608</f>
        <v>900</v>
      </c>
      <c r="AB2606" s="55" t="s">
        <v>1949</v>
      </c>
      <c r="AC2606" s="54"/>
      <c r="AD2606" s="55"/>
      <c r="AE2606" s="157">
        <f>2*0.95*2.025</f>
        <v>3.8475000000000001</v>
      </c>
      <c r="AF2606" s="72"/>
      <c r="AG2606" s="55"/>
    </row>
    <row r="2607" spans="6:33" ht="24" customHeight="1">
      <c r="F2607" s="55"/>
      <c r="G2607" s="54"/>
      <c r="H2607" s="55"/>
      <c r="I2607" s="37">
        <f>SUM(I2600:I2605)</f>
        <v>72.55</v>
      </c>
      <c r="J2607" s="72" t="s">
        <v>1591</v>
      </c>
      <c r="K2607" s="55"/>
      <c r="S2607" s="76">
        <f>V2592</f>
        <v>3.4424999999999999</v>
      </c>
      <c r="T2607" s="54" t="s">
        <v>578</v>
      </c>
      <c r="U2607" s="55" t="s">
        <v>850</v>
      </c>
      <c r="V2607" s="55">
        <f t="shared" si="253"/>
        <v>1325</v>
      </c>
      <c r="W2607" s="72" t="s">
        <v>578</v>
      </c>
      <c r="X2607" s="55">
        <f t="shared" si="254"/>
        <v>4561.3100000000004</v>
      </c>
      <c r="Y2607" s="384">
        <v>6</v>
      </c>
      <c r="Z2607">
        <f>Y2607*V2609</f>
        <v>474</v>
      </c>
      <c r="AB2607" s="55" t="s">
        <v>1865</v>
      </c>
      <c r="AC2607" s="54"/>
      <c r="AD2607" s="55"/>
      <c r="AE2607" s="157">
        <v>2.2800000000000001E-2</v>
      </c>
      <c r="AF2607" s="72"/>
      <c r="AG2607" s="55"/>
    </row>
    <row r="2608" spans="6:33" ht="24" customHeight="1">
      <c r="F2608" s="55"/>
      <c r="G2608" s="54"/>
      <c r="H2608" s="55"/>
      <c r="I2608" s="57" t="s">
        <v>846</v>
      </c>
      <c r="J2608" s="72"/>
      <c r="K2608" s="55"/>
      <c r="S2608" s="74">
        <v>2</v>
      </c>
      <c r="T2608" s="54" t="s">
        <v>1807</v>
      </c>
      <c r="U2608" s="55" t="s">
        <v>2045</v>
      </c>
      <c r="V2608" s="55">
        <f t="shared" si="253"/>
        <v>450</v>
      </c>
      <c r="W2608" s="72" t="s">
        <v>1341</v>
      </c>
      <c r="X2608" s="55">
        <f t="shared" si="254"/>
        <v>900</v>
      </c>
      <c r="Y2608" s="384">
        <v>4</v>
      </c>
      <c r="Z2608">
        <f>Y2608*V2610</f>
        <v>520</v>
      </c>
      <c r="AB2608" s="55" t="s">
        <v>1950</v>
      </c>
      <c r="AC2608" s="54"/>
      <c r="AD2608" s="55"/>
      <c r="AE2608" s="76">
        <f>2*3*0.95*0.15*0.0375</f>
        <v>3.2099999999999997E-2</v>
      </c>
      <c r="AF2608" s="72"/>
      <c r="AG2608" s="55"/>
    </row>
    <row r="2609" spans="6:33" ht="24" customHeight="1">
      <c r="F2609" s="55"/>
      <c r="G2609" s="54"/>
      <c r="H2609" s="55"/>
      <c r="I2609" s="55"/>
      <c r="J2609" s="72"/>
      <c r="K2609" s="55"/>
      <c r="S2609" s="74">
        <v>6</v>
      </c>
      <c r="T2609" s="54" t="s">
        <v>1807</v>
      </c>
      <c r="U2609" s="55" t="s">
        <v>1058</v>
      </c>
      <c r="V2609" s="55">
        <f t="shared" si="253"/>
        <v>79</v>
      </c>
      <c r="W2609" s="72" t="s">
        <v>1341</v>
      </c>
      <c r="X2609" s="55">
        <f t="shared" si="254"/>
        <v>474</v>
      </c>
      <c r="Y2609" s="384">
        <v>1</v>
      </c>
      <c r="Z2609">
        <f>Y2609*X2611</f>
        <v>985</v>
      </c>
      <c r="AB2609" s="55"/>
      <c r="AC2609" s="54" t="s">
        <v>1951</v>
      </c>
      <c r="AD2609" s="55"/>
      <c r="AE2609" s="76">
        <f>2*3*0.95*0.075*0.0375</f>
        <v>1.6E-2</v>
      </c>
      <c r="AF2609" s="72"/>
      <c r="AG2609" s="55"/>
    </row>
    <row r="2610" spans="6:33" ht="24" customHeight="1">
      <c r="F2610" s="55">
        <v>73</v>
      </c>
      <c r="G2610" s="54" t="s">
        <v>1591</v>
      </c>
      <c r="H2610" s="55" t="s">
        <v>547</v>
      </c>
      <c r="I2610" s="55">
        <f>I2575</f>
        <v>62.6</v>
      </c>
      <c r="J2610" s="72" t="s">
        <v>1591</v>
      </c>
      <c r="K2610" s="55">
        <f>F2610*I2610</f>
        <v>4569.8</v>
      </c>
      <c r="S2610" s="74">
        <v>4</v>
      </c>
      <c r="T2610" s="54" t="s">
        <v>1807</v>
      </c>
      <c r="U2610" s="55" t="s">
        <v>1296</v>
      </c>
      <c r="V2610" s="55">
        <f t="shared" si="253"/>
        <v>130</v>
      </c>
      <c r="W2610" s="72" t="s">
        <v>1341</v>
      </c>
      <c r="X2610" s="55">
        <f t="shared" si="254"/>
        <v>520</v>
      </c>
      <c r="Y2610" s="384">
        <v>2</v>
      </c>
      <c r="Z2610">
        <f>Y2610*V2612</f>
        <v>15</v>
      </c>
      <c r="AB2610" s="55"/>
      <c r="AC2610" s="54"/>
      <c r="AD2610" s="55"/>
      <c r="AE2610" s="158">
        <f>SUM(AE2608:AE2609)</f>
        <v>4.8099999999999997E-2</v>
      </c>
      <c r="AF2610" s="72"/>
      <c r="AG2610" s="55"/>
    </row>
    <row r="2611" spans="6:33" ht="24" customHeight="1">
      <c r="F2611" s="55">
        <v>1.01</v>
      </c>
      <c r="G2611" s="54" t="s">
        <v>2199</v>
      </c>
      <c r="H2611" s="55" t="s">
        <v>2044</v>
      </c>
      <c r="I2611" s="55">
        <f>I2576</f>
        <v>339</v>
      </c>
      <c r="J2611" s="72" t="s">
        <v>2199</v>
      </c>
      <c r="K2611" s="75">
        <f>F2611*I2611</f>
        <v>342.39</v>
      </c>
      <c r="S2611" s="74">
        <v>1</v>
      </c>
      <c r="T2611" s="54" t="s">
        <v>1807</v>
      </c>
      <c r="U2611" s="55" t="s">
        <v>1297</v>
      </c>
      <c r="V2611" s="55">
        <f t="shared" si="253"/>
        <v>985</v>
      </c>
      <c r="W2611" s="72" t="s">
        <v>1341</v>
      </c>
      <c r="X2611" s="55">
        <f t="shared" si="254"/>
        <v>985</v>
      </c>
      <c r="Y2611" s="384">
        <v>2</v>
      </c>
      <c r="Z2611">
        <f>Y2611*V2613</f>
        <v>91.8</v>
      </c>
      <c r="AB2611" s="55"/>
      <c r="AC2611" s="54"/>
      <c r="AD2611" s="55"/>
      <c r="AE2611" s="55"/>
      <c r="AF2611" s="72"/>
      <c r="AG2611" s="55"/>
    </row>
    <row r="2612" spans="6:33" ht="24" customHeight="1">
      <c r="F2612" s="55">
        <v>1.01</v>
      </c>
      <c r="G2612" s="54" t="s">
        <v>2199</v>
      </c>
      <c r="H2612" s="55" t="s">
        <v>548</v>
      </c>
      <c r="I2612" s="55">
        <f>C201</f>
        <v>36.299999999999997</v>
      </c>
      <c r="J2612" s="72" t="s">
        <v>2199</v>
      </c>
      <c r="K2612" s="55">
        <f>F2612*I2612</f>
        <v>36.659999999999997</v>
      </c>
      <c r="S2612" s="74">
        <v>2</v>
      </c>
      <c r="T2612" s="54" t="s">
        <v>1807</v>
      </c>
      <c r="U2612" s="55" t="s">
        <v>1911</v>
      </c>
      <c r="V2612" s="623">
        <v>7.5</v>
      </c>
      <c r="W2612" s="72" t="s">
        <v>1341</v>
      </c>
      <c r="X2612" s="55">
        <f t="shared" si="254"/>
        <v>15</v>
      </c>
      <c r="Y2612" s="384"/>
      <c r="Z2612">
        <v>20</v>
      </c>
      <c r="AB2612" s="55"/>
      <c r="AC2612" s="54"/>
      <c r="AD2612" s="55"/>
      <c r="AE2612" s="55"/>
      <c r="AF2612" s="72"/>
      <c r="AG2612" s="55"/>
    </row>
    <row r="2613" spans="6:33" ht="24" customHeight="1">
      <c r="F2613" s="55"/>
      <c r="G2613" s="54"/>
      <c r="H2613" s="55" t="s">
        <v>121</v>
      </c>
      <c r="I2613" s="502">
        <v>266.81</v>
      </c>
      <c r="J2613" s="72" t="s">
        <v>419</v>
      </c>
      <c r="K2613" s="55">
        <f>I2613</f>
        <v>266.81</v>
      </c>
      <c r="S2613" s="74">
        <v>2</v>
      </c>
      <c r="T2613" s="54" t="s">
        <v>1807</v>
      </c>
      <c r="U2613" s="55" t="s">
        <v>1913</v>
      </c>
      <c r="V2613" s="55">
        <f t="shared" si="253"/>
        <v>45.9</v>
      </c>
      <c r="W2613" s="72" t="s">
        <v>1341</v>
      </c>
      <c r="X2613" s="55">
        <f t="shared" si="254"/>
        <v>91.8</v>
      </c>
      <c r="Z2613">
        <f>SUM(Z2602:Z2612)</f>
        <v>15416.89</v>
      </c>
      <c r="AB2613" s="55" t="s">
        <v>2006</v>
      </c>
      <c r="AC2613" s="54"/>
      <c r="AD2613" s="55"/>
      <c r="AE2613" s="76">
        <f>2*4*0.825*0.3*0.01875</f>
        <v>3.7100000000000001E-2</v>
      </c>
      <c r="AF2613" s="72"/>
      <c r="AG2613" s="55"/>
    </row>
    <row r="2614" spans="6:33" ht="24" customHeight="1">
      <c r="F2614" s="55"/>
      <c r="G2614" s="54"/>
      <c r="H2614" s="55"/>
      <c r="I2614" s="55"/>
      <c r="J2614" s="72"/>
      <c r="K2614" s="57" t="s">
        <v>144</v>
      </c>
      <c r="S2614" s="74"/>
      <c r="T2614" s="54"/>
      <c r="U2614" s="55"/>
      <c r="V2614" s="55"/>
      <c r="W2614" s="72"/>
      <c r="X2614" s="55"/>
      <c r="Z2614">
        <f>Z2613/3.485</f>
        <v>4423.78</v>
      </c>
      <c r="AB2614" s="55" t="s">
        <v>2007</v>
      </c>
      <c r="AC2614" s="54"/>
      <c r="AD2614" s="55"/>
      <c r="AE2614" s="76">
        <f>2*0.825*0.3*0.01875</f>
        <v>9.2999999999999992E-3</v>
      </c>
      <c r="AF2614" s="72"/>
      <c r="AG2614" s="55"/>
    </row>
    <row r="2615" spans="6:33" ht="24" customHeight="1">
      <c r="F2615" s="55"/>
      <c r="G2615" s="54"/>
      <c r="H2615" s="55"/>
      <c r="I2615" s="55"/>
      <c r="J2615" s="72"/>
      <c r="K2615" s="55">
        <f>SUM(K2610:K2613)</f>
        <v>5215.66</v>
      </c>
      <c r="S2615" s="74">
        <v>10</v>
      </c>
      <c r="T2615" s="54"/>
      <c r="U2615" s="442" t="s">
        <v>1102</v>
      </c>
      <c r="V2615" s="55">
        <f>I2646</f>
        <v>2.39</v>
      </c>
      <c r="W2615" s="72"/>
      <c r="X2615" s="55">
        <f t="shared" si="254"/>
        <v>23.9</v>
      </c>
      <c r="AB2615" s="55"/>
      <c r="AC2615" s="54"/>
      <c r="AD2615" s="55"/>
      <c r="AE2615" s="158">
        <f>SUM(AE2613:AE2614)</f>
        <v>4.6399999999999997E-2</v>
      </c>
      <c r="AF2615" s="72"/>
      <c r="AG2615" s="55"/>
    </row>
    <row r="2616" spans="6:33" ht="24" customHeight="1">
      <c r="F2616" s="55"/>
      <c r="G2616" s="54"/>
      <c r="H2616" s="55" t="s">
        <v>122</v>
      </c>
      <c r="I2616" s="502">
        <v>255</v>
      </c>
      <c r="J2616" s="72" t="s">
        <v>419</v>
      </c>
      <c r="K2616" s="55">
        <v>255</v>
      </c>
      <c r="S2616" s="74"/>
      <c r="T2616" s="73"/>
      <c r="U2616" s="37" t="s">
        <v>521</v>
      </c>
      <c r="V2616" s="55"/>
      <c r="W2616" s="72"/>
      <c r="X2616" s="37">
        <f>SUM(X2604:X2615)</f>
        <v>18755.29</v>
      </c>
      <c r="AB2616" s="55"/>
      <c r="AC2616" s="54"/>
      <c r="AD2616" s="37" t="s">
        <v>1568</v>
      </c>
      <c r="AE2616" s="55"/>
      <c r="AF2616" s="72"/>
      <c r="AG2616" s="55"/>
    </row>
    <row r="2617" spans="6:33" ht="24" customHeight="1">
      <c r="F2617" s="55"/>
      <c r="G2617" s="54"/>
      <c r="H2617" s="55"/>
      <c r="I2617" s="55"/>
      <c r="J2617" s="72"/>
      <c r="K2617" s="57" t="s">
        <v>144</v>
      </c>
      <c r="S2617" s="74"/>
      <c r="T2617" s="73"/>
      <c r="U2617" s="37"/>
      <c r="V2617" s="55"/>
      <c r="W2617" s="72"/>
      <c r="X2617" s="57" t="s">
        <v>144</v>
      </c>
      <c r="AB2617" s="55"/>
      <c r="AC2617" s="54"/>
      <c r="AD2617" s="55"/>
      <c r="AE2617" s="55"/>
      <c r="AF2617" s="72"/>
      <c r="AG2617" s="55"/>
    </row>
    <row r="2618" spans="6:33" ht="24" customHeight="1">
      <c r="F2618" s="55"/>
      <c r="G2618" s="54"/>
      <c r="H2618" s="37" t="s">
        <v>123</v>
      </c>
      <c r="I2618" s="55"/>
      <c r="J2618" s="72"/>
      <c r="K2618" s="37">
        <f>SUM(K2615:K2616)</f>
        <v>5470.66</v>
      </c>
      <c r="M2618">
        <f>5227-K2618</f>
        <v>-243.66</v>
      </c>
      <c r="S2618" s="74"/>
      <c r="T2618" s="73"/>
      <c r="U2618" s="37" t="s">
        <v>2414</v>
      </c>
      <c r="V2618" s="55"/>
      <c r="W2618" s="72"/>
      <c r="X2618" s="37">
        <f>X2616/3.4425</f>
        <v>5448.16</v>
      </c>
      <c r="AB2618" s="76">
        <f>AE2607</f>
        <v>2.2800000000000001E-2</v>
      </c>
      <c r="AC2618" s="54" t="s">
        <v>836</v>
      </c>
      <c r="AD2618" s="55" t="s">
        <v>2412</v>
      </c>
      <c r="AE2618" s="55">
        <f>V2604</f>
        <v>111600</v>
      </c>
      <c r="AF2618" s="72" t="s">
        <v>836</v>
      </c>
      <c r="AG2618" s="55">
        <f>AB2618*AE2618</f>
        <v>2544.48</v>
      </c>
    </row>
    <row r="2619" spans="6:33" ht="24" customHeight="1">
      <c r="F2619" s="55"/>
      <c r="G2619" s="54"/>
      <c r="H2619" s="55"/>
      <c r="I2619" s="55"/>
      <c r="J2619" s="72"/>
      <c r="K2619" s="57" t="s">
        <v>144</v>
      </c>
      <c r="AB2619" s="76">
        <f>AE2610</f>
        <v>4.8099999999999997E-2</v>
      </c>
      <c r="AC2619" s="54" t="s">
        <v>836</v>
      </c>
      <c r="AD2619" s="55" t="s">
        <v>2413</v>
      </c>
      <c r="AE2619" s="55">
        <f t="shared" ref="AE2619:AE2627" si="255">V2605</f>
        <v>99400</v>
      </c>
      <c r="AF2619" s="72" t="s">
        <v>836</v>
      </c>
      <c r="AG2619" s="55">
        <f t="shared" ref="AG2619:AG2627" si="256">AB2619*AE2619</f>
        <v>4781.1400000000003</v>
      </c>
    </row>
    <row r="2620" spans="6:33" ht="24" customHeight="1">
      <c r="F2620" s="55"/>
      <c r="G2620" s="54"/>
      <c r="H2620" s="55"/>
      <c r="I2620" s="55"/>
      <c r="J2620" s="72"/>
      <c r="K2620" s="55"/>
      <c r="AB2620" s="77">
        <f>AE2615</f>
        <v>4.6399999999999997E-2</v>
      </c>
      <c r="AC2620" s="54" t="s">
        <v>836</v>
      </c>
      <c r="AD2620" s="55" t="s">
        <v>900</v>
      </c>
      <c r="AE2620" s="55">
        <f t="shared" si="255"/>
        <v>107000</v>
      </c>
      <c r="AF2620" s="72" t="s">
        <v>836</v>
      </c>
      <c r="AG2620" s="55">
        <f t="shared" si="256"/>
        <v>4964.8</v>
      </c>
    </row>
    <row r="2621" spans="6:33" ht="24" customHeight="1">
      <c r="F2621" s="55"/>
      <c r="G2621" s="54"/>
      <c r="H2621" s="55"/>
      <c r="I2621" s="55"/>
      <c r="J2621" s="72"/>
      <c r="K2621" s="55"/>
      <c r="AB2621" s="76">
        <f>AE2606</f>
        <v>3.8475000000000001</v>
      </c>
      <c r="AC2621" s="54" t="s">
        <v>578</v>
      </c>
      <c r="AD2621" s="55" t="s">
        <v>850</v>
      </c>
      <c r="AE2621" s="55">
        <f t="shared" si="255"/>
        <v>1325</v>
      </c>
      <c r="AF2621" s="72" t="s">
        <v>578</v>
      </c>
      <c r="AG2621" s="55">
        <f t="shared" si="256"/>
        <v>5097.9399999999996</v>
      </c>
    </row>
    <row r="2622" spans="6:33" ht="24" customHeight="1">
      <c r="F2622" s="55"/>
      <c r="G2622" s="54"/>
      <c r="H2622" s="37" t="s">
        <v>3845</v>
      </c>
      <c r="I2622" s="37"/>
      <c r="J2622" s="72"/>
      <c r="K2622" s="55"/>
      <c r="AB2622" s="55">
        <v>2</v>
      </c>
      <c r="AC2622" s="54" t="s">
        <v>1807</v>
      </c>
      <c r="AD2622" s="55" t="s">
        <v>2045</v>
      </c>
      <c r="AE2622" s="55">
        <f t="shared" si="255"/>
        <v>450</v>
      </c>
      <c r="AF2622" s="72" t="s">
        <v>1341</v>
      </c>
      <c r="AG2622" s="55">
        <f t="shared" si="256"/>
        <v>900</v>
      </c>
    </row>
    <row r="2623" spans="6:33" ht="24" customHeight="1">
      <c r="F2623" s="55"/>
      <c r="G2623" s="54"/>
      <c r="H2623" s="55"/>
      <c r="I2623" s="55"/>
      <c r="J2623" s="72"/>
      <c r="K2623" s="55"/>
      <c r="AB2623" s="55">
        <v>6</v>
      </c>
      <c r="AC2623" s="54" t="s">
        <v>1807</v>
      </c>
      <c r="AD2623" s="55" t="s">
        <v>1058</v>
      </c>
      <c r="AE2623" s="55">
        <f t="shared" si="255"/>
        <v>79</v>
      </c>
      <c r="AF2623" s="72" t="s">
        <v>1341</v>
      </c>
      <c r="AG2623" s="55">
        <f t="shared" si="256"/>
        <v>474</v>
      </c>
    </row>
    <row r="2624" spans="6:33" ht="24" customHeight="1">
      <c r="F2624" s="55" t="s">
        <v>428</v>
      </c>
      <c r="G2624" s="54"/>
      <c r="H2624" s="55"/>
      <c r="I2624" s="55"/>
      <c r="J2624" s="72"/>
      <c r="K2624" s="55"/>
      <c r="AB2624" s="55">
        <v>4</v>
      </c>
      <c r="AC2624" s="54" t="s">
        <v>1807</v>
      </c>
      <c r="AD2624" s="55" t="s">
        <v>1296</v>
      </c>
      <c r="AE2624" s="55">
        <f t="shared" si="255"/>
        <v>130</v>
      </c>
      <c r="AF2624" s="72" t="s">
        <v>1341</v>
      </c>
      <c r="AG2624" s="55">
        <f t="shared" si="256"/>
        <v>520</v>
      </c>
    </row>
    <row r="2625" spans="6:33" ht="24" customHeight="1">
      <c r="F2625" s="55" t="s">
        <v>1865</v>
      </c>
      <c r="G2625" s="54"/>
      <c r="H2625" s="55"/>
      <c r="I2625" s="157">
        <v>2.2800000000000001E-2</v>
      </c>
      <c r="J2625" s="72"/>
      <c r="K2625" s="55"/>
      <c r="AB2625" s="55">
        <v>1</v>
      </c>
      <c r="AC2625" s="54" t="s">
        <v>1807</v>
      </c>
      <c r="AD2625" s="55" t="s">
        <v>1297</v>
      </c>
      <c r="AE2625" s="55">
        <f t="shared" si="255"/>
        <v>985</v>
      </c>
      <c r="AF2625" s="72" t="s">
        <v>1341</v>
      </c>
      <c r="AG2625" s="55">
        <f t="shared" si="256"/>
        <v>985</v>
      </c>
    </row>
    <row r="2626" spans="6:33" ht="24" customHeight="1">
      <c r="F2626" s="55" t="s">
        <v>1866</v>
      </c>
      <c r="G2626" s="54"/>
      <c r="H2626" s="55"/>
      <c r="I2626" s="76">
        <v>2.3599999999999999E-2</v>
      </c>
      <c r="J2626" s="72"/>
      <c r="K2626" s="55"/>
      <c r="AB2626" s="55">
        <v>2</v>
      </c>
      <c r="AC2626" s="54" t="s">
        <v>1807</v>
      </c>
      <c r="AD2626" s="55" t="s">
        <v>1911</v>
      </c>
      <c r="AE2626" s="55">
        <f t="shared" si="255"/>
        <v>7.5</v>
      </c>
      <c r="AF2626" s="72" t="s">
        <v>1341</v>
      </c>
      <c r="AG2626" s="55">
        <f t="shared" si="256"/>
        <v>15</v>
      </c>
    </row>
    <row r="2627" spans="6:33" ht="24" customHeight="1">
      <c r="F2627" s="55"/>
      <c r="G2627" s="54" t="s">
        <v>1995</v>
      </c>
      <c r="H2627" s="55"/>
      <c r="I2627" s="76">
        <v>1.18E-2</v>
      </c>
      <c r="J2627" s="72"/>
      <c r="K2627" s="55"/>
      <c r="AB2627" s="55">
        <v>2</v>
      </c>
      <c r="AC2627" s="54" t="s">
        <v>1807</v>
      </c>
      <c r="AD2627" s="55" t="s">
        <v>1913</v>
      </c>
      <c r="AE2627" s="55">
        <f t="shared" si="255"/>
        <v>45.9</v>
      </c>
      <c r="AF2627" s="72" t="s">
        <v>1341</v>
      </c>
      <c r="AG2627" s="55">
        <f t="shared" si="256"/>
        <v>91.8</v>
      </c>
    </row>
    <row r="2628" spans="6:33" ht="24" customHeight="1">
      <c r="F2628" s="55"/>
      <c r="G2628" s="54"/>
      <c r="H2628" s="55"/>
      <c r="I2628" s="158">
        <f>SUM(I2626:I2627)</f>
        <v>3.5400000000000001E-2</v>
      </c>
      <c r="J2628" s="72"/>
      <c r="K2628" s="55"/>
      <c r="AB2628" s="55"/>
      <c r="AC2628" s="54"/>
      <c r="AD2628" s="55"/>
      <c r="AE2628" s="55"/>
      <c r="AF2628" s="72"/>
      <c r="AG2628" s="55"/>
    </row>
    <row r="2629" spans="6:33" ht="24" customHeight="1">
      <c r="F2629" s="55"/>
      <c r="G2629" s="54"/>
      <c r="H2629" s="55"/>
      <c r="I2629" s="55"/>
      <c r="J2629" s="72"/>
      <c r="K2629" s="55"/>
      <c r="M2629" s="55"/>
      <c r="N2629" s="54"/>
      <c r="O2629" s="37" t="s">
        <v>3846</v>
      </c>
      <c r="P2629" s="55"/>
      <c r="Q2629" s="72"/>
      <c r="R2629" s="55"/>
      <c r="AB2629" s="55"/>
      <c r="AC2629" s="54"/>
      <c r="AD2629" s="55"/>
      <c r="AE2629" s="55"/>
      <c r="AF2629" s="72"/>
      <c r="AG2629" s="57">
        <v>10.54</v>
      </c>
    </row>
    <row r="2630" spans="6:33" ht="24" customHeight="1">
      <c r="F2630" s="55"/>
      <c r="G2630" s="54"/>
      <c r="H2630" s="55"/>
      <c r="I2630" s="55"/>
      <c r="J2630" s="72"/>
      <c r="K2630" s="55"/>
      <c r="M2630" s="55"/>
      <c r="N2630" s="54"/>
      <c r="O2630" s="55"/>
      <c r="P2630" s="55"/>
      <c r="Q2630" s="72"/>
      <c r="R2630" s="55"/>
      <c r="AB2630" s="55"/>
      <c r="AC2630" s="73"/>
      <c r="AD2630" s="37" t="s">
        <v>521</v>
      </c>
      <c r="AE2630" s="55"/>
      <c r="AF2630" s="72"/>
      <c r="AG2630" s="37">
        <f>SUM(AG2618:AG2629)</f>
        <v>20384.7</v>
      </c>
    </row>
    <row r="2631" spans="6:33" ht="24" customHeight="1">
      <c r="F2631" s="55" t="s">
        <v>1996</v>
      </c>
      <c r="G2631" s="54"/>
      <c r="H2631" s="55"/>
      <c r="I2631" s="76">
        <v>2.5899999999999999E-2</v>
      </c>
      <c r="J2631" s="72"/>
      <c r="K2631" s="55"/>
      <c r="M2631" s="55" t="s">
        <v>1804</v>
      </c>
      <c r="N2631" s="54"/>
      <c r="O2631" s="55"/>
      <c r="P2631" s="55"/>
      <c r="Q2631" s="72"/>
      <c r="R2631" s="55"/>
      <c r="AB2631" s="55"/>
      <c r="AC2631" s="73"/>
      <c r="AD2631" s="37"/>
      <c r="AE2631" s="55"/>
      <c r="AF2631" s="72"/>
      <c r="AG2631" s="57" t="s">
        <v>144</v>
      </c>
    </row>
    <row r="2632" spans="6:33" ht="24" customHeight="1">
      <c r="F2632" s="55" t="s">
        <v>390</v>
      </c>
      <c r="G2632" s="54"/>
      <c r="H2632" s="55"/>
      <c r="I2632" s="76">
        <f>2*0.575*0.3*0.01875</f>
        <v>6.4999999999999997E-3</v>
      </c>
      <c r="J2632" s="72"/>
      <c r="K2632" s="55">
        <f>3643035-3769622.98</f>
        <v>-126587.98</v>
      </c>
      <c r="M2632" s="55" t="s">
        <v>1865</v>
      </c>
      <c r="N2632" s="54"/>
      <c r="O2632" s="55"/>
      <c r="P2632" s="157">
        <v>2.2800000000000001E-2</v>
      </c>
      <c r="Q2632" s="72"/>
      <c r="R2632" s="55"/>
      <c r="AB2632" s="55"/>
      <c r="AC2632" s="73"/>
      <c r="AD2632" s="37" t="s">
        <v>2008</v>
      </c>
      <c r="AE2632" s="55"/>
      <c r="AF2632" s="72"/>
      <c r="AG2632" s="37">
        <f>AG2630/3.8475</f>
        <v>5298.17</v>
      </c>
    </row>
    <row r="2633" spans="6:33" ht="24" customHeight="1">
      <c r="F2633" s="55"/>
      <c r="G2633" s="54"/>
      <c r="H2633" s="55"/>
      <c r="I2633" s="158">
        <f>SUM(I2631:I2632)</f>
        <v>3.2399999999999998E-2</v>
      </c>
      <c r="J2633" s="72"/>
      <c r="K2633" s="55"/>
      <c r="M2633" s="55" t="s">
        <v>1805</v>
      </c>
      <c r="N2633" s="54"/>
      <c r="O2633" s="55"/>
      <c r="P2633" s="76">
        <v>1.8599999999999998E-2</v>
      </c>
      <c r="Q2633" s="72"/>
      <c r="R2633" s="55"/>
    </row>
    <row r="2634" spans="6:33" ht="24" customHeight="1">
      <c r="F2634" s="55"/>
      <c r="G2634" s="54"/>
      <c r="H2634" s="37" t="s">
        <v>1568</v>
      </c>
      <c r="I2634" s="55"/>
      <c r="J2634" s="72"/>
      <c r="K2634" s="55"/>
      <c r="M2634" s="55"/>
      <c r="N2634" s="54" t="s">
        <v>376</v>
      </c>
      <c r="O2634" s="55"/>
      <c r="P2634" s="76">
        <v>9.2999999999999992E-3</v>
      </c>
      <c r="Q2634" s="72"/>
      <c r="R2634" s="55"/>
    </row>
    <row r="2635" spans="6:33" ht="24" customHeight="1">
      <c r="F2635" s="55"/>
      <c r="G2635" s="54"/>
      <c r="H2635" s="55"/>
      <c r="I2635" s="55"/>
      <c r="J2635" s="72"/>
      <c r="K2635" s="55"/>
      <c r="M2635" s="55"/>
      <c r="N2635" s="54"/>
      <c r="O2635" s="55"/>
      <c r="P2635" s="158">
        <f>SUM(P2633:P2634)</f>
        <v>2.7900000000000001E-2</v>
      </c>
      <c r="Q2635" s="72"/>
      <c r="R2635" s="55"/>
    </row>
    <row r="2636" spans="6:33" ht="24" customHeight="1">
      <c r="F2636" s="76">
        <v>2.2800000000000001E-2</v>
      </c>
      <c r="G2636" s="54" t="s">
        <v>836</v>
      </c>
      <c r="H2636" s="55" t="s">
        <v>3073</v>
      </c>
      <c r="I2636" s="55">
        <f>AC26</f>
        <v>111600</v>
      </c>
      <c r="J2636" s="72" t="s">
        <v>836</v>
      </c>
      <c r="K2636" s="55">
        <f>F2636*I2636</f>
        <v>2544.48</v>
      </c>
      <c r="M2636" s="55"/>
      <c r="N2636" s="54"/>
      <c r="O2636" s="55"/>
      <c r="P2636" s="55"/>
      <c r="Q2636" s="72"/>
      <c r="R2636" s="55"/>
    </row>
    <row r="2637" spans="6:33" ht="24" customHeight="1">
      <c r="F2637" s="76">
        <v>3.5400000000000001E-2</v>
      </c>
      <c r="G2637" s="54" t="s">
        <v>836</v>
      </c>
      <c r="H2637" s="55" t="s">
        <v>2413</v>
      </c>
      <c r="I2637" s="55">
        <f>AC27</f>
        <v>99400</v>
      </c>
      <c r="J2637" s="72" t="s">
        <v>836</v>
      </c>
      <c r="K2637" s="55">
        <f t="shared" ref="K2637:K2646" si="257">F2637*I2637</f>
        <v>3518.76</v>
      </c>
      <c r="M2637" s="55"/>
      <c r="N2637" s="54"/>
      <c r="O2637" s="55"/>
      <c r="P2637" s="55"/>
      <c r="Q2637" s="72"/>
      <c r="R2637" s="55"/>
    </row>
    <row r="2638" spans="6:33" ht="24" customHeight="1">
      <c r="F2638" s="77">
        <v>3.2300000000000002E-2</v>
      </c>
      <c r="G2638" s="54" t="s">
        <v>836</v>
      </c>
      <c r="H2638" t="s">
        <v>4844</v>
      </c>
      <c r="I2638" s="435">
        <v>107000</v>
      </c>
      <c r="J2638" s="72" t="s">
        <v>836</v>
      </c>
      <c r="K2638" s="55">
        <f t="shared" si="257"/>
        <v>3456.1</v>
      </c>
      <c r="M2638" s="55" t="s">
        <v>375</v>
      </c>
      <c r="N2638" s="54"/>
      <c r="O2638" s="55"/>
      <c r="P2638" s="76">
        <v>1.9E-2</v>
      </c>
      <c r="Q2638" s="72"/>
      <c r="R2638" s="55"/>
      <c r="AB2638" s="74"/>
      <c r="AC2638" s="54"/>
      <c r="AD2638" s="37" t="s">
        <v>3654</v>
      </c>
      <c r="AE2638" s="55"/>
      <c r="AF2638" s="72"/>
      <c r="AG2638" s="55"/>
    </row>
    <row r="2639" spans="6:33" ht="24" customHeight="1">
      <c r="F2639" s="74">
        <v>2.835</v>
      </c>
      <c r="G2639" s="54" t="s">
        <v>578</v>
      </c>
      <c r="H2639" s="55" t="s">
        <v>850</v>
      </c>
      <c r="I2639" s="55">
        <f>AE30</f>
        <v>1325</v>
      </c>
      <c r="J2639" s="72" t="s">
        <v>578</v>
      </c>
      <c r="K2639" s="55">
        <f t="shared" si="257"/>
        <v>3756.38</v>
      </c>
      <c r="M2639" s="55" t="s">
        <v>328</v>
      </c>
      <c r="N2639" s="54"/>
      <c r="O2639" s="55"/>
      <c r="P2639" s="76">
        <v>4.7999999999999996E-3</v>
      </c>
      <c r="Q2639" s="72"/>
      <c r="R2639" s="55"/>
      <c r="AB2639" s="74"/>
      <c r="AC2639" s="54"/>
      <c r="AD2639" s="37" t="s">
        <v>3757</v>
      </c>
      <c r="AE2639" s="55"/>
      <c r="AF2639" s="72"/>
      <c r="AG2639" s="55"/>
    </row>
    <row r="2640" spans="6:33" ht="24" customHeight="1">
      <c r="F2640" s="55">
        <v>2</v>
      </c>
      <c r="G2640" s="54" t="s">
        <v>1807</v>
      </c>
      <c r="H2640" t="s">
        <v>3655</v>
      </c>
      <c r="I2640" s="623">
        <v>450</v>
      </c>
      <c r="J2640" s="72" t="s">
        <v>1341</v>
      </c>
      <c r="K2640" s="55">
        <f t="shared" si="257"/>
        <v>900</v>
      </c>
      <c r="M2640" s="55"/>
      <c r="N2640" s="54"/>
      <c r="O2640" s="55"/>
      <c r="P2640" s="158">
        <f>SUM(P2638:P2639)</f>
        <v>2.3800000000000002E-2</v>
      </c>
      <c r="Q2640" s="72"/>
      <c r="R2640" s="55"/>
      <c r="AB2640" s="74" t="s">
        <v>2407</v>
      </c>
      <c r="AC2640" s="54"/>
      <c r="AD2640" s="55"/>
      <c r="AE2640" s="157">
        <f>2*0.85*2.025</f>
        <v>3.4424999999999999</v>
      </c>
      <c r="AF2640" s="72"/>
      <c r="AG2640" s="55"/>
    </row>
    <row r="2641" spans="6:34" ht="24" customHeight="1">
      <c r="F2641" s="55">
        <v>6</v>
      </c>
      <c r="G2641" s="54" t="s">
        <v>1807</v>
      </c>
      <c r="H2641" t="s">
        <v>3656</v>
      </c>
      <c r="I2641" s="526">
        <v>79</v>
      </c>
      <c r="J2641" s="72" t="s">
        <v>1341</v>
      </c>
      <c r="K2641" s="55">
        <f t="shared" si="257"/>
        <v>474</v>
      </c>
      <c r="M2641" s="55"/>
      <c r="N2641" s="54"/>
      <c r="O2641" s="37" t="s">
        <v>1568</v>
      </c>
      <c r="P2641" s="55"/>
      <c r="Q2641" s="72"/>
      <c r="R2641" s="55"/>
      <c r="AB2641" s="74" t="s">
        <v>1865</v>
      </c>
      <c r="AC2641" s="54"/>
      <c r="AD2641" s="55"/>
      <c r="AE2641" s="157">
        <v>2.2800000000000001E-2</v>
      </c>
      <c r="AF2641" s="72"/>
      <c r="AG2641" s="55"/>
    </row>
    <row r="2642" spans="6:34" ht="24" customHeight="1">
      <c r="F2642" s="55">
        <v>4</v>
      </c>
      <c r="G2642" s="54" t="s">
        <v>1807</v>
      </c>
      <c r="H2642" t="s">
        <v>3657</v>
      </c>
      <c r="I2642" s="526">
        <v>130</v>
      </c>
      <c r="J2642" s="72" t="s">
        <v>1341</v>
      </c>
      <c r="K2642" s="55">
        <f t="shared" si="257"/>
        <v>520</v>
      </c>
      <c r="M2642" s="55"/>
      <c r="N2642" s="54"/>
      <c r="O2642" s="55"/>
      <c r="P2642" s="55"/>
      <c r="Q2642" s="72"/>
      <c r="R2642" s="55"/>
      <c r="AB2642" s="74" t="s">
        <v>2408</v>
      </c>
      <c r="AC2642" s="54"/>
      <c r="AD2642" s="55"/>
      <c r="AE2642" s="76">
        <f>2*3*0.85*0.15*0.0375</f>
        <v>2.87E-2</v>
      </c>
      <c r="AF2642" s="72"/>
      <c r="AG2642" s="55"/>
    </row>
    <row r="2643" spans="6:34" ht="24" customHeight="1">
      <c r="F2643" s="55">
        <v>1</v>
      </c>
      <c r="G2643" s="54" t="s">
        <v>1807</v>
      </c>
      <c r="H2643" t="s">
        <v>3658</v>
      </c>
      <c r="I2643" s="526">
        <v>985</v>
      </c>
      <c r="J2643" s="72" t="s">
        <v>1341</v>
      </c>
      <c r="K2643" s="55">
        <f t="shared" si="257"/>
        <v>985</v>
      </c>
      <c r="M2643" s="76">
        <f>P2632</f>
        <v>2.2800000000000001E-2</v>
      </c>
      <c r="N2643" s="54" t="s">
        <v>836</v>
      </c>
      <c r="O2643" s="55" t="s">
        <v>2412</v>
      </c>
      <c r="P2643" s="55">
        <f>I2636</f>
        <v>111600</v>
      </c>
      <c r="Q2643" s="72" t="s">
        <v>836</v>
      </c>
      <c r="R2643" s="55">
        <f>M2643*P2643</f>
        <v>2544.48</v>
      </c>
      <c r="AB2643" s="74"/>
      <c r="AC2643" s="54" t="s">
        <v>2409</v>
      </c>
      <c r="AD2643" s="55"/>
      <c r="AE2643" s="76">
        <f>2*3*0.85*0.075*0.0375</f>
        <v>1.43E-2</v>
      </c>
      <c r="AF2643" s="72"/>
      <c r="AG2643" s="55"/>
    </row>
    <row r="2644" spans="6:34" ht="24" customHeight="1">
      <c r="F2644" s="55">
        <v>2</v>
      </c>
      <c r="G2644" s="54" t="s">
        <v>1807</v>
      </c>
      <c r="H2644" t="s">
        <v>4845</v>
      </c>
      <c r="I2644" s="442">
        <v>22.9</v>
      </c>
      <c r="J2644" s="72" t="s">
        <v>1341</v>
      </c>
      <c r="K2644" s="55">
        <f t="shared" si="257"/>
        <v>45.8</v>
      </c>
      <c r="M2644" s="76">
        <f>P2635</f>
        <v>2.7900000000000001E-2</v>
      </c>
      <c r="N2644" s="54" t="s">
        <v>836</v>
      </c>
      <c r="O2644" s="55" t="s">
        <v>2413</v>
      </c>
      <c r="P2644" s="55">
        <f t="shared" ref="P2644:P2652" si="258">I2637</f>
        <v>99400</v>
      </c>
      <c r="Q2644" s="72" t="s">
        <v>836</v>
      </c>
      <c r="R2644" s="55">
        <f t="shared" ref="R2644:R2652" si="259">M2644*P2644</f>
        <v>2773.26</v>
      </c>
      <c r="AA2644" s="74"/>
      <c r="AB2644" s="74"/>
      <c r="AC2644" s="54"/>
      <c r="AD2644" s="55"/>
      <c r="AE2644" s="158">
        <f>SUM(AE2642:AE2643)</f>
        <v>4.2999999999999997E-2</v>
      </c>
      <c r="AF2644" s="72"/>
      <c r="AG2644" s="55"/>
    </row>
    <row r="2645" spans="6:34" ht="24" customHeight="1">
      <c r="F2645" s="55">
        <v>2</v>
      </c>
      <c r="G2645" s="54" t="s">
        <v>1807</v>
      </c>
      <c r="H2645" t="s">
        <v>4846</v>
      </c>
      <c r="I2645" s="55">
        <v>45.9</v>
      </c>
      <c r="J2645" s="72" t="s">
        <v>1341</v>
      </c>
      <c r="K2645" s="55">
        <f t="shared" si="257"/>
        <v>91.8</v>
      </c>
      <c r="M2645" s="77">
        <f>P2640</f>
        <v>2.3800000000000002E-2</v>
      </c>
      <c r="N2645" s="54" t="s">
        <v>836</v>
      </c>
      <c r="O2645" t="s">
        <v>3844</v>
      </c>
      <c r="P2645" s="55">
        <f t="shared" si="258"/>
        <v>107000</v>
      </c>
      <c r="Q2645" s="72" t="s">
        <v>836</v>
      </c>
      <c r="R2645" s="55">
        <f t="shared" si="259"/>
        <v>2546.6</v>
      </c>
      <c r="AA2645" s="74"/>
      <c r="AB2645" s="74"/>
      <c r="AC2645" s="54"/>
      <c r="AD2645" s="55"/>
      <c r="AE2645" s="55"/>
      <c r="AF2645" s="72"/>
      <c r="AG2645" s="55"/>
    </row>
    <row r="2646" spans="6:34" ht="24" customHeight="1">
      <c r="F2646" s="442">
        <v>118</v>
      </c>
      <c r="G2646" s="54"/>
      <c r="H2646" s="442" t="s">
        <v>1102</v>
      </c>
      <c r="I2646" s="435">
        <f>P2834</f>
        <v>2.39</v>
      </c>
      <c r="J2646" s="72"/>
      <c r="K2646" s="55">
        <f t="shared" si="257"/>
        <v>282.02</v>
      </c>
      <c r="M2646" s="74">
        <v>2.23</v>
      </c>
      <c r="N2646" s="54" t="s">
        <v>578</v>
      </c>
      <c r="O2646" s="55" t="s">
        <v>850</v>
      </c>
      <c r="P2646" s="55">
        <f t="shared" si="258"/>
        <v>1325</v>
      </c>
      <c r="Q2646" s="72" t="s">
        <v>578</v>
      </c>
      <c r="R2646" s="55">
        <f t="shared" si="259"/>
        <v>2954.75</v>
      </c>
      <c r="AA2646" s="74"/>
      <c r="AB2646" s="74"/>
      <c r="AC2646" s="54"/>
      <c r="AD2646" s="55"/>
      <c r="AE2646" s="55"/>
      <c r="AF2646" s="72"/>
      <c r="AG2646" s="55"/>
    </row>
    <row r="2647" spans="6:34" ht="24" customHeight="1">
      <c r="F2647" s="55"/>
      <c r="G2647" s="54"/>
      <c r="H2647" s="55"/>
      <c r="I2647" s="55"/>
      <c r="J2647" s="72"/>
      <c r="K2647" s="57"/>
      <c r="M2647" s="55">
        <v>2</v>
      </c>
      <c r="N2647" s="54" t="s">
        <v>1807</v>
      </c>
      <c r="O2647" s="37" t="s">
        <v>3655</v>
      </c>
      <c r="P2647" s="55">
        <f t="shared" si="258"/>
        <v>450</v>
      </c>
      <c r="Q2647" s="72" t="s">
        <v>1341</v>
      </c>
      <c r="R2647" s="55">
        <f t="shared" si="259"/>
        <v>900</v>
      </c>
      <c r="AA2647" s="74"/>
      <c r="AB2647" s="74" t="s">
        <v>2410</v>
      </c>
      <c r="AC2647" s="54"/>
      <c r="AD2647" s="55"/>
      <c r="AE2647" s="76">
        <f>2*4*0.725*0.3*0.01875</f>
        <v>3.2599999999999997E-2</v>
      </c>
      <c r="AF2647" s="72"/>
      <c r="AG2647" s="55"/>
    </row>
    <row r="2648" spans="6:34" ht="24" customHeight="1">
      <c r="F2648" s="55"/>
      <c r="G2648" s="73"/>
      <c r="H2648" s="37" t="s">
        <v>521</v>
      </c>
      <c r="I2648" s="55"/>
      <c r="J2648" s="72"/>
      <c r="K2648" s="37">
        <f>SUM(K2636:K2647)</f>
        <v>16574.34</v>
      </c>
      <c r="L2648" s="451"/>
      <c r="M2648" s="55">
        <v>6</v>
      </c>
      <c r="N2648" s="54" t="s">
        <v>1807</v>
      </c>
      <c r="O2648" s="37" t="s">
        <v>3656</v>
      </c>
      <c r="P2648" s="55">
        <f t="shared" si="258"/>
        <v>79</v>
      </c>
      <c r="Q2648" s="72" t="s">
        <v>1341</v>
      </c>
      <c r="R2648" s="55">
        <f t="shared" si="259"/>
        <v>474</v>
      </c>
      <c r="AA2648" s="74"/>
      <c r="AB2648" s="74" t="s">
        <v>2411</v>
      </c>
      <c r="AC2648" s="54"/>
      <c r="AD2648" s="55"/>
      <c r="AE2648" s="76">
        <f>2*0.725*0.3*0.01875</f>
        <v>8.2000000000000007E-3</v>
      </c>
      <c r="AF2648" s="72"/>
      <c r="AG2648" s="55"/>
    </row>
    <row r="2649" spans="6:34" ht="24" customHeight="1">
      <c r="F2649" s="55"/>
      <c r="G2649" s="73"/>
      <c r="H2649" s="37"/>
      <c r="I2649" s="55"/>
      <c r="J2649" s="72"/>
      <c r="K2649" s="57" t="s">
        <v>144</v>
      </c>
      <c r="M2649" s="55">
        <v>4</v>
      </c>
      <c r="N2649" s="54" t="s">
        <v>1807</v>
      </c>
      <c r="O2649" s="37" t="s">
        <v>3657</v>
      </c>
      <c r="P2649" s="55">
        <f t="shared" si="258"/>
        <v>130</v>
      </c>
      <c r="Q2649" s="72" t="s">
        <v>1341</v>
      </c>
      <c r="R2649" s="55">
        <f t="shared" si="259"/>
        <v>520</v>
      </c>
      <c r="AA2649" s="74"/>
      <c r="AB2649" s="74"/>
      <c r="AC2649" s="54"/>
      <c r="AD2649" s="55"/>
      <c r="AE2649" s="158">
        <f>SUM(AE2647:AE2648)</f>
        <v>4.0800000000000003E-2</v>
      </c>
      <c r="AF2649" s="72"/>
      <c r="AG2649" s="55"/>
    </row>
    <row r="2650" spans="6:34" ht="24" customHeight="1">
      <c r="F2650" s="55"/>
      <c r="G2650" s="73"/>
      <c r="H2650" s="37" t="s">
        <v>2002</v>
      </c>
      <c r="I2650" s="55"/>
      <c r="J2650" s="72"/>
      <c r="K2650" s="37">
        <f>K2648/2.835</f>
        <v>5846.33</v>
      </c>
      <c r="M2650" s="55">
        <v>1</v>
      </c>
      <c r="N2650" s="54" t="s">
        <v>1807</v>
      </c>
      <c r="O2650" s="37" t="s">
        <v>3658</v>
      </c>
      <c r="P2650" s="55">
        <f t="shared" si="258"/>
        <v>985</v>
      </c>
      <c r="Q2650" s="72" t="s">
        <v>1341</v>
      </c>
      <c r="R2650" s="55">
        <f t="shared" si="259"/>
        <v>985</v>
      </c>
      <c r="AA2650" s="74"/>
      <c r="AB2650" s="74"/>
      <c r="AC2650" s="54"/>
      <c r="AD2650" s="37" t="s">
        <v>1568</v>
      </c>
      <c r="AE2650" s="55"/>
      <c r="AF2650" s="72"/>
      <c r="AG2650" s="55"/>
      <c r="AH2650" s="384"/>
    </row>
    <row r="2651" spans="6:34" ht="24" customHeight="1">
      <c r="F2651" s="55"/>
      <c r="G2651" s="73"/>
      <c r="K2651" s="56" t="s">
        <v>144</v>
      </c>
      <c r="M2651" s="55">
        <v>2</v>
      </c>
      <c r="N2651" s="54" t="s">
        <v>1807</v>
      </c>
      <c r="O2651" t="s">
        <v>1911</v>
      </c>
      <c r="P2651" s="55">
        <f>C291</f>
        <v>7.3</v>
      </c>
      <c r="Q2651" s="72" t="s">
        <v>1341</v>
      </c>
      <c r="R2651" s="55">
        <f t="shared" si="259"/>
        <v>14.6</v>
      </c>
      <c r="AA2651" s="74"/>
      <c r="AB2651" s="74"/>
      <c r="AC2651" s="54"/>
      <c r="AD2651" s="55"/>
      <c r="AE2651" s="55"/>
      <c r="AF2651" s="72"/>
      <c r="AG2651" s="55"/>
      <c r="AH2651" s="384"/>
    </row>
    <row r="2652" spans="6:34" ht="24" customHeight="1">
      <c r="F2652" s="78" t="s">
        <v>847</v>
      </c>
      <c r="G2652" s="79"/>
      <c r="H2652" s="80" t="s">
        <v>1928</v>
      </c>
      <c r="I2652" s="47"/>
      <c r="J2652" s="100"/>
      <c r="K2652" s="47"/>
      <c r="M2652" s="55">
        <v>2</v>
      </c>
      <c r="N2652" s="54" t="s">
        <v>1807</v>
      </c>
      <c r="O2652" s="55" t="s">
        <v>1913</v>
      </c>
      <c r="P2652" s="55">
        <f t="shared" si="258"/>
        <v>45.9</v>
      </c>
      <c r="Q2652" s="72" t="s">
        <v>1341</v>
      </c>
      <c r="R2652" s="55">
        <f t="shared" si="259"/>
        <v>91.8</v>
      </c>
      <c r="AA2652" s="74"/>
      <c r="AB2652" s="76">
        <f>AE2641</f>
        <v>2.2800000000000001E-2</v>
      </c>
      <c r="AC2652" s="54" t="s">
        <v>836</v>
      </c>
      <c r="AD2652" s="55" t="s">
        <v>2412</v>
      </c>
      <c r="AE2652" s="55">
        <f>V2604</f>
        <v>111600</v>
      </c>
      <c r="AF2652" s="72" t="s">
        <v>836</v>
      </c>
      <c r="AG2652" s="55">
        <f>AB2652*AE2652</f>
        <v>2544.48</v>
      </c>
      <c r="AH2652" s="384"/>
    </row>
    <row r="2653" spans="6:34" ht="24" customHeight="1">
      <c r="F2653" s="47"/>
      <c r="G2653" s="79"/>
      <c r="H2653" s="81" t="s">
        <v>1530</v>
      </c>
      <c r="I2653" s="81" t="s">
        <v>1530</v>
      </c>
      <c r="J2653" s="80" t="s">
        <v>1530</v>
      </c>
      <c r="K2653" s="47"/>
      <c r="M2653" s="55"/>
      <c r="N2653" s="54"/>
      <c r="O2653" s="55"/>
      <c r="P2653" s="55"/>
      <c r="Q2653" s="72"/>
      <c r="R2653" s="55">
        <v>21</v>
      </c>
      <c r="AA2653" s="74"/>
      <c r="AB2653" s="76">
        <f>AE2644</f>
        <v>4.2999999999999997E-2</v>
      </c>
      <c r="AC2653" s="54" t="s">
        <v>836</v>
      </c>
      <c r="AD2653" s="55" t="s">
        <v>2413</v>
      </c>
      <c r="AE2653" s="55">
        <f t="shared" ref="AE2653:AE2663" si="260">V2605</f>
        <v>99400</v>
      </c>
      <c r="AF2653" s="72" t="s">
        <v>836</v>
      </c>
      <c r="AG2653" s="55">
        <f t="shared" ref="AG2653:AG2663" si="261">AB2653*AE2653</f>
        <v>4274.2</v>
      </c>
      <c r="AH2653" s="384"/>
    </row>
    <row r="2654" spans="6:34" ht="37.5" customHeight="1">
      <c r="F2654" s="47"/>
      <c r="G2654" s="79"/>
      <c r="H2654" s="47"/>
      <c r="I2654" s="47"/>
      <c r="J2654" s="100"/>
      <c r="K2654" s="47"/>
      <c r="M2654" s="55"/>
      <c r="N2654" s="54"/>
      <c r="O2654" s="55"/>
      <c r="P2654" s="55"/>
      <c r="Q2654" s="72"/>
      <c r="R2654" s="57" t="s">
        <v>144</v>
      </c>
      <c r="AA2654" s="74"/>
      <c r="AB2654" s="76">
        <f>AE2649</f>
        <v>4.0800000000000003E-2</v>
      </c>
      <c r="AC2654" s="54" t="s">
        <v>836</v>
      </c>
      <c r="AD2654" s="28" t="s">
        <v>3844</v>
      </c>
      <c r="AE2654" s="55">
        <f t="shared" si="260"/>
        <v>107000</v>
      </c>
      <c r="AF2654" s="72" t="s">
        <v>836</v>
      </c>
      <c r="AG2654" s="55">
        <f t="shared" si="261"/>
        <v>4365.6000000000004</v>
      </c>
      <c r="AH2654" s="384"/>
    </row>
    <row r="2655" spans="6:34" ht="34.5" customHeight="1">
      <c r="F2655" s="47"/>
      <c r="G2655" s="79"/>
      <c r="H2655" s="80" t="s">
        <v>1929</v>
      </c>
      <c r="I2655" s="47"/>
      <c r="J2655" s="100"/>
      <c r="K2655" s="47"/>
      <c r="M2655" s="55"/>
      <c r="N2655" s="73"/>
      <c r="O2655" s="37" t="s">
        <v>521</v>
      </c>
      <c r="P2655" s="55"/>
      <c r="Q2655" s="72"/>
      <c r="R2655" s="37">
        <f>SUM(R2643:R2653)</f>
        <v>13825.49</v>
      </c>
      <c r="AA2655" s="74"/>
      <c r="AB2655" s="76">
        <f>AE2640</f>
        <v>3.4424999999999999</v>
      </c>
      <c r="AC2655" s="54" t="s">
        <v>578</v>
      </c>
      <c r="AD2655" s="525" t="s">
        <v>850</v>
      </c>
      <c r="AE2655" s="55">
        <f t="shared" si="260"/>
        <v>1325</v>
      </c>
      <c r="AF2655" s="72" t="s">
        <v>578</v>
      </c>
      <c r="AG2655" s="55">
        <f t="shared" si="261"/>
        <v>4561.3100000000004</v>
      </c>
      <c r="AH2655" s="384"/>
    </row>
    <row r="2656" spans="6:34" ht="24" customHeight="1">
      <c r="F2656" s="47"/>
      <c r="G2656" s="79"/>
      <c r="H2656" s="80"/>
      <c r="I2656" s="47"/>
      <c r="J2656" s="100"/>
      <c r="K2656" s="47"/>
      <c r="M2656" s="55"/>
      <c r="N2656" s="73"/>
      <c r="O2656" s="37"/>
      <c r="P2656" s="55"/>
      <c r="Q2656" s="72"/>
      <c r="R2656" s="57" t="s">
        <v>144</v>
      </c>
      <c r="AA2656" s="74"/>
      <c r="AB2656" s="74">
        <v>2</v>
      </c>
      <c r="AC2656" s="54" t="s">
        <v>1807</v>
      </c>
      <c r="AD2656" t="s">
        <v>3655</v>
      </c>
      <c r="AE2656" s="574">
        <v>450</v>
      </c>
      <c r="AF2656" s="72" t="s">
        <v>1341</v>
      </c>
      <c r="AG2656" s="55">
        <f t="shared" si="261"/>
        <v>900</v>
      </c>
      <c r="AH2656" s="384"/>
    </row>
    <row r="2657" spans="6:34" ht="24" customHeight="1">
      <c r="F2657" s="47"/>
      <c r="G2657" s="79"/>
      <c r="H2657" s="80" t="s">
        <v>1930</v>
      </c>
      <c r="I2657" s="47"/>
      <c r="J2657" s="100"/>
      <c r="K2657" s="47"/>
      <c r="M2657" s="55"/>
      <c r="N2657" s="73"/>
      <c r="O2657" s="37" t="s">
        <v>610</v>
      </c>
      <c r="P2657" s="55"/>
      <c r="Q2657" s="72"/>
      <c r="R2657" s="37">
        <f>R2655/M2646</f>
        <v>6199.77</v>
      </c>
      <c r="AA2657" s="74"/>
      <c r="AB2657" s="74">
        <v>6</v>
      </c>
      <c r="AC2657" s="54" t="s">
        <v>1807</v>
      </c>
      <c r="AD2657" t="s">
        <v>3656</v>
      </c>
      <c r="AE2657" s="574">
        <v>79</v>
      </c>
      <c r="AF2657" s="72" t="s">
        <v>1341</v>
      </c>
      <c r="AG2657" s="55">
        <f t="shared" si="261"/>
        <v>474</v>
      </c>
      <c r="AH2657" s="384"/>
    </row>
    <row r="2658" spans="6:34" ht="24" customHeight="1">
      <c r="F2658" s="47"/>
      <c r="G2658" s="79"/>
      <c r="H2658" s="80" t="s">
        <v>424</v>
      </c>
      <c r="I2658" s="47"/>
      <c r="J2658" s="100"/>
      <c r="K2658" s="47"/>
      <c r="M2658" s="55"/>
      <c r="N2658" s="73"/>
      <c r="Q2658" s="11"/>
      <c r="R2658" s="56" t="s">
        <v>144</v>
      </c>
      <c r="AA2658" s="76"/>
      <c r="AB2658" s="74">
        <v>4</v>
      </c>
      <c r="AC2658" s="54" t="s">
        <v>1807</v>
      </c>
      <c r="AD2658" t="s">
        <v>3657</v>
      </c>
      <c r="AE2658" s="574">
        <v>130</v>
      </c>
      <c r="AF2658" s="72" t="s">
        <v>1341</v>
      </c>
      <c r="AG2658" s="55">
        <f t="shared" si="261"/>
        <v>520</v>
      </c>
      <c r="AH2658" s="384"/>
    </row>
    <row r="2659" spans="6:34" ht="24" customHeight="1">
      <c r="F2659" s="47"/>
      <c r="G2659" s="79"/>
      <c r="H2659" s="80" t="s">
        <v>425</v>
      </c>
      <c r="I2659" s="47"/>
      <c r="J2659" s="100"/>
      <c r="K2659" s="47"/>
      <c r="M2659" t="s">
        <v>847</v>
      </c>
      <c r="O2659" t="s">
        <v>1928</v>
      </c>
      <c r="AA2659" s="76"/>
      <c r="AB2659" s="74">
        <v>1</v>
      </c>
      <c r="AC2659" s="54" t="s">
        <v>1807</v>
      </c>
      <c r="AD2659" t="s">
        <v>3658</v>
      </c>
      <c r="AE2659" s="574">
        <v>985</v>
      </c>
      <c r="AF2659" s="72" t="s">
        <v>1341</v>
      </c>
      <c r="AG2659" s="55">
        <f t="shared" si="261"/>
        <v>985</v>
      </c>
      <c r="AH2659" s="384"/>
    </row>
    <row r="2660" spans="6:34" ht="24" customHeight="1">
      <c r="F2660" s="47"/>
      <c r="G2660" s="79"/>
      <c r="H2660" s="80" t="s">
        <v>426</v>
      </c>
      <c r="I2660" s="47"/>
      <c r="J2660" s="100"/>
      <c r="K2660" s="47"/>
      <c r="O2660" t="s">
        <v>1530</v>
      </c>
      <c r="P2660" t="s">
        <v>1530</v>
      </c>
      <c r="Q2660" t="s">
        <v>1530</v>
      </c>
      <c r="AA2660" s="76"/>
      <c r="AB2660" s="74">
        <v>2</v>
      </c>
      <c r="AC2660" s="54" t="s">
        <v>1807</v>
      </c>
      <c r="AD2660" t="s">
        <v>3650</v>
      </c>
      <c r="AE2660" s="435">
        <v>24.6</v>
      </c>
      <c r="AF2660" s="72" t="s">
        <v>1341</v>
      </c>
      <c r="AG2660" s="55">
        <f t="shared" si="261"/>
        <v>49.2</v>
      </c>
      <c r="AH2660" s="384"/>
    </row>
    <row r="2661" spans="6:34" ht="24" customHeight="1">
      <c r="F2661" s="47"/>
      <c r="G2661" s="79"/>
      <c r="H2661" s="80" t="s">
        <v>848</v>
      </c>
      <c r="I2661" s="47"/>
      <c r="J2661" s="80" t="s">
        <v>940</v>
      </c>
      <c r="K2661" s="83">
        <v>3.7699999999999997E-2</v>
      </c>
      <c r="AA2661" s="76"/>
      <c r="AB2661" s="74">
        <v>2</v>
      </c>
      <c r="AC2661" s="54" t="s">
        <v>1807</v>
      </c>
      <c r="AD2661" s="55" t="s">
        <v>1913</v>
      </c>
      <c r="AE2661" s="55">
        <f t="shared" si="260"/>
        <v>45.9</v>
      </c>
      <c r="AF2661" s="72" t="s">
        <v>1341</v>
      </c>
      <c r="AG2661" s="55">
        <f t="shared" si="261"/>
        <v>91.8</v>
      </c>
    </row>
    <row r="2662" spans="6:34" ht="24" customHeight="1">
      <c r="F2662" s="47"/>
      <c r="G2662" s="79"/>
      <c r="H2662" s="80" t="s">
        <v>663</v>
      </c>
      <c r="I2662" s="47"/>
      <c r="J2662" s="84" t="s">
        <v>940</v>
      </c>
      <c r="K2662" s="84" t="s">
        <v>940</v>
      </c>
      <c r="O2662" t="s">
        <v>1929</v>
      </c>
      <c r="AA2662" s="74"/>
      <c r="AB2662" s="74"/>
      <c r="AC2662" s="54"/>
      <c r="AD2662" s="55"/>
      <c r="AE2662" s="55">
        <f t="shared" si="260"/>
        <v>0</v>
      </c>
      <c r="AF2662" s="72"/>
      <c r="AG2662" s="55">
        <f t="shared" si="261"/>
        <v>0</v>
      </c>
    </row>
    <row r="2663" spans="6:34" ht="24" customHeight="1">
      <c r="F2663" s="47"/>
      <c r="G2663" s="79"/>
      <c r="H2663" s="80" t="s">
        <v>1765</v>
      </c>
      <c r="I2663" s="47"/>
      <c r="J2663" s="100"/>
      <c r="K2663" s="84" t="s">
        <v>940</v>
      </c>
      <c r="AA2663" s="74"/>
      <c r="AB2663" s="74">
        <v>118</v>
      </c>
      <c r="AC2663" s="54"/>
      <c r="AD2663" s="442" t="s">
        <v>1102</v>
      </c>
      <c r="AE2663" s="55">
        <f t="shared" si="260"/>
        <v>2.39</v>
      </c>
      <c r="AF2663" s="72"/>
      <c r="AG2663" s="55">
        <f t="shared" si="261"/>
        <v>282.02</v>
      </c>
    </row>
    <row r="2664" spans="6:34" ht="24" customHeight="1">
      <c r="F2664" s="47"/>
      <c r="G2664" s="79"/>
      <c r="H2664" s="47"/>
      <c r="I2664" s="47"/>
      <c r="J2664" s="100"/>
      <c r="K2664" s="47"/>
      <c r="O2664" t="s">
        <v>1930</v>
      </c>
      <c r="AA2664" s="74"/>
      <c r="AB2664" s="74"/>
      <c r="AC2664" s="73"/>
      <c r="AD2664" s="37" t="s">
        <v>521</v>
      </c>
      <c r="AE2664" s="55"/>
      <c r="AF2664" s="72"/>
      <c r="AG2664" s="37">
        <f>SUM(AG2652:AG2663)</f>
        <v>19047.61</v>
      </c>
    </row>
    <row r="2665" spans="6:34" ht="24" customHeight="1">
      <c r="F2665" s="85">
        <v>1.18E-2</v>
      </c>
      <c r="G2665" s="86" t="s">
        <v>836</v>
      </c>
      <c r="H2665" s="80" t="s">
        <v>660</v>
      </c>
      <c r="I2665" s="87">
        <f>AC26</f>
        <v>111600</v>
      </c>
      <c r="J2665" s="80" t="s">
        <v>836</v>
      </c>
      <c r="K2665" s="87">
        <f t="shared" ref="K2665:K2674" si="262">(F2665*I2665)</f>
        <v>1316.88</v>
      </c>
      <c r="O2665" t="s">
        <v>424</v>
      </c>
      <c r="AA2665" s="74"/>
      <c r="AB2665" s="74"/>
      <c r="AC2665" s="73"/>
      <c r="AD2665" s="37"/>
      <c r="AE2665" s="55"/>
      <c r="AF2665" s="72"/>
      <c r="AG2665" s="57" t="s">
        <v>144</v>
      </c>
    </row>
    <row r="2666" spans="6:34" ht="24" customHeight="1">
      <c r="F2666" s="85">
        <v>3.7699999999999997E-2</v>
      </c>
      <c r="G2666" s="86" t="s">
        <v>836</v>
      </c>
      <c r="H2666" s="80" t="s">
        <v>661</v>
      </c>
      <c r="I2666" s="87">
        <f>AC27</f>
        <v>99400</v>
      </c>
      <c r="J2666" s="80" t="s">
        <v>836</v>
      </c>
      <c r="K2666" s="87">
        <f t="shared" si="262"/>
        <v>3747.38</v>
      </c>
      <c r="O2666" t="s">
        <v>425</v>
      </c>
      <c r="AA2666" s="74"/>
      <c r="AB2666" s="74"/>
      <c r="AC2666" s="73"/>
      <c r="AD2666" s="37" t="s">
        <v>2414</v>
      </c>
      <c r="AE2666" s="55"/>
      <c r="AF2666" s="72"/>
      <c r="AG2666" s="37">
        <f>AG2664/3.4425</f>
        <v>5533.07</v>
      </c>
    </row>
    <row r="2667" spans="6:34" ht="24" customHeight="1">
      <c r="F2667" s="85">
        <v>1.8550000000000001E-2</v>
      </c>
      <c r="G2667" s="86" t="s">
        <v>836</v>
      </c>
      <c r="H2667" s="80" t="s">
        <v>853</v>
      </c>
      <c r="I2667" s="87">
        <f>AE33</f>
        <v>11800</v>
      </c>
      <c r="J2667" s="80" t="s">
        <v>836</v>
      </c>
      <c r="K2667" s="87">
        <f t="shared" si="262"/>
        <v>218.89</v>
      </c>
      <c r="O2667" t="s">
        <v>426</v>
      </c>
      <c r="AA2667" s="74"/>
      <c r="AB2667" s="54"/>
      <c r="AC2667" s="55"/>
      <c r="AD2667" s="55"/>
      <c r="AE2667" s="72"/>
      <c r="AF2667" s="55"/>
    </row>
    <row r="2668" spans="6:34" ht="24" customHeight="1">
      <c r="F2668" s="85">
        <v>1.36</v>
      </c>
      <c r="G2668" s="86" t="s">
        <v>578</v>
      </c>
      <c r="H2668" s="80" t="s">
        <v>854</v>
      </c>
      <c r="I2668" s="503">
        <v>269.10000000000002</v>
      </c>
      <c r="J2668" s="80" t="s">
        <v>578</v>
      </c>
      <c r="K2668" s="87">
        <f t="shared" si="262"/>
        <v>365.98</v>
      </c>
      <c r="O2668" t="s">
        <v>848</v>
      </c>
      <c r="Q2668" t="s">
        <v>940</v>
      </c>
      <c r="R2668">
        <v>0.04</v>
      </c>
      <c r="AA2668" s="74"/>
      <c r="AB2668" s="54"/>
      <c r="AC2668" s="55"/>
      <c r="AD2668" s="55"/>
      <c r="AE2668" s="72"/>
      <c r="AF2668" s="55"/>
    </row>
    <row r="2669" spans="6:34" ht="24" customHeight="1">
      <c r="F2669" s="85">
        <v>2.0499999999999998</v>
      </c>
      <c r="G2669" s="86" t="s">
        <v>578</v>
      </c>
      <c r="H2669" s="80" t="s">
        <v>1449</v>
      </c>
      <c r="I2669" s="87">
        <f>D30</f>
        <v>1105</v>
      </c>
      <c r="J2669" s="80" t="s">
        <v>578</v>
      </c>
      <c r="K2669" s="87">
        <f t="shared" si="262"/>
        <v>2265.25</v>
      </c>
      <c r="O2669" t="s">
        <v>663</v>
      </c>
      <c r="Q2669" t="s">
        <v>940</v>
      </c>
      <c r="R2669" t="s">
        <v>940</v>
      </c>
      <c r="AA2669" s="74"/>
      <c r="AB2669" s="54"/>
      <c r="AC2669" s="442"/>
      <c r="AD2669" s="55"/>
      <c r="AE2669" s="72"/>
      <c r="AF2669" s="55"/>
    </row>
    <row r="2670" spans="6:34" ht="24" customHeight="1">
      <c r="F2670" s="87">
        <v>2</v>
      </c>
      <c r="G2670" s="86" t="s">
        <v>835</v>
      </c>
      <c r="H2670" s="80" t="s">
        <v>1332</v>
      </c>
      <c r="I2670" s="87">
        <f>E288</f>
        <v>52.8</v>
      </c>
      <c r="J2670" s="80" t="s">
        <v>835</v>
      </c>
      <c r="K2670" s="87">
        <f t="shared" si="262"/>
        <v>105.6</v>
      </c>
      <c r="O2670" t="s">
        <v>1765</v>
      </c>
      <c r="R2670" t="s">
        <v>940</v>
      </c>
      <c r="AA2670" s="74"/>
      <c r="AB2670" s="73"/>
      <c r="AC2670" s="37"/>
      <c r="AD2670" s="55"/>
      <c r="AE2670" s="72"/>
      <c r="AF2670" s="37"/>
    </row>
    <row r="2671" spans="6:34" ht="24" customHeight="1">
      <c r="F2671" s="87">
        <v>6</v>
      </c>
      <c r="G2671" s="86" t="s">
        <v>835</v>
      </c>
      <c r="H2671" s="80" t="s">
        <v>1291</v>
      </c>
      <c r="I2671" s="87">
        <f>C285</f>
        <v>45.7</v>
      </c>
      <c r="J2671" s="80" t="s">
        <v>835</v>
      </c>
      <c r="K2671" s="87">
        <f t="shared" si="262"/>
        <v>274.2</v>
      </c>
      <c r="AA2671" s="74"/>
      <c r="AB2671" s="73"/>
      <c r="AC2671" s="37"/>
      <c r="AD2671" s="55"/>
      <c r="AE2671" s="72"/>
      <c r="AF2671" s="57"/>
    </row>
    <row r="2672" spans="6:34" ht="24" customHeight="1">
      <c r="F2672" s="87">
        <v>2</v>
      </c>
      <c r="G2672" s="86" t="s">
        <v>835</v>
      </c>
      <c r="H2672" s="504" t="s">
        <v>2046</v>
      </c>
      <c r="I2672" s="87">
        <f>I1137</f>
        <v>56.4</v>
      </c>
      <c r="J2672" s="80" t="s">
        <v>835</v>
      </c>
      <c r="K2672" s="87">
        <f t="shared" si="262"/>
        <v>112.8</v>
      </c>
      <c r="M2672">
        <v>0.01</v>
      </c>
      <c r="N2672" t="s">
        <v>836</v>
      </c>
      <c r="O2672" t="s">
        <v>660</v>
      </c>
      <c r="P2672">
        <f>I2665</f>
        <v>111600</v>
      </c>
      <c r="Q2672" t="s">
        <v>836</v>
      </c>
      <c r="R2672">
        <v>764.29</v>
      </c>
      <c r="AA2672" s="74"/>
      <c r="AB2672" s="73"/>
      <c r="AC2672" s="37"/>
      <c r="AD2672" s="55"/>
      <c r="AE2672" s="72"/>
      <c r="AF2672" s="37"/>
    </row>
    <row r="2673" spans="6:27" ht="24" customHeight="1">
      <c r="F2673" s="87">
        <v>1</v>
      </c>
      <c r="G2673" s="86" t="s">
        <v>835</v>
      </c>
      <c r="H2673" s="80" t="s">
        <v>1360</v>
      </c>
      <c r="I2673" s="503">
        <f>I1138</f>
        <v>63.2</v>
      </c>
      <c r="J2673" s="80" t="s">
        <v>835</v>
      </c>
      <c r="K2673" s="87">
        <f t="shared" si="262"/>
        <v>63.2</v>
      </c>
      <c r="M2673">
        <v>0.04</v>
      </c>
      <c r="N2673" t="s">
        <v>836</v>
      </c>
      <c r="O2673" t="s">
        <v>661</v>
      </c>
      <c r="P2673">
        <f>I2666</f>
        <v>99400</v>
      </c>
      <c r="Q2673" t="s">
        <v>836</v>
      </c>
      <c r="R2673">
        <v>2172.65</v>
      </c>
      <c r="AA2673" s="51"/>
    </row>
    <row r="2674" spans="6:27" ht="24" customHeight="1">
      <c r="F2674" s="87">
        <v>2.52</v>
      </c>
      <c r="G2674" s="86" t="s">
        <v>578</v>
      </c>
      <c r="H2674" s="80" t="s">
        <v>1655</v>
      </c>
      <c r="I2674" s="87">
        <f>K1170</f>
        <v>172.13</v>
      </c>
      <c r="J2674" s="80" t="s">
        <v>578</v>
      </c>
      <c r="K2674" s="87">
        <f t="shared" si="262"/>
        <v>433.77</v>
      </c>
      <c r="M2674">
        <v>0.02</v>
      </c>
      <c r="N2674" t="s">
        <v>836</v>
      </c>
      <c r="O2674" t="s">
        <v>853</v>
      </c>
      <c r="P2674">
        <f>I2667</f>
        <v>11800</v>
      </c>
      <c r="Q2674" t="s">
        <v>836</v>
      </c>
      <c r="R2674">
        <v>56.02</v>
      </c>
    </row>
    <row r="2675" spans="6:27" ht="24" customHeight="1">
      <c r="F2675" s="47"/>
      <c r="G2675" s="79"/>
      <c r="H2675" s="80" t="s">
        <v>1357</v>
      </c>
      <c r="I2675" s="82" t="s">
        <v>419</v>
      </c>
      <c r="J2675" s="100"/>
      <c r="K2675" s="87">
        <v>2.13</v>
      </c>
      <c r="M2675">
        <v>1.36</v>
      </c>
      <c r="N2675" t="s">
        <v>578</v>
      </c>
      <c r="O2675" t="s">
        <v>854</v>
      </c>
      <c r="P2675" s="518">
        <v>385.89</v>
      </c>
      <c r="Q2675" t="s">
        <v>578</v>
      </c>
      <c r="R2675">
        <v>524.80999999999995</v>
      </c>
    </row>
    <row r="2676" spans="6:27" ht="24" customHeight="1">
      <c r="F2676" s="47"/>
      <c r="G2676" s="79"/>
      <c r="H2676" s="88"/>
      <c r="I2676" s="88"/>
      <c r="J2676" s="101"/>
      <c r="K2676" s="89" t="s">
        <v>1530</v>
      </c>
      <c r="M2676">
        <v>2.0499999999999998</v>
      </c>
      <c r="N2676" t="s">
        <v>578</v>
      </c>
      <c r="O2676" t="s">
        <v>1449</v>
      </c>
      <c r="P2676">
        <f t="shared" ref="P2676:P2681" si="263">I2669</f>
        <v>1105</v>
      </c>
      <c r="Q2676" t="s">
        <v>578</v>
      </c>
      <c r="R2676">
        <v>586.29999999999995</v>
      </c>
    </row>
    <row r="2677" spans="6:27" ht="24" customHeight="1">
      <c r="F2677" s="47"/>
      <c r="G2677" s="79"/>
      <c r="H2677" s="90" t="s">
        <v>1358</v>
      </c>
      <c r="I2677" s="88"/>
      <c r="J2677" s="101"/>
      <c r="K2677" s="91">
        <f>SUM(K2665:K2675)</f>
        <v>8906.08</v>
      </c>
      <c r="M2677">
        <v>2</v>
      </c>
      <c r="N2677" t="s">
        <v>835</v>
      </c>
      <c r="O2677" t="s">
        <v>1332</v>
      </c>
      <c r="P2677">
        <f t="shared" si="263"/>
        <v>52.8</v>
      </c>
      <c r="Q2677" t="s">
        <v>835</v>
      </c>
      <c r="R2677">
        <v>50</v>
      </c>
    </row>
    <row r="2678" spans="6:27" ht="24" customHeight="1">
      <c r="F2678" s="47"/>
      <c r="G2678" s="86" t="s">
        <v>940</v>
      </c>
      <c r="H2678" s="88"/>
      <c r="I2678" s="88"/>
      <c r="J2678" s="101"/>
      <c r="K2678" s="89" t="s">
        <v>1530</v>
      </c>
      <c r="M2678">
        <v>6</v>
      </c>
      <c r="N2678" t="s">
        <v>835</v>
      </c>
      <c r="O2678" t="s">
        <v>1291</v>
      </c>
      <c r="P2678">
        <f t="shared" si="263"/>
        <v>45.7</v>
      </c>
      <c r="Q2678" t="s">
        <v>835</v>
      </c>
      <c r="R2678">
        <v>150</v>
      </c>
    </row>
    <row r="2679" spans="6:27" ht="24" customHeight="1">
      <c r="F2679" s="47"/>
      <c r="G2679" s="79"/>
      <c r="H2679" s="90" t="s">
        <v>521</v>
      </c>
      <c r="I2679" s="88"/>
      <c r="J2679" s="101"/>
      <c r="K2679" s="91">
        <f>K2677/2.52</f>
        <v>3534.16</v>
      </c>
      <c r="M2679">
        <v>2</v>
      </c>
      <c r="N2679" t="s">
        <v>835</v>
      </c>
      <c r="O2679" t="s">
        <v>1333</v>
      </c>
      <c r="P2679">
        <f t="shared" si="263"/>
        <v>56.4</v>
      </c>
      <c r="Q2679" t="s">
        <v>835</v>
      </c>
      <c r="R2679">
        <v>70</v>
      </c>
    </row>
    <row r="2680" spans="6:27" ht="24" customHeight="1">
      <c r="F2680" s="47"/>
      <c r="G2680" s="79"/>
      <c r="H2680" s="88"/>
      <c r="I2680" s="88"/>
      <c r="J2680" s="101"/>
      <c r="K2680" s="89" t="s">
        <v>1980</v>
      </c>
      <c r="M2680">
        <v>1</v>
      </c>
      <c r="N2680" t="s">
        <v>835</v>
      </c>
      <c r="O2680" t="s">
        <v>1360</v>
      </c>
      <c r="P2680">
        <f t="shared" si="263"/>
        <v>63.2</v>
      </c>
      <c r="Q2680" t="s">
        <v>835</v>
      </c>
      <c r="R2680">
        <v>60</v>
      </c>
    </row>
    <row r="2681" spans="6:27" ht="24" customHeight="1">
      <c r="F2681" s="47"/>
      <c r="G2681" s="79"/>
      <c r="H2681" s="88"/>
      <c r="I2681" s="88"/>
      <c r="J2681" s="101"/>
      <c r="K2681" s="88"/>
      <c r="M2681">
        <v>2.52</v>
      </c>
      <c r="N2681" t="s">
        <v>578</v>
      </c>
      <c r="O2681" t="s">
        <v>1655</v>
      </c>
      <c r="P2681">
        <f t="shared" si="263"/>
        <v>172.13</v>
      </c>
      <c r="Q2681" t="s">
        <v>578</v>
      </c>
      <c r="R2681">
        <v>124.71</v>
      </c>
    </row>
    <row r="2682" spans="6:27" ht="24" customHeight="1">
      <c r="F2682" s="451" t="s">
        <v>732</v>
      </c>
      <c r="G2682" s="451"/>
      <c r="H2682" s="451"/>
      <c r="I2682" s="451"/>
      <c r="J2682" s="451"/>
      <c r="K2682" s="451"/>
      <c r="O2682" t="s">
        <v>1357</v>
      </c>
      <c r="P2682" t="s">
        <v>419</v>
      </c>
      <c r="R2682">
        <v>0.28000000000000003</v>
      </c>
    </row>
    <row r="2683" spans="6:27" ht="24" customHeight="1">
      <c r="F2683" s="95">
        <v>4</v>
      </c>
      <c r="G2683" s="3" t="s">
        <v>998</v>
      </c>
      <c r="H2683" t="s">
        <v>999</v>
      </c>
      <c r="I2683" s="55">
        <f>C397</f>
        <v>151.4</v>
      </c>
      <c r="J2683" s="11" t="s">
        <v>862</v>
      </c>
      <c r="K2683" s="95">
        <f>I2683*F2683</f>
        <v>605.6</v>
      </c>
      <c r="R2683" t="s">
        <v>1530</v>
      </c>
    </row>
    <row r="2684" spans="6:27" ht="24" customHeight="1">
      <c r="F2684" s="95">
        <v>2.52</v>
      </c>
      <c r="G2684" s="3" t="s">
        <v>862</v>
      </c>
      <c r="H2684" t="s">
        <v>788</v>
      </c>
      <c r="I2684">
        <f>C34/1000</f>
        <v>47.3</v>
      </c>
      <c r="J2684" s="11" t="s">
        <v>1591</v>
      </c>
      <c r="K2684" s="95">
        <f t="shared" ref="K2684:K2690" si="264">I2684*F2684</f>
        <v>119.2</v>
      </c>
      <c r="O2684" t="s">
        <v>1358</v>
      </c>
      <c r="R2684">
        <v>4559.0600000000004</v>
      </c>
    </row>
    <row r="2685" spans="6:27" ht="24" customHeight="1">
      <c r="F2685" s="95">
        <v>1.1299999999999999</v>
      </c>
      <c r="G2685" s="3" t="s">
        <v>862</v>
      </c>
      <c r="H2685" t="s">
        <v>789</v>
      </c>
      <c r="I2685">
        <f>I2684</f>
        <v>47.3</v>
      </c>
      <c r="J2685" s="11" t="s">
        <v>1591</v>
      </c>
      <c r="K2685" s="95">
        <f t="shared" si="264"/>
        <v>53.45</v>
      </c>
      <c r="N2685" t="s">
        <v>940</v>
      </c>
      <c r="R2685" t="s">
        <v>1530</v>
      </c>
    </row>
    <row r="2686" spans="6:27" ht="24" customHeight="1">
      <c r="F2686" s="95">
        <v>0.35</v>
      </c>
      <c r="G2686" s="3" t="s">
        <v>1591</v>
      </c>
      <c r="H2686" t="s">
        <v>790</v>
      </c>
      <c r="I2686">
        <f>I2685</f>
        <v>47.3</v>
      </c>
      <c r="J2686" s="11" t="s">
        <v>1591</v>
      </c>
      <c r="K2686" s="95">
        <f t="shared" si="264"/>
        <v>16.559999999999999</v>
      </c>
      <c r="O2686" t="s">
        <v>521</v>
      </c>
      <c r="R2686">
        <v>1809.15</v>
      </c>
    </row>
    <row r="2687" spans="6:27" ht="24" customHeight="1">
      <c r="F2687" s="95">
        <v>4</v>
      </c>
      <c r="G2687" s="3" t="s">
        <v>1591</v>
      </c>
      <c r="H2687" t="s">
        <v>104</v>
      </c>
      <c r="I2687">
        <f>C37</f>
        <v>47.8</v>
      </c>
      <c r="J2687" s="11" t="s">
        <v>1591</v>
      </c>
      <c r="K2687" s="95">
        <f t="shared" si="264"/>
        <v>191.2</v>
      </c>
      <c r="R2687" t="s">
        <v>1980</v>
      </c>
    </row>
    <row r="2688" spans="6:27" ht="24" customHeight="1">
      <c r="F2688" s="95">
        <v>6</v>
      </c>
      <c r="G2688" s="3" t="s">
        <v>998</v>
      </c>
      <c r="H2688" t="s">
        <v>105</v>
      </c>
      <c r="I2688" s="623">
        <v>1</v>
      </c>
      <c r="J2688" s="11" t="s">
        <v>1341</v>
      </c>
      <c r="K2688" s="95">
        <f t="shared" si="264"/>
        <v>6</v>
      </c>
    </row>
    <row r="2689" spans="6:12" ht="24" customHeight="1">
      <c r="F2689" s="95">
        <v>0.5</v>
      </c>
      <c r="G2689" s="3" t="s">
        <v>998</v>
      </c>
      <c r="H2689" t="s">
        <v>622</v>
      </c>
      <c r="I2689">
        <f>C12</f>
        <v>562</v>
      </c>
      <c r="J2689" s="11" t="s">
        <v>1341</v>
      </c>
      <c r="K2689" s="95">
        <f t="shared" si="264"/>
        <v>281</v>
      </c>
    </row>
    <row r="2690" spans="6:12" ht="24" customHeight="1">
      <c r="F2690" s="95">
        <v>0.5</v>
      </c>
      <c r="G2690" s="3" t="s">
        <v>998</v>
      </c>
      <c r="H2690" t="s">
        <v>333</v>
      </c>
      <c r="I2690">
        <f>C13</f>
        <v>461</v>
      </c>
      <c r="J2690" s="11" t="s">
        <v>1341</v>
      </c>
      <c r="K2690" s="95">
        <f t="shared" si="264"/>
        <v>230.5</v>
      </c>
    </row>
    <row r="2691" spans="6:12" ht="24" customHeight="1">
      <c r="G2691" s="3" t="s">
        <v>419</v>
      </c>
      <c r="H2691" t="s">
        <v>106</v>
      </c>
      <c r="I2691" s="33" t="s">
        <v>419</v>
      </c>
      <c r="K2691">
        <v>21.69</v>
      </c>
      <c r="L2691">
        <f>24*176</f>
        <v>4224</v>
      </c>
    </row>
    <row r="2692" spans="6:12" ht="24" customHeight="1">
      <c r="G2692"/>
      <c r="H2692" s="96" t="s">
        <v>107</v>
      </c>
      <c r="K2692" s="97">
        <f>SUM(K2683:K2691)</f>
        <v>1525.2</v>
      </c>
    </row>
    <row r="2693" spans="6:12" ht="24" customHeight="1">
      <c r="G2693"/>
      <c r="H2693" s="96" t="s">
        <v>482</v>
      </c>
      <c r="K2693" s="97">
        <f>K2692/2</f>
        <v>762.6</v>
      </c>
    </row>
    <row r="2694" spans="6:12" ht="24" customHeight="1">
      <c r="G2694"/>
      <c r="L2694">
        <f>K2728+K2719</f>
        <v>168.11</v>
      </c>
    </row>
    <row r="2695" spans="6:12" ht="24" customHeight="1">
      <c r="H2695" t="s">
        <v>1417</v>
      </c>
    </row>
    <row r="2697" spans="6:12" ht="24" customHeight="1">
      <c r="F2697" s="111"/>
      <c r="G2697" s="112"/>
      <c r="H2697" s="113" t="s">
        <v>2005</v>
      </c>
      <c r="I2697" s="111"/>
      <c r="J2697" s="114"/>
      <c r="K2697" s="111"/>
    </row>
    <row r="2698" spans="6:12" ht="24" customHeight="1">
      <c r="F2698" s="111"/>
      <c r="G2698" s="112"/>
      <c r="H2698" s="111" t="s">
        <v>600</v>
      </c>
      <c r="I2698" s="111"/>
      <c r="J2698" s="114"/>
      <c r="K2698" s="111"/>
    </row>
    <row r="2699" spans="6:12" ht="24" customHeight="1">
      <c r="F2699" s="111">
        <v>41.6</v>
      </c>
      <c r="G2699" s="112" t="s">
        <v>1591</v>
      </c>
      <c r="H2699" s="111" t="s">
        <v>981</v>
      </c>
      <c r="I2699" s="111">
        <f>I2684</f>
        <v>47.3</v>
      </c>
      <c r="J2699" s="114" t="s">
        <v>1591</v>
      </c>
      <c r="K2699" s="111">
        <f>F2699*I2699</f>
        <v>1967.68</v>
      </c>
    </row>
    <row r="2700" spans="6:12" ht="24" customHeight="1">
      <c r="F2700" s="111">
        <v>0.5</v>
      </c>
      <c r="G2700" s="112" t="s">
        <v>1337</v>
      </c>
      <c r="H2700" s="111" t="s">
        <v>982</v>
      </c>
      <c r="I2700" s="111">
        <f>AE21</f>
        <v>661</v>
      </c>
      <c r="J2700" s="114" t="s">
        <v>1341</v>
      </c>
      <c r="K2700" s="111">
        <f>F2700*I2700</f>
        <v>330.5</v>
      </c>
    </row>
    <row r="2701" spans="6:12" ht="24" customHeight="1">
      <c r="F2701" s="111">
        <v>1</v>
      </c>
      <c r="G2701" s="112" t="s">
        <v>529</v>
      </c>
      <c r="H2701" s="111" t="s">
        <v>983</v>
      </c>
      <c r="I2701" s="111">
        <f>C10</f>
        <v>861</v>
      </c>
      <c r="J2701" s="114" t="s">
        <v>1341</v>
      </c>
      <c r="K2701" s="111">
        <f>F2701*I2701</f>
        <v>861</v>
      </c>
    </row>
    <row r="2702" spans="6:12" ht="24" customHeight="1">
      <c r="F2702" s="111">
        <v>1</v>
      </c>
      <c r="G2702" s="112" t="s">
        <v>529</v>
      </c>
      <c r="H2702" s="111" t="s">
        <v>1177</v>
      </c>
      <c r="I2702" s="111">
        <f>C13</f>
        <v>461</v>
      </c>
      <c r="J2702" s="114" t="s">
        <v>1341</v>
      </c>
      <c r="K2702" s="111">
        <f>F2702*I2702</f>
        <v>461</v>
      </c>
    </row>
    <row r="2703" spans="6:12" ht="24" customHeight="1">
      <c r="F2703" s="111"/>
      <c r="G2703" s="112" t="s">
        <v>419</v>
      </c>
      <c r="H2703" s="111" t="s">
        <v>787</v>
      </c>
      <c r="I2703" s="111"/>
      <c r="J2703" s="114" t="s">
        <v>419</v>
      </c>
      <c r="K2703" s="111">
        <v>27.7</v>
      </c>
    </row>
    <row r="2704" spans="6:12" ht="24" customHeight="1">
      <c r="F2704" s="111"/>
      <c r="G2704" s="112"/>
      <c r="H2704" s="115" t="s">
        <v>1650</v>
      </c>
      <c r="I2704" s="111"/>
      <c r="J2704" s="115" t="s">
        <v>690</v>
      </c>
      <c r="K2704" s="111">
        <f>SUM(K2699:K2703)</f>
        <v>3647.88</v>
      </c>
    </row>
    <row r="2705" spans="6:11" ht="24" customHeight="1">
      <c r="F2705" s="111"/>
      <c r="G2705" s="112"/>
      <c r="H2705" s="115" t="s">
        <v>1239</v>
      </c>
      <c r="I2705" s="111"/>
      <c r="J2705" s="115" t="s">
        <v>690</v>
      </c>
      <c r="K2705" s="111">
        <f>K2704/16</f>
        <v>227.99</v>
      </c>
    </row>
    <row r="2706" spans="6:11" ht="24" customHeight="1">
      <c r="F2706" s="111"/>
      <c r="G2706" s="112"/>
      <c r="H2706" s="116" t="s">
        <v>96</v>
      </c>
      <c r="I2706" s="117"/>
      <c r="J2706" s="116" t="s">
        <v>690</v>
      </c>
      <c r="K2706" s="117">
        <f>K2705/0.95</f>
        <v>239.99</v>
      </c>
    </row>
    <row r="2707" spans="6:11" ht="24" customHeight="1">
      <c r="F2707" s="111"/>
      <c r="G2707" s="112"/>
      <c r="H2707" s="111"/>
      <c r="I2707" s="111"/>
      <c r="J2707" s="114"/>
      <c r="K2707" s="111"/>
    </row>
    <row r="2708" spans="6:11" ht="24" customHeight="1">
      <c r="F2708" s="111"/>
      <c r="G2708" s="112"/>
      <c r="H2708" s="111"/>
      <c r="I2708" s="111"/>
      <c r="J2708" s="114"/>
      <c r="K2708" s="111"/>
    </row>
    <row r="2709" spans="6:11" ht="24" customHeight="1">
      <c r="F2709" s="118" t="s">
        <v>815</v>
      </c>
      <c r="G2709" s="119" t="s">
        <v>2167</v>
      </c>
      <c r="H2709" s="120" t="s">
        <v>964</v>
      </c>
      <c r="I2709" s="111"/>
      <c r="J2709" s="114"/>
      <c r="K2709" s="111"/>
    </row>
    <row r="2710" spans="6:11" ht="50.25" customHeight="1">
      <c r="F2710" s="111"/>
      <c r="G2710" s="112"/>
      <c r="H2710" s="120" t="s">
        <v>965</v>
      </c>
      <c r="I2710" s="111"/>
      <c r="J2710" s="114"/>
      <c r="K2710" s="111"/>
    </row>
    <row r="2711" spans="6:11" ht="24" customHeight="1">
      <c r="F2711" s="111"/>
      <c r="G2711" s="112"/>
      <c r="H2711" s="120" t="s">
        <v>966</v>
      </c>
      <c r="I2711" s="111"/>
      <c r="J2711" s="114"/>
      <c r="K2711" s="111"/>
    </row>
    <row r="2712" spans="6:11" ht="24" customHeight="1">
      <c r="F2712" s="111"/>
      <c r="G2712" s="112"/>
      <c r="H2712" s="120" t="s">
        <v>29</v>
      </c>
      <c r="I2712" s="111"/>
      <c r="J2712" s="114"/>
      <c r="K2712" s="111"/>
    </row>
    <row r="2713" spans="6:11" ht="24" customHeight="1">
      <c r="F2713" s="111"/>
      <c r="G2713" s="112"/>
      <c r="H2713" s="121" t="s">
        <v>1530</v>
      </c>
      <c r="I2713" s="111"/>
      <c r="J2713" s="114"/>
      <c r="K2713" s="111"/>
    </row>
    <row r="2714" spans="6:11" ht="24" customHeight="1">
      <c r="F2714" s="122">
        <v>1.8</v>
      </c>
      <c r="G2714" s="119" t="s">
        <v>1591</v>
      </c>
      <c r="H2714" s="505" t="s">
        <v>1240</v>
      </c>
      <c r="I2714" s="122">
        <f>C612</f>
        <v>22.4</v>
      </c>
      <c r="J2714" s="118" t="s">
        <v>1591</v>
      </c>
      <c r="K2714" s="122">
        <f>(F2714*I2714)</f>
        <v>40.32</v>
      </c>
    </row>
    <row r="2715" spans="6:11" ht="24" customHeight="1">
      <c r="F2715" s="122">
        <v>0.25</v>
      </c>
      <c r="G2715" s="119" t="s">
        <v>835</v>
      </c>
      <c r="H2715" s="120" t="s">
        <v>30</v>
      </c>
      <c r="I2715" s="122">
        <f>C14</f>
        <v>688</v>
      </c>
      <c r="J2715" s="118" t="s">
        <v>835</v>
      </c>
      <c r="K2715" s="122">
        <f>(F2715*I2715)</f>
        <v>172</v>
      </c>
    </row>
    <row r="2716" spans="6:11" ht="24" customHeight="1">
      <c r="F2716" s="122">
        <v>0.25</v>
      </c>
      <c r="G2716" s="119" t="s">
        <v>835</v>
      </c>
      <c r="H2716" s="120" t="s">
        <v>897</v>
      </c>
      <c r="I2716" s="122">
        <f>C12</f>
        <v>562</v>
      </c>
      <c r="J2716" s="118" t="s">
        <v>835</v>
      </c>
      <c r="K2716" s="122">
        <f>(F2716*I2716)</f>
        <v>140.5</v>
      </c>
    </row>
    <row r="2717" spans="6:11" ht="24" customHeight="1">
      <c r="F2717" s="122">
        <v>0.4</v>
      </c>
      <c r="G2717" s="119" t="s">
        <v>835</v>
      </c>
      <c r="H2717" s="120" t="s">
        <v>299</v>
      </c>
      <c r="I2717" s="122">
        <f>C13</f>
        <v>461</v>
      </c>
      <c r="J2717" s="118" t="s">
        <v>835</v>
      </c>
      <c r="K2717" s="122">
        <f>(F2717*I2717)</f>
        <v>184.4</v>
      </c>
    </row>
    <row r="2718" spans="6:11" ht="24" customHeight="1">
      <c r="F2718" s="111"/>
      <c r="G2718" s="119"/>
      <c r="H2718" s="120"/>
      <c r="I2718" s="120" t="s">
        <v>940</v>
      </c>
      <c r="J2718" s="118"/>
      <c r="K2718" s="122">
        <f>SUM(K2714:K2717)</f>
        <v>537.22</v>
      </c>
    </row>
    <row r="2719" spans="6:11" ht="24" customHeight="1">
      <c r="F2719" s="111"/>
      <c r="G2719" s="112"/>
      <c r="H2719" s="117"/>
      <c r="I2719" s="117"/>
      <c r="J2719" s="123"/>
      <c r="K2719" s="124">
        <f>K2718/10</f>
        <v>53.72</v>
      </c>
    </row>
    <row r="2720" spans="6:11" ht="24" customHeight="1">
      <c r="F2720" s="122">
        <v>3</v>
      </c>
      <c r="G2720" s="119" t="s">
        <v>1591</v>
      </c>
      <c r="H2720" s="120" t="s">
        <v>410</v>
      </c>
      <c r="I2720" s="125">
        <f>C274</f>
        <v>49.4</v>
      </c>
      <c r="J2720" s="118" t="s">
        <v>1591</v>
      </c>
      <c r="K2720" s="125">
        <f>(F2720*I2720)</f>
        <v>148.19999999999999</v>
      </c>
    </row>
    <row r="2721" spans="6:11" ht="24" customHeight="1">
      <c r="F2721" s="122">
        <v>0.5</v>
      </c>
      <c r="G2721" s="119" t="s">
        <v>835</v>
      </c>
      <c r="H2721" s="120" t="s">
        <v>30</v>
      </c>
      <c r="I2721" s="125">
        <f>C14</f>
        <v>688</v>
      </c>
      <c r="J2721" s="118" t="s">
        <v>835</v>
      </c>
      <c r="K2721" s="125">
        <f>(F2721*I2721)</f>
        <v>344</v>
      </c>
    </row>
    <row r="2722" spans="6:11" ht="24" customHeight="1">
      <c r="F2722" s="122">
        <v>0.5</v>
      </c>
      <c r="G2722" s="119" t="s">
        <v>835</v>
      </c>
      <c r="H2722" s="120" t="s">
        <v>897</v>
      </c>
      <c r="I2722" s="125">
        <f>I2716</f>
        <v>562</v>
      </c>
      <c r="J2722" s="118" t="s">
        <v>835</v>
      </c>
      <c r="K2722" s="125">
        <f>(F2722*I2722)</f>
        <v>281</v>
      </c>
    </row>
    <row r="2723" spans="6:11" ht="24" customHeight="1">
      <c r="F2723" s="122">
        <v>0.8</v>
      </c>
      <c r="G2723" s="119" t="s">
        <v>835</v>
      </c>
      <c r="H2723" s="120" t="s">
        <v>299</v>
      </c>
      <c r="I2723" s="125">
        <f>I2717</f>
        <v>461</v>
      </c>
      <c r="J2723" s="118" t="s">
        <v>835</v>
      </c>
      <c r="K2723" s="125">
        <f>(F2723*I2723)</f>
        <v>368.8</v>
      </c>
    </row>
    <row r="2724" spans="6:11" ht="24" customHeight="1">
      <c r="F2724" s="111"/>
      <c r="G2724" s="119" t="s">
        <v>419</v>
      </c>
      <c r="H2724" s="120" t="s">
        <v>1771</v>
      </c>
      <c r="I2724" s="120" t="s">
        <v>940</v>
      </c>
      <c r="J2724" s="118" t="s">
        <v>419</v>
      </c>
      <c r="K2724" s="122">
        <v>1.9</v>
      </c>
    </row>
    <row r="2725" spans="6:11" ht="24" customHeight="1">
      <c r="F2725" s="111"/>
      <c r="G2725" s="112"/>
      <c r="H2725" s="117"/>
      <c r="I2725" s="117"/>
      <c r="J2725" s="123"/>
      <c r="K2725" s="108" t="s">
        <v>1530</v>
      </c>
    </row>
    <row r="2726" spans="6:11" ht="24" customHeight="1">
      <c r="F2726" s="111"/>
      <c r="G2726" s="112"/>
      <c r="H2726" s="109" t="s">
        <v>411</v>
      </c>
      <c r="I2726" s="117"/>
      <c r="J2726" s="123"/>
      <c r="K2726" s="110">
        <f>SUM(K2720:K2724)</f>
        <v>1143.9000000000001</v>
      </c>
    </row>
    <row r="2727" spans="6:11" ht="24" customHeight="1">
      <c r="F2727" s="111"/>
      <c r="G2727" s="112"/>
      <c r="H2727" s="117"/>
      <c r="I2727" s="117"/>
      <c r="J2727" s="123"/>
      <c r="K2727" s="108" t="s">
        <v>1530</v>
      </c>
    </row>
    <row r="2728" spans="6:11" ht="24" customHeight="1">
      <c r="F2728" s="111"/>
      <c r="G2728" s="112"/>
      <c r="H2728" s="109" t="s">
        <v>521</v>
      </c>
      <c r="I2728" s="117"/>
      <c r="J2728" s="123"/>
      <c r="K2728" s="110">
        <f>(K2726/10)</f>
        <v>114.39</v>
      </c>
    </row>
    <row r="2729" spans="6:11" ht="24" customHeight="1">
      <c r="F2729" s="111"/>
      <c r="G2729" s="111"/>
      <c r="H2729" s="111"/>
      <c r="I2729" s="111"/>
      <c r="J2729" s="111"/>
      <c r="K2729" s="111"/>
    </row>
    <row r="2730" spans="6:11" ht="24" customHeight="1">
      <c r="F2730" s="126"/>
      <c r="G2730" s="119" t="s">
        <v>2167</v>
      </c>
      <c r="H2730" s="120" t="s">
        <v>1974</v>
      </c>
      <c r="I2730" s="111"/>
      <c r="J2730" s="114"/>
      <c r="K2730" s="111"/>
    </row>
    <row r="2731" spans="6:11" ht="24" customHeight="1">
      <c r="F2731" s="111"/>
      <c r="G2731" s="112"/>
      <c r="H2731" s="120" t="s">
        <v>2193</v>
      </c>
      <c r="I2731" s="111"/>
      <c r="J2731" s="114"/>
      <c r="K2731" s="111"/>
    </row>
    <row r="2732" spans="6:11" ht="24" customHeight="1">
      <c r="F2732" s="111"/>
      <c r="G2732" s="112"/>
      <c r="H2732" s="120" t="s">
        <v>1241</v>
      </c>
      <c r="I2732" s="111"/>
      <c r="J2732" s="114"/>
      <c r="K2732" s="111"/>
    </row>
    <row r="2733" spans="6:11" ht="24" customHeight="1">
      <c r="F2733" s="111"/>
      <c r="G2733" s="112"/>
      <c r="H2733" s="121" t="s">
        <v>1530</v>
      </c>
      <c r="I2733" s="111"/>
      <c r="J2733" s="114"/>
      <c r="K2733" s="111"/>
    </row>
    <row r="2734" spans="6:11" ht="24" customHeight="1">
      <c r="F2734" s="111"/>
      <c r="G2734" s="119" t="s">
        <v>2194</v>
      </c>
      <c r="H2734" s="120" t="s">
        <v>913</v>
      </c>
      <c r="I2734" s="111"/>
      <c r="J2734" s="114"/>
      <c r="K2734" s="120" t="s">
        <v>1394</v>
      </c>
    </row>
    <row r="2735" spans="6:11" ht="24" customHeight="1">
      <c r="F2735" s="111"/>
      <c r="G2735" s="112"/>
      <c r="H2735" s="121" t="s">
        <v>1530</v>
      </c>
      <c r="I2735" s="111"/>
      <c r="J2735" s="114"/>
      <c r="K2735" s="121" t="s">
        <v>1980</v>
      </c>
    </row>
    <row r="2736" spans="6:11" ht="24" customHeight="1">
      <c r="F2736" s="122">
        <v>30</v>
      </c>
      <c r="G2736" s="119" t="s">
        <v>1714</v>
      </c>
      <c r="H2736" s="120" t="s">
        <v>1610</v>
      </c>
      <c r="I2736" s="122">
        <f>C664</f>
        <v>9.1199999999999992</v>
      </c>
      <c r="J2736" s="118" t="s">
        <v>1714</v>
      </c>
      <c r="K2736" s="122">
        <f>(F2736*I2736)</f>
        <v>273.60000000000002</v>
      </c>
    </row>
    <row r="2737" spans="6:12" ht="24" customHeight="1">
      <c r="F2737" s="120" t="s">
        <v>940</v>
      </c>
      <c r="G2737" s="112"/>
      <c r="H2737" s="120" t="s">
        <v>1613</v>
      </c>
      <c r="I2737" s="120" t="s">
        <v>940</v>
      </c>
      <c r="J2737" s="114"/>
      <c r="K2737" s="120" t="s">
        <v>940</v>
      </c>
    </row>
    <row r="2738" spans="6:12" ht="24" customHeight="1">
      <c r="F2738" s="122">
        <v>8</v>
      </c>
      <c r="G2738" s="119" t="s">
        <v>835</v>
      </c>
      <c r="H2738" s="120" t="s">
        <v>2062</v>
      </c>
      <c r="I2738" s="122">
        <f>I1809</f>
        <v>8.1</v>
      </c>
      <c r="J2738" s="118" t="s">
        <v>835</v>
      </c>
      <c r="K2738" s="122">
        <f t="shared" ref="K2738:K2743" si="265">(F2738*I2738)</f>
        <v>64.8</v>
      </c>
    </row>
    <row r="2739" spans="6:12" ht="24" customHeight="1">
      <c r="F2739" s="122">
        <v>8</v>
      </c>
      <c r="G2739" s="119" t="s">
        <v>835</v>
      </c>
      <c r="H2739" s="120" t="s">
        <v>437</v>
      </c>
      <c r="I2739" s="122">
        <f>I1810</f>
        <v>11.5</v>
      </c>
      <c r="J2739" s="118" t="s">
        <v>835</v>
      </c>
      <c r="K2739" s="122">
        <f t="shared" si="265"/>
        <v>92</v>
      </c>
      <c r="L2739" s="178"/>
    </row>
    <row r="2740" spans="6:12" ht="24" customHeight="1">
      <c r="F2740" s="122">
        <v>3</v>
      </c>
      <c r="G2740" s="119" t="s">
        <v>835</v>
      </c>
      <c r="H2740" s="120" t="s">
        <v>1779</v>
      </c>
      <c r="I2740" s="122">
        <f>C44</f>
        <v>637</v>
      </c>
      <c r="J2740" s="118" t="s">
        <v>835</v>
      </c>
      <c r="K2740" s="122">
        <f t="shared" si="265"/>
        <v>1911</v>
      </c>
      <c r="L2740" s="184"/>
    </row>
    <row r="2741" spans="6:12" ht="24" customHeight="1">
      <c r="F2741" s="122">
        <v>1</v>
      </c>
      <c r="G2741" s="119" t="s">
        <v>835</v>
      </c>
      <c r="H2741" s="120" t="s">
        <v>1325</v>
      </c>
      <c r="I2741" s="122">
        <f>C10</f>
        <v>861</v>
      </c>
      <c r="J2741" s="118" t="s">
        <v>835</v>
      </c>
      <c r="K2741" s="122">
        <f t="shared" si="265"/>
        <v>861</v>
      </c>
      <c r="L2741" s="184"/>
    </row>
    <row r="2742" spans="6:12" ht="24" customHeight="1">
      <c r="F2742" s="122">
        <v>2</v>
      </c>
      <c r="G2742" s="119" t="s">
        <v>835</v>
      </c>
      <c r="H2742" s="120" t="s">
        <v>1836</v>
      </c>
      <c r="I2742" s="122">
        <f>C12</f>
        <v>562</v>
      </c>
      <c r="J2742" s="118" t="s">
        <v>835</v>
      </c>
      <c r="K2742" s="122">
        <f t="shared" si="265"/>
        <v>1124</v>
      </c>
      <c r="L2742" s="184"/>
    </row>
    <row r="2743" spans="6:12" ht="24" customHeight="1">
      <c r="F2743" s="122">
        <v>1</v>
      </c>
      <c r="G2743" s="119" t="s">
        <v>835</v>
      </c>
      <c r="H2743" s="120" t="s">
        <v>299</v>
      </c>
      <c r="I2743" s="122">
        <f>C13</f>
        <v>461</v>
      </c>
      <c r="J2743" s="118" t="s">
        <v>835</v>
      </c>
      <c r="K2743" s="122">
        <f t="shared" si="265"/>
        <v>461</v>
      </c>
      <c r="L2743" s="184"/>
    </row>
    <row r="2744" spans="6:12" ht="24" customHeight="1">
      <c r="F2744" s="111"/>
      <c r="G2744" s="119" t="s">
        <v>419</v>
      </c>
      <c r="H2744" s="127" t="s">
        <v>65</v>
      </c>
      <c r="I2744" s="122" t="s">
        <v>66</v>
      </c>
      <c r="J2744" s="118" t="s">
        <v>419</v>
      </c>
      <c r="K2744" s="122">
        <v>64.849999999999994</v>
      </c>
      <c r="L2744" s="184"/>
    </row>
    <row r="2745" spans="6:12" ht="24" customHeight="1">
      <c r="F2745" s="111"/>
      <c r="G2745" s="112"/>
      <c r="H2745" s="120"/>
      <c r="I2745" s="122"/>
      <c r="J2745" s="114"/>
      <c r="K2745" s="125"/>
      <c r="L2745" s="184"/>
    </row>
    <row r="2746" spans="6:12" ht="24" customHeight="1">
      <c r="F2746" s="111"/>
      <c r="G2746" s="111"/>
      <c r="H2746" s="111"/>
      <c r="I2746" s="111"/>
      <c r="J2746" s="111"/>
      <c r="K2746" s="111"/>
      <c r="L2746" s="184"/>
    </row>
    <row r="2747" spans="6:12" ht="24" customHeight="1">
      <c r="F2747" s="111"/>
      <c r="G2747" s="112"/>
      <c r="H2747" s="111"/>
      <c r="I2747" s="111"/>
      <c r="J2747" s="114"/>
      <c r="K2747" s="121" t="s">
        <v>1530</v>
      </c>
      <c r="L2747" s="184"/>
    </row>
    <row r="2748" spans="6:12" ht="24" customHeight="1">
      <c r="F2748" s="111"/>
      <c r="G2748" s="112"/>
      <c r="H2748" s="109" t="s">
        <v>1784</v>
      </c>
      <c r="I2748" s="117"/>
      <c r="J2748" s="123"/>
      <c r="K2748" s="110">
        <f>SUM(K2736:K2747)</f>
        <v>4852.25</v>
      </c>
      <c r="L2748" s="199"/>
    </row>
    <row r="2749" spans="6:12" ht="24" customHeight="1">
      <c r="F2749" s="111"/>
      <c r="G2749" s="112"/>
      <c r="H2749" s="117"/>
      <c r="I2749" s="117"/>
      <c r="J2749" s="123"/>
      <c r="K2749" s="108" t="s">
        <v>1530</v>
      </c>
    </row>
    <row r="2750" spans="6:12" ht="24" customHeight="1">
      <c r="F2750" s="111"/>
      <c r="G2750" s="112"/>
      <c r="H2750" s="109" t="s">
        <v>1490</v>
      </c>
      <c r="I2750" s="117"/>
      <c r="J2750" s="123"/>
      <c r="K2750" s="110">
        <f>(K2748/30)</f>
        <v>161.74</v>
      </c>
    </row>
    <row r="2751" spans="6:12" ht="24" customHeight="1">
      <c r="F2751" s="111"/>
      <c r="G2751" s="111"/>
      <c r="H2751" s="111"/>
      <c r="I2751" s="111"/>
      <c r="J2751" s="111"/>
      <c r="K2751" s="111"/>
    </row>
    <row r="2752" spans="6:12" ht="24" customHeight="1">
      <c r="F2752" s="111"/>
      <c r="G2752" s="111"/>
      <c r="H2752" s="111"/>
      <c r="I2752" s="111"/>
      <c r="J2752" s="111"/>
      <c r="K2752" s="111"/>
    </row>
    <row r="2753" spans="5:12" ht="24" customHeight="1">
      <c r="F2753" s="128">
        <v>52</v>
      </c>
      <c r="G2753" s="119" t="s">
        <v>2167</v>
      </c>
      <c r="H2753" s="120" t="s">
        <v>97</v>
      </c>
      <c r="I2753" s="111"/>
      <c r="J2753" s="114"/>
      <c r="K2753" s="111"/>
    </row>
    <row r="2754" spans="5:12" ht="24" customHeight="1">
      <c r="F2754" s="111"/>
      <c r="G2754" s="112"/>
      <c r="H2754" s="120" t="s">
        <v>2087</v>
      </c>
      <c r="I2754" s="111"/>
      <c r="J2754" s="114"/>
      <c r="K2754" s="111"/>
    </row>
    <row r="2755" spans="5:12" ht="24" customHeight="1">
      <c r="F2755" s="111"/>
      <c r="G2755" s="112"/>
      <c r="H2755" s="120" t="s">
        <v>2088</v>
      </c>
      <c r="I2755" s="111"/>
      <c r="J2755" s="114"/>
      <c r="K2755" s="111"/>
    </row>
    <row r="2756" spans="5:12" ht="24" customHeight="1">
      <c r="F2756" s="111"/>
      <c r="G2756" s="112"/>
      <c r="H2756" s="120" t="s">
        <v>1349</v>
      </c>
      <c r="I2756" s="111"/>
      <c r="J2756" s="114"/>
      <c r="K2756" s="111"/>
    </row>
    <row r="2757" spans="5:12" ht="24" customHeight="1">
      <c r="F2757" s="111"/>
      <c r="G2757" s="112"/>
      <c r="H2757" s="120" t="s">
        <v>1350</v>
      </c>
      <c r="I2757" s="111"/>
      <c r="J2757" s="114"/>
      <c r="K2757" s="111"/>
    </row>
    <row r="2758" spans="5:12" ht="24" customHeight="1">
      <c r="E2758">
        <f>6*0.3</f>
        <v>1.8</v>
      </c>
      <c r="F2758" s="111"/>
      <c r="G2758" s="112"/>
      <c r="H2758" s="120" t="s">
        <v>692</v>
      </c>
      <c r="I2758" s="111"/>
      <c r="J2758" s="114"/>
      <c r="K2758" s="111"/>
    </row>
    <row r="2759" spans="5:12" ht="24" customHeight="1">
      <c r="E2759">
        <f>3.5+E2758</f>
        <v>5.3</v>
      </c>
      <c r="F2759" s="111"/>
      <c r="G2759" s="112"/>
      <c r="H2759" s="120" t="s">
        <v>1300</v>
      </c>
      <c r="I2759" s="111"/>
      <c r="J2759" s="114"/>
      <c r="K2759" s="111"/>
      <c r="L2759">
        <f>K2793</f>
        <v>201</v>
      </c>
    </row>
    <row r="2760" spans="5:12" ht="24" customHeight="1">
      <c r="E2760">
        <f>3.14*0.3*0.3</f>
        <v>0.28000000000000003</v>
      </c>
      <c r="F2760" s="111"/>
      <c r="G2760" s="112"/>
      <c r="H2760" s="120" t="s">
        <v>677</v>
      </c>
      <c r="I2760" s="111"/>
      <c r="J2760" s="114"/>
      <c r="K2760" s="111"/>
      <c r="L2760">
        <f>K2794</f>
        <v>1967</v>
      </c>
    </row>
    <row r="2761" spans="5:12" ht="24" customHeight="1">
      <c r="F2761" s="111"/>
      <c r="G2761" s="112"/>
      <c r="H2761" s="121" t="s">
        <v>1980</v>
      </c>
      <c r="I2761" s="121" t="s">
        <v>1980</v>
      </c>
      <c r="J2761" s="114"/>
      <c r="K2761" s="111"/>
    </row>
    <row r="2762" spans="5:12" ht="24" customHeight="1">
      <c r="E2762">
        <f>E2760/4</f>
        <v>7.0000000000000007E-2</v>
      </c>
      <c r="F2762" s="111"/>
      <c r="G2762" s="119" t="s">
        <v>2167</v>
      </c>
      <c r="H2762" s="120" t="s">
        <v>881</v>
      </c>
      <c r="I2762" s="111"/>
      <c r="J2762" s="114"/>
      <c r="K2762" s="111"/>
      <c r="L2762">
        <f>SUM(L2759:L2760)</f>
        <v>2168</v>
      </c>
    </row>
    <row r="2763" spans="5:12" ht="24" customHeight="1">
      <c r="E2763" s="384">
        <f>E2762*E2759</f>
        <v>0.371</v>
      </c>
      <c r="F2763" s="111"/>
      <c r="G2763" s="112"/>
      <c r="H2763" s="120" t="s">
        <v>776</v>
      </c>
      <c r="I2763" s="111"/>
      <c r="J2763" s="114"/>
      <c r="K2763" s="111"/>
    </row>
    <row r="2764" spans="5:12" ht="24" customHeight="1">
      <c r="F2764" s="111"/>
      <c r="G2764" s="119" t="s">
        <v>295</v>
      </c>
      <c r="H2764" s="120" t="s">
        <v>777</v>
      </c>
      <c r="I2764" s="111"/>
      <c r="J2764" s="114"/>
      <c r="K2764" s="111"/>
    </row>
    <row r="2765" spans="5:12" ht="24" customHeight="1">
      <c r="F2765" s="111"/>
      <c r="G2765" s="112"/>
      <c r="H2765" s="121" t="s">
        <v>1530</v>
      </c>
      <c r="I2765" s="111"/>
      <c r="J2765" s="114"/>
      <c r="K2765" s="111"/>
    </row>
    <row r="2766" spans="5:12" ht="24" customHeight="1">
      <c r="F2766" s="122">
        <v>1</v>
      </c>
      <c r="G2766" s="119" t="s">
        <v>794</v>
      </c>
      <c r="H2766" s="120" t="s">
        <v>587</v>
      </c>
      <c r="I2766" s="122">
        <f>I1873</f>
        <v>26</v>
      </c>
      <c r="J2766" s="118" t="s">
        <v>794</v>
      </c>
      <c r="K2766" s="122">
        <f>(F2766*I2766)</f>
        <v>26</v>
      </c>
    </row>
    <row r="2767" spans="5:12" ht="24" customHeight="1">
      <c r="F2767" s="122">
        <v>1</v>
      </c>
      <c r="G2767" s="119" t="s">
        <v>419</v>
      </c>
      <c r="H2767" s="120" t="s">
        <v>1739</v>
      </c>
      <c r="I2767" s="122">
        <f>I2766*0.7</f>
        <v>18.2</v>
      </c>
      <c r="J2767" s="118" t="s">
        <v>419</v>
      </c>
      <c r="K2767" s="122">
        <f>(F2767*I2767)</f>
        <v>18.2</v>
      </c>
    </row>
    <row r="2768" spans="5:12" ht="24" customHeight="1">
      <c r="F2768" s="122">
        <v>1</v>
      </c>
      <c r="G2768" s="119" t="s">
        <v>794</v>
      </c>
      <c r="H2768" s="120" t="s">
        <v>159</v>
      </c>
      <c r="I2768" s="122">
        <f>K2750</f>
        <v>161.74</v>
      </c>
      <c r="J2768" s="118" t="s">
        <v>794</v>
      </c>
      <c r="K2768" s="122">
        <f>(F2768*I2768)</f>
        <v>161.74</v>
      </c>
    </row>
    <row r="2769" spans="6:25" ht="24" customHeight="1">
      <c r="F2769" s="111"/>
      <c r="G2769" s="112"/>
      <c r="H2769" s="111"/>
      <c r="I2769" s="120" t="s">
        <v>940</v>
      </c>
      <c r="J2769" s="114"/>
      <c r="K2769" s="121"/>
    </row>
    <row r="2770" spans="6:25" ht="24" customHeight="1">
      <c r="F2770" s="111"/>
      <c r="G2770" s="112"/>
      <c r="H2770" s="109" t="s">
        <v>352</v>
      </c>
      <c r="I2770" s="117"/>
      <c r="J2770" s="123"/>
      <c r="K2770" s="110">
        <f>SUM(K2766:K2768)</f>
        <v>205.94</v>
      </c>
      <c r="S2770" s="130"/>
      <c r="T2770" s="112"/>
      <c r="U2770" s="111"/>
      <c r="V2770" s="111"/>
      <c r="W2770" s="114"/>
      <c r="X2770" s="111"/>
    </row>
    <row r="2771" spans="6:25" ht="24" customHeight="1">
      <c r="F2771" s="111"/>
      <c r="G2771" s="112"/>
      <c r="H2771" s="120" t="s">
        <v>940</v>
      </c>
      <c r="I2771" s="120" t="s">
        <v>940</v>
      </c>
      <c r="J2771" s="114"/>
      <c r="K2771" s="121" t="s">
        <v>1980</v>
      </c>
      <c r="S2771" s="418" t="s">
        <v>533</v>
      </c>
      <c r="T2771" s="119" t="s">
        <v>2167</v>
      </c>
      <c r="U2771" s="120" t="s">
        <v>310</v>
      </c>
      <c r="V2771" s="111"/>
      <c r="W2771" s="114"/>
      <c r="X2771" s="111"/>
    </row>
    <row r="2772" spans="6:25" ht="24" customHeight="1">
      <c r="F2772" s="111"/>
      <c r="G2772" s="111"/>
      <c r="H2772" s="111"/>
      <c r="I2772" s="111"/>
      <c r="J2772" s="111"/>
      <c r="K2772" s="111"/>
      <c r="S2772" s="130"/>
      <c r="T2772" s="112"/>
      <c r="U2772" s="120" t="s">
        <v>241</v>
      </c>
      <c r="V2772" s="111"/>
      <c r="W2772" s="114"/>
      <c r="X2772" s="111"/>
    </row>
    <row r="2773" spans="6:25" ht="24" customHeight="1">
      <c r="F2773" s="207"/>
      <c r="G2773" s="208"/>
      <c r="H2773" s="208"/>
      <c r="I2773" s="208"/>
      <c r="J2773" s="208"/>
      <c r="K2773" s="208"/>
      <c r="S2773" s="130"/>
      <c r="T2773" s="112"/>
      <c r="U2773" s="120" t="s">
        <v>1413</v>
      </c>
      <c r="V2773" s="111"/>
      <c r="W2773" s="114"/>
      <c r="X2773" s="111"/>
    </row>
    <row r="2774" spans="6:25" ht="24" customHeight="1">
      <c r="F2774" s="209"/>
      <c r="G2774" s="153" t="s">
        <v>931</v>
      </c>
      <c r="H2774" s="144"/>
      <c r="I2774" s="144"/>
      <c r="J2774" s="146"/>
      <c r="K2774" s="144"/>
      <c r="S2774" s="130"/>
      <c r="T2774" s="112"/>
      <c r="U2774" s="121" t="s">
        <v>1530</v>
      </c>
      <c r="V2774" s="111"/>
      <c r="W2774" s="114"/>
      <c r="X2774" s="111"/>
    </row>
    <row r="2775" spans="6:25" ht="24" customHeight="1">
      <c r="F2775" s="210"/>
      <c r="G2775" s="145"/>
      <c r="H2775" s="144"/>
      <c r="I2775" s="144"/>
      <c r="J2775" s="146"/>
      <c r="K2775" s="144"/>
      <c r="S2775" s="130"/>
      <c r="T2775" s="112"/>
      <c r="U2775" s="120" t="s">
        <v>1816</v>
      </c>
      <c r="V2775" s="111"/>
      <c r="W2775" s="114"/>
      <c r="X2775" s="111"/>
    </row>
    <row r="2776" spans="6:25" ht="24" customHeight="1">
      <c r="F2776" s="210">
        <v>5</v>
      </c>
      <c r="G2776" s="145" t="s">
        <v>932</v>
      </c>
      <c r="H2776" s="741" t="s">
        <v>4168</v>
      </c>
      <c r="I2776" s="712">
        <v>160</v>
      </c>
      <c r="J2776" s="146" t="s">
        <v>933</v>
      </c>
      <c r="K2776" s="144">
        <f>I2776*F2776</f>
        <v>800</v>
      </c>
      <c r="S2776" s="130"/>
      <c r="T2776" s="112"/>
      <c r="U2776" s="120" t="s">
        <v>1817</v>
      </c>
      <c r="V2776" s="111"/>
      <c r="W2776" s="114"/>
      <c r="X2776" s="111"/>
    </row>
    <row r="2777" spans="6:25" ht="24" customHeight="1">
      <c r="F2777" s="210">
        <v>1</v>
      </c>
      <c r="G2777" s="145" t="s">
        <v>1337</v>
      </c>
      <c r="H2777" s="144" t="s">
        <v>735</v>
      </c>
      <c r="I2777" s="917">
        <v>75</v>
      </c>
      <c r="J2777" s="146" t="s">
        <v>1341</v>
      </c>
      <c r="K2777" s="144">
        <f>I2777*F2777</f>
        <v>75</v>
      </c>
      <c r="S2777" s="130"/>
      <c r="T2777" s="112"/>
      <c r="U2777" s="111"/>
      <c r="V2777" s="111"/>
      <c r="W2777" s="118" t="s">
        <v>1530</v>
      </c>
      <c r="X2777" s="111"/>
    </row>
    <row r="2778" spans="6:25" ht="24" customHeight="1">
      <c r="F2778" s="210">
        <v>2.5</v>
      </c>
      <c r="G2778" s="145" t="s">
        <v>1337</v>
      </c>
      <c r="H2778" s="144" t="s">
        <v>736</v>
      </c>
      <c r="I2778" s="144">
        <f>C14</f>
        <v>688</v>
      </c>
      <c r="J2778" s="146" t="s">
        <v>1337</v>
      </c>
      <c r="K2778" s="144">
        <f>I2778*F2778</f>
        <v>1720</v>
      </c>
      <c r="S2778" s="130"/>
      <c r="T2778" s="112"/>
      <c r="U2778" s="120" t="s">
        <v>1252</v>
      </c>
      <c r="V2778" s="111"/>
      <c r="W2778" s="114"/>
      <c r="X2778" s="111"/>
    </row>
    <row r="2779" spans="6:25" ht="24" customHeight="1">
      <c r="F2779" s="210"/>
      <c r="G2779" s="145"/>
      <c r="H2779" s="144" t="s">
        <v>2187</v>
      </c>
      <c r="I2779" s="150" t="s">
        <v>419</v>
      </c>
      <c r="J2779" s="146"/>
      <c r="K2779" s="144">
        <v>0.25</v>
      </c>
      <c r="S2779" s="130"/>
      <c r="T2779" s="112"/>
      <c r="U2779" s="120" t="s">
        <v>1253</v>
      </c>
      <c r="V2779" s="111"/>
      <c r="W2779" s="114"/>
      <c r="X2779" s="131">
        <v>2.7099999999999999E-2</v>
      </c>
    </row>
    <row r="2780" spans="6:25" ht="24" customHeight="1">
      <c r="F2780" s="210"/>
      <c r="G2780" s="145"/>
      <c r="H2780" s="144"/>
      <c r="I2780" s="144"/>
      <c r="J2780" s="146"/>
      <c r="K2780" s="211" t="s">
        <v>1980</v>
      </c>
      <c r="S2780" s="130"/>
      <c r="T2780" s="112"/>
      <c r="U2780" s="111"/>
      <c r="V2780" s="111"/>
      <c r="W2780" s="118" t="s">
        <v>940</v>
      </c>
      <c r="X2780" s="121" t="s">
        <v>1530</v>
      </c>
      <c r="Y2780" s="170">
        <f>SUM(X2781:X2782)</f>
        <v>1.6420000000000001E-2</v>
      </c>
    </row>
    <row r="2781" spans="6:25" ht="24" customHeight="1">
      <c r="F2781" s="210"/>
      <c r="G2781" s="145"/>
      <c r="H2781" s="144"/>
      <c r="I2781" s="144" t="s">
        <v>737</v>
      </c>
      <c r="J2781" s="146" t="s">
        <v>1980</v>
      </c>
      <c r="K2781" s="148">
        <f>SUM(K2776:K2780)</f>
        <v>2595.25</v>
      </c>
      <c r="L2781" s="170">
        <f>K2814+K2813</f>
        <v>1.6420000000000001E-2</v>
      </c>
      <c r="S2781" s="130"/>
      <c r="T2781" s="112"/>
      <c r="U2781" s="120" t="s">
        <v>1254</v>
      </c>
      <c r="V2781" s="111"/>
      <c r="W2781" s="132" t="s">
        <v>940</v>
      </c>
      <c r="X2781" s="131">
        <v>1.2840000000000001E-2</v>
      </c>
    </row>
    <row r="2782" spans="6:25" ht="24" customHeight="1">
      <c r="F2782" s="212"/>
      <c r="G2782" s="213"/>
      <c r="H2782" s="214"/>
      <c r="I2782" s="214"/>
      <c r="J2782" s="215"/>
      <c r="K2782" s="216" t="s">
        <v>1980</v>
      </c>
      <c r="S2782" s="130"/>
      <c r="T2782" s="112"/>
      <c r="U2782" s="120" t="s">
        <v>908</v>
      </c>
      <c r="V2782" s="111"/>
      <c r="W2782" s="118" t="s">
        <v>940</v>
      </c>
      <c r="X2782" s="131">
        <v>3.5799999999999998E-3</v>
      </c>
    </row>
    <row r="2783" spans="6:25" ht="24" customHeight="1">
      <c r="F2783" s="111"/>
      <c r="G2783" s="112"/>
      <c r="H2783" s="111"/>
      <c r="I2783" s="111"/>
      <c r="J2783" s="114"/>
      <c r="K2783" s="111"/>
      <c r="S2783" s="130"/>
      <c r="T2783" s="112"/>
      <c r="U2783" s="111"/>
      <c r="V2783" s="111"/>
      <c r="W2783" s="114"/>
      <c r="X2783" s="121" t="s">
        <v>1530</v>
      </c>
    </row>
    <row r="2784" spans="6:25" ht="24" customHeight="1">
      <c r="F2784" s="111" t="s">
        <v>906</v>
      </c>
      <c r="G2784" s="112"/>
      <c r="H2784" s="111"/>
      <c r="I2784" s="111"/>
      <c r="J2784" s="114"/>
      <c r="K2784" s="111"/>
      <c r="S2784" s="134">
        <f>F2816</f>
        <v>1.9E-2</v>
      </c>
      <c r="T2784" s="119" t="s">
        <v>836</v>
      </c>
      <c r="U2784" s="120" t="s">
        <v>311</v>
      </c>
      <c r="V2784" s="122">
        <f>C89</f>
        <v>34300</v>
      </c>
      <c r="W2784" s="118" t="s">
        <v>836</v>
      </c>
      <c r="X2784" s="122">
        <f>(S2784*V2784)</f>
        <v>651.70000000000005</v>
      </c>
    </row>
    <row r="2785" spans="6:33" ht="24" customHeight="1">
      <c r="F2785" s="111"/>
      <c r="G2785" s="112"/>
      <c r="H2785" s="111"/>
      <c r="I2785" s="111"/>
      <c r="J2785" s="114"/>
      <c r="K2785" s="111"/>
      <c r="S2785" s="134">
        <f t="shared" ref="S2785:S2795" si="266">F2817</f>
        <v>2.7E-2</v>
      </c>
      <c r="T2785" s="119" t="s">
        <v>836</v>
      </c>
      <c r="U2785" s="120" t="s">
        <v>311</v>
      </c>
      <c r="V2785" s="122">
        <f>V2784</f>
        <v>34300</v>
      </c>
      <c r="W2785" s="118" t="s">
        <v>836</v>
      </c>
      <c r="X2785" s="122">
        <f t="shared" ref="X2785:X2795" si="267">(S2785*V2785)</f>
        <v>926.1</v>
      </c>
    </row>
    <row r="2786" spans="6:33" ht="24" customHeight="1">
      <c r="F2786" s="111" t="s">
        <v>2990</v>
      </c>
      <c r="G2786" s="112"/>
      <c r="H2786" s="111"/>
      <c r="I2786" s="111"/>
      <c r="J2786" s="114"/>
      <c r="K2786" s="111"/>
      <c r="S2786" s="134">
        <f t="shared" si="266"/>
        <v>1.6E-2</v>
      </c>
      <c r="T2786" s="119" t="s">
        <v>836</v>
      </c>
      <c r="U2786" s="120" t="s">
        <v>312</v>
      </c>
      <c r="V2786" s="122">
        <f>C90</f>
        <v>39400</v>
      </c>
      <c r="W2786" s="118" t="s">
        <v>836</v>
      </c>
      <c r="X2786" s="122">
        <f t="shared" si="267"/>
        <v>630.4</v>
      </c>
      <c r="AC2786" s="37" t="s">
        <v>1687</v>
      </c>
    </row>
    <row r="2787" spans="6:33" ht="24" customHeight="1">
      <c r="F2787" s="111"/>
      <c r="G2787" s="112"/>
      <c r="H2787" s="111"/>
      <c r="I2787" s="111"/>
      <c r="J2787" s="114"/>
      <c r="K2787" s="111"/>
      <c r="S2787" s="134"/>
      <c r="T2787" s="112"/>
      <c r="U2787" s="120"/>
      <c r="V2787" s="122">
        <f>V961</f>
        <v>0</v>
      </c>
      <c r="W2787" s="114"/>
      <c r="X2787" s="122">
        <f t="shared" si="267"/>
        <v>0</v>
      </c>
      <c r="AC2787" s="37" t="s">
        <v>1688</v>
      </c>
    </row>
    <row r="2788" spans="6:33" ht="24" customHeight="1">
      <c r="F2788" s="111"/>
      <c r="G2788" s="129">
        <v>0.745</v>
      </c>
      <c r="H2788" s="111" t="s">
        <v>2070</v>
      </c>
      <c r="I2788" s="111"/>
      <c r="J2788" s="114"/>
      <c r="K2788" s="111"/>
      <c r="S2788" s="134">
        <f t="shared" si="266"/>
        <v>1.823</v>
      </c>
      <c r="T2788" s="119" t="s">
        <v>578</v>
      </c>
      <c r="U2788" s="120" t="s">
        <v>417</v>
      </c>
      <c r="V2788" s="122">
        <f>I2820</f>
        <v>1325</v>
      </c>
      <c r="W2788" s="118" t="s">
        <v>578</v>
      </c>
      <c r="X2788" s="122">
        <f t="shared" si="267"/>
        <v>2415.48</v>
      </c>
    </row>
    <row r="2789" spans="6:33" ht="24" customHeight="1">
      <c r="F2789" s="111"/>
      <c r="G2789" s="112"/>
      <c r="H2789" s="111"/>
      <c r="I2789" s="111"/>
      <c r="J2789" s="114"/>
      <c r="K2789" s="111"/>
      <c r="S2789" s="134">
        <f t="shared" si="266"/>
        <v>2</v>
      </c>
      <c r="T2789" s="119" t="s">
        <v>739</v>
      </c>
      <c r="U2789" s="120" t="s">
        <v>1406</v>
      </c>
      <c r="V2789" s="122">
        <f t="shared" ref="V2789:V2794" si="268">I2821</f>
        <v>252</v>
      </c>
      <c r="W2789" s="118" t="s">
        <v>835</v>
      </c>
      <c r="X2789" s="122">
        <f t="shared" si="267"/>
        <v>504</v>
      </c>
      <c r="AB2789" s="409">
        <v>2.6159999999999999E-2</v>
      </c>
      <c r="AC2789" s="73" t="s">
        <v>836</v>
      </c>
      <c r="AD2789" s="37" t="s">
        <v>3073</v>
      </c>
      <c r="AE2789" s="37">
        <f>I2816</f>
        <v>111600</v>
      </c>
      <c r="AF2789" s="99" t="s">
        <v>836</v>
      </c>
      <c r="AG2789" s="37">
        <f>AE2789*AB2789</f>
        <v>2919.46</v>
      </c>
    </row>
    <row r="2790" spans="6:33" ht="24" customHeight="1">
      <c r="F2790" s="117" t="s">
        <v>433</v>
      </c>
      <c r="G2790" s="112"/>
      <c r="H2790" s="111"/>
      <c r="I2790" s="111"/>
      <c r="J2790" s="114"/>
      <c r="K2790" s="111"/>
      <c r="S2790" s="134">
        <f t="shared" si="266"/>
        <v>3</v>
      </c>
      <c r="T2790" s="119" t="s">
        <v>835</v>
      </c>
      <c r="U2790" s="120" t="s">
        <v>1407</v>
      </c>
      <c r="V2790" s="122">
        <f t="shared" si="268"/>
        <v>212</v>
      </c>
      <c r="W2790" s="118" t="s">
        <v>835</v>
      </c>
      <c r="X2790" s="122">
        <f t="shared" si="267"/>
        <v>636</v>
      </c>
      <c r="AB2790" s="409">
        <v>4.7809999999999998E-2</v>
      </c>
      <c r="AC2790" s="73" t="s">
        <v>836</v>
      </c>
      <c r="AD2790" s="37" t="s">
        <v>2413</v>
      </c>
      <c r="AE2790" s="37">
        <f>I2817</f>
        <v>99400</v>
      </c>
      <c r="AF2790" s="99" t="s">
        <v>836</v>
      </c>
      <c r="AG2790" s="37">
        <f t="shared" ref="AG2790:AG2799" si="269">AE2790*AB2790</f>
        <v>4752.3100000000004</v>
      </c>
    </row>
    <row r="2791" spans="6:33" ht="24" customHeight="1">
      <c r="F2791" s="111"/>
      <c r="G2791" s="112"/>
      <c r="H2791" s="111"/>
      <c r="I2791" s="111"/>
      <c r="J2791" s="114"/>
      <c r="K2791" s="111"/>
      <c r="S2791" s="134">
        <f t="shared" si="266"/>
        <v>2</v>
      </c>
      <c r="T2791" s="119" t="s">
        <v>835</v>
      </c>
      <c r="U2791" s="120" t="s">
        <v>1408</v>
      </c>
      <c r="V2791" s="122">
        <f t="shared" si="268"/>
        <v>404</v>
      </c>
      <c r="W2791" s="118" t="s">
        <v>835</v>
      </c>
      <c r="X2791" s="122">
        <f t="shared" si="267"/>
        <v>808</v>
      </c>
      <c r="AB2791" s="410">
        <v>4.5879999999999997E-2</v>
      </c>
      <c r="AC2791" s="73" t="s">
        <v>836</v>
      </c>
      <c r="AD2791" s="37" t="s">
        <v>1689</v>
      </c>
      <c r="AE2791" s="37">
        <f>I3323</f>
        <v>107000</v>
      </c>
      <c r="AF2791" s="99" t="s">
        <v>836</v>
      </c>
      <c r="AG2791" s="37">
        <f t="shared" si="269"/>
        <v>4909.16</v>
      </c>
    </row>
    <row r="2792" spans="6:33" ht="24" customHeight="1">
      <c r="F2792" s="130">
        <v>0.37</v>
      </c>
      <c r="G2792" s="112" t="s">
        <v>2070</v>
      </c>
      <c r="H2792" s="111" t="s">
        <v>2993</v>
      </c>
      <c r="I2792" s="111">
        <f>I2995</f>
        <v>7721.35</v>
      </c>
      <c r="J2792" s="115" t="s">
        <v>2070</v>
      </c>
      <c r="K2792" s="111">
        <f>F2792*I2792</f>
        <v>2856.9</v>
      </c>
      <c r="S2792" s="134">
        <f t="shared" si="266"/>
        <v>1</v>
      </c>
      <c r="T2792" s="119" t="s">
        <v>835</v>
      </c>
      <c r="U2792" s="120" t="s">
        <v>1409</v>
      </c>
      <c r="V2792" s="122">
        <f t="shared" si="268"/>
        <v>707</v>
      </c>
      <c r="W2792" s="118" t="s">
        <v>835</v>
      </c>
      <c r="X2792" s="122">
        <f t="shared" si="267"/>
        <v>707</v>
      </c>
      <c r="AB2792" s="410">
        <v>3.95</v>
      </c>
      <c r="AC2792" s="73" t="s">
        <v>578</v>
      </c>
      <c r="AD2792" s="37" t="s">
        <v>850</v>
      </c>
      <c r="AE2792" s="37">
        <f>I2820</f>
        <v>1325</v>
      </c>
      <c r="AF2792" s="99" t="s">
        <v>578</v>
      </c>
      <c r="AG2792" s="37">
        <f t="shared" si="269"/>
        <v>5233.75</v>
      </c>
    </row>
    <row r="2793" spans="6:33" ht="24" customHeight="1">
      <c r="F2793" s="111">
        <v>0.25</v>
      </c>
      <c r="G2793" s="112" t="s">
        <v>1337</v>
      </c>
      <c r="H2793" s="111" t="s">
        <v>435</v>
      </c>
      <c r="I2793" s="111">
        <f>C11</f>
        <v>804</v>
      </c>
      <c r="J2793" s="115" t="s">
        <v>1341</v>
      </c>
      <c r="K2793" s="111">
        <f>F2793*I2793</f>
        <v>201</v>
      </c>
      <c r="S2793" s="134">
        <f t="shared" si="266"/>
        <v>1</v>
      </c>
      <c r="T2793" s="119" t="s">
        <v>835</v>
      </c>
      <c r="U2793" s="120" t="s">
        <v>1410</v>
      </c>
      <c r="V2793" s="122">
        <f t="shared" si="268"/>
        <v>22.9</v>
      </c>
      <c r="W2793" s="118" t="s">
        <v>835</v>
      </c>
      <c r="X2793" s="122">
        <f t="shared" si="267"/>
        <v>22.9</v>
      </c>
      <c r="AB2793" s="37">
        <v>2</v>
      </c>
      <c r="AC2793" s="73" t="s">
        <v>1807</v>
      </c>
      <c r="AD2793" s="37" t="s">
        <v>2045</v>
      </c>
      <c r="AE2793" s="37">
        <f t="shared" ref="AE2793:AE2798" si="270">I2821</f>
        <v>252</v>
      </c>
      <c r="AF2793" s="99" t="s">
        <v>1341</v>
      </c>
      <c r="AG2793" s="37">
        <f t="shared" si="269"/>
        <v>504</v>
      </c>
    </row>
    <row r="2794" spans="6:33" ht="24" customHeight="1">
      <c r="F2794" s="111">
        <v>3.5</v>
      </c>
      <c r="G2794" s="112" t="s">
        <v>1375</v>
      </c>
      <c r="H2794" s="111" t="s">
        <v>326</v>
      </c>
      <c r="I2794" s="111">
        <f>C12</f>
        <v>562</v>
      </c>
      <c r="J2794" s="115" t="s">
        <v>1341</v>
      </c>
      <c r="K2794" s="111">
        <f>F2794*I2794</f>
        <v>1967</v>
      </c>
      <c r="S2794" s="134">
        <f t="shared" si="266"/>
        <v>1</v>
      </c>
      <c r="T2794" s="119" t="s">
        <v>835</v>
      </c>
      <c r="U2794" s="120" t="s">
        <v>1913</v>
      </c>
      <c r="V2794" s="122">
        <f t="shared" si="268"/>
        <v>45.9</v>
      </c>
      <c r="W2794" s="118" t="s">
        <v>835</v>
      </c>
      <c r="X2794" s="122">
        <f t="shared" si="267"/>
        <v>45.9</v>
      </c>
      <c r="AB2794" s="37">
        <v>6</v>
      </c>
      <c r="AC2794" s="73" t="s">
        <v>1807</v>
      </c>
      <c r="AD2794" s="37" t="s">
        <v>1058</v>
      </c>
      <c r="AE2794" s="37">
        <f t="shared" si="270"/>
        <v>212</v>
      </c>
      <c r="AF2794" s="99" t="s">
        <v>1341</v>
      </c>
      <c r="AG2794" s="37">
        <f t="shared" si="269"/>
        <v>1272</v>
      </c>
    </row>
    <row r="2795" spans="6:33" ht="24" customHeight="1">
      <c r="F2795" s="111">
        <v>12</v>
      </c>
      <c r="G2795" s="112" t="s">
        <v>876</v>
      </c>
      <c r="H2795" s="111" t="s">
        <v>2991</v>
      </c>
      <c r="I2795" s="111"/>
      <c r="J2795" s="115" t="s">
        <v>876</v>
      </c>
      <c r="K2795" s="111">
        <f>I2795*F2795</f>
        <v>0</v>
      </c>
      <c r="S2795" s="130">
        <f t="shared" si="266"/>
        <v>64</v>
      </c>
      <c r="T2795" s="112"/>
      <c r="U2795" s="111" t="s">
        <v>444</v>
      </c>
      <c r="V2795" s="111">
        <f>P2834</f>
        <v>2.39</v>
      </c>
      <c r="W2795" s="114"/>
      <c r="X2795" s="122">
        <f t="shared" si="267"/>
        <v>152.96</v>
      </c>
      <c r="AB2795" s="37">
        <v>4</v>
      </c>
      <c r="AC2795" s="73" t="s">
        <v>1807</v>
      </c>
      <c r="AD2795" s="37" t="s">
        <v>1296</v>
      </c>
      <c r="AE2795" s="37">
        <f t="shared" si="270"/>
        <v>404</v>
      </c>
      <c r="AF2795" s="99" t="s">
        <v>1341</v>
      </c>
      <c r="AG2795" s="37">
        <f t="shared" si="269"/>
        <v>1616</v>
      </c>
    </row>
    <row r="2796" spans="6:33" ht="24" customHeight="1">
      <c r="F2796" s="111"/>
      <c r="G2796" s="111" t="s">
        <v>436</v>
      </c>
      <c r="H2796" s="111" t="s">
        <v>915</v>
      </c>
      <c r="I2796" s="111"/>
      <c r="J2796" s="115" t="s">
        <v>66</v>
      </c>
      <c r="K2796" s="111">
        <f>L2762*10%</f>
        <v>216.8</v>
      </c>
      <c r="S2796" s="130"/>
      <c r="T2796" s="112"/>
      <c r="U2796" s="120" t="s">
        <v>952</v>
      </c>
      <c r="V2796" s="111"/>
      <c r="W2796" s="114"/>
      <c r="X2796" s="122">
        <f>SUM(X2784:X2795)</f>
        <v>7500.44</v>
      </c>
      <c r="AB2796" s="37">
        <v>1</v>
      </c>
      <c r="AC2796" s="73" t="s">
        <v>1807</v>
      </c>
      <c r="AD2796" s="37" t="s">
        <v>1297</v>
      </c>
      <c r="AE2796" s="37">
        <f t="shared" si="270"/>
        <v>707</v>
      </c>
      <c r="AF2796" s="99" t="s">
        <v>1341</v>
      </c>
      <c r="AG2796" s="37">
        <f t="shared" si="269"/>
        <v>707</v>
      </c>
    </row>
    <row r="2797" spans="6:33" ht="24" customHeight="1">
      <c r="F2797" s="111"/>
      <c r="G2797" s="112"/>
      <c r="H2797" s="111"/>
      <c r="I2797" s="111"/>
      <c r="J2797" s="114"/>
      <c r="K2797" s="111" t="s">
        <v>916</v>
      </c>
      <c r="S2797" s="130"/>
      <c r="T2797" s="112"/>
      <c r="U2797" s="111"/>
      <c r="V2797" s="111"/>
      <c r="W2797" s="114"/>
      <c r="X2797" s="121" t="s">
        <v>1530</v>
      </c>
      <c r="AB2797" s="37">
        <v>2</v>
      </c>
      <c r="AC2797" s="73" t="s">
        <v>1807</v>
      </c>
      <c r="AD2797" s="37" t="s">
        <v>1911</v>
      </c>
      <c r="AE2797" s="37">
        <f t="shared" si="270"/>
        <v>22.9</v>
      </c>
      <c r="AF2797" s="99" t="s">
        <v>1341</v>
      </c>
      <c r="AG2797" s="37">
        <f t="shared" si="269"/>
        <v>45.8</v>
      </c>
    </row>
    <row r="2798" spans="6:33" ht="24" customHeight="1">
      <c r="F2798" s="111"/>
      <c r="G2798" s="112"/>
      <c r="H2798" s="111"/>
      <c r="I2798" s="111"/>
      <c r="J2798" s="114"/>
      <c r="K2798" s="111"/>
      <c r="S2798" s="130"/>
      <c r="T2798" s="112"/>
      <c r="U2798" s="120" t="s">
        <v>521</v>
      </c>
      <c r="V2798" s="111"/>
      <c r="W2798" s="114"/>
      <c r="X2798" s="122">
        <f>X2796/1.8225</f>
        <v>4115.47</v>
      </c>
      <c r="AB2798" s="37">
        <v>2</v>
      </c>
      <c r="AC2798" s="73" t="s">
        <v>1807</v>
      </c>
      <c r="AD2798" s="37" t="s">
        <v>1913</v>
      </c>
      <c r="AE2798" s="37">
        <f t="shared" si="270"/>
        <v>45.9</v>
      </c>
      <c r="AF2798" s="99" t="s">
        <v>1341</v>
      </c>
      <c r="AG2798" s="37">
        <f t="shared" si="269"/>
        <v>91.8</v>
      </c>
    </row>
    <row r="2799" spans="6:33" ht="24" customHeight="1">
      <c r="F2799" s="111"/>
      <c r="G2799" s="112"/>
      <c r="H2799" s="111"/>
      <c r="I2799" s="111" t="s">
        <v>2992</v>
      </c>
      <c r="J2799" s="114"/>
      <c r="K2799" s="111">
        <f>SUM(K2792:K2796)</f>
        <v>5241.7</v>
      </c>
      <c r="S2799" s="130"/>
      <c r="T2799" s="112"/>
      <c r="U2799" s="111"/>
      <c r="V2799" s="111"/>
      <c r="W2799" s="114"/>
      <c r="X2799" s="111"/>
      <c r="AB2799" s="37">
        <v>10</v>
      </c>
      <c r="AC2799" s="73"/>
      <c r="AD2799" s="37" t="s">
        <v>1685</v>
      </c>
      <c r="AE2799" s="37">
        <f>V2795</f>
        <v>2.39</v>
      </c>
      <c r="AF2799" s="99"/>
      <c r="AG2799" s="37">
        <f t="shared" si="269"/>
        <v>23.9</v>
      </c>
    </row>
    <row r="2800" spans="6:33" ht="24" customHeight="1">
      <c r="F2800" s="111"/>
      <c r="G2800" s="112"/>
      <c r="H2800" s="111"/>
      <c r="I2800" s="111"/>
      <c r="J2800" s="114"/>
      <c r="K2800" s="111"/>
      <c r="AB2800" s="37"/>
      <c r="AC2800" s="73"/>
      <c r="AD2800" s="37" t="s">
        <v>521</v>
      </c>
      <c r="AE2800" s="37"/>
      <c r="AF2800" s="99"/>
      <c r="AG2800" s="37">
        <f>SUM(AG2789:AG2799)</f>
        <v>22075.18</v>
      </c>
    </row>
    <row r="2801" spans="6:33" ht="24" customHeight="1">
      <c r="F2801" s="111"/>
      <c r="G2801" s="112"/>
      <c r="H2801" s="111"/>
      <c r="I2801" s="111" t="s">
        <v>1815</v>
      </c>
      <c r="J2801" s="114"/>
      <c r="K2801" s="111">
        <f>K2799/3.5</f>
        <v>1497.63</v>
      </c>
      <c r="AB2801" s="37"/>
      <c r="AC2801" s="73"/>
      <c r="AD2801" s="37"/>
      <c r="AE2801" s="37"/>
      <c r="AF2801" s="99"/>
      <c r="AG2801" s="411" t="s">
        <v>144</v>
      </c>
    </row>
    <row r="2802" spans="6:33" ht="24" customHeight="1">
      <c r="F2802" s="111"/>
      <c r="G2802" s="112"/>
      <c r="H2802" s="111"/>
      <c r="I2802" s="111"/>
      <c r="J2802" s="114"/>
      <c r="K2802" s="111"/>
      <c r="AB2802" s="37"/>
      <c r="AC2802" s="73"/>
      <c r="AD2802" s="37" t="s">
        <v>521</v>
      </c>
      <c r="AE2802" s="37"/>
      <c r="AF2802" s="99"/>
      <c r="AG2802" s="37">
        <f>AG2800/AB2792</f>
        <v>5588.65</v>
      </c>
    </row>
    <row r="2803" spans="6:33" ht="54.75" customHeight="1">
      <c r="F2803" s="118" t="s">
        <v>533</v>
      </c>
      <c r="G2803" s="119" t="s">
        <v>2167</v>
      </c>
      <c r="H2803" s="120" t="s">
        <v>240</v>
      </c>
      <c r="I2803" s="111"/>
      <c r="J2803" s="114"/>
      <c r="K2803" s="111"/>
      <c r="AB2803" s="37"/>
      <c r="AC2803" s="73"/>
      <c r="AD2803" s="37"/>
      <c r="AE2803" s="37"/>
      <c r="AF2803" s="99"/>
      <c r="AG2803" s="411" t="s">
        <v>144</v>
      </c>
    </row>
    <row r="2804" spans="6:33" ht="24" customHeight="1">
      <c r="F2804" s="111"/>
      <c r="G2804" s="112"/>
      <c r="H2804" s="120" t="s">
        <v>241</v>
      </c>
      <c r="I2804" s="111"/>
      <c r="J2804" s="114"/>
      <c r="K2804" s="111"/>
    </row>
    <row r="2805" spans="6:33" ht="24" customHeight="1">
      <c r="F2805" s="111"/>
      <c r="G2805" s="112"/>
      <c r="H2805" s="120" t="s">
        <v>1413</v>
      </c>
      <c r="I2805" s="117" t="s">
        <v>2129</v>
      </c>
      <c r="J2805" s="114"/>
      <c r="K2805" s="111"/>
    </row>
    <row r="2806" spans="6:33" ht="24" customHeight="1">
      <c r="F2806" s="111"/>
      <c r="G2806" s="112"/>
      <c r="H2806" s="121" t="s">
        <v>1530</v>
      </c>
      <c r="I2806" s="111"/>
      <c r="J2806" s="114"/>
      <c r="K2806" s="111"/>
    </row>
    <row r="2807" spans="6:33" ht="24" customHeight="1">
      <c r="F2807" s="111"/>
      <c r="G2807" s="112"/>
      <c r="H2807" s="120" t="s">
        <v>1816</v>
      </c>
      <c r="I2807" s="111"/>
      <c r="J2807" s="114"/>
      <c r="K2807" s="111"/>
    </row>
    <row r="2808" spans="6:33" ht="24" customHeight="1">
      <c r="F2808" s="111"/>
      <c r="G2808" s="112"/>
      <c r="H2808" s="120" t="s">
        <v>1817</v>
      </c>
      <c r="I2808" s="111"/>
      <c r="J2808" s="114"/>
      <c r="K2808" s="111"/>
    </row>
    <row r="2809" spans="6:33" ht="24" customHeight="1">
      <c r="F2809" s="111"/>
      <c r="G2809" s="112"/>
      <c r="H2809" s="111"/>
      <c r="I2809" s="111"/>
      <c r="J2809" s="118" t="s">
        <v>1530</v>
      </c>
      <c r="K2809" s="111"/>
    </row>
    <row r="2810" spans="6:33" ht="24" customHeight="1">
      <c r="F2810" s="111"/>
      <c r="G2810" s="112"/>
      <c r="H2810" s="120" t="s">
        <v>1252</v>
      </c>
      <c r="I2810" s="111"/>
      <c r="J2810" s="114"/>
      <c r="K2810" s="111"/>
      <c r="M2810" s="118" t="s">
        <v>533</v>
      </c>
      <c r="N2810" s="119" t="s">
        <v>2167</v>
      </c>
      <c r="O2810" s="120" t="s">
        <v>240</v>
      </c>
      <c r="P2810" s="111"/>
      <c r="Q2810" s="114"/>
      <c r="R2810" s="111"/>
    </row>
    <row r="2811" spans="6:33" ht="24" customHeight="1">
      <c r="F2811" s="111"/>
      <c r="G2811" s="112"/>
      <c r="H2811" s="120" t="s">
        <v>1253</v>
      </c>
      <c r="I2811" s="111"/>
      <c r="J2811" s="114"/>
      <c r="K2811" s="131">
        <v>2.7099999999999999E-2</v>
      </c>
      <c r="M2811" s="111"/>
      <c r="N2811" s="112"/>
      <c r="O2811" s="120" t="s">
        <v>241</v>
      </c>
      <c r="P2811" s="111"/>
      <c r="Q2811" s="114"/>
      <c r="R2811" s="111"/>
    </row>
    <row r="2812" spans="6:33" ht="24" customHeight="1">
      <c r="F2812" s="111"/>
      <c r="G2812" s="112"/>
      <c r="H2812" s="111"/>
      <c r="I2812" s="111"/>
      <c r="J2812" s="118" t="s">
        <v>940</v>
      </c>
      <c r="K2812" s="121" t="s">
        <v>1530</v>
      </c>
      <c r="M2812" s="111"/>
      <c r="N2812" s="112"/>
      <c r="O2812" s="120" t="s">
        <v>675</v>
      </c>
      <c r="P2812" s="117" t="s">
        <v>2128</v>
      </c>
      <c r="Q2812" s="114"/>
      <c r="R2812" s="111"/>
    </row>
    <row r="2813" spans="6:33" ht="24" customHeight="1">
      <c r="F2813" s="111"/>
      <c r="G2813" s="112"/>
      <c r="H2813" s="120" t="s">
        <v>1254</v>
      </c>
      <c r="I2813" s="111"/>
      <c r="J2813" s="132" t="s">
        <v>940</v>
      </c>
      <c r="K2813" s="131">
        <v>1.2840000000000001E-2</v>
      </c>
      <c r="M2813" s="111"/>
      <c r="N2813" s="112"/>
      <c r="O2813" s="121" t="s">
        <v>1530</v>
      </c>
      <c r="P2813" s="111"/>
      <c r="Q2813" s="114"/>
      <c r="R2813" s="111"/>
    </row>
    <row r="2814" spans="6:33" ht="24" customHeight="1">
      <c r="F2814" s="111"/>
      <c r="G2814" s="112"/>
      <c r="H2814" s="120" t="s">
        <v>2130</v>
      </c>
      <c r="I2814" s="111"/>
      <c r="J2814" s="118" t="s">
        <v>940</v>
      </c>
      <c r="K2814" s="131">
        <v>3.5799999999999998E-3</v>
      </c>
      <c r="M2814" s="111"/>
      <c r="N2814" s="112"/>
      <c r="O2814" s="120" t="s">
        <v>392</v>
      </c>
      <c r="P2814" s="111"/>
      <c r="Q2814" s="114"/>
      <c r="R2814" s="111"/>
    </row>
    <row r="2815" spans="6:33" ht="24" customHeight="1">
      <c r="F2815" s="397"/>
      <c r="G2815" s="112"/>
      <c r="H2815" s="111"/>
      <c r="I2815" s="111"/>
      <c r="J2815" s="114"/>
      <c r="K2815" s="121" t="s">
        <v>1530</v>
      </c>
      <c r="M2815" s="111"/>
      <c r="N2815" s="112"/>
      <c r="O2815" s="120" t="s">
        <v>1817</v>
      </c>
      <c r="P2815" s="111"/>
      <c r="Q2815" s="114"/>
      <c r="R2815" s="111"/>
    </row>
    <row r="2816" spans="6:33" ht="24" customHeight="1">
      <c r="F2816" s="131">
        <v>1.898E-2</v>
      </c>
      <c r="G2816" s="119" t="s">
        <v>836</v>
      </c>
      <c r="H2816" s="120" t="s">
        <v>287</v>
      </c>
      <c r="I2816" s="122">
        <f>AC26</f>
        <v>111600</v>
      </c>
      <c r="J2816" s="118" t="s">
        <v>836</v>
      </c>
      <c r="K2816" s="122">
        <f>(F2816*I2816)</f>
        <v>2118.17</v>
      </c>
      <c r="M2816" s="111"/>
      <c r="N2816" s="112"/>
      <c r="O2816" s="111"/>
      <c r="P2816" s="111"/>
      <c r="Q2816" s="118" t="s">
        <v>1530</v>
      </c>
      <c r="R2816" s="111"/>
    </row>
    <row r="2817" spans="6:18" ht="24" customHeight="1">
      <c r="F2817" s="131">
        <f>K2811</f>
        <v>2.7099999999999999E-2</v>
      </c>
      <c r="G2817" s="119" t="s">
        <v>836</v>
      </c>
      <c r="H2817" s="120" t="s">
        <v>288</v>
      </c>
      <c r="I2817" s="122">
        <f>AC27</f>
        <v>99400</v>
      </c>
      <c r="J2817" s="118" t="s">
        <v>836</v>
      </c>
      <c r="K2817" s="122">
        <f t="shared" ref="K2817:K2827" si="271">(F2817*I2817)</f>
        <v>2693.74</v>
      </c>
      <c r="M2817" s="111"/>
      <c r="N2817" s="112"/>
      <c r="O2817" s="120" t="s">
        <v>394</v>
      </c>
      <c r="P2817" s="111"/>
      <c r="Q2817" s="114"/>
      <c r="R2817" s="111"/>
    </row>
    <row r="2818" spans="6:18" ht="24" customHeight="1">
      <c r="F2818" s="131">
        <f>L2781</f>
        <v>1.6420000000000001E-2</v>
      </c>
      <c r="G2818" s="119" t="s">
        <v>836</v>
      </c>
      <c r="H2818" s="120" t="s">
        <v>289</v>
      </c>
      <c r="I2818" s="122">
        <f>AC28</f>
        <v>95000</v>
      </c>
      <c r="J2818" s="118" t="s">
        <v>836</v>
      </c>
      <c r="K2818" s="122">
        <f t="shared" si="271"/>
        <v>1559.9</v>
      </c>
      <c r="M2818" s="111"/>
      <c r="N2818" s="112"/>
      <c r="O2818" s="120" t="s">
        <v>2126</v>
      </c>
      <c r="P2818" s="111"/>
      <c r="Q2818" s="114"/>
      <c r="R2818" s="131">
        <v>2.784E-2</v>
      </c>
    </row>
    <row r="2819" spans="6:18" ht="24" customHeight="1">
      <c r="F2819" s="133"/>
      <c r="G2819" s="112"/>
      <c r="H2819" s="120" t="s">
        <v>909</v>
      </c>
      <c r="I2819" s="122"/>
      <c r="J2819" s="114"/>
      <c r="K2819" s="122"/>
      <c r="M2819" s="111"/>
      <c r="N2819" s="112"/>
      <c r="O2819" s="111"/>
      <c r="P2819" s="111"/>
      <c r="Q2819" s="118" t="s">
        <v>940</v>
      </c>
      <c r="R2819" s="121" t="s">
        <v>1530</v>
      </c>
    </row>
    <row r="2820" spans="6:18" ht="24" customHeight="1">
      <c r="F2820" s="133">
        <v>1.8225</v>
      </c>
      <c r="G2820" s="119" t="s">
        <v>578</v>
      </c>
      <c r="H2820" s="120" t="s">
        <v>417</v>
      </c>
      <c r="I2820" s="122">
        <f>I957</f>
        <v>1325</v>
      </c>
      <c r="J2820" s="118" t="s">
        <v>578</v>
      </c>
      <c r="K2820" s="122">
        <f t="shared" si="271"/>
        <v>2414.81</v>
      </c>
      <c r="M2820" s="111"/>
      <c r="N2820" s="112"/>
      <c r="O2820" s="120" t="s">
        <v>2127</v>
      </c>
      <c r="P2820" s="111"/>
      <c r="Q2820" s="132" t="s">
        <v>940</v>
      </c>
      <c r="R2820" s="131">
        <v>2.5499999999999998E-2</v>
      </c>
    </row>
    <row r="2821" spans="6:18" ht="24" customHeight="1">
      <c r="F2821" s="122">
        <v>2</v>
      </c>
      <c r="G2821" s="119" t="s">
        <v>739</v>
      </c>
      <c r="H2821" s="120" t="s">
        <v>3575</v>
      </c>
      <c r="I2821" s="448">
        <v>252</v>
      </c>
      <c r="J2821" s="118" t="s">
        <v>835</v>
      </c>
      <c r="K2821" s="122">
        <f t="shared" si="271"/>
        <v>504</v>
      </c>
      <c r="M2821" s="111"/>
      <c r="N2821" s="112"/>
      <c r="O2821" s="120"/>
      <c r="P2821" s="111"/>
      <c r="Q2821" s="118" t="s">
        <v>940</v>
      </c>
      <c r="R2821" s="131"/>
    </row>
    <row r="2822" spans="6:18" ht="24" customHeight="1">
      <c r="F2822" s="122">
        <v>3</v>
      </c>
      <c r="G2822" s="119" t="s">
        <v>835</v>
      </c>
      <c r="H2822" s="120" t="s">
        <v>3576</v>
      </c>
      <c r="I2822" s="448">
        <v>212</v>
      </c>
      <c r="J2822" s="118" t="s">
        <v>835</v>
      </c>
      <c r="K2822" s="122">
        <f t="shared" si="271"/>
        <v>636</v>
      </c>
      <c r="M2822" s="111"/>
      <c r="N2822" s="112"/>
      <c r="O2822" s="111"/>
      <c r="P2822" s="111"/>
      <c r="Q2822" s="114"/>
      <c r="R2822" s="121" t="s">
        <v>1530</v>
      </c>
    </row>
    <row r="2823" spans="6:18" ht="24" customHeight="1">
      <c r="F2823" s="122">
        <v>2</v>
      </c>
      <c r="G2823" s="119" t="s">
        <v>835</v>
      </c>
      <c r="H2823" s="120" t="s">
        <v>3577</v>
      </c>
      <c r="I2823" s="448">
        <v>404</v>
      </c>
      <c r="J2823" s="118" t="s">
        <v>835</v>
      </c>
      <c r="K2823" s="122">
        <f t="shared" si="271"/>
        <v>808</v>
      </c>
      <c r="M2823" s="131">
        <v>1.898E-2</v>
      </c>
      <c r="N2823" s="119" t="s">
        <v>836</v>
      </c>
      <c r="O2823" s="120" t="s">
        <v>287</v>
      </c>
      <c r="P2823" s="122">
        <f>I2816</f>
        <v>111600</v>
      </c>
      <c r="Q2823" s="118" t="s">
        <v>836</v>
      </c>
      <c r="R2823" s="122">
        <f>(M2823*P2823)</f>
        <v>2118.17</v>
      </c>
    </row>
    <row r="2824" spans="6:18" ht="24" customHeight="1">
      <c r="F2824" s="122">
        <v>1</v>
      </c>
      <c r="G2824" s="119" t="s">
        <v>835</v>
      </c>
      <c r="H2824" s="120" t="s">
        <v>3578</v>
      </c>
      <c r="I2824" s="448">
        <v>707</v>
      </c>
      <c r="J2824" s="118" t="s">
        <v>835</v>
      </c>
      <c r="K2824" s="122">
        <f t="shared" si="271"/>
        <v>707</v>
      </c>
      <c r="M2824" s="131">
        <f>R2818</f>
        <v>2.784E-2</v>
      </c>
      <c r="N2824" s="119" t="s">
        <v>836</v>
      </c>
      <c r="O2824" s="120" t="s">
        <v>288</v>
      </c>
      <c r="P2824" s="122">
        <f t="shared" ref="P2824:P2833" si="272">I2817</f>
        <v>99400</v>
      </c>
      <c r="Q2824" s="118" t="s">
        <v>836</v>
      </c>
      <c r="R2824" s="122">
        <f t="shared" ref="R2824:R2833" si="273">(M2824*P2824)</f>
        <v>2767.3</v>
      </c>
    </row>
    <row r="2825" spans="6:18" ht="24" customHeight="1">
      <c r="F2825" s="122">
        <v>1</v>
      </c>
      <c r="G2825" s="119" t="s">
        <v>835</v>
      </c>
      <c r="H2825" s="120" t="s">
        <v>1410</v>
      </c>
      <c r="I2825" s="448">
        <v>22.9</v>
      </c>
      <c r="J2825" s="118" t="s">
        <v>835</v>
      </c>
      <c r="K2825" s="122">
        <f t="shared" si="271"/>
        <v>22.9</v>
      </c>
      <c r="M2825" s="131">
        <f>R2820</f>
        <v>2.5499999999999998E-2</v>
      </c>
      <c r="N2825" s="119" t="s">
        <v>836</v>
      </c>
      <c r="O2825" s="120" t="s">
        <v>289</v>
      </c>
      <c r="P2825" s="122">
        <f t="shared" si="272"/>
        <v>95000</v>
      </c>
      <c r="Q2825" s="118" t="s">
        <v>836</v>
      </c>
      <c r="R2825" s="122">
        <f t="shared" si="273"/>
        <v>2422.5</v>
      </c>
    </row>
    <row r="2826" spans="6:18" ht="24" customHeight="1">
      <c r="F2826" s="122">
        <v>1</v>
      </c>
      <c r="G2826" s="119" t="s">
        <v>835</v>
      </c>
      <c r="H2826" s="120" t="s">
        <v>1913</v>
      </c>
      <c r="I2826" s="918">
        <v>45.9</v>
      </c>
      <c r="J2826" s="118" t="s">
        <v>835</v>
      </c>
      <c r="K2826" s="122">
        <f t="shared" si="271"/>
        <v>45.9</v>
      </c>
      <c r="M2826" s="133"/>
      <c r="N2826" s="112"/>
      <c r="O2826" s="120" t="s">
        <v>2131</v>
      </c>
      <c r="P2826" s="122"/>
      <c r="Q2826" s="114"/>
      <c r="R2826" s="122"/>
    </row>
    <row r="2827" spans="6:18" ht="24" customHeight="1">
      <c r="F2827" s="111">
        <v>64</v>
      </c>
      <c r="G2827" s="112"/>
      <c r="H2827" s="111" t="s">
        <v>3579</v>
      </c>
      <c r="I2827" s="460">
        <f>P1124</f>
        <v>2.39</v>
      </c>
      <c r="J2827" s="114"/>
      <c r="K2827" s="122">
        <f t="shared" si="271"/>
        <v>152.96</v>
      </c>
      <c r="M2827" s="133">
        <v>2.2275</v>
      </c>
      <c r="N2827" s="119" t="s">
        <v>578</v>
      </c>
      <c r="O2827" s="120" t="s">
        <v>417</v>
      </c>
      <c r="P2827" s="122">
        <f t="shared" si="272"/>
        <v>1325</v>
      </c>
      <c r="Q2827" s="118" t="s">
        <v>578</v>
      </c>
      <c r="R2827" s="122">
        <f t="shared" si="273"/>
        <v>2951.44</v>
      </c>
    </row>
    <row r="2828" spans="6:18" ht="24" customHeight="1">
      <c r="F2828" s="111"/>
      <c r="G2828" s="112"/>
      <c r="H2828" s="120" t="s">
        <v>952</v>
      </c>
      <c r="I2828" s="111"/>
      <c r="J2828" s="114"/>
      <c r="K2828" s="122">
        <f>SUM(K2816:K2827)</f>
        <v>11663.38</v>
      </c>
      <c r="M2828" s="122">
        <v>1</v>
      </c>
      <c r="N2828" s="119" t="s">
        <v>739</v>
      </c>
      <c r="O2828" s="120" t="s">
        <v>1406</v>
      </c>
      <c r="P2828" s="122">
        <f t="shared" si="272"/>
        <v>252</v>
      </c>
      <c r="Q2828" s="118" t="s">
        <v>835</v>
      </c>
      <c r="R2828" s="122">
        <f t="shared" si="273"/>
        <v>252</v>
      </c>
    </row>
    <row r="2829" spans="6:18" ht="24" customHeight="1">
      <c r="F2829" s="111"/>
      <c r="G2829" s="112"/>
      <c r="H2829" s="111"/>
      <c r="I2829" s="111"/>
      <c r="J2829" s="114"/>
      <c r="K2829" s="121" t="s">
        <v>1530</v>
      </c>
      <c r="M2829" s="122">
        <v>3</v>
      </c>
      <c r="N2829" s="119" t="s">
        <v>835</v>
      </c>
      <c r="O2829" s="120" t="s">
        <v>1407</v>
      </c>
      <c r="P2829" s="122">
        <f t="shared" si="272"/>
        <v>212</v>
      </c>
      <c r="Q2829" s="118" t="s">
        <v>835</v>
      </c>
      <c r="R2829" s="122">
        <f t="shared" si="273"/>
        <v>636</v>
      </c>
    </row>
    <row r="2830" spans="6:18" ht="24" customHeight="1">
      <c r="F2830" s="111"/>
      <c r="G2830" s="112"/>
      <c r="H2830" s="120" t="s">
        <v>521</v>
      </c>
      <c r="I2830" s="111"/>
      <c r="J2830" s="114"/>
      <c r="K2830" s="110">
        <f>K2828/F2820</f>
        <v>6399.66</v>
      </c>
      <c r="M2830" s="122">
        <v>2</v>
      </c>
      <c r="N2830" s="119" t="s">
        <v>835</v>
      </c>
      <c r="O2830" s="120" t="s">
        <v>1408</v>
      </c>
      <c r="P2830" s="122">
        <f t="shared" si="272"/>
        <v>404</v>
      </c>
      <c r="Q2830" s="118" t="s">
        <v>835</v>
      </c>
      <c r="R2830" s="122">
        <f t="shared" si="273"/>
        <v>808</v>
      </c>
    </row>
    <row r="2831" spans="6:18" ht="24" customHeight="1">
      <c r="F2831" s="111"/>
      <c r="G2831" s="112"/>
      <c r="H2831" s="111"/>
      <c r="I2831" s="111"/>
      <c r="J2831" s="114"/>
      <c r="K2831" s="111"/>
      <c r="M2831" s="122">
        <v>1</v>
      </c>
      <c r="N2831" s="119" t="s">
        <v>835</v>
      </c>
      <c r="O2831" s="120" t="s">
        <v>1409</v>
      </c>
      <c r="P2831" s="122">
        <f t="shared" si="272"/>
        <v>707</v>
      </c>
      <c r="Q2831" s="118" t="s">
        <v>835</v>
      </c>
      <c r="R2831" s="122">
        <f t="shared" si="273"/>
        <v>707</v>
      </c>
    </row>
    <row r="2832" spans="6:18" ht="24" customHeight="1">
      <c r="F2832" s="118" t="s">
        <v>533</v>
      </c>
      <c r="G2832" s="119" t="s">
        <v>2167</v>
      </c>
      <c r="H2832" s="120" t="s">
        <v>1711</v>
      </c>
      <c r="I2832" s="111"/>
      <c r="J2832" s="114"/>
      <c r="K2832" s="111"/>
      <c r="M2832" s="122">
        <v>1</v>
      </c>
      <c r="N2832" s="119" t="s">
        <v>835</v>
      </c>
      <c r="O2832" s="120" t="s">
        <v>1410</v>
      </c>
      <c r="P2832" s="122">
        <f t="shared" si="272"/>
        <v>22.9</v>
      </c>
      <c r="Q2832" s="118" t="s">
        <v>835</v>
      </c>
      <c r="R2832" s="122">
        <f t="shared" si="273"/>
        <v>22.9</v>
      </c>
    </row>
    <row r="2833" spans="6:18" ht="24" customHeight="1">
      <c r="F2833" s="111"/>
      <c r="G2833" s="112"/>
      <c r="H2833" s="120" t="s">
        <v>241</v>
      </c>
      <c r="I2833" s="111"/>
      <c r="J2833" s="114"/>
      <c r="K2833" s="111"/>
      <c r="M2833" s="122">
        <v>1</v>
      </c>
      <c r="N2833" s="119" t="s">
        <v>835</v>
      </c>
      <c r="O2833" s="120" t="s">
        <v>1913</v>
      </c>
      <c r="P2833" s="122">
        <f t="shared" si="272"/>
        <v>45.9</v>
      </c>
      <c r="Q2833" s="118" t="s">
        <v>835</v>
      </c>
      <c r="R2833" s="122">
        <f t="shared" si="273"/>
        <v>45.9</v>
      </c>
    </row>
    <row r="2834" spans="6:18" ht="24" customHeight="1">
      <c r="F2834" s="111"/>
      <c r="G2834" s="112"/>
      <c r="H2834" s="120" t="s">
        <v>1413</v>
      </c>
      <c r="I2834" s="111"/>
      <c r="J2834" s="114">
        <f>1.1*2.025</f>
        <v>2.23</v>
      </c>
      <c r="K2834" s="111"/>
      <c r="M2834" s="111">
        <v>58</v>
      </c>
      <c r="N2834" s="119" t="s">
        <v>835</v>
      </c>
      <c r="O2834" s="111" t="s">
        <v>1685</v>
      </c>
      <c r="P2834" s="111">
        <f>P1124</f>
        <v>2.39</v>
      </c>
      <c r="Q2834" s="114" t="s">
        <v>835</v>
      </c>
      <c r="R2834" s="122">
        <f>(M2834*P2834)</f>
        <v>138.62</v>
      </c>
    </row>
    <row r="2835" spans="6:18" ht="24" customHeight="1">
      <c r="F2835" s="111"/>
      <c r="G2835" s="112"/>
      <c r="H2835" s="121" t="s">
        <v>1530</v>
      </c>
      <c r="I2835" s="111"/>
      <c r="J2835" s="114"/>
      <c r="K2835" s="111"/>
      <c r="M2835" s="111"/>
      <c r="N2835" s="112"/>
      <c r="O2835" s="120" t="s">
        <v>3346</v>
      </c>
      <c r="P2835" s="111"/>
      <c r="Q2835" s="114"/>
      <c r="R2835" s="122">
        <f>SUM(R2823:R2834)</f>
        <v>12869.83</v>
      </c>
    </row>
    <row r="2836" spans="6:18" ht="28.5" customHeight="1">
      <c r="F2836" s="111"/>
      <c r="G2836" s="112"/>
      <c r="H2836" s="120" t="s">
        <v>87</v>
      </c>
      <c r="I2836" s="111"/>
      <c r="J2836" s="114"/>
      <c r="K2836" s="111"/>
      <c r="M2836" s="111"/>
      <c r="N2836" s="112"/>
      <c r="O2836" s="111"/>
      <c r="P2836" s="111"/>
      <c r="Q2836" s="114"/>
      <c r="R2836" s="121" t="s">
        <v>1530</v>
      </c>
    </row>
    <row r="2837" spans="6:18" ht="45.75">
      <c r="F2837" s="130">
        <v>1.823</v>
      </c>
      <c r="G2837" s="119" t="s">
        <v>578</v>
      </c>
      <c r="H2837" s="127" t="s">
        <v>710</v>
      </c>
      <c r="I2837" s="506">
        <v>2160</v>
      </c>
      <c r="J2837" s="118" t="s">
        <v>578</v>
      </c>
      <c r="K2837" s="111">
        <f>F2838*I2837</f>
        <v>3937.68</v>
      </c>
      <c r="M2837" s="111"/>
      <c r="N2837" s="112"/>
      <c r="O2837" s="120" t="s">
        <v>521</v>
      </c>
      <c r="P2837" s="111"/>
      <c r="Q2837" s="114"/>
      <c r="R2837" s="122">
        <f>R2835/M2827</f>
        <v>5777.7</v>
      </c>
    </row>
    <row r="2838" spans="6:18" ht="24" customHeight="1">
      <c r="F2838" s="134">
        <v>1.823</v>
      </c>
      <c r="G2838" s="119" t="s">
        <v>578</v>
      </c>
      <c r="H2838" s="505" t="s">
        <v>4850</v>
      </c>
      <c r="I2838" s="228">
        <f>AE55</f>
        <v>185</v>
      </c>
      <c r="J2838" s="118" t="s">
        <v>578</v>
      </c>
      <c r="K2838" s="122">
        <f t="shared" ref="K2838:K2844" si="274">(F2838*I2838)</f>
        <v>337.26</v>
      </c>
    </row>
    <row r="2839" spans="6:18" ht="24" customHeight="1">
      <c r="F2839" s="122">
        <v>2</v>
      </c>
      <c r="G2839" s="119" t="s">
        <v>739</v>
      </c>
      <c r="H2839" s="120" t="s">
        <v>1406</v>
      </c>
      <c r="I2839" s="122">
        <f t="shared" ref="I2839:I2844" si="275">I993</f>
        <v>53.4</v>
      </c>
      <c r="J2839" s="118" t="s">
        <v>835</v>
      </c>
      <c r="K2839" s="122">
        <f t="shared" si="274"/>
        <v>106.8</v>
      </c>
    </row>
    <row r="2840" spans="6:18" ht="24" customHeight="1">
      <c r="F2840" s="122">
        <v>3</v>
      </c>
      <c r="G2840" s="119" t="s">
        <v>835</v>
      </c>
      <c r="H2840" s="120" t="s">
        <v>1407</v>
      </c>
      <c r="I2840" s="122">
        <f t="shared" si="275"/>
        <v>83</v>
      </c>
      <c r="J2840" s="118" t="s">
        <v>835</v>
      </c>
      <c r="K2840" s="122">
        <f t="shared" si="274"/>
        <v>249</v>
      </c>
    </row>
    <row r="2841" spans="6:18" ht="24" customHeight="1">
      <c r="F2841" s="122">
        <v>2</v>
      </c>
      <c r="G2841" s="119" t="s">
        <v>835</v>
      </c>
      <c r="H2841" s="120" t="s">
        <v>1408</v>
      </c>
      <c r="I2841" s="122">
        <f t="shared" si="275"/>
        <v>60</v>
      </c>
      <c r="J2841" s="118" t="s">
        <v>835</v>
      </c>
      <c r="K2841" s="122">
        <f t="shared" si="274"/>
        <v>120</v>
      </c>
    </row>
    <row r="2842" spans="6:18" ht="24" customHeight="1">
      <c r="F2842" s="122">
        <v>1</v>
      </c>
      <c r="G2842" s="119" t="s">
        <v>835</v>
      </c>
      <c r="H2842" s="120" t="s">
        <v>1409</v>
      </c>
      <c r="I2842" s="122">
        <f t="shared" si="275"/>
        <v>167.6</v>
      </c>
      <c r="J2842" s="118" t="s">
        <v>835</v>
      </c>
      <c r="K2842" s="122">
        <f t="shared" si="274"/>
        <v>167.6</v>
      </c>
    </row>
    <row r="2843" spans="6:18" ht="24" customHeight="1">
      <c r="F2843" s="122">
        <v>1</v>
      </c>
      <c r="G2843" s="119" t="s">
        <v>835</v>
      </c>
      <c r="H2843" s="120" t="s">
        <v>1410</v>
      </c>
      <c r="I2843" s="122">
        <f t="shared" si="275"/>
        <v>7.3</v>
      </c>
      <c r="J2843" s="118" t="s">
        <v>835</v>
      </c>
      <c r="K2843" s="122">
        <f t="shared" si="274"/>
        <v>7.3</v>
      </c>
      <c r="M2843" s="118" t="s">
        <v>533</v>
      </c>
      <c r="N2843" s="119" t="s">
        <v>2167</v>
      </c>
      <c r="O2843" s="120" t="s">
        <v>240</v>
      </c>
      <c r="P2843" s="111"/>
      <c r="Q2843" s="114"/>
      <c r="R2843" s="111"/>
    </row>
    <row r="2844" spans="6:18" ht="24" customHeight="1">
      <c r="F2844" s="122">
        <v>1</v>
      </c>
      <c r="G2844" s="119" t="s">
        <v>835</v>
      </c>
      <c r="H2844" s="120" t="s">
        <v>1913</v>
      </c>
      <c r="I2844" s="122">
        <f t="shared" si="275"/>
        <v>45.9</v>
      </c>
      <c r="J2844" s="118" t="s">
        <v>835</v>
      </c>
      <c r="K2844" s="122">
        <f t="shared" si="274"/>
        <v>45.9</v>
      </c>
      <c r="M2844" s="111"/>
      <c r="N2844" s="112"/>
      <c r="O2844" s="120" t="s">
        <v>241</v>
      </c>
      <c r="P2844" s="117" t="s">
        <v>3348</v>
      </c>
      <c r="Q2844" s="114"/>
      <c r="R2844" s="111"/>
    </row>
    <row r="2845" spans="6:18" ht="24" customHeight="1">
      <c r="F2845" s="111"/>
      <c r="G2845" s="112"/>
      <c r="H2845" s="111"/>
      <c r="I2845" s="111"/>
      <c r="J2845" s="114"/>
      <c r="K2845" s="125">
        <v>0.85</v>
      </c>
      <c r="M2845" s="111"/>
      <c r="N2845" s="112"/>
      <c r="O2845" s="120" t="s">
        <v>675</v>
      </c>
      <c r="P2845" s="117" t="s">
        <v>3347</v>
      </c>
      <c r="Q2845" s="114"/>
      <c r="R2845" s="111"/>
    </row>
    <row r="2846" spans="6:18" ht="24" customHeight="1">
      <c r="F2846" s="111"/>
      <c r="G2846" s="112"/>
      <c r="H2846" s="120" t="s">
        <v>1175</v>
      </c>
      <c r="I2846" s="111"/>
      <c r="J2846" s="114"/>
      <c r="K2846" s="122">
        <f>SUM(K2837:K2845)</f>
        <v>4972.3900000000003</v>
      </c>
      <c r="M2846" s="111"/>
      <c r="N2846" s="112"/>
      <c r="O2846" s="121" t="s">
        <v>1530</v>
      </c>
      <c r="Q2846" s="114"/>
      <c r="R2846" s="111"/>
    </row>
    <row r="2847" spans="6:18" ht="24" customHeight="1">
      <c r="F2847" s="111"/>
      <c r="G2847" s="112"/>
      <c r="H2847" s="111"/>
      <c r="I2847" s="111"/>
      <c r="J2847" s="114"/>
      <c r="K2847" s="121" t="s">
        <v>1530</v>
      </c>
      <c r="M2847" s="111"/>
      <c r="N2847" s="112"/>
      <c r="O2847" s="120" t="s">
        <v>3343</v>
      </c>
      <c r="P2847" s="111"/>
      <c r="Q2847" s="114"/>
      <c r="R2847" s="111"/>
    </row>
    <row r="2848" spans="6:18" ht="24" customHeight="1">
      <c r="F2848" s="111"/>
      <c r="G2848" s="112"/>
      <c r="H2848" s="120" t="s">
        <v>521</v>
      </c>
      <c r="I2848" s="111"/>
      <c r="J2848" s="114"/>
      <c r="K2848" s="122">
        <f>K2846/F2838</f>
        <v>2727.59</v>
      </c>
      <c r="M2848" s="111"/>
      <c r="N2848" s="112"/>
      <c r="O2848" s="120" t="s">
        <v>3116</v>
      </c>
      <c r="P2848" s="111"/>
      <c r="Q2848" s="114"/>
      <c r="R2848" s="111"/>
    </row>
    <row r="2849" spans="6:18" ht="24" customHeight="1">
      <c r="F2849" s="120" t="s">
        <v>940</v>
      </c>
      <c r="G2849" s="112"/>
      <c r="H2849" s="111"/>
      <c r="I2849" s="111"/>
      <c r="J2849" s="114"/>
      <c r="K2849" s="111"/>
      <c r="M2849" s="111"/>
      <c r="N2849" s="112"/>
      <c r="O2849" s="111"/>
      <c r="P2849" s="111"/>
      <c r="Q2849" s="118" t="s">
        <v>1530</v>
      </c>
      <c r="R2849" s="111"/>
    </row>
    <row r="2850" spans="6:18" ht="24" customHeight="1">
      <c r="F2850" s="111"/>
      <c r="G2850" s="112"/>
      <c r="H2850" s="111"/>
      <c r="I2850" s="111"/>
      <c r="J2850" s="114"/>
      <c r="K2850" s="111"/>
      <c r="M2850" s="111"/>
      <c r="N2850" s="112"/>
      <c r="O2850" s="120" t="s">
        <v>2302</v>
      </c>
      <c r="P2850" s="111"/>
      <c r="Q2850" s="114"/>
      <c r="R2850" s="111"/>
    </row>
    <row r="2851" spans="6:18" ht="24" customHeight="1">
      <c r="F2851" s="126" t="s">
        <v>847</v>
      </c>
      <c r="G2851" s="112"/>
      <c r="H2851" s="120" t="s">
        <v>534</v>
      </c>
      <c r="I2851" s="111"/>
      <c r="J2851" s="135"/>
      <c r="K2851" s="111"/>
      <c r="M2851" s="111"/>
      <c r="N2851" s="112"/>
      <c r="O2851" s="120" t="s">
        <v>2303</v>
      </c>
      <c r="P2851" s="111"/>
      <c r="Q2851" s="114"/>
      <c r="R2851" s="131">
        <v>2.8910000000000002E-2</v>
      </c>
    </row>
    <row r="2852" spans="6:18" ht="24" customHeight="1">
      <c r="F2852" s="111"/>
      <c r="G2852" s="112"/>
      <c r="H2852" s="121" t="s">
        <v>1530</v>
      </c>
      <c r="I2852" s="121" t="s">
        <v>1530</v>
      </c>
      <c r="J2852" s="120" t="s">
        <v>1530</v>
      </c>
      <c r="K2852" s="111"/>
      <c r="M2852" s="111"/>
      <c r="N2852" s="112"/>
      <c r="O2852" s="111"/>
      <c r="P2852" s="111"/>
      <c r="Q2852" s="118" t="s">
        <v>940</v>
      </c>
      <c r="R2852" s="121" t="s">
        <v>1530</v>
      </c>
    </row>
    <row r="2853" spans="6:18" ht="24" customHeight="1">
      <c r="F2853" s="111"/>
      <c r="G2853" s="112"/>
      <c r="H2853" s="111"/>
      <c r="I2853" s="111"/>
      <c r="J2853" s="135"/>
      <c r="K2853" s="111"/>
      <c r="M2853" s="111"/>
      <c r="N2853" s="112"/>
      <c r="O2853" s="120" t="s">
        <v>2304</v>
      </c>
      <c r="P2853" s="111"/>
      <c r="Q2853" s="132" t="s">
        <v>940</v>
      </c>
      <c r="R2853" s="131"/>
    </row>
    <row r="2854" spans="6:18" ht="24" customHeight="1">
      <c r="F2854" s="111"/>
      <c r="G2854" s="112"/>
      <c r="H2854" s="120" t="s">
        <v>1929</v>
      </c>
      <c r="I2854" s="111"/>
      <c r="J2854" s="135"/>
      <c r="K2854" s="111"/>
      <c r="M2854" s="111"/>
      <c r="N2854" s="112"/>
      <c r="O2854" s="120" t="s">
        <v>3344</v>
      </c>
      <c r="P2854" s="111"/>
      <c r="Q2854" s="118" t="s">
        <v>940</v>
      </c>
      <c r="R2854" s="131">
        <v>1.7999999999999999E-2</v>
      </c>
    </row>
    <row r="2855" spans="6:18" ht="24" customHeight="1">
      <c r="F2855" s="111"/>
      <c r="G2855" s="112"/>
      <c r="H2855" s="120"/>
      <c r="I2855" s="111"/>
      <c r="J2855" s="135"/>
      <c r="K2855" s="111"/>
      <c r="M2855" s="111"/>
      <c r="N2855" s="112"/>
      <c r="O2855" s="111"/>
      <c r="P2855" s="111"/>
      <c r="Q2855" s="114"/>
      <c r="R2855" s="121" t="s">
        <v>1530</v>
      </c>
    </row>
    <row r="2856" spans="6:18" ht="24" customHeight="1">
      <c r="F2856" s="111"/>
      <c r="G2856" s="112"/>
      <c r="H2856" s="136" t="s">
        <v>1930</v>
      </c>
      <c r="I2856" s="111"/>
      <c r="J2856" s="135"/>
      <c r="K2856" s="137"/>
      <c r="M2856" s="131">
        <v>1.9220000000000001E-2</v>
      </c>
      <c r="N2856" s="119" t="s">
        <v>836</v>
      </c>
      <c r="O2856" s="120" t="s">
        <v>287</v>
      </c>
      <c r="P2856" s="122">
        <f>P2823</f>
        <v>111600</v>
      </c>
      <c r="Q2856" s="118" t="s">
        <v>836</v>
      </c>
      <c r="R2856" s="122">
        <f>(M2856*P2856)</f>
        <v>2144.9499999999998</v>
      </c>
    </row>
    <row r="2857" spans="6:18" ht="24" customHeight="1">
      <c r="F2857" s="111"/>
      <c r="G2857" s="112"/>
      <c r="H2857" s="120" t="s">
        <v>424</v>
      </c>
      <c r="I2857" s="138">
        <f>0.0118+0.00675</f>
        <v>1.8550000000000001E-2</v>
      </c>
      <c r="J2857" s="135"/>
      <c r="K2857" s="111"/>
      <c r="M2857" s="131">
        <f>R2851</f>
        <v>2.8910000000000002E-2</v>
      </c>
      <c r="N2857" s="119" t="s">
        <v>836</v>
      </c>
      <c r="O2857" s="120" t="s">
        <v>288</v>
      </c>
      <c r="P2857" s="122">
        <f t="shared" ref="P2857:P2866" si="276">P2824</f>
        <v>99400</v>
      </c>
      <c r="Q2857" s="118" t="s">
        <v>836</v>
      </c>
      <c r="R2857" s="122">
        <f>(M2857*P2857)</f>
        <v>2873.65</v>
      </c>
    </row>
    <row r="2858" spans="6:18" ht="24" customHeight="1">
      <c r="F2858" s="111"/>
      <c r="G2858" s="112"/>
      <c r="H2858" s="120" t="s">
        <v>425</v>
      </c>
      <c r="I2858" s="111"/>
      <c r="J2858" s="135"/>
      <c r="K2858" s="111"/>
      <c r="M2858" s="131">
        <f>R2854</f>
        <v>1.7999999999999999E-2</v>
      </c>
      <c r="N2858" s="119" t="s">
        <v>836</v>
      </c>
      <c r="O2858" s="120" t="s">
        <v>289</v>
      </c>
      <c r="P2858" s="122">
        <f t="shared" si="276"/>
        <v>95000</v>
      </c>
      <c r="Q2858" s="118" t="s">
        <v>836</v>
      </c>
      <c r="R2858" s="122">
        <f>(M2858*P2858)</f>
        <v>1710</v>
      </c>
    </row>
    <row r="2859" spans="6:18" ht="24" customHeight="1">
      <c r="F2859" s="111"/>
      <c r="G2859" s="112"/>
      <c r="H2859" s="120" t="s">
        <v>426</v>
      </c>
      <c r="I2859" s="111"/>
      <c r="J2859" s="135"/>
      <c r="K2859" s="111"/>
      <c r="M2859" s="133"/>
      <c r="N2859" s="112"/>
      <c r="O2859" s="120" t="s">
        <v>2131</v>
      </c>
      <c r="P2859" s="122"/>
      <c r="Q2859" s="114"/>
      <c r="R2859" s="122"/>
    </row>
    <row r="2860" spans="6:18" ht="24" customHeight="1">
      <c r="F2860" s="111"/>
      <c r="G2860" s="112"/>
      <c r="H2860" s="120" t="s">
        <v>848</v>
      </c>
      <c r="I2860" s="111"/>
      <c r="J2860" s="120" t="s">
        <v>940</v>
      </c>
      <c r="K2860" s="131">
        <v>3.7699999999999997E-2</v>
      </c>
      <c r="M2860" s="133">
        <v>2.2549999999999999</v>
      </c>
      <c r="N2860" s="119" t="s">
        <v>578</v>
      </c>
      <c r="O2860" s="120" t="s">
        <v>417</v>
      </c>
      <c r="P2860" s="122">
        <f t="shared" si="276"/>
        <v>1325</v>
      </c>
      <c r="Q2860" s="118" t="s">
        <v>578</v>
      </c>
      <c r="R2860" s="122">
        <f t="shared" ref="R2860:R2866" si="277">(M2860*P2860)</f>
        <v>2987.88</v>
      </c>
    </row>
    <row r="2861" spans="6:18" ht="24" customHeight="1">
      <c r="F2861" s="111"/>
      <c r="G2861" s="112"/>
      <c r="H2861" s="120" t="s">
        <v>163</v>
      </c>
      <c r="I2861" s="111"/>
      <c r="J2861" s="136" t="s">
        <v>940</v>
      </c>
      <c r="K2861" s="136" t="s">
        <v>940</v>
      </c>
      <c r="M2861" s="122">
        <v>1</v>
      </c>
      <c r="N2861" s="119" t="s">
        <v>739</v>
      </c>
      <c r="O2861" s="120" t="s">
        <v>1406</v>
      </c>
      <c r="P2861" s="122">
        <f t="shared" si="276"/>
        <v>252</v>
      </c>
      <c r="Q2861" s="118" t="s">
        <v>835</v>
      </c>
      <c r="R2861" s="122">
        <f t="shared" si="277"/>
        <v>252</v>
      </c>
    </row>
    <row r="2862" spans="6:18" ht="67.5" customHeight="1">
      <c r="F2862" s="111"/>
      <c r="G2862" s="112"/>
      <c r="H2862" s="120" t="s">
        <v>1765</v>
      </c>
      <c r="I2862" s="111"/>
      <c r="J2862" s="135"/>
      <c r="K2862" s="136" t="s">
        <v>940</v>
      </c>
      <c r="M2862" s="122">
        <v>3</v>
      </c>
      <c r="N2862" s="119" t="s">
        <v>835</v>
      </c>
      <c r="O2862" s="120" t="s">
        <v>1407</v>
      </c>
      <c r="P2862" s="122">
        <f t="shared" si="276"/>
        <v>212</v>
      </c>
      <c r="Q2862" s="118" t="s">
        <v>835</v>
      </c>
      <c r="R2862" s="122">
        <f t="shared" si="277"/>
        <v>636</v>
      </c>
    </row>
    <row r="2863" spans="6:18" ht="24" customHeight="1">
      <c r="F2863" s="111"/>
      <c r="G2863" s="112"/>
      <c r="H2863" s="120"/>
      <c r="I2863" s="111"/>
      <c r="J2863" s="135"/>
      <c r="K2863" s="136"/>
      <c r="M2863" s="122">
        <v>2</v>
      </c>
      <c r="N2863" s="119" t="s">
        <v>835</v>
      </c>
      <c r="O2863" s="120" t="s">
        <v>1408</v>
      </c>
      <c r="P2863" s="122">
        <f t="shared" si="276"/>
        <v>404</v>
      </c>
      <c r="Q2863" s="118" t="s">
        <v>835</v>
      </c>
      <c r="R2863" s="122">
        <f t="shared" si="277"/>
        <v>808</v>
      </c>
    </row>
    <row r="2864" spans="6:18" ht="24" customHeight="1">
      <c r="F2864" s="111"/>
      <c r="G2864" s="112"/>
      <c r="H2864" s="120"/>
      <c r="I2864" s="111"/>
      <c r="J2864" s="135"/>
      <c r="K2864" s="136"/>
      <c r="M2864" s="122">
        <v>1</v>
      </c>
      <c r="N2864" s="119" t="s">
        <v>835</v>
      </c>
      <c r="O2864" s="120" t="s">
        <v>1409</v>
      </c>
      <c r="P2864" s="122">
        <f t="shared" si="276"/>
        <v>707</v>
      </c>
      <c r="Q2864" s="118" t="s">
        <v>835</v>
      </c>
      <c r="R2864" s="122">
        <f t="shared" si="277"/>
        <v>707</v>
      </c>
    </row>
    <row r="2865" spans="6:18" ht="24" customHeight="1">
      <c r="F2865" s="111"/>
      <c r="G2865" s="112"/>
      <c r="H2865" s="111"/>
      <c r="I2865" s="111"/>
      <c r="J2865" s="135"/>
      <c r="K2865" s="111"/>
      <c r="M2865" s="122">
        <v>1</v>
      </c>
      <c r="N2865" s="119" t="s">
        <v>835</v>
      </c>
      <c r="O2865" s="120" t="s">
        <v>1410</v>
      </c>
      <c r="P2865" s="122">
        <f t="shared" si="276"/>
        <v>22.9</v>
      </c>
      <c r="Q2865" s="118" t="s">
        <v>835</v>
      </c>
      <c r="R2865" s="122">
        <f t="shared" si="277"/>
        <v>22.9</v>
      </c>
    </row>
    <row r="2866" spans="6:18" ht="24" customHeight="1">
      <c r="F2866" s="139">
        <v>1.18E-2</v>
      </c>
      <c r="G2866" s="119" t="s">
        <v>836</v>
      </c>
      <c r="H2866" s="120" t="s">
        <v>660</v>
      </c>
      <c r="I2866" s="122">
        <f>I2816</f>
        <v>111600</v>
      </c>
      <c r="J2866" s="120" t="s">
        <v>836</v>
      </c>
      <c r="K2866" s="122">
        <f t="shared" ref="K2866:K2875" si="278">(F2866*I2866)</f>
        <v>1316.88</v>
      </c>
      <c r="M2866" s="122">
        <v>1</v>
      </c>
      <c r="N2866" s="119" t="s">
        <v>835</v>
      </c>
      <c r="O2866" s="120" t="s">
        <v>1913</v>
      </c>
      <c r="P2866" s="122">
        <f t="shared" si="276"/>
        <v>45.9</v>
      </c>
      <c r="Q2866" s="118" t="s">
        <v>835</v>
      </c>
      <c r="R2866" s="122">
        <f t="shared" si="277"/>
        <v>45.9</v>
      </c>
    </row>
    <row r="2867" spans="6:18" ht="24" customHeight="1">
      <c r="F2867" s="131">
        <v>6.7499999999999999E-3</v>
      </c>
      <c r="G2867" s="119" t="s">
        <v>836</v>
      </c>
      <c r="H2867" s="120" t="s">
        <v>661</v>
      </c>
      <c r="I2867" s="122">
        <f>I2817</f>
        <v>99400</v>
      </c>
      <c r="J2867" s="120" t="s">
        <v>836</v>
      </c>
      <c r="K2867" s="122">
        <f t="shared" si="278"/>
        <v>670.95</v>
      </c>
      <c r="M2867" s="111">
        <v>58</v>
      </c>
      <c r="N2867" s="119" t="s">
        <v>835</v>
      </c>
      <c r="O2867" s="111" t="s">
        <v>1685</v>
      </c>
      <c r="P2867" s="111">
        <f>P2834</f>
        <v>2.39</v>
      </c>
      <c r="Q2867" s="114" t="s">
        <v>835</v>
      </c>
      <c r="R2867" s="122">
        <f>(M2867*P2867)</f>
        <v>138.62</v>
      </c>
    </row>
    <row r="2868" spans="6:18" ht="24" customHeight="1">
      <c r="F2868" s="131">
        <v>1.8550000000000001E-2</v>
      </c>
      <c r="G2868" s="119" t="s">
        <v>836</v>
      </c>
      <c r="H2868" s="120" t="s">
        <v>853</v>
      </c>
      <c r="I2868" s="122">
        <f>C30</f>
        <v>11800</v>
      </c>
      <c r="J2868" s="120" t="s">
        <v>836</v>
      </c>
      <c r="K2868" s="122">
        <f t="shared" si="278"/>
        <v>218.89</v>
      </c>
      <c r="M2868" s="111"/>
      <c r="N2868" s="112"/>
      <c r="O2868" s="120" t="s">
        <v>3345</v>
      </c>
      <c r="P2868" s="111"/>
      <c r="Q2868" s="114"/>
      <c r="R2868" s="122">
        <f>SUM(R2856:R2867)+21.502</f>
        <v>12348.4</v>
      </c>
    </row>
    <row r="2869" spans="6:18" ht="24" customHeight="1">
      <c r="F2869" s="131">
        <v>2.0499999999999998</v>
      </c>
      <c r="G2869" s="119" t="s">
        <v>578</v>
      </c>
      <c r="H2869" s="120" t="s">
        <v>1573</v>
      </c>
      <c r="I2869" s="122">
        <v>840</v>
      </c>
      <c r="J2869" s="120" t="s">
        <v>578</v>
      </c>
      <c r="K2869" s="122">
        <f t="shared" si="278"/>
        <v>1722</v>
      </c>
      <c r="M2869" s="111"/>
      <c r="N2869" s="112"/>
      <c r="O2869" s="111"/>
      <c r="P2869" s="111"/>
      <c r="Q2869" s="114"/>
      <c r="R2869" s="121" t="s">
        <v>1530</v>
      </c>
    </row>
    <row r="2870" spans="6:18" ht="36" customHeight="1">
      <c r="F2870" s="131">
        <v>2.0499999999999998</v>
      </c>
      <c r="G2870" s="119" t="s">
        <v>578</v>
      </c>
      <c r="H2870" s="822" t="s">
        <v>4852</v>
      </c>
      <c r="I2870" s="228">
        <f>AE56</f>
        <v>285</v>
      </c>
      <c r="J2870" s="120" t="s">
        <v>578</v>
      </c>
      <c r="K2870" s="122">
        <f t="shared" si="278"/>
        <v>584.25</v>
      </c>
      <c r="M2870" s="111"/>
      <c r="N2870" s="112"/>
      <c r="O2870" s="120" t="s">
        <v>521</v>
      </c>
      <c r="P2870" s="111"/>
      <c r="Q2870" s="114"/>
      <c r="R2870" s="122">
        <f>R2868/M2860</f>
        <v>5476.01</v>
      </c>
    </row>
    <row r="2871" spans="6:18" ht="24" customHeight="1">
      <c r="F2871" s="122">
        <v>2</v>
      </c>
      <c r="G2871" s="119" t="s">
        <v>835</v>
      </c>
      <c r="H2871" s="120" t="s">
        <v>1332</v>
      </c>
      <c r="I2871" s="122">
        <f>E288</f>
        <v>52.8</v>
      </c>
      <c r="J2871" s="120" t="s">
        <v>835</v>
      </c>
      <c r="K2871" s="122">
        <f t="shared" si="278"/>
        <v>105.6</v>
      </c>
    </row>
    <row r="2872" spans="6:18" ht="24" customHeight="1">
      <c r="F2872" s="122">
        <v>8</v>
      </c>
      <c r="G2872" s="119" t="s">
        <v>835</v>
      </c>
      <c r="H2872" s="120" t="s">
        <v>1291</v>
      </c>
      <c r="I2872" s="122">
        <f>C285</f>
        <v>45.7</v>
      </c>
      <c r="J2872" s="120" t="s">
        <v>835</v>
      </c>
      <c r="K2872" s="122">
        <f t="shared" si="278"/>
        <v>365.6</v>
      </c>
    </row>
    <row r="2873" spans="6:18" ht="24" customHeight="1">
      <c r="F2873" s="122">
        <v>2</v>
      </c>
      <c r="G2873" s="119" t="s">
        <v>835</v>
      </c>
      <c r="H2873" s="120" t="s">
        <v>1333</v>
      </c>
      <c r="I2873" s="122">
        <f>I1137</f>
        <v>56.4</v>
      </c>
      <c r="J2873" s="120" t="s">
        <v>835</v>
      </c>
      <c r="K2873" s="122">
        <f t="shared" si="278"/>
        <v>112.8</v>
      </c>
    </row>
    <row r="2874" spans="6:18" ht="24" customHeight="1">
      <c r="F2874" s="122">
        <v>1</v>
      </c>
      <c r="G2874" s="119" t="s">
        <v>835</v>
      </c>
      <c r="H2874" s="120" t="s">
        <v>4178</v>
      </c>
      <c r="I2874" s="744">
        <f>I1138</f>
        <v>63.2</v>
      </c>
      <c r="J2874" s="120" t="s">
        <v>835</v>
      </c>
      <c r="K2874" s="122">
        <f t="shared" si="278"/>
        <v>63.2</v>
      </c>
    </row>
    <row r="2875" spans="6:18" ht="24" customHeight="1">
      <c r="F2875" s="134">
        <v>0.94499999999999995</v>
      </c>
      <c r="G2875" s="119" t="s">
        <v>578</v>
      </c>
      <c r="H2875" s="120" t="s">
        <v>1655</v>
      </c>
      <c r="I2875" s="122">
        <f>K1170</f>
        <v>172.13</v>
      </c>
      <c r="J2875" s="120" t="s">
        <v>578</v>
      </c>
      <c r="K2875" s="122">
        <f t="shared" si="278"/>
        <v>162.66</v>
      </c>
    </row>
    <row r="2876" spans="6:18" ht="24" customHeight="1">
      <c r="F2876" s="111"/>
      <c r="G2876" s="112"/>
      <c r="H2876" s="120" t="s">
        <v>1357</v>
      </c>
      <c r="I2876" s="118" t="s">
        <v>419</v>
      </c>
      <c r="J2876" s="135"/>
      <c r="K2876" s="122">
        <v>0.6</v>
      </c>
    </row>
    <row r="2877" spans="6:18" ht="24" customHeight="1">
      <c r="F2877" s="111"/>
      <c r="G2877" s="112"/>
      <c r="H2877" s="117"/>
      <c r="I2877" s="117"/>
      <c r="J2877" s="140"/>
      <c r="K2877" s="108" t="s">
        <v>1530</v>
      </c>
    </row>
    <row r="2878" spans="6:18" ht="24" customHeight="1">
      <c r="F2878" s="111"/>
      <c r="G2878" s="112"/>
      <c r="H2878" s="141" t="s">
        <v>1358</v>
      </c>
      <c r="I2878" s="117"/>
      <c r="J2878" s="140"/>
      <c r="K2878" s="110">
        <f>SUM(K2866:K2876)</f>
        <v>5323.43</v>
      </c>
    </row>
    <row r="2879" spans="6:18" ht="24" customHeight="1">
      <c r="F2879" s="111"/>
      <c r="G2879" s="119" t="s">
        <v>940</v>
      </c>
      <c r="H2879" s="117"/>
      <c r="I2879" s="117"/>
      <c r="J2879" s="140"/>
      <c r="K2879" s="108" t="s">
        <v>1530</v>
      </c>
    </row>
    <row r="2880" spans="6:18" ht="24" customHeight="1">
      <c r="F2880" s="111"/>
      <c r="G2880" s="112"/>
      <c r="H2880" s="141" t="s">
        <v>521</v>
      </c>
      <c r="I2880" s="117"/>
      <c r="J2880" s="140"/>
      <c r="K2880" s="110">
        <f>K2878/2.52</f>
        <v>2112.4699999999998</v>
      </c>
    </row>
    <row r="2881" spans="6:11" ht="24" customHeight="1">
      <c r="F2881" s="111"/>
      <c r="G2881" s="112"/>
      <c r="H2881" s="117"/>
      <c r="I2881" s="117"/>
      <c r="J2881" s="140"/>
      <c r="K2881" s="108" t="s">
        <v>1980</v>
      </c>
    </row>
    <row r="2882" spans="6:11" ht="24" customHeight="1">
      <c r="F2882" s="111"/>
      <c r="G2882" s="112"/>
      <c r="H2882" s="111"/>
      <c r="I2882" s="111"/>
      <c r="J2882" s="114"/>
      <c r="K2882" s="111"/>
    </row>
    <row r="2883" spans="6:11" ht="24" customHeight="1">
      <c r="F2883" s="111"/>
      <c r="G2883" s="112"/>
      <c r="H2883" s="111" t="s">
        <v>1574</v>
      </c>
      <c r="I2883" s="111"/>
      <c r="J2883" s="114"/>
      <c r="K2883" s="111"/>
    </row>
    <row r="2884" spans="6:11" ht="24" customHeight="1">
      <c r="F2884" s="111"/>
      <c r="G2884" s="112"/>
      <c r="H2884" s="111" t="s">
        <v>1277</v>
      </c>
      <c r="I2884" s="111"/>
      <c r="J2884" s="114"/>
      <c r="K2884" s="111"/>
    </row>
    <row r="2885" spans="6:11" ht="24" customHeight="1">
      <c r="F2885" s="111"/>
      <c r="G2885" s="112"/>
      <c r="H2885" s="111"/>
      <c r="I2885" s="111"/>
      <c r="J2885" s="114"/>
      <c r="K2885" s="111"/>
    </row>
    <row r="2886" spans="6:11" ht="24" customHeight="1">
      <c r="F2886" s="111">
        <v>2</v>
      </c>
      <c r="G2886" s="112" t="s">
        <v>794</v>
      </c>
      <c r="H2886" s="111" t="s">
        <v>4853</v>
      </c>
      <c r="I2886" s="889">
        <v>96.6</v>
      </c>
      <c r="J2886" s="114" t="s">
        <v>794</v>
      </c>
      <c r="K2886" s="111">
        <f>F2886*I2886</f>
        <v>193.2</v>
      </c>
    </row>
    <row r="2887" spans="6:11" ht="24" customHeight="1">
      <c r="F2887" s="111">
        <v>1</v>
      </c>
      <c r="G2887" s="112" t="s">
        <v>529</v>
      </c>
      <c r="H2887" s="111" t="s">
        <v>1278</v>
      </c>
      <c r="I2887" s="889">
        <f>C628</f>
        <v>34.299999999999997</v>
      </c>
      <c r="J2887" s="114" t="s">
        <v>1341</v>
      </c>
      <c r="K2887" s="111">
        <f>F2887*I2887</f>
        <v>34.299999999999997</v>
      </c>
    </row>
    <row r="2888" spans="6:11" ht="24" customHeight="1">
      <c r="F2888" s="111"/>
      <c r="G2888" s="112"/>
      <c r="H2888" s="111" t="s">
        <v>1294</v>
      </c>
      <c r="I2888" s="111"/>
      <c r="J2888" s="114" t="s">
        <v>419</v>
      </c>
      <c r="K2888" s="111">
        <v>1.4</v>
      </c>
    </row>
    <row r="2889" spans="6:11" ht="24" customHeight="1">
      <c r="F2889" s="111"/>
      <c r="G2889" s="112"/>
      <c r="H2889" s="115" t="s">
        <v>1295</v>
      </c>
      <c r="I2889" s="111"/>
      <c r="J2889" s="114"/>
      <c r="K2889" s="111">
        <f>SUM(K2886:K2888)</f>
        <v>228.9</v>
      </c>
    </row>
    <row r="2890" spans="6:11" ht="24" customHeight="1">
      <c r="F2890" s="111"/>
      <c r="G2890" s="112"/>
      <c r="H2890" s="111"/>
      <c r="I2890" s="111"/>
      <c r="J2890" s="114"/>
      <c r="K2890" s="111"/>
    </row>
    <row r="2891" spans="6:11" ht="24" customHeight="1">
      <c r="F2891" s="111"/>
      <c r="G2891" s="112"/>
      <c r="H2891" s="116" t="s">
        <v>1651</v>
      </c>
      <c r="I2891" s="117"/>
      <c r="J2891" s="123"/>
      <c r="K2891" s="117">
        <f>K2889/2</f>
        <v>114.45</v>
      </c>
    </row>
    <row r="2892" spans="6:11" ht="24" customHeight="1">
      <c r="F2892" s="111"/>
      <c r="G2892" s="112"/>
      <c r="H2892" s="111"/>
      <c r="I2892" s="111"/>
      <c r="J2892" s="114"/>
      <c r="K2892" s="111"/>
    </row>
    <row r="2893" spans="6:11" ht="24" customHeight="1">
      <c r="F2893" s="111"/>
      <c r="G2893" s="112"/>
      <c r="H2893" s="111"/>
      <c r="I2893" s="111"/>
      <c r="J2893" s="114"/>
      <c r="K2893" s="111"/>
    </row>
    <row r="2894" spans="6:11" ht="24" customHeight="1">
      <c r="F2894" s="111"/>
      <c r="G2894" s="112"/>
      <c r="H2894" s="111"/>
      <c r="I2894" s="111"/>
      <c r="J2894" s="114"/>
      <c r="K2894" s="111"/>
    </row>
    <row r="2895" spans="6:11" ht="24" customHeight="1">
      <c r="F2895" s="111"/>
      <c r="G2895" s="112"/>
      <c r="H2895" s="111"/>
      <c r="I2895" s="111"/>
      <c r="J2895" s="114"/>
      <c r="K2895" s="111"/>
    </row>
    <row r="2896" spans="6:11" ht="24" customHeight="1">
      <c r="F2896" s="111"/>
      <c r="G2896" s="112"/>
      <c r="H2896" s="142" t="s">
        <v>1115</v>
      </c>
      <c r="I2896" s="111"/>
      <c r="J2896" s="114"/>
      <c r="K2896" s="111"/>
    </row>
    <row r="2897" spans="6:11" ht="24" customHeight="1">
      <c r="F2897" s="118"/>
      <c r="G2897" s="119" t="s">
        <v>2167</v>
      </c>
      <c r="H2897" s="120" t="s">
        <v>1612</v>
      </c>
      <c r="I2897" s="111"/>
      <c r="J2897" s="114"/>
      <c r="K2897" s="111"/>
    </row>
    <row r="2898" spans="6:11" ht="24" customHeight="1">
      <c r="F2898" s="111"/>
      <c r="G2898" s="112"/>
      <c r="H2898" s="120" t="s">
        <v>2185</v>
      </c>
      <c r="I2898" s="111"/>
      <c r="J2898" s="114"/>
      <c r="K2898" s="111"/>
    </row>
    <row r="2899" spans="6:11" ht="24" customHeight="1">
      <c r="F2899" s="111"/>
      <c r="G2899" s="112"/>
      <c r="H2899" s="121" t="s">
        <v>1530</v>
      </c>
      <c r="I2899" s="111"/>
      <c r="J2899" s="114"/>
      <c r="K2899" s="111"/>
    </row>
    <row r="2900" spans="6:11" ht="24" customHeight="1">
      <c r="F2900" s="122">
        <v>9</v>
      </c>
      <c r="G2900" s="119" t="s">
        <v>836</v>
      </c>
      <c r="H2900" s="120" t="s">
        <v>1616</v>
      </c>
      <c r="I2900" s="122">
        <f t="shared" ref="I2900:I2905" si="279">I506</f>
        <v>893.71</v>
      </c>
      <c r="J2900" s="118" t="s">
        <v>836</v>
      </c>
      <c r="K2900" s="122">
        <f t="shared" ref="K2900:K2905" si="280">(F2900*I2900)</f>
        <v>8043.39</v>
      </c>
    </row>
    <row r="2901" spans="6:11" ht="24" customHeight="1">
      <c r="F2901" s="134">
        <v>3.2309999999999999</v>
      </c>
      <c r="G2901" s="119" t="s">
        <v>828</v>
      </c>
      <c r="H2901" s="120" t="s">
        <v>829</v>
      </c>
      <c r="I2901" s="122">
        <f t="shared" si="279"/>
        <v>5960</v>
      </c>
      <c r="J2901" s="118" t="s">
        <v>828</v>
      </c>
      <c r="K2901" s="122">
        <f t="shared" si="280"/>
        <v>19256.759999999998</v>
      </c>
    </row>
    <row r="2902" spans="6:11" ht="24" customHeight="1">
      <c r="F2902" s="122">
        <v>4.5</v>
      </c>
      <c r="G2902" s="119" t="s">
        <v>836</v>
      </c>
      <c r="H2902" s="120" t="s">
        <v>837</v>
      </c>
      <c r="I2902" s="122">
        <f t="shared" si="279"/>
        <v>1400.82</v>
      </c>
      <c r="J2902" s="118" t="s">
        <v>836</v>
      </c>
      <c r="K2902" s="122">
        <f t="shared" si="280"/>
        <v>6303.69</v>
      </c>
    </row>
    <row r="2903" spans="6:11" ht="24" customHeight="1">
      <c r="F2903" s="122">
        <v>3.5</v>
      </c>
      <c r="G2903" s="119" t="s">
        <v>835</v>
      </c>
      <c r="H2903" s="120" t="s">
        <v>1654</v>
      </c>
      <c r="I2903" s="122">
        <f t="shared" si="279"/>
        <v>804</v>
      </c>
      <c r="J2903" s="118" t="s">
        <v>835</v>
      </c>
      <c r="K2903" s="122">
        <f t="shared" si="280"/>
        <v>2814</v>
      </c>
    </row>
    <row r="2904" spans="6:11" ht="24" customHeight="1">
      <c r="F2904" s="122">
        <v>21.2</v>
      </c>
      <c r="G2904" s="119" t="s">
        <v>835</v>
      </c>
      <c r="H2904" s="120" t="s">
        <v>1836</v>
      </c>
      <c r="I2904" s="122">
        <f t="shared" si="279"/>
        <v>562</v>
      </c>
      <c r="J2904" s="118" t="s">
        <v>835</v>
      </c>
      <c r="K2904" s="122">
        <f t="shared" si="280"/>
        <v>11914.4</v>
      </c>
    </row>
    <row r="2905" spans="6:11" ht="24" customHeight="1">
      <c r="F2905" s="122">
        <v>35.299999999999997</v>
      </c>
      <c r="G2905" s="119" t="s">
        <v>835</v>
      </c>
      <c r="H2905" s="120" t="s">
        <v>299</v>
      </c>
      <c r="I2905" s="122">
        <f t="shared" si="279"/>
        <v>461</v>
      </c>
      <c r="J2905" s="118" t="s">
        <v>835</v>
      </c>
      <c r="K2905" s="122">
        <f t="shared" si="280"/>
        <v>16273.3</v>
      </c>
    </row>
    <row r="2906" spans="6:11" ht="24" customHeight="1">
      <c r="F2906" s="111"/>
      <c r="G2906" s="119" t="s">
        <v>419</v>
      </c>
      <c r="H2906" s="120" t="s">
        <v>420</v>
      </c>
      <c r="I2906" s="120" t="s">
        <v>940</v>
      </c>
      <c r="J2906" s="118" t="s">
        <v>419</v>
      </c>
      <c r="K2906" s="122">
        <v>0</v>
      </c>
    </row>
    <row r="2907" spans="6:11" ht="24" customHeight="1">
      <c r="F2907" s="111"/>
      <c r="G2907" s="112"/>
      <c r="H2907" s="111"/>
      <c r="I2907" s="111"/>
      <c r="J2907" s="114"/>
      <c r="K2907" s="121" t="s">
        <v>1530</v>
      </c>
    </row>
    <row r="2908" spans="6:11" ht="24" customHeight="1">
      <c r="F2908" s="111"/>
      <c r="G2908" s="112"/>
      <c r="H2908" s="120" t="s">
        <v>2089</v>
      </c>
      <c r="I2908" s="111"/>
      <c r="J2908" s="114"/>
      <c r="K2908" s="122">
        <f>SUM(K2900:K2906)</f>
        <v>64605.54</v>
      </c>
    </row>
    <row r="2909" spans="6:11" ht="24" customHeight="1">
      <c r="F2909" s="111"/>
      <c r="G2909" s="112"/>
      <c r="H2909" s="111"/>
      <c r="I2909" s="111"/>
      <c r="J2909" s="114"/>
      <c r="K2909" s="121" t="s">
        <v>1530</v>
      </c>
    </row>
    <row r="2910" spans="6:11" ht="24" customHeight="1">
      <c r="F2910" s="111"/>
      <c r="G2910" s="112"/>
      <c r="H2910" s="120" t="s">
        <v>743</v>
      </c>
      <c r="I2910" s="111"/>
      <c r="J2910" s="114"/>
      <c r="K2910" s="122">
        <f>(K2908/10)</f>
        <v>6460.55</v>
      </c>
    </row>
    <row r="2911" spans="6:11" ht="24" customHeight="1">
      <c r="F2911" s="111"/>
      <c r="G2911" s="112"/>
      <c r="H2911" s="111"/>
      <c r="I2911" s="111"/>
      <c r="J2911" s="114"/>
      <c r="K2911" s="111"/>
    </row>
    <row r="2912" spans="6:11" ht="24" customHeight="1">
      <c r="F2912" s="122">
        <v>1</v>
      </c>
      <c r="G2912" s="119" t="s">
        <v>836</v>
      </c>
      <c r="H2912" s="120" t="s">
        <v>43</v>
      </c>
      <c r="I2912" s="111"/>
      <c r="J2912" s="114"/>
      <c r="K2912" s="122"/>
    </row>
    <row r="2913" spans="6:16" ht="24" customHeight="1">
      <c r="F2913" s="111"/>
      <c r="G2913" s="112"/>
      <c r="H2913" s="111"/>
      <c r="I2913" s="111"/>
      <c r="J2913" s="114"/>
      <c r="K2913" s="121" t="s">
        <v>1530</v>
      </c>
    </row>
    <row r="2914" spans="6:16" ht="24" customHeight="1">
      <c r="F2914" s="111"/>
      <c r="G2914" s="112"/>
      <c r="H2914" s="120" t="s">
        <v>1251</v>
      </c>
      <c r="I2914" s="111"/>
      <c r="J2914" s="114"/>
      <c r="K2914" s="122">
        <f>SUM(K2910:K2912)</f>
        <v>6460.55</v>
      </c>
    </row>
    <row r="2915" spans="6:16" ht="24" customHeight="1">
      <c r="F2915" s="111"/>
      <c r="G2915" s="112"/>
      <c r="H2915" s="111"/>
      <c r="I2915" s="111"/>
      <c r="J2915" s="114"/>
      <c r="K2915" s="121" t="s">
        <v>1530</v>
      </c>
    </row>
    <row r="2916" spans="6:16" ht="24" customHeight="1">
      <c r="F2916" s="111"/>
      <c r="G2916" s="119" t="s">
        <v>1197</v>
      </c>
      <c r="H2916" s="120" t="s">
        <v>361</v>
      </c>
      <c r="I2916" s="111"/>
      <c r="J2916" s="114"/>
      <c r="K2916" s="122">
        <f>K2914+C22</f>
        <v>6563.85</v>
      </c>
    </row>
    <row r="2917" spans="6:16" ht="24" customHeight="1">
      <c r="F2917" s="111"/>
      <c r="G2917" s="119" t="s">
        <v>1199</v>
      </c>
      <c r="H2917" s="120" t="s">
        <v>363</v>
      </c>
      <c r="I2917" s="111"/>
      <c r="J2917" s="114"/>
      <c r="K2917" s="122">
        <f>K2916+C23</f>
        <v>6767.35</v>
      </c>
    </row>
    <row r="2918" spans="6:16" ht="24" customHeight="1">
      <c r="F2918" s="111"/>
      <c r="G2918" s="119" t="s">
        <v>395</v>
      </c>
      <c r="H2918" s="120" t="s">
        <v>2149</v>
      </c>
      <c r="I2918" s="111"/>
      <c r="J2918" s="114"/>
      <c r="K2918" s="122">
        <f>K2917+C23</f>
        <v>6970.85</v>
      </c>
    </row>
    <row r="2919" spans="6:16" ht="24" customHeight="1">
      <c r="F2919" s="111"/>
      <c r="G2919" s="119" t="s">
        <v>960</v>
      </c>
      <c r="H2919" s="120" t="s">
        <v>355</v>
      </c>
      <c r="I2919" s="111"/>
      <c r="J2919" s="114"/>
      <c r="K2919" s="122">
        <f>K2918+C23</f>
        <v>7174.35</v>
      </c>
    </row>
    <row r="2920" spans="6:16" ht="24" customHeight="1">
      <c r="F2920" s="111"/>
      <c r="G2920" s="112"/>
      <c r="H2920" s="111"/>
      <c r="I2920" s="111"/>
      <c r="J2920" s="114"/>
      <c r="K2920" s="111"/>
    </row>
    <row r="2921" spans="6:16" ht="24" customHeight="1">
      <c r="F2921" s="111"/>
      <c r="G2921" s="116"/>
      <c r="H2921" s="142"/>
      <c r="I2921" s="111"/>
      <c r="J2921" s="135"/>
      <c r="K2921" s="111"/>
    </row>
    <row r="2922" spans="6:16" ht="24" customHeight="1">
      <c r="F2922" s="111"/>
      <c r="G2922" s="112"/>
      <c r="H2922" s="117" t="s">
        <v>2151</v>
      </c>
      <c r="I2922" s="111"/>
      <c r="J2922" s="135"/>
      <c r="K2922" s="111"/>
    </row>
    <row r="2923" spans="6:16" ht="24" customHeight="1">
      <c r="F2923" s="111"/>
      <c r="G2923" s="112"/>
      <c r="H2923" s="111"/>
      <c r="I2923" s="111"/>
      <c r="J2923" s="135"/>
      <c r="K2923" s="111"/>
    </row>
    <row r="2924" spans="6:16" ht="24" customHeight="1">
      <c r="F2924" s="137"/>
      <c r="G2924" s="112"/>
      <c r="H2924" s="111" t="s">
        <v>1330</v>
      </c>
      <c r="I2924" s="111"/>
      <c r="J2924" s="112"/>
      <c r="K2924" s="111"/>
    </row>
    <row r="2925" spans="6:16" ht="24" customHeight="1">
      <c r="F2925" s="130"/>
      <c r="G2925" s="112"/>
      <c r="H2925" s="111" t="s">
        <v>599</v>
      </c>
      <c r="I2925" s="111"/>
      <c r="J2925" s="112"/>
      <c r="K2925" s="111"/>
    </row>
    <row r="2926" spans="6:16" ht="24" customHeight="1">
      <c r="F2926" s="111"/>
      <c r="G2926" s="112"/>
      <c r="H2926" s="135" t="s">
        <v>1623</v>
      </c>
      <c r="I2926" s="111"/>
      <c r="J2926" s="115"/>
      <c r="K2926" s="111"/>
      <c r="P2926">
        <f>0.35*4</f>
        <v>1.4</v>
      </c>
    </row>
    <row r="2927" spans="6:16" ht="24" customHeight="1">
      <c r="F2927" s="111"/>
      <c r="G2927" s="112"/>
      <c r="H2927" s="123" t="s">
        <v>1624</v>
      </c>
      <c r="I2927" s="117"/>
      <c r="J2927" s="116"/>
      <c r="K2927" s="117"/>
      <c r="P2927">
        <f>0.3*4</f>
        <v>1.2</v>
      </c>
    </row>
    <row r="2928" spans="6:16" ht="24" customHeight="1">
      <c r="F2928" s="111"/>
      <c r="G2928" s="112"/>
      <c r="H2928" s="111" t="s">
        <v>1625</v>
      </c>
      <c r="I2928" s="111"/>
      <c r="J2928" s="135"/>
      <c r="K2928" s="111"/>
      <c r="P2928">
        <f>1.28*2</f>
        <v>2.56</v>
      </c>
    </row>
    <row r="2929" spans="6:16" ht="24" customHeight="1">
      <c r="F2929" s="111"/>
      <c r="G2929" s="112"/>
      <c r="H2929" s="117" t="s">
        <v>195</v>
      </c>
      <c r="I2929" s="111"/>
      <c r="J2929" s="135"/>
      <c r="K2929" s="111"/>
      <c r="P2929" t="s">
        <v>3042</v>
      </c>
    </row>
    <row r="2930" spans="6:16" ht="24" customHeight="1">
      <c r="F2930" s="137">
        <v>3.5999999999999997E-2</v>
      </c>
      <c r="G2930" s="112" t="s">
        <v>2070</v>
      </c>
      <c r="H2930" s="111" t="s">
        <v>1626</v>
      </c>
      <c r="I2930" s="111">
        <f>K2916</f>
        <v>6563.85</v>
      </c>
      <c r="J2930" s="112" t="s">
        <v>2070</v>
      </c>
      <c r="K2930" s="111">
        <f>F2930*I2930</f>
        <v>236.3</v>
      </c>
    </row>
    <row r="2931" spans="6:16" ht="24" customHeight="1">
      <c r="F2931" s="130">
        <v>3.0649999999999999</v>
      </c>
      <c r="G2931" s="112" t="s">
        <v>876</v>
      </c>
      <c r="H2931" s="143" t="s">
        <v>1627</v>
      </c>
      <c r="I2931" s="111">
        <f>K1585/1000</f>
        <v>79.34</v>
      </c>
      <c r="J2931" s="112" t="s">
        <v>876</v>
      </c>
      <c r="K2931" s="111">
        <f>F2931*I2931</f>
        <v>243.18</v>
      </c>
    </row>
    <row r="2932" spans="6:16" ht="24" customHeight="1">
      <c r="F2932" s="130">
        <v>0.79800000000000004</v>
      </c>
      <c r="G2932" s="112" t="s">
        <v>222</v>
      </c>
      <c r="H2932" s="111" t="s">
        <v>1372</v>
      </c>
      <c r="I2932" s="111">
        <f>I2361</f>
        <v>997.48</v>
      </c>
      <c r="J2932" s="112" t="s">
        <v>222</v>
      </c>
      <c r="K2932" s="111">
        <f>F2932*I2932</f>
        <v>795.99</v>
      </c>
    </row>
    <row r="2933" spans="6:16" ht="24" customHeight="1">
      <c r="F2933" s="111"/>
      <c r="G2933" s="112"/>
      <c r="H2933" s="116" t="s">
        <v>1373</v>
      </c>
      <c r="I2933" s="117"/>
      <c r="J2933" s="116" t="s">
        <v>690</v>
      </c>
      <c r="K2933" s="117">
        <f>SUM(K2930:K2932)</f>
        <v>1275.47</v>
      </c>
    </row>
    <row r="2934" spans="6:16" ht="24" customHeight="1">
      <c r="F2934" s="137"/>
      <c r="G2934" s="112"/>
      <c r="H2934" s="116" t="s">
        <v>1760</v>
      </c>
      <c r="I2934" s="111"/>
      <c r="J2934" s="116" t="s">
        <v>690</v>
      </c>
      <c r="K2934" s="117">
        <f>K2933/2.1</f>
        <v>607.37</v>
      </c>
    </row>
    <row r="2935" spans="6:16" ht="24" customHeight="1">
      <c r="F2935" s="130"/>
      <c r="G2935" s="112"/>
      <c r="H2935" s="111"/>
      <c r="I2935" s="111"/>
      <c r="J2935" s="112"/>
      <c r="K2935" s="111"/>
    </row>
    <row r="2936" spans="6:16" ht="24" customHeight="1">
      <c r="F2936" s="111"/>
      <c r="G2936" s="112"/>
      <c r="H2936" s="115"/>
      <c r="I2936" s="111"/>
      <c r="J2936" s="115"/>
      <c r="K2936" s="111"/>
    </row>
    <row r="2937" spans="6:16" ht="24" customHeight="1">
      <c r="F2937" s="111"/>
      <c r="G2937" s="112"/>
      <c r="H2937" s="116"/>
      <c r="I2937" s="117"/>
      <c r="J2937" s="116"/>
      <c r="K2937" s="117"/>
    </row>
    <row r="2938" spans="6:16" ht="24" customHeight="1">
      <c r="F2938" s="111"/>
      <c r="G2938" s="112"/>
      <c r="H2938" s="117" t="s">
        <v>196</v>
      </c>
      <c r="I2938" s="111"/>
      <c r="J2938" s="135"/>
      <c r="K2938" s="111"/>
    </row>
    <row r="2939" spans="6:16" ht="56.25" customHeight="1">
      <c r="F2939" s="137">
        <v>3.5999999999999997E-2</v>
      </c>
      <c r="G2939" s="112" t="s">
        <v>2070</v>
      </c>
      <c r="H2939" s="111" t="s">
        <v>1626</v>
      </c>
      <c r="I2939" s="111">
        <f>K2917</f>
        <v>6767.35</v>
      </c>
      <c r="J2939" s="112" t="s">
        <v>2070</v>
      </c>
      <c r="K2939" s="111">
        <f>F2939*I2939</f>
        <v>243.62</v>
      </c>
    </row>
    <row r="2940" spans="6:16" ht="24" customHeight="1">
      <c r="F2940" s="130">
        <v>3.0649999999999999</v>
      </c>
      <c r="G2940" s="112" t="s">
        <v>876</v>
      </c>
      <c r="H2940" s="143" t="s">
        <v>1627</v>
      </c>
      <c r="I2940" s="111">
        <f>K1585/1000</f>
        <v>79.34</v>
      </c>
      <c r="J2940" s="112" t="s">
        <v>876</v>
      </c>
      <c r="K2940" s="111">
        <f>F2940*I2940</f>
        <v>243.18</v>
      </c>
    </row>
    <row r="2941" spans="6:16" ht="24" customHeight="1">
      <c r="F2941" s="130">
        <v>0.79800000000000004</v>
      </c>
      <c r="G2941" s="112" t="s">
        <v>222</v>
      </c>
      <c r="H2941" s="111" t="s">
        <v>1372</v>
      </c>
      <c r="I2941" s="111">
        <f>I2361</f>
        <v>997.48</v>
      </c>
      <c r="J2941" s="112" t="s">
        <v>222</v>
      </c>
      <c r="K2941" s="111">
        <f>F2941*I2941</f>
        <v>795.99</v>
      </c>
    </row>
    <row r="2942" spans="6:16" ht="24" customHeight="1">
      <c r="F2942" s="111"/>
      <c r="G2942" s="112"/>
      <c r="H2942" s="116" t="s">
        <v>1373</v>
      </c>
      <c r="I2942" s="117"/>
      <c r="J2942" s="116" t="s">
        <v>690</v>
      </c>
      <c r="K2942" s="117">
        <f>SUM(K2939:K2941)</f>
        <v>1282.79</v>
      </c>
    </row>
    <row r="2943" spans="6:16" ht="24" customHeight="1">
      <c r="F2943" s="137"/>
      <c r="G2943" s="112"/>
      <c r="H2943" s="116" t="s">
        <v>1760</v>
      </c>
      <c r="I2943" s="111"/>
      <c r="J2943" s="116" t="s">
        <v>690</v>
      </c>
      <c r="K2943" s="117">
        <f>K2942/2.1</f>
        <v>610.85</v>
      </c>
    </row>
    <row r="2944" spans="6:16" ht="24" customHeight="1">
      <c r="F2944" s="130"/>
      <c r="G2944" s="112"/>
      <c r="H2944" s="111"/>
      <c r="I2944" s="111"/>
      <c r="J2944" s="112"/>
      <c r="K2944" s="111"/>
    </row>
    <row r="2945" spans="6:11" ht="24" customHeight="1">
      <c r="F2945" s="111"/>
      <c r="G2945" s="112"/>
      <c r="H2945" s="111"/>
      <c r="I2945" s="111"/>
      <c r="J2945" s="135"/>
      <c r="K2945" s="111"/>
    </row>
    <row r="2946" spans="6:11" ht="24" customHeight="1">
      <c r="F2946" s="111"/>
      <c r="G2946" s="112"/>
      <c r="H2946" s="111"/>
      <c r="I2946" s="111"/>
      <c r="J2946" s="135"/>
      <c r="K2946" s="111"/>
    </row>
    <row r="2947" spans="6:11" ht="24" customHeight="1">
      <c r="F2947" s="111"/>
      <c r="G2947" s="112"/>
      <c r="H2947" s="111"/>
      <c r="I2947" s="111"/>
      <c r="J2947" s="135"/>
      <c r="K2947" s="111"/>
    </row>
    <row r="2948" spans="6:11" ht="24" customHeight="1">
      <c r="F2948" s="111"/>
      <c r="G2948" s="112"/>
      <c r="H2948" s="117" t="s">
        <v>1548</v>
      </c>
      <c r="I2948" s="111"/>
      <c r="J2948" s="135"/>
      <c r="K2948" s="111"/>
    </row>
    <row r="2949" spans="6:11" ht="24" customHeight="1">
      <c r="F2949" s="137">
        <v>3.5999999999999997E-2</v>
      </c>
      <c r="G2949" s="112" t="s">
        <v>2070</v>
      </c>
      <c r="H2949" s="111" t="s">
        <v>1626</v>
      </c>
      <c r="I2949" s="111">
        <f>K2918</f>
        <v>6970.85</v>
      </c>
      <c r="J2949" s="112" t="s">
        <v>2070</v>
      </c>
      <c r="K2949" s="111">
        <f>F2949*I2949</f>
        <v>250.95</v>
      </c>
    </row>
    <row r="2950" spans="6:11" ht="24" customHeight="1">
      <c r="F2950" s="130">
        <v>3.0649999999999999</v>
      </c>
      <c r="G2950" s="112" t="s">
        <v>876</v>
      </c>
      <c r="H2950" s="143" t="s">
        <v>1627</v>
      </c>
      <c r="I2950" s="111">
        <f>I2931</f>
        <v>79.34</v>
      </c>
      <c r="J2950" s="112" t="s">
        <v>876</v>
      </c>
      <c r="K2950" s="111">
        <f>F2950*I2950</f>
        <v>243.18</v>
      </c>
    </row>
    <row r="2951" spans="6:11" ht="24" customHeight="1">
      <c r="F2951" s="130">
        <v>0.79800000000000004</v>
      </c>
      <c r="G2951" s="112" t="s">
        <v>222</v>
      </c>
      <c r="H2951" s="111" t="s">
        <v>1372</v>
      </c>
      <c r="I2951" s="111">
        <f>I2932</f>
        <v>997.48</v>
      </c>
      <c r="J2951" s="112" t="s">
        <v>222</v>
      </c>
      <c r="K2951" s="111">
        <f>F2951*I2951</f>
        <v>795.99</v>
      </c>
    </row>
    <row r="2952" spans="6:11" ht="24" customHeight="1">
      <c r="F2952" s="111"/>
      <c r="G2952" s="112"/>
      <c r="H2952" s="116" t="s">
        <v>1373</v>
      </c>
      <c r="I2952" s="117"/>
      <c r="J2952" s="116" t="s">
        <v>690</v>
      </c>
      <c r="K2952" s="117">
        <f>SUM(K2949:K2951)</f>
        <v>1290.1199999999999</v>
      </c>
    </row>
    <row r="2953" spans="6:11" ht="24" customHeight="1">
      <c r="F2953" s="137"/>
      <c r="G2953" s="112"/>
      <c r="H2953" s="116" t="s">
        <v>1760</v>
      </c>
      <c r="I2953" s="111"/>
      <c r="J2953" s="116" t="s">
        <v>690</v>
      </c>
      <c r="K2953" s="117">
        <f>K2952/2.1</f>
        <v>614.34</v>
      </c>
    </row>
    <row r="2954" spans="6:11" ht="24" customHeight="1">
      <c r="F2954" s="130"/>
      <c r="G2954" s="112"/>
      <c r="H2954" s="111"/>
      <c r="I2954" s="111"/>
      <c r="J2954" s="112"/>
      <c r="K2954" s="111"/>
    </row>
    <row r="2955" spans="6:11" ht="24" customHeight="1">
      <c r="F2955" s="111"/>
      <c r="G2955" s="112"/>
      <c r="H2955" s="111"/>
      <c r="I2955" s="111"/>
      <c r="J2955" s="135"/>
      <c r="K2955" s="111"/>
    </row>
    <row r="2956" spans="6:11" ht="24" customHeight="1">
      <c r="F2956" s="111"/>
      <c r="G2956" s="112"/>
      <c r="H2956" s="111"/>
      <c r="I2956" s="111"/>
      <c r="J2956" s="135"/>
      <c r="K2956" s="111"/>
    </row>
    <row r="2957" spans="6:11" ht="24" customHeight="1">
      <c r="F2957" s="111"/>
      <c r="G2957" s="112"/>
      <c r="H2957" s="117" t="s">
        <v>62</v>
      </c>
      <c r="I2957" s="111"/>
      <c r="J2957" s="135"/>
      <c r="K2957" s="111"/>
    </row>
    <row r="2958" spans="6:11" ht="24" customHeight="1">
      <c r="F2958" s="137">
        <v>3.5999999999999997E-2</v>
      </c>
      <c r="G2958" s="112" t="s">
        <v>2070</v>
      </c>
      <c r="H2958" s="111" t="s">
        <v>1626</v>
      </c>
      <c r="I2958" s="111">
        <f>K2919</f>
        <v>7174.35</v>
      </c>
      <c r="J2958" s="112" t="s">
        <v>2070</v>
      </c>
      <c r="K2958" s="111">
        <f>F2958*I2958</f>
        <v>258.27999999999997</v>
      </c>
    </row>
    <row r="2959" spans="6:11" ht="24" customHeight="1">
      <c r="F2959" s="130">
        <v>3.0649999999999999</v>
      </c>
      <c r="G2959" s="112" t="s">
        <v>876</v>
      </c>
      <c r="H2959" s="143" t="s">
        <v>1627</v>
      </c>
      <c r="I2959" s="111">
        <f>I2950</f>
        <v>79.34</v>
      </c>
      <c r="J2959" s="112" t="s">
        <v>876</v>
      </c>
      <c r="K2959" s="111">
        <f>F2959*I2959</f>
        <v>243.18</v>
      </c>
    </row>
    <row r="2960" spans="6:11" ht="24" customHeight="1">
      <c r="F2960" s="130">
        <v>0.79800000000000004</v>
      </c>
      <c r="G2960" s="112" t="s">
        <v>222</v>
      </c>
      <c r="H2960" s="111" t="s">
        <v>1372</v>
      </c>
      <c r="I2960" s="111">
        <f>I2951</f>
        <v>997.48</v>
      </c>
      <c r="J2960" s="112" t="s">
        <v>222</v>
      </c>
      <c r="K2960" s="111">
        <f>F2960*I2960</f>
        <v>795.99</v>
      </c>
    </row>
    <row r="2961" spans="6:15" ht="24" customHeight="1">
      <c r="F2961" s="111"/>
      <c r="G2961" s="112"/>
      <c r="H2961" s="116" t="s">
        <v>1373</v>
      </c>
      <c r="I2961" s="117"/>
      <c r="J2961" s="116" t="s">
        <v>690</v>
      </c>
      <c r="K2961" s="117">
        <f>SUM(K2958:K2960)</f>
        <v>1297.45</v>
      </c>
    </row>
    <row r="2962" spans="6:15" ht="24" customHeight="1">
      <c r="F2962" s="137"/>
      <c r="G2962" s="112"/>
      <c r="H2962" s="116" t="s">
        <v>1760</v>
      </c>
      <c r="I2962" s="111"/>
      <c r="J2962" s="116" t="s">
        <v>690</v>
      </c>
      <c r="K2962" s="117">
        <f>K2961/2.1</f>
        <v>617.83000000000004</v>
      </c>
    </row>
    <row r="2963" spans="6:15" ht="24" customHeight="1">
      <c r="F2963" s="130"/>
      <c r="G2963" s="112"/>
      <c r="H2963" s="111"/>
      <c r="I2963" s="111"/>
      <c r="J2963" s="112"/>
      <c r="K2963" s="111"/>
    </row>
    <row r="2964" spans="6:15" ht="24" customHeight="1">
      <c r="F2964" s="111"/>
      <c r="G2964" s="112"/>
      <c r="H2964" s="111"/>
      <c r="I2964" s="111"/>
      <c r="J2964" s="114"/>
      <c r="K2964" s="111"/>
    </row>
    <row r="2965" spans="6:15" ht="24" customHeight="1">
      <c r="F2965" s="111"/>
      <c r="G2965" s="112"/>
      <c r="H2965" s="111"/>
      <c r="I2965" s="111"/>
      <c r="J2965" s="114"/>
      <c r="K2965" s="111"/>
    </row>
    <row r="2966" spans="6:15" ht="24" customHeight="1">
      <c r="F2966" s="111"/>
      <c r="G2966" s="112"/>
      <c r="H2966" s="111"/>
      <c r="I2966" s="111">
        <f>160*10.76</f>
        <v>1721.6</v>
      </c>
      <c r="J2966" s="114"/>
      <c r="K2966" s="111"/>
    </row>
    <row r="2967" spans="6:15" ht="24" customHeight="1">
      <c r="F2967" s="118" t="s">
        <v>533</v>
      </c>
      <c r="G2967" s="119" t="s">
        <v>2167</v>
      </c>
      <c r="H2967" s="120" t="s">
        <v>1711</v>
      </c>
      <c r="I2967" s="111">
        <f>148*10.76</f>
        <v>1592.48</v>
      </c>
      <c r="J2967" s="114"/>
      <c r="K2967" s="111"/>
    </row>
    <row r="2968" spans="6:15" ht="24" customHeight="1">
      <c r="F2968" s="111"/>
      <c r="G2968" s="112"/>
      <c r="H2968" s="120" t="s">
        <v>241</v>
      </c>
      <c r="I2968" s="111"/>
      <c r="J2968" s="114"/>
      <c r="K2968" s="111"/>
    </row>
    <row r="2969" spans="6:15" ht="24" customHeight="1">
      <c r="F2969" s="111"/>
      <c r="G2969" s="112"/>
      <c r="H2969" s="120" t="s">
        <v>1414</v>
      </c>
      <c r="I2969" s="111"/>
      <c r="J2969" s="114"/>
      <c r="K2969" s="111"/>
    </row>
    <row r="2970" spans="6:15" ht="24" customHeight="1">
      <c r="F2970" s="111"/>
      <c r="G2970" s="112"/>
      <c r="H2970" s="121" t="s">
        <v>1530</v>
      </c>
      <c r="I2970" s="137">
        <f>1.4*2.025</f>
        <v>2.835</v>
      </c>
      <c r="J2970" s="114"/>
      <c r="K2970" s="111"/>
    </row>
    <row r="2971" spans="6:15" ht="24" customHeight="1">
      <c r="F2971" s="111"/>
      <c r="G2971" s="112"/>
      <c r="H2971" s="120" t="s">
        <v>1857</v>
      </c>
      <c r="I2971" s="111"/>
      <c r="J2971" s="114"/>
      <c r="K2971" s="111"/>
    </row>
    <row r="2972" spans="6:15" ht="24" customHeight="1">
      <c r="F2972" s="111"/>
      <c r="G2972" s="112"/>
      <c r="H2972" s="111"/>
      <c r="I2972" s="111"/>
      <c r="J2972" s="114"/>
      <c r="K2972" s="111"/>
    </row>
    <row r="2973" spans="6:15" ht="44.25" customHeight="1">
      <c r="F2973" s="130">
        <v>1.64</v>
      </c>
      <c r="G2973" s="119" t="s">
        <v>578</v>
      </c>
      <c r="H2973" s="127" t="s">
        <v>710</v>
      </c>
      <c r="I2973" s="517">
        <f>I2837</f>
        <v>2160</v>
      </c>
      <c r="J2973" s="118" t="s">
        <v>578</v>
      </c>
      <c r="K2973" s="111">
        <f>F2974*I2973</f>
        <v>3542.4</v>
      </c>
    </row>
    <row r="2974" spans="6:15" ht="24" customHeight="1">
      <c r="F2974" s="134">
        <v>1.64</v>
      </c>
      <c r="G2974" s="119" t="s">
        <v>578</v>
      </c>
      <c r="H2974" s="120" t="s">
        <v>417</v>
      </c>
      <c r="I2974" s="111">
        <f t="shared" ref="I2974:I2980" si="281">I2838</f>
        <v>185</v>
      </c>
      <c r="J2974" s="118" t="s">
        <v>578</v>
      </c>
      <c r="K2974" s="122">
        <f t="shared" ref="K2974:K2980" si="282">(F2974*I2974)</f>
        <v>303.39999999999998</v>
      </c>
      <c r="O2974" s="120" t="s">
        <v>1711</v>
      </c>
    </row>
    <row r="2975" spans="6:15" ht="24" customHeight="1">
      <c r="F2975" s="122">
        <v>2</v>
      </c>
      <c r="G2975" s="119" t="s">
        <v>739</v>
      </c>
      <c r="H2975" s="120" t="s">
        <v>1406</v>
      </c>
      <c r="I2975" s="111">
        <f t="shared" si="281"/>
        <v>53.4</v>
      </c>
      <c r="J2975" s="118" t="s">
        <v>835</v>
      </c>
      <c r="K2975" s="122">
        <f t="shared" si="282"/>
        <v>106.8</v>
      </c>
      <c r="O2975" s="120" t="s">
        <v>241</v>
      </c>
    </row>
    <row r="2976" spans="6:15" ht="24" customHeight="1">
      <c r="F2976" s="122">
        <v>3</v>
      </c>
      <c r="G2976" s="119" t="s">
        <v>835</v>
      </c>
      <c r="H2976" s="120" t="s">
        <v>1407</v>
      </c>
      <c r="I2976" s="111">
        <f t="shared" si="281"/>
        <v>83</v>
      </c>
      <c r="J2976" s="118" t="s">
        <v>835</v>
      </c>
      <c r="K2976" s="122">
        <f t="shared" si="282"/>
        <v>249</v>
      </c>
      <c r="O2976" s="120" t="s">
        <v>1860</v>
      </c>
    </row>
    <row r="2977" spans="6:18" ht="24" customHeight="1">
      <c r="F2977" s="122">
        <v>2</v>
      </c>
      <c r="G2977" s="119" t="s">
        <v>835</v>
      </c>
      <c r="H2977" s="120" t="s">
        <v>1408</v>
      </c>
      <c r="I2977" s="111">
        <f t="shared" si="281"/>
        <v>60</v>
      </c>
      <c r="J2977" s="118" t="s">
        <v>835</v>
      </c>
      <c r="K2977" s="122">
        <f t="shared" si="282"/>
        <v>120</v>
      </c>
      <c r="O2977" s="121" t="s">
        <v>1530</v>
      </c>
    </row>
    <row r="2978" spans="6:18" ht="24" customHeight="1">
      <c r="F2978" s="122">
        <v>1</v>
      </c>
      <c r="G2978" s="119" t="s">
        <v>835</v>
      </c>
      <c r="H2978" s="120" t="s">
        <v>1409</v>
      </c>
      <c r="I2978" s="111">
        <f t="shared" si="281"/>
        <v>167.6</v>
      </c>
      <c r="J2978" s="118" t="s">
        <v>835</v>
      </c>
      <c r="K2978" s="122">
        <f t="shared" si="282"/>
        <v>167.6</v>
      </c>
      <c r="L2978" t="s">
        <v>940</v>
      </c>
      <c r="O2978" s="120" t="s">
        <v>1861</v>
      </c>
    </row>
    <row r="2979" spans="6:18" ht="24" customHeight="1">
      <c r="F2979" s="122">
        <v>1</v>
      </c>
      <c r="G2979" s="119" t="s">
        <v>835</v>
      </c>
      <c r="H2979" s="120" t="s">
        <v>1410</v>
      </c>
      <c r="I2979" s="111">
        <f t="shared" si="281"/>
        <v>7.3</v>
      </c>
      <c r="J2979" s="118" t="s">
        <v>835</v>
      </c>
      <c r="K2979" s="122">
        <f t="shared" si="282"/>
        <v>7.3</v>
      </c>
    </row>
    <row r="2980" spans="6:18" ht="39.75" customHeight="1">
      <c r="F2980" s="122">
        <v>1</v>
      </c>
      <c r="G2980" s="119" t="s">
        <v>835</v>
      </c>
      <c r="H2980" s="120" t="s">
        <v>1913</v>
      </c>
      <c r="I2980" s="111">
        <f t="shared" si="281"/>
        <v>45.9</v>
      </c>
      <c r="J2980" s="118" t="s">
        <v>835</v>
      </c>
      <c r="K2980" s="122">
        <f t="shared" si="282"/>
        <v>45.9</v>
      </c>
      <c r="M2980" s="130">
        <v>2.2549999999999999</v>
      </c>
      <c r="N2980" s="119" t="s">
        <v>578</v>
      </c>
      <c r="O2980" s="127" t="s">
        <v>710</v>
      </c>
      <c r="P2980" s="164">
        <f>I2973</f>
        <v>2160</v>
      </c>
      <c r="Q2980" s="118" t="s">
        <v>578</v>
      </c>
      <c r="R2980" s="111">
        <f>M2981*P2980</f>
        <v>4870.8</v>
      </c>
    </row>
    <row r="2981" spans="6:18" ht="24" customHeight="1">
      <c r="F2981" s="111"/>
      <c r="G2981" s="112"/>
      <c r="H2981" s="111"/>
      <c r="I2981" s="111"/>
      <c r="J2981" s="114"/>
      <c r="K2981" s="125">
        <v>0.63</v>
      </c>
      <c r="M2981" s="134">
        <v>2.2549999999999999</v>
      </c>
      <c r="N2981" s="119" t="s">
        <v>578</v>
      </c>
      <c r="O2981" s="120" t="s">
        <v>417</v>
      </c>
      <c r="P2981" s="164">
        <f t="shared" ref="P2981:P2987" si="283">I2974</f>
        <v>185</v>
      </c>
      <c r="Q2981" s="118" t="s">
        <v>578</v>
      </c>
      <c r="R2981" s="122">
        <f t="shared" ref="R2981:R2987" si="284">(M2981*P2981)</f>
        <v>417.18</v>
      </c>
    </row>
    <row r="2982" spans="6:18" ht="24" customHeight="1">
      <c r="F2982" s="111"/>
      <c r="G2982" s="112"/>
      <c r="H2982" s="120" t="s">
        <v>1858</v>
      </c>
      <c r="I2982" s="111"/>
      <c r="J2982" s="114"/>
      <c r="K2982" s="122">
        <f>SUM(K2973:K2981)</f>
        <v>4543.03</v>
      </c>
      <c r="M2982" s="122">
        <v>2</v>
      </c>
      <c r="N2982" s="119" t="s">
        <v>739</v>
      </c>
      <c r="O2982" s="120" t="s">
        <v>1406</v>
      </c>
      <c r="P2982" s="164">
        <f t="shared" si="283"/>
        <v>53.4</v>
      </c>
      <c r="Q2982" s="118" t="s">
        <v>835</v>
      </c>
      <c r="R2982" s="122">
        <f t="shared" si="284"/>
        <v>106.8</v>
      </c>
    </row>
    <row r="2983" spans="6:18" ht="24" customHeight="1">
      <c r="F2983" s="111"/>
      <c r="G2983" s="112"/>
      <c r="H2983" s="111"/>
      <c r="I2983" s="111"/>
      <c r="J2983" s="114"/>
      <c r="K2983" s="121" t="s">
        <v>1530</v>
      </c>
      <c r="M2983" s="122">
        <v>3</v>
      </c>
      <c r="N2983" s="119" t="s">
        <v>835</v>
      </c>
      <c r="O2983" s="120" t="s">
        <v>1407</v>
      </c>
      <c r="P2983" s="164">
        <f t="shared" si="283"/>
        <v>83</v>
      </c>
      <c r="Q2983" s="118" t="s">
        <v>835</v>
      </c>
      <c r="R2983" s="122">
        <f t="shared" si="284"/>
        <v>249</v>
      </c>
    </row>
    <row r="2984" spans="6:18" ht="24" customHeight="1">
      <c r="F2984" s="111"/>
      <c r="G2984" s="112"/>
      <c r="H2984" s="120" t="s">
        <v>521</v>
      </c>
      <c r="I2984" s="111"/>
      <c r="J2984" s="114"/>
      <c r="K2984" s="122">
        <f>K2982/F2974</f>
        <v>2770.14</v>
      </c>
      <c r="M2984" s="122">
        <v>2</v>
      </c>
      <c r="N2984" s="119" t="s">
        <v>835</v>
      </c>
      <c r="O2984" s="120" t="s">
        <v>1408</v>
      </c>
      <c r="P2984" s="164">
        <f t="shared" si="283"/>
        <v>60</v>
      </c>
      <c r="Q2984" s="118" t="s">
        <v>835</v>
      </c>
      <c r="R2984" s="122">
        <f t="shared" si="284"/>
        <v>120</v>
      </c>
    </row>
    <row r="2985" spans="6:18" ht="24" customHeight="1">
      <c r="F2985" s="120" t="s">
        <v>940</v>
      </c>
      <c r="G2985" s="112"/>
      <c r="H2985" s="111"/>
      <c r="I2985" s="111"/>
      <c r="J2985" s="114"/>
      <c r="K2985" s="111"/>
      <c r="M2985" s="122">
        <v>1</v>
      </c>
      <c r="N2985" s="119" t="s">
        <v>835</v>
      </c>
      <c r="O2985" s="120" t="s">
        <v>1409</v>
      </c>
      <c r="P2985" s="164">
        <f t="shared" si="283"/>
        <v>167.6</v>
      </c>
      <c r="Q2985" s="118" t="s">
        <v>835</v>
      </c>
      <c r="R2985" s="122">
        <f t="shared" si="284"/>
        <v>167.6</v>
      </c>
    </row>
    <row r="2986" spans="6:18" ht="24" customHeight="1">
      <c r="F2986" s="111"/>
      <c r="G2986" s="112"/>
      <c r="H2986" s="111"/>
      <c r="I2986" s="111"/>
      <c r="J2986" s="114"/>
      <c r="K2986" s="111"/>
      <c r="M2986" s="122">
        <v>1</v>
      </c>
      <c r="N2986" s="119" t="s">
        <v>835</v>
      </c>
      <c r="O2986" s="120" t="s">
        <v>1410</v>
      </c>
      <c r="P2986" s="164">
        <f t="shared" si="283"/>
        <v>7.3</v>
      </c>
      <c r="Q2986" s="118" t="s">
        <v>835</v>
      </c>
      <c r="R2986" s="122">
        <f t="shared" si="284"/>
        <v>7.3</v>
      </c>
    </row>
    <row r="2987" spans="6:18" ht="24" customHeight="1">
      <c r="F2987" s="144" t="s">
        <v>1370</v>
      </c>
      <c r="G2987" s="145"/>
      <c r="H2987" s="144"/>
      <c r="I2987" s="144"/>
      <c r="J2987" s="146"/>
      <c r="K2987" s="144"/>
      <c r="M2987" s="122">
        <v>1</v>
      </c>
      <c r="N2987" s="119" t="s">
        <v>835</v>
      </c>
      <c r="O2987" s="120" t="s">
        <v>1913</v>
      </c>
      <c r="P2987" s="164">
        <f t="shared" si="283"/>
        <v>45.9</v>
      </c>
      <c r="Q2987" s="118" t="s">
        <v>835</v>
      </c>
      <c r="R2987" s="122">
        <f t="shared" si="284"/>
        <v>45.9</v>
      </c>
    </row>
    <row r="2988" spans="6:18" ht="24" customHeight="1">
      <c r="F2988" s="144"/>
      <c r="G2988" s="145"/>
      <c r="H2988" s="144"/>
      <c r="I2988" s="144"/>
      <c r="J2988" s="146"/>
      <c r="K2988" s="144"/>
      <c r="M2988" s="111"/>
      <c r="N2988" s="112"/>
      <c r="O2988" s="111"/>
      <c r="P2988" s="111"/>
      <c r="Q2988" s="114"/>
      <c r="R2988" s="121" t="s">
        <v>1530</v>
      </c>
    </row>
    <row r="2989" spans="6:18" ht="24" customHeight="1">
      <c r="F2989" s="144" t="s">
        <v>1371</v>
      </c>
      <c r="G2989" s="145"/>
      <c r="H2989" s="144"/>
      <c r="I2989" s="144"/>
      <c r="J2989" s="146"/>
      <c r="K2989" s="144"/>
      <c r="M2989" s="111"/>
      <c r="N2989" s="112"/>
      <c r="O2989" s="120" t="s">
        <v>1862</v>
      </c>
      <c r="P2989" s="111"/>
      <c r="Q2989" s="114"/>
      <c r="R2989" s="122">
        <f>SUM(R2980:R2987)+0.17</f>
        <v>5984.75</v>
      </c>
    </row>
    <row r="2990" spans="6:18" ht="24" customHeight="1">
      <c r="F2990" s="144"/>
      <c r="G2990" s="145"/>
      <c r="H2990" s="144"/>
      <c r="I2990" s="144"/>
      <c r="J2990" s="146"/>
      <c r="K2990" s="144"/>
      <c r="M2990" s="111"/>
      <c r="N2990" s="112"/>
      <c r="O2990" s="111"/>
      <c r="P2990" s="111"/>
      <c r="Q2990" s="114"/>
      <c r="R2990" s="121" t="s">
        <v>1530</v>
      </c>
    </row>
    <row r="2991" spans="6:18" ht="24" customHeight="1">
      <c r="F2991" s="144"/>
      <c r="G2991" s="147">
        <v>0.99350000000000005</v>
      </c>
      <c r="H2991" s="144" t="s">
        <v>2070</v>
      </c>
      <c r="I2991" s="144"/>
      <c r="J2991" s="146"/>
      <c r="K2991" s="144"/>
      <c r="M2991" s="111"/>
      <c r="N2991" s="112"/>
      <c r="O2991" s="120" t="s">
        <v>521</v>
      </c>
      <c r="P2991" s="111"/>
      <c r="Q2991" s="114"/>
      <c r="R2991" s="122">
        <f>R2989/M2981</f>
        <v>2653.99</v>
      </c>
    </row>
    <row r="2992" spans="6:18" ht="24" customHeight="1">
      <c r="F2992" s="144"/>
      <c r="G2992" s="145"/>
      <c r="H2992" s="144"/>
      <c r="I2992" s="144"/>
      <c r="J2992" s="146"/>
      <c r="K2992" s="144"/>
    </row>
    <row r="2993" spans="6:11" ht="24" customHeight="1">
      <c r="F2993" s="148" t="s">
        <v>433</v>
      </c>
      <c r="G2993" s="145"/>
      <c r="H2993" s="144"/>
      <c r="I2993" s="144"/>
      <c r="J2993" s="146"/>
      <c r="K2993" s="144"/>
    </row>
    <row r="2994" spans="6:11" ht="24" customHeight="1">
      <c r="F2994" s="144"/>
      <c r="G2994" s="145"/>
      <c r="H2994" s="144"/>
      <c r="I2994" s="144"/>
      <c r="J2994" s="146"/>
      <c r="K2994" s="144"/>
    </row>
    <row r="2995" spans="6:11" ht="24" customHeight="1">
      <c r="F2995" s="149">
        <v>0.42</v>
      </c>
      <c r="G2995" s="145" t="s">
        <v>2070</v>
      </c>
      <c r="H2995" s="144" t="s">
        <v>434</v>
      </c>
      <c r="I2995" s="144">
        <f>K820</f>
        <v>7721.35</v>
      </c>
      <c r="J2995" s="150" t="s">
        <v>2070</v>
      </c>
      <c r="K2995" s="144">
        <f>F2995*I2995</f>
        <v>3242.97</v>
      </c>
    </row>
    <row r="2996" spans="6:11" ht="24" customHeight="1">
      <c r="F2996" s="144">
        <v>0.25</v>
      </c>
      <c r="G2996" s="145" t="s">
        <v>1337</v>
      </c>
      <c r="H2996" s="144" t="s">
        <v>435</v>
      </c>
      <c r="I2996" s="144">
        <f>C11</f>
        <v>804</v>
      </c>
      <c r="J2996" s="150" t="s">
        <v>1341</v>
      </c>
      <c r="K2996" s="144">
        <f>F2996*I2996</f>
        <v>201</v>
      </c>
    </row>
    <row r="2997" spans="6:11" ht="24" customHeight="1">
      <c r="F2997" s="144">
        <v>3.5</v>
      </c>
      <c r="G2997" s="145" t="s">
        <v>1375</v>
      </c>
      <c r="H2997" s="144" t="s">
        <v>326</v>
      </c>
      <c r="I2997" s="144">
        <f>C12</f>
        <v>562</v>
      </c>
      <c r="J2997" s="150" t="s">
        <v>1341</v>
      </c>
      <c r="K2997" s="144">
        <f>F2997*I2997</f>
        <v>1967</v>
      </c>
    </row>
    <row r="2998" spans="6:11" ht="24" customHeight="1">
      <c r="F2998" s="151">
        <v>32.1</v>
      </c>
      <c r="G2998" s="152" t="s">
        <v>1591</v>
      </c>
      <c r="H2998" s="151" t="s">
        <v>1537</v>
      </c>
      <c r="I2998" s="144"/>
      <c r="J2998" s="150"/>
      <c r="K2998" s="144">
        <f>(F2998*I2998)/1000</f>
        <v>0</v>
      </c>
    </row>
    <row r="2999" spans="6:11" ht="24" customHeight="1">
      <c r="F2999" s="144"/>
      <c r="G2999" s="144" t="s">
        <v>436</v>
      </c>
      <c r="H2999" s="144" t="s">
        <v>915</v>
      </c>
      <c r="I2999" s="144"/>
      <c r="J2999" s="150" t="s">
        <v>66</v>
      </c>
      <c r="K2999" s="144">
        <f>(K2996+K2997)*10%</f>
        <v>216.8</v>
      </c>
    </row>
    <row r="3000" spans="6:11" ht="24" customHeight="1">
      <c r="F3000" s="144"/>
      <c r="G3000" s="145"/>
      <c r="H3000" s="144"/>
      <c r="I3000" s="144"/>
      <c r="J3000" s="146"/>
      <c r="K3000" s="144" t="s">
        <v>916</v>
      </c>
    </row>
    <row r="3001" spans="6:11" ht="24" customHeight="1">
      <c r="F3001" s="144"/>
      <c r="G3001" s="145"/>
      <c r="H3001" s="144"/>
      <c r="I3001" s="144"/>
      <c r="J3001" s="146"/>
      <c r="K3001" s="144"/>
    </row>
    <row r="3002" spans="6:11" ht="24" customHeight="1">
      <c r="F3002" s="144"/>
      <c r="G3002" s="145"/>
      <c r="H3002" s="144"/>
      <c r="I3002" s="144" t="s">
        <v>1016</v>
      </c>
      <c r="J3002" s="146"/>
      <c r="K3002" s="144">
        <f>SUM(K2995:K2999)</f>
        <v>5627.77</v>
      </c>
    </row>
    <row r="3003" spans="6:11" ht="24" customHeight="1">
      <c r="F3003" s="144"/>
      <c r="G3003" s="145"/>
      <c r="H3003" s="144"/>
      <c r="I3003" s="144"/>
      <c r="J3003" s="146"/>
      <c r="K3003" s="144"/>
    </row>
    <row r="3004" spans="6:11" ht="24" customHeight="1">
      <c r="F3004" s="144"/>
      <c r="G3004" s="145"/>
      <c r="H3004" s="144"/>
      <c r="I3004" s="144" t="s">
        <v>1815</v>
      </c>
      <c r="J3004" s="146"/>
      <c r="K3004" s="144">
        <f>K3002/3.5</f>
        <v>1607.93</v>
      </c>
    </row>
    <row r="3005" spans="6:11" ht="24" customHeight="1">
      <c r="F3005" s="144"/>
      <c r="G3005" s="153" t="s">
        <v>1017</v>
      </c>
      <c r="H3005" s="144"/>
      <c r="I3005" s="144"/>
      <c r="J3005" s="146"/>
      <c r="K3005" s="144"/>
    </row>
    <row r="3006" spans="6:11" ht="24" customHeight="1">
      <c r="F3006" s="111"/>
      <c r="G3006" s="112"/>
      <c r="H3006" s="111"/>
      <c r="I3006" s="111"/>
      <c r="J3006" s="114"/>
      <c r="K3006" s="111"/>
    </row>
    <row r="3007" spans="6:11" ht="42" customHeight="1">
      <c r="F3007" s="111">
        <v>1</v>
      </c>
      <c r="G3007" s="145" t="s">
        <v>2070</v>
      </c>
      <c r="H3007" s="111" t="s">
        <v>201</v>
      </c>
      <c r="I3007" s="111">
        <f>AC38</f>
        <v>346.64</v>
      </c>
      <c r="J3007" s="150" t="s">
        <v>2070</v>
      </c>
      <c r="K3007" s="144">
        <f>F3007*I3007</f>
        <v>346.64</v>
      </c>
    </row>
    <row r="3008" spans="6:11" ht="24" customHeight="1">
      <c r="F3008" s="111">
        <v>1</v>
      </c>
      <c r="G3008" s="145" t="s">
        <v>2070</v>
      </c>
      <c r="H3008" s="111" t="s">
        <v>1018</v>
      </c>
      <c r="I3008" s="111">
        <f>AE28</f>
        <v>33.6</v>
      </c>
      <c r="J3008" s="150" t="s">
        <v>2070</v>
      </c>
      <c r="K3008" s="144">
        <f>F3008*I3008</f>
        <v>33.6</v>
      </c>
    </row>
    <row r="3009" spans="6:11" ht="24" customHeight="1">
      <c r="F3009" s="111"/>
      <c r="G3009" s="112"/>
      <c r="H3009" s="111"/>
      <c r="I3009" s="111"/>
      <c r="J3009" s="114"/>
      <c r="K3009" s="117">
        <f>SUM(K3007:K3008)</f>
        <v>380.24</v>
      </c>
    </row>
    <row r="3011" spans="6:11" ht="24" customHeight="1">
      <c r="H3011" s="3" t="s">
        <v>1841</v>
      </c>
      <c r="I3011" s="28"/>
      <c r="J3011" s="4"/>
    </row>
    <row r="3012" spans="6:11" ht="32.25" customHeight="1">
      <c r="H3012" s="28" t="s">
        <v>4854</v>
      </c>
      <c r="I3012" s="111">
        <v>1010</v>
      </c>
      <c r="J3012" s="4" t="s">
        <v>1656</v>
      </c>
      <c r="K3012" s="435">
        <f>I3012</f>
        <v>1010</v>
      </c>
    </row>
    <row r="3013" spans="6:11" ht="24" customHeight="1">
      <c r="J3013" s="4"/>
      <c r="K3013" s="163"/>
    </row>
    <row r="3014" spans="6:11" ht="24" customHeight="1">
      <c r="J3014" s="4"/>
      <c r="K3014" s="163"/>
    </row>
    <row r="3015" spans="6:11" ht="24" customHeight="1">
      <c r="H3015" t="s">
        <v>4855</v>
      </c>
      <c r="I3015" s="541">
        <v>471.2</v>
      </c>
      <c r="J3015" s="4" t="s">
        <v>1656</v>
      </c>
      <c r="K3015" s="435">
        <f>I3015</f>
        <v>471.2</v>
      </c>
    </row>
    <row r="3016" spans="6:11" ht="24" customHeight="1">
      <c r="I3016" s="435"/>
      <c r="J3016" s="4"/>
      <c r="K3016" s="435"/>
    </row>
    <row r="3017" spans="6:11" ht="24" customHeight="1">
      <c r="H3017" t="s">
        <v>4856</v>
      </c>
      <c r="I3017" s="541">
        <v>379.4</v>
      </c>
      <c r="J3017" s="4" t="s">
        <v>1656</v>
      </c>
      <c r="K3017" s="435">
        <f>I3017</f>
        <v>379.4</v>
      </c>
    </row>
    <row r="3018" spans="6:11" ht="24" customHeight="1">
      <c r="J3018" s="4"/>
      <c r="K3018" s="435"/>
    </row>
    <row r="3019" spans="6:11" ht="24" customHeight="1">
      <c r="H3019" t="s">
        <v>1243</v>
      </c>
      <c r="J3019" s="4"/>
      <c r="K3019" s="163"/>
    </row>
    <row r="3020" spans="6:11" ht="24" customHeight="1">
      <c r="H3020" t="s">
        <v>4857</v>
      </c>
      <c r="I3020" s="541">
        <v>948</v>
      </c>
      <c r="J3020" s="4" t="s">
        <v>1656</v>
      </c>
      <c r="K3020" s="435">
        <f>I3020</f>
        <v>948</v>
      </c>
    </row>
    <row r="3021" spans="6:11" ht="24" customHeight="1">
      <c r="H3021" s="1" t="s">
        <v>1029</v>
      </c>
      <c r="I3021" s="166">
        <f>K2294</f>
        <v>1941.5</v>
      </c>
      <c r="J3021" s="4"/>
      <c r="K3021" s="166">
        <f>I3021</f>
        <v>1941.5</v>
      </c>
    </row>
    <row r="3022" spans="6:11" ht="24" customHeight="1">
      <c r="J3022" s="4"/>
    </row>
    <row r="3023" spans="6:11" ht="44.25" customHeight="1">
      <c r="J3023" s="4"/>
    </row>
    <row r="3024" spans="6:11" ht="68.25" customHeight="1">
      <c r="J3024" s="4"/>
    </row>
    <row r="3025" spans="8:11" ht="24" customHeight="1">
      <c r="J3025" s="4"/>
    </row>
    <row r="3026" spans="8:11" ht="24" customHeight="1">
      <c r="I3026" s="163"/>
      <c r="J3026" s="4"/>
    </row>
    <row r="3027" spans="8:11" ht="24" customHeight="1">
      <c r="J3027" s="4"/>
    </row>
    <row r="3028" spans="8:11" ht="24" customHeight="1">
      <c r="H3028" s="33"/>
      <c r="J3028" s="4"/>
    </row>
    <row r="3029" spans="8:11" ht="24" customHeight="1">
      <c r="J3029" s="4"/>
    </row>
    <row r="3030" spans="8:11" ht="24" customHeight="1">
      <c r="H3030" s="92"/>
      <c r="I3030" s="37"/>
      <c r="J3030" s="40"/>
      <c r="K3030" s="37"/>
    </row>
    <row r="3033" spans="8:11" ht="24" customHeight="1">
      <c r="H3033" t="s">
        <v>976</v>
      </c>
    </row>
    <row r="3034" spans="8:11" ht="24" customHeight="1">
      <c r="H3034" t="s">
        <v>977</v>
      </c>
      <c r="J3034" s="11" t="s">
        <v>1341</v>
      </c>
      <c r="K3034" s="536">
        <v>130</v>
      </c>
    </row>
    <row r="3035" spans="8:11" ht="24" customHeight="1">
      <c r="K3035" s="442"/>
    </row>
    <row r="3036" spans="8:11" ht="24" customHeight="1">
      <c r="H3036" t="s">
        <v>978</v>
      </c>
      <c r="J3036" s="11" t="s">
        <v>1341</v>
      </c>
      <c r="K3036" s="536">
        <v>170</v>
      </c>
    </row>
    <row r="3037" spans="8:11" ht="24" customHeight="1">
      <c r="K3037" s="442"/>
    </row>
    <row r="3038" spans="8:11" ht="24" customHeight="1">
      <c r="K3038" s="442"/>
    </row>
    <row r="3039" spans="8:11" ht="24" customHeight="1">
      <c r="H3039" s="1" t="s">
        <v>1211</v>
      </c>
      <c r="J3039" s="11" t="s">
        <v>1341</v>
      </c>
      <c r="K3039" s="537">
        <v>443</v>
      </c>
    </row>
    <row r="3040" spans="8:11" ht="24" customHeight="1">
      <c r="K3040" s="442"/>
    </row>
    <row r="3041" spans="6:11" ht="45" customHeight="1">
      <c r="H3041" s="23" t="s">
        <v>193</v>
      </c>
      <c r="J3041" s="11" t="s">
        <v>1341</v>
      </c>
      <c r="K3041" s="443">
        <f>Elec.Data!K3767</f>
        <v>1437.4</v>
      </c>
    </row>
    <row r="3043" spans="6:11" ht="41.25" customHeight="1"/>
    <row r="3044" spans="6:11" ht="24" customHeight="1">
      <c r="H3044" t="s">
        <v>1243</v>
      </c>
      <c r="J3044" s="11" t="s">
        <v>1341</v>
      </c>
      <c r="K3044" s="163">
        <f>K3020</f>
        <v>948</v>
      </c>
    </row>
    <row r="3045" spans="6:11" ht="24" customHeight="1">
      <c r="H3045" t="s">
        <v>1244</v>
      </c>
    </row>
    <row r="3047" spans="6:11" ht="24" customHeight="1">
      <c r="F3047">
        <v>0.5</v>
      </c>
      <c r="H3047" t="s">
        <v>1802</v>
      </c>
      <c r="J3047" s="11">
        <f>C15</f>
        <v>747</v>
      </c>
      <c r="K3047">
        <f>J3047*F3047</f>
        <v>373.5</v>
      </c>
    </row>
    <row r="3048" spans="6:11" ht="24" customHeight="1">
      <c r="F3048">
        <v>0.5</v>
      </c>
      <c r="H3048" t="s">
        <v>326</v>
      </c>
      <c r="J3048" s="11">
        <f>C12</f>
        <v>562</v>
      </c>
      <c r="K3048">
        <f>J3048*F3048</f>
        <v>281</v>
      </c>
    </row>
    <row r="3049" spans="6:11" ht="24" customHeight="1">
      <c r="I3049" s="1527" t="s">
        <v>1024</v>
      </c>
      <c r="J3049" s="1527"/>
      <c r="K3049" s="37">
        <f>SUM(K3044:K3048)</f>
        <v>1602.5</v>
      </c>
    </row>
    <row r="3052" spans="6:11" ht="24" customHeight="1">
      <c r="F3052" s="118" t="s">
        <v>533</v>
      </c>
      <c r="G3052" s="119" t="s">
        <v>2167</v>
      </c>
      <c r="H3052" s="120" t="s">
        <v>1711</v>
      </c>
      <c r="I3052" s="111"/>
      <c r="J3052" s="114"/>
      <c r="K3052" s="111"/>
    </row>
    <row r="3053" spans="6:11" ht="24" customHeight="1">
      <c r="F3053" s="111"/>
      <c r="G3053" s="112"/>
      <c r="H3053" s="120" t="s">
        <v>241</v>
      </c>
      <c r="I3053" s="111"/>
      <c r="J3053" s="114"/>
      <c r="K3053" s="111"/>
    </row>
    <row r="3054" spans="6:11" ht="24" customHeight="1">
      <c r="F3054" s="111"/>
      <c r="G3054" s="112"/>
      <c r="H3054" s="120" t="s">
        <v>1356</v>
      </c>
      <c r="I3054" s="111"/>
      <c r="J3054" s="114"/>
      <c r="K3054" s="111"/>
    </row>
    <row r="3055" spans="6:11" ht="24" customHeight="1">
      <c r="F3055" s="111"/>
      <c r="G3055" s="112"/>
      <c r="H3055" s="121" t="s">
        <v>1530</v>
      </c>
      <c r="I3055" s="111"/>
      <c r="J3055" s="114"/>
      <c r="K3055" s="111"/>
    </row>
    <row r="3056" spans="6:11" ht="24" customHeight="1">
      <c r="F3056" s="111"/>
      <c r="G3056" s="112"/>
      <c r="H3056" s="120" t="s">
        <v>727</v>
      </c>
      <c r="I3056" s="111"/>
      <c r="J3056" s="114"/>
      <c r="K3056" s="111"/>
    </row>
    <row r="3057" spans="6:18" ht="24" customHeight="1">
      <c r="F3057" s="111"/>
      <c r="G3057" s="112"/>
      <c r="H3057" s="111"/>
      <c r="I3057" s="111"/>
      <c r="J3057" s="114"/>
      <c r="K3057" s="111"/>
    </row>
    <row r="3058" spans="6:18" ht="38.25" customHeight="1">
      <c r="F3058" s="137">
        <v>2.2275</v>
      </c>
      <c r="G3058" s="119" t="s">
        <v>578</v>
      </c>
      <c r="H3058" s="127" t="s">
        <v>710</v>
      </c>
      <c r="I3058" s="164">
        <f>I2837</f>
        <v>2160</v>
      </c>
      <c r="J3058" s="118" t="s">
        <v>578</v>
      </c>
      <c r="K3058" s="111">
        <f>F3059*I3058</f>
        <v>4811.3999999999996</v>
      </c>
    </row>
    <row r="3059" spans="6:18" ht="24" customHeight="1">
      <c r="F3059" s="133">
        <f>F3058</f>
        <v>2.2275</v>
      </c>
      <c r="G3059" s="119" t="s">
        <v>578</v>
      </c>
      <c r="H3059" s="505" t="s">
        <v>417</v>
      </c>
      <c r="I3059" s="125">
        <f>I2870</f>
        <v>285</v>
      </c>
      <c r="J3059" s="118" t="s">
        <v>578</v>
      </c>
      <c r="K3059" s="122">
        <f t="shared" ref="K3059:K3065" si="285">(F3059*I3059)</f>
        <v>634.84</v>
      </c>
      <c r="M3059" s="118" t="s">
        <v>533</v>
      </c>
      <c r="N3059" s="119" t="s">
        <v>2167</v>
      </c>
      <c r="O3059" s="120" t="s">
        <v>1711</v>
      </c>
      <c r="P3059" s="111"/>
      <c r="Q3059" s="114"/>
      <c r="R3059" s="111"/>
    </row>
    <row r="3060" spans="6:18" ht="24" customHeight="1">
      <c r="F3060" s="122">
        <v>4</v>
      </c>
      <c r="G3060" s="119" t="s">
        <v>739</v>
      </c>
      <c r="H3060" s="120" t="s">
        <v>1406</v>
      </c>
      <c r="I3060" s="164">
        <f t="shared" ref="I3060:I3065" si="286">I2975</f>
        <v>53.4</v>
      </c>
      <c r="J3060" s="118" t="s">
        <v>835</v>
      </c>
      <c r="K3060" s="122">
        <f t="shared" si="285"/>
        <v>213.6</v>
      </c>
      <c r="M3060" s="111"/>
      <c r="N3060" s="112"/>
      <c r="O3060" s="120" t="s">
        <v>241</v>
      </c>
      <c r="P3060" s="111"/>
      <c r="Q3060" s="114"/>
      <c r="R3060" s="111"/>
    </row>
    <row r="3061" spans="6:18" ht="24" customHeight="1">
      <c r="F3061" s="122">
        <v>6</v>
      </c>
      <c r="G3061" s="119" t="s">
        <v>835</v>
      </c>
      <c r="H3061" s="120" t="s">
        <v>1407</v>
      </c>
      <c r="I3061" s="164">
        <f t="shared" si="286"/>
        <v>83</v>
      </c>
      <c r="J3061" s="118" t="s">
        <v>835</v>
      </c>
      <c r="K3061" s="122">
        <f t="shared" si="285"/>
        <v>498</v>
      </c>
      <c r="M3061" s="111"/>
      <c r="N3061" s="112"/>
      <c r="O3061" s="120" t="s">
        <v>81</v>
      </c>
      <c r="P3061" s="111"/>
      <c r="Q3061" s="114"/>
      <c r="R3061" s="111"/>
    </row>
    <row r="3062" spans="6:18" ht="24" customHeight="1">
      <c r="F3062" s="122">
        <v>4</v>
      </c>
      <c r="G3062" s="119" t="s">
        <v>835</v>
      </c>
      <c r="H3062" s="120" t="s">
        <v>1408</v>
      </c>
      <c r="I3062" s="164">
        <f t="shared" si="286"/>
        <v>60</v>
      </c>
      <c r="J3062" s="118" t="s">
        <v>835</v>
      </c>
      <c r="K3062" s="122">
        <f t="shared" si="285"/>
        <v>240</v>
      </c>
      <c r="M3062" s="111"/>
      <c r="N3062" s="112"/>
      <c r="O3062" s="121" t="s">
        <v>1530</v>
      </c>
      <c r="P3062" s="111"/>
      <c r="Q3062" s="114"/>
      <c r="R3062" s="111"/>
    </row>
    <row r="3063" spans="6:18" ht="24" customHeight="1">
      <c r="F3063" s="122">
        <v>1</v>
      </c>
      <c r="G3063" s="119" t="s">
        <v>835</v>
      </c>
      <c r="H3063" s="120" t="s">
        <v>1409</v>
      </c>
      <c r="I3063" s="164">
        <f t="shared" si="286"/>
        <v>167.6</v>
      </c>
      <c r="J3063" s="118" t="s">
        <v>835</v>
      </c>
      <c r="K3063" s="122">
        <f t="shared" si="285"/>
        <v>167.6</v>
      </c>
      <c r="M3063" s="111"/>
      <c r="N3063" s="112"/>
      <c r="O3063" s="120" t="s">
        <v>340</v>
      </c>
      <c r="P3063" s="111"/>
      <c r="Q3063" s="114"/>
      <c r="R3063" s="111"/>
    </row>
    <row r="3064" spans="6:18" ht="24" customHeight="1">
      <c r="F3064" s="122">
        <v>2</v>
      </c>
      <c r="G3064" s="119" t="s">
        <v>835</v>
      </c>
      <c r="H3064" s="120" t="s">
        <v>1410</v>
      </c>
      <c r="I3064" s="164">
        <f t="shared" si="286"/>
        <v>7.3</v>
      </c>
      <c r="J3064" s="118" t="s">
        <v>835</v>
      </c>
      <c r="K3064" s="122">
        <f t="shared" si="285"/>
        <v>14.6</v>
      </c>
      <c r="M3064" s="111"/>
      <c r="N3064" s="112"/>
      <c r="O3064" s="111"/>
      <c r="P3064" s="111"/>
      <c r="Q3064" s="114"/>
      <c r="R3064" s="111"/>
    </row>
    <row r="3065" spans="6:18" ht="33.75" customHeight="1">
      <c r="F3065" s="122">
        <v>2</v>
      </c>
      <c r="G3065" s="119" t="s">
        <v>835</v>
      </c>
      <c r="H3065" s="120" t="s">
        <v>1913</v>
      </c>
      <c r="I3065" s="164">
        <f t="shared" si="286"/>
        <v>45.9</v>
      </c>
      <c r="J3065" s="118" t="s">
        <v>835</v>
      </c>
      <c r="K3065" s="122">
        <f t="shared" si="285"/>
        <v>91.8</v>
      </c>
      <c r="M3065" s="130">
        <v>3.29</v>
      </c>
      <c r="N3065" s="119" t="s">
        <v>578</v>
      </c>
      <c r="O3065" s="127" t="s">
        <v>710</v>
      </c>
      <c r="P3065" s="164">
        <f>I3058</f>
        <v>2160</v>
      </c>
      <c r="Q3065" s="118" t="s">
        <v>578</v>
      </c>
      <c r="R3065" s="111">
        <f>M3066*P3065</f>
        <v>7106.4</v>
      </c>
    </row>
    <row r="3066" spans="6:18" ht="33.75" customHeight="1">
      <c r="F3066" s="111"/>
      <c r="G3066" s="112"/>
      <c r="H3066" s="111"/>
      <c r="I3066" s="111"/>
      <c r="J3066" s="114"/>
      <c r="K3066" s="125">
        <v>0.2</v>
      </c>
      <c r="M3066" s="134">
        <v>3.29</v>
      </c>
      <c r="N3066" s="119" t="s">
        <v>578</v>
      </c>
      <c r="O3066" s="120" t="s">
        <v>417</v>
      </c>
      <c r="P3066" s="164">
        <f t="shared" ref="P3066:P3072" si="287">I3059</f>
        <v>285</v>
      </c>
      <c r="Q3066" s="118" t="s">
        <v>578</v>
      </c>
      <c r="R3066" s="122">
        <f t="shared" ref="R3066:R3072" si="288">(M3066*P3066)</f>
        <v>937.65</v>
      </c>
    </row>
    <row r="3067" spans="6:18" ht="24" customHeight="1">
      <c r="F3067" s="111"/>
      <c r="G3067" s="112"/>
      <c r="H3067" s="120" t="s">
        <v>728</v>
      </c>
      <c r="I3067" s="111"/>
      <c r="J3067" s="114"/>
      <c r="K3067" s="122">
        <f>SUM(K3058:K3066)</f>
        <v>6672.04</v>
      </c>
      <c r="M3067" s="122">
        <v>4</v>
      </c>
      <c r="N3067" s="119" t="s">
        <v>739</v>
      </c>
      <c r="O3067" s="120" t="s">
        <v>1406</v>
      </c>
      <c r="P3067" s="164">
        <f t="shared" si="287"/>
        <v>53.4</v>
      </c>
      <c r="Q3067" s="118" t="s">
        <v>835</v>
      </c>
      <c r="R3067" s="122">
        <f t="shared" si="288"/>
        <v>213.6</v>
      </c>
    </row>
    <row r="3068" spans="6:18" ht="24" customHeight="1">
      <c r="F3068" s="111"/>
      <c r="G3068" s="112"/>
      <c r="H3068" s="111"/>
      <c r="I3068" s="111"/>
      <c r="J3068" s="114"/>
      <c r="K3068" s="121" t="s">
        <v>1530</v>
      </c>
      <c r="M3068" s="122">
        <v>6</v>
      </c>
      <c r="N3068" s="119" t="s">
        <v>835</v>
      </c>
      <c r="O3068" s="120" t="s">
        <v>1407</v>
      </c>
      <c r="P3068" s="164">
        <f t="shared" si="287"/>
        <v>83</v>
      </c>
      <c r="Q3068" s="118" t="s">
        <v>835</v>
      </c>
      <c r="R3068" s="122">
        <f t="shared" si="288"/>
        <v>498</v>
      </c>
    </row>
    <row r="3069" spans="6:18" ht="24" customHeight="1">
      <c r="F3069" s="111"/>
      <c r="G3069" s="112"/>
      <c r="H3069" s="120" t="s">
        <v>521</v>
      </c>
      <c r="I3069" s="111"/>
      <c r="J3069" s="114"/>
      <c r="K3069" s="122">
        <f>K3067/F3059</f>
        <v>2995.3</v>
      </c>
      <c r="M3069" s="122">
        <v>4</v>
      </c>
      <c r="N3069" s="119" t="s">
        <v>835</v>
      </c>
      <c r="O3069" s="120" t="s">
        <v>1408</v>
      </c>
      <c r="P3069" s="164">
        <f t="shared" si="287"/>
        <v>60</v>
      </c>
      <c r="Q3069" s="118" t="s">
        <v>835</v>
      </c>
      <c r="R3069" s="122">
        <f t="shared" si="288"/>
        <v>240</v>
      </c>
    </row>
    <row r="3070" spans="6:18" ht="24" customHeight="1">
      <c r="M3070" s="122">
        <v>1</v>
      </c>
      <c r="N3070" s="119" t="s">
        <v>835</v>
      </c>
      <c r="O3070" s="120" t="s">
        <v>1409</v>
      </c>
      <c r="P3070" s="164">
        <f t="shared" si="287"/>
        <v>167.6</v>
      </c>
      <c r="Q3070" s="118" t="s">
        <v>835</v>
      </c>
      <c r="R3070" s="122">
        <f t="shared" si="288"/>
        <v>167.6</v>
      </c>
    </row>
    <row r="3071" spans="6:18" ht="24" customHeight="1">
      <c r="F3071" s="118" t="s">
        <v>533</v>
      </c>
      <c r="G3071" s="119" t="s">
        <v>2167</v>
      </c>
      <c r="H3071" s="120" t="s">
        <v>1711</v>
      </c>
      <c r="I3071" s="111"/>
      <c r="J3071" s="114"/>
      <c r="K3071" s="111"/>
      <c r="M3071" s="122">
        <v>2</v>
      </c>
      <c r="N3071" s="119" t="s">
        <v>835</v>
      </c>
      <c r="O3071" s="120" t="s">
        <v>1410</v>
      </c>
      <c r="P3071" s="164">
        <f t="shared" si="287"/>
        <v>7.3</v>
      </c>
      <c r="Q3071" s="118" t="s">
        <v>835</v>
      </c>
      <c r="R3071" s="122">
        <f t="shared" si="288"/>
        <v>14.6</v>
      </c>
    </row>
    <row r="3072" spans="6:18" ht="24" customHeight="1">
      <c r="F3072" s="111"/>
      <c r="G3072" s="112"/>
      <c r="H3072" s="120" t="s">
        <v>241</v>
      </c>
      <c r="I3072" s="111"/>
      <c r="J3072" s="114"/>
      <c r="K3072" s="111"/>
      <c r="M3072" s="122">
        <v>2</v>
      </c>
      <c r="N3072" s="119" t="s">
        <v>835</v>
      </c>
      <c r="O3072" s="120" t="s">
        <v>1913</v>
      </c>
      <c r="P3072" s="164">
        <f t="shared" si="287"/>
        <v>45.9</v>
      </c>
      <c r="Q3072" s="118" t="s">
        <v>835</v>
      </c>
      <c r="R3072" s="122">
        <f t="shared" si="288"/>
        <v>91.8</v>
      </c>
    </row>
    <row r="3073" spans="6:18" ht="24" customHeight="1">
      <c r="F3073" s="111"/>
      <c r="G3073" s="112"/>
      <c r="H3073" s="120" t="s">
        <v>1859</v>
      </c>
      <c r="I3073" s="111"/>
      <c r="J3073" s="114"/>
      <c r="K3073" s="111"/>
      <c r="M3073" s="111"/>
      <c r="N3073" s="112"/>
      <c r="O3073" s="111"/>
      <c r="P3073" s="111"/>
      <c r="Q3073" s="114"/>
      <c r="R3073" s="121" t="s">
        <v>1530</v>
      </c>
    </row>
    <row r="3074" spans="6:18" ht="24" customHeight="1">
      <c r="F3074" s="111"/>
      <c r="G3074" s="112"/>
      <c r="H3074" s="121" t="s">
        <v>1530</v>
      </c>
      <c r="I3074" s="111"/>
      <c r="J3074" s="114"/>
      <c r="K3074" s="111"/>
      <c r="M3074" s="111"/>
      <c r="N3074" s="112"/>
      <c r="O3074" s="120" t="s">
        <v>341</v>
      </c>
      <c r="P3074" s="111"/>
      <c r="Q3074" s="114"/>
      <c r="R3074" s="122">
        <f>SUM(R3065:R3073)+0.5</f>
        <v>9270.15</v>
      </c>
    </row>
    <row r="3075" spans="6:18" ht="24" customHeight="1">
      <c r="F3075" s="111"/>
      <c r="G3075" s="112"/>
      <c r="H3075" s="120" t="s">
        <v>101</v>
      </c>
      <c r="I3075" s="111"/>
      <c r="J3075" s="114"/>
      <c r="K3075" s="111"/>
      <c r="M3075" s="111"/>
      <c r="N3075" s="112"/>
      <c r="O3075" s="111"/>
      <c r="P3075" s="111"/>
      <c r="Q3075" s="114"/>
      <c r="R3075" s="121" t="s">
        <v>1530</v>
      </c>
    </row>
    <row r="3076" spans="6:18" ht="24" customHeight="1">
      <c r="F3076" s="111"/>
      <c r="G3076" s="112"/>
      <c r="H3076" s="111"/>
      <c r="I3076" s="111"/>
      <c r="J3076" s="114"/>
      <c r="K3076" s="111"/>
      <c r="M3076" s="111"/>
      <c r="N3076" s="112"/>
      <c r="O3076" s="120" t="s">
        <v>521</v>
      </c>
      <c r="P3076" s="111"/>
      <c r="Q3076" s="114"/>
      <c r="R3076" s="122">
        <f>R3074/M3065</f>
        <v>2817.67</v>
      </c>
    </row>
    <row r="3077" spans="6:18" ht="24" customHeight="1">
      <c r="F3077" s="130">
        <v>2.87</v>
      </c>
      <c r="G3077" s="119" t="s">
        <v>578</v>
      </c>
      <c r="H3077" s="127" t="s">
        <v>710</v>
      </c>
      <c r="I3077" s="164">
        <f>I3058</f>
        <v>2160</v>
      </c>
      <c r="J3077" s="118" t="s">
        <v>578</v>
      </c>
      <c r="K3077" s="111">
        <f>F3078*I3077</f>
        <v>6199.2</v>
      </c>
      <c r="N3077" s="3"/>
      <c r="Q3077" s="11"/>
    </row>
    <row r="3078" spans="6:18" ht="24" customHeight="1">
      <c r="F3078" s="134">
        <f>F3077</f>
        <v>2.87</v>
      </c>
      <c r="G3078" s="119" t="s">
        <v>578</v>
      </c>
      <c r="H3078" s="505" t="s">
        <v>417</v>
      </c>
      <c r="I3078" s="125">
        <f t="shared" ref="I3078:I3084" si="289">I3059</f>
        <v>285</v>
      </c>
      <c r="J3078" s="118" t="s">
        <v>578</v>
      </c>
      <c r="K3078" s="122">
        <f t="shared" ref="K3078:K3084" si="290">(F3078*I3078)</f>
        <v>817.95</v>
      </c>
    </row>
    <row r="3079" spans="6:18" ht="24" customHeight="1">
      <c r="F3079" s="122">
        <v>4</v>
      </c>
      <c r="G3079" s="119" t="s">
        <v>739</v>
      </c>
      <c r="H3079" s="120" t="s">
        <v>1406</v>
      </c>
      <c r="I3079" s="164">
        <f t="shared" si="289"/>
        <v>53.4</v>
      </c>
      <c r="J3079" s="118" t="s">
        <v>835</v>
      </c>
      <c r="K3079" s="122">
        <f t="shared" si="290"/>
        <v>213.6</v>
      </c>
    </row>
    <row r="3080" spans="6:18" ht="24" customHeight="1">
      <c r="F3080" s="122">
        <v>6</v>
      </c>
      <c r="G3080" s="119" t="s">
        <v>835</v>
      </c>
      <c r="H3080" s="120" t="s">
        <v>1407</v>
      </c>
      <c r="I3080" s="164">
        <f t="shared" si="289"/>
        <v>83</v>
      </c>
      <c r="J3080" s="118" t="s">
        <v>835</v>
      </c>
      <c r="K3080" s="122">
        <f t="shared" si="290"/>
        <v>498</v>
      </c>
    </row>
    <row r="3081" spans="6:18" ht="24" customHeight="1">
      <c r="F3081" s="122">
        <v>4</v>
      </c>
      <c r="G3081" s="119" t="s">
        <v>835</v>
      </c>
      <c r="H3081" s="120" t="s">
        <v>1408</v>
      </c>
      <c r="I3081" s="164">
        <f t="shared" si="289"/>
        <v>60</v>
      </c>
      <c r="J3081" s="118" t="s">
        <v>835</v>
      </c>
      <c r="K3081" s="122">
        <f t="shared" si="290"/>
        <v>240</v>
      </c>
    </row>
    <row r="3082" spans="6:18" ht="24" customHeight="1">
      <c r="F3082" s="122">
        <v>1</v>
      </c>
      <c r="G3082" s="119" t="s">
        <v>835</v>
      </c>
      <c r="H3082" s="120" t="s">
        <v>1409</v>
      </c>
      <c r="I3082" s="164">
        <f t="shared" si="289"/>
        <v>167.6</v>
      </c>
      <c r="J3082" s="118" t="s">
        <v>835</v>
      </c>
      <c r="K3082" s="122">
        <f t="shared" si="290"/>
        <v>167.6</v>
      </c>
    </row>
    <row r="3083" spans="6:18" ht="24" customHeight="1">
      <c r="F3083" s="122">
        <v>2</v>
      </c>
      <c r="G3083" s="119" t="s">
        <v>835</v>
      </c>
      <c r="H3083" s="120" t="s">
        <v>1410</v>
      </c>
      <c r="I3083" s="164">
        <f t="shared" si="289"/>
        <v>7.3</v>
      </c>
      <c r="J3083" s="118" t="s">
        <v>835</v>
      </c>
      <c r="K3083" s="122">
        <f t="shared" si="290"/>
        <v>14.6</v>
      </c>
    </row>
    <row r="3084" spans="6:18" ht="24" customHeight="1">
      <c r="F3084" s="122">
        <v>2</v>
      </c>
      <c r="G3084" s="119" t="s">
        <v>835</v>
      </c>
      <c r="H3084" s="120" t="s">
        <v>1913</v>
      </c>
      <c r="I3084" s="164">
        <f t="shared" si="289"/>
        <v>45.9</v>
      </c>
      <c r="J3084" s="118" t="s">
        <v>835</v>
      </c>
      <c r="K3084" s="122">
        <f t="shared" si="290"/>
        <v>91.8</v>
      </c>
    </row>
    <row r="3085" spans="6:18" ht="24" customHeight="1">
      <c r="F3085" s="111"/>
      <c r="G3085" s="112"/>
      <c r="H3085" s="111"/>
      <c r="I3085" s="111"/>
      <c r="J3085" s="114"/>
      <c r="K3085" s="125">
        <f>1.19+0.16</f>
        <v>1.35</v>
      </c>
    </row>
    <row r="3086" spans="6:18" ht="24" customHeight="1">
      <c r="F3086" s="111"/>
      <c r="G3086" s="112"/>
      <c r="H3086" s="120" t="s">
        <v>102</v>
      </c>
      <c r="I3086" s="111"/>
      <c r="J3086" s="114"/>
      <c r="K3086" s="122">
        <f>SUM(K3077:K3085)</f>
        <v>8244.1</v>
      </c>
    </row>
    <row r="3087" spans="6:18" ht="24" customHeight="1">
      <c r="F3087" s="111"/>
      <c r="G3087" s="112"/>
      <c r="H3087" s="111"/>
      <c r="I3087" s="111"/>
      <c r="J3087" s="114"/>
      <c r="K3087" s="121" t="s">
        <v>1530</v>
      </c>
    </row>
    <row r="3088" spans="6:18" ht="24" customHeight="1">
      <c r="F3088" s="111"/>
      <c r="G3088" s="112"/>
      <c r="H3088" s="120" t="s">
        <v>521</v>
      </c>
      <c r="I3088" s="111"/>
      <c r="J3088" s="114"/>
      <c r="K3088" s="122">
        <f>K3086/F3078</f>
        <v>2872.51</v>
      </c>
    </row>
    <row r="3090" spans="6:24" ht="24" customHeight="1">
      <c r="F3090" s="78" t="s">
        <v>847</v>
      </c>
      <c r="G3090" s="79"/>
      <c r="H3090" s="80" t="s">
        <v>1184</v>
      </c>
      <c r="I3090" s="47"/>
      <c r="J3090" s="100"/>
      <c r="K3090" s="47"/>
    </row>
    <row r="3091" spans="6:24" ht="24" customHeight="1">
      <c r="F3091" s="47"/>
      <c r="G3091" s="79"/>
      <c r="H3091" s="81" t="s">
        <v>1530</v>
      </c>
      <c r="I3091" s="81" t="s">
        <v>1530</v>
      </c>
      <c r="J3091" s="80" t="s">
        <v>1530</v>
      </c>
      <c r="K3091" s="47"/>
    </row>
    <row r="3092" spans="6:24" ht="24" customHeight="1">
      <c r="F3092" s="47"/>
      <c r="G3092" s="79"/>
      <c r="H3092" s="47"/>
      <c r="I3092" s="47"/>
      <c r="J3092" s="100"/>
      <c r="K3092" s="47"/>
    </row>
    <row r="3093" spans="6:24" ht="24" customHeight="1">
      <c r="F3093" s="47"/>
      <c r="G3093" s="79"/>
      <c r="H3093" s="80" t="s">
        <v>1929</v>
      </c>
      <c r="I3093" s="47"/>
      <c r="J3093" s="100"/>
      <c r="K3093" s="47"/>
    </row>
    <row r="3094" spans="6:24" ht="24" customHeight="1">
      <c r="F3094" s="47"/>
      <c r="G3094" s="79"/>
      <c r="H3094" s="80"/>
      <c r="I3094" s="47"/>
      <c r="J3094" s="100"/>
      <c r="K3094" s="47"/>
    </row>
    <row r="3095" spans="6:24" ht="24" customHeight="1">
      <c r="F3095" s="47"/>
      <c r="G3095" s="79"/>
      <c r="H3095" s="80" t="s">
        <v>1930</v>
      </c>
      <c r="I3095" s="47"/>
      <c r="J3095" s="100"/>
      <c r="K3095" s="47"/>
    </row>
    <row r="3096" spans="6:24" ht="24" customHeight="1">
      <c r="F3096" s="47"/>
      <c r="G3096" s="79"/>
      <c r="H3096" s="80" t="s">
        <v>424</v>
      </c>
      <c r="I3096" s="47"/>
      <c r="J3096" s="100"/>
      <c r="K3096" s="47"/>
    </row>
    <row r="3097" spans="6:24" ht="24" customHeight="1">
      <c r="F3097" s="47"/>
      <c r="G3097" s="79"/>
      <c r="H3097" s="80" t="s">
        <v>425</v>
      </c>
      <c r="I3097" s="47"/>
      <c r="J3097" s="100"/>
      <c r="K3097" s="47"/>
      <c r="S3097" s="2"/>
      <c r="T3097" s="7"/>
      <c r="U3097" s="1"/>
      <c r="W3097" s="11"/>
    </row>
    <row r="3098" spans="6:24" ht="24" customHeight="1">
      <c r="F3098" s="47"/>
      <c r="G3098" s="79"/>
      <c r="H3098" s="80" t="s">
        <v>426</v>
      </c>
      <c r="I3098" s="47"/>
      <c r="J3098" s="100"/>
      <c r="K3098" s="47"/>
      <c r="S3098"/>
      <c r="U3098" s="1"/>
      <c r="W3098" s="11"/>
    </row>
    <row r="3099" spans="6:24" ht="24" customHeight="1">
      <c r="F3099" s="47"/>
      <c r="G3099" s="79"/>
      <c r="H3099" s="80" t="s">
        <v>848</v>
      </c>
      <c r="I3099" s="47"/>
      <c r="J3099" s="80" t="s">
        <v>940</v>
      </c>
      <c r="K3099" s="83">
        <v>3.7699999999999997E-2</v>
      </c>
      <c r="S3099"/>
      <c r="T3099" s="3"/>
      <c r="U3099" s="1"/>
      <c r="W3099" s="11"/>
    </row>
    <row r="3100" spans="6:24" ht="24" customHeight="1">
      <c r="F3100" s="47"/>
      <c r="G3100" s="79"/>
      <c r="H3100" s="219" t="s">
        <v>422</v>
      </c>
      <c r="I3100" s="47"/>
      <c r="J3100" s="84" t="s">
        <v>940</v>
      </c>
      <c r="K3100" s="84" t="s">
        <v>940</v>
      </c>
      <c r="S3100"/>
      <c r="T3100" s="3"/>
      <c r="U3100" s="1"/>
      <c r="W3100" s="11"/>
    </row>
    <row r="3101" spans="6:24" ht="24" customHeight="1">
      <c r="F3101" s="47"/>
      <c r="G3101" s="79"/>
      <c r="H3101" s="80" t="s">
        <v>1765</v>
      </c>
      <c r="I3101" s="47"/>
      <c r="J3101" s="100"/>
      <c r="K3101" s="84" t="s">
        <v>940</v>
      </c>
      <c r="S3101"/>
      <c r="T3101" s="3"/>
      <c r="U3101" s="1"/>
      <c r="W3101" s="11"/>
    </row>
    <row r="3102" spans="6:24" ht="31.5" customHeight="1">
      <c r="F3102" s="47"/>
      <c r="G3102" s="79"/>
      <c r="H3102" s="47"/>
      <c r="I3102" s="47"/>
      <c r="J3102" s="100"/>
      <c r="K3102" s="47"/>
      <c r="S3102"/>
      <c r="T3102" s="3"/>
      <c r="U3102" s="3" t="s">
        <v>3496</v>
      </c>
      <c r="W3102" s="11"/>
    </row>
    <row r="3103" spans="6:24" ht="24.75" customHeight="1">
      <c r="F3103" s="85">
        <v>1.18E-2</v>
      </c>
      <c r="G3103" s="86" t="s">
        <v>836</v>
      </c>
      <c r="H3103" s="80" t="s">
        <v>660</v>
      </c>
      <c r="I3103" s="87">
        <f>I2665</f>
        <v>111600</v>
      </c>
      <c r="J3103" s="80" t="s">
        <v>836</v>
      </c>
      <c r="K3103" s="87">
        <f t="shared" ref="K3103:K3111" si="291">(F3103*I3103)</f>
        <v>1316.88</v>
      </c>
      <c r="S3103"/>
      <c r="T3103" s="3"/>
      <c r="U3103" s="42"/>
      <c r="W3103" s="11"/>
    </row>
    <row r="3104" spans="6:24" ht="36" customHeight="1">
      <c r="F3104" s="85">
        <v>3.7699999999999997E-2</v>
      </c>
      <c r="G3104" s="86" t="s">
        <v>836</v>
      </c>
      <c r="H3104" s="80" t="s">
        <v>661</v>
      </c>
      <c r="I3104" s="87">
        <f t="shared" ref="I3104:I3111" si="292">I2666</f>
        <v>99400</v>
      </c>
      <c r="J3104" s="80" t="s">
        <v>836</v>
      </c>
      <c r="K3104" s="87">
        <f t="shared" si="291"/>
        <v>3747.38</v>
      </c>
      <c r="S3104"/>
      <c r="T3104" s="3"/>
      <c r="U3104" s="1" t="s">
        <v>3497</v>
      </c>
      <c r="V3104" s="384">
        <f xml:space="preserve"> 3.08*2.1</f>
        <v>6.468</v>
      </c>
      <c r="W3104" s="11" t="s">
        <v>222</v>
      </c>
      <c r="X3104" t="s">
        <v>222</v>
      </c>
    </row>
    <row r="3105" spans="6:47" ht="45" customHeight="1">
      <c r="F3105" s="85">
        <v>1.8550000000000001E-2</v>
      </c>
      <c r="G3105" s="86" t="s">
        <v>836</v>
      </c>
      <c r="H3105" s="80" t="s">
        <v>853</v>
      </c>
      <c r="I3105" s="87">
        <f t="shared" si="292"/>
        <v>11800</v>
      </c>
      <c r="J3105" s="80" t="s">
        <v>836</v>
      </c>
      <c r="K3105" s="87">
        <f t="shared" si="291"/>
        <v>218.89</v>
      </c>
      <c r="S3105"/>
      <c r="T3105" s="557"/>
      <c r="U3105" s="556" t="s">
        <v>3730</v>
      </c>
      <c r="V3105" s="558">
        <f>4*2.05*0.075*0.0375</f>
        <v>2.3060000000000001E-2</v>
      </c>
      <c r="W3105" s="559" t="s">
        <v>1289</v>
      </c>
      <c r="X3105" s="560"/>
      <c r="AE3105" s="37" t="s">
        <v>3566</v>
      </c>
      <c r="AP3105" s="37" t="s">
        <v>4139</v>
      </c>
    </row>
    <row r="3106" spans="6:47" ht="31.5" customHeight="1">
      <c r="F3106" s="85">
        <v>1.36</v>
      </c>
      <c r="G3106" s="86" t="s">
        <v>578</v>
      </c>
      <c r="H3106" s="80" t="s">
        <v>1185</v>
      </c>
      <c r="I3106" s="87">
        <f>I1058</f>
        <v>387.4</v>
      </c>
      <c r="J3106" s="80" t="s">
        <v>578</v>
      </c>
      <c r="K3106" s="87">
        <f t="shared" si="291"/>
        <v>526.86</v>
      </c>
      <c r="S3106"/>
      <c r="T3106" s="557"/>
      <c r="U3106" s="560"/>
      <c r="V3106" s="560"/>
      <c r="W3106" s="556" t="s">
        <v>1530</v>
      </c>
      <c r="X3106" s="560"/>
      <c r="AE3106" t="s">
        <v>3165</v>
      </c>
      <c r="AP3106" t="s">
        <v>3165</v>
      </c>
    </row>
    <row r="3107" spans="6:47" ht="31.5" customHeight="1">
      <c r="F3107" s="85">
        <v>2.0499999999999998</v>
      </c>
      <c r="G3107" s="86" t="s">
        <v>578</v>
      </c>
      <c r="H3107" s="80" t="s">
        <v>1449</v>
      </c>
      <c r="I3107" s="87">
        <f t="shared" si="292"/>
        <v>1105</v>
      </c>
      <c r="J3107" s="80" t="s">
        <v>578</v>
      </c>
      <c r="K3107" s="87">
        <f t="shared" si="291"/>
        <v>2265.25</v>
      </c>
      <c r="S3107"/>
      <c r="T3107" s="557"/>
      <c r="U3107" s="556" t="s">
        <v>3731</v>
      </c>
      <c r="V3107" s="558">
        <f>2*3*0.55*0.15*0.0375</f>
        <v>1.856E-2</v>
      </c>
      <c r="W3107" s="559" t="s">
        <v>1289</v>
      </c>
      <c r="X3107" s="560"/>
      <c r="AE3107" t="s">
        <v>3567</v>
      </c>
      <c r="AP3107" t="s">
        <v>3567</v>
      </c>
    </row>
    <row r="3108" spans="6:47" ht="36" customHeight="1">
      <c r="F3108" s="87">
        <v>2</v>
      </c>
      <c r="G3108" s="86" t="s">
        <v>835</v>
      </c>
      <c r="H3108" s="80" t="s">
        <v>4829</v>
      </c>
      <c r="I3108" s="542">
        <v>52.8</v>
      </c>
      <c r="J3108" s="80" t="s">
        <v>835</v>
      </c>
      <c r="K3108" s="87">
        <f t="shared" si="291"/>
        <v>105.6</v>
      </c>
      <c r="S3108"/>
      <c r="T3108" s="557"/>
      <c r="U3108" s="556" t="s">
        <v>940</v>
      </c>
      <c r="V3108" s="556" t="s">
        <v>940</v>
      </c>
      <c r="W3108" s="559"/>
      <c r="X3108" s="561" t="s">
        <v>940</v>
      </c>
      <c r="AC3108">
        <v>0.1</v>
      </c>
      <c r="AD3108" t="s">
        <v>1375</v>
      </c>
      <c r="AE3108" t="s">
        <v>621</v>
      </c>
      <c r="AF3108">
        <f>AE17</f>
        <v>760</v>
      </c>
      <c r="AG3108" t="s">
        <v>1341</v>
      </c>
      <c r="AH3108">
        <f>AC3108*AF3108</f>
        <v>76</v>
      </c>
      <c r="AM3108">
        <v>0.1</v>
      </c>
      <c r="AN3108" t="s">
        <v>1375</v>
      </c>
      <c r="AP3108" t="s">
        <v>621</v>
      </c>
      <c r="AQ3108">
        <f>AF3108</f>
        <v>760</v>
      </c>
      <c r="AR3108" t="s">
        <v>1341</v>
      </c>
      <c r="AS3108">
        <f>AQ3108*AM3108</f>
        <v>76</v>
      </c>
    </row>
    <row r="3109" spans="6:47" ht="24.75" customHeight="1">
      <c r="F3109" s="87">
        <v>6</v>
      </c>
      <c r="G3109" s="86" t="s">
        <v>835</v>
      </c>
      <c r="H3109" s="80" t="s">
        <v>1291</v>
      </c>
      <c r="I3109" s="87">
        <f t="shared" si="292"/>
        <v>45.7</v>
      </c>
      <c r="J3109" s="80" t="s">
        <v>835</v>
      </c>
      <c r="K3109" s="87">
        <f t="shared" si="291"/>
        <v>274.2</v>
      </c>
      <c r="S3109"/>
      <c r="T3109" s="557"/>
      <c r="U3109" s="560"/>
      <c r="V3109" s="560"/>
      <c r="W3109" s="556" t="s">
        <v>940</v>
      </c>
      <c r="X3109" s="556" t="s">
        <v>940</v>
      </c>
      <c r="AC3109">
        <v>0.1</v>
      </c>
      <c r="AD3109" t="s">
        <v>3568</v>
      </c>
      <c r="AE3109" t="s">
        <v>326</v>
      </c>
      <c r="AF3109">
        <f>AE11</f>
        <v>562</v>
      </c>
      <c r="AG3109" t="s">
        <v>1341</v>
      </c>
      <c r="AH3109">
        <f>AC3109*AF3109</f>
        <v>56.2</v>
      </c>
      <c r="AM3109">
        <v>0.1</v>
      </c>
      <c r="AN3109" t="s">
        <v>3568</v>
      </c>
      <c r="AP3109" t="s">
        <v>326</v>
      </c>
      <c r="AQ3109">
        <f>AF3109</f>
        <v>562</v>
      </c>
      <c r="AR3109" t="s">
        <v>1341</v>
      </c>
      <c r="AS3109">
        <f>AQ3109*AM3109</f>
        <v>56.2</v>
      </c>
    </row>
    <row r="3110" spans="6:47" ht="29.25" customHeight="1">
      <c r="F3110" s="87">
        <v>2</v>
      </c>
      <c r="G3110" s="86" t="s">
        <v>835</v>
      </c>
      <c r="H3110" s="80" t="s">
        <v>1333</v>
      </c>
      <c r="I3110" s="87">
        <f t="shared" si="292"/>
        <v>56.4</v>
      </c>
      <c r="J3110" s="80" t="s">
        <v>835</v>
      </c>
      <c r="K3110" s="87">
        <f t="shared" si="291"/>
        <v>112.8</v>
      </c>
      <c r="S3110"/>
      <c r="T3110" s="557"/>
      <c r="U3110" s="556" t="s">
        <v>2361</v>
      </c>
      <c r="V3110" s="560">
        <f>2*0.625*0.425</f>
        <v>0.53</v>
      </c>
      <c r="W3110" s="561" t="s">
        <v>940</v>
      </c>
      <c r="X3110" s="561" t="s">
        <v>940</v>
      </c>
      <c r="AC3110">
        <v>10</v>
      </c>
      <c r="AD3110" t="s">
        <v>3569</v>
      </c>
      <c r="AE3110" t="s">
        <v>4916</v>
      </c>
      <c r="AF3110" s="435">
        <v>18.3</v>
      </c>
      <c r="AG3110" t="s">
        <v>3570</v>
      </c>
      <c r="AH3110">
        <f>(AC3110*AF3110)/100</f>
        <v>1.83</v>
      </c>
      <c r="AM3110">
        <v>10</v>
      </c>
      <c r="AN3110" t="s">
        <v>3569</v>
      </c>
      <c r="AP3110" t="s">
        <v>4252</v>
      </c>
      <c r="AQ3110" s="442">
        <f>AF3110</f>
        <v>18.3</v>
      </c>
      <c r="AR3110" t="s">
        <v>3570</v>
      </c>
      <c r="AS3110">
        <f>(AQ3110*AM3110)/100</f>
        <v>1.83</v>
      </c>
    </row>
    <row r="3111" spans="6:47" ht="24" customHeight="1">
      <c r="F3111" s="87">
        <v>1</v>
      </c>
      <c r="G3111" s="86" t="s">
        <v>835</v>
      </c>
      <c r="H3111" s="80" t="s">
        <v>1360</v>
      </c>
      <c r="I3111" s="711">
        <f t="shared" si="292"/>
        <v>63.2</v>
      </c>
      <c r="J3111" s="80" t="s">
        <v>835</v>
      </c>
      <c r="K3111" s="87">
        <f t="shared" si="291"/>
        <v>63.2</v>
      </c>
      <c r="S3111"/>
      <c r="T3111" s="557"/>
      <c r="U3111" s="556" t="s">
        <v>2362</v>
      </c>
      <c r="V3111" s="560">
        <f>2*0.425*1.025</f>
        <v>0.87</v>
      </c>
      <c r="W3111" s="559"/>
      <c r="X3111" s="561">
        <v>1.26</v>
      </c>
      <c r="AC3111">
        <v>0.25</v>
      </c>
      <c r="AD3111" t="s">
        <v>1375</v>
      </c>
      <c r="AE3111" t="s">
        <v>4917</v>
      </c>
      <c r="AF3111" s="435">
        <v>3.57</v>
      </c>
      <c r="AG3111" t="s">
        <v>1341</v>
      </c>
      <c r="AH3111">
        <v>1</v>
      </c>
      <c r="AM3111">
        <v>0.25</v>
      </c>
      <c r="AN3111" t="s">
        <v>1375</v>
      </c>
      <c r="AP3111" t="s">
        <v>4253</v>
      </c>
      <c r="AQ3111" s="442">
        <f>AF3111</f>
        <v>3.57</v>
      </c>
      <c r="AR3111" t="s">
        <v>1341</v>
      </c>
      <c r="AS3111">
        <f>AQ3111*AM3111</f>
        <v>0.89</v>
      </c>
      <c r="AU3111">
        <f>3.09/0.25</f>
        <v>12.36</v>
      </c>
    </row>
    <row r="3112" spans="6:47" ht="27.75" customHeight="1">
      <c r="F3112" s="87">
        <v>6.55</v>
      </c>
      <c r="G3112" s="86" t="s">
        <v>578</v>
      </c>
      <c r="H3112" s="80" t="s">
        <v>1293</v>
      </c>
      <c r="I3112" s="87">
        <f>K1543</f>
        <v>212.24</v>
      </c>
      <c r="J3112" s="80" t="s">
        <v>578</v>
      </c>
      <c r="K3112" s="87">
        <f>(F3112*I3112)</f>
        <v>1390.17</v>
      </c>
      <c r="S3112"/>
      <c r="T3112" s="557"/>
      <c r="U3112" s="560"/>
      <c r="V3112" s="562">
        <f>SUM(V3110:V3111)</f>
        <v>1.4</v>
      </c>
      <c r="W3112" s="559" t="s">
        <v>222</v>
      </c>
      <c r="X3112" s="556" t="s">
        <v>940</v>
      </c>
      <c r="AF3112" t="s">
        <v>3571</v>
      </c>
      <c r="AH3112">
        <f>SUM(AH3108:AH3111)</f>
        <v>135.03</v>
      </c>
      <c r="AQ3112" t="s">
        <v>3571</v>
      </c>
      <c r="AS3112">
        <f>SUM(AS3108:AS3111)</f>
        <v>134.91999999999999</v>
      </c>
    </row>
    <row r="3113" spans="6:47" ht="24" customHeight="1">
      <c r="F3113" s="47">
        <v>50</v>
      </c>
      <c r="G3113" s="79" t="s">
        <v>1375</v>
      </c>
      <c r="H3113" s="80" t="s">
        <v>1283</v>
      </c>
      <c r="I3113" s="538">
        <f>I964</f>
        <v>2.39</v>
      </c>
      <c r="J3113" s="100"/>
      <c r="K3113" s="87">
        <f>(F3113*I3113)</f>
        <v>119.5</v>
      </c>
      <c r="S3113"/>
      <c r="T3113" s="3"/>
      <c r="W3113" s="11"/>
      <c r="X3113" s="18" t="s">
        <v>940</v>
      </c>
    </row>
    <row r="3114" spans="6:47" ht="26.25" customHeight="1">
      <c r="F3114" s="47"/>
      <c r="G3114" s="79"/>
      <c r="H3114" s="88"/>
      <c r="I3114" s="88"/>
      <c r="J3114" s="101"/>
      <c r="K3114" s="89" t="s">
        <v>1530</v>
      </c>
      <c r="S3114"/>
      <c r="T3114" s="3"/>
      <c r="W3114" s="11"/>
      <c r="X3114" s="1" t="s">
        <v>940</v>
      </c>
      <c r="AE3114" s="459" t="s">
        <v>433</v>
      </c>
      <c r="AF3114" t="s">
        <v>3572</v>
      </c>
      <c r="AG3114" s="459" t="s">
        <v>3572</v>
      </c>
      <c r="AH3114" s="459" t="s">
        <v>3573</v>
      </c>
      <c r="AP3114" s="459" t="s">
        <v>433</v>
      </c>
      <c r="AQ3114" s="37" t="s">
        <v>3572</v>
      </c>
      <c r="AR3114" s="563" t="s">
        <v>3573</v>
      </c>
    </row>
    <row r="3115" spans="6:47" ht="24" customHeight="1">
      <c r="F3115" s="47"/>
      <c r="G3115" s="79"/>
      <c r="H3115" s="90" t="s">
        <v>1358</v>
      </c>
      <c r="I3115" s="88"/>
      <c r="J3115" s="101"/>
      <c r="K3115" s="91">
        <f>SUM(K3103:K3113)</f>
        <v>10140.73</v>
      </c>
      <c r="S3115" s="2" t="s">
        <v>1416</v>
      </c>
      <c r="T3115" s="7"/>
      <c r="U3115" s="34" t="s">
        <v>3503</v>
      </c>
      <c r="W3115" s="11"/>
      <c r="X3115" s="1" t="s">
        <v>940</v>
      </c>
      <c r="AE3115" s="459"/>
      <c r="AF3115" s="623">
        <v>331</v>
      </c>
      <c r="AG3115" s="623">
        <v>331</v>
      </c>
      <c r="AH3115" s="623">
        <v>283</v>
      </c>
      <c r="AP3115" s="459"/>
      <c r="AR3115" s="459"/>
      <c r="AS3115" s="459"/>
    </row>
    <row r="3116" spans="6:47" ht="24" customHeight="1">
      <c r="F3116" s="47"/>
      <c r="G3116" s="86" t="s">
        <v>940</v>
      </c>
      <c r="H3116" s="88"/>
      <c r="I3116" s="88"/>
      <c r="J3116" s="101"/>
      <c r="K3116" s="89" t="s">
        <v>1530</v>
      </c>
      <c r="S3116"/>
      <c r="T3116" s="3"/>
      <c r="U3116" s="5" t="s">
        <v>1530</v>
      </c>
      <c r="W3116" s="11"/>
      <c r="AE3116" s="459" t="s">
        <v>3574</v>
      </c>
      <c r="AF3116">
        <f>AH3112</f>
        <v>135.03</v>
      </c>
      <c r="AG3116" s="459">
        <f>AH3112</f>
        <v>135.03</v>
      </c>
      <c r="AH3116" s="459">
        <f>AH3112</f>
        <v>135.03</v>
      </c>
      <c r="AP3116" s="459" t="s">
        <v>3574</v>
      </c>
      <c r="AQ3116" s="706">
        <v>96</v>
      </c>
      <c r="AR3116" s="706">
        <v>85</v>
      </c>
      <c r="AS3116" s="706">
        <v>85</v>
      </c>
    </row>
    <row r="3117" spans="6:47" ht="21" customHeight="1">
      <c r="F3117" s="47"/>
      <c r="G3117" s="79"/>
      <c r="H3117" s="90" t="s">
        <v>521</v>
      </c>
      <c r="I3117" s="88"/>
      <c r="J3117" s="101"/>
      <c r="K3117" s="91">
        <f>K3115/2.52</f>
        <v>4024.1</v>
      </c>
      <c r="S3117" s="15">
        <v>7.0699999999999999E-2</v>
      </c>
      <c r="T3117" s="7" t="s">
        <v>836</v>
      </c>
      <c r="U3117" s="1" t="s">
        <v>3498</v>
      </c>
      <c r="V3117" s="8">
        <f>P3157</f>
        <v>99400</v>
      </c>
      <c r="W3117" s="1" t="s">
        <v>836</v>
      </c>
      <c r="X3117" s="8">
        <f>V3117*S3117</f>
        <v>7027.58</v>
      </c>
      <c r="AE3117" s="459" t="s">
        <v>1758</v>
      </c>
      <c r="AF3117">
        <f>SUM(AF3115:AF3116)</f>
        <v>466.03</v>
      </c>
      <c r="AG3117" s="459">
        <f>SUM(AG3115:AG3116)</f>
        <v>466.03</v>
      </c>
      <c r="AH3117" s="459">
        <f>SUM(AH3115:AH3116)</f>
        <v>418.03</v>
      </c>
      <c r="AP3117" s="459" t="s">
        <v>1758</v>
      </c>
      <c r="AQ3117">
        <f>AS3112</f>
        <v>134.91999999999999</v>
      </c>
      <c r="AR3117" s="459">
        <f>AS3112</f>
        <v>134.91999999999999</v>
      </c>
      <c r="AS3117" s="459"/>
    </row>
    <row r="3118" spans="6:47" ht="23.25" customHeight="1">
      <c r="F3118" s="47"/>
      <c r="G3118" s="79"/>
      <c r="H3118" s="88"/>
      <c r="I3118" s="88"/>
      <c r="J3118" s="101"/>
      <c r="K3118" s="89" t="s">
        <v>1980</v>
      </c>
      <c r="S3118" s="15">
        <v>3.6659999999999999</v>
      </c>
      <c r="T3118" s="7" t="s">
        <v>578</v>
      </c>
      <c r="U3118" s="1" t="s">
        <v>3499</v>
      </c>
      <c r="V3118" s="8">
        <f>I1179</f>
        <v>208.8</v>
      </c>
      <c r="W3118" s="1" t="s">
        <v>836</v>
      </c>
      <c r="X3118" s="8">
        <f t="shared" ref="X3118:X3125" si="293">V3118*S3118</f>
        <v>765.46</v>
      </c>
      <c r="AE3118" s="459"/>
      <c r="AF3118">
        <f>ROUNDUP(AF3117,0)</f>
        <v>467</v>
      </c>
      <c r="AG3118">
        <f>ROUNDUP(AG3117,0)</f>
        <v>467</v>
      </c>
      <c r="AH3118">
        <f>ROUNDUP(AH3117,0)</f>
        <v>419</v>
      </c>
      <c r="AP3118" s="459"/>
      <c r="AQ3118" s="37">
        <f>SUM(AQ3115:AQ3117)</f>
        <v>230.92</v>
      </c>
      <c r="AR3118" s="37">
        <f>SUM(AR3115:AR3117)</f>
        <v>219.92</v>
      </c>
    </row>
    <row r="3119" spans="6:47" ht="39" customHeight="1">
      <c r="S3119" s="16">
        <v>5.16</v>
      </c>
      <c r="T3119" s="7" t="s">
        <v>578</v>
      </c>
      <c r="U3119" s="1" t="s">
        <v>2012</v>
      </c>
      <c r="V3119" s="8">
        <f>AE32</f>
        <v>1239</v>
      </c>
      <c r="W3119" s="1" t="s">
        <v>578</v>
      </c>
      <c r="X3119" s="8">
        <f t="shared" si="293"/>
        <v>6393.24</v>
      </c>
      <c r="AE3119" s="459"/>
      <c r="AF3119" s="459"/>
      <c r="AG3119" s="459"/>
      <c r="AH3119" s="459"/>
      <c r="AQ3119">
        <f>ROUNDUP(AQ3118,0)</f>
        <v>231</v>
      </c>
      <c r="AR3119">
        <f>ROUNDUP(AR3118,0)</f>
        <v>220</v>
      </c>
    </row>
    <row r="3120" spans="6:47" ht="39" customHeight="1">
      <c r="S3120" s="16">
        <v>22.66</v>
      </c>
      <c r="T3120" s="7" t="s">
        <v>3504</v>
      </c>
      <c r="U3120" s="1" t="s">
        <v>3500</v>
      </c>
      <c r="V3120" s="545">
        <v>48.7</v>
      </c>
      <c r="W3120" s="1" t="s">
        <v>578</v>
      </c>
      <c r="X3120" s="8">
        <f t="shared" si="293"/>
        <v>1103.54</v>
      </c>
    </row>
    <row r="3121" spans="6:24" ht="39" customHeight="1">
      <c r="H3121" s="37" t="s">
        <v>1186</v>
      </c>
      <c r="N3121" s="3"/>
      <c r="O3121" s="37" t="s">
        <v>3609</v>
      </c>
      <c r="Q3121" s="11"/>
      <c r="S3121" s="8">
        <v>15</v>
      </c>
      <c r="T3121" s="7" t="s">
        <v>835</v>
      </c>
      <c r="U3121" s="1" t="s">
        <v>1460</v>
      </c>
      <c r="V3121" s="8">
        <f>C282</f>
        <v>83</v>
      </c>
      <c r="W3121" s="1" t="s">
        <v>835</v>
      </c>
      <c r="X3121" s="8">
        <f t="shared" si="293"/>
        <v>1245</v>
      </c>
    </row>
    <row r="3122" spans="6:24" ht="39" customHeight="1">
      <c r="F3122">
        <v>1</v>
      </c>
      <c r="H3122" t="s">
        <v>423</v>
      </c>
      <c r="I3122" s="507">
        <v>143.97999999999999</v>
      </c>
      <c r="J3122" s="11" t="s">
        <v>1341</v>
      </c>
      <c r="K3122">
        <f>I3122</f>
        <v>143.97999999999999</v>
      </c>
      <c r="M3122">
        <v>1</v>
      </c>
      <c r="N3122" s="3"/>
      <c r="O3122" t="s">
        <v>4523</v>
      </c>
      <c r="P3122" s="435">
        <v>16.399999999999999</v>
      </c>
      <c r="Q3122" s="11" t="s">
        <v>1341</v>
      </c>
      <c r="R3122">
        <f>P3122</f>
        <v>16.399999999999999</v>
      </c>
      <c r="S3122" s="8">
        <v>10</v>
      </c>
      <c r="T3122" s="7" t="s">
        <v>835</v>
      </c>
      <c r="U3122" s="1" t="s">
        <v>3501</v>
      </c>
      <c r="V3122" s="423">
        <v>68.5</v>
      </c>
      <c r="W3122" s="1" t="s">
        <v>835</v>
      </c>
      <c r="X3122" s="8">
        <f t="shared" si="293"/>
        <v>685</v>
      </c>
    </row>
    <row r="3123" spans="6:24" ht="39" customHeight="1">
      <c r="F3123">
        <v>1</v>
      </c>
      <c r="H3123" s="55" t="s">
        <v>1187</v>
      </c>
      <c r="I3123" s="507">
        <v>49.2</v>
      </c>
      <c r="J3123" s="11" t="s">
        <v>1341</v>
      </c>
      <c r="K3123">
        <f>I3123</f>
        <v>49.2</v>
      </c>
      <c r="M3123">
        <v>1</v>
      </c>
      <c r="N3123" s="3"/>
      <c r="O3123" t="s">
        <v>4522</v>
      </c>
      <c r="P3123" s="435">
        <v>8.1</v>
      </c>
      <c r="Q3123" s="11" t="s">
        <v>1341</v>
      </c>
      <c r="R3123">
        <f>P3123</f>
        <v>8.1</v>
      </c>
      <c r="S3123" s="8">
        <v>5</v>
      </c>
      <c r="T3123" s="7" t="s">
        <v>835</v>
      </c>
      <c r="U3123" s="1" t="s">
        <v>3502</v>
      </c>
      <c r="V3123" s="8">
        <f>P3164</f>
        <v>53.4</v>
      </c>
      <c r="W3123" s="1" t="s">
        <v>835</v>
      </c>
      <c r="X3123" s="8">
        <f t="shared" si="293"/>
        <v>267</v>
      </c>
    </row>
    <row r="3124" spans="6:24" ht="39" customHeight="1">
      <c r="F3124" s="51">
        <v>0.125</v>
      </c>
      <c r="H3124" s="55" t="s">
        <v>1188</v>
      </c>
      <c r="I3124">
        <f>C15</f>
        <v>747</v>
      </c>
      <c r="J3124" s="11" t="s">
        <v>1341</v>
      </c>
      <c r="K3124">
        <f>F3124*I3124</f>
        <v>93.38</v>
      </c>
      <c r="M3124" s="51">
        <v>0.125</v>
      </c>
      <c r="N3124" s="3"/>
      <c r="O3124" s="55" t="s">
        <v>1188</v>
      </c>
      <c r="P3124" s="442">
        <f>I3124</f>
        <v>747</v>
      </c>
      <c r="Q3124" s="11" t="s">
        <v>1341</v>
      </c>
      <c r="R3124">
        <f>M3124*P3124</f>
        <v>93.38</v>
      </c>
      <c r="S3124" s="8">
        <v>5</v>
      </c>
      <c r="T3124" s="7" t="s">
        <v>835</v>
      </c>
      <c r="U3124" s="1" t="s">
        <v>1911</v>
      </c>
      <c r="V3124" s="8">
        <f>P3163</f>
        <v>7.3</v>
      </c>
      <c r="W3124" s="1" t="s">
        <v>835</v>
      </c>
      <c r="X3124" s="8">
        <f t="shared" si="293"/>
        <v>36.5</v>
      </c>
    </row>
    <row r="3125" spans="6:24" ht="39" customHeight="1">
      <c r="F3125" s="51"/>
      <c r="H3125" s="55" t="s">
        <v>2187</v>
      </c>
      <c r="K3125">
        <v>2.11</v>
      </c>
      <c r="M3125" s="51"/>
      <c r="N3125" s="3"/>
      <c r="O3125" s="55" t="s">
        <v>2187</v>
      </c>
      <c r="Q3125" s="11"/>
      <c r="R3125">
        <v>4.37</v>
      </c>
      <c r="S3125" s="8">
        <v>10</v>
      </c>
      <c r="T3125" s="7" t="s">
        <v>835</v>
      </c>
      <c r="U3125" s="1" t="s">
        <v>1284</v>
      </c>
      <c r="V3125" s="8">
        <f>I3113</f>
        <v>2.39</v>
      </c>
      <c r="W3125" s="1" t="s">
        <v>835</v>
      </c>
      <c r="X3125" s="8">
        <f t="shared" si="293"/>
        <v>23.9</v>
      </c>
    </row>
    <row r="3126" spans="6:24" ht="24" customHeight="1">
      <c r="H3126" s="92" t="s">
        <v>482</v>
      </c>
      <c r="I3126" s="37"/>
      <c r="J3126" s="99"/>
      <c r="K3126" s="37">
        <f>SUM(K3122:K3125)</f>
        <v>288.67</v>
      </c>
      <c r="N3126" s="3"/>
      <c r="O3126" s="55" t="s">
        <v>2187</v>
      </c>
      <c r="P3126" s="37"/>
      <c r="Q3126" s="99"/>
      <c r="R3126" s="37">
        <f>SUM(R3122:R3125)</f>
        <v>122.25</v>
      </c>
      <c r="S3126" s="8"/>
      <c r="T3126" s="7">
        <f>R3126-90</f>
        <v>32.25</v>
      </c>
      <c r="U3126" s="1"/>
      <c r="V3126" s="8"/>
      <c r="W3126" s="1" t="s">
        <v>835</v>
      </c>
      <c r="X3126" s="5" t="s">
        <v>1530</v>
      </c>
    </row>
    <row r="3127" spans="6:24" ht="24" customHeight="1">
      <c r="R3127">
        <f>R3126-87</f>
        <v>35.25</v>
      </c>
      <c r="S3127" s="8"/>
      <c r="T3127" s="3"/>
      <c r="U3127" s="2" t="s">
        <v>3505</v>
      </c>
      <c r="W3127" s="11"/>
      <c r="X3127" s="8">
        <f>SUM(X3117:X3125)</f>
        <v>17547.22</v>
      </c>
    </row>
    <row r="3128" spans="6:24" ht="24" customHeight="1">
      <c r="S3128"/>
      <c r="T3128" s="3"/>
      <c r="W3128" s="11"/>
      <c r="X3128" s="5" t="s">
        <v>1530</v>
      </c>
    </row>
    <row r="3129" spans="6:24" ht="24" customHeight="1">
      <c r="F3129" s="2" t="s">
        <v>432</v>
      </c>
      <c r="G3129" s="7" t="s">
        <v>2167</v>
      </c>
      <c r="H3129" s="1" t="s">
        <v>2095</v>
      </c>
      <c r="S3129"/>
      <c r="T3129" s="7" t="s">
        <v>940</v>
      </c>
      <c r="U3129" s="59" t="s">
        <v>521</v>
      </c>
      <c r="W3129" s="11"/>
      <c r="X3129" s="39">
        <f>X3127/S3119</f>
        <v>3400.62</v>
      </c>
    </row>
    <row r="3130" spans="6:24" ht="24" customHeight="1">
      <c r="H3130" s="1" t="s">
        <v>2097</v>
      </c>
      <c r="S3130"/>
      <c r="T3130" s="3"/>
      <c r="W3130" s="11"/>
      <c r="X3130" s="5" t="s">
        <v>1980</v>
      </c>
    </row>
    <row r="3131" spans="6:24" ht="24" customHeight="1">
      <c r="H3131" s="1" t="s">
        <v>2098</v>
      </c>
      <c r="S3131"/>
      <c r="T3131" s="3"/>
    </row>
    <row r="3132" spans="6:24" ht="24" customHeight="1">
      <c r="H3132" s="1" t="s">
        <v>2099</v>
      </c>
      <c r="S3132" s="2"/>
      <c r="T3132" s="7"/>
      <c r="U3132" s="1" t="s">
        <v>3506</v>
      </c>
      <c r="W3132" s="11"/>
      <c r="X3132" s="1" t="s">
        <v>940</v>
      </c>
    </row>
    <row r="3133" spans="6:24" ht="24" customHeight="1">
      <c r="H3133" s="1" t="s">
        <v>2100</v>
      </c>
      <c r="S3133"/>
      <c r="T3133" s="3"/>
      <c r="U3133" s="5" t="s">
        <v>1530</v>
      </c>
      <c r="W3133" s="11"/>
    </row>
    <row r="3134" spans="6:24" ht="24" customHeight="1">
      <c r="H3134" s="1" t="s">
        <v>2101</v>
      </c>
      <c r="S3134" s="15">
        <v>2.7400000000000001E-2</v>
      </c>
      <c r="T3134" s="7" t="s">
        <v>836</v>
      </c>
      <c r="U3134" s="1" t="s">
        <v>3498</v>
      </c>
      <c r="V3134" s="8">
        <f>V3117</f>
        <v>99400</v>
      </c>
      <c r="W3134" s="1" t="s">
        <v>836</v>
      </c>
      <c r="X3134" s="8">
        <f>V3134*S3134</f>
        <v>2723.56</v>
      </c>
    </row>
    <row r="3135" spans="6:24" ht="24" customHeight="1">
      <c r="H3135" s="5" t="s">
        <v>1530</v>
      </c>
      <c r="S3135" s="15">
        <v>1.1599999999999999</v>
      </c>
      <c r="T3135" s="7" t="s">
        <v>578</v>
      </c>
      <c r="U3135" s="1" t="s">
        <v>3499</v>
      </c>
      <c r="V3135" s="8">
        <f t="shared" ref="V3135:V3142" si="294">V3118</f>
        <v>208.8</v>
      </c>
      <c r="W3135" s="1" t="s">
        <v>836</v>
      </c>
      <c r="X3135" s="8">
        <f t="shared" ref="X3135:X3142" si="295">V3135*S3135</f>
        <v>242.21</v>
      </c>
    </row>
    <row r="3136" spans="6:24" ht="24" customHeight="1">
      <c r="H3136" s="1" t="s">
        <v>1738</v>
      </c>
      <c r="M3136" s="2" t="s">
        <v>432</v>
      </c>
      <c r="N3136" s="7" t="s">
        <v>2167</v>
      </c>
      <c r="O3136" s="1" t="s">
        <v>2095</v>
      </c>
      <c r="Q3136" s="11"/>
      <c r="S3136" s="16">
        <v>1.74</v>
      </c>
      <c r="T3136" s="7" t="s">
        <v>578</v>
      </c>
      <c r="U3136" s="1" t="s">
        <v>2012</v>
      </c>
      <c r="V3136" s="8">
        <f t="shared" si="294"/>
        <v>1239</v>
      </c>
      <c r="W3136" s="1" t="s">
        <v>578</v>
      </c>
      <c r="X3136" s="8">
        <f t="shared" si="295"/>
        <v>2155.86</v>
      </c>
    </row>
    <row r="3137" spans="6:24" ht="24" customHeight="1">
      <c r="H3137" s="1" t="s">
        <v>2102</v>
      </c>
      <c r="N3137" s="3"/>
      <c r="O3137" s="1" t="s">
        <v>2097</v>
      </c>
      <c r="Q3137" s="11"/>
      <c r="S3137" s="16">
        <v>8.74</v>
      </c>
      <c r="T3137" s="7" t="s">
        <v>3504</v>
      </c>
      <c r="U3137" s="1" t="s">
        <v>3500</v>
      </c>
      <c r="V3137" s="8">
        <f t="shared" si="294"/>
        <v>48.7</v>
      </c>
      <c r="W3137" s="1" t="s">
        <v>578</v>
      </c>
      <c r="X3137" s="8">
        <f t="shared" si="295"/>
        <v>425.64</v>
      </c>
    </row>
    <row r="3138" spans="6:24" ht="24" customHeight="1">
      <c r="J3138" s="1" t="s">
        <v>1530</v>
      </c>
      <c r="N3138" s="3"/>
      <c r="O3138" s="1" t="s">
        <v>2098</v>
      </c>
      <c r="Q3138" s="11"/>
      <c r="S3138" s="8">
        <v>6</v>
      </c>
      <c r="T3138" s="7" t="s">
        <v>835</v>
      </c>
      <c r="U3138" s="1" t="s">
        <v>1460</v>
      </c>
      <c r="V3138" s="8">
        <f t="shared" si="294"/>
        <v>83</v>
      </c>
      <c r="W3138" s="1" t="s">
        <v>835</v>
      </c>
      <c r="X3138" s="8">
        <f t="shared" si="295"/>
        <v>498</v>
      </c>
    </row>
    <row r="3139" spans="6:24" ht="24" customHeight="1">
      <c r="H3139" s="1" t="s">
        <v>1210</v>
      </c>
      <c r="N3139" s="3"/>
      <c r="O3139" s="1" t="s">
        <v>2099</v>
      </c>
      <c r="Q3139" s="11"/>
      <c r="S3139" s="8">
        <v>4</v>
      </c>
      <c r="T3139" s="7" t="s">
        <v>835</v>
      </c>
      <c r="U3139" s="1" t="s">
        <v>3501</v>
      </c>
      <c r="V3139" s="8">
        <f t="shared" si="294"/>
        <v>68.5</v>
      </c>
      <c r="W3139" s="1" t="s">
        <v>835</v>
      </c>
      <c r="X3139" s="8">
        <f t="shared" si="295"/>
        <v>274</v>
      </c>
    </row>
    <row r="3140" spans="6:24" ht="24" customHeight="1">
      <c r="H3140" s="1" t="s">
        <v>940</v>
      </c>
      <c r="I3140" s="1" t="s">
        <v>940</v>
      </c>
      <c r="K3140" s="18" t="s">
        <v>940</v>
      </c>
      <c r="N3140" s="3"/>
      <c r="O3140" s="1" t="s">
        <v>2100</v>
      </c>
      <c r="Q3140" s="11"/>
      <c r="S3140" s="8">
        <v>2</v>
      </c>
      <c r="T3140" s="7" t="s">
        <v>835</v>
      </c>
      <c r="U3140" s="1" t="s">
        <v>3502</v>
      </c>
      <c r="V3140" s="8">
        <f t="shared" si="294"/>
        <v>53.4</v>
      </c>
      <c r="W3140" s="1" t="s">
        <v>835</v>
      </c>
      <c r="X3140" s="8">
        <f t="shared" si="295"/>
        <v>106.8</v>
      </c>
    </row>
    <row r="3141" spans="6:24" ht="24" customHeight="1">
      <c r="J3141" s="1" t="s">
        <v>940</v>
      </c>
      <c r="K3141" s="1" t="s">
        <v>940</v>
      </c>
      <c r="N3141" s="3"/>
      <c r="O3141" s="1" t="s">
        <v>2101</v>
      </c>
      <c r="Q3141" s="11"/>
      <c r="S3141" s="8">
        <v>2</v>
      </c>
      <c r="T3141" s="7" t="s">
        <v>835</v>
      </c>
      <c r="U3141" s="1" t="s">
        <v>1911</v>
      </c>
      <c r="V3141" s="8">
        <f t="shared" si="294"/>
        <v>7.3</v>
      </c>
      <c r="W3141" s="1" t="s">
        <v>835</v>
      </c>
      <c r="X3141" s="8">
        <f t="shared" si="295"/>
        <v>14.6</v>
      </c>
    </row>
    <row r="3142" spans="6:24" ht="24" customHeight="1">
      <c r="H3142" s="1" t="s">
        <v>2982</v>
      </c>
      <c r="J3142" s="18" t="s">
        <v>940</v>
      </c>
      <c r="K3142" s="18" t="s">
        <v>940</v>
      </c>
      <c r="N3142" s="3"/>
      <c r="O3142" s="42" t="s">
        <v>2359</v>
      </c>
      <c r="Q3142" s="11"/>
      <c r="S3142" s="8">
        <v>10</v>
      </c>
      <c r="T3142" s="7" t="s">
        <v>835</v>
      </c>
      <c r="U3142" s="1" t="s">
        <v>1284</v>
      </c>
      <c r="V3142" s="8">
        <f t="shared" si="294"/>
        <v>2.39</v>
      </c>
      <c r="W3142" s="1" t="s">
        <v>835</v>
      </c>
      <c r="X3142" s="8">
        <f t="shared" si="295"/>
        <v>23.9</v>
      </c>
    </row>
    <row r="3143" spans="6:24" ht="24" customHeight="1">
      <c r="H3143" s="1" t="s">
        <v>2983</v>
      </c>
      <c r="K3143" s="18">
        <v>1.26</v>
      </c>
      <c r="N3143" s="3"/>
      <c r="O3143" s="1" t="s">
        <v>2360</v>
      </c>
      <c r="P3143" s="384">
        <f>1.1*2.05</f>
        <v>2.2549999999999999</v>
      </c>
      <c r="Q3143" s="11" t="s">
        <v>222</v>
      </c>
      <c r="S3143" s="8"/>
      <c r="T3143" s="7"/>
      <c r="U3143" s="1"/>
      <c r="V3143" s="8"/>
      <c r="W3143" s="1" t="s">
        <v>835</v>
      </c>
      <c r="X3143" s="5" t="s">
        <v>1530</v>
      </c>
    </row>
    <row r="3144" spans="6:24" ht="24" customHeight="1">
      <c r="K3144" s="1" t="s">
        <v>940</v>
      </c>
      <c r="N3144" s="3"/>
      <c r="O3144" s="1" t="s">
        <v>3694</v>
      </c>
      <c r="P3144" s="170">
        <f>2*2.05*0.075*0.0375</f>
        <v>1.153E-2</v>
      </c>
      <c r="Q3144" s="11" t="s">
        <v>1289</v>
      </c>
      <c r="S3144" s="8"/>
      <c r="T3144" s="3"/>
      <c r="U3144" s="2" t="s">
        <v>3507</v>
      </c>
      <c r="W3144" s="11"/>
      <c r="X3144" s="8">
        <f>SUM(X3134:X3142)</f>
        <v>6464.57</v>
      </c>
    </row>
    <row r="3145" spans="6:24" ht="24" customHeight="1">
      <c r="K3145" s="18" t="s">
        <v>940</v>
      </c>
      <c r="N3145" s="3"/>
      <c r="Q3145" s="1" t="s">
        <v>1530</v>
      </c>
      <c r="S3145"/>
      <c r="T3145" s="3"/>
      <c r="W3145" s="11"/>
      <c r="X3145" s="5" t="s">
        <v>1530</v>
      </c>
    </row>
    <row r="3146" spans="6:24" ht="24" customHeight="1">
      <c r="K3146" s="1" t="s">
        <v>940</v>
      </c>
      <c r="N3146" s="3"/>
      <c r="O3146" s="1" t="s">
        <v>3695</v>
      </c>
      <c r="P3146" s="170">
        <f>1*3*1.1*0.15*0.0375</f>
        <v>1.856E-2</v>
      </c>
      <c r="Q3146" s="11" t="s">
        <v>1289</v>
      </c>
      <c r="S3146"/>
      <c r="T3146" s="7" t="s">
        <v>940</v>
      </c>
      <c r="U3146" s="59" t="s">
        <v>521</v>
      </c>
      <c r="W3146" s="11"/>
      <c r="X3146" s="39">
        <f>X3144/S3136</f>
        <v>3715.27</v>
      </c>
    </row>
    <row r="3147" spans="6:24" ht="24" customHeight="1">
      <c r="F3147" s="2" t="s">
        <v>1416</v>
      </c>
      <c r="G3147" s="7"/>
      <c r="H3147" s="1" t="s">
        <v>1750</v>
      </c>
      <c r="K3147" s="1" t="s">
        <v>940</v>
      </c>
      <c r="N3147" s="3"/>
      <c r="O3147" s="1" t="s">
        <v>940</v>
      </c>
      <c r="P3147" s="1" t="s">
        <v>940</v>
      </c>
      <c r="Q3147" s="11"/>
      <c r="R3147" s="18" t="s">
        <v>940</v>
      </c>
      <c r="S3147"/>
      <c r="T3147" s="3"/>
      <c r="W3147" s="11"/>
      <c r="X3147" s="5" t="s">
        <v>1980</v>
      </c>
    </row>
    <row r="3148" spans="6:24" ht="24" customHeight="1">
      <c r="H3148" s="5" t="s">
        <v>1530</v>
      </c>
      <c r="N3148" s="3"/>
      <c r="Q3148" s="1" t="s">
        <v>940</v>
      </c>
      <c r="R3148" s="1" t="s">
        <v>940</v>
      </c>
    </row>
    <row r="3149" spans="6:24" ht="24" customHeight="1">
      <c r="F3149" s="15">
        <v>1.153E-2</v>
      </c>
      <c r="G3149" s="7" t="s">
        <v>836</v>
      </c>
      <c r="H3149" s="1" t="s">
        <v>660</v>
      </c>
      <c r="I3149" s="8">
        <f>AC26</f>
        <v>111600</v>
      </c>
      <c r="J3149" s="1" t="s">
        <v>836</v>
      </c>
      <c r="K3149" s="8">
        <f>I3149*F3149</f>
        <v>1286.75</v>
      </c>
      <c r="N3149" s="3"/>
      <c r="O3149" s="1" t="s">
        <v>3696</v>
      </c>
      <c r="P3149">
        <f>1*0.625*0.975</f>
        <v>0.61</v>
      </c>
      <c r="Q3149" s="18" t="s">
        <v>940</v>
      </c>
      <c r="R3149" s="18" t="s">
        <v>940</v>
      </c>
    </row>
    <row r="3150" spans="6:24" ht="24" customHeight="1">
      <c r="F3150" s="16">
        <v>1.52E-2</v>
      </c>
      <c r="G3150" s="7" t="s">
        <v>836</v>
      </c>
      <c r="H3150" s="1" t="s">
        <v>661</v>
      </c>
      <c r="I3150" s="8">
        <f>AC27</f>
        <v>99400</v>
      </c>
      <c r="J3150" s="1" t="s">
        <v>836</v>
      </c>
      <c r="K3150" s="8">
        <f t="shared" ref="K3150:K3158" si="296">I3150*F3150</f>
        <v>1510.88</v>
      </c>
      <c r="N3150" s="3"/>
      <c r="O3150" s="1" t="s">
        <v>2362</v>
      </c>
      <c r="P3150">
        <f>1*0.975*1.025</f>
        <v>1</v>
      </c>
      <c r="Q3150" s="11"/>
      <c r="R3150" s="18">
        <v>1.26</v>
      </c>
      <c r="U3150" s="34" t="s">
        <v>4242</v>
      </c>
    </row>
    <row r="3151" spans="6:24" ht="24" customHeight="1">
      <c r="F3151" s="16">
        <f>K3143</f>
        <v>1.26</v>
      </c>
      <c r="G3151" s="7" t="s">
        <v>578</v>
      </c>
      <c r="H3151" s="1" t="s">
        <v>2011</v>
      </c>
      <c r="I3151" s="8">
        <f>C786</f>
        <v>387.4</v>
      </c>
      <c r="J3151" s="1" t="s">
        <v>578</v>
      </c>
      <c r="K3151" s="8">
        <f t="shared" si="296"/>
        <v>488.12</v>
      </c>
      <c r="N3151" s="3"/>
      <c r="P3151" s="37">
        <f>SUM(P3149:P3150)</f>
        <v>1.61</v>
      </c>
      <c r="Q3151" s="11" t="s">
        <v>222</v>
      </c>
      <c r="R3151" s="1" t="s">
        <v>940</v>
      </c>
      <c r="S3151" s="1534" t="s">
        <v>4243</v>
      </c>
      <c r="T3151" s="1534"/>
      <c r="U3151" s="51">
        <f>2*2*0.075*0.0375*1.95</f>
        <v>2.1999999999999999E-2</v>
      </c>
    </row>
    <row r="3152" spans="6:24" ht="24" customHeight="1">
      <c r="F3152" s="16">
        <v>1.845</v>
      </c>
      <c r="G3152" s="7" t="s">
        <v>578</v>
      </c>
      <c r="H3152" s="1" t="s">
        <v>2012</v>
      </c>
      <c r="I3152" s="8">
        <f>D30</f>
        <v>1105</v>
      </c>
      <c r="J3152" s="1" t="s">
        <v>578</v>
      </c>
      <c r="K3152" s="8">
        <f t="shared" si="296"/>
        <v>2038.73</v>
      </c>
      <c r="N3152" s="3"/>
      <c r="Q3152" s="11"/>
      <c r="R3152" s="18" t="s">
        <v>940</v>
      </c>
      <c r="S3152" s="759" t="s">
        <v>4244</v>
      </c>
      <c r="T3152" s="3"/>
      <c r="U3152" s="170">
        <f>2*2*0.065*0.075*0.375</f>
        <v>7.3099999999999997E-3</v>
      </c>
    </row>
    <row r="3153" spans="6:24" ht="24" customHeight="1">
      <c r="F3153" s="8">
        <v>2</v>
      </c>
      <c r="G3153" s="7" t="s">
        <v>835</v>
      </c>
      <c r="H3153" s="1" t="s">
        <v>2013</v>
      </c>
      <c r="I3153" s="8">
        <f>C287</f>
        <v>60</v>
      </c>
      <c r="J3153" s="1" t="s">
        <v>835</v>
      </c>
      <c r="K3153" s="8">
        <f t="shared" si="296"/>
        <v>120</v>
      </c>
      <c r="N3153" s="3"/>
      <c r="Q3153" s="11"/>
      <c r="R3153" s="1" t="s">
        <v>940</v>
      </c>
      <c r="S3153" s="759"/>
      <c r="T3153" s="3"/>
      <c r="U3153" s="157">
        <f>SUM(U3151:U3152)</f>
        <v>2.93E-2</v>
      </c>
      <c r="V3153" t="s">
        <v>4245</v>
      </c>
    </row>
    <row r="3154" spans="6:24" ht="24" customHeight="1">
      <c r="F3154" s="8">
        <v>3</v>
      </c>
      <c r="G3154" s="7" t="s">
        <v>835</v>
      </c>
      <c r="H3154" s="1" t="s">
        <v>1460</v>
      </c>
      <c r="I3154" s="8">
        <f>C282</f>
        <v>83</v>
      </c>
      <c r="J3154" s="1" t="s">
        <v>835</v>
      </c>
      <c r="K3154" s="8">
        <f t="shared" si="296"/>
        <v>249</v>
      </c>
      <c r="M3154" s="2" t="s">
        <v>1416</v>
      </c>
      <c r="N3154" s="7"/>
      <c r="O3154" s="1" t="s">
        <v>2363</v>
      </c>
      <c r="Q3154" s="11"/>
      <c r="R3154" s="1" t="s">
        <v>940</v>
      </c>
      <c r="S3154" s="759" t="s">
        <v>4246</v>
      </c>
      <c r="T3154" s="3"/>
      <c r="U3154" s="51">
        <f>2*0.65*1.95</f>
        <v>2.5350000000000001</v>
      </c>
      <c r="V3154" t="s">
        <v>878</v>
      </c>
    </row>
    <row r="3155" spans="6:24" ht="24" customHeight="1">
      <c r="F3155" s="8">
        <v>1</v>
      </c>
      <c r="G3155" s="7" t="s">
        <v>835</v>
      </c>
      <c r="H3155" s="1" t="s">
        <v>1910</v>
      </c>
      <c r="I3155" s="8">
        <f>C289</f>
        <v>167.6</v>
      </c>
      <c r="J3155" s="1" t="s">
        <v>835</v>
      </c>
      <c r="K3155" s="8">
        <f t="shared" si="296"/>
        <v>167.6</v>
      </c>
      <c r="N3155" s="3"/>
      <c r="O3155" s="5" t="s">
        <v>1530</v>
      </c>
      <c r="Q3155" s="11"/>
      <c r="S3155" s="759" t="s">
        <v>4247</v>
      </c>
      <c r="T3155" s="3"/>
      <c r="U3155" s="51">
        <f>1*2*0.525*1.825</f>
        <v>1.9159999999999999</v>
      </c>
      <c r="V3155" t="s">
        <v>4248</v>
      </c>
    </row>
    <row r="3156" spans="6:24" ht="24" customHeight="1">
      <c r="F3156" s="8">
        <v>1</v>
      </c>
      <c r="G3156" s="7" t="s">
        <v>835</v>
      </c>
      <c r="H3156" s="1" t="s">
        <v>1911</v>
      </c>
      <c r="I3156" s="8">
        <f>C291</f>
        <v>7.3</v>
      </c>
      <c r="J3156" s="1" t="s">
        <v>835</v>
      </c>
      <c r="K3156" s="8">
        <f t="shared" si="296"/>
        <v>7.3</v>
      </c>
      <c r="M3156" s="15">
        <f>P3144</f>
        <v>1.153E-2</v>
      </c>
      <c r="N3156" s="7" t="s">
        <v>836</v>
      </c>
      <c r="O3156" s="1" t="s">
        <v>660</v>
      </c>
      <c r="P3156" s="8">
        <f>I3149</f>
        <v>111600</v>
      </c>
      <c r="Q3156" s="1" t="s">
        <v>836</v>
      </c>
      <c r="R3156" s="8">
        <f>P3156*M3156</f>
        <v>1286.75</v>
      </c>
      <c r="S3156" s="759" t="s">
        <v>4249</v>
      </c>
      <c r="T3156" s="3"/>
      <c r="U3156" s="51">
        <f>2*2*(0.525+1.825)</f>
        <v>9.4</v>
      </c>
      <c r="V3156" t="s">
        <v>4250</v>
      </c>
    </row>
    <row r="3157" spans="6:24" ht="24" customHeight="1">
      <c r="F3157" s="8">
        <v>1</v>
      </c>
      <c r="G3157" s="7" t="s">
        <v>835</v>
      </c>
      <c r="H3157" s="1" t="s">
        <v>1912</v>
      </c>
      <c r="I3157" s="8">
        <f>C601</f>
        <v>53.4</v>
      </c>
      <c r="J3157" s="1" t="s">
        <v>835</v>
      </c>
      <c r="K3157" s="8">
        <f t="shared" si="296"/>
        <v>53.4</v>
      </c>
      <c r="M3157" s="15">
        <f>P3146</f>
        <v>1.856E-2</v>
      </c>
      <c r="N3157" s="7" t="s">
        <v>836</v>
      </c>
      <c r="O3157" s="1" t="s">
        <v>661</v>
      </c>
      <c r="P3157" s="8">
        <f t="shared" ref="P3157:P3165" si="297">I3150</f>
        <v>99400</v>
      </c>
      <c r="Q3157" s="1" t="s">
        <v>836</v>
      </c>
      <c r="R3157" s="8">
        <f t="shared" ref="R3157:R3166" si="298">P3157*M3157</f>
        <v>1844.86</v>
      </c>
      <c r="S3157" s="2"/>
      <c r="T3157" s="7"/>
      <c r="W3157" s="11"/>
      <c r="X3157" s="1" t="s">
        <v>940</v>
      </c>
    </row>
    <row r="3158" spans="6:24" ht="24" customHeight="1">
      <c r="F3158" s="8">
        <v>1</v>
      </c>
      <c r="G3158" s="7" t="s">
        <v>835</v>
      </c>
      <c r="H3158" s="1" t="s">
        <v>1913</v>
      </c>
      <c r="I3158" s="8">
        <f>D601</f>
        <v>45.9</v>
      </c>
      <c r="J3158" s="1" t="s">
        <v>835</v>
      </c>
      <c r="K3158" s="8">
        <f t="shared" si="296"/>
        <v>45.9</v>
      </c>
      <c r="M3158" s="16">
        <f>P3151</f>
        <v>1.61</v>
      </c>
      <c r="N3158" s="7" t="s">
        <v>578</v>
      </c>
      <c r="O3158" s="1" t="s">
        <v>2011</v>
      </c>
      <c r="P3158" s="8">
        <f t="shared" si="297"/>
        <v>387.4</v>
      </c>
      <c r="Q3158" s="1" t="s">
        <v>578</v>
      </c>
      <c r="R3158" s="8">
        <f t="shared" si="298"/>
        <v>623.71</v>
      </c>
      <c r="S3158"/>
      <c r="T3158" s="3"/>
      <c r="U3158" s="5" t="s">
        <v>1530</v>
      </c>
      <c r="W3158" s="11"/>
    </row>
    <row r="3159" spans="6:24" ht="24" customHeight="1">
      <c r="H3159" s="111" t="s">
        <v>1284</v>
      </c>
      <c r="K3159" s="6">
        <f>10*2.18</f>
        <v>21.8</v>
      </c>
      <c r="M3159" s="16">
        <f>P3143</f>
        <v>2.2549999999999999</v>
      </c>
      <c r="N3159" s="7" t="s">
        <v>578</v>
      </c>
      <c r="O3159" s="1" t="s">
        <v>2012</v>
      </c>
      <c r="P3159" s="8">
        <f t="shared" si="297"/>
        <v>1105</v>
      </c>
      <c r="Q3159" s="1" t="s">
        <v>578</v>
      </c>
      <c r="R3159" s="8">
        <f t="shared" si="298"/>
        <v>2491.7800000000002</v>
      </c>
      <c r="S3159" s="15">
        <v>9.2099999999999994E-3</v>
      </c>
      <c r="T3159" s="7" t="s">
        <v>836</v>
      </c>
      <c r="U3159" s="1" t="s">
        <v>3498</v>
      </c>
      <c r="V3159" s="8">
        <f>V3134</f>
        <v>99400</v>
      </c>
      <c r="W3159" s="1" t="s">
        <v>836</v>
      </c>
      <c r="X3159" s="8">
        <f>V3159*S3159</f>
        <v>915.47</v>
      </c>
    </row>
    <row r="3160" spans="6:24" ht="24" customHeight="1">
      <c r="H3160" s="2" t="s">
        <v>427</v>
      </c>
      <c r="K3160" s="8">
        <f>SUM(K3149:K3159)</f>
        <v>5989.48</v>
      </c>
      <c r="M3160" s="8">
        <v>2</v>
      </c>
      <c r="N3160" s="7" t="s">
        <v>835</v>
      </c>
      <c r="O3160" s="1" t="s">
        <v>2013</v>
      </c>
      <c r="P3160" s="8">
        <f t="shared" si="297"/>
        <v>60</v>
      </c>
      <c r="Q3160" s="1" t="s">
        <v>835</v>
      </c>
      <c r="R3160" s="8">
        <f t="shared" si="298"/>
        <v>120</v>
      </c>
      <c r="S3160" s="15">
        <v>0.65249999999999997</v>
      </c>
      <c r="T3160" s="7" t="s">
        <v>578</v>
      </c>
      <c r="U3160" s="1" t="s">
        <v>3499</v>
      </c>
      <c r="V3160" s="8">
        <f>V3135</f>
        <v>208.8</v>
      </c>
      <c r="W3160" s="1" t="s">
        <v>836</v>
      </c>
      <c r="X3160" s="8">
        <f t="shared" ref="X3160:X3167" si="299">V3160*S3160</f>
        <v>136.24</v>
      </c>
    </row>
    <row r="3161" spans="6:24" ht="24" customHeight="1">
      <c r="G3161" s="7" t="s">
        <v>940</v>
      </c>
      <c r="K3161" s="5" t="s">
        <v>1530</v>
      </c>
      <c r="M3161" s="8">
        <v>3</v>
      </c>
      <c r="N3161" s="7" t="s">
        <v>835</v>
      </c>
      <c r="O3161" s="1" t="s">
        <v>1460</v>
      </c>
      <c r="P3161" s="8">
        <f t="shared" si="297"/>
        <v>83</v>
      </c>
      <c r="Q3161" s="1" t="s">
        <v>835</v>
      </c>
      <c r="R3161" s="8">
        <f t="shared" si="298"/>
        <v>249</v>
      </c>
      <c r="S3161" s="16">
        <v>0.879</v>
      </c>
      <c r="T3161" s="7" t="s">
        <v>578</v>
      </c>
      <c r="U3161" s="1" t="s">
        <v>2012</v>
      </c>
      <c r="V3161" s="8">
        <f t="shared" ref="V3161:V3166" si="300">V3136</f>
        <v>1239</v>
      </c>
      <c r="W3161" s="1" t="s">
        <v>578</v>
      </c>
      <c r="X3161" s="8">
        <f t="shared" si="299"/>
        <v>1089.08</v>
      </c>
    </row>
    <row r="3162" spans="6:24" ht="24" customHeight="1">
      <c r="H3162" s="59" t="s">
        <v>521</v>
      </c>
      <c r="K3162" s="39">
        <f>K3160/F3152</f>
        <v>3246.33</v>
      </c>
      <c r="M3162" s="8">
        <v>1</v>
      </c>
      <c r="N3162" s="7" t="s">
        <v>835</v>
      </c>
      <c r="O3162" s="1" t="s">
        <v>1910</v>
      </c>
      <c r="P3162" s="8">
        <f t="shared" si="297"/>
        <v>167.6</v>
      </c>
      <c r="Q3162" s="1" t="s">
        <v>835</v>
      </c>
      <c r="R3162" s="8">
        <f t="shared" si="298"/>
        <v>167.6</v>
      </c>
      <c r="S3162" s="16">
        <v>4.3250000000000002</v>
      </c>
      <c r="T3162" s="7" t="s">
        <v>3504</v>
      </c>
      <c r="U3162" s="1" t="s">
        <v>3500</v>
      </c>
      <c r="V3162" s="8">
        <f t="shared" si="300"/>
        <v>48.7</v>
      </c>
      <c r="W3162" s="1" t="s">
        <v>578</v>
      </c>
      <c r="X3162" s="8">
        <f t="shared" si="299"/>
        <v>210.63</v>
      </c>
    </row>
    <row r="3163" spans="6:24" ht="24" customHeight="1">
      <c r="K3163" s="5" t="s">
        <v>1980</v>
      </c>
      <c r="M3163" s="8">
        <v>1</v>
      </c>
      <c r="N3163" s="7" t="s">
        <v>835</v>
      </c>
      <c r="O3163" s="1" t="s">
        <v>1911</v>
      </c>
      <c r="P3163" s="8">
        <f t="shared" si="297"/>
        <v>7.3</v>
      </c>
      <c r="Q3163" s="1" t="s">
        <v>835</v>
      </c>
      <c r="R3163" s="8">
        <f t="shared" si="298"/>
        <v>7.3</v>
      </c>
      <c r="S3163" s="8">
        <v>3</v>
      </c>
      <c r="T3163" s="7" t="s">
        <v>835</v>
      </c>
      <c r="U3163" s="1" t="s">
        <v>1460</v>
      </c>
      <c r="V3163" s="8">
        <f t="shared" si="300"/>
        <v>83</v>
      </c>
      <c r="W3163" s="1" t="s">
        <v>835</v>
      </c>
      <c r="X3163" s="8">
        <f t="shared" si="299"/>
        <v>249</v>
      </c>
    </row>
    <row r="3164" spans="6:24" ht="24" customHeight="1">
      <c r="M3164" s="8">
        <v>1</v>
      </c>
      <c r="N3164" s="7" t="s">
        <v>835</v>
      </c>
      <c r="O3164" s="1" t="s">
        <v>1912</v>
      </c>
      <c r="P3164" s="8">
        <f t="shared" si="297"/>
        <v>53.4</v>
      </c>
      <c r="Q3164" s="1" t="s">
        <v>835</v>
      </c>
      <c r="R3164" s="8">
        <f t="shared" si="298"/>
        <v>53.4</v>
      </c>
      <c r="S3164" s="8">
        <v>2</v>
      </c>
      <c r="T3164" s="7" t="s">
        <v>835</v>
      </c>
      <c r="U3164" s="1" t="s">
        <v>3501</v>
      </c>
      <c r="V3164" s="8">
        <f t="shared" si="300"/>
        <v>68.5</v>
      </c>
      <c r="W3164" s="1" t="s">
        <v>835</v>
      </c>
      <c r="X3164" s="8">
        <f t="shared" si="299"/>
        <v>137</v>
      </c>
    </row>
    <row r="3165" spans="6:24" ht="24" customHeight="1">
      <c r="M3165" s="8">
        <v>1</v>
      </c>
      <c r="N3165" s="7" t="s">
        <v>835</v>
      </c>
      <c r="O3165" s="1" t="s">
        <v>1913</v>
      </c>
      <c r="P3165" s="8">
        <f t="shared" si="297"/>
        <v>45.9</v>
      </c>
      <c r="Q3165" s="1" t="s">
        <v>835</v>
      </c>
      <c r="R3165" s="8">
        <f t="shared" si="298"/>
        <v>45.9</v>
      </c>
      <c r="S3165" s="8">
        <v>1</v>
      </c>
      <c r="T3165" s="7" t="s">
        <v>835</v>
      </c>
      <c r="U3165" s="1" t="s">
        <v>3502</v>
      </c>
      <c r="V3165" s="8">
        <f t="shared" si="300"/>
        <v>53.4</v>
      </c>
      <c r="W3165" s="1" t="s">
        <v>835</v>
      </c>
      <c r="X3165" s="8">
        <f t="shared" si="299"/>
        <v>53.4</v>
      </c>
    </row>
    <row r="3166" spans="6:24" ht="24" customHeight="1">
      <c r="M3166" s="8">
        <v>58</v>
      </c>
      <c r="N3166" s="3"/>
      <c r="O3166" s="111" t="s">
        <v>1284</v>
      </c>
      <c r="P3166">
        <f>P2867</f>
        <v>2.39</v>
      </c>
      <c r="Q3166" s="11"/>
      <c r="R3166" s="8">
        <f t="shared" si="298"/>
        <v>138.62</v>
      </c>
      <c r="S3166" s="8">
        <v>1</v>
      </c>
      <c r="T3166" s="7" t="s">
        <v>835</v>
      </c>
      <c r="U3166" s="1" t="s">
        <v>1911</v>
      </c>
      <c r="V3166" s="8">
        <f t="shared" si="300"/>
        <v>7.3</v>
      </c>
      <c r="W3166" s="1" t="s">
        <v>835</v>
      </c>
      <c r="X3166" s="8">
        <f t="shared" si="299"/>
        <v>7.3</v>
      </c>
    </row>
    <row r="3167" spans="6:24" ht="24" customHeight="1">
      <c r="N3167" s="3"/>
      <c r="O3167" s="2" t="s">
        <v>3345</v>
      </c>
      <c r="Q3167" s="11"/>
      <c r="R3167" s="8">
        <f>SUM(R3156:R3166)</f>
        <v>7028.92</v>
      </c>
      <c r="S3167" s="8">
        <v>36</v>
      </c>
      <c r="T3167" s="7" t="s">
        <v>835</v>
      </c>
      <c r="U3167" s="1" t="s">
        <v>1284</v>
      </c>
      <c r="V3167" s="8">
        <f>V3142</f>
        <v>2.39</v>
      </c>
      <c r="W3167" s="1" t="s">
        <v>835</v>
      </c>
      <c r="X3167" s="8">
        <f t="shared" si="299"/>
        <v>86.04</v>
      </c>
    </row>
    <row r="3168" spans="6:24" ht="24" customHeight="1">
      <c r="N3168" s="7" t="s">
        <v>940</v>
      </c>
      <c r="Q3168" s="11"/>
      <c r="R3168" s="5" t="s">
        <v>1530</v>
      </c>
      <c r="S3168" s="8"/>
      <c r="T3168" s="7"/>
      <c r="U3168" s="1"/>
      <c r="V3168" s="8"/>
      <c r="W3168" s="1" t="s">
        <v>835</v>
      </c>
      <c r="X3168" s="5" t="s">
        <v>1530</v>
      </c>
    </row>
    <row r="3169" spans="6:24" ht="24" customHeight="1">
      <c r="H3169" t="s">
        <v>4146</v>
      </c>
      <c r="J3169"/>
      <c r="N3169" s="3"/>
      <c r="O3169" s="59" t="s">
        <v>521</v>
      </c>
      <c r="Q3169" s="11"/>
      <c r="R3169" s="39">
        <f>R3167/M3159</f>
        <v>3117.04</v>
      </c>
      <c r="S3169" s="8"/>
      <c r="T3169" s="3"/>
      <c r="U3169" s="59" t="s">
        <v>4251</v>
      </c>
      <c r="W3169" s="11"/>
      <c r="X3169" s="8">
        <f>SUM(X3159:X3167)</f>
        <v>2884.16</v>
      </c>
    </row>
    <row r="3170" spans="6:24" ht="24" customHeight="1">
      <c r="J3170"/>
      <c r="N3170" s="3"/>
      <c r="Q3170" s="11"/>
      <c r="R3170" s="5" t="s">
        <v>1980</v>
      </c>
      <c r="S3170"/>
      <c r="T3170" s="3"/>
      <c r="W3170" s="11"/>
      <c r="X3170" s="5" t="s">
        <v>1530</v>
      </c>
    </row>
    <row r="3171" spans="6:24" ht="24" customHeight="1">
      <c r="F3171">
        <v>3.23</v>
      </c>
      <c r="G3171" s="3" t="s">
        <v>876</v>
      </c>
      <c r="H3171" t="s">
        <v>2984</v>
      </c>
      <c r="I3171">
        <f>I1508</f>
        <v>49.4</v>
      </c>
      <c r="J3171" s="3" t="s">
        <v>876</v>
      </c>
      <c r="K3171">
        <f>I3171*F3171</f>
        <v>159.56</v>
      </c>
      <c r="S3171"/>
      <c r="T3171" s="7" t="s">
        <v>940</v>
      </c>
      <c r="U3171" s="59" t="s">
        <v>521</v>
      </c>
      <c r="W3171" s="11"/>
      <c r="X3171" s="39">
        <f>X3169/S3161</f>
        <v>3281.18</v>
      </c>
    </row>
    <row r="3172" spans="6:24" ht="24" customHeight="1">
      <c r="F3172">
        <v>0.5</v>
      </c>
      <c r="G3172" s="3" t="s">
        <v>244</v>
      </c>
      <c r="H3172" t="s">
        <v>2985</v>
      </c>
      <c r="I3172">
        <f>I1509</f>
        <v>688</v>
      </c>
      <c r="J3172" s="3" t="s">
        <v>244</v>
      </c>
      <c r="K3172">
        <f>I3172*F3172</f>
        <v>344</v>
      </c>
      <c r="S3172"/>
      <c r="T3172" s="3"/>
      <c r="W3172" s="11"/>
      <c r="X3172" s="5" t="s">
        <v>1980</v>
      </c>
    </row>
    <row r="3173" spans="6:24" ht="24" customHeight="1">
      <c r="F3173">
        <v>0.5</v>
      </c>
      <c r="G3173" s="3" t="s">
        <v>244</v>
      </c>
      <c r="H3173" s="1" t="s">
        <v>1836</v>
      </c>
      <c r="I3173">
        <f>I1510</f>
        <v>562</v>
      </c>
      <c r="J3173" s="3" t="s">
        <v>244</v>
      </c>
      <c r="K3173">
        <f>I3173*F3173</f>
        <v>281</v>
      </c>
      <c r="M3173" s="118"/>
      <c r="N3173" s="119" t="s">
        <v>2167</v>
      </c>
      <c r="O3173" s="120" t="s">
        <v>2752</v>
      </c>
      <c r="P3173" s="111"/>
      <c r="Q3173" s="114"/>
      <c r="R3173" s="111"/>
    </row>
    <row r="3174" spans="6:24" ht="24" customHeight="1">
      <c r="F3174">
        <v>0.8</v>
      </c>
      <c r="G3174" s="3" t="s">
        <v>244</v>
      </c>
      <c r="H3174" s="1" t="s">
        <v>299</v>
      </c>
      <c r="I3174">
        <f>I1511</f>
        <v>461</v>
      </c>
      <c r="J3174" s="3" t="s">
        <v>244</v>
      </c>
      <c r="K3174">
        <f>I3174*F3174</f>
        <v>368.8</v>
      </c>
      <c r="M3174" s="111"/>
      <c r="N3174" s="112"/>
      <c r="O3174" s="120" t="s">
        <v>241</v>
      </c>
      <c r="P3174" s="111"/>
      <c r="Q3174" s="114"/>
      <c r="R3174" s="111"/>
    </row>
    <row r="3175" spans="6:24" ht="24" customHeight="1">
      <c r="F3175">
        <v>10</v>
      </c>
      <c r="G3175" s="3" t="s">
        <v>2199</v>
      </c>
      <c r="H3175" s="1" t="s">
        <v>3764</v>
      </c>
      <c r="I3175">
        <f>C463</f>
        <v>3.65</v>
      </c>
      <c r="J3175" s="3" t="s">
        <v>2199</v>
      </c>
      <c r="K3175">
        <f>I3175*F3175</f>
        <v>36.5</v>
      </c>
      <c r="M3175" s="111"/>
      <c r="N3175" s="112"/>
      <c r="O3175" s="385" t="s">
        <v>2753</v>
      </c>
      <c r="P3175" s="111"/>
      <c r="Q3175" s="114"/>
      <c r="R3175" s="111"/>
    </row>
    <row r="3176" spans="6:24" ht="24" customHeight="1">
      <c r="H3176" s="1" t="s">
        <v>2987</v>
      </c>
      <c r="I3176" s="33" t="s">
        <v>625</v>
      </c>
      <c r="J3176" s="4"/>
      <c r="K3176">
        <v>1.75</v>
      </c>
      <c r="M3176" s="111"/>
      <c r="N3176" s="112"/>
      <c r="O3176" s="121" t="s">
        <v>1530</v>
      </c>
      <c r="P3176" s="111"/>
      <c r="Q3176" s="114"/>
      <c r="R3176" s="111"/>
    </row>
    <row r="3177" spans="6:24" ht="24" customHeight="1">
      <c r="J3177" s="4"/>
      <c r="K3177">
        <f>SUM(K3171:K3176)</f>
        <v>1191.6099999999999</v>
      </c>
      <c r="M3177" s="111"/>
      <c r="N3177" s="112"/>
      <c r="O3177" s="120" t="s">
        <v>3207</v>
      </c>
      <c r="P3177" s="115" t="s">
        <v>1980</v>
      </c>
      <c r="Q3177" s="386">
        <v>3.1219999999999999</v>
      </c>
      <c r="R3177" s="111" t="s">
        <v>2199</v>
      </c>
    </row>
    <row r="3178" spans="6:24" ht="24" customHeight="1">
      <c r="J3178" s="4"/>
      <c r="K3178">
        <f>K3177/10</f>
        <v>119.16</v>
      </c>
      <c r="M3178" s="111"/>
      <c r="N3178" s="112"/>
      <c r="O3178" s="120"/>
      <c r="P3178" s="115"/>
      <c r="Q3178" s="386"/>
      <c r="R3178" s="111"/>
    </row>
    <row r="3179" spans="6:24" ht="24" customHeight="1">
      <c r="G3179"/>
      <c r="J3179"/>
      <c r="L3179">
        <f>K3213</f>
        <v>314.68</v>
      </c>
      <c r="M3179" s="111"/>
      <c r="N3179" s="112"/>
      <c r="O3179" s="120" t="s">
        <v>2755</v>
      </c>
      <c r="P3179" s="115" t="s">
        <v>1980</v>
      </c>
      <c r="Q3179" s="387">
        <v>5.1999999999999998E-2</v>
      </c>
      <c r="R3179" s="111" t="s">
        <v>2070</v>
      </c>
    </row>
    <row r="3180" spans="6:24" ht="24" customHeight="1">
      <c r="G3180"/>
      <c r="J3180"/>
      <c r="L3180">
        <f>K3214</f>
        <v>481.6</v>
      </c>
      <c r="M3180" s="111"/>
      <c r="N3180" s="112"/>
      <c r="O3180" s="120" t="s">
        <v>3208</v>
      </c>
      <c r="Q3180" s="388"/>
      <c r="R3180" s="111"/>
    </row>
    <row r="3181" spans="6:24" ht="24" customHeight="1">
      <c r="G3181"/>
      <c r="J3181"/>
      <c r="M3181" s="111"/>
      <c r="N3181" s="112"/>
      <c r="O3181" s="120" t="s">
        <v>3209</v>
      </c>
      <c r="P3181" s="115" t="s">
        <v>1980</v>
      </c>
      <c r="Q3181" s="389">
        <v>2.2780000000000002E-2</v>
      </c>
      <c r="R3181" s="111"/>
    </row>
    <row r="3182" spans="6:24" ht="24" customHeight="1">
      <c r="H3182" t="s">
        <v>4147</v>
      </c>
      <c r="J3182"/>
      <c r="L3182">
        <v>1.5</v>
      </c>
      <c r="M3182" s="111"/>
      <c r="N3182" s="112"/>
      <c r="O3182" s="120" t="s">
        <v>2754</v>
      </c>
      <c r="P3182" s="115" t="s">
        <v>1980</v>
      </c>
      <c r="Q3182" s="389">
        <v>1.013E-2</v>
      </c>
      <c r="R3182" s="131"/>
    </row>
    <row r="3183" spans="6:24" ht="24" customHeight="1">
      <c r="J3183"/>
      <c r="L3183">
        <f>SUM(L3179:L3182)</f>
        <v>797.78</v>
      </c>
      <c r="M3183" s="111"/>
      <c r="N3183" s="112"/>
      <c r="O3183" s="111"/>
      <c r="P3183" s="111"/>
      <c r="Q3183" s="121" t="s">
        <v>1530</v>
      </c>
    </row>
    <row r="3184" spans="6:24" ht="24" customHeight="1">
      <c r="F3184">
        <v>1.8</v>
      </c>
      <c r="G3184" s="3" t="s">
        <v>876</v>
      </c>
      <c r="H3184" t="s">
        <v>2984</v>
      </c>
      <c r="I3184">
        <f>I3171</f>
        <v>49.4</v>
      </c>
      <c r="J3184" s="3" t="s">
        <v>876</v>
      </c>
      <c r="K3184">
        <f>I3184*F3184</f>
        <v>88.92</v>
      </c>
      <c r="M3184" s="111"/>
      <c r="N3184" s="112"/>
      <c r="O3184" s="111"/>
      <c r="P3184" s="111"/>
      <c r="Q3184" s="391">
        <v>3.2910000000000002E-2</v>
      </c>
      <c r="R3184" t="s">
        <v>2070</v>
      </c>
    </row>
    <row r="3185" spans="6:18" ht="24" customHeight="1">
      <c r="F3185">
        <v>0.25</v>
      </c>
      <c r="G3185" s="3" t="s">
        <v>244</v>
      </c>
      <c r="H3185" t="s">
        <v>2985</v>
      </c>
      <c r="I3185">
        <f>I3172</f>
        <v>688</v>
      </c>
      <c r="J3185" s="3" t="s">
        <v>244</v>
      </c>
      <c r="K3185">
        <f>I3185*F3185</f>
        <v>172</v>
      </c>
      <c r="L3185">
        <f>L3183/10</f>
        <v>79.78</v>
      </c>
      <c r="M3185" s="111"/>
      <c r="N3185" s="112"/>
      <c r="O3185" s="111"/>
      <c r="P3185" s="111"/>
      <c r="Q3185" s="121" t="s">
        <v>1530</v>
      </c>
    </row>
    <row r="3186" spans="6:18" ht="24" customHeight="1">
      <c r="F3186">
        <v>0.25</v>
      </c>
      <c r="G3186" s="3" t="s">
        <v>244</v>
      </c>
      <c r="H3186" s="1" t="s">
        <v>1836</v>
      </c>
      <c r="I3186">
        <f>I3173</f>
        <v>562</v>
      </c>
      <c r="J3186" s="3" t="s">
        <v>244</v>
      </c>
      <c r="K3186">
        <f>I3186*F3186</f>
        <v>140.5</v>
      </c>
      <c r="M3186" s="111"/>
      <c r="N3186" s="112"/>
      <c r="O3186" s="120" t="s">
        <v>3210</v>
      </c>
      <c r="P3186" s="111"/>
      <c r="Q3186" s="392">
        <v>1.7600000000000001E-2</v>
      </c>
      <c r="R3186" s="131"/>
    </row>
    <row r="3187" spans="6:18" ht="24" customHeight="1">
      <c r="F3187">
        <v>0.4</v>
      </c>
      <c r="G3187" s="3" t="s">
        <v>244</v>
      </c>
      <c r="H3187" s="1" t="s">
        <v>299</v>
      </c>
      <c r="I3187">
        <f>I3174</f>
        <v>461</v>
      </c>
      <c r="J3187" s="3" t="s">
        <v>244</v>
      </c>
      <c r="K3187">
        <f>I3187*F3187</f>
        <v>184.4</v>
      </c>
      <c r="M3187" s="111"/>
      <c r="N3187" s="112"/>
      <c r="O3187" s="120" t="s">
        <v>3211</v>
      </c>
      <c r="P3187" s="111"/>
      <c r="Q3187" s="393">
        <v>8.3999999999999995E-3</v>
      </c>
      <c r="R3187" s="131"/>
    </row>
    <row r="3188" spans="6:18" ht="24" customHeight="1">
      <c r="F3188">
        <v>10</v>
      </c>
      <c r="G3188" s="3" t="s">
        <v>2199</v>
      </c>
      <c r="H3188" s="1" t="s">
        <v>2986</v>
      </c>
      <c r="I3188">
        <f>I3175</f>
        <v>3.65</v>
      </c>
      <c r="J3188" s="3" t="s">
        <v>2199</v>
      </c>
      <c r="K3188">
        <f>I3188*F3188</f>
        <v>36.5</v>
      </c>
      <c r="M3188" s="111"/>
      <c r="N3188" s="112"/>
      <c r="O3188" s="120"/>
      <c r="P3188" s="111"/>
      <c r="Q3188" s="121" t="s">
        <v>1530</v>
      </c>
      <c r="R3188" s="131"/>
    </row>
    <row r="3189" spans="6:18" ht="24" customHeight="1">
      <c r="H3189" s="1" t="s">
        <v>2987</v>
      </c>
      <c r="I3189" s="33" t="s">
        <v>2988</v>
      </c>
      <c r="J3189" s="4"/>
      <c r="K3189">
        <v>1.6</v>
      </c>
      <c r="M3189" s="111"/>
      <c r="N3189" s="112"/>
      <c r="O3189" s="120"/>
      <c r="P3189" s="111"/>
      <c r="Q3189" s="394">
        <v>2.5999999999999999E-2</v>
      </c>
      <c r="R3189" s="131" t="s">
        <v>2070</v>
      </c>
    </row>
    <row r="3190" spans="6:18" ht="24" customHeight="1">
      <c r="J3190" s="4"/>
      <c r="K3190">
        <f>SUM(K3184:K3189)</f>
        <v>623.91999999999996</v>
      </c>
      <c r="M3190" s="111"/>
      <c r="N3190" s="112"/>
      <c r="O3190" s="111"/>
      <c r="P3190" s="111"/>
      <c r="Q3190" s="121" t="s">
        <v>1530</v>
      </c>
      <c r="R3190" s="121"/>
    </row>
    <row r="3191" spans="6:18" ht="24" customHeight="1">
      <c r="J3191" s="4"/>
      <c r="K3191">
        <f>K3190/10</f>
        <v>62.39</v>
      </c>
      <c r="M3191" s="131">
        <v>5.1999999999999998E-2</v>
      </c>
      <c r="N3191" s="119" t="s">
        <v>836</v>
      </c>
      <c r="O3191" s="120" t="s">
        <v>287</v>
      </c>
      <c r="P3191" s="122">
        <f>AC26</f>
        <v>111600</v>
      </c>
      <c r="Q3191" s="118" t="s">
        <v>836</v>
      </c>
      <c r="R3191" s="122">
        <f>P3191*M3191</f>
        <v>5803.2</v>
      </c>
    </row>
    <row r="3192" spans="6:18" ht="24" customHeight="1">
      <c r="G3192"/>
      <c r="J3192"/>
      <c r="M3192" s="131">
        <v>3.2910000000000002E-2</v>
      </c>
      <c r="N3192" s="119" t="s">
        <v>836</v>
      </c>
      <c r="O3192" s="120" t="s">
        <v>288</v>
      </c>
      <c r="P3192" s="122">
        <f>AC27</f>
        <v>99400</v>
      </c>
      <c r="Q3192" s="118" t="s">
        <v>836</v>
      </c>
      <c r="R3192" s="122">
        <f t="shared" ref="R3192:R3202" si="301">P3192*M3192</f>
        <v>3271.25</v>
      </c>
    </row>
    <row r="3193" spans="6:18" ht="24" customHeight="1">
      <c r="G3193"/>
      <c r="J3193"/>
      <c r="M3193" s="131">
        <v>2.5999999999999999E-2</v>
      </c>
      <c r="N3193" s="119" t="s">
        <v>836</v>
      </c>
      <c r="O3193" s="120" t="s">
        <v>3212</v>
      </c>
      <c r="P3193" s="122">
        <v>101921.4</v>
      </c>
      <c r="Q3193" s="118" t="s">
        <v>836</v>
      </c>
      <c r="R3193" s="122">
        <f t="shared" si="301"/>
        <v>2649.96</v>
      </c>
    </row>
    <row r="3194" spans="6:18" ht="24" customHeight="1">
      <c r="G3194"/>
      <c r="J3194"/>
      <c r="L3194">
        <f>K3228</f>
        <v>525.25</v>
      </c>
      <c r="M3194" s="133"/>
      <c r="N3194" s="112"/>
      <c r="O3194" s="120" t="s">
        <v>3809</v>
      </c>
      <c r="P3194" s="122"/>
      <c r="Q3194" s="114"/>
      <c r="R3194" s="122">
        <f t="shared" si="301"/>
        <v>0</v>
      </c>
    </row>
    <row r="3195" spans="6:18" ht="24" customHeight="1">
      <c r="H3195" t="s">
        <v>2989</v>
      </c>
      <c r="J3195"/>
      <c r="L3195">
        <f>K3229</f>
        <v>825.6</v>
      </c>
      <c r="M3195" s="133">
        <v>3.1219999999999999</v>
      </c>
      <c r="N3195" s="119" t="s">
        <v>578</v>
      </c>
      <c r="O3195" s="120" t="s">
        <v>417</v>
      </c>
      <c r="P3195" s="122">
        <f>I957</f>
        <v>1325</v>
      </c>
      <c r="Q3195" s="118" t="s">
        <v>578</v>
      </c>
      <c r="R3195" s="122">
        <f t="shared" si="301"/>
        <v>4136.6499999999996</v>
      </c>
    </row>
    <row r="3196" spans="6:18" ht="24" customHeight="1">
      <c r="H3196" t="s">
        <v>1014</v>
      </c>
      <c r="J3196"/>
      <c r="M3196" s="122">
        <v>4</v>
      </c>
      <c r="N3196" s="119" t="s">
        <v>739</v>
      </c>
      <c r="O3196" s="120" t="s">
        <v>3213</v>
      </c>
      <c r="P3196" s="122">
        <f>I2640</f>
        <v>450</v>
      </c>
      <c r="Q3196" s="118" t="s">
        <v>835</v>
      </c>
      <c r="R3196" s="122">
        <f t="shared" si="301"/>
        <v>1800</v>
      </c>
    </row>
    <row r="3197" spans="6:18" ht="24" customHeight="1">
      <c r="H3197" t="s">
        <v>1191</v>
      </c>
      <c r="J3197"/>
      <c r="L3197">
        <f>K3231</f>
        <v>6.65</v>
      </c>
      <c r="M3197" s="122">
        <v>8</v>
      </c>
      <c r="N3197" s="119" t="s">
        <v>835</v>
      </c>
      <c r="O3197" s="120" t="s">
        <v>1407</v>
      </c>
      <c r="P3197" s="122">
        <f>P3161</f>
        <v>83</v>
      </c>
      <c r="Q3197" s="118" t="s">
        <v>835</v>
      </c>
      <c r="R3197" s="122">
        <f t="shared" si="301"/>
        <v>664</v>
      </c>
    </row>
    <row r="3198" spans="6:18" ht="24" customHeight="1">
      <c r="J3198"/>
      <c r="L3198">
        <f>SUM(L3194:L3197)</f>
        <v>1357.5</v>
      </c>
      <c r="M3198" s="122">
        <v>4</v>
      </c>
      <c r="N3198" s="119" t="s">
        <v>835</v>
      </c>
      <c r="O3198" s="823" t="s">
        <v>4891</v>
      </c>
      <c r="P3198" s="448">
        <v>90.6</v>
      </c>
      <c r="Q3198" s="118" t="s">
        <v>835</v>
      </c>
      <c r="R3198" s="122">
        <f t="shared" si="301"/>
        <v>362.4</v>
      </c>
    </row>
    <row r="3199" spans="6:18" ht="24" customHeight="1">
      <c r="F3199">
        <v>1.1100000000000001</v>
      </c>
      <c r="G3199" s="3" t="s">
        <v>2495</v>
      </c>
      <c r="H3199" t="s">
        <v>1141</v>
      </c>
      <c r="I3199">
        <f>I1550</f>
        <v>225.4</v>
      </c>
      <c r="J3199" s="3" t="s">
        <v>2495</v>
      </c>
      <c r="K3199">
        <f>I3199*F3199</f>
        <v>250.19</v>
      </c>
      <c r="M3199" s="122">
        <v>1</v>
      </c>
      <c r="N3199" s="119" t="s">
        <v>835</v>
      </c>
      <c r="O3199" s="823" t="s">
        <v>4892</v>
      </c>
      <c r="P3199" s="448">
        <v>194.4</v>
      </c>
      <c r="Q3199" s="118" t="s">
        <v>835</v>
      </c>
      <c r="R3199" s="122">
        <f t="shared" si="301"/>
        <v>194.4</v>
      </c>
    </row>
    <row r="3200" spans="6:18" ht="24" customHeight="1">
      <c r="F3200">
        <v>0.7</v>
      </c>
      <c r="G3200" s="3" t="s">
        <v>244</v>
      </c>
      <c r="H3200" t="s">
        <v>1140</v>
      </c>
      <c r="I3200">
        <f>I3185</f>
        <v>688</v>
      </c>
      <c r="J3200" s="3" t="s">
        <v>244</v>
      </c>
      <c r="K3200">
        <f>I3200*F3200</f>
        <v>481.6</v>
      </c>
      <c r="L3200">
        <f>L3198/10</f>
        <v>135.75</v>
      </c>
      <c r="M3200" s="122">
        <v>2</v>
      </c>
      <c r="N3200" s="119" t="s">
        <v>835</v>
      </c>
      <c r="O3200" s="823" t="s">
        <v>4893</v>
      </c>
      <c r="P3200" s="448">
        <v>22.9</v>
      </c>
      <c r="Q3200" s="118" t="s">
        <v>835</v>
      </c>
      <c r="R3200" s="122">
        <f t="shared" si="301"/>
        <v>45.8</v>
      </c>
    </row>
    <row r="3201" spans="6:20" ht="24" customHeight="1">
      <c r="F3201">
        <v>10</v>
      </c>
      <c r="G3201" s="3" t="s">
        <v>2199</v>
      </c>
      <c r="H3201" s="501" t="s">
        <v>4860</v>
      </c>
      <c r="I3201" s="106">
        <f>AE57</f>
        <v>7.9</v>
      </c>
      <c r="J3201" s="3" t="s">
        <v>2199</v>
      </c>
      <c r="K3201">
        <f>I3201*F3201</f>
        <v>79</v>
      </c>
      <c r="M3201" s="122">
        <v>2</v>
      </c>
      <c r="N3201" s="119" t="s">
        <v>835</v>
      </c>
      <c r="O3201" s="823" t="s">
        <v>4894</v>
      </c>
      <c r="P3201" s="448">
        <v>45.9</v>
      </c>
      <c r="Q3201" s="118" t="s">
        <v>835</v>
      </c>
      <c r="R3201" s="122">
        <f t="shared" si="301"/>
        <v>91.8</v>
      </c>
      <c r="S3201" s="51">
        <f>0.42*3.122</f>
        <v>1.3109999999999999</v>
      </c>
      <c r="T3201">
        <f>S3201+19.79</f>
        <v>21.1</v>
      </c>
    </row>
    <row r="3202" spans="6:20" ht="24" customHeight="1">
      <c r="H3202" s="1" t="s">
        <v>2987</v>
      </c>
      <c r="I3202" t="s">
        <v>625</v>
      </c>
      <c r="J3202" s="4"/>
      <c r="K3202">
        <v>2.8</v>
      </c>
      <c r="M3202" s="122">
        <v>118</v>
      </c>
      <c r="N3202" s="119" t="s">
        <v>835</v>
      </c>
      <c r="O3202" s="111" t="s">
        <v>1284</v>
      </c>
      <c r="P3202" s="111">
        <f>I964</f>
        <v>2.39</v>
      </c>
      <c r="Q3202" s="118" t="s">
        <v>835</v>
      </c>
      <c r="R3202" s="122">
        <f t="shared" si="301"/>
        <v>282.02</v>
      </c>
    </row>
    <row r="3203" spans="6:20" ht="24" customHeight="1">
      <c r="H3203" t="s">
        <v>411</v>
      </c>
      <c r="J3203" s="4"/>
      <c r="K3203">
        <f>SUM(K3199:K3202)</f>
        <v>813.59</v>
      </c>
      <c r="M3203" s="111"/>
      <c r="N3203" s="112"/>
      <c r="O3203" s="111"/>
      <c r="P3203" s="111"/>
      <c r="Q3203" s="114"/>
      <c r="R3203" s="121" t="s">
        <v>1530</v>
      </c>
    </row>
    <row r="3204" spans="6:20" ht="24" customHeight="1">
      <c r="J3204" s="4"/>
      <c r="M3204" s="111"/>
      <c r="N3204" s="112"/>
      <c r="O3204" s="120" t="s">
        <v>3218</v>
      </c>
      <c r="P3204" s="111"/>
      <c r="Q3204" s="114"/>
      <c r="R3204" s="122">
        <f>SUM(R3191:R3202)</f>
        <v>19301.48</v>
      </c>
    </row>
    <row r="3205" spans="6:20" ht="24" customHeight="1">
      <c r="H3205" t="s">
        <v>521</v>
      </c>
      <c r="J3205" s="4"/>
      <c r="K3205">
        <f>K3203/10</f>
        <v>81.36</v>
      </c>
      <c r="M3205" s="111"/>
      <c r="N3205" s="112"/>
      <c r="O3205" s="111"/>
      <c r="P3205" s="111"/>
      <c r="Q3205" s="114"/>
      <c r="R3205" s="121" t="s">
        <v>1530</v>
      </c>
    </row>
    <row r="3206" spans="6:20" ht="24" customHeight="1">
      <c r="J3206" s="4"/>
      <c r="M3206" s="111"/>
      <c r="N3206" s="112"/>
      <c r="O3206" s="109" t="s">
        <v>521</v>
      </c>
      <c r="P3206" s="111"/>
      <c r="Q3206" s="116" t="s">
        <v>690</v>
      </c>
      <c r="R3206" s="110">
        <f>R3204/M3195</f>
        <v>6182.41</v>
      </c>
    </row>
    <row r="3207" spans="6:20" ht="24" customHeight="1">
      <c r="J3207" s="4"/>
      <c r="M3207" s="118"/>
      <c r="N3207" s="119" t="s">
        <v>2167</v>
      </c>
      <c r="O3207" s="120" t="s">
        <v>3219</v>
      </c>
      <c r="P3207" s="111"/>
      <c r="Q3207" s="114"/>
      <c r="R3207" s="111"/>
    </row>
    <row r="3208" spans="6:20" ht="24" customHeight="1">
      <c r="J3208" s="4"/>
      <c r="M3208" s="111"/>
      <c r="N3208" s="112"/>
      <c r="O3208" s="120" t="s">
        <v>241</v>
      </c>
      <c r="P3208" s="111"/>
      <c r="Q3208" s="114"/>
      <c r="R3208" s="111"/>
    </row>
    <row r="3209" spans="6:20" ht="24" customHeight="1">
      <c r="H3209" t="s">
        <v>2989</v>
      </c>
      <c r="J3209" s="4"/>
      <c r="M3209" s="111"/>
      <c r="N3209" s="112"/>
      <c r="O3209" s="385" t="s">
        <v>2753</v>
      </c>
      <c r="P3209" s="111"/>
      <c r="Q3209" s="114"/>
      <c r="R3209" s="111"/>
    </row>
    <row r="3210" spans="6:20" ht="24" customHeight="1">
      <c r="H3210" t="s">
        <v>1321</v>
      </c>
      <c r="J3210" s="4"/>
      <c r="L3210">
        <f>K3244</f>
        <v>426.01</v>
      </c>
      <c r="M3210" s="111"/>
      <c r="N3210" s="112"/>
      <c r="O3210" s="121" t="s">
        <v>1530</v>
      </c>
      <c r="P3210" s="111"/>
      <c r="Q3210" s="114"/>
      <c r="R3210" s="111"/>
    </row>
    <row r="3211" spans="6:20" ht="24" customHeight="1">
      <c r="H3211" t="s">
        <v>1191</v>
      </c>
      <c r="J3211" s="4"/>
      <c r="L3211">
        <f>K3245</f>
        <v>756.8</v>
      </c>
      <c r="M3211" s="111"/>
      <c r="N3211" s="112"/>
      <c r="O3211" s="120" t="s">
        <v>3207</v>
      </c>
      <c r="P3211" s="115" t="s">
        <v>1980</v>
      </c>
      <c r="Q3211" s="386">
        <v>3.1219999999999999</v>
      </c>
      <c r="R3211" s="135" t="s">
        <v>2199</v>
      </c>
    </row>
    <row r="3212" spans="6:20" ht="24" customHeight="1">
      <c r="J3212" s="4"/>
      <c r="M3212" s="111"/>
      <c r="N3212" s="112"/>
      <c r="O3212" s="120"/>
      <c r="P3212" s="115"/>
      <c r="Q3212" s="386"/>
      <c r="R3212" s="135"/>
    </row>
    <row r="3213" spans="6:20" ht="24" customHeight="1">
      <c r="F3213">
        <v>1.33</v>
      </c>
      <c r="G3213" s="3" t="s">
        <v>2495</v>
      </c>
      <c r="H3213" t="s">
        <v>1141</v>
      </c>
      <c r="I3213">
        <f>I1537</f>
        <v>236.6</v>
      </c>
      <c r="J3213" s="3" t="s">
        <v>2495</v>
      </c>
      <c r="K3213">
        <f>I3213*F3213</f>
        <v>314.68</v>
      </c>
      <c r="L3213">
        <f>K3247</f>
        <v>1.9</v>
      </c>
      <c r="M3213" s="111"/>
      <c r="N3213" s="112"/>
      <c r="O3213" s="120" t="s">
        <v>2755</v>
      </c>
      <c r="P3213" s="115" t="s">
        <v>1980</v>
      </c>
      <c r="Q3213" s="387">
        <v>5.1999999999999998E-2</v>
      </c>
      <c r="R3213" s="135" t="s">
        <v>2070</v>
      </c>
    </row>
    <row r="3214" spans="6:20" ht="24" customHeight="1">
      <c r="F3214">
        <v>0.7</v>
      </c>
      <c r="G3214" s="3" t="s">
        <v>244</v>
      </c>
      <c r="H3214" t="s">
        <v>1140</v>
      </c>
      <c r="I3214">
        <f>I3200</f>
        <v>688</v>
      </c>
      <c r="J3214" s="3" t="s">
        <v>244</v>
      </c>
      <c r="K3214">
        <f>I3214*F3214</f>
        <v>481.6</v>
      </c>
      <c r="L3214">
        <f>SUM(L3210:L3213)</f>
        <v>1184.71</v>
      </c>
      <c r="M3214" s="111"/>
      <c r="N3214" s="112"/>
      <c r="O3214" s="120" t="s">
        <v>3208</v>
      </c>
      <c r="Q3214" s="388"/>
      <c r="R3214" s="135"/>
    </row>
    <row r="3215" spans="6:20" ht="24" customHeight="1">
      <c r="F3215">
        <v>10</v>
      </c>
      <c r="G3215" s="3" t="s">
        <v>2199</v>
      </c>
      <c r="H3215" s="489" t="s">
        <v>4513</v>
      </c>
      <c r="I3215" s="106">
        <f>AE58</f>
        <v>8.5</v>
      </c>
      <c r="J3215" s="3" t="s">
        <v>2199</v>
      </c>
      <c r="K3215">
        <f>I3215*F3215</f>
        <v>85</v>
      </c>
      <c r="M3215" s="111"/>
      <c r="N3215" s="112"/>
      <c r="O3215" s="120" t="s">
        <v>3335</v>
      </c>
      <c r="P3215" s="115" t="s">
        <v>1980</v>
      </c>
      <c r="Q3215" s="389">
        <v>2.2780000000000002E-2</v>
      </c>
      <c r="R3215" s="135"/>
    </row>
    <row r="3216" spans="6:20" ht="24" customHeight="1">
      <c r="H3216" t="s">
        <v>2987</v>
      </c>
      <c r="I3216" t="s">
        <v>625</v>
      </c>
      <c r="J3216" s="4"/>
      <c r="K3216">
        <v>3.43</v>
      </c>
      <c r="M3216" s="111"/>
      <c r="N3216" s="112"/>
      <c r="O3216" s="120" t="s">
        <v>2754</v>
      </c>
      <c r="P3216" s="115" t="s">
        <v>1980</v>
      </c>
      <c r="Q3216" s="389">
        <v>1.013E-2</v>
      </c>
      <c r="R3216" s="136"/>
    </row>
    <row r="3217" spans="6:18" ht="24" customHeight="1">
      <c r="H3217" t="s">
        <v>411</v>
      </c>
      <c r="J3217" s="4"/>
      <c r="K3217">
        <f>SUM(K3213:K3216)</f>
        <v>884.71</v>
      </c>
      <c r="M3217" s="111"/>
      <c r="N3217" s="112"/>
      <c r="O3217" s="111"/>
      <c r="P3217" s="111"/>
      <c r="Q3217" s="396" t="s">
        <v>3002</v>
      </c>
      <c r="R3217" s="11"/>
    </row>
    <row r="3218" spans="6:18" ht="24" customHeight="1">
      <c r="J3218" s="4"/>
      <c r="M3218" s="111"/>
      <c r="N3218" s="112"/>
      <c r="O3218" s="111"/>
      <c r="P3218" s="111"/>
      <c r="Q3218" s="391">
        <v>3.2910000000000002E-2</v>
      </c>
      <c r="R3218" s="11" t="s">
        <v>2070</v>
      </c>
    </row>
    <row r="3219" spans="6:18" ht="24" customHeight="1">
      <c r="H3219" t="s">
        <v>521</v>
      </c>
      <c r="J3219" s="4"/>
      <c r="K3219">
        <f>K3217/10</f>
        <v>88.47</v>
      </c>
      <c r="M3219" s="111"/>
      <c r="N3219" s="112"/>
      <c r="O3219" s="111"/>
      <c r="P3219" s="111"/>
      <c r="Q3219" s="396" t="s">
        <v>3002</v>
      </c>
      <c r="R3219" s="11"/>
    </row>
    <row r="3220" spans="6:18" ht="24" customHeight="1">
      <c r="J3220" s="4"/>
      <c r="M3220" s="111"/>
      <c r="N3220" s="112"/>
      <c r="O3220" s="120" t="s">
        <v>3221</v>
      </c>
      <c r="P3220" s="111"/>
      <c r="Q3220" s="158">
        <v>0.94</v>
      </c>
      <c r="R3220" s="136" t="s">
        <v>2199</v>
      </c>
    </row>
    <row r="3221" spans="6:18" ht="24" customHeight="1">
      <c r="J3221" s="4"/>
      <c r="M3221" s="111"/>
      <c r="N3221" s="112"/>
      <c r="O3221" s="120" t="s">
        <v>3220</v>
      </c>
      <c r="P3221" s="111"/>
      <c r="Q3221" s="394">
        <v>8.3999999999999995E-3</v>
      </c>
      <c r="R3221" s="136" t="s">
        <v>2070</v>
      </c>
    </row>
    <row r="3222" spans="6:18" ht="24" customHeight="1">
      <c r="J3222" s="4"/>
      <c r="M3222" s="111"/>
      <c r="N3222" s="112"/>
      <c r="O3222" s="120" t="s">
        <v>3223</v>
      </c>
      <c r="P3222" s="111"/>
      <c r="Q3222" s="394">
        <v>7.9</v>
      </c>
      <c r="R3222" s="136" t="s">
        <v>794</v>
      </c>
    </row>
    <row r="3223" spans="6:18" ht="24" customHeight="1">
      <c r="J3223" s="4"/>
      <c r="M3223" s="111"/>
      <c r="N3223" s="112"/>
      <c r="O3223" s="111"/>
      <c r="P3223" s="111"/>
      <c r="Q3223" s="121"/>
      <c r="R3223" s="121"/>
    </row>
    <row r="3224" spans="6:18" ht="24" customHeight="1">
      <c r="H3224" t="s">
        <v>2496</v>
      </c>
      <c r="J3224" s="4"/>
      <c r="M3224" s="131">
        <v>5.1999999999999998E-2</v>
      </c>
      <c r="N3224" s="119" t="s">
        <v>836</v>
      </c>
      <c r="O3224" s="120" t="s">
        <v>287</v>
      </c>
      <c r="P3224" s="122">
        <f>P3191</f>
        <v>111600</v>
      </c>
      <c r="Q3224" s="118" t="s">
        <v>836</v>
      </c>
      <c r="R3224" s="122">
        <f>P3224*M3224</f>
        <v>5803.2</v>
      </c>
    </row>
    <row r="3225" spans="6:18" ht="24" customHeight="1">
      <c r="H3225" t="s">
        <v>1321</v>
      </c>
      <c r="J3225" s="4"/>
      <c r="M3225" s="131">
        <v>3.2910000000000002E-2</v>
      </c>
      <c r="N3225" s="119" t="s">
        <v>836</v>
      </c>
      <c r="O3225" s="120" t="s">
        <v>288</v>
      </c>
      <c r="P3225" s="122">
        <f>P3192</f>
        <v>99400</v>
      </c>
      <c r="Q3225" s="118" t="s">
        <v>836</v>
      </c>
      <c r="R3225" s="122">
        <f t="shared" ref="R3225:R3237" si="302">P3225*M3225</f>
        <v>3271.25</v>
      </c>
    </row>
    <row r="3226" spans="6:18" ht="24" customHeight="1">
      <c r="H3226" t="s">
        <v>1191</v>
      </c>
      <c r="J3226" s="4"/>
      <c r="M3226" s="131">
        <v>8.3999999999999995E-3</v>
      </c>
      <c r="N3226" s="119" t="s">
        <v>836</v>
      </c>
      <c r="O3226" s="523" t="s">
        <v>3212</v>
      </c>
      <c r="P3226" s="122">
        <f>P3193</f>
        <v>101921.4</v>
      </c>
      <c r="Q3226" s="118" t="s">
        <v>836</v>
      </c>
      <c r="R3226" s="122">
        <f t="shared" si="302"/>
        <v>856.14</v>
      </c>
    </row>
    <row r="3227" spans="6:18" ht="24" customHeight="1">
      <c r="J3227" s="4"/>
      <c r="M3227" s="133"/>
      <c r="N3227" s="112"/>
      <c r="O3227" s="120" t="s">
        <v>3483</v>
      </c>
      <c r="P3227" s="122"/>
      <c r="Q3227" s="114"/>
      <c r="R3227" s="122">
        <f t="shared" si="302"/>
        <v>0</v>
      </c>
    </row>
    <row r="3228" spans="6:18" ht="24" customHeight="1">
      <c r="F3228">
        <v>2.2200000000000002</v>
      </c>
      <c r="G3228" s="3" t="s">
        <v>2495</v>
      </c>
      <c r="H3228" t="s">
        <v>1141</v>
      </c>
      <c r="I3228">
        <f>I3213</f>
        <v>236.6</v>
      </c>
      <c r="J3228" s="3" t="s">
        <v>2495</v>
      </c>
      <c r="K3228">
        <f>I3228*F3228</f>
        <v>525.25</v>
      </c>
      <c r="M3228" s="133">
        <v>0.94</v>
      </c>
      <c r="N3228" s="119" t="s">
        <v>578</v>
      </c>
      <c r="O3228" s="523" t="s">
        <v>4895</v>
      </c>
      <c r="P3228" s="448">
        <v>359</v>
      </c>
      <c r="Q3228" s="114" t="s">
        <v>578</v>
      </c>
      <c r="R3228" s="122">
        <f t="shared" si="302"/>
        <v>337.46</v>
      </c>
    </row>
    <row r="3229" spans="6:18" ht="24" customHeight="1">
      <c r="F3229">
        <v>1.2</v>
      </c>
      <c r="G3229" s="3" t="s">
        <v>244</v>
      </c>
      <c r="H3229" t="s">
        <v>1140</v>
      </c>
      <c r="I3229">
        <f>I3214</f>
        <v>688</v>
      </c>
      <c r="J3229" s="3" t="s">
        <v>244</v>
      </c>
      <c r="K3229">
        <f>I3229*F3229</f>
        <v>825.6</v>
      </c>
      <c r="M3229" s="133">
        <v>7.9</v>
      </c>
      <c r="N3229" s="119" t="s">
        <v>1714</v>
      </c>
      <c r="O3229" s="523" t="s">
        <v>4896</v>
      </c>
      <c r="P3229" s="448">
        <v>15.3</v>
      </c>
      <c r="Q3229" s="114" t="s">
        <v>794</v>
      </c>
      <c r="R3229" s="122">
        <f t="shared" si="302"/>
        <v>120.87</v>
      </c>
    </row>
    <row r="3230" spans="6:18" ht="24" customHeight="1">
      <c r="F3230">
        <v>10</v>
      </c>
      <c r="G3230" s="3" t="s">
        <v>2199</v>
      </c>
      <c r="H3230" t="s">
        <v>2986</v>
      </c>
      <c r="I3230">
        <f>I3215</f>
        <v>8.5</v>
      </c>
      <c r="J3230" s="3" t="s">
        <v>2199</v>
      </c>
      <c r="K3230">
        <f>I3230*F3230</f>
        <v>85</v>
      </c>
      <c r="M3230" s="133">
        <v>3.1219999999999999</v>
      </c>
      <c r="N3230" s="119" t="s">
        <v>578</v>
      </c>
      <c r="O3230" s="523" t="s">
        <v>4524</v>
      </c>
      <c r="P3230" s="448">
        <f>AE61</f>
        <v>1239</v>
      </c>
      <c r="Q3230" s="118" t="s">
        <v>578</v>
      </c>
      <c r="R3230" s="122">
        <f t="shared" si="302"/>
        <v>3868.16</v>
      </c>
    </row>
    <row r="3231" spans="6:18" ht="24" customHeight="1">
      <c r="H3231" t="s">
        <v>2987</v>
      </c>
      <c r="I3231" t="s">
        <v>625</v>
      </c>
      <c r="J3231" s="4"/>
      <c r="K3231">
        <v>6.65</v>
      </c>
      <c r="M3231" s="122">
        <v>4</v>
      </c>
      <c r="N3231" s="119" t="s">
        <v>739</v>
      </c>
      <c r="O3231" s="120" t="s">
        <v>3766</v>
      </c>
      <c r="P3231" s="122">
        <f>C601</f>
        <v>53.4</v>
      </c>
      <c r="Q3231" s="118" t="s">
        <v>835</v>
      </c>
      <c r="R3231" s="122">
        <f t="shared" si="302"/>
        <v>213.6</v>
      </c>
    </row>
    <row r="3232" spans="6:18" ht="24" customHeight="1">
      <c r="H3232" t="s">
        <v>411</v>
      </c>
      <c r="J3232" s="4"/>
      <c r="K3232">
        <f>SUM(K3228:K3231)</f>
        <v>1442.5</v>
      </c>
      <c r="M3232" s="122">
        <v>8</v>
      </c>
      <c r="N3232" s="119" t="s">
        <v>835</v>
      </c>
      <c r="O3232" s="120" t="s">
        <v>3767</v>
      </c>
      <c r="P3232" s="122">
        <f>C282</f>
        <v>83</v>
      </c>
      <c r="Q3232" s="118" t="s">
        <v>835</v>
      </c>
      <c r="R3232" s="122">
        <f t="shared" si="302"/>
        <v>664</v>
      </c>
    </row>
    <row r="3233" spans="6:20" ht="24" customHeight="1">
      <c r="J3233" s="4"/>
      <c r="M3233" s="122">
        <v>4</v>
      </c>
      <c r="N3233" s="119" t="s">
        <v>835</v>
      </c>
      <c r="O3233" s="120" t="s">
        <v>3214</v>
      </c>
      <c r="P3233" s="122">
        <f>P3198</f>
        <v>90.6</v>
      </c>
      <c r="Q3233" s="118" t="s">
        <v>835</v>
      </c>
      <c r="R3233" s="122">
        <f t="shared" si="302"/>
        <v>362.4</v>
      </c>
    </row>
    <row r="3234" spans="6:20" ht="24" customHeight="1">
      <c r="H3234" t="s">
        <v>521</v>
      </c>
      <c r="J3234" s="4"/>
      <c r="K3234">
        <f>K3232/10</f>
        <v>144.25</v>
      </c>
      <c r="M3234" s="122">
        <v>1</v>
      </c>
      <c r="N3234" s="119" t="s">
        <v>835</v>
      </c>
      <c r="O3234" s="120" t="s">
        <v>3215</v>
      </c>
      <c r="P3234" s="122">
        <f>P3199</f>
        <v>194.4</v>
      </c>
      <c r="Q3234" s="118" t="s">
        <v>835</v>
      </c>
      <c r="R3234" s="122">
        <f t="shared" si="302"/>
        <v>194.4</v>
      </c>
    </row>
    <row r="3235" spans="6:20" ht="24" customHeight="1">
      <c r="J3235" s="4"/>
      <c r="L3235">
        <f>K3269</f>
        <v>279</v>
      </c>
      <c r="M3235" s="122">
        <v>2</v>
      </c>
      <c r="N3235" s="119" t="s">
        <v>835</v>
      </c>
      <c r="O3235" s="120" t="s">
        <v>3216</v>
      </c>
      <c r="P3235" s="122">
        <f>P3200</f>
        <v>22.9</v>
      </c>
      <c r="Q3235" s="118" t="s">
        <v>835</v>
      </c>
      <c r="R3235" s="122">
        <f t="shared" si="302"/>
        <v>45.8</v>
      </c>
    </row>
    <row r="3236" spans="6:20" ht="24" customHeight="1">
      <c r="J3236" s="4"/>
      <c r="L3236">
        <f>K3270</f>
        <v>172</v>
      </c>
      <c r="M3236" s="122">
        <v>2</v>
      </c>
      <c r="N3236" s="119" t="s">
        <v>835</v>
      </c>
      <c r="O3236" s="120" t="s">
        <v>3217</v>
      </c>
      <c r="P3236" s="122">
        <f>P3201</f>
        <v>45.9</v>
      </c>
      <c r="Q3236" s="118" t="s">
        <v>835</v>
      </c>
      <c r="R3236" s="122">
        <f t="shared" si="302"/>
        <v>91.8</v>
      </c>
    </row>
    <row r="3237" spans="6:20" ht="24" customHeight="1">
      <c r="J3237" s="4"/>
      <c r="L3237">
        <f>K3271</f>
        <v>140.5</v>
      </c>
      <c r="M3237" s="122">
        <v>118</v>
      </c>
      <c r="N3237" s="119" t="s">
        <v>835</v>
      </c>
      <c r="O3237" s="111" t="s">
        <v>1284</v>
      </c>
      <c r="P3237" s="111">
        <f>P3202</f>
        <v>2.39</v>
      </c>
      <c r="Q3237" s="118" t="s">
        <v>835</v>
      </c>
      <c r="R3237" s="122">
        <f t="shared" si="302"/>
        <v>282.02</v>
      </c>
    </row>
    <row r="3238" spans="6:20" ht="24" customHeight="1">
      <c r="J3238" s="4"/>
      <c r="L3238">
        <f>K3272</f>
        <v>184.4</v>
      </c>
      <c r="M3238" s="111"/>
      <c r="N3238" s="112"/>
      <c r="O3238" s="111"/>
      <c r="P3238" s="111"/>
      <c r="Q3238" s="114"/>
      <c r="R3238" s="121" t="s">
        <v>1530</v>
      </c>
    </row>
    <row r="3239" spans="6:20" ht="24" customHeight="1">
      <c r="J3239" s="4"/>
      <c r="L3239">
        <f>K3273</f>
        <v>1.65</v>
      </c>
      <c r="M3239" s="111"/>
      <c r="N3239" s="112"/>
      <c r="O3239" s="120" t="s">
        <v>3218</v>
      </c>
      <c r="P3239" s="111"/>
      <c r="Q3239" s="114"/>
      <c r="R3239" s="122">
        <f>SUM(R3224:R3237)</f>
        <v>16111.1</v>
      </c>
    </row>
    <row r="3240" spans="6:20" ht="24" customHeight="1">
      <c r="H3240" t="s">
        <v>2496</v>
      </c>
      <c r="J3240" s="4"/>
      <c r="M3240" s="111"/>
      <c r="N3240" s="112"/>
      <c r="O3240" s="111"/>
      <c r="P3240" s="111"/>
      <c r="Q3240" s="114"/>
      <c r="R3240" s="121" t="s">
        <v>1530</v>
      </c>
    </row>
    <row r="3241" spans="6:20" ht="24" customHeight="1">
      <c r="H3241" t="s">
        <v>1014</v>
      </c>
      <c r="J3241" s="4"/>
      <c r="M3241" s="111"/>
      <c r="N3241" s="112"/>
      <c r="O3241" s="109" t="s">
        <v>521</v>
      </c>
      <c r="P3241" s="111"/>
      <c r="Q3241" s="116" t="s">
        <v>690</v>
      </c>
      <c r="R3241" s="110">
        <f>R3239/M3230</f>
        <v>5160.51</v>
      </c>
    </row>
    <row r="3242" spans="6:20" ht="24" customHeight="1">
      <c r="H3242" t="s">
        <v>1191</v>
      </c>
      <c r="J3242" s="4"/>
      <c r="L3242">
        <f>SUM(L3235:L3241)</f>
        <v>777.55</v>
      </c>
      <c r="M3242" s="118"/>
      <c r="N3242" s="119" t="s">
        <v>2167</v>
      </c>
      <c r="O3242" s="120" t="s">
        <v>2752</v>
      </c>
      <c r="P3242" s="111"/>
      <c r="Q3242" s="114"/>
      <c r="R3242" s="111"/>
    </row>
    <row r="3243" spans="6:20" ht="24" customHeight="1">
      <c r="J3243" s="4"/>
      <c r="M3243" s="111"/>
      <c r="N3243" s="112"/>
      <c r="O3243" s="120" t="s">
        <v>241</v>
      </c>
      <c r="P3243" s="111"/>
      <c r="Q3243" s="114"/>
      <c r="R3243" s="111"/>
    </row>
    <row r="3244" spans="6:20" ht="24" customHeight="1">
      <c r="F3244">
        <v>1.89</v>
      </c>
      <c r="G3244" s="3" t="s">
        <v>2495</v>
      </c>
      <c r="H3244" t="s">
        <v>1141</v>
      </c>
      <c r="I3244">
        <f>I3199</f>
        <v>225.4</v>
      </c>
      <c r="J3244" s="3" t="s">
        <v>2495</v>
      </c>
      <c r="K3244">
        <f>I3244*F3244</f>
        <v>426.01</v>
      </c>
      <c r="L3244">
        <f>L3242/10</f>
        <v>77.760000000000005</v>
      </c>
      <c r="M3244" s="111"/>
      <c r="N3244" s="112"/>
      <c r="O3244" s="385" t="s">
        <v>3225</v>
      </c>
      <c r="P3244" s="111"/>
      <c r="Q3244" s="114"/>
      <c r="R3244" s="111"/>
    </row>
    <row r="3245" spans="6:20" ht="24" customHeight="1">
      <c r="F3245">
        <v>1.1000000000000001</v>
      </c>
      <c r="G3245" s="3" t="s">
        <v>244</v>
      </c>
      <c r="H3245" t="s">
        <v>1140</v>
      </c>
      <c r="I3245">
        <f>I3200</f>
        <v>688</v>
      </c>
      <c r="J3245" s="3" t="s">
        <v>244</v>
      </c>
      <c r="K3245">
        <f>I3245*F3245</f>
        <v>756.8</v>
      </c>
      <c r="M3245" s="111"/>
      <c r="N3245" s="112"/>
      <c r="O3245" s="121" t="s">
        <v>1530</v>
      </c>
      <c r="P3245" s="111"/>
      <c r="Q3245" s="114"/>
      <c r="R3245" s="111"/>
    </row>
    <row r="3246" spans="6:20" ht="30" customHeight="1">
      <c r="F3246">
        <v>10</v>
      </c>
      <c r="G3246" s="3" t="s">
        <v>2199</v>
      </c>
      <c r="H3246" s="1" t="s">
        <v>2986</v>
      </c>
      <c r="I3246" s="106">
        <f>I3201</f>
        <v>7.9</v>
      </c>
      <c r="J3246" s="3" t="s">
        <v>2199</v>
      </c>
      <c r="K3246">
        <f>I3246*F3246</f>
        <v>79</v>
      </c>
      <c r="M3246" s="111"/>
      <c r="N3246" s="112"/>
      <c r="O3246" s="120" t="s">
        <v>3226</v>
      </c>
      <c r="P3246" s="115" t="s">
        <v>1980</v>
      </c>
      <c r="Q3246" s="386">
        <v>2.4279999999999999</v>
      </c>
      <c r="R3246" s="111" t="s">
        <v>2199</v>
      </c>
    </row>
    <row r="3247" spans="6:20" ht="30" customHeight="1">
      <c r="H3247" s="1" t="s">
        <v>2987</v>
      </c>
      <c r="I3247" t="s">
        <v>625</v>
      </c>
      <c r="J3247" s="4"/>
      <c r="K3247">
        <v>1.9</v>
      </c>
      <c r="M3247" s="111"/>
      <c r="N3247" s="112"/>
      <c r="O3247" s="120"/>
      <c r="P3247" s="115"/>
      <c r="Q3247" s="386"/>
      <c r="R3247" s="111"/>
    </row>
    <row r="3248" spans="6:20" ht="30" customHeight="1">
      <c r="H3248" t="s">
        <v>411</v>
      </c>
      <c r="J3248" s="4"/>
      <c r="K3248">
        <f>SUM(K3244:K3247)</f>
        <v>1263.71</v>
      </c>
      <c r="M3248" s="111"/>
      <c r="N3248" s="112"/>
      <c r="O3248" s="120" t="s">
        <v>2755</v>
      </c>
      <c r="P3248" s="115" t="s">
        <v>1980</v>
      </c>
      <c r="Q3248" s="387">
        <v>5.1999999999999998E-2</v>
      </c>
      <c r="R3248" s="111" t="s">
        <v>2070</v>
      </c>
      <c r="T3248" s="37" t="s">
        <v>646</v>
      </c>
    </row>
    <row r="3249" spans="6:24" ht="30" customHeight="1">
      <c r="J3249" s="4"/>
      <c r="M3249" s="111"/>
      <c r="N3249" s="112"/>
      <c r="O3249" s="120" t="s">
        <v>3208</v>
      </c>
      <c r="Q3249" s="388"/>
      <c r="R3249" s="111"/>
      <c r="T3249" s="37" t="s">
        <v>1821</v>
      </c>
    </row>
    <row r="3250" spans="6:24" ht="30" customHeight="1">
      <c r="H3250" t="s">
        <v>521</v>
      </c>
      <c r="J3250" s="4"/>
      <c r="K3250">
        <f>K3248/10</f>
        <v>126.37</v>
      </c>
      <c r="M3250" s="111"/>
      <c r="N3250" s="112"/>
      <c r="O3250" s="120" t="s">
        <v>3227</v>
      </c>
      <c r="P3250" s="115" t="s">
        <v>1980</v>
      </c>
      <c r="Q3250" s="390">
        <v>1.7718999999999999E-2</v>
      </c>
      <c r="R3250" s="111"/>
      <c r="S3250" s="419">
        <v>6.3E-2</v>
      </c>
      <c r="T3250" s="73" t="s">
        <v>836</v>
      </c>
      <c r="U3250" s="37" t="s">
        <v>3073</v>
      </c>
      <c r="V3250" s="37">
        <f>P3294</f>
        <v>111600</v>
      </c>
      <c r="W3250" s="99" t="s">
        <v>836</v>
      </c>
      <c r="X3250" s="37">
        <f>V3250*S3250</f>
        <v>7030.8</v>
      </c>
    </row>
    <row r="3251" spans="6:24" ht="30" customHeight="1">
      <c r="G3251"/>
      <c r="J3251"/>
      <c r="M3251" s="111"/>
      <c r="N3251" s="112"/>
      <c r="O3251" s="120" t="s">
        <v>3228</v>
      </c>
      <c r="P3251" s="115" t="s">
        <v>1980</v>
      </c>
      <c r="Q3251" s="390">
        <v>7.8750000000000001E-3</v>
      </c>
      <c r="R3251" s="131"/>
      <c r="S3251" s="419">
        <v>4.8000000000000001E-2</v>
      </c>
      <c r="T3251" s="73" t="s">
        <v>836</v>
      </c>
      <c r="U3251" s="37" t="s">
        <v>2376</v>
      </c>
      <c r="V3251" s="37">
        <f>I3283</f>
        <v>99400</v>
      </c>
      <c r="W3251" s="99" t="s">
        <v>836</v>
      </c>
      <c r="X3251" s="37">
        <f>V3251*S3251</f>
        <v>4771.2</v>
      </c>
    </row>
    <row r="3252" spans="6:24" ht="30" customHeight="1">
      <c r="G3252"/>
      <c r="H3252" s="1" t="s">
        <v>1856</v>
      </c>
      <c r="J3252"/>
      <c r="M3252" s="111"/>
      <c r="N3252" s="112"/>
      <c r="O3252" s="111"/>
      <c r="P3252" s="111"/>
      <c r="Q3252" s="121" t="s">
        <v>1530</v>
      </c>
      <c r="S3252" s="419">
        <v>1.54</v>
      </c>
      <c r="T3252" s="73" t="s">
        <v>578</v>
      </c>
      <c r="U3252" s="37" t="s">
        <v>1822</v>
      </c>
      <c r="V3252" s="37">
        <f t="shared" ref="V3252:V3261" si="303">I3284</f>
        <v>2152</v>
      </c>
      <c r="W3252" s="99" t="s">
        <v>2199</v>
      </c>
      <c r="X3252" s="37">
        <f t="shared" ref="X3252:X3261" si="304">V3252*S3252</f>
        <v>3314.08</v>
      </c>
    </row>
    <row r="3253" spans="6:24" ht="30" customHeight="1">
      <c r="G3253"/>
      <c r="H3253" s="1" t="s">
        <v>2497</v>
      </c>
      <c r="J3253"/>
      <c r="M3253" s="111"/>
      <c r="N3253" s="112"/>
      <c r="O3253" s="111"/>
      <c r="P3253" s="111"/>
      <c r="Q3253" s="391">
        <v>2.5590000000000002E-2</v>
      </c>
      <c r="R3253" t="s">
        <v>2070</v>
      </c>
      <c r="S3253" s="419">
        <v>3.9E-2</v>
      </c>
      <c r="T3253" s="73" t="s">
        <v>836</v>
      </c>
      <c r="U3253" s="412" t="s">
        <v>900</v>
      </c>
      <c r="V3253" s="37">
        <f t="shared" si="303"/>
        <v>95000</v>
      </c>
      <c r="W3253" s="99" t="s">
        <v>836</v>
      </c>
      <c r="X3253" s="37">
        <f t="shared" si="304"/>
        <v>3705</v>
      </c>
    </row>
    <row r="3254" spans="6:24" ht="30" customHeight="1">
      <c r="G3254"/>
      <c r="J3254"/>
      <c r="M3254" s="111"/>
      <c r="N3254" s="112"/>
      <c r="O3254" s="111"/>
      <c r="P3254" s="111"/>
      <c r="Q3254" s="121" t="s">
        <v>1530</v>
      </c>
      <c r="S3254" s="419">
        <v>3.488</v>
      </c>
      <c r="T3254" s="73" t="s">
        <v>578</v>
      </c>
      <c r="U3254" s="412" t="s">
        <v>850</v>
      </c>
      <c r="V3254" s="37">
        <f t="shared" si="303"/>
        <v>1325</v>
      </c>
      <c r="W3254" s="99" t="s">
        <v>578</v>
      </c>
      <c r="X3254" s="37">
        <f t="shared" si="304"/>
        <v>4621.6000000000004</v>
      </c>
    </row>
    <row r="3255" spans="6:24" ht="30" customHeight="1">
      <c r="F3255" s="8">
        <v>0.22</v>
      </c>
      <c r="G3255" s="7" t="s">
        <v>836</v>
      </c>
      <c r="H3255" s="1" t="s">
        <v>1571</v>
      </c>
      <c r="I3255" s="8">
        <f>K52</f>
        <v>3217.3</v>
      </c>
      <c r="J3255" s="2" t="s">
        <v>836</v>
      </c>
      <c r="K3255" s="8">
        <f>(F3255*I3255)</f>
        <v>707.81</v>
      </c>
      <c r="M3255" s="111"/>
      <c r="N3255" s="112"/>
      <c r="O3255" s="120" t="s">
        <v>3229</v>
      </c>
      <c r="P3255" s="111"/>
      <c r="Q3255" s="392">
        <v>1.0999999999999999E-2</v>
      </c>
      <c r="R3255" s="131"/>
      <c r="S3255" s="419">
        <v>6</v>
      </c>
      <c r="T3255" s="73" t="s">
        <v>1807</v>
      </c>
      <c r="U3255" s="37" t="s">
        <v>1823</v>
      </c>
      <c r="V3255" s="37">
        <f t="shared" si="303"/>
        <v>212</v>
      </c>
      <c r="W3255" s="99" t="s">
        <v>1341</v>
      </c>
      <c r="X3255" s="37">
        <f t="shared" si="304"/>
        <v>1272</v>
      </c>
    </row>
    <row r="3256" spans="6:24" ht="30" customHeight="1">
      <c r="F3256" s="8">
        <v>2.2000000000000002</v>
      </c>
      <c r="G3256" s="7" t="s">
        <v>739</v>
      </c>
      <c r="H3256" s="1" t="s">
        <v>1938</v>
      </c>
      <c r="I3256" s="8">
        <f>AE9</f>
        <v>861</v>
      </c>
      <c r="J3256" s="2" t="s">
        <v>739</v>
      </c>
      <c r="K3256" s="8">
        <f>(F3256*I3256)</f>
        <v>1894.2</v>
      </c>
      <c r="M3256" s="111"/>
      <c r="N3256" s="112"/>
      <c r="O3256" s="120" t="s">
        <v>3230</v>
      </c>
      <c r="P3256" s="111"/>
      <c r="Q3256" s="393">
        <v>5.3E-3</v>
      </c>
      <c r="R3256" s="131"/>
      <c r="S3256" s="419">
        <v>1</v>
      </c>
      <c r="T3256" s="73" t="s">
        <v>1807</v>
      </c>
      <c r="U3256" s="37" t="s">
        <v>1824</v>
      </c>
      <c r="V3256" s="37">
        <f t="shared" si="303"/>
        <v>1010</v>
      </c>
      <c r="W3256" s="99" t="s">
        <v>1341</v>
      </c>
      <c r="X3256" s="37">
        <f t="shared" si="304"/>
        <v>1010</v>
      </c>
    </row>
    <row r="3257" spans="6:24" ht="30" customHeight="1">
      <c r="F3257" s="8">
        <v>0.5</v>
      </c>
      <c r="G3257" s="7" t="s">
        <v>739</v>
      </c>
      <c r="H3257" s="1" t="s">
        <v>897</v>
      </c>
      <c r="I3257" s="8">
        <f>I3186</f>
        <v>562</v>
      </c>
      <c r="J3257" s="2" t="s">
        <v>739</v>
      </c>
      <c r="K3257" s="8">
        <f>(F3257*I3257)</f>
        <v>281</v>
      </c>
      <c r="M3257" s="111"/>
      <c r="N3257" s="112"/>
      <c r="O3257" s="120"/>
      <c r="P3257" s="111"/>
      <c r="Q3257" s="121" t="s">
        <v>1530</v>
      </c>
      <c r="R3257" s="131"/>
      <c r="S3257" s="419">
        <v>2</v>
      </c>
      <c r="T3257" s="73" t="s">
        <v>1807</v>
      </c>
      <c r="U3257" s="37" t="s">
        <v>1825</v>
      </c>
      <c r="V3257" s="37">
        <f t="shared" si="303"/>
        <v>535</v>
      </c>
      <c r="W3257" s="99" t="s">
        <v>1341</v>
      </c>
      <c r="X3257" s="37">
        <f t="shared" si="304"/>
        <v>1070</v>
      </c>
    </row>
    <row r="3258" spans="6:24" ht="30" customHeight="1">
      <c r="F3258" s="8">
        <v>3.2</v>
      </c>
      <c r="G3258" s="7" t="s">
        <v>739</v>
      </c>
      <c r="H3258" s="1" t="s">
        <v>299</v>
      </c>
      <c r="I3258" s="8">
        <f>I3187</f>
        <v>461</v>
      </c>
      <c r="J3258" s="2" t="s">
        <v>739</v>
      </c>
      <c r="K3258" s="8">
        <f>(F3258*I3258)</f>
        <v>1475.2</v>
      </c>
      <c r="M3258" s="111"/>
      <c r="N3258" s="112"/>
      <c r="O3258" s="120"/>
      <c r="P3258" s="111"/>
      <c r="Q3258" s="394">
        <v>1.6299999999999999E-2</v>
      </c>
      <c r="R3258" s="131" t="s">
        <v>2070</v>
      </c>
      <c r="S3258" s="419">
        <v>2</v>
      </c>
      <c r="T3258" s="73" t="s">
        <v>1807</v>
      </c>
      <c r="U3258" s="37" t="s">
        <v>1826</v>
      </c>
      <c r="V3258" s="37">
        <f t="shared" si="303"/>
        <v>757</v>
      </c>
      <c r="W3258" s="99" t="s">
        <v>1341</v>
      </c>
      <c r="X3258" s="37">
        <f t="shared" si="304"/>
        <v>1514</v>
      </c>
    </row>
    <row r="3259" spans="6:24" ht="39.75" customHeight="1">
      <c r="F3259" s="8">
        <v>10</v>
      </c>
      <c r="G3259" s="7" t="s">
        <v>222</v>
      </c>
      <c r="H3259" s="572" t="s">
        <v>4862</v>
      </c>
      <c r="I3259" s="441">
        <f>AE59</f>
        <v>8.85</v>
      </c>
      <c r="J3259" s="2" t="s">
        <v>222</v>
      </c>
      <c r="K3259" s="8">
        <f>(F3259*I3259)</f>
        <v>88.5</v>
      </c>
      <c r="M3259" s="111"/>
      <c r="N3259" s="112"/>
      <c r="O3259" s="111"/>
      <c r="P3259" s="111"/>
      <c r="Q3259" s="121" t="s">
        <v>1530</v>
      </c>
      <c r="R3259" s="121"/>
      <c r="S3259" s="419">
        <v>1</v>
      </c>
      <c r="T3259" s="73" t="s">
        <v>1807</v>
      </c>
      <c r="U3259" s="37" t="s">
        <v>1827</v>
      </c>
      <c r="V3259" s="37">
        <f t="shared" si="303"/>
        <v>985</v>
      </c>
      <c r="W3259" s="99" t="s">
        <v>1341</v>
      </c>
      <c r="X3259" s="37">
        <f t="shared" si="304"/>
        <v>985</v>
      </c>
    </row>
    <row r="3260" spans="6:24" ht="30" customHeight="1">
      <c r="J3260" s="4"/>
      <c r="K3260" s="5" t="s">
        <v>1530</v>
      </c>
      <c r="M3260" s="131">
        <v>5.1999999999999998E-2</v>
      </c>
      <c r="N3260" s="119" t="s">
        <v>836</v>
      </c>
      <c r="O3260" s="120" t="s">
        <v>287</v>
      </c>
      <c r="P3260" s="122">
        <f>P3191</f>
        <v>111600</v>
      </c>
      <c r="Q3260" s="118" t="s">
        <v>836</v>
      </c>
      <c r="R3260" s="122">
        <f>P3260*M3260</f>
        <v>5803.2</v>
      </c>
      <c r="S3260" s="419">
        <v>2</v>
      </c>
      <c r="T3260" s="73" t="s">
        <v>1807</v>
      </c>
      <c r="U3260" s="37" t="s">
        <v>1828</v>
      </c>
      <c r="V3260" s="37">
        <f t="shared" si="303"/>
        <v>450</v>
      </c>
      <c r="W3260" s="99" t="s">
        <v>1341</v>
      </c>
      <c r="X3260" s="37">
        <f t="shared" si="304"/>
        <v>900</v>
      </c>
    </row>
    <row r="3261" spans="6:24" ht="30" customHeight="1">
      <c r="H3261" s="1" t="s">
        <v>411</v>
      </c>
      <c r="J3261" s="4"/>
      <c r="K3261" s="8">
        <f>SUM(K3255:K3260)</f>
        <v>4446.71</v>
      </c>
      <c r="M3261" s="131">
        <v>2.5590000000000002E-2</v>
      </c>
      <c r="N3261" s="119" t="s">
        <v>836</v>
      </c>
      <c r="O3261" s="120" t="s">
        <v>288</v>
      </c>
      <c r="P3261" s="122">
        <f>P3192</f>
        <v>99400</v>
      </c>
      <c r="Q3261" s="118" t="s">
        <v>836</v>
      </c>
      <c r="R3261" s="122">
        <f t="shared" ref="R3261:R3271" si="305">P3261*M3261</f>
        <v>2543.65</v>
      </c>
      <c r="S3261" s="419">
        <v>0</v>
      </c>
      <c r="T3261" s="73" t="s">
        <v>1375</v>
      </c>
      <c r="U3261" s="37" t="s">
        <v>645</v>
      </c>
      <c r="V3261" s="37">
        <f t="shared" si="303"/>
        <v>2.39</v>
      </c>
      <c r="W3261" s="99" t="s">
        <v>1341</v>
      </c>
      <c r="X3261" s="411">
        <f t="shared" si="304"/>
        <v>0</v>
      </c>
    </row>
    <row r="3262" spans="6:24" ht="30" customHeight="1">
      <c r="J3262" s="4"/>
      <c r="K3262" s="5" t="s">
        <v>1530</v>
      </c>
      <c r="M3262" s="131">
        <v>1.6299999999999999E-2</v>
      </c>
      <c r="N3262" s="119" t="s">
        <v>836</v>
      </c>
      <c r="O3262" s="523" t="s">
        <v>3231</v>
      </c>
      <c r="P3262" s="167">
        <f>AC28</f>
        <v>95000</v>
      </c>
      <c r="Q3262" s="118" t="s">
        <v>836</v>
      </c>
      <c r="R3262" s="122">
        <f t="shared" si="305"/>
        <v>1548.5</v>
      </c>
      <c r="S3262" s="419"/>
      <c r="T3262" s="73"/>
      <c r="U3262" s="37" t="s">
        <v>1829</v>
      </c>
      <c r="V3262" s="37"/>
      <c r="W3262" s="99"/>
      <c r="X3262" s="37">
        <f>SUM(X3250:X3261)</f>
        <v>30193.68</v>
      </c>
    </row>
    <row r="3263" spans="6:24" ht="30" customHeight="1">
      <c r="H3263" s="1" t="s">
        <v>521</v>
      </c>
      <c r="J3263" s="4"/>
      <c r="K3263" s="8">
        <f>(K3261/10)</f>
        <v>444.67</v>
      </c>
      <c r="M3263" s="133"/>
      <c r="N3263" s="112"/>
      <c r="O3263" s="120" t="s">
        <v>909</v>
      </c>
      <c r="P3263" s="122"/>
      <c r="Q3263" s="114"/>
      <c r="R3263" s="122">
        <f t="shared" si="305"/>
        <v>0</v>
      </c>
      <c r="S3263" s="419"/>
      <c r="T3263" s="73"/>
      <c r="U3263" s="37"/>
      <c r="V3263" s="37"/>
      <c r="W3263" s="99"/>
      <c r="X3263" s="411" t="s">
        <v>144</v>
      </c>
    </row>
    <row r="3264" spans="6:24" ht="24" customHeight="1">
      <c r="J3264" s="4"/>
      <c r="K3264" s="5" t="s">
        <v>1980</v>
      </c>
      <c r="M3264" s="133">
        <v>2.4279999999999999</v>
      </c>
      <c r="N3264" s="119" t="s">
        <v>578</v>
      </c>
      <c r="O3264" s="120" t="s">
        <v>417</v>
      </c>
      <c r="P3264" s="122">
        <f t="shared" ref="P3264:P3270" si="306">P3195</f>
        <v>1325</v>
      </c>
      <c r="Q3264" s="118" t="s">
        <v>578</v>
      </c>
      <c r="R3264" s="122">
        <f t="shared" si="305"/>
        <v>3217.1</v>
      </c>
      <c r="S3264" s="419"/>
      <c r="T3264" s="73"/>
      <c r="U3264" s="37" t="s">
        <v>1830</v>
      </c>
      <c r="V3264" s="37"/>
      <c r="W3264" s="99"/>
      <c r="X3264" s="37">
        <f>X3262/S3254</f>
        <v>8656.44</v>
      </c>
    </row>
    <row r="3265" spans="6:24" ht="24" customHeight="1">
      <c r="G3265"/>
      <c r="J3265"/>
      <c r="K3265">
        <f>54000+7000</f>
        <v>61000</v>
      </c>
      <c r="M3265" s="122">
        <v>4</v>
      </c>
      <c r="N3265" s="119" t="s">
        <v>739</v>
      </c>
      <c r="O3265" s="120" t="s">
        <v>3213</v>
      </c>
      <c r="P3265" s="122">
        <f>P3231</f>
        <v>53.4</v>
      </c>
      <c r="Q3265" s="118" t="s">
        <v>835</v>
      </c>
      <c r="R3265" s="122">
        <f t="shared" si="305"/>
        <v>213.6</v>
      </c>
      <c r="S3265" s="419"/>
      <c r="T3265" s="73"/>
      <c r="U3265" s="37"/>
      <c r="V3265" s="37"/>
      <c r="W3265" s="99"/>
      <c r="X3265" s="411" t="s">
        <v>144</v>
      </c>
    </row>
    <row r="3266" spans="6:24" ht="24" customHeight="1">
      <c r="G3266"/>
      <c r="J3266"/>
      <c r="M3266" s="122">
        <v>8</v>
      </c>
      <c r="N3266" s="119" t="s">
        <v>835</v>
      </c>
      <c r="O3266" s="120" t="s">
        <v>1407</v>
      </c>
      <c r="P3266" s="122">
        <f>P3232</f>
        <v>83</v>
      </c>
      <c r="Q3266" s="118" t="s">
        <v>835</v>
      </c>
      <c r="R3266" s="122">
        <f t="shared" si="305"/>
        <v>664</v>
      </c>
    </row>
    <row r="3267" spans="6:24" ht="24" customHeight="1">
      <c r="F3267" s="2" t="s">
        <v>31</v>
      </c>
      <c r="G3267" s="7" t="s">
        <v>2167</v>
      </c>
      <c r="H3267" s="2" t="s">
        <v>3341</v>
      </c>
      <c r="J3267" s="4"/>
      <c r="M3267" s="122">
        <v>4</v>
      </c>
      <c r="N3267" s="119" t="s">
        <v>835</v>
      </c>
      <c r="O3267" s="120" t="s">
        <v>3214</v>
      </c>
      <c r="P3267" s="122">
        <f t="shared" si="306"/>
        <v>90.6</v>
      </c>
      <c r="Q3267" s="118" t="s">
        <v>835</v>
      </c>
      <c r="R3267" s="122">
        <f t="shared" si="305"/>
        <v>362.4</v>
      </c>
    </row>
    <row r="3268" spans="6:24" ht="24" customHeight="1">
      <c r="H3268" s="2" t="s">
        <v>33</v>
      </c>
      <c r="J3268" s="4"/>
      <c r="M3268" s="122">
        <v>1</v>
      </c>
      <c r="N3268" s="119" t="s">
        <v>835</v>
      </c>
      <c r="O3268" s="120" t="s">
        <v>3215</v>
      </c>
      <c r="P3268" s="122">
        <f t="shared" si="306"/>
        <v>194.4</v>
      </c>
      <c r="Q3268" s="118" t="s">
        <v>835</v>
      </c>
      <c r="R3268" s="122">
        <f t="shared" si="305"/>
        <v>194.4</v>
      </c>
    </row>
    <row r="3269" spans="6:24" ht="24" customHeight="1">
      <c r="F3269" s="8">
        <v>1.8</v>
      </c>
      <c r="G3269" s="7" t="s">
        <v>1315</v>
      </c>
      <c r="H3269" s="1" t="s">
        <v>32</v>
      </c>
      <c r="I3269" s="8">
        <f>E274</f>
        <v>155</v>
      </c>
      <c r="J3269" s="2" t="s">
        <v>1315</v>
      </c>
      <c r="K3269" s="8">
        <f>(F3269*I3269)</f>
        <v>279</v>
      </c>
      <c r="M3269" s="122">
        <v>2</v>
      </c>
      <c r="N3269" s="119" t="s">
        <v>835</v>
      </c>
      <c r="O3269" s="120" t="s">
        <v>3216</v>
      </c>
      <c r="P3269" s="122">
        <f t="shared" si="306"/>
        <v>22.9</v>
      </c>
      <c r="Q3269" s="118" t="s">
        <v>835</v>
      </c>
      <c r="R3269" s="122">
        <f t="shared" si="305"/>
        <v>45.8</v>
      </c>
    </row>
    <row r="3270" spans="6:24" ht="24" customHeight="1">
      <c r="F3270" s="8">
        <v>0.25</v>
      </c>
      <c r="G3270" s="7" t="s">
        <v>529</v>
      </c>
      <c r="H3270" s="1" t="s">
        <v>1316</v>
      </c>
      <c r="I3270" s="8">
        <f>I3245</f>
        <v>688</v>
      </c>
      <c r="J3270" s="2" t="s">
        <v>529</v>
      </c>
      <c r="K3270" s="8">
        <f>(F3270*I3270)</f>
        <v>172</v>
      </c>
      <c r="M3270" s="122">
        <v>2</v>
      </c>
      <c r="N3270" s="119" t="s">
        <v>835</v>
      </c>
      <c r="O3270" s="120" t="s">
        <v>3217</v>
      </c>
      <c r="P3270" s="122">
        <f t="shared" si="306"/>
        <v>45.9</v>
      </c>
      <c r="Q3270" s="118" t="s">
        <v>835</v>
      </c>
      <c r="R3270" s="122">
        <f t="shared" si="305"/>
        <v>91.8</v>
      </c>
    </row>
    <row r="3271" spans="6:24" ht="24" customHeight="1">
      <c r="F3271" s="8">
        <v>0.25</v>
      </c>
      <c r="G3271" s="7" t="s">
        <v>529</v>
      </c>
      <c r="H3271" s="1" t="s">
        <v>792</v>
      </c>
      <c r="I3271" s="8">
        <f>I3186</f>
        <v>562</v>
      </c>
      <c r="J3271" s="2" t="s">
        <v>529</v>
      </c>
      <c r="K3271" s="8">
        <f>(F3271*I3271)</f>
        <v>140.5</v>
      </c>
      <c r="M3271" s="111">
        <v>118</v>
      </c>
      <c r="N3271" s="119" t="s">
        <v>835</v>
      </c>
      <c r="O3271" s="111" t="s">
        <v>1284</v>
      </c>
      <c r="P3271" s="111">
        <f>P3237</f>
        <v>2.39</v>
      </c>
      <c r="Q3271" s="114"/>
      <c r="R3271" s="122">
        <f t="shared" si="305"/>
        <v>282.02</v>
      </c>
    </row>
    <row r="3272" spans="6:24" ht="24" customHeight="1">
      <c r="F3272" s="8">
        <v>0.4</v>
      </c>
      <c r="G3272" s="7" t="s">
        <v>529</v>
      </c>
      <c r="H3272" s="1" t="s">
        <v>1317</v>
      </c>
      <c r="I3272" s="8">
        <f>I3187</f>
        <v>461</v>
      </c>
      <c r="J3272" s="2" t="s">
        <v>529</v>
      </c>
      <c r="K3272" s="8">
        <f>(F3272*I3272)</f>
        <v>184.4</v>
      </c>
      <c r="M3272" s="111"/>
      <c r="N3272" s="112"/>
      <c r="O3272" s="111"/>
      <c r="P3272" s="111"/>
      <c r="Q3272" s="114"/>
      <c r="R3272" s="121" t="s">
        <v>1530</v>
      </c>
    </row>
    <row r="3273" spans="6:24" ht="24" customHeight="1">
      <c r="G3273" s="7" t="s">
        <v>419</v>
      </c>
      <c r="H3273" s="1" t="s">
        <v>1771</v>
      </c>
      <c r="J3273" s="2" t="s">
        <v>419</v>
      </c>
      <c r="K3273" s="8">
        <v>1.65</v>
      </c>
      <c r="M3273" s="111"/>
      <c r="N3273" s="112"/>
      <c r="O3273" s="120" t="s">
        <v>3232</v>
      </c>
      <c r="P3273" s="111"/>
      <c r="Q3273" s="114"/>
      <c r="R3273" s="122">
        <f>SUM(R3260:R3271)</f>
        <v>14966.47</v>
      </c>
    </row>
    <row r="3274" spans="6:24" ht="24" customHeight="1">
      <c r="F3274">
        <v>10</v>
      </c>
      <c r="H3274" s="1" t="s">
        <v>3342</v>
      </c>
      <c r="I3274">
        <f>I3175</f>
        <v>3.65</v>
      </c>
      <c r="J3274" s="4" t="s">
        <v>222</v>
      </c>
      <c r="K3274" s="8">
        <f>I3274*F3274</f>
        <v>36.5</v>
      </c>
      <c r="M3274" s="111"/>
      <c r="N3274" s="112"/>
      <c r="O3274" s="111"/>
      <c r="P3274" s="111"/>
      <c r="Q3274" s="114"/>
      <c r="R3274" s="121" t="s">
        <v>1530</v>
      </c>
    </row>
    <row r="3275" spans="6:24" ht="24" customHeight="1">
      <c r="J3275" s="4"/>
      <c r="K3275" s="5" t="s">
        <v>1530</v>
      </c>
      <c r="M3275" s="111"/>
      <c r="N3275" s="112"/>
      <c r="O3275" s="109" t="s">
        <v>521</v>
      </c>
      <c r="P3275" s="111"/>
      <c r="Q3275" s="116" t="s">
        <v>690</v>
      </c>
      <c r="R3275" s="110">
        <f>R3273/M3264</f>
        <v>6164.11</v>
      </c>
    </row>
    <row r="3276" spans="6:24" ht="24" customHeight="1">
      <c r="H3276" s="2" t="s">
        <v>1318</v>
      </c>
      <c r="J3276" s="4"/>
      <c r="K3276" s="8">
        <f>SUM(K3269:K3275)</f>
        <v>814.05</v>
      </c>
      <c r="M3276" s="118"/>
      <c r="N3276" s="119" t="s">
        <v>2167</v>
      </c>
      <c r="O3276" s="120" t="s">
        <v>3235</v>
      </c>
      <c r="P3276" s="111"/>
      <c r="Q3276" s="114"/>
      <c r="R3276" s="111"/>
    </row>
    <row r="3277" spans="6:24" ht="24" customHeight="1">
      <c r="J3277" s="4"/>
      <c r="K3277" s="5" t="s">
        <v>1530</v>
      </c>
      <c r="M3277" s="111"/>
      <c r="N3277" s="112"/>
      <c r="O3277" s="120" t="s">
        <v>241</v>
      </c>
      <c r="P3277" s="111"/>
      <c r="Q3277" s="114"/>
      <c r="R3277" s="111"/>
    </row>
    <row r="3278" spans="6:24" ht="24" customHeight="1">
      <c r="F3278" s="1" t="s">
        <v>940</v>
      </c>
      <c r="G3278" s="7" t="s">
        <v>940</v>
      </c>
      <c r="H3278" s="2" t="s">
        <v>1641</v>
      </c>
      <c r="I3278" s="1" t="s">
        <v>940</v>
      </c>
      <c r="J3278" s="2" t="s">
        <v>940</v>
      </c>
      <c r="K3278" s="8">
        <f>K3276/10</f>
        <v>81.41</v>
      </c>
      <c r="M3278" s="111"/>
      <c r="N3278" s="112"/>
      <c r="O3278" s="385" t="s">
        <v>3225</v>
      </c>
      <c r="P3278" s="111"/>
      <c r="Q3278" s="114"/>
      <c r="R3278" s="111"/>
    </row>
    <row r="3279" spans="6:24" ht="24" customHeight="1">
      <c r="J3279" s="4"/>
      <c r="K3279" s="5" t="s">
        <v>1980</v>
      </c>
      <c r="M3279" s="111"/>
      <c r="N3279" s="112"/>
      <c r="O3279" s="121" t="s">
        <v>1530</v>
      </c>
      <c r="P3279" s="111"/>
      <c r="Q3279" s="114"/>
      <c r="R3279" s="111"/>
    </row>
    <row r="3280" spans="6:24" ht="24" customHeight="1">
      <c r="G3280" s="37" t="s">
        <v>1820</v>
      </c>
      <c r="J3280"/>
      <c r="M3280" s="111"/>
      <c r="N3280" s="112"/>
      <c r="O3280" s="120" t="s">
        <v>3226</v>
      </c>
      <c r="P3280" s="115" t="s">
        <v>1980</v>
      </c>
      <c r="Q3280" s="386">
        <v>2.4279999999999999</v>
      </c>
      <c r="R3280" s="111" t="s">
        <v>2199</v>
      </c>
    </row>
    <row r="3281" spans="6:18" ht="24" customHeight="1">
      <c r="G3281" s="37" t="s">
        <v>1821</v>
      </c>
      <c r="J3281"/>
      <c r="M3281" s="111"/>
      <c r="N3281" s="112"/>
      <c r="O3281" s="120"/>
      <c r="P3281" s="115"/>
      <c r="Q3281" s="386"/>
      <c r="R3281" s="111"/>
    </row>
    <row r="3282" spans="6:18" ht="24" customHeight="1">
      <c r="G3282"/>
      <c r="J3282"/>
      <c r="M3282" s="111"/>
      <c r="N3282" s="112"/>
      <c r="O3282" s="120" t="s">
        <v>2755</v>
      </c>
      <c r="P3282" s="115" t="s">
        <v>1980</v>
      </c>
      <c r="Q3282" s="387">
        <v>5.1999999999999998E-2</v>
      </c>
      <c r="R3282" s="111" t="s">
        <v>2070</v>
      </c>
    </row>
    <row r="3283" spans="6:18" ht="24" customHeight="1">
      <c r="F3283" s="409">
        <v>0.10299999999999999</v>
      </c>
      <c r="G3283" s="73" t="s">
        <v>836</v>
      </c>
      <c r="H3283" s="37" t="s">
        <v>2376</v>
      </c>
      <c r="I3283" s="37">
        <f>I1105</f>
        <v>99400</v>
      </c>
      <c r="J3283" s="99" t="s">
        <v>836</v>
      </c>
      <c r="K3283" s="37">
        <f>I3283*F3283</f>
        <v>10238.200000000001</v>
      </c>
      <c r="M3283" s="111"/>
      <c r="N3283" s="112"/>
      <c r="O3283" s="120" t="s">
        <v>3208</v>
      </c>
      <c r="Q3283" s="388"/>
      <c r="R3283" s="111"/>
    </row>
    <row r="3284" spans="6:18" ht="24" customHeight="1">
      <c r="F3284" s="409">
        <v>1.32</v>
      </c>
      <c r="G3284" s="73" t="s">
        <v>578</v>
      </c>
      <c r="H3284" s="37" t="s">
        <v>1822</v>
      </c>
      <c r="I3284" s="508">
        <v>2152</v>
      </c>
      <c r="J3284" s="99" t="s">
        <v>2199</v>
      </c>
      <c r="K3284" s="37">
        <f t="shared" ref="K3284:K3293" si="307">I3284*F3284</f>
        <v>2840.64</v>
      </c>
      <c r="M3284" s="111"/>
      <c r="N3284" s="112"/>
      <c r="O3284" s="120" t="s">
        <v>3227</v>
      </c>
      <c r="P3284" s="115" t="s">
        <v>1980</v>
      </c>
      <c r="Q3284" s="390">
        <v>1.7718999999999999E-2</v>
      </c>
      <c r="R3284" s="111"/>
    </row>
    <row r="3285" spans="6:18" ht="24" customHeight="1">
      <c r="F3285" s="410">
        <v>3.3000000000000002E-2</v>
      </c>
      <c r="G3285" s="73" t="s">
        <v>836</v>
      </c>
      <c r="H3285" s="412" t="s">
        <v>900</v>
      </c>
      <c r="I3285" s="37">
        <f>AC28</f>
        <v>95000</v>
      </c>
      <c r="J3285" s="99" t="s">
        <v>836</v>
      </c>
      <c r="K3285" s="37">
        <f t="shared" si="307"/>
        <v>3135</v>
      </c>
      <c r="M3285" s="111"/>
      <c r="N3285" s="112"/>
      <c r="O3285" s="120" t="s">
        <v>3228</v>
      </c>
      <c r="P3285" s="115" t="s">
        <v>1980</v>
      </c>
      <c r="Q3285" s="390">
        <v>7.8750000000000001E-3</v>
      </c>
      <c r="R3285" s="131"/>
    </row>
    <row r="3286" spans="6:18" ht="24" customHeight="1">
      <c r="F3286" s="410">
        <v>3.0225</v>
      </c>
      <c r="G3286" s="73" t="s">
        <v>578</v>
      </c>
      <c r="H3286" s="412" t="s">
        <v>850</v>
      </c>
      <c r="I3286" s="37">
        <f>AE30</f>
        <v>1325</v>
      </c>
      <c r="J3286" s="99" t="s">
        <v>578</v>
      </c>
      <c r="K3286" s="37">
        <f t="shared" si="307"/>
        <v>4004.81</v>
      </c>
      <c r="M3286" s="111"/>
      <c r="N3286" s="112"/>
      <c r="O3286" s="111"/>
      <c r="P3286" s="111"/>
      <c r="Q3286" s="121" t="s">
        <v>1530</v>
      </c>
    </row>
    <row r="3287" spans="6:18" ht="24" customHeight="1">
      <c r="F3287" s="37">
        <v>6</v>
      </c>
      <c r="G3287" s="73" t="s">
        <v>1807</v>
      </c>
      <c r="H3287" s="37" t="s">
        <v>1823</v>
      </c>
      <c r="I3287" s="508">
        <v>212</v>
      </c>
      <c r="J3287" s="99" t="s">
        <v>1341</v>
      </c>
      <c r="K3287" s="37">
        <f t="shared" si="307"/>
        <v>1272</v>
      </c>
      <c r="M3287" s="111"/>
      <c r="N3287" s="112"/>
      <c r="O3287" s="111"/>
      <c r="P3287" s="111"/>
      <c r="Q3287" s="391">
        <v>2.5590000000000002E-2</v>
      </c>
      <c r="R3287" t="s">
        <v>2070</v>
      </c>
    </row>
    <row r="3288" spans="6:18" ht="24" customHeight="1">
      <c r="F3288" s="37">
        <v>1</v>
      </c>
      <c r="G3288" s="73" t="s">
        <v>1807</v>
      </c>
      <c r="H3288" s="37" t="s">
        <v>1824</v>
      </c>
      <c r="I3288" s="37">
        <v>1010</v>
      </c>
      <c r="J3288" s="99" t="s">
        <v>1341</v>
      </c>
      <c r="K3288" s="37">
        <f t="shared" si="307"/>
        <v>1010</v>
      </c>
      <c r="M3288" s="111"/>
      <c r="N3288" s="112"/>
      <c r="O3288" s="111"/>
      <c r="P3288" s="111"/>
      <c r="Q3288" s="121" t="s">
        <v>1530</v>
      </c>
    </row>
    <row r="3289" spans="6:18" ht="24" customHeight="1">
      <c r="F3289" s="37">
        <v>2</v>
      </c>
      <c r="G3289" s="73" t="s">
        <v>1807</v>
      </c>
      <c r="H3289" s="37" t="s">
        <v>1825</v>
      </c>
      <c r="I3289" s="37">
        <v>535</v>
      </c>
      <c r="J3289" s="99" t="s">
        <v>1341</v>
      </c>
      <c r="K3289" s="37">
        <f t="shared" si="307"/>
        <v>1070</v>
      </c>
      <c r="M3289" s="111"/>
      <c r="N3289" s="112"/>
      <c r="O3289" s="120" t="s">
        <v>3233</v>
      </c>
      <c r="P3289" s="111"/>
      <c r="Q3289" s="392">
        <v>0.58750000000000002</v>
      </c>
      <c r="R3289" s="131"/>
    </row>
    <row r="3290" spans="6:18" ht="24" customHeight="1">
      <c r="F3290" s="37">
        <v>2</v>
      </c>
      <c r="G3290" s="73" t="s">
        <v>1807</v>
      </c>
      <c r="H3290" s="37" t="s">
        <v>1826</v>
      </c>
      <c r="I3290" s="37">
        <v>757</v>
      </c>
      <c r="J3290" s="99" t="s">
        <v>1341</v>
      </c>
      <c r="K3290" s="37">
        <f t="shared" si="307"/>
        <v>1514</v>
      </c>
      <c r="M3290" s="111"/>
      <c r="N3290" s="112"/>
      <c r="O3290" s="120" t="s">
        <v>3234</v>
      </c>
      <c r="P3290" s="111"/>
      <c r="Q3290" s="393">
        <v>0.28129999999999999</v>
      </c>
      <c r="R3290" s="131"/>
    </row>
    <row r="3291" spans="6:18" ht="24" customHeight="1">
      <c r="F3291" s="37">
        <v>1</v>
      </c>
      <c r="G3291" s="73" t="s">
        <v>1807</v>
      </c>
      <c r="H3291" s="37" t="s">
        <v>1827</v>
      </c>
      <c r="I3291" s="706">
        <v>985</v>
      </c>
      <c r="J3291" s="99" t="s">
        <v>1341</v>
      </c>
      <c r="K3291" s="37">
        <f t="shared" si="307"/>
        <v>985</v>
      </c>
      <c r="M3291" s="111"/>
      <c r="N3291" s="112"/>
      <c r="O3291" s="120"/>
      <c r="P3291" s="111"/>
      <c r="Q3291" s="121" t="s">
        <v>1530</v>
      </c>
      <c r="R3291" s="131"/>
    </row>
    <row r="3292" spans="6:18" ht="24" customHeight="1">
      <c r="F3292" s="37">
        <v>2</v>
      </c>
      <c r="G3292" s="73" t="s">
        <v>1807</v>
      </c>
      <c r="H3292" s="37" t="s">
        <v>1828</v>
      </c>
      <c r="I3292" s="706">
        <v>450</v>
      </c>
      <c r="J3292" s="99" t="s">
        <v>1341</v>
      </c>
      <c r="K3292" s="37">
        <f t="shared" si="307"/>
        <v>900</v>
      </c>
      <c r="M3292" s="111"/>
      <c r="N3292" s="112"/>
      <c r="O3292" s="120"/>
      <c r="P3292" s="111"/>
      <c r="Q3292" s="393">
        <v>0.86880000000000002</v>
      </c>
      <c r="R3292" s="117" t="s">
        <v>2199</v>
      </c>
    </row>
    <row r="3293" spans="6:18" ht="24" customHeight="1">
      <c r="F3293" s="37">
        <v>0</v>
      </c>
      <c r="G3293" s="73" t="s">
        <v>1375</v>
      </c>
      <c r="H3293" s="37" t="s">
        <v>645</v>
      </c>
      <c r="I3293" s="37">
        <f>I964</f>
        <v>2.39</v>
      </c>
      <c r="J3293" s="99" t="s">
        <v>1341</v>
      </c>
      <c r="K3293" s="411">
        <f t="shared" si="307"/>
        <v>0</v>
      </c>
      <c r="M3293" s="111"/>
      <c r="N3293" s="112"/>
      <c r="O3293" s="111"/>
      <c r="P3293" s="111"/>
      <c r="Q3293" s="121" t="s">
        <v>1530</v>
      </c>
      <c r="R3293" s="121"/>
    </row>
    <row r="3294" spans="6:18" ht="24" customHeight="1">
      <c r="F3294" s="37"/>
      <c r="G3294" s="73"/>
      <c r="H3294" s="37" t="s">
        <v>1829</v>
      </c>
      <c r="I3294" s="37"/>
      <c r="J3294" s="99"/>
      <c r="K3294" s="37">
        <f>SUM(K3283:K3293)</f>
        <v>26969.65</v>
      </c>
      <c r="M3294" s="131">
        <v>5.1999999999999998E-2</v>
      </c>
      <c r="N3294" s="119" t="s">
        <v>836</v>
      </c>
      <c r="O3294" s="120" t="s">
        <v>287</v>
      </c>
      <c r="P3294" s="122">
        <f>P3191</f>
        <v>111600</v>
      </c>
      <c r="Q3294" s="118" t="s">
        <v>836</v>
      </c>
      <c r="R3294" s="122">
        <f>P3294*M3294</f>
        <v>5803.2</v>
      </c>
    </row>
    <row r="3295" spans="6:18" ht="24" customHeight="1">
      <c r="F3295" s="37"/>
      <c r="G3295" s="73"/>
      <c r="H3295" s="37"/>
      <c r="I3295" s="37"/>
      <c r="J3295" s="99"/>
      <c r="K3295" s="411" t="s">
        <v>144</v>
      </c>
      <c r="M3295" s="131">
        <v>2.5590000000000002E-2</v>
      </c>
      <c r="N3295" s="119" t="s">
        <v>836</v>
      </c>
      <c r="O3295" s="120" t="s">
        <v>288</v>
      </c>
      <c r="P3295" s="122">
        <f>P3192</f>
        <v>99400</v>
      </c>
      <c r="Q3295" s="118" t="s">
        <v>836</v>
      </c>
      <c r="R3295" s="122">
        <f t="shared" ref="R3295:R3303" si="308">P3295*M3295</f>
        <v>2543.65</v>
      </c>
    </row>
    <row r="3296" spans="6:18" ht="24" customHeight="1">
      <c r="F3296" s="37"/>
      <c r="G3296" s="73"/>
      <c r="H3296" s="37" t="s">
        <v>1830</v>
      </c>
      <c r="I3296" s="37"/>
      <c r="J3296" s="99"/>
      <c r="K3296" s="37">
        <f>K3294/F3286</f>
        <v>8922.9599999999991</v>
      </c>
      <c r="M3296" s="122">
        <v>0.87</v>
      </c>
      <c r="N3296" s="119" t="s">
        <v>578</v>
      </c>
      <c r="O3296" s="1" t="s">
        <v>2011</v>
      </c>
      <c r="P3296" s="122">
        <f>C786</f>
        <v>387.4</v>
      </c>
      <c r="Q3296" s="118" t="s">
        <v>836</v>
      </c>
      <c r="R3296" s="122">
        <f t="shared" si="308"/>
        <v>337.04</v>
      </c>
    </row>
    <row r="3297" spans="6:18" ht="24" customHeight="1">
      <c r="F3297" s="37"/>
      <c r="G3297" s="73"/>
      <c r="H3297" s="37"/>
      <c r="I3297" s="37"/>
      <c r="J3297" s="99"/>
      <c r="K3297" s="411" t="s">
        <v>144</v>
      </c>
      <c r="M3297" s="133">
        <v>2.4279999999999999</v>
      </c>
      <c r="N3297" s="119" t="s">
        <v>578</v>
      </c>
      <c r="O3297" s="120" t="s">
        <v>417</v>
      </c>
      <c r="P3297" s="122">
        <f>D30</f>
        <v>1105</v>
      </c>
      <c r="Q3297" s="118" t="s">
        <v>578</v>
      </c>
      <c r="R3297" s="122">
        <f t="shared" si="308"/>
        <v>2682.94</v>
      </c>
    </row>
    <row r="3298" spans="6:18" ht="24" customHeight="1">
      <c r="G3298"/>
      <c r="J3298"/>
      <c r="M3298" s="122">
        <v>4</v>
      </c>
      <c r="N3298" s="119" t="s">
        <v>739</v>
      </c>
      <c r="O3298" s="120" t="s">
        <v>3213</v>
      </c>
      <c r="P3298" s="122">
        <f t="shared" ref="P3298:P3303" si="309">P3231</f>
        <v>53.4</v>
      </c>
      <c r="Q3298" s="118" t="s">
        <v>835</v>
      </c>
      <c r="R3298" s="122">
        <f t="shared" si="308"/>
        <v>213.6</v>
      </c>
    </row>
    <row r="3299" spans="6:18" ht="24" customHeight="1">
      <c r="G3299"/>
      <c r="J3299"/>
      <c r="M3299" s="122">
        <v>8</v>
      </c>
      <c r="N3299" s="119" t="s">
        <v>835</v>
      </c>
      <c r="O3299" s="120" t="s">
        <v>1407</v>
      </c>
      <c r="P3299" s="122">
        <f t="shared" si="309"/>
        <v>83</v>
      </c>
      <c r="Q3299" s="118" t="s">
        <v>835</v>
      </c>
      <c r="R3299" s="122">
        <f t="shared" si="308"/>
        <v>664</v>
      </c>
    </row>
    <row r="3300" spans="6:18" ht="24" customHeight="1">
      <c r="G3300" s="7" t="s">
        <v>295</v>
      </c>
      <c r="H3300" s="2" t="s">
        <v>1686</v>
      </c>
      <c r="M3300" s="122">
        <v>4</v>
      </c>
      <c r="N3300" s="119" t="s">
        <v>835</v>
      </c>
      <c r="O3300" s="120" t="s">
        <v>3214</v>
      </c>
      <c r="P3300" s="122">
        <f t="shared" si="309"/>
        <v>90.6</v>
      </c>
      <c r="Q3300" s="118" t="s">
        <v>835</v>
      </c>
      <c r="R3300" s="122">
        <f t="shared" si="308"/>
        <v>362.4</v>
      </c>
    </row>
    <row r="3301" spans="6:18" ht="24" customHeight="1">
      <c r="H3301" s="2" t="s">
        <v>1724</v>
      </c>
      <c r="M3301" s="122">
        <v>1</v>
      </c>
      <c r="N3301" s="119" t="s">
        <v>835</v>
      </c>
      <c r="O3301" s="120" t="s">
        <v>3215</v>
      </c>
      <c r="P3301" s="122">
        <f t="shared" si="309"/>
        <v>194.4</v>
      </c>
      <c r="Q3301" s="118" t="s">
        <v>835</v>
      </c>
      <c r="R3301" s="122">
        <f t="shared" si="308"/>
        <v>194.4</v>
      </c>
    </row>
    <row r="3302" spans="6:18" ht="24" customHeight="1">
      <c r="F3302" s="15">
        <v>6.5000000000000002E-2</v>
      </c>
      <c r="G3302" s="7" t="s">
        <v>836</v>
      </c>
      <c r="H3302" s="1" t="s">
        <v>1993</v>
      </c>
      <c r="I3302" s="8">
        <f>I862</f>
        <v>7584.57</v>
      </c>
      <c r="J3302" s="1" t="s">
        <v>836</v>
      </c>
      <c r="K3302" s="8">
        <f>I3302*F3302</f>
        <v>493</v>
      </c>
      <c r="M3302" s="122">
        <v>2</v>
      </c>
      <c r="N3302" s="119" t="s">
        <v>835</v>
      </c>
      <c r="O3302" s="120" t="s">
        <v>3216</v>
      </c>
      <c r="P3302" s="122">
        <f t="shared" si="309"/>
        <v>22.9</v>
      </c>
      <c r="Q3302" s="118" t="s">
        <v>835</v>
      </c>
      <c r="R3302" s="122">
        <f t="shared" si="308"/>
        <v>45.8</v>
      </c>
    </row>
    <row r="3303" spans="6:18" ht="24" customHeight="1">
      <c r="F3303" s="407">
        <v>8.4499999999999993</v>
      </c>
      <c r="G3303" s="7" t="s">
        <v>1591</v>
      </c>
      <c r="H3303" s="1" t="s">
        <v>1994</v>
      </c>
      <c r="I3303" s="8">
        <f t="shared" ref="I3303:I3313" si="310">I863</f>
        <v>77593</v>
      </c>
      <c r="J3303" s="1" t="s">
        <v>828</v>
      </c>
      <c r="K3303" s="8">
        <f>I3303*F3303/1000</f>
        <v>655.66</v>
      </c>
      <c r="M3303" s="122">
        <v>2</v>
      </c>
      <c r="N3303" s="119" t="s">
        <v>835</v>
      </c>
      <c r="O3303" s="120" t="s">
        <v>3217</v>
      </c>
      <c r="P3303" s="122">
        <f t="shared" si="309"/>
        <v>45.9</v>
      </c>
      <c r="Q3303" s="118" t="s">
        <v>835</v>
      </c>
      <c r="R3303" s="122">
        <f t="shared" si="308"/>
        <v>91.8</v>
      </c>
    </row>
    <row r="3304" spans="6:18" ht="24" customHeight="1">
      <c r="F3304" s="8">
        <v>3</v>
      </c>
      <c r="G3304" s="7" t="s">
        <v>835</v>
      </c>
      <c r="H3304" s="1" t="s">
        <v>1145</v>
      </c>
      <c r="I3304" s="8">
        <f t="shared" si="310"/>
        <v>14.8</v>
      </c>
      <c r="J3304" s="1" t="s">
        <v>835</v>
      </c>
      <c r="K3304" s="8">
        <f t="shared" ref="K3304:K3311" si="311">I3304*F3304</f>
        <v>44.4</v>
      </c>
      <c r="M3304" s="111"/>
      <c r="N3304" s="112"/>
      <c r="O3304" s="111" t="s">
        <v>1284</v>
      </c>
      <c r="P3304" s="111"/>
      <c r="Q3304" s="114"/>
      <c r="R3304" s="125">
        <f>R3202</f>
        <v>282.02</v>
      </c>
    </row>
    <row r="3305" spans="6:18" ht="24" customHeight="1">
      <c r="F3305" s="8">
        <v>12</v>
      </c>
      <c r="G3305" s="7" t="s">
        <v>835</v>
      </c>
      <c r="H3305" s="1" t="s">
        <v>1146</v>
      </c>
      <c r="I3305" s="8">
        <f t="shared" si="310"/>
        <v>2</v>
      </c>
      <c r="J3305" s="1" t="s">
        <v>835</v>
      </c>
      <c r="K3305" s="8">
        <f t="shared" si="311"/>
        <v>24</v>
      </c>
      <c r="M3305" s="111"/>
      <c r="N3305" s="112"/>
      <c r="O3305" s="111"/>
      <c r="P3305" s="111"/>
      <c r="Q3305" s="114"/>
      <c r="R3305" s="121" t="s">
        <v>1530</v>
      </c>
    </row>
    <row r="3306" spans="6:18" ht="24" customHeight="1">
      <c r="F3306" s="8">
        <v>2</v>
      </c>
      <c r="G3306" s="7" t="s">
        <v>835</v>
      </c>
      <c r="H3306" s="1" t="s">
        <v>1147</v>
      </c>
      <c r="I3306" s="8">
        <f t="shared" si="310"/>
        <v>4.9000000000000004</v>
      </c>
      <c r="J3306" s="1" t="s">
        <v>835</v>
      </c>
      <c r="K3306" s="8">
        <f t="shared" si="311"/>
        <v>9.8000000000000007</v>
      </c>
      <c r="M3306" s="111"/>
      <c r="N3306" s="112"/>
      <c r="O3306" s="120" t="s">
        <v>3232</v>
      </c>
      <c r="P3306" s="111"/>
      <c r="Q3306" s="114"/>
      <c r="R3306" s="122">
        <f>SUM(R3294:R3304)</f>
        <v>13220.85</v>
      </c>
    </row>
    <row r="3307" spans="6:18" ht="24" customHeight="1">
      <c r="F3307" s="8">
        <v>6</v>
      </c>
      <c r="G3307" s="7" t="s">
        <v>835</v>
      </c>
      <c r="H3307" s="1" t="s">
        <v>2138</v>
      </c>
      <c r="I3307" s="8">
        <f t="shared" si="310"/>
        <v>4.45</v>
      </c>
      <c r="J3307" s="1" t="s">
        <v>835</v>
      </c>
      <c r="K3307" s="8">
        <f t="shared" si="311"/>
        <v>26.7</v>
      </c>
      <c r="M3307" s="111"/>
      <c r="N3307" s="112"/>
      <c r="O3307" s="111"/>
      <c r="P3307" s="111"/>
      <c r="Q3307" s="114"/>
      <c r="R3307" s="121" t="s">
        <v>1530</v>
      </c>
    </row>
    <row r="3308" spans="6:18" ht="24" customHeight="1">
      <c r="F3308" s="8">
        <v>1</v>
      </c>
      <c r="G3308" s="7" t="s">
        <v>835</v>
      </c>
      <c r="H3308" s="1" t="s">
        <v>1149</v>
      </c>
      <c r="I3308" s="8">
        <f t="shared" si="310"/>
        <v>861</v>
      </c>
      <c r="J3308" s="1" t="s">
        <v>835</v>
      </c>
      <c r="K3308" s="8">
        <f t="shared" si="311"/>
        <v>861</v>
      </c>
      <c r="M3308" s="111"/>
      <c r="N3308" s="112"/>
      <c r="O3308" s="109" t="s">
        <v>521</v>
      </c>
      <c r="P3308" s="111"/>
      <c r="Q3308" s="116" t="s">
        <v>690</v>
      </c>
      <c r="R3308" s="110">
        <f>R3306/M3297</f>
        <v>5445.16</v>
      </c>
    </row>
    <row r="3309" spans="6:18" ht="24" customHeight="1">
      <c r="F3309" s="8">
        <v>1</v>
      </c>
      <c r="G3309" s="7" t="s">
        <v>835</v>
      </c>
      <c r="H3309" s="1" t="s">
        <v>1150</v>
      </c>
      <c r="I3309" s="8">
        <f t="shared" si="310"/>
        <v>562</v>
      </c>
      <c r="J3309" s="1" t="s">
        <v>835</v>
      </c>
      <c r="K3309" s="8">
        <f t="shared" si="311"/>
        <v>562</v>
      </c>
      <c r="M3309" s="118"/>
      <c r="N3309" s="119" t="s">
        <v>2167</v>
      </c>
      <c r="O3309" s="120" t="s">
        <v>2296</v>
      </c>
      <c r="P3309" s="111"/>
      <c r="Q3309" s="114"/>
      <c r="R3309" s="111"/>
    </row>
    <row r="3310" spans="6:18" ht="24" customHeight="1">
      <c r="F3310" s="8">
        <v>1</v>
      </c>
      <c r="G3310" s="7" t="s">
        <v>835</v>
      </c>
      <c r="H3310" s="1" t="s">
        <v>1151</v>
      </c>
      <c r="I3310" s="8">
        <f t="shared" si="310"/>
        <v>25</v>
      </c>
      <c r="J3310" s="1" t="s">
        <v>835</v>
      </c>
      <c r="K3310" s="8">
        <f t="shared" si="311"/>
        <v>25</v>
      </c>
      <c r="M3310" s="111"/>
      <c r="N3310" s="112"/>
      <c r="O3310" s="120" t="s">
        <v>241</v>
      </c>
      <c r="P3310" s="111"/>
      <c r="Q3310" s="114"/>
      <c r="R3310" s="111"/>
    </row>
    <row r="3311" spans="6:18" ht="24" customHeight="1">
      <c r="F3311" s="8">
        <v>0.5</v>
      </c>
      <c r="G3311" s="7" t="s">
        <v>835</v>
      </c>
      <c r="H3311" s="1" t="s">
        <v>1152</v>
      </c>
      <c r="I3311" s="8">
        <f t="shared" si="310"/>
        <v>461</v>
      </c>
      <c r="J3311" s="1" t="s">
        <v>835</v>
      </c>
      <c r="K3311" s="8">
        <f t="shared" si="311"/>
        <v>230.5</v>
      </c>
      <c r="M3311" s="111"/>
      <c r="N3311" s="112"/>
      <c r="O3311" s="385" t="s">
        <v>2753</v>
      </c>
      <c r="P3311" s="111"/>
      <c r="Q3311" s="114"/>
      <c r="R3311" s="111"/>
    </row>
    <row r="3312" spans="6:18" ht="24" customHeight="1">
      <c r="G3312" s="7" t="s">
        <v>419</v>
      </c>
      <c r="H3312" s="1" t="s">
        <v>2058</v>
      </c>
      <c r="I3312" s="8">
        <f t="shared" si="310"/>
        <v>0</v>
      </c>
      <c r="J3312" s="1" t="s">
        <v>419</v>
      </c>
      <c r="K3312" s="8">
        <v>2.1</v>
      </c>
      <c r="M3312" s="111"/>
      <c r="N3312" s="112"/>
      <c r="O3312" s="121" t="s">
        <v>1530</v>
      </c>
      <c r="P3312" s="111"/>
      <c r="Q3312" s="114"/>
      <c r="R3312" s="111"/>
    </row>
    <row r="3313" spans="6:18" ht="24" customHeight="1">
      <c r="I3313" s="8">
        <f t="shared" si="310"/>
        <v>0</v>
      </c>
      <c r="K3313" s="5" t="s">
        <v>1530</v>
      </c>
      <c r="M3313" s="111"/>
      <c r="N3313" s="112"/>
      <c r="O3313" s="120" t="s">
        <v>3207</v>
      </c>
      <c r="P3313" s="115" t="s">
        <v>1980</v>
      </c>
      <c r="Q3313" s="386">
        <v>3.1219999999999999</v>
      </c>
      <c r="R3313" s="135" t="s">
        <v>2199</v>
      </c>
    </row>
    <row r="3314" spans="6:18" ht="24" customHeight="1">
      <c r="H3314" s="59" t="s">
        <v>266</v>
      </c>
      <c r="K3314" s="408">
        <f>SUM(K3302:K3313)</f>
        <v>2934.16</v>
      </c>
      <c r="M3314" s="111"/>
      <c r="N3314" s="112"/>
      <c r="O3314" s="120"/>
      <c r="P3314" s="115"/>
      <c r="Q3314" s="386"/>
      <c r="R3314" s="135"/>
    </row>
    <row r="3315" spans="6:18" ht="24" customHeight="1">
      <c r="K3315" s="5" t="s">
        <v>1530</v>
      </c>
      <c r="M3315" s="111"/>
      <c r="N3315" s="112"/>
      <c r="O3315" s="120" t="s">
        <v>2755</v>
      </c>
      <c r="P3315" s="115" t="s">
        <v>1980</v>
      </c>
      <c r="Q3315" s="387">
        <v>5.1999999999999998E-2</v>
      </c>
      <c r="R3315" s="135" t="s">
        <v>2070</v>
      </c>
    </row>
    <row r="3316" spans="6:18" ht="24" customHeight="1">
      <c r="G3316"/>
      <c r="J3316"/>
      <c r="M3316" s="111"/>
      <c r="N3316" s="112"/>
      <c r="O3316" s="120" t="s">
        <v>3208</v>
      </c>
      <c r="Q3316" s="388"/>
      <c r="R3316" s="135"/>
    </row>
    <row r="3317" spans="6:18" ht="24" customHeight="1">
      <c r="G3317"/>
      <c r="J3317"/>
      <c r="M3317" s="111"/>
      <c r="N3317" s="112"/>
      <c r="O3317" s="120" t="s">
        <v>3209</v>
      </c>
      <c r="P3317" s="115" t="s">
        <v>1980</v>
      </c>
      <c r="Q3317" s="389">
        <v>2.2780000000000002E-2</v>
      </c>
      <c r="R3317" s="135"/>
    </row>
    <row r="3318" spans="6:18" ht="24" customHeight="1">
      <c r="G3318" s="37" t="s">
        <v>1687</v>
      </c>
      <c r="J3318"/>
      <c r="M3318" s="111"/>
      <c r="N3318" s="112"/>
      <c r="O3318" s="120" t="s">
        <v>2754</v>
      </c>
      <c r="P3318" s="115" t="s">
        <v>1980</v>
      </c>
      <c r="Q3318" s="390">
        <v>1.0125E-2</v>
      </c>
      <c r="R3318" s="136"/>
    </row>
    <row r="3319" spans="6:18" ht="24" customHeight="1">
      <c r="G3319" s="37" t="s">
        <v>1688</v>
      </c>
      <c r="J3319"/>
      <c r="M3319" s="111"/>
      <c r="N3319" s="112"/>
      <c r="O3319" s="111"/>
      <c r="P3319" s="111"/>
      <c r="Q3319" s="396" t="s">
        <v>3002</v>
      </c>
      <c r="R3319" s="11"/>
    </row>
    <row r="3320" spans="6:18" ht="24" customHeight="1">
      <c r="G3320"/>
      <c r="J3320"/>
      <c r="M3320" s="111"/>
      <c r="N3320" s="112"/>
      <c r="O3320" s="111"/>
      <c r="P3320" s="111"/>
      <c r="Q3320" s="391">
        <v>3.2910000000000002E-2</v>
      </c>
      <c r="R3320" s="11" t="s">
        <v>2070</v>
      </c>
    </row>
    <row r="3321" spans="6:18" ht="24" customHeight="1">
      <c r="F3321" s="410">
        <v>2.6159999999999999E-2</v>
      </c>
      <c r="G3321" s="73" t="s">
        <v>836</v>
      </c>
      <c r="H3321" s="37" t="s">
        <v>3073</v>
      </c>
      <c r="I3321" s="37">
        <f>AC26</f>
        <v>111600</v>
      </c>
      <c r="J3321" s="99" t="s">
        <v>836</v>
      </c>
      <c r="K3321" s="37">
        <f>I3321*F3321</f>
        <v>2919.46</v>
      </c>
      <c r="M3321" s="111"/>
      <c r="N3321" s="112"/>
      <c r="O3321" s="111"/>
      <c r="P3321" s="111"/>
      <c r="Q3321" s="396" t="s">
        <v>3002</v>
      </c>
      <c r="R3321" s="11"/>
    </row>
    <row r="3322" spans="6:18" ht="24" customHeight="1">
      <c r="F3322" s="410">
        <v>4.7809999999999998E-2</v>
      </c>
      <c r="G3322" s="73" t="s">
        <v>836</v>
      </c>
      <c r="H3322" s="37" t="s">
        <v>2413</v>
      </c>
      <c r="I3322" s="37">
        <f>AC27</f>
        <v>99400</v>
      </c>
      <c r="J3322" s="99" t="s">
        <v>836</v>
      </c>
      <c r="K3322" s="37">
        <f t="shared" ref="K3322:K3330" si="312">I3322*F3322</f>
        <v>4752.3100000000004</v>
      </c>
      <c r="M3322" s="111"/>
      <c r="N3322" s="112"/>
      <c r="O3322" s="120" t="s">
        <v>3221</v>
      </c>
      <c r="P3322" s="111"/>
      <c r="Q3322" s="158">
        <v>0.94</v>
      </c>
      <c r="R3322" s="136" t="s">
        <v>2199</v>
      </c>
    </row>
    <row r="3323" spans="6:18" ht="24" customHeight="1">
      <c r="F3323" s="410">
        <v>4.5879999999999997E-2</v>
      </c>
      <c r="G3323" s="73" t="s">
        <v>836</v>
      </c>
      <c r="H3323" s="509" t="s">
        <v>4514</v>
      </c>
      <c r="I3323" s="447">
        <v>107000</v>
      </c>
      <c r="J3323" s="99" t="s">
        <v>836</v>
      </c>
      <c r="K3323" s="37">
        <f t="shared" si="312"/>
        <v>4909.16</v>
      </c>
      <c r="M3323" s="111"/>
      <c r="N3323" s="112"/>
      <c r="O3323" s="120" t="s">
        <v>3236</v>
      </c>
      <c r="P3323" s="111"/>
      <c r="Q3323" s="394">
        <v>0.45</v>
      </c>
      <c r="R3323" s="136" t="s">
        <v>2070</v>
      </c>
    </row>
    <row r="3324" spans="6:18" ht="24" customHeight="1">
      <c r="F3324" s="410">
        <v>3.95</v>
      </c>
      <c r="G3324" s="73" t="s">
        <v>578</v>
      </c>
      <c r="H3324" s="37" t="s">
        <v>850</v>
      </c>
      <c r="I3324" s="37">
        <f>P3264</f>
        <v>1325</v>
      </c>
      <c r="J3324" s="99" t="s">
        <v>578</v>
      </c>
      <c r="K3324" s="37">
        <f t="shared" si="312"/>
        <v>5233.75</v>
      </c>
      <c r="M3324" s="111"/>
      <c r="N3324" s="112"/>
      <c r="O3324" s="120" t="s">
        <v>3223</v>
      </c>
      <c r="P3324" s="111"/>
      <c r="Q3324" s="394">
        <v>7.9</v>
      </c>
      <c r="R3324" s="136" t="s">
        <v>794</v>
      </c>
    </row>
    <row r="3325" spans="6:18" ht="24" customHeight="1">
      <c r="F3325" s="37">
        <v>2</v>
      </c>
      <c r="G3325" s="73" t="s">
        <v>1807</v>
      </c>
      <c r="H3325" s="37" t="s">
        <v>2045</v>
      </c>
      <c r="I3325" s="37">
        <f t="shared" ref="I3325:I3330" si="313">P3265</f>
        <v>53.4</v>
      </c>
      <c r="J3325" s="99" t="s">
        <v>1341</v>
      </c>
      <c r="K3325" s="37">
        <f t="shared" si="312"/>
        <v>106.8</v>
      </c>
      <c r="M3325" s="111"/>
      <c r="N3325" s="112"/>
      <c r="O3325" s="111"/>
      <c r="P3325" s="111"/>
      <c r="Q3325" s="121"/>
      <c r="R3325" s="121"/>
    </row>
    <row r="3326" spans="6:18" ht="24" customHeight="1">
      <c r="F3326" s="37">
        <v>6</v>
      </c>
      <c r="G3326" s="73" t="s">
        <v>1807</v>
      </c>
      <c r="H3326" s="37" t="s">
        <v>1058</v>
      </c>
      <c r="I3326" s="37">
        <f t="shared" si="313"/>
        <v>83</v>
      </c>
      <c r="J3326" s="99" t="s">
        <v>1341</v>
      </c>
      <c r="K3326" s="37">
        <f t="shared" si="312"/>
        <v>498</v>
      </c>
      <c r="M3326" s="131">
        <v>5.1999999999999998E-2</v>
      </c>
      <c r="N3326" s="119" t="s">
        <v>836</v>
      </c>
      <c r="O3326" s="120" t="s">
        <v>287</v>
      </c>
      <c r="P3326" s="122">
        <f>P3224</f>
        <v>111600</v>
      </c>
      <c r="Q3326" s="118" t="s">
        <v>836</v>
      </c>
      <c r="R3326" s="122">
        <f>P3326*M3326</f>
        <v>5803.2</v>
      </c>
    </row>
    <row r="3327" spans="6:18" ht="24" customHeight="1">
      <c r="F3327" s="37">
        <v>4</v>
      </c>
      <c r="G3327" s="73" t="s">
        <v>1807</v>
      </c>
      <c r="H3327" s="37" t="s">
        <v>1296</v>
      </c>
      <c r="I3327" s="37">
        <f t="shared" si="313"/>
        <v>90.6</v>
      </c>
      <c r="J3327" s="99" t="s">
        <v>1341</v>
      </c>
      <c r="K3327" s="37">
        <f t="shared" si="312"/>
        <v>362.4</v>
      </c>
      <c r="M3327" s="131">
        <v>3.2910000000000002E-2</v>
      </c>
      <c r="N3327" s="119" t="s">
        <v>836</v>
      </c>
      <c r="O3327" s="120" t="s">
        <v>288</v>
      </c>
      <c r="P3327" s="122">
        <f>P3225</f>
        <v>99400</v>
      </c>
      <c r="Q3327" s="118" t="s">
        <v>836</v>
      </c>
      <c r="R3327" s="122">
        <f t="shared" ref="R3327:R3338" si="314">P3327*M3327</f>
        <v>3271.25</v>
      </c>
    </row>
    <row r="3328" spans="6:18" ht="24" customHeight="1">
      <c r="F3328" s="37">
        <v>1</v>
      </c>
      <c r="G3328" s="73" t="s">
        <v>1807</v>
      </c>
      <c r="H3328" s="37" t="s">
        <v>1297</v>
      </c>
      <c r="I3328" s="37">
        <f t="shared" si="313"/>
        <v>194.4</v>
      </c>
      <c r="J3328" s="99" t="s">
        <v>1341</v>
      </c>
      <c r="K3328" s="37">
        <f t="shared" si="312"/>
        <v>194.4</v>
      </c>
      <c r="M3328" s="131">
        <v>0.45</v>
      </c>
      <c r="N3328" s="119" t="s">
        <v>578</v>
      </c>
      <c r="O3328" s="1" t="s">
        <v>2011</v>
      </c>
      <c r="P3328" s="122">
        <f>P3296</f>
        <v>387.4</v>
      </c>
      <c r="Q3328" s="118" t="s">
        <v>836</v>
      </c>
      <c r="R3328" s="122">
        <f t="shared" si="314"/>
        <v>174.33</v>
      </c>
    </row>
    <row r="3329" spans="6:18" ht="24" customHeight="1">
      <c r="F3329" s="37">
        <v>2</v>
      </c>
      <c r="G3329" s="73" t="s">
        <v>1807</v>
      </c>
      <c r="H3329" s="37" t="s">
        <v>3663</v>
      </c>
      <c r="I3329" s="37">
        <f t="shared" si="313"/>
        <v>22.9</v>
      </c>
      <c r="J3329" s="99" t="s">
        <v>1341</v>
      </c>
      <c r="K3329" s="37">
        <f t="shared" si="312"/>
        <v>45.8</v>
      </c>
      <c r="M3329" s="133">
        <v>0.94</v>
      </c>
      <c r="N3329" s="119" t="s">
        <v>578</v>
      </c>
      <c r="O3329" s="120" t="s">
        <v>3222</v>
      </c>
      <c r="P3329" s="122">
        <f t="shared" ref="P3329:P3337" si="315">P3228</f>
        <v>359</v>
      </c>
      <c r="Q3329" s="114" t="s">
        <v>578</v>
      </c>
      <c r="R3329" s="122">
        <f t="shared" si="314"/>
        <v>337.46</v>
      </c>
    </row>
    <row r="3330" spans="6:18" ht="24" customHeight="1">
      <c r="F3330" s="37">
        <v>2</v>
      </c>
      <c r="G3330" s="73" t="s">
        <v>1807</v>
      </c>
      <c r="H3330" s="37" t="s">
        <v>1913</v>
      </c>
      <c r="I3330" s="37">
        <f t="shared" si="313"/>
        <v>45.9</v>
      </c>
      <c r="J3330" s="99" t="s">
        <v>1341</v>
      </c>
      <c r="K3330" s="37">
        <f t="shared" si="312"/>
        <v>91.8</v>
      </c>
      <c r="M3330" s="133">
        <v>7.9</v>
      </c>
      <c r="N3330" s="119" t="s">
        <v>1714</v>
      </c>
      <c r="O3330" s="120" t="s">
        <v>3224</v>
      </c>
      <c r="P3330" s="122">
        <f t="shared" si="315"/>
        <v>15.3</v>
      </c>
      <c r="Q3330" s="114"/>
      <c r="R3330" s="122">
        <f t="shared" si="314"/>
        <v>120.87</v>
      </c>
    </row>
    <row r="3331" spans="6:18" ht="24" customHeight="1">
      <c r="F3331" s="37">
        <v>10</v>
      </c>
      <c r="G3331" s="73"/>
      <c r="H3331" s="509" t="s">
        <v>1833</v>
      </c>
      <c r="I3331" s="37">
        <f>I3293</f>
        <v>2.39</v>
      </c>
      <c r="J3331" s="99"/>
      <c r="K3331" s="37">
        <v>24.3</v>
      </c>
      <c r="M3331" s="133">
        <v>3.1219999999999999</v>
      </c>
      <c r="N3331" s="119" t="s">
        <v>578</v>
      </c>
      <c r="O3331" s="120" t="s">
        <v>417</v>
      </c>
      <c r="P3331" s="122">
        <f t="shared" si="315"/>
        <v>1239</v>
      </c>
      <c r="Q3331" s="118" t="s">
        <v>578</v>
      </c>
      <c r="R3331" s="122">
        <f t="shared" si="314"/>
        <v>3868.16</v>
      </c>
    </row>
    <row r="3332" spans="6:18" ht="24" customHeight="1">
      <c r="F3332" s="37"/>
      <c r="G3332" s="73"/>
      <c r="H3332" s="37" t="s">
        <v>521</v>
      </c>
      <c r="I3332" s="37"/>
      <c r="J3332" s="99"/>
      <c r="K3332" s="37">
        <f>SUM(K3321:K3331)</f>
        <v>19138.18</v>
      </c>
      <c r="M3332" s="122">
        <v>4</v>
      </c>
      <c r="N3332" s="119" t="s">
        <v>739</v>
      </c>
      <c r="O3332" s="120" t="s">
        <v>3213</v>
      </c>
      <c r="P3332" s="122">
        <f t="shared" si="315"/>
        <v>53.4</v>
      </c>
      <c r="Q3332" s="118" t="s">
        <v>835</v>
      </c>
      <c r="R3332" s="122">
        <f t="shared" si="314"/>
        <v>213.6</v>
      </c>
    </row>
    <row r="3333" spans="6:18" ht="24" customHeight="1">
      <c r="F3333" s="37"/>
      <c r="G3333" s="73"/>
      <c r="H3333" s="37"/>
      <c r="I3333" s="37"/>
      <c r="J3333" s="99"/>
      <c r="K3333" s="411" t="s">
        <v>144</v>
      </c>
      <c r="M3333" s="122">
        <v>8</v>
      </c>
      <c r="N3333" s="119" t="s">
        <v>835</v>
      </c>
      <c r="O3333" s="120" t="s">
        <v>1407</v>
      </c>
      <c r="P3333" s="122">
        <f t="shared" si="315"/>
        <v>83</v>
      </c>
      <c r="Q3333" s="118" t="s">
        <v>835</v>
      </c>
      <c r="R3333" s="122">
        <f t="shared" si="314"/>
        <v>664</v>
      </c>
    </row>
    <row r="3334" spans="6:18" ht="24" customHeight="1">
      <c r="F3334" s="37"/>
      <c r="G3334" s="73"/>
      <c r="H3334" s="37" t="s">
        <v>521</v>
      </c>
      <c r="I3334" s="37"/>
      <c r="J3334" s="99"/>
      <c r="K3334" s="37">
        <f>K3332/F3324</f>
        <v>4845.1099999999997</v>
      </c>
      <c r="M3334" s="122">
        <v>4</v>
      </c>
      <c r="N3334" s="119" t="s">
        <v>835</v>
      </c>
      <c r="O3334" s="120" t="s">
        <v>3214</v>
      </c>
      <c r="P3334" s="122">
        <f t="shared" si="315"/>
        <v>90.6</v>
      </c>
      <c r="Q3334" s="118" t="s">
        <v>835</v>
      </c>
      <c r="R3334" s="122">
        <f t="shared" si="314"/>
        <v>362.4</v>
      </c>
    </row>
    <row r="3335" spans="6:18" ht="24" customHeight="1">
      <c r="F3335" s="37"/>
      <c r="G3335" s="73"/>
      <c r="H3335" s="37"/>
      <c r="I3335" s="37"/>
      <c r="J3335" s="99"/>
      <c r="K3335" s="411" t="s">
        <v>144</v>
      </c>
      <c r="M3335" s="122">
        <v>1</v>
      </c>
      <c r="N3335" s="119" t="s">
        <v>835</v>
      </c>
      <c r="O3335" s="120" t="s">
        <v>3215</v>
      </c>
      <c r="P3335" s="122">
        <f t="shared" si="315"/>
        <v>194.4</v>
      </c>
      <c r="Q3335" s="118" t="s">
        <v>835</v>
      </c>
      <c r="R3335" s="122">
        <f t="shared" si="314"/>
        <v>194.4</v>
      </c>
    </row>
    <row r="3336" spans="6:18" ht="24" customHeight="1">
      <c r="G3336"/>
      <c r="J3336"/>
      <c r="M3336" s="122">
        <v>2</v>
      </c>
      <c r="N3336" s="119" t="s">
        <v>835</v>
      </c>
      <c r="O3336" s="120" t="s">
        <v>3216</v>
      </c>
      <c r="P3336" s="122">
        <f t="shared" si="315"/>
        <v>22.9</v>
      </c>
      <c r="Q3336" s="118" t="s">
        <v>835</v>
      </c>
      <c r="R3336" s="122">
        <f t="shared" si="314"/>
        <v>45.8</v>
      </c>
    </row>
    <row r="3337" spans="6:18" ht="24" customHeight="1">
      <c r="G3337"/>
      <c r="J3337"/>
      <c r="M3337" s="122">
        <v>2</v>
      </c>
      <c r="N3337" s="119" t="s">
        <v>835</v>
      </c>
      <c r="O3337" s="120" t="s">
        <v>3217</v>
      </c>
      <c r="P3337" s="122">
        <f t="shared" si="315"/>
        <v>45.9</v>
      </c>
      <c r="Q3337" s="118" t="s">
        <v>835</v>
      </c>
      <c r="R3337" s="122">
        <f t="shared" si="314"/>
        <v>91.8</v>
      </c>
    </row>
    <row r="3338" spans="6:18" ht="24" customHeight="1">
      <c r="G3338"/>
      <c r="J3338"/>
      <c r="M3338" s="111">
        <v>118</v>
      </c>
      <c r="N3338" s="119" t="s">
        <v>835</v>
      </c>
      <c r="O3338" s="111" t="s">
        <v>1284</v>
      </c>
      <c r="P3338" s="111">
        <f>P3271</f>
        <v>2.39</v>
      </c>
      <c r="Q3338" s="118" t="s">
        <v>835</v>
      </c>
      <c r="R3338" s="122">
        <f t="shared" si="314"/>
        <v>282.02</v>
      </c>
    </row>
    <row r="3339" spans="6:18" ht="24" customHeight="1">
      <c r="F3339" s="2"/>
      <c r="G3339" s="7" t="s">
        <v>2167</v>
      </c>
      <c r="H3339" s="1" t="s">
        <v>1831</v>
      </c>
      <c r="J3339" s="4"/>
      <c r="M3339" s="111"/>
      <c r="N3339" s="112"/>
      <c r="O3339" s="111"/>
      <c r="P3339" s="111"/>
      <c r="Q3339" s="114"/>
      <c r="R3339" s="121" t="s">
        <v>1530</v>
      </c>
    </row>
    <row r="3340" spans="6:18" ht="24" customHeight="1">
      <c r="H3340" s="1" t="s">
        <v>1468</v>
      </c>
      <c r="J3340" s="4"/>
      <c r="M3340" s="111"/>
      <c r="N3340" s="112"/>
      <c r="O3340" s="120" t="s">
        <v>3218</v>
      </c>
      <c r="P3340" s="111"/>
      <c r="Q3340" s="114"/>
      <c r="R3340" s="122">
        <f>SUM(R3326:R3338)</f>
        <v>15429.29</v>
      </c>
    </row>
    <row r="3341" spans="6:18" ht="24" customHeight="1">
      <c r="H3341" s="34" t="s">
        <v>1832</v>
      </c>
      <c r="J3341" s="4"/>
      <c r="M3341" s="111"/>
      <c r="N3341" s="112"/>
      <c r="O3341" s="111"/>
      <c r="P3341" s="111"/>
      <c r="Q3341" s="114"/>
      <c r="R3341" s="121" t="s">
        <v>1530</v>
      </c>
    </row>
    <row r="3342" spans="6:18" ht="24" customHeight="1">
      <c r="H3342" s="5" t="s">
        <v>1530</v>
      </c>
      <c r="J3342" s="4"/>
      <c r="M3342" s="111"/>
      <c r="N3342" s="112"/>
      <c r="O3342" s="109" t="s">
        <v>521</v>
      </c>
      <c r="P3342" s="111"/>
      <c r="Q3342" s="116" t="s">
        <v>690</v>
      </c>
      <c r="R3342" s="110">
        <f>R3340/M3331</f>
        <v>4942.12</v>
      </c>
    </row>
    <row r="3343" spans="6:18" ht="24" customHeight="1">
      <c r="F3343" s="8">
        <v>1.34</v>
      </c>
      <c r="G3343" s="7" t="s">
        <v>1591</v>
      </c>
      <c r="H3343" s="501" t="s">
        <v>4863</v>
      </c>
      <c r="I3343" s="423">
        <v>73.099999999999994</v>
      </c>
      <c r="J3343" s="1" t="s">
        <v>1591</v>
      </c>
      <c r="K3343" s="8">
        <f>(F3343*I3343)</f>
        <v>97.95</v>
      </c>
    </row>
    <row r="3344" spans="6:18" ht="24" customHeight="1">
      <c r="F3344" s="8">
        <v>0.5</v>
      </c>
      <c r="G3344" s="7" t="s">
        <v>739</v>
      </c>
      <c r="H3344" s="1" t="s">
        <v>1140</v>
      </c>
      <c r="I3344" s="8">
        <f>AE13</f>
        <v>688</v>
      </c>
      <c r="J3344" s="7" t="s">
        <v>739</v>
      </c>
      <c r="K3344" s="8">
        <f>(F3344*I3344)</f>
        <v>344</v>
      </c>
    </row>
    <row r="3345" spans="6:18" ht="24" customHeight="1">
      <c r="F3345" s="8">
        <v>0.5</v>
      </c>
      <c r="G3345" s="7" t="s">
        <v>739</v>
      </c>
      <c r="H3345" s="1" t="s">
        <v>1836</v>
      </c>
      <c r="I3345" s="8">
        <f>AE11</f>
        <v>562</v>
      </c>
      <c r="J3345" s="7" t="s">
        <v>739</v>
      </c>
      <c r="K3345" s="8">
        <f>(F3345*I3345)</f>
        <v>281</v>
      </c>
      <c r="M3345" s="118"/>
      <c r="N3345" s="119" t="s">
        <v>2167</v>
      </c>
      <c r="O3345" s="120" t="s">
        <v>3238</v>
      </c>
      <c r="P3345" s="111"/>
      <c r="Q3345" s="114"/>
      <c r="R3345" s="111"/>
    </row>
    <row r="3346" spans="6:18" ht="24" customHeight="1">
      <c r="F3346" s="8">
        <v>0.8</v>
      </c>
      <c r="G3346" s="7" t="s">
        <v>739</v>
      </c>
      <c r="H3346" s="1" t="s">
        <v>299</v>
      </c>
      <c r="I3346" s="8">
        <f>AE12</f>
        <v>461</v>
      </c>
      <c r="J3346" s="7" t="s">
        <v>739</v>
      </c>
      <c r="K3346" s="8">
        <f>(F3346*I3346)</f>
        <v>368.8</v>
      </c>
      <c r="M3346" s="111"/>
      <c r="N3346" s="112"/>
      <c r="O3346" s="120" t="s">
        <v>241</v>
      </c>
      <c r="P3346" s="111"/>
      <c r="Q3346" s="114"/>
      <c r="R3346" s="111"/>
    </row>
    <row r="3347" spans="6:18" ht="24" customHeight="1">
      <c r="G3347" s="7" t="s">
        <v>419</v>
      </c>
      <c r="H3347" s="1" t="s">
        <v>1142</v>
      </c>
      <c r="I3347" s="1" t="s">
        <v>940</v>
      </c>
      <c r="J3347" s="2" t="s">
        <v>419</v>
      </c>
      <c r="K3347" s="8">
        <v>2.6</v>
      </c>
      <c r="M3347" s="111"/>
      <c r="N3347" s="112"/>
      <c r="O3347" s="385" t="s">
        <v>3237</v>
      </c>
      <c r="P3347" s="111"/>
      <c r="Q3347" s="114"/>
      <c r="R3347" s="111"/>
    </row>
    <row r="3348" spans="6:18" ht="24" customHeight="1">
      <c r="J3348" s="4"/>
      <c r="K3348" s="5" t="s">
        <v>1530</v>
      </c>
      <c r="M3348" s="111"/>
      <c r="N3348" s="112"/>
      <c r="O3348" s="121" t="s">
        <v>1530</v>
      </c>
      <c r="P3348" s="111"/>
      <c r="Q3348" s="114"/>
      <c r="R3348" s="111"/>
    </row>
    <row r="3349" spans="6:18" ht="24" customHeight="1">
      <c r="H3349" s="1" t="s">
        <v>411</v>
      </c>
      <c r="J3349" s="4"/>
      <c r="K3349" s="8">
        <f>SUM(K3343:K3348)</f>
        <v>1094.3499999999999</v>
      </c>
      <c r="M3349" s="111"/>
      <c r="N3349" s="112"/>
      <c r="O3349" s="120" t="s">
        <v>3336</v>
      </c>
      <c r="P3349" s="115" t="s">
        <v>1980</v>
      </c>
      <c r="Q3349" s="386">
        <v>1.734</v>
      </c>
      <c r="R3349" s="111" t="s">
        <v>2199</v>
      </c>
    </row>
    <row r="3350" spans="6:18" ht="24" customHeight="1">
      <c r="J3350" s="4"/>
      <c r="K3350" s="5" t="s">
        <v>1530</v>
      </c>
      <c r="M3350" s="111"/>
      <c r="N3350" s="112"/>
      <c r="O3350" s="120"/>
      <c r="P3350" s="115"/>
      <c r="Q3350" s="386"/>
      <c r="R3350" s="111"/>
    </row>
    <row r="3351" spans="6:18" ht="24" customHeight="1">
      <c r="H3351" s="34" t="s">
        <v>521</v>
      </c>
      <c r="J3351" s="4"/>
      <c r="K3351" s="39">
        <f>(K3349/10)</f>
        <v>109.44</v>
      </c>
      <c r="M3351" s="111"/>
      <c r="N3351" s="112"/>
      <c r="O3351" s="120" t="s">
        <v>2696</v>
      </c>
      <c r="P3351" s="115" t="s">
        <v>1980</v>
      </c>
      <c r="Q3351" s="387">
        <v>3.9E-2</v>
      </c>
      <c r="R3351" s="111" t="s">
        <v>2070</v>
      </c>
    </row>
    <row r="3352" spans="6:18" ht="24" customHeight="1">
      <c r="F3352" s="1" t="s">
        <v>940</v>
      </c>
      <c r="J3352" s="4"/>
      <c r="M3352" s="111"/>
      <c r="N3352" s="112"/>
      <c r="O3352" s="120" t="s">
        <v>3208</v>
      </c>
      <c r="Q3352" s="388"/>
      <c r="R3352" s="111"/>
    </row>
    <row r="3353" spans="6:18" ht="24" customHeight="1">
      <c r="G3353"/>
      <c r="J3353"/>
      <c r="M3353" s="111"/>
      <c r="N3353" s="112"/>
      <c r="O3353" s="120" t="s">
        <v>2697</v>
      </c>
      <c r="P3353" s="115" t="s">
        <v>1980</v>
      </c>
      <c r="Q3353" s="389">
        <v>1.2659999999999999E-2</v>
      </c>
      <c r="R3353" s="111"/>
    </row>
    <row r="3354" spans="6:18" ht="24" customHeight="1">
      <c r="H3354" s="37" t="s">
        <v>4148</v>
      </c>
      <c r="J3354"/>
      <c r="M3354" s="111"/>
      <c r="N3354" s="112"/>
      <c r="O3354" s="120" t="s">
        <v>2704</v>
      </c>
      <c r="P3354" s="115" t="s">
        <v>1980</v>
      </c>
      <c r="Q3354" s="390">
        <v>5.6249999999999998E-3</v>
      </c>
      <c r="R3354" s="131"/>
    </row>
    <row r="3355" spans="6:18" ht="24" customHeight="1">
      <c r="J3355"/>
      <c r="M3355" s="111"/>
      <c r="N3355" s="112"/>
      <c r="O3355" s="111"/>
      <c r="P3355" s="111"/>
      <c r="Q3355" s="121" t="s">
        <v>1530</v>
      </c>
    </row>
    <row r="3356" spans="6:18" ht="24" customHeight="1">
      <c r="F3356">
        <v>1.4</v>
      </c>
      <c r="G3356" s="7" t="s">
        <v>1192</v>
      </c>
      <c r="H3356" t="s">
        <v>1157</v>
      </c>
      <c r="I3356" s="33">
        <f>I3369</f>
        <v>292.7</v>
      </c>
      <c r="J3356" s="7" t="s">
        <v>1192</v>
      </c>
      <c r="K3356">
        <f>I3356*F3356</f>
        <v>409.78</v>
      </c>
      <c r="M3356" s="111"/>
      <c r="N3356" s="112"/>
      <c r="O3356" s="111"/>
      <c r="P3356" s="111"/>
      <c r="Q3356" s="391">
        <v>1.8290000000000001E-2</v>
      </c>
      <c r="R3356" t="s">
        <v>2070</v>
      </c>
    </row>
    <row r="3357" spans="6:18" ht="24" customHeight="1">
      <c r="F3357">
        <v>1.5</v>
      </c>
      <c r="G3357" s="7" t="s">
        <v>739</v>
      </c>
      <c r="H3357" t="s">
        <v>4150</v>
      </c>
      <c r="I3357" s="33">
        <f>I3370</f>
        <v>688</v>
      </c>
      <c r="J3357" s="7" t="s">
        <v>739</v>
      </c>
      <c r="K3357">
        <f>I3357*F3357</f>
        <v>1032</v>
      </c>
      <c r="M3357" s="111"/>
      <c r="N3357" s="112"/>
      <c r="O3357" s="111"/>
      <c r="P3357" s="111"/>
      <c r="Q3357" s="121" t="s">
        <v>1530</v>
      </c>
    </row>
    <row r="3358" spans="6:18" ht="24" customHeight="1">
      <c r="F3358">
        <v>10</v>
      </c>
      <c r="G3358" s="3" t="s">
        <v>2199</v>
      </c>
      <c r="H3358" s="1" t="s">
        <v>3764</v>
      </c>
      <c r="I3358" s="33">
        <f>I3371</f>
        <v>3.65</v>
      </c>
      <c r="J3358" s="3" t="s">
        <v>2199</v>
      </c>
      <c r="K3358">
        <f>I3358*F3358</f>
        <v>36.5</v>
      </c>
      <c r="M3358" s="111"/>
      <c r="N3358" s="112"/>
      <c r="O3358" s="120" t="s">
        <v>2698</v>
      </c>
      <c r="P3358" s="111"/>
      <c r="Q3358" s="392">
        <v>0.4113</v>
      </c>
      <c r="R3358" s="131"/>
    </row>
    <row r="3359" spans="6:18" ht="24" customHeight="1">
      <c r="H3359" s="1" t="s">
        <v>2987</v>
      </c>
      <c r="I3359" s="33" t="s">
        <v>2988</v>
      </c>
      <c r="J3359" s="4"/>
      <c r="K3359">
        <v>4.33</v>
      </c>
      <c r="M3359" s="111"/>
      <c r="N3359" s="112"/>
      <c r="O3359" s="120" t="s">
        <v>2699</v>
      </c>
      <c r="P3359" s="111"/>
      <c r="Q3359" s="393">
        <v>0.19689999999999999</v>
      </c>
      <c r="R3359" s="131"/>
    </row>
    <row r="3360" spans="6:18" ht="24" customHeight="1">
      <c r="H3360" s="1" t="s">
        <v>411</v>
      </c>
      <c r="J3360" s="4"/>
      <c r="K3360">
        <f>SUM(K3356:K3359)</f>
        <v>1482.61</v>
      </c>
      <c r="M3360" s="111"/>
      <c r="N3360" s="112"/>
      <c r="O3360" s="120"/>
      <c r="P3360" s="111"/>
      <c r="Q3360" s="121" t="s">
        <v>1530</v>
      </c>
      <c r="R3360" s="131"/>
    </row>
    <row r="3361" spans="6:18" ht="24" customHeight="1">
      <c r="H3361" s="34" t="s">
        <v>521</v>
      </c>
      <c r="J3361" s="4"/>
      <c r="K3361">
        <f>K3360/10</f>
        <v>148.26</v>
      </c>
      <c r="M3361" s="111"/>
      <c r="N3361" s="112"/>
      <c r="O3361" s="120"/>
      <c r="P3361" s="111"/>
      <c r="Q3361" s="394">
        <v>0.60819999999999996</v>
      </c>
      <c r="R3361" s="117"/>
    </row>
    <row r="3362" spans="6:18" ht="24" customHeight="1">
      <c r="J3362" s="4"/>
      <c r="M3362" s="111"/>
      <c r="N3362" s="112"/>
      <c r="O3362" s="111"/>
      <c r="P3362" s="111"/>
      <c r="Q3362" s="121" t="s">
        <v>1530</v>
      </c>
      <c r="R3362" s="121"/>
    </row>
    <row r="3363" spans="6:18" ht="24" customHeight="1">
      <c r="J3363" s="4"/>
      <c r="M3363" s="131">
        <v>3.9E-2</v>
      </c>
      <c r="N3363" s="119" t="s">
        <v>836</v>
      </c>
      <c r="O3363" s="120" t="s">
        <v>287</v>
      </c>
      <c r="P3363" s="122">
        <f>P3294</f>
        <v>111600</v>
      </c>
      <c r="Q3363" s="118" t="s">
        <v>836</v>
      </c>
      <c r="R3363" s="122">
        <f>P3363*M3363</f>
        <v>4352.3999999999996</v>
      </c>
    </row>
    <row r="3364" spans="6:18" ht="24" customHeight="1">
      <c r="G3364"/>
      <c r="J3364"/>
      <c r="M3364" s="131">
        <v>1.8290000000000001E-2</v>
      </c>
      <c r="N3364" s="119" t="s">
        <v>836</v>
      </c>
      <c r="O3364" s="120" t="s">
        <v>288</v>
      </c>
      <c r="P3364" s="122">
        <f>P3295</f>
        <v>99400</v>
      </c>
      <c r="Q3364" s="118" t="s">
        <v>836</v>
      </c>
      <c r="R3364" s="122">
        <f t="shared" ref="R3364:R3373" si="316">P3364*M3364</f>
        <v>1818.03</v>
      </c>
    </row>
    <row r="3365" spans="6:18" ht="24" customHeight="1">
      <c r="G3365"/>
      <c r="J3365"/>
      <c r="M3365" s="131">
        <v>0.60819999999999996</v>
      </c>
      <c r="N3365" s="119" t="s">
        <v>578</v>
      </c>
      <c r="O3365" s="1" t="s">
        <v>2011</v>
      </c>
      <c r="P3365" s="122">
        <f>P3328</f>
        <v>387.4</v>
      </c>
      <c r="Q3365" s="118" t="s">
        <v>836</v>
      </c>
      <c r="R3365" s="122">
        <f t="shared" si="316"/>
        <v>235.62</v>
      </c>
    </row>
    <row r="3366" spans="6:18" ht="24" customHeight="1">
      <c r="G3366"/>
      <c r="J3366"/>
      <c r="M3366" s="133">
        <v>1.734</v>
      </c>
      <c r="N3366" s="119" t="s">
        <v>578</v>
      </c>
      <c r="O3366" s="120" t="s">
        <v>417</v>
      </c>
      <c r="P3366" s="122">
        <f>P3331</f>
        <v>1239</v>
      </c>
      <c r="Q3366" s="118" t="s">
        <v>578</v>
      </c>
      <c r="R3366" s="122">
        <f t="shared" si="316"/>
        <v>2148.4299999999998</v>
      </c>
    </row>
    <row r="3367" spans="6:18" ht="24" customHeight="1">
      <c r="H3367" s="37" t="s">
        <v>4149</v>
      </c>
      <c r="J3367"/>
      <c r="M3367" s="122">
        <v>2</v>
      </c>
      <c r="N3367" s="119" t="s">
        <v>739</v>
      </c>
      <c r="O3367" s="120" t="s">
        <v>3213</v>
      </c>
      <c r="P3367" s="122">
        <f t="shared" ref="P3367:P3372" si="317">P3298</f>
        <v>53.4</v>
      </c>
      <c r="Q3367" s="118" t="s">
        <v>835</v>
      </c>
      <c r="R3367" s="122">
        <f t="shared" si="316"/>
        <v>106.8</v>
      </c>
    </row>
    <row r="3368" spans="6:18" ht="24" customHeight="1">
      <c r="J3368"/>
      <c r="M3368" s="122">
        <v>4</v>
      </c>
      <c r="N3368" s="119" t="s">
        <v>835</v>
      </c>
      <c r="O3368" s="120" t="s">
        <v>1407</v>
      </c>
      <c r="P3368" s="122">
        <f t="shared" si="317"/>
        <v>83</v>
      </c>
      <c r="Q3368" s="118" t="s">
        <v>835</v>
      </c>
      <c r="R3368" s="122">
        <f t="shared" si="316"/>
        <v>332</v>
      </c>
    </row>
    <row r="3369" spans="6:18" ht="24" customHeight="1">
      <c r="F3369">
        <v>0.8</v>
      </c>
      <c r="G3369" s="7" t="s">
        <v>1192</v>
      </c>
      <c r="H3369" t="s">
        <v>1157</v>
      </c>
      <c r="I3369" s="33">
        <f>P1322</f>
        <v>292.7</v>
      </c>
      <c r="J3369" s="7" t="s">
        <v>1192</v>
      </c>
      <c r="K3369">
        <f>I3369*F3369</f>
        <v>234.16</v>
      </c>
      <c r="M3369" s="122">
        <v>2</v>
      </c>
      <c r="N3369" s="119" t="s">
        <v>835</v>
      </c>
      <c r="O3369" s="120" t="s">
        <v>3214</v>
      </c>
      <c r="P3369" s="122">
        <f t="shared" si="317"/>
        <v>90.6</v>
      </c>
      <c r="Q3369" s="118" t="s">
        <v>835</v>
      </c>
      <c r="R3369" s="122">
        <f t="shared" si="316"/>
        <v>181.2</v>
      </c>
    </row>
    <row r="3370" spans="6:18" ht="24" customHeight="1">
      <c r="F3370">
        <v>0.7</v>
      </c>
      <c r="G3370" s="7" t="s">
        <v>739</v>
      </c>
      <c r="H3370" t="s">
        <v>4150</v>
      </c>
      <c r="I3370">
        <f>I3344</f>
        <v>688</v>
      </c>
      <c r="J3370" s="7" t="s">
        <v>739</v>
      </c>
      <c r="K3370">
        <f>I3370*F3370</f>
        <v>481.6</v>
      </c>
      <c r="M3370" s="122">
        <v>1</v>
      </c>
      <c r="N3370" s="119" t="s">
        <v>835</v>
      </c>
      <c r="O3370" s="120" t="s">
        <v>3215</v>
      </c>
      <c r="P3370" s="122">
        <f t="shared" si="317"/>
        <v>194.4</v>
      </c>
      <c r="Q3370" s="118" t="s">
        <v>835</v>
      </c>
      <c r="R3370" s="122">
        <f t="shared" si="316"/>
        <v>194.4</v>
      </c>
    </row>
    <row r="3371" spans="6:18" ht="24" customHeight="1">
      <c r="F3371">
        <v>10</v>
      </c>
      <c r="G3371" s="3" t="s">
        <v>2199</v>
      </c>
      <c r="H3371" s="1" t="s">
        <v>3764</v>
      </c>
      <c r="I3371">
        <f>I3188</f>
        <v>3.65</v>
      </c>
      <c r="J3371" s="3" t="s">
        <v>2199</v>
      </c>
      <c r="K3371">
        <f>I3371*F3371</f>
        <v>36.5</v>
      </c>
      <c r="M3371" s="122">
        <v>1</v>
      </c>
      <c r="N3371" s="119" t="s">
        <v>835</v>
      </c>
      <c r="O3371" s="120" t="s">
        <v>3216</v>
      </c>
      <c r="P3371" s="122">
        <f t="shared" si="317"/>
        <v>22.9</v>
      </c>
      <c r="Q3371" s="118" t="s">
        <v>835</v>
      </c>
      <c r="R3371" s="122">
        <f t="shared" si="316"/>
        <v>22.9</v>
      </c>
    </row>
    <row r="3372" spans="6:18" ht="24" customHeight="1">
      <c r="H3372" s="1" t="s">
        <v>2987</v>
      </c>
      <c r="I3372" s="33" t="s">
        <v>2988</v>
      </c>
      <c r="J3372" s="4"/>
      <c r="K3372">
        <v>1.6</v>
      </c>
      <c r="M3372" s="122">
        <v>1</v>
      </c>
      <c r="N3372" s="119" t="s">
        <v>835</v>
      </c>
      <c r="O3372" s="120" t="s">
        <v>3217</v>
      </c>
      <c r="P3372" s="122">
        <f t="shared" si="317"/>
        <v>45.9</v>
      </c>
      <c r="Q3372" s="118" t="s">
        <v>835</v>
      </c>
      <c r="R3372" s="122">
        <f t="shared" si="316"/>
        <v>45.9</v>
      </c>
    </row>
    <row r="3373" spans="6:18" ht="24" customHeight="1">
      <c r="H3373" s="1" t="s">
        <v>411</v>
      </c>
      <c r="J3373" s="4"/>
      <c r="K3373">
        <f>SUM(K3369:K3372)</f>
        <v>753.86</v>
      </c>
      <c r="M3373" s="122">
        <v>58</v>
      </c>
      <c r="N3373" s="119" t="s">
        <v>835</v>
      </c>
      <c r="O3373" s="111" t="s">
        <v>1284</v>
      </c>
      <c r="P3373" s="111">
        <f>P3338</f>
        <v>2.39</v>
      </c>
      <c r="Q3373" s="118" t="s">
        <v>835</v>
      </c>
      <c r="R3373" s="122">
        <f t="shared" si="316"/>
        <v>138.62</v>
      </c>
    </row>
    <row r="3374" spans="6:18" ht="24" customHeight="1">
      <c r="H3374" s="34" t="s">
        <v>521</v>
      </c>
      <c r="J3374" s="4"/>
      <c r="K3374">
        <f>K3373/10</f>
        <v>75.39</v>
      </c>
      <c r="M3374" s="111"/>
      <c r="N3374" s="112"/>
      <c r="O3374" s="111"/>
      <c r="P3374" s="111"/>
      <c r="Q3374" s="114"/>
      <c r="R3374" s="121" t="s">
        <v>1530</v>
      </c>
    </row>
    <row r="3375" spans="6:18" ht="24" customHeight="1">
      <c r="M3375" s="111"/>
      <c r="N3375" s="112"/>
      <c r="O3375" s="120" t="s">
        <v>2700</v>
      </c>
      <c r="P3375" s="111"/>
      <c r="Q3375" s="114"/>
      <c r="R3375" s="122">
        <f>SUM(R3363:R3373)</f>
        <v>9576.2999999999993</v>
      </c>
    </row>
    <row r="3376" spans="6:18" ht="24" customHeight="1">
      <c r="M3376" s="111"/>
      <c r="N3376" s="112"/>
      <c r="O3376" s="111"/>
      <c r="P3376" s="111"/>
      <c r="Q3376" s="114"/>
      <c r="R3376" s="121" t="s">
        <v>1530</v>
      </c>
    </row>
    <row r="3377" spans="6:18" ht="24" customHeight="1">
      <c r="F3377" s="111"/>
      <c r="G3377" s="112"/>
      <c r="H3377" s="120"/>
      <c r="I3377" s="115"/>
      <c r="J3377" s="386"/>
      <c r="K3377" s="111"/>
      <c r="M3377" s="111"/>
      <c r="N3377" s="112"/>
      <c r="O3377" s="109" t="s">
        <v>521</v>
      </c>
      <c r="P3377" s="111"/>
      <c r="Q3377" s="116" t="s">
        <v>690</v>
      </c>
      <c r="R3377" s="110">
        <f>R3375/M3366</f>
        <v>5522.66</v>
      </c>
    </row>
    <row r="3378" spans="6:18" ht="24" customHeight="1">
      <c r="F3378" s="111"/>
      <c r="G3378" s="112"/>
      <c r="H3378" s="120" t="s">
        <v>2696</v>
      </c>
      <c r="I3378" s="115" t="s">
        <v>1980</v>
      </c>
      <c r="J3378" s="387">
        <v>3.9E-2</v>
      </c>
      <c r="K3378" s="111" t="s">
        <v>2070</v>
      </c>
      <c r="N3378" s="3"/>
      <c r="Q3378" s="11"/>
      <c r="R3378" s="5" t="s">
        <v>1980</v>
      </c>
    </row>
    <row r="3379" spans="6:18" ht="24" customHeight="1">
      <c r="F3379" s="111"/>
      <c r="G3379" s="112"/>
      <c r="H3379" s="120" t="s">
        <v>3208</v>
      </c>
      <c r="J3379" s="388"/>
      <c r="K3379" s="111"/>
      <c r="M3379" s="118"/>
      <c r="N3379" s="119" t="s">
        <v>2167</v>
      </c>
      <c r="O3379" s="120" t="s">
        <v>3238</v>
      </c>
      <c r="P3379" s="111"/>
      <c r="Q3379" s="114"/>
      <c r="R3379" s="111"/>
    </row>
    <row r="3380" spans="6:18" ht="24" customHeight="1">
      <c r="F3380" s="111"/>
      <c r="G3380" s="112"/>
      <c r="H3380" s="120" t="s">
        <v>2703</v>
      </c>
      <c r="I3380" s="115" t="s">
        <v>1980</v>
      </c>
      <c r="J3380" s="389">
        <v>1.519E-2</v>
      </c>
      <c r="K3380" s="111"/>
      <c r="M3380" s="111"/>
      <c r="N3380" s="112"/>
      <c r="O3380" s="120" t="s">
        <v>241</v>
      </c>
      <c r="P3380" s="111"/>
      <c r="Q3380" s="114"/>
      <c r="R3380" s="111"/>
    </row>
    <row r="3381" spans="6:18" ht="24" customHeight="1">
      <c r="F3381" s="111"/>
      <c r="G3381" s="112"/>
      <c r="H3381" s="120" t="s">
        <v>2705</v>
      </c>
      <c r="I3381" s="115" t="s">
        <v>1980</v>
      </c>
      <c r="J3381" s="390">
        <v>6.7499999999999999E-3</v>
      </c>
      <c r="K3381" s="131"/>
      <c r="M3381" s="111"/>
      <c r="N3381" s="112"/>
      <c r="O3381" s="385" t="s">
        <v>2701</v>
      </c>
      <c r="P3381" s="111"/>
      <c r="Q3381" s="114"/>
      <c r="R3381" s="111"/>
    </row>
    <row r="3382" spans="6:18" ht="24" customHeight="1">
      <c r="F3382" s="111"/>
      <c r="G3382" s="112"/>
      <c r="H3382" s="111"/>
      <c r="I3382" s="111"/>
      <c r="J3382" s="121" t="s">
        <v>1530</v>
      </c>
      <c r="M3382" s="111"/>
      <c r="N3382" s="112"/>
      <c r="O3382" s="121" t="s">
        <v>1530</v>
      </c>
      <c r="P3382" s="111"/>
      <c r="Q3382" s="114"/>
      <c r="R3382" s="111"/>
    </row>
    <row r="3383" spans="6:18" ht="24" customHeight="1">
      <c r="F3383" s="111"/>
      <c r="G3383" s="112"/>
      <c r="H3383" s="111"/>
      <c r="I3383" s="111"/>
      <c r="J3383" s="391">
        <v>2.1940000000000001E-2</v>
      </c>
      <c r="K3383" t="s">
        <v>2070</v>
      </c>
      <c r="M3383" s="111"/>
      <c r="N3383" s="112"/>
      <c r="O3383" s="120" t="s">
        <v>2702</v>
      </c>
      <c r="P3383" s="115" t="s">
        <v>1980</v>
      </c>
      <c r="Q3383" s="386">
        <v>2.081</v>
      </c>
      <c r="R3383" s="111" t="s">
        <v>2199</v>
      </c>
    </row>
    <row r="3384" spans="6:18" ht="24" customHeight="1">
      <c r="F3384" s="111"/>
      <c r="G3384" s="112"/>
      <c r="H3384" s="111"/>
      <c r="I3384" s="111"/>
      <c r="J3384" s="121" t="s">
        <v>1530</v>
      </c>
      <c r="M3384" s="111"/>
      <c r="N3384" s="112"/>
      <c r="O3384" s="120"/>
      <c r="P3384" s="115"/>
      <c r="Q3384" s="386"/>
      <c r="R3384" s="111"/>
    </row>
    <row r="3385" spans="6:18" ht="24" customHeight="1">
      <c r="F3385" s="111"/>
      <c r="G3385" s="112"/>
      <c r="H3385" s="120" t="s">
        <v>3233</v>
      </c>
      <c r="I3385" s="111"/>
      <c r="J3385" s="392">
        <v>0.58750000000000002</v>
      </c>
      <c r="K3385" s="131"/>
      <c r="M3385" s="111"/>
      <c r="N3385" s="112"/>
      <c r="O3385" s="120" t="s">
        <v>2696</v>
      </c>
      <c r="P3385" s="115" t="s">
        <v>1980</v>
      </c>
      <c r="Q3385" s="387">
        <v>3.9E-2</v>
      </c>
      <c r="R3385" s="111" t="s">
        <v>2070</v>
      </c>
    </row>
    <row r="3386" spans="6:18" ht="24" customHeight="1">
      <c r="F3386" s="111"/>
      <c r="G3386" s="112"/>
      <c r="H3386" s="120" t="s">
        <v>3234</v>
      </c>
      <c r="I3386" s="111"/>
      <c r="J3386" s="393">
        <v>0.28129999999999999</v>
      </c>
      <c r="K3386" s="131"/>
      <c r="M3386" s="111"/>
      <c r="N3386" s="112"/>
      <c r="O3386" s="120" t="s">
        <v>3208</v>
      </c>
      <c r="Q3386" s="388"/>
      <c r="R3386" s="111"/>
    </row>
    <row r="3387" spans="6:18" ht="24" customHeight="1">
      <c r="F3387" s="111"/>
      <c r="G3387" s="112"/>
      <c r="H3387" s="120"/>
      <c r="I3387" s="111"/>
      <c r="J3387" s="121" t="s">
        <v>1530</v>
      </c>
      <c r="K3387" s="131"/>
      <c r="M3387" s="111"/>
      <c r="N3387" s="112"/>
      <c r="O3387" s="120" t="s">
        <v>2703</v>
      </c>
      <c r="P3387" s="115" t="s">
        <v>1980</v>
      </c>
      <c r="Q3387" s="389">
        <v>1.519E-2</v>
      </c>
      <c r="R3387" s="111"/>
    </row>
    <row r="3388" spans="6:18" ht="24" customHeight="1">
      <c r="F3388" s="111"/>
      <c r="G3388" s="112"/>
      <c r="H3388" s="120"/>
      <c r="I3388" s="111"/>
      <c r="J3388" s="394">
        <v>0.86880000000000002</v>
      </c>
      <c r="K3388" s="117"/>
      <c r="M3388" s="111"/>
      <c r="N3388" s="112"/>
      <c r="O3388" s="120" t="s">
        <v>2705</v>
      </c>
      <c r="P3388" s="115" t="s">
        <v>1980</v>
      </c>
      <c r="Q3388" s="390">
        <v>6.7499999999999999E-3</v>
      </c>
      <c r="R3388" s="131"/>
    </row>
    <row r="3389" spans="6:18" ht="24" customHeight="1">
      <c r="F3389" s="111"/>
      <c r="G3389" s="112"/>
      <c r="H3389" s="111"/>
      <c r="I3389" s="111"/>
      <c r="J3389" s="121" t="s">
        <v>1530</v>
      </c>
      <c r="K3389" s="121"/>
      <c r="M3389" s="111"/>
      <c r="N3389" s="112"/>
      <c r="O3389" s="111"/>
      <c r="P3389" s="111"/>
      <c r="Q3389" s="121" t="s">
        <v>1530</v>
      </c>
    </row>
    <row r="3390" spans="6:18" ht="24" customHeight="1">
      <c r="F3390" s="131">
        <v>3.9E-2</v>
      </c>
      <c r="G3390" s="119" t="s">
        <v>836</v>
      </c>
      <c r="H3390" s="120" t="s">
        <v>287</v>
      </c>
      <c r="I3390" s="122">
        <f>C91</f>
        <v>111600</v>
      </c>
      <c r="J3390" s="118" t="s">
        <v>836</v>
      </c>
      <c r="K3390" s="122">
        <v>2868.26</v>
      </c>
      <c r="M3390" s="111"/>
      <c r="N3390" s="112"/>
      <c r="O3390" s="111"/>
      <c r="P3390" s="111"/>
      <c r="Q3390" s="391">
        <v>2.1940000000000001E-2</v>
      </c>
      <c r="R3390" t="s">
        <v>2070</v>
      </c>
    </row>
    <row r="3391" spans="6:18" ht="24" customHeight="1">
      <c r="F3391" s="131">
        <v>2.1940000000000001E-2</v>
      </c>
      <c r="G3391" s="119" t="s">
        <v>836</v>
      </c>
      <c r="H3391" s="120" t="s">
        <v>288</v>
      </c>
      <c r="I3391" s="122">
        <f>C92</f>
        <v>99400</v>
      </c>
      <c r="J3391" s="118" t="s">
        <v>836</v>
      </c>
      <c r="K3391" s="122">
        <v>1435.86</v>
      </c>
      <c r="M3391" s="111"/>
      <c r="N3391" s="112"/>
      <c r="O3391" s="111"/>
      <c r="P3391" s="111"/>
      <c r="Q3391" s="121" t="s">
        <v>1530</v>
      </c>
    </row>
    <row r="3392" spans="6:18" ht="24" customHeight="1">
      <c r="F3392" s="131">
        <v>0.86880000000000002</v>
      </c>
      <c r="G3392" s="119" t="s">
        <v>578</v>
      </c>
      <c r="H3392" s="1" t="s">
        <v>2011</v>
      </c>
      <c r="I3392" s="122">
        <f>C787</f>
        <v>0</v>
      </c>
      <c r="J3392" s="118" t="s">
        <v>836</v>
      </c>
      <c r="K3392" s="122">
        <v>336.66</v>
      </c>
      <c r="M3392" s="111"/>
      <c r="N3392" s="112"/>
      <c r="O3392" s="120" t="s">
        <v>3233</v>
      </c>
      <c r="P3392" s="111"/>
      <c r="Q3392" s="392">
        <v>0.58750000000000002</v>
      </c>
      <c r="R3392" s="131"/>
    </row>
    <row r="3393" spans="6:18" ht="24" customHeight="1">
      <c r="F3393" s="133">
        <v>2.081</v>
      </c>
      <c r="G3393" s="119" t="s">
        <v>578</v>
      </c>
      <c r="H3393" s="120" t="s">
        <v>417</v>
      </c>
      <c r="I3393" s="510">
        <v>363</v>
      </c>
      <c r="J3393" s="118" t="s">
        <v>578</v>
      </c>
      <c r="K3393" s="122">
        <v>755.4</v>
      </c>
      <c r="M3393" s="111"/>
      <c r="N3393" s="112"/>
      <c r="O3393" s="120" t="s">
        <v>3234</v>
      </c>
      <c r="P3393" s="111"/>
      <c r="Q3393" s="393">
        <v>0.28129999999999999</v>
      </c>
      <c r="R3393" s="131"/>
    </row>
    <row r="3394" spans="6:18" ht="24" customHeight="1">
      <c r="F3394" s="122">
        <v>2</v>
      </c>
      <c r="G3394" s="119" t="s">
        <v>739</v>
      </c>
      <c r="H3394" s="505" t="s">
        <v>3478</v>
      </c>
      <c r="I3394" s="122">
        <f t="shared" ref="I3394:I3399" si="318">I3325</f>
        <v>53.4</v>
      </c>
      <c r="J3394" s="118" t="s">
        <v>835</v>
      </c>
      <c r="K3394" s="122">
        <v>84</v>
      </c>
      <c r="M3394" s="111"/>
      <c r="N3394" s="112"/>
      <c r="O3394" s="120"/>
      <c r="P3394" s="111"/>
      <c r="Q3394" s="121" t="s">
        <v>1530</v>
      </c>
      <c r="R3394" s="131"/>
    </row>
    <row r="3395" spans="6:18" ht="24" customHeight="1">
      <c r="F3395" s="122">
        <v>4</v>
      </c>
      <c r="G3395" s="119" t="s">
        <v>835</v>
      </c>
      <c r="H3395" s="505" t="s">
        <v>3479</v>
      </c>
      <c r="I3395" s="122">
        <f t="shared" si="318"/>
        <v>83</v>
      </c>
      <c r="J3395" s="118" t="s">
        <v>835</v>
      </c>
      <c r="K3395" s="122">
        <v>232</v>
      </c>
      <c r="M3395" s="111"/>
      <c r="N3395" s="112"/>
      <c r="O3395" s="120"/>
      <c r="P3395" s="111"/>
      <c r="Q3395" s="394">
        <v>0.86880000000000002</v>
      </c>
      <c r="R3395" s="117"/>
    </row>
    <row r="3396" spans="6:18" ht="24" customHeight="1">
      <c r="F3396" s="122">
        <v>2</v>
      </c>
      <c r="G3396" s="119" t="s">
        <v>835</v>
      </c>
      <c r="H3396" s="505" t="s">
        <v>3480</v>
      </c>
      <c r="I3396" s="122">
        <f t="shared" si="318"/>
        <v>90.6</v>
      </c>
      <c r="J3396" s="118" t="s">
        <v>835</v>
      </c>
      <c r="K3396" s="122">
        <v>126</v>
      </c>
      <c r="M3396" s="111"/>
      <c r="N3396" s="112"/>
      <c r="O3396" s="111"/>
      <c r="P3396" s="111"/>
      <c r="Q3396" s="121" t="s">
        <v>1530</v>
      </c>
      <c r="R3396" s="121"/>
    </row>
    <row r="3397" spans="6:18" ht="24" customHeight="1">
      <c r="F3397" s="122">
        <v>1</v>
      </c>
      <c r="G3397" s="119" t="s">
        <v>835</v>
      </c>
      <c r="H3397" s="505" t="s">
        <v>3481</v>
      </c>
      <c r="I3397" s="122">
        <f t="shared" si="318"/>
        <v>194.4</v>
      </c>
      <c r="J3397" s="118" t="s">
        <v>835</v>
      </c>
      <c r="K3397" s="122">
        <v>152</v>
      </c>
      <c r="M3397" s="131">
        <v>3.9E-2</v>
      </c>
      <c r="N3397" s="119" t="s">
        <v>836</v>
      </c>
      <c r="O3397" s="120" t="s">
        <v>287</v>
      </c>
      <c r="P3397" s="122">
        <f>P3294</f>
        <v>111600</v>
      </c>
      <c r="Q3397" s="118" t="s">
        <v>836</v>
      </c>
      <c r="R3397" s="122">
        <f>P3397*M3397</f>
        <v>4352.3999999999996</v>
      </c>
    </row>
    <row r="3398" spans="6:18" ht="24" customHeight="1">
      <c r="F3398" s="122">
        <v>1</v>
      </c>
      <c r="G3398" s="119" t="s">
        <v>835</v>
      </c>
      <c r="H3398" s="505" t="s">
        <v>3216</v>
      </c>
      <c r="I3398" s="122">
        <f t="shared" si="318"/>
        <v>22.9</v>
      </c>
      <c r="J3398" s="118" t="s">
        <v>835</v>
      </c>
      <c r="K3398" s="122">
        <v>20</v>
      </c>
      <c r="M3398" s="131">
        <v>2.1940000000000001E-2</v>
      </c>
      <c r="N3398" s="119" t="s">
        <v>836</v>
      </c>
      <c r="O3398" s="120" t="s">
        <v>288</v>
      </c>
      <c r="P3398" s="122">
        <f>P3295</f>
        <v>99400</v>
      </c>
      <c r="Q3398" s="118" t="s">
        <v>836</v>
      </c>
      <c r="R3398" s="122">
        <f t="shared" ref="R3398:R3407" si="319">P3398*M3398</f>
        <v>2180.84</v>
      </c>
    </row>
    <row r="3399" spans="6:18" ht="24" customHeight="1">
      <c r="F3399" s="122">
        <v>1</v>
      </c>
      <c r="G3399" s="119" t="s">
        <v>835</v>
      </c>
      <c r="H3399" s="505" t="s">
        <v>3217</v>
      </c>
      <c r="I3399" s="122">
        <f t="shared" si="318"/>
        <v>45.9</v>
      </c>
      <c r="J3399" s="118" t="s">
        <v>835</v>
      </c>
      <c r="K3399" s="122">
        <v>37</v>
      </c>
      <c r="M3399" s="131">
        <v>0.86880000000000002</v>
      </c>
      <c r="N3399" s="119" t="s">
        <v>578</v>
      </c>
      <c r="O3399" s="1" t="s">
        <v>2011</v>
      </c>
      <c r="P3399" s="122">
        <f>P3365</f>
        <v>387.4</v>
      </c>
      <c r="Q3399" s="118" t="s">
        <v>836</v>
      </c>
      <c r="R3399" s="122">
        <f t="shared" si="319"/>
        <v>336.57</v>
      </c>
    </row>
    <row r="3400" spans="6:18" ht="24" customHeight="1">
      <c r="F3400" s="111"/>
      <c r="G3400" s="112"/>
      <c r="H3400" s="111" t="s">
        <v>1284</v>
      </c>
      <c r="I3400" s="111"/>
      <c r="J3400" s="114"/>
      <c r="K3400" s="395"/>
      <c r="M3400" s="133">
        <v>2.081</v>
      </c>
      <c r="N3400" s="119" t="s">
        <v>578</v>
      </c>
      <c r="O3400" s="120" t="s">
        <v>417</v>
      </c>
      <c r="P3400" s="122">
        <f>P3297</f>
        <v>1105</v>
      </c>
      <c r="Q3400" s="118" t="s">
        <v>578</v>
      </c>
      <c r="R3400" s="122">
        <f t="shared" si="319"/>
        <v>2299.5100000000002</v>
      </c>
    </row>
    <row r="3401" spans="6:18" ht="24" customHeight="1">
      <c r="F3401" s="111"/>
      <c r="G3401" s="112"/>
      <c r="H3401" s="111"/>
      <c r="I3401" s="111"/>
      <c r="J3401" s="114"/>
      <c r="K3401" s="121" t="s">
        <v>1530</v>
      </c>
      <c r="M3401" s="122">
        <v>2</v>
      </c>
      <c r="N3401" s="119" t="s">
        <v>739</v>
      </c>
      <c r="O3401" s="120" t="s">
        <v>3213</v>
      </c>
      <c r="P3401" s="122">
        <f t="shared" ref="P3401:P3406" si="320">P3298</f>
        <v>53.4</v>
      </c>
      <c r="Q3401" s="118" t="s">
        <v>835</v>
      </c>
      <c r="R3401" s="122">
        <f t="shared" si="319"/>
        <v>106.8</v>
      </c>
    </row>
    <row r="3402" spans="6:18" ht="24" customHeight="1">
      <c r="F3402" s="111"/>
      <c r="G3402" s="112"/>
      <c r="H3402" s="120" t="s">
        <v>2706</v>
      </c>
      <c r="I3402" s="111"/>
      <c r="J3402" s="114"/>
      <c r="K3402" s="122">
        <v>6067.81</v>
      </c>
      <c r="M3402" s="122">
        <v>4</v>
      </c>
      <c r="N3402" s="119" t="s">
        <v>835</v>
      </c>
      <c r="O3402" s="120" t="s">
        <v>1407</v>
      </c>
      <c r="P3402" s="122">
        <f t="shared" si="320"/>
        <v>83</v>
      </c>
      <c r="Q3402" s="118" t="s">
        <v>835</v>
      </c>
      <c r="R3402" s="122">
        <f t="shared" si="319"/>
        <v>332</v>
      </c>
    </row>
    <row r="3403" spans="6:18" ht="24" customHeight="1">
      <c r="F3403" s="111"/>
      <c r="G3403" s="112"/>
      <c r="H3403" s="111"/>
      <c r="I3403" s="111"/>
      <c r="J3403" s="114"/>
      <c r="K3403" s="121" t="s">
        <v>1530</v>
      </c>
      <c r="M3403" s="122">
        <v>2</v>
      </c>
      <c r="N3403" s="119" t="s">
        <v>835</v>
      </c>
      <c r="O3403" s="120" t="s">
        <v>3214</v>
      </c>
      <c r="P3403" s="122">
        <f t="shared" si="320"/>
        <v>90.6</v>
      </c>
      <c r="Q3403" s="118" t="s">
        <v>835</v>
      </c>
      <c r="R3403" s="122">
        <f t="shared" si="319"/>
        <v>181.2</v>
      </c>
    </row>
    <row r="3404" spans="6:18" ht="24" customHeight="1">
      <c r="F3404" s="111"/>
      <c r="G3404" s="112"/>
      <c r="H3404" s="109" t="s">
        <v>521</v>
      </c>
      <c r="I3404" s="111"/>
      <c r="J3404" s="116" t="s">
        <v>690</v>
      </c>
      <c r="K3404" s="110">
        <v>2915.81</v>
      </c>
      <c r="M3404" s="122">
        <v>1</v>
      </c>
      <c r="N3404" s="119" t="s">
        <v>835</v>
      </c>
      <c r="O3404" s="120" t="s">
        <v>3215</v>
      </c>
      <c r="P3404" s="122">
        <f t="shared" si="320"/>
        <v>194.4</v>
      </c>
      <c r="Q3404" s="118" t="s">
        <v>835</v>
      </c>
      <c r="R3404" s="122">
        <f t="shared" si="319"/>
        <v>194.4</v>
      </c>
    </row>
    <row r="3405" spans="6:18" ht="24" customHeight="1">
      <c r="K3405" s="5" t="s">
        <v>1980</v>
      </c>
      <c r="M3405" s="122">
        <v>1</v>
      </c>
      <c r="N3405" s="119" t="s">
        <v>835</v>
      </c>
      <c r="O3405" s="120" t="s">
        <v>3216</v>
      </c>
      <c r="P3405" s="122">
        <f t="shared" si="320"/>
        <v>22.9</v>
      </c>
      <c r="Q3405" s="118" t="s">
        <v>835</v>
      </c>
      <c r="R3405" s="122">
        <f t="shared" si="319"/>
        <v>22.9</v>
      </c>
    </row>
    <row r="3406" spans="6:18" ht="24" customHeight="1">
      <c r="M3406" s="122">
        <v>1</v>
      </c>
      <c r="N3406" s="119" t="s">
        <v>835</v>
      </c>
      <c r="O3406" s="120" t="s">
        <v>3217</v>
      </c>
      <c r="P3406" s="122">
        <f t="shared" si="320"/>
        <v>45.9</v>
      </c>
      <c r="Q3406" s="118" t="s">
        <v>835</v>
      </c>
      <c r="R3406" s="122">
        <f t="shared" si="319"/>
        <v>45.9</v>
      </c>
    </row>
    <row r="3407" spans="6:18" ht="24" customHeight="1">
      <c r="M3407" s="122">
        <v>58</v>
      </c>
      <c r="N3407" s="119" t="s">
        <v>835</v>
      </c>
      <c r="O3407" s="111" t="s">
        <v>1284</v>
      </c>
      <c r="P3407" s="111">
        <f>P3373</f>
        <v>2.39</v>
      </c>
      <c r="Q3407" s="114"/>
      <c r="R3407" s="122">
        <f t="shared" si="319"/>
        <v>138.62</v>
      </c>
    </row>
    <row r="3408" spans="6:18" ht="24" customHeight="1">
      <c r="M3408" s="111"/>
      <c r="N3408" s="112"/>
      <c r="O3408" s="111"/>
      <c r="P3408" s="111"/>
      <c r="Q3408" s="114"/>
      <c r="R3408" s="121" t="s">
        <v>1530</v>
      </c>
    </row>
    <row r="3409" spans="6:18" ht="24" customHeight="1">
      <c r="F3409" s="55"/>
      <c r="G3409" s="54"/>
      <c r="H3409" s="40" t="s">
        <v>3847</v>
      </c>
      <c r="I3409" s="40"/>
      <c r="J3409" s="72"/>
      <c r="K3409" s="55"/>
      <c r="M3409" s="111"/>
      <c r="N3409" s="112"/>
      <c r="O3409" s="120" t="s">
        <v>2706</v>
      </c>
      <c r="P3409" s="111"/>
      <c r="Q3409" s="114"/>
      <c r="R3409" s="122">
        <f>SUM(R3397:R3407)</f>
        <v>10191.14</v>
      </c>
    </row>
    <row r="3410" spans="6:18" ht="24" customHeight="1">
      <c r="F3410" s="55"/>
      <c r="G3410" s="54"/>
      <c r="H3410" s="55"/>
      <c r="I3410" s="55"/>
      <c r="J3410" s="72"/>
      <c r="K3410" s="55"/>
      <c r="M3410" s="111"/>
      <c r="N3410" s="112"/>
      <c r="O3410" s="111"/>
      <c r="P3410" s="111"/>
      <c r="Q3410" s="114"/>
      <c r="R3410" s="121" t="s">
        <v>1530</v>
      </c>
    </row>
    <row r="3411" spans="6:18" ht="24" customHeight="1">
      <c r="F3411" t="s">
        <v>3848</v>
      </c>
      <c r="G3411" s="54"/>
      <c r="H3411" s="55"/>
      <c r="I3411" s="157">
        <f>2*0.95*2.325</f>
        <v>4.4175000000000004</v>
      </c>
      <c r="J3411" s="72"/>
      <c r="K3411" s="55"/>
      <c r="M3411" s="111"/>
      <c r="N3411" s="112"/>
      <c r="O3411" s="109" t="s">
        <v>521</v>
      </c>
      <c r="P3411" s="111"/>
      <c r="Q3411" s="116" t="s">
        <v>690</v>
      </c>
      <c r="R3411" s="110">
        <f>R3409/M3400</f>
        <v>4897.2299999999996</v>
      </c>
    </row>
    <row r="3412" spans="6:18" ht="24" customHeight="1">
      <c r="F3412" t="s">
        <v>3849</v>
      </c>
      <c r="G3412" s="54"/>
      <c r="H3412" s="55"/>
      <c r="I3412" s="157">
        <f>2*2*2.325*0.075*0.0375</f>
        <v>2.6200000000000001E-2</v>
      </c>
      <c r="J3412" s="72"/>
      <c r="K3412" s="55"/>
      <c r="N3412" s="3"/>
      <c r="Q3412" s="11"/>
      <c r="R3412" s="5" t="s">
        <v>1980</v>
      </c>
    </row>
    <row r="3413" spans="6:18" ht="24" customHeight="1">
      <c r="F3413" s="55" t="s">
        <v>1950</v>
      </c>
      <c r="G3413" s="54"/>
      <c r="H3413" s="55"/>
      <c r="I3413" s="76">
        <f>2*3*0.95*0.15*0.0375</f>
        <v>3.2099999999999997E-2</v>
      </c>
      <c r="J3413" s="72"/>
      <c r="K3413" s="55"/>
    </row>
    <row r="3414" spans="6:18" ht="24" customHeight="1">
      <c r="F3414" s="442" t="s">
        <v>3850</v>
      </c>
      <c r="G3414" s="3" t="s">
        <v>3851</v>
      </c>
      <c r="H3414" s="55"/>
      <c r="I3414" s="76">
        <f>2*2*0.95*0.075*0.0375</f>
        <v>1.0699999999999999E-2</v>
      </c>
      <c r="J3414" s="72"/>
      <c r="K3414" s="55"/>
      <c r="N3414" s="3"/>
      <c r="O3414" s="37"/>
      <c r="Q3414" s="11"/>
    </row>
    <row r="3415" spans="6:18" ht="24" customHeight="1">
      <c r="F3415" s="55"/>
      <c r="G3415" s="54"/>
      <c r="H3415" s="55"/>
      <c r="I3415" s="158">
        <f>SUM(I3413:I3414)</f>
        <v>4.2799999999999998E-2</v>
      </c>
      <c r="J3415" s="72"/>
      <c r="K3415" s="55"/>
    </row>
    <row r="3416" spans="6:18" ht="24" customHeight="1">
      <c r="F3416" s="55"/>
      <c r="G3416" s="54"/>
      <c r="H3416" s="55"/>
      <c r="I3416" s="55"/>
      <c r="J3416" s="72"/>
      <c r="K3416" s="55"/>
    </row>
    <row r="3417" spans="6:18" ht="24" customHeight="1">
      <c r="F3417" s="55"/>
      <c r="G3417" s="54"/>
      <c r="H3417" s="55"/>
      <c r="I3417" s="55"/>
      <c r="J3417" s="72"/>
      <c r="K3417" s="55"/>
    </row>
    <row r="3418" spans="6:18" ht="24" customHeight="1">
      <c r="F3418" t="s">
        <v>3852</v>
      </c>
      <c r="G3418" s="54"/>
      <c r="H3418" s="55"/>
      <c r="I3418" s="76">
        <f>2*4*0.825*0.36*0.01875</f>
        <v>4.4600000000000001E-2</v>
      </c>
      <c r="J3418" s="72"/>
      <c r="K3418" s="55"/>
    </row>
    <row r="3419" spans="6:18" ht="24" customHeight="1">
      <c r="F3419" t="s">
        <v>3853</v>
      </c>
      <c r="G3419" s="54"/>
      <c r="H3419" s="55"/>
      <c r="I3419" s="76">
        <f>2*0.825*0.36*0.01875</f>
        <v>1.11E-2</v>
      </c>
      <c r="J3419" s="72"/>
      <c r="K3419" s="55"/>
    </row>
    <row r="3420" spans="6:18" ht="24" customHeight="1">
      <c r="F3420" s="55"/>
      <c r="G3420" s="54"/>
      <c r="H3420" s="55"/>
      <c r="I3420" s="158">
        <f>SUM(I3418:I3419)</f>
        <v>5.57E-2</v>
      </c>
      <c r="J3420" s="72"/>
      <c r="K3420" s="55"/>
    </row>
    <row r="3421" spans="6:18" ht="24" customHeight="1">
      <c r="F3421" s="55"/>
      <c r="G3421" s="54"/>
      <c r="H3421" s="37" t="s">
        <v>1568</v>
      </c>
      <c r="I3421" s="55"/>
      <c r="J3421" s="72"/>
      <c r="K3421" s="55"/>
      <c r="M3421" s="118"/>
      <c r="N3421" s="119" t="s">
        <v>2167</v>
      </c>
      <c r="O3421" s="120" t="s">
        <v>3219</v>
      </c>
      <c r="P3421" s="111"/>
      <c r="Q3421" s="114"/>
      <c r="R3421" s="111"/>
    </row>
    <row r="3422" spans="6:18" ht="24" customHeight="1">
      <c r="F3422" s="55"/>
      <c r="G3422" s="54"/>
      <c r="H3422" s="55"/>
      <c r="I3422" s="55"/>
      <c r="J3422" s="72"/>
      <c r="K3422" s="55"/>
      <c r="M3422" s="111"/>
      <c r="N3422" s="112"/>
      <c r="O3422" s="120" t="s">
        <v>241</v>
      </c>
      <c r="P3422" s="111"/>
      <c r="Q3422" s="114"/>
      <c r="R3422" s="111"/>
    </row>
    <row r="3423" spans="6:18" ht="24" customHeight="1">
      <c r="F3423" s="76">
        <f>I3412</f>
        <v>2.6200000000000001E-2</v>
      </c>
      <c r="G3423" s="54" t="s">
        <v>836</v>
      </c>
      <c r="H3423" s="55" t="s">
        <v>2412</v>
      </c>
      <c r="I3423" s="55">
        <f>I2636</f>
        <v>111600</v>
      </c>
      <c r="J3423" s="72" t="s">
        <v>836</v>
      </c>
      <c r="K3423" s="55">
        <f>F3423*I3423</f>
        <v>2923.92</v>
      </c>
      <c r="M3423" s="111"/>
      <c r="N3423" s="112"/>
      <c r="O3423" s="385" t="s">
        <v>3225</v>
      </c>
      <c r="P3423" s="111"/>
      <c r="Q3423" s="114"/>
      <c r="R3423" s="111"/>
    </row>
    <row r="3424" spans="6:18" ht="24" customHeight="1">
      <c r="F3424" s="76">
        <f>I3415</f>
        <v>4.2799999999999998E-2</v>
      </c>
      <c r="G3424" s="54" t="s">
        <v>836</v>
      </c>
      <c r="H3424" s="55" t="s">
        <v>2413</v>
      </c>
      <c r="I3424" s="55">
        <f>I2637</f>
        <v>99400</v>
      </c>
      <c r="J3424" s="72" t="s">
        <v>836</v>
      </c>
      <c r="K3424" s="55">
        <f t="shared" ref="K3424:K3433" si="321">F3424*I3424</f>
        <v>4254.32</v>
      </c>
      <c r="M3424" s="111"/>
      <c r="N3424" s="112"/>
      <c r="O3424" s="121" t="s">
        <v>1530</v>
      </c>
      <c r="P3424" s="111"/>
      <c r="Q3424" s="114"/>
      <c r="R3424" s="111"/>
    </row>
    <row r="3425" spans="6:18" ht="24" customHeight="1">
      <c r="F3425" s="77">
        <f>I3420</f>
        <v>5.57E-2</v>
      </c>
      <c r="G3425" s="54" t="s">
        <v>836</v>
      </c>
      <c r="H3425" t="s">
        <v>3854</v>
      </c>
      <c r="I3425" s="55">
        <f>I2638</f>
        <v>107000</v>
      </c>
      <c r="J3425" s="72" t="s">
        <v>836</v>
      </c>
      <c r="K3425" s="55">
        <f t="shared" si="321"/>
        <v>5959.9</v>
      </c>
      <c r="M3425" s="111"/>
      <c r="N3425" s="112"/>
      <c r="O3425" s="120" t="s">
        <v>3226</v>
      </c>
      <c r="P3425" s="115" t="s">
        <v>1980</v>
      </c>
      <c r="Q3425" s="386">
        <v>2.4279999999999999</v>
      </c>
      <c r="R3425" s="111" t="s">
        <v>2199</v>
      </c>
    </row>
    <row r="3426" spans="6:18" ht="24" customHeight="1">
      <c r="F3426" s="76">
        <f>I3411</f>
        <v>4.4175000000000004</v>
      </c>
      <c r="G3426" s="54" t="s">
        <v>578</v>
      </c>
      <c r="H3426" s="55" t="s">
        <v>850</v>
      </c>
      <c r="I3426" s="55">
        <f>I2639</f>
        <v>1325</v>
      </c>
      <c r="J3426" s="72" t="s">
        <v>578</v>
      </c>
      <c r="K3426" s="55">
        <f t="shared" si="321"/>
        <v>5853.19</v>
      </c>
      <c r="M3426" s="111"/>
      <c r="N3426" s="112"/>
      <c r="O3426" s="120"/>
      <c r="P3426" s="115"/>
      <c r="Q3426" s="386"/>
      <c r="R3426" s="111"/>
    </row>
    <row r="3427" spans="6:18" ht="24" customHeight="1">
      <c r="F3427" s="55">
        <v>2</v>
      </c>
      <c r="G3427" s="54" t="s">
        <v>1807</v>
      </c>
      <c r="H3427" t="s">
        <v>3655</v>
      </c>
      <c r="I3427" s="526">
        <v>450</v>
      </c>
      <c r="J3427" s="72" t="s">
        <v>1341</v>
      </c>
      <c r="K3427" s="55">
        <f t="shared" si="321"/>
        <v>900</v>
      </c>
      <c r="M3427" s="111"/>
      <c r="N3427" s="112"/>
      <c r="O3427" s="120" t="s">
        <v>2755</v>
      </c>
      <c r="P3427" s="115" t="s">
        <v>1980</v>
      </c>
      <c r="Q3427" s="387">
        <v>5.1999999999999998E-2</v>
      </c>
      <c r="R3427" s="111" t="s">
        <v>2070</v>
      </c>
    </row>
    <row r="3428" spans="6:18" ht="24" customHeight="1">
      <c r="F3428" s="55">
        <v>6</v>
      </c>
      <c r="G3428" s="54" t="s">
        <v>1807</v>
      </c>
      <c r="H3428" t="s">
        <v>3656</v>
      </c>
      <c r="I3428" s="526">
        <v>79</v>
      </c>
      <c r="J3428" s="72" t="s">
        <v>1341</v>
      </c>
      <c r="K3428" s="55">
        <f t="shared" si="321"/>
        <v>474</v>
      </c>
      <c r="M3428" s="111"/>
      <c r="N3428" s="112"/>
      <c r="O3428" s="120" t="s">
        <v>3208</v>
      </c>
      <c r="Q3428" s="388"/>
      <c r="R3428" s="111"/>
    </row>
    <row r="3429" spans="6:18" ht="24" customHeight="1">
      <c r="F3429" s="55">
        <v>4</v>
      </c>
      <c r="G3429" s="54" t="s">
        <v>1807</v>
      </c>
      <c r="H3429" t="s">
        <v>3657</v>
      </c>
      <c r="I3429" s="526">
        <v>130</v>
      </c>
      <c r="J3429" s="72" t="s">
        <v>1341</v>
      </c>
      <c r="K3429" s="55">
        <f t="shared" si="321"/>
        <v>520</v>
      </c>
      <c r="M3429" s="111"/>
      <c r="N3429" s="112"/>
      <c r="O3429" s="120" t="s">
        <v>3227</v>
      </c>
      <c r="P3429" s="115" t="s">
        <v>1980</v>
      </c>
      <c r="Q3429" s="389">
        <v>1.772E-2</v>
      </c>
      <c r="R3429" s="111"/>
    </row>
    <row r="3430" spans="6:18" ht="24" customHeight="1">
      <c r="F3430" s="55">
        <v>1</v>
      </c>
      <c r="G3430" s="54" t="s">
        <v>1807</v>
      </c>
      <c r="H3430" t="s">
        <v>3658</v>
      </c>
      <c r="I3430" s="526">
        <v>985</v>
      </c>
      <c r="J3430" s="72" t="s">
        <v>1341</v>
      </c>
      <c r="K3430" s="55">
        <f t="shared" si="321"/>
        <v>985</v>
      </c>
      <c r="M3430" s="111"/>
      <c r="N3430" s="112"/>
      <c r="O3430" s="120" t="s">
        <v>3228</v>
      </c>
      <c r="P3430" s="115" t="s">
        <v>1980</v>
      </c>
      <c r="Q3430" s="390">
        <v>7.8750000000000001E-3</v>
      </c>
      <c r="R3430" s="131"/>
    </row>
    <row r="3431" spans="6:18" ht="24" customHeight="1">
      <c r="F3431" s="55">
        <v>2</v>
      </c>
      <c r="G3431" s="54" t="s">
        <v>1807</v>
      </c>
      <c r="H3431" t="s">
        <v>3650</v>
      </c>
      <c r="I3431" s="526">
        <v>21.5</v>
      </c>
      <c r="J3431" s="72" t="s">
        <v>1341</v>
      </c>
      <c r="K3431" s="55">
        <f t="shared" si="321"/>
        <v>43</v>
      </c>
      <c r="M3431" s="111"/>
      <c r="N3431" s="112"/>
      <c r="O3431" s="111"/>
      <c r="P3431" s="111"/>
      <c r="Q3431" s="121" t="s">
        <v>1530</v>
      </c>
    </row>
    <row r="3432" spans="6:18" ht="24" customHeight="1">
      <c r="F3432" s="55">
        <v>2</v>
      </c>
      <c r="G3432" s="54" t="s">
        <v>1807</v>
      </c>
      <c r="H3432" s="55" t="s">
        <v>1913</v>
      </c>
      <c r="I3432" s="55">
        <f>I3399</f>
        <v>45.9</v>
      </c>
      <c r="J3432" s="72" t="s">
        <v>1341</v>
      </c>
      <c r="K3432" s="55">
        <f t="shared" si="321"/>
        <v>91.8</v>
      </c>
      <c r="M3432" s="111"/>
      <c r="N3432" s="112"/>
      <c r="O3432" s="111"/>
      <c r="P3432" s="111"/>
      <c r="Q3432" s="391">
        <v>2.5600000000000001E-2</v>
      </c>
      <c r="R3432" t="s">
        <v>2070</v>
      </c>
    </row>
    <row r="3433" spans="6:18" ht="24" customHeight="1">
      <c r="F3433" s="74">
        <v>130</v>
      </c>
      <c r="G3433" s="54" t="s">
        <v>1807</v>
      </c>
      <c r="H3433" s="442" t="s">
        <v>1102</v>
      </c>
      <c r="I3433" s="526">
        <f>I3331</f>
        <v>2.39</v>
      </c>
      <c r="J3433" s="72"/>
      <c r="K3433" s="55">
        <f t="shared" si="321"/>
        <v>310.7</v>
      </c>
      <c r="M3433" s="111"/>
      <c r="N3433" s="112"/>
      <c r="O3433" s="111"/>
      <c r="P3433" s="111"/>
      <c r="Q3433" s="121" t="s">
        <v>1530</v>
      </c>
    </row>
    <row r="3434" spans="6:18" ht="24" customHeight="1">
      <c r="F3434" s="55"/>
      <c r="G3434" s="54"/>
      <c r="H3434" s="55"/>
      <c r="I3434" s="55"/>
      <c r="J3434" s="72"/>
      <c r="K3434" s="57"/>
      <c r="M3434" s="111"/>
      <c r="N3434" s="112"/>
      <c r="O3434" s="120" t="s">
        <v>2297</v>
      </c>
      <c r="P3434" s="111"/>
      <c r="Q3434" s="158">
        <v>0.58750000000000002</v>
      </c>
      <c r="R3434" s="136" t="s">
        <v>2199</v>
      </c>
    </row>
    <row r="3435" spans="6:18" ht="24" customHeight="1">
      <c r="F3435" s="55"/>
      <c r="G3435" s="73"/>
      <c r="H3435" s="37" t="s">
        <v>3855</v>
      </c>
      <c r="I3435" s="55"/>
      <c r="J3435" s="72"/>
      <c r="K3435" s="37">
        <f>SUM(K3423:K3434)</f>
        <v>22315.83</v>
      </c>
      <c r="M3435" s="111"/>
      <c r="N3435" s="112"/>
      <c r="O3435" s="120" t="s">
        <v>2298</v>
      </c>
      <c r="P3435" s="111"/>
      <c r="Q3435" s="394">
        <v>5.3E-3</v>
      </c>
      <c r="R3435" s="136" t="s">
        <v>2070</v>
      </c>
    </row>
    <row r="3436" spans="6:18" ht="24" customHeight="1">
      <c r="F3436" s="55"/>
      <c r="G3436" s="73"/>
      <c r="I3436" s="55"/>
      <c r="J3436" s="72"/>
      <c r="K3436" s="57" t="s">
        <v>144</v>
      </c>
      <c r="M3436" s="111"/>
      <c r="N3436" s="112"/>
      <c r="O3436" s="120" t="s">
        <v>2299</v>
      </c>
      <c r="P3436" s="111"/>
      <c r="Q3436" s="394">
        <v>6.7</v>
      </c>
      <c r="R3436" s="136" t="s">
        <v>794</v>
      </c>
    </row>
    <row r="3437" spans="6:18" ht="24" customHeight="1">
      <c r="F3437" s="55"/>
      <c r="G3437" s="73"/>
      <c r="H3437" s="37" t="s">
        <v>521</v>
      </c>
      <c r="I3437" s="55"/>
      <c r="J3437" s="72"/>
      <c r="K3437" s="37">
        <f>K3435/F3426</f>
        <v>5051.6899999999996</v>
      </c>
      <c r="M3437" s="111"/>
      <c r="N3437" s="112"/>
      <c r="O3437" s="111"/>
      <c r="P3437" s="111"/>
      <c r="Q3437" s="121"/>
      <c r="R3437" s="121"/>
    </row>
    <row r="3438" spans="6:18" ht="24" customHeight="1">
      <c r="G3438"/>
      <c r="J3438"/>
      <c r="M3438" s="131">
        <v>5.1999999999999998E-2</v>
      </c>
      <c r="N3438" s="119" t="s">
        <v>836</v>
      </c>
      <c r="O3438" s="120" t="s">
        <v>287</v>
      </c>
      <c r="P3438" s="122">
        <f>P3224</f>
        <v>111600</v>
      </c>
      <c r="Q3438" s="118" t="s">
        <v>836</v>
      </c>
      <c r="R3438" s="122">
        <f>P3438*M3438</f>
        <v>5803.2</v>
      </c>
    </row>
    <row r="3439" spans="6:18" ht="24" customHeight="1">
      <c r="M3439" s="131">
        <v>2.5600000000000001E-2</v>
      </c>
      <c r="N3439" s="119" t="s">
        <v>836</v>
      </c>
      <c r="O3439" s="120" t="s">
        <v>288</v>
      </c>
      <c r="P3439" s="122">
        <f>P3225</f>
        <v>99400</v>
      </c>
      <c r="Q3439" s="118" t="s">
        <v>836</v>
      </c>
      <c r="R3439" s="122">
        <f t="shared" ref="R3439:R3451" si="322">P3439*M3439</f>
        <v>2544.64</v>
      </c>
    </row>
    <row r="3440" spans="6:18" ht="24" customHeight="1">
      <c r="M3440" s="131">
        <v>5.3E-3</v>
      </c>
      <c r="N3440" s="119" t="s">
        <v>836</v>
      </c>
      <c r="O3440" s="120" t="s">
        <v>3212</v>
      </c>
      <c r="P3440" s="122">
        <f>P3226</f>
        <v>101921.4</v>
      </c>
      <c r="Q3440" s="118" t="s">
        <v>836</v>
      </c>
      <c r="R3440" s="122">
        <f t="shared" si="322"/>
        <v>540.17999999999995</v>
      </c>
    </row>
    <row r="3441" spans="6:18" ht="24" customHeight="1">
      <c r="M3441" s="133"/>
      <c r="N3441" s="112"/>
      <c r="O3441" s="120" t="s">
        <v>909</v>
      </c>
      <c r="P3441" s="122"/>
      <c r="Q3441" s="114"/>
      <c r="R3441" s="122">
        <f t="shared" si="322"/>
        <v>0</v>
      </c>
    </row>
    <row r="3442" spans="6:18" ht="24" customHeight="1">
      <c r="M3442" s="133">
        <v>0.58750000000000002</v>
      </c>
      <c r="N3442" s="119" t="s">
        <v>578</v>
      </c>
      <c r="O3442" s="120" t="s">
        <v>3222</v>
      </c>
      <c r="P3442" s="122">
        <f>P3228</f>
        <v>359</v>
      </c>
      <c r="Q3442" s="114" t="s">
        <v>578</v>
      </c>
      <c r="R3442" s="122">
        <f t="shared" si="322"/>
        <v>210.91</v>
      </c>
    </row>
    <row r="3443" spans="6:18" ht="24" customHeight="1">
      <c r="M3443" s="133">
        <v>6.7</v>
      </c>
      <c r="N3443" s="119" t="s">
        <v>1714</v>
      </c>
      <c r="O3443" s="120" t="s">
        <v>3224</v>
      </c>
      <c r="P3443" s="122">
        <f>P3229</f>
        <v>15.3</v>
      </c>
      <c r="Q3443" s="114" t="s">
        <v>794</v>
      </c>
      <c r="R3443" s="122">
        <f t="shared" si="322"/>
        <v>102.51</v>
      </c>
    </row>
    <row r="3444" spans="6:18" ht="24" customHeight="1">
      <c r="M3444" s="133">
        <v>2.4279999999999999</v>
      </c>
      <c r="N3444" s="119" t="s">
        <v>578</v>
      </c>
      <c r="O3444" s="120" t="s">
        <v>417</v>
      </c>
      <c r="P3444" s="122">
        <f>P3230</f>
        <v>1239</v>
      </c>
      <c r="Q3444" s="118" t="s">
        <v>578</v>
      </c>
      <c r="R3444" s="122">
        <f t="shared" si="322"/>
        <v>3008.29</v>
      </c>
    </row>
    <row r="3445" spans="6:18" ht="55.5" customHeight="1">
      <c r="M3445" s="122">
        <v>4</v>
      </c>
      <c r="N3445" s="119" t="s">
        <v>739</v>
      </c>
      <c r="O3445" s="120" t="s">
        <v>3213</v>
      </c>
      <c r="P3445" s="122">
        <f t="shared" ref="P3445:P3450" si="323">P3231</f>
        <v>53.4</v>
      </c>
      <c r="Q3445" s="118" t="s">
        <v>835</v>
      </c>
      <c r="R3445" s="122">
        <f t="shared" si="322"/>
        <v>213.6</v>
      </c>
    </row>
    <row r="3446" spans="6:18" ht="24" customHeight="1">
      <c r="M3446" s="122">
        <v>8</v>
      </c>
      <c r="N3446" s="119" t="s">
        <v>835</v>
      </c>
      <c r="O3446" s="120" t="s">
        <v>1407</v>
      </c>
      <c r="P3446" s="122">
        <f t="shared" si="323"/>
        <v>83</v>
      </c>
      <c r="Q3446" s="118" t="s">
        <v>835</v>
      </c>
      <c r="R3446" s="122">
        <f t="shared" si="322"/>
        <v>664</v>
      </c>
    </row>
    <row r="3447" spans="6:18" ht="24" customHeight="1">
      <c r="M3447" s="122">
        <v>4</v>
      </c>
      <c r="N3447" s="119" t="s">
        <v>835</v>
      </c>
      <c r="O3447" s="120" t="s">
        <v>3214</v>
      </c>
      <c r="P3447" s="122">
        <f t="shared" si="323"/>
        <v>90.6</v>
      </c>
      <c r="Q3447" s="118" t="s">
        <v>835</v>
      </c>
      <c r="R3447" s="122">
        <f t="shared" si="322"/>
        <v>362.4</v>
      </c>
    </row>
    <row r="3448" spans="6:18" ht="24" customHeight="1">
      <c r="M3448" s="122">
        <v>1</v>
      </c>
      <c r="N3448" s="119" t="s">
        <v>835</v>
      </c>
      <c r="O3448" s="120" t="s">
        <v>3215</v>
      </c>
      <c r="P3448" s="122">
        <f t="shared" si="323"/>
        <v>194.4</v>
      </c>
      <c r="Q3448" s="118" t="s">
        <v>835</v>
      </c>
      <c r="R3448" s="122">
        <f t="shared" si="322"/>
        <v>194.4</v>
      </c>
    </row>
    <row r="3449" spans="6:18" ht="24" customHeight="1">
      <c r="M3449" s="122">
        <v>2</v>
      </c>
      <c r="N3449" s="119" t="s">
        <v>835</v>
      </c>
      <c r="O3449" s="120" t="s">
        <v>3216</v>
      </c>
      <c r="P3449" s="122">
        <f t="shared" si="323"/>
        <v>22.9</v>
      </c>
      <c r="Q3449" s="118" t="s">
        <v>835</v>
      </c>
      <c r="R3449" s="122">
        <f t="shared" si="322"/>
        <v>45.8</v>
      </c>
    </row>
    <row r="3450" spans="6:18" ht="24" customHeight="1">
      <c r="M3450" s="122">
        <v>2</v>
      </c>
      <c r="N3450" s="119" t="s">
        <v>835</v>
      </c>
      <c r="O3450" s="120" t="s">
        <v>3217</v>
      </c>
      <c r="P3450" s="122">
        <f t="shared" si="323"/>
        <v>45.9</v>
      </c>
      <c r="Q3450" s="118" t="s">
        <v>835</v>
      </c>
      <c r="R3450" s="122">
        <f t="shared" si="322"/>
        <v>91.8</v>
      </c>
    </row>
    <row r="3451" spans="6:18" ht="24" customHeight="1">
      <c r="M3451" s="111">
        <v>118</v>
      </c>
      <c r="N3451" s="119" t="s">
        <v>835</v>
      </c>
      <c r="O3451" s="111" t="s">
        <v>1284</v>
      </c>
      <c r="P3451" s="111">
        <f>P3407</f>
        <v>2.39</v>
      </c>
      <c r="Q3451" s="118" t="s">
        <v>835</v>
      </c>
      <c r="R3451" s="122">
        <f t="shared" si="322"/>
        <v>282.02</v>
      </c>
    </row>
    <row r="3452" spans="6:18" ht="24" customHeight="1">
      <c r="M3452" s="111"/>
      <c r="N3452" s="112"/>
      <c r="O3452" s="111"/>
      <c r="P3452" s="111"/>
      <c r="Q3452" s="114"/>
      <c r="R3452" s="121" t="s">
        <v>1530</v>
      </c>
    </row>
    <row r="3453" spans="6:18" ht="24" customHeight="1">
      <c r="F3453" s="25">
        <v>29.5</v>
      </c>
      <c r="G3453" s="7" t="s">
        <v>2167</v>
      </c>
      <c r="H3453" s="1" t="s">
        <v>3050</v>
      </c>
      <c r="J3453" s="4"/>
      <c r="M3453" s="111"/>
      <c r="N3453" s="112"/>
      <c r="O3453" s="120" t="s">
        <v>3232</v>
      </c>
      <c r="P3453" s="111"/>
      <c r="Q3453" s="114"/>
      <c r="R3453" s="122">
        <f>SUM(R3438:R3452)</f>
        <v>14063.75</v>
      </c>
    </row>
    <row r="3454" spans="6:18" ht="24" customHeight="1">
      <c r="H3454" s="1" t="s">
        <v>3051</v>
      </c>
      <c r="J3454" s="4"/>
      <c r="M3454" s="111"/>
      <c r="N3454" s="112"/>
      <c r="O3454" s="111"/>
      <c r="P3454" s="111"/>
      <c r="Q3454" s="114"/>
      <c r="R3454" s="121" t="s">
        <v>1530</v>
      </c>
    </row>
    <row r="3455" spans="6:18" ht="24" customHeight="1">
      <c r="H3455" s="1" t="s">
        <v>1869</v>
      </c>
      <c r="J3455" s="4"/>
      <c r="M3455" s="111"/>
      <c r="N3455" s="112"/>
      <c r="O3455" s="109" t="s">
        <v>521</v>
      </c>
      <c r="P3455" s="111"/>
      <c r="Q3455" s="116" t="s">
        <v>690</v>
      </c>
      <c r="R3455" s="110">
        <f>R3453/M3444</f>
        <v>5792.32</v>
      </c>
    </row>
    <row r="3456" spans="6:18" ht="24" customHeight="1">
      <c r="H3456" s="5" t="s">
        <v>1530</v>
      </c>
      <c r="I3456" s="5" t="s">
        <v>1530</v>
      </c>
      <c r="J3456" s="4"/>
      <c r="K3456" s="8"/>
    </row>
    <row r="3457" spans="6:18" ht="24" customHeight="1">
      <c r="F3457" s="8">
        <v>10</v>
      </c>
      <c r="G3457" s="7" t="s">
        <v>578</v>
      </c>
      <c r="H3457" s="34" t="s">
        <v>3382</v>
      </c>
      <c r="I3457" s="42">
        <v>416</v>
      </c>
      <c r="J3457" s="2" t="s">
        <v>578</v>
      </c>
      <c r="K3457" s="8">
        <f>F3457*I3457</f>
        <v>4160</v>
      </c>
    </row>
    <row r="3458" spans="6:18" ht="24" customHeight="1">
      <c r="F3458" s="8">
        <v>0.21</v>
      </c>
      <c r="G3458" s="7" t="s">
        <v>836</v>
      </c>
      <c r="H3458" s="1" t="s">
        <v>1810</v>
      </c>
      <c r="I3458" s="8">
        <f>K32</f>
        <v>4361.62</v>
      </c>
      <c r="J3458" s="2" t="s">
        <v>836</v>
      </c>
      <c r="K3458" s="8">
        <f>(F3458*I3458)</f>
        <v>915.94</v>
      </c>
    </row>
    <row r="3459" spans="6:18" ht="24" customHeight="1">
      <c r="H3459" s="1" t="s">
        <v>1811</v>
      </c>
      <c r="I3459" s="8"/>
      <c r="J3459" s="4"/>
      <c r="K3459" s="1" t="s">
        <v>940</v>
      </c>
      <c r="M3459" s="25">
        <v>29.5</v>
      </c>
      <c r="N3459" s="7" t="s">
        <v>2167</v>
      </c>
      <c r="O3459" s="1" t="s">
        <v>3050</v>
      </c>
      <c r="Q3459" s="4"/>
    </row>
    <row r="3460" spans="6:18" ht="24" customHeight="1">
      <c r="F3460" s="8">
        <v>1.1000000000000001</v>
      </c>
      <c r="G3460" s="7" t="s">
        <v>739</v>
      </c>
      <c r="H3460" s="1" t="s">
        <v>1938</v>
      </c>
      <c r="I3460" s="8">
        <f>C10</f>
        <v>861</v>
      </c>
      <c r="J3460" s="2" t="s">
        <v>739</v>
      </c>
      <c r="K3460" s="8">
        <f>(F3460*I3460)</f>
        <v>947.1</v>
      </c>
      <c r="N3460" s="3"/>
      <c r="O3460" s="1" t="s">
        <v>3051</v>
      </c>
      <c r="Q3460" s="4"/>
    </row>
    <row r="3461" spans="6:18" ht="24" customHeight="1">
      <c r="F3461" s="8">
        <v>1.1000000000000001</v>
      </c>
      <c r="G3461" s="7" t="s">
        <v>739</v>
      </c>
      <c r="H3461" s="1" t="s">
        <v>1654</v>
      </c>
      <c r="I3461" s="8">
        <f>C11</f>
        <v>804</v>
      </c>
      <c r="J3461" s="2" t="s">
        <v>739</v>
      </c>
      <c r="K3461" s="8">
        <f>(F3461*I3461)</f>
        <v>884.4</v>
      </c>
      <c r="N3461" s="3"/>
      <c r="O3461" s="1" t="s">
        <v>1869</v>
      </c>
      <c r="Q3461" s="4"/>
    </row>
    <row r="3462" spans="6:18" ht="24" customHeight="1">
      <c r="F3462" s="8">
        <v>2.2000000000000002</v>
      </c>
      <c r="G3462" s="7" t="s">
        <v>739</v>
      </c>
      <c r="H3462" s="1" t="s">
        <v>1836</v>
      </c>
      <c r="I3462" s="8">
        <f>C12</f>
        <v>562</v>
      </c>
      <c r="J3462" s="2" t="s">
        <v>739</v>
      </c>
      <c r="K3462" s="8">
        <f>(F3462*I3462)</f>
        <v>1236.4000000000001</v>
      </c>
      <c r="N3462" s="3"/>
      <c r="O3462" s="5" t="s">
        <v>1530</v>
      </c>
      <c r="P3462" s="5" t="s">
        <v>1530</v>
      </c>
      <c r="Q3462" s="4"/>
      <c r="R3462" s="8"/>
    </row>
    <row r="3463" spans="6:18" ht="24" customHeight="1">
      <c r="F3463" s="8">
        <v>2.2000000000000002</v>
      </c>
      <c r="G3463" s="7" t="s">
        <v>739</v>
      </c>
      <c r="H3463" s="1" t="s">
        <v>299</v>
      </c>
      <c r="I3463" s="8">
        <f>C13</f>
        <v>461</v>
      </c>
      <c r="J3463" s="2" t="s">
        <v>739</v>
      </c>
      <c r="K3463" s="8">
        <f>(F3463*I3463)</f>
        <v>1014.2</v>
      </c>
      <c r="M3463" s="8">
        <v>10</v>
      </c>
      <c r="N3463" s="7" t="s">
        <v>578</v>
      </c>
      <c r="O3463" s="34" t="s">
        <v>3382</v>
      </c>
      <c r="P3463" s="524">
        <f>I3457</f>
        <v>416</v>
      </c>
      <c r="Q3463" s="2" t="s">
        <v>578</v>
      </c>
      <c r="R3463" s="8">
        <f>P3463*M3463</f>
        <v>4160</v>
      </c>
    </row>
    <row r="3464" spans="6:18" ht="24" customHeight="1">
      <c r="F3464" s="13">
        <v>20</v>
      </c>
      <c r="G3464" s="7" t="s">
        <v>1591</v>
      </c>
      <c r="H3464" s="1" t="s">
        <v>829</v>
      </c>
      <c r="I3464" s="8">
        <f>AC31</f>
        <v>5960</v>
      </c>
      <c r="J3464" s="2" t="s">
        <v>828</v>
      </c>
      <c r="K3464" s="8">
        <f>(F3464*I3464)/1000</f>
        <v>119.2</v>
      </c>
      <c r="M3464" s="8">
        <v>0.21</v>
      </c>
      <c r="N3464" s="7" t="s">
        <v>836</v>
      </c>
      <c r="O3464" s="1" t="s">
        <v>1810</v>
      </c>
      <c r="P3464" s="406">
        <f t="shared" ref="P3464:P3474" si="324">I3458</f>
        <v>4361.62</v>
      </c>
      <c r="Q3464" s="2" t="s">
        <v>836</v>
      </c>
      <c r="R3464" s="8">
        <f t="shared" ref="R3464:R3474" si="325">P3464*M3464</f>
        <v>915.94</v>
      </c>
    </row>
    <row r="3465" spans="6:18" ht="24" customHeight="1">
      <c r="F3465" s="13">
        <v>2</v>
      </c>
      <c r="G3465" s="7" t="s">
        <v>1591</v>
      </c>
      <c r="H3465" s="1" t="s">
        <v>2001</v>
      </c>
      <c r="I3465" s="8">
        <f>I1259</f>
        <v>36.1</v>
      </c>
      <c r="J3465" s="2" t="s">
        <v>1591</v>
      </c>
      <c r="K3465" s="8">
        <f>(F3465*I3465)</f>
        <v>72.2</v>
      </c>
      <c r="N3465" s="3"/>
      <c r="O3465" s="1" t="s">
        <v>1811</v>
      </c>
      <c r="P3465" s="406">
        <f t="shared" si="324"/>
        <v>0</v>
      </c>
      <c r="Q3465" s="4"/>
      <c r="R3465" s="8">
        <f t="shared" si="325"/>
        <v>0</v>
      </c>
    </row>
    <row r="3466" spans="6:18" ht="24" customHeight="1">
      <c r="F3466" s="8">
        <v>1.6</v>
      </c>
      <c r="G3466" s="7" t="s">
        <v>739</v>
      </c>
      <c r="H3466" s="1" t="s">
        <v>1654</v>
      </c>
      <c r="I3466" s="8">
        <f>I3461</f>
        <v>804</v>
      </c>
      <c r="J3466" s="2" t="s">
        <v>739</v>
      </c>
      <c r="K3466" s="8">
        <f>(F3466*I3466)</f>
        <v>1286.4000000000001</v>
      </c>
      <c r="M3466" s="8">
        <v>1.1000000000000001</v>
      </c>
      <c r="N3466" s="7" t="s">
        <v>739</v>
      </c>
      <c r="O3466" s="1" t="s">
        <v>1938</v>
      </c>
      <c r="P3466" s="406">
        <f t="shared" si="324"/>
        <v>861</v>
      </c>
      <c r="Q3466" s="2" t="s">
        <v>739</v>
      </c>
      <c r="R3466" s="8">
        <f t="shared" si="325"/>
        <v>947.1</v>
      </c>
    </row>
    <row r="3467" spans="6:18" ht="24" customHeight="1">
      <c r="F3467" s="8">
        <v>0.5</v>
      </c>
      <c r="G3467" s="7" t="s">
        <v>739</v>
      </c>
      <c r="H3467" s="1" t="s">
        <v>1836</v>
      </c>
      <c r="I3467" s="8">
        <f>I3462</f>
        <v>562</v>
      </c>
      <c r="J3467" s="2" t="s">
        <v>739</v>
      </c>
      <c r="K3467" s="8">
        <f>(F3467*I3467)</f>
        <v>281</v>
      </c>
      <c r="M3467" s="8">
        <v>1.1000000000000001</v>
      </c>
      <c r="N3467" s="7" t="s">
        <v>739</v>
      </c>
      <c r="O3467" s="1" t="s">
        <v>1654</v>
      </c>
      <c r="P3467" s="406">
        <f t="shared" si="324"/>
        <v>804</v>
      </c>
      <c r="Q3467" s="2" t="s">
        <v>739</v>
      </c>
      <c r="R3467" s="8">
        <f t="shared" si="325"/>
        <v>884.4</v>
      </c>
    </row>
    <row r="3468" spans="6:18" ht="24" customHeight="1">
      <c r="F3468" s="8">
        <v>1.1000000000000001</v>
      </c>
      <c r="G3468" s="7" t="s">
        <v>739</v>
      </c>
      <c r="H3468" s="1" t="s">
        <v>299</v>
      </c>
      <c r="I3468" s="8">
        <f>I3463</f>
        <v>461</v>
      </c>
      <c r="J3468" s="2" t="s">
        <v>739</v>
      </c>
      <c r="K3468" s="8">
        <f>(F3468*I3468)</f>
        <v>507.1</v>
      </c>
      <c r="M3468" s="8">
        <v>2.2000000000000002</v>
      </c>
      <c r="N3468" s="7" t="s">
        <v>739</v>
      </c>
      <c r="O3468" s="1" t="s">
        <v>1836</v>
      </c>
      <c r="P3468" s="406">
        <f t="shared" si="324"/>
        <v>562</v>
      </c>
      <c r="Q3468" s="2" t="s">
        <v>739</v>
      </c>
      <c r="R3468" s="8">
        <f t="shared" si="325"/>
        <v>1236.4000000000001</v>
      </c>
    </row>
    <row r="3469" spans="6:18" ht="24" customHeight="1">
      <c r="G3469" s="7" t="s">
        <v>419</v>
      </c>
      <c r="H3469" s="1" t="s">
        <v>420</v>
      </c>
      <c r="I3469" s="8">
        <f>I1265</f>
        <v>0</v>
      </c>
      <c r="J3469" s="2" t="s">
        <v>419</v>
      </c>
      <c r="K3469" s="8">
        <v>0</v>
      </c>
      <c r="M3469" s="8">
        <v>2.2000000000000002</v>
      </c>
      <c r="N3469" s="7" t="s">
        <v>739</v>
      </c>
      <c r="O3469" s="1" t="s">
        <v>299</v>
      </c>
      <c r="P3469" s="406">
        <f t="shared" si="324"/>
        <v>461</v>
      </c>
      <c r="Q3469" s="2" t="s">
        <v>739</v>
      </c>
      <c r="R3469" s="8">
        <f t="shared" si="325"/>
        <v>1014.2</v>
      </c>
    </row>
    <row r="3470" spans="6:18" ht="24" customHeight="1">
      <c r="J3470" s="4"/>
      <c r="K3470" s="5" t="s">
        <v>1530</v>
      </c>
      <c r="M3470" s="13">
        <v>20</v>
      </c>
      <c r="N3470" s="7" t="s">
        <v>1591</v>
      </c>
      <c r="O3470" s="1" t="s">
        <v>829</v>
      </c>
      <c r="P3470" s="406">
        <f t="shared" si="324"/>
        <v>5960</v>
      </c>
      <c r="Q3470" s="2" t="s">
        <v>828</v>
      </c>
      <c r="R3470" s="8">
        <f>P3470*M3470/1000</f>
        <v>119.2</v>
      </c>
    </row>
    <row r="3471" spans="6:18" ht="24" customHeight="1">
      <c r="H3471" s="1" t="s">
        <v>411</v>
      </c>
      <c r="J3471" s="4"/>
      <c r="K3471" s="8">
        <f>SUM(K3457:K3469)</f>
        <v>11423.94</v>
      </c>
      <c r="M3471" s="13">
        <v>2</v>
      </c>
      <c r="N3471" s="7" t="s">
        <v>1591</v>
      </c>
      <c r="O3471" s="1" t="s">
        <v>2845</v>
      </c>
      <c r="P3471" s="406">
        <f>I3647</f>
        <v>24.7</v>
      </c>
      <c r="Q3471" s="2" t="s">
        <v>1591</v>
      </c>
      <c r="R3471" s="8">
        <f t="shared" si="325"/>
        <v>49.4</v>
      </c>
    </row>
    <row r="3472" spans="6:18" ht="24" customHeight="1">
      <c r="J3472" s="4"/>
      <c r="K3472" s="5" t="s">
        <v>1530</v>
      </c>
      <c r="M3472" s="8">
        <v>1.6</v>
      </c>
      <c r="N3472" s="7" t="s">
        <v>739</v>
      </c>
      <c r="O3472" s="1" t="s">
        <v>1654</v>
      </c>
      <c r="P3472" s="406">
        <f t="shared" si="324"/>
        <v>804</v>
      </c>
      <c r="Q3472" s="2" t="s">
        <v>739</v>
      </c>
      <c r="R3472" s="8">
        <f t="shared" si="325"/>
        <v>1286.4000000000001</v>
      </c>
    </row>
    <row r="3473" spans="6:19" ht="24" customHeight="1">
      <c r="H3473" s="1" t="s">
        <v>521</v>
      </c>
      <c r="J3473" s="4"/>
      <c r="K3473" s="39">
        <f>(K3471/10)</f>
        <v>1142.3900000000001</v>
      </c>
      <c r="M3473" s="8">
        <v>0.5</v>
      </c>
      <c r="N3473" s="7" t="s">
        <v>739</v>
      </c>
      <c r="O3473" s="1" t="s">
        <v>1836</v>
      </c>
      <c r="P3473" s="406">
        <f t="shared" si="324"/>
        <v>562</v>
      </c>
      <c r="Q3473" s="2" t="s">
        <v>739</v>
      </c>
      <c r="R3473" s="8">
        <f t="shared" si="325"/>
        <v>281</v>
      </c>
    </row>
    <row r="3474" spans="6:19" ht="24" customHeight="1">
      <c r="J3474" s="4"/>
      <c r="K3474" s="5" t="s">
        <v>1980</v>
      </c>
      <c r="M3474" s="8">
        <v>1.1000000000000001</v>
      </c>
      <c r="N3474" s="7" t="s">
        <v>739</v>
      </c>
      <c r="O3474" s="1" t="s">
        <v>299</v>
      </c>
      <c r="P3474" s="406">
        <f t="shared" si="324"/>
        <v>461</v>
      </c>
      <c r="Q3474" s="2" t="s">
        <v>739</v>
      </c>
      <c r="R3474" s="8">
        <f t="shared" si="325"/>
        <v>507.1</v>
      </c>
    </row>
    <row r="3475" spans="6:19" ht="24" customHeight="1">
      <c r="N3475" s="7" t="s">
        <v>419</v>
      </c>
      <c r="O3475" s="1" t="s">
        <v>420</v>
      </c>
      <c r="P3475" s="8">
        <v>0</v>
      </c>
      <c r="Q3475" s="2" t="s">
        <v>419</v>
      </c>
      <c r="R3475" s="8">
        <v>0</v>
      </c>
    </row>
    <row r="3476" spans="6:19" ht="24" customHeight="1">
      <c r="N3476" s="3"/>
      <c r="Q3476" s="4"/>
      <c r="R3476" s="5" t="s">
        <v>1530</v>
      </c>
    </row>
    <row r="3477" spans="6:19" ht="24" customHeight="1">
      <c r="N3477" s="3"/>
      <c r="O3477" s="1" t="s">
        <v>411</v>
      </c>
      <c r="Q3477" s="4"/>
      <c r="R3477" s="8">
        <f>SUM(R3463:R3476)</f>
        <v>11401.14</v>
      </c>
    </row>
    <row r="3478" spans="6:19" ht="24" customHeight="1">
      <c r="N3478" s="3"/>
      <c r="Q3478" s="4"/>
      <c r="R3478" s="5" t="s">
        <v>1530</v>
      </c>
    </row>
    <row r="3479" spans="6:19" ht="57.75" customHeight="1">
      <c r="G3479" s="401">
        <v>90</v>
      </c>
      <c r="H3479" s="155" t="s">
        <v>2374</v>
      </c>
      <c r="N3479" s="3"/>
      <c r="O3479" s="1" t="s">
        <v>521</v>
      </c>
      <c r="Q3479" s="4"/>
      <c r="R3479" s="39">
        <f>R3477/10</f>
        <v>1140.1099999999999</v>
      </c>
    </row>
    <row r="3480" spans="6:19" ht="24" customHeight="1">
      <c r="F3480" s="384">
        <v>3.8100000000000002E-2</v>
      </c>
      <c r="G3480" s="54" t="s">
        <v>836</v>
      </c>
      <c r="H3480" s="55" t="s">
        <v>2375</v>
      </c>
      <c r="I3480">
        <f>I3390</f>
        <v>111600</v>
      </c>
      <c r="J3480">
        <f>J2282</f>
        <v>0</v>
      </c>
      <c r="K3480">
        <f>F3480*I3480</f>
        <v>4251.96</v>
      </c>
      <c r="N3480" s="3"/>
      <c r="Q3480" s="4"/>
      <c r="R3480" s="5" t="s">
        <v>1980</v>
      </c>
    </row>
    <row r="3481" spans="6:19" ht="24" customHeight="1">
      <c r="F3481" s="51">
        <v>2.4E-2</v>
      </c>
      <c r="G3481" s="54" t="s">
        <v>836</v>
      </c>
      <c r="H3481" s="55" t="s">
        <v>2376</v>
      </c>
      <c r="I3481">
        <f>I3391</f>
        <v>99400</v>
      </c>
      <c r="J3481">
        <f>J2283</f>
        <v>0</v>
      </c>
      <c r="K3481">
        <f t="shared" ref="K3481:K3494" si="326">F3481*I3481</f>
        <v>2385.6</v>
      </c>
    </row>
    <row r="3482" spans="6:19" ht="24" customHeight="1">
      <c r="F3482">
        <v>0.01</v>
      </c>
      <c r="G3482" s="54" t="s">
        <v>836</v>
      </c>
      <c r="H3482" s="1" t="s">
        <v>289</v>
      </c>
      <c r="I3482">
        <f>I2818</f>
        <v>95000</v>
      </c>
      <c r="J3482">
        <f>J2284</f>
        <v>0</v>
      </c>
      <c r="K3482">
        <f t="shared" si="326"/>
        <v>950</v>
      </c>
    </row>
    <row r="3483" spans="6:19" ht="24" customHeight="1">
      <c r="H3483" s="1" t="s">
        <v>416</v>
      </c>
    </row>
    <row r="3484" spans="6:19" ht="24" customHeight="1">
      <c r="F3484">
        <v>1.05</v>
      </c>
      <c r="G3484" s="7" t="s">
        <v>578</v>
      </c>
      <c r="H3484" s="489" t="s">
        <v>2383</v>
      </c>
      <c r="I3484" s="435">
        <v>359</v>
      </c>
      <c r="J3484" s="11" t="s">
        <v>578</v>
      </c>
      <c r="K3484">
        <f t="shared" si="326"/>
        <v>376.95</v>
      </c>
    </row>
    <row r="3485" spans="6:19" ht="24" customHeight="1">
      <c r="F3485">
        <v>12</v>
      </c>
      <c r="G3485" s="7" t="s">
        <v>337</v>
      </c>
      <c r="H3485" t="s">
        <v>2377</v>
      </c>
      <c r="I3485">
        <f>I2540</f>
        <v>62.6</v>
      </c>
      <c r="J3485" s="11" t="s">
        <v>337</v>
      </c>
      <c r="K3485">
        <f t="shared" si="326"/>
        <v>751.2</v>
      </c>
      <c r="S3485" s="419" t="s">
        <v>3446</v>
      </c>
    </row>
    <row r="3486" spans="6:19" ht="24" customHeight="1">
      <c r="F3486">
        <v>2.85</v>
      </c>
      <c r="G3486" s="7" t="s">
        <v>578</v>
      </c>
      <c r="H3486" t="s">
        <v>2378</v>
      </c>
      <c r="I3486">
        <f>D31</f>
        <v>1239</v>
      </c>
      <c r="J3486" s="11" t="s">
        <v>578</v>
      </c>
      <c r="K3486">
        <f t="shared" si="326"/>
        <v>3531.15</v>
      </c>
    </row>
    <row r="3487" spans="6:19" ht="24" customHeight="1">
      <c r="F3487">
        <v>6</v>
      </c>
      <c r="G3487" s="7" t="s">
        <v>1337</v>
      </c>
      <c r="H3487" s="1" t="s">
        <v>1407</v>
      </c>
      <c r="I3487">
        <f>I2822</f>
        <v>212</v>
      </c>
      <c r="J3487" s="11" t="s">
        <v>739</v>
      </c>
      <c r="K3487">
        <f t="shared" si="326"/>
        <v>1272</v>
      </c>
    </row>
    <row r="3488" spans="6:19" ht="24" customHeight="1">
      <c r="F3488">
        <v>1</v>
      </c>
      <c r="G3488" s="7" t="s">
        <v>1337</v>
      </c>
      <c r="H3488" t="s">
        <v>2379</v>
      </c>
      <c r="I3488">
        <f>I2824</f>
        <v>707</v>
      </c>
      <c r="J3488" s="11" t="s">
        <v>739</v>
      </c>
      <c r="K3488">
        <f t="shared" si="326"/>
        <v>707</v>
      </c>
    </row>
    <row r="3489" spans="6:11" ht="24" customHeight="1">
      <c r="F3489">
        <v>3</v>
      </c>
      <c r="G3489" s="7" t="s">
        <v>1337</v>
      </c>
      <c r="H3489" s="1" t="s">
        <v>1408</v>
      </c>
      <c r="I3489">
        <f>I2823</f>
        <v>404</v>
      </c>
      <c r="J3489" s="11" t="s">
        <v>739</v>
      </c>
      <c r="K3489">
        <f t="shared" si="326"/>
        <v>1212</v>
      </c>
    </row>
    <row r="3490" spans="6:11" ht="24" customHeight="1">
      <c r="F3490">
        <v>2</v>
      </c>
      <c r="G3490" s="7" t="s">
        <v>1337</v>
      </c>
      <c r="H3490" s="1" t="s">
        <v>2384</v>
      </c>
      <c r="I3490">
        <f>I2823</f>
        <v>404</v>
      </c>
      <c r="J3490" s="11" t="s">
        <v>739</v>
      </c>
      <c r="K3490">
        <f t="shared" si="326"/>
        <v>808</v>
      </c>
    </row>
    <row r="3491" spans="6:11" ht="24" customHeight="1">
      <c r="F3491">
        <v>2</v>
      </c>
      <c r="G3491" s="7" t="s">
        <v>1337</v>
      </c>
      <c r="H3491" s="1" t="s">
        <v>1913</v>
      </c>
      <c r="I3491">
        <f>I2826</f>
        <v>45.9</v>
      </c>
      <c r="J3491" s="11" t="s">
        <v>739</v>
      </c>
      <c r="K3491">
        <f t="shared" si="326"/>
        <v>91.8</v>
      </c>
    </row>
    <row r="3492" spans="6:11" ht="24" customHeight="1">
      <c r="F3492">
        <v>2</v>
      </c>
      <c r="G3492" s="7" t="s">
        <v>1337</v>
      </c>
      <c r="H3492" s="1" t="s">
        <v>1410</v>
      </c>
      <c r="I3492">
        <f>I2825</f>
        <v>22.9</v>
      </c>
      <c r="J3492" s="11" t="s">
        <v>739</v>
      </c>
      <c r="K3492">
        <f t="shared" si="326"/>
        <v>45.8</v>
      </c>
    </row>
    <row r="3493" spans="6:11" ht="24" customHeight="1">
      <c r="F3493">
        <v>1.05</v>
      </c>
      <c r="G3493" s="7" t="s">
        <v>578</v>
      </c>
      <c r="H3493" s="1" t="s">
        <v>2380</v>
      </c>
      <c r="I3493">
        <f>K1556</f>
        <v>125.87</v>
      </c>
      <c r="J3493" s="11" t="s">
        <v>578</v>
      </c>
      <c r="K3493">
        <f t="shared" si="326"/>
        <v>132.16</v>
      </c>
    </row>
    <row r="3494" spans="6:11" ht="24" customHeight="1">
      <c r="F3494" s="402">
        <v>3.15</v>
      </c>
      <c r="G3494" s="7" t="s">
        <v>578</v>
      </c>
      <c r="H3494" s="1" t="s">
        <v>2381</v>
      </c>
      <c r="I3494">
        <f>K1170</f>
        <v>172.13</v>
      </c>
      <c r="J3494" s="11" t="s">
        <v>578</v>
      </c>
      <c r="K3494">
        <f t="shared" si="326"/>
        <v>542.21</v>
      </c>
    </row>
    <row r="3495" spans="6:11" ht="24" customHeight="1">
      <c r="G3495" s="7"/>
      <c r="H3495" s="1" t="s">
        <v>3492</v>
      </c>
      <c r="I3495" s="1532" t="s">
        <v>419</v>
      </c>
      <c r="J3495" s="1532"/>
      <c r="K3495">
        <f>R3202</f>
        <v>282.02</v>
      </c>
    </row>
    <row r="3496" spans="6:11" ht="24" customHeight="1">
      <c r="K3496" s="331" t="s">
        <v>1980</v>
      </c>
    </row>
    <row r="3497" spans="6:11" ht="24" customHeight="1">
      <c r="H3497" s="34" t="s">
        <v>2382</v>
      </c>
      <c r="I3497" s="37"/>
      <c r="J3497" s="99"/>
      <c r="K3497" s="37">
        <f>SUM(K3480:K3496)</f>
        <v>17339.849999999999</v>
      </c>
    </row>
    <row r="3498" spans="6:11" ht="24" customHeight="1">
      <c r="K3498" s="331" t="s">
        <v>1980</v>
      </c>
    </row>
    <row r="3500" spans="6:11" ht="24" customHeight="1">
      <c r="J3500" s="4"/>
    </row>
    <row r="3501" spans="6:11" ht="24" customHeight="1">
      <c r="G3501" s="11" t="s">
        <v>3447</v>
      </c>
      <c r="J3501" s="4"/>
    </row>
    <row r="3502" spans="6:11" ht="24" customHeight="1">
      <c r="J3502" s="4"/>
    </row>
    <row r="3503" spans="6:11" ht="24" customHeight="1">
      <c r="F3503" s="384">
        <v>1.8</v>
      </c>
      <c r="G3503" s="3" t="s">
        <v>836</v>
      </c>
      <c r="H3503" t="s">
        <v>3449</v>
      </c>
      <c r="I3503">
        <f>((493+569)/2)+Z15</f>
        <v>680.38</v>
      </c>
      <c r="J3503" s="4" t="s">
        <v>836</v>
      </c>
      <c r="K3503" s="33">
        <f>I3503*F3503</f>
        <v>1224.68</v>
      </c>
    </row>
    <row r="3504" spans="6:11" ht="24" customHeight="1">
      <c r="J3504" s="4"/>
      <c r="K3504" s="33"/>
    </row>
    <row r="3505" spans="6:18" ht="24" customHeight="1">
      <c r="F3505" s="384">
        <v>1.2</v>
      </c>
      <c r="G3505" s="3" t="s">
        <v>836</v>
      </c>
      <c r="H3505" t="s">
        <v>3450</v>
      </c>
      <c r="I3505">
        <f>((1029+884+1432+1329+977)/5)+Z15</f>
        <v>1279.58</v>
      </c>
      <c r="J3505" s="4" t="s">
        <v>836</v>
      </c>
      <c r="K3505" s="33">
        <f t="shared" ref="K3505:K3513" si="327">I3505*F3505</f>
        <v>1535.5</v>
      </c>
    </row>
    <row r="3506" spans="6:18" ht="24" customHeight="1">
      <c r="J3506" s="4"/>
      <c r="K3506" s="33"/>
    </row>
    <row r="3507" spans="6:18" ht="24" customHeight="1">
      <c r="F3507" s="384">
        <v>0.6</v>
      </c>
      <c r="G3507" s="3" t="s">
        <v>836</v>
      </c>
      <c r="H3507" t="s">
        <v>3451</v>
      </c>
      <c r="I3507">
        <f>AC16</f>
        <v>1400.82</v>
      </c>
      <c r="J3507" s="4" t="s">
        <v>836</v>
      </c>
      <c r="K3507" s="33">
        <f t="shared" si="327"/>
        <v>840.49</v>
      </c>
      <c r="O3507" s="37" t="s">
        <v>3437</v>
      </c>
    </row>
    <row r="3508" spans="6:18" ht="24" customHeight="1">
      <c r="J3508" s="4"/>
      <c r="K3508" s="33"/>
    </row>
    <row r="3509" spans="6:18" ht="24" customHeight="1">
      <c r="F3509" s="384">
        <v>3</v>
      </c>
      <c r="G3509" s="3" t="s">
        <v>836</v>
      </c>
      <c r="H3509" t="s">
        <v>3441</v>
      </c>
      <c r="I3509">
        <f>R3522</f>
        <v>1789.47</v>
      </c>
      <c r="J3509" s="4" t="s">
        <v>836</v>
      </c>
      <c r="K3509" s="33">
        <f t="shared" si="327"/>
        <v>5368.41</v>
      </c>
    </row>
    <row r="3510" spans="6:18" ht="24" customHeight="1">
      <c r="F3510" s="384"/>
      <c r="J3510" s="4"/>
      <c r="K3510" s="33"/>
      <c r="M3510">
        <f>(1.08/8)</f>
        <v>0.14000000000000001</v>
      </c>
      <c r="N3510" t="s">
        <v>836</v>
      </c>
      <c r="O3510" t="s">
        <v>1836</v>
      </c>
      <c r="P3510">
        <f>P3518</f>
        <v>562</v>
      </c>
      <c r="Q3510" t="s">
        <v>836</v>
      </c>
      <c r="R3510">
        <f>P3510*M3510</f>
        <v>78.680000000000007</v>
      </c>
    </row>
    <row r="3511" spans="6:18" ht="24" customHeight="1">
      <c r="F3511" s="384">
        <v>3</v>
      </c>
      <c r="G3511" s="3" t="s">
        <v>836</v>
      </c>
      <c r="H3511" t="s">
        <v>3448</v>
      </c>
      <c r="I3511">
        <f>R3524*1.1</f>
        <v>32.229999999999997</v>
      </c>
      <c r="J3511" s="4" t="s">
        <v>836</v>
      </c>
      <c r="K3511" s="33">
        <f t="shared" si="327"/>
        <v>96.69</v>
      </c>
      <c r="L3511" s="880"/>
    </row>
    <row r="3512" spans="6:18" ht="24" customHeight="1">
      <c r="F3512" s="384"/>
      <c r="J3512" s="4"/>
      <c r="K3512" s="33"/>
      <c r="O3512" s="33" t="s">
        <v>3438</v>
      </c>
      <c r="R3512">
        <f>R3510</f>
        <v>78.680000000000007</v>
      </c>
    </row>
    <row r="3513" spans="6:18" ht="24" customHeight="1">
      <c r="F3513" s="384">
        <v>3</v>
      </c>
      <c r="G3513" s="3" t="s">
        <v>836</v>
      </c>
      <c r="H3513" t="s">
        <v>3443</v>
      </c>
      <c r="I3513">
        <f>AE26</f>
        <v>60.2</v>
      </c>
      <c r="J3513" s="4" t="s">
        <v>836</v>
      </c>
      <c r="K3513" s="33">
        <f t="shared" si="327"/>
        <v>180.6</v>
      </c>
      <c r="O3513" s="33" t="s">
        <v>3439</v>
      </c>
      <c r="R3513">
        <f>R3512/0.75</f>
        <v>104.91</v>
      </c>
    </row>
    <row r="3514" spans="6:18" ht="24" customHeight="1">
      <c r="J3514" s="4"/>
      <c r="K3514" s="33"/>
    </row>
    <row r="3515" spans="6:18" ht="24" customHeight="1">
      <c r="H3515" t="s">
        <v>3445</v>
      </c>
      <c r="J3515" s="4" t="s">
        <v>419</v>
      </c>
      <c r="K3515" s="33">
        <v>1.84</v>
      </c>
      <c r="O3515" s="37" t="s">
        <v>3440</v>
      </c>
    </row>
    <row r="3516" spans="6:18" ht="24" customHeight="1">
      <c r="J3516" s="4"/>
      <c r="K3516" s="33"/>
    </row>
    <row r="3517" spans="6:18" ht="24" customHeight="1">
      <c r="H3517" s="33" t="s">
        <v>3452</v>
      </c>
      <c r="J3517" s="4"/>
      <c r="K3517" s="92">
        <f>SUM(K3503:K3516)</f>
        <v>9248.2099999999991</v>
      </c>
      <c r="M3517">
        <v>1.8</v>
      </c>
      <c r="N3517" t="s">
        <v>1375</v>
      </c>
      <c r="O3517" t="s">
        <v>3442</v>
      </c>
      <c r="P3517">
        <f>AE10</f>
        <v>804</v>
      </c>
      <c r="Q3517" t="s">
        <v>1341</v>
      </c>
      <c r="R3517">
        <f>P3517*M3517</f>
        <v>1447.2</v>
      </c>
    </row>
    <row r="3518" spans="6:18" ht="24" customHeight="1">
      <c r="H3518" s="33" t="s">
        <v>3453</v>
      </c>
      <c r="J3518" s="4"/>
      <c r="K3518" s="37">
        <f>K3517/F3509</f>
        <v>3082.74</v>
      </c>
      <c r="M3518">
        <v>17.7</v>
      </c>
      <c r="N3518" t="s">
        <v>1375</v>
      </c>
      <c r="O3518" t="s">
        <v>2712</v>
      </c>
      <c r="P3518">
        <f>AE11</f>
        <v>562</v>
      </c>
      <c r="Q3518" t="s">
        <v>1341</v>
      </c>
      <c r="R3518">
        <f>P3518*M3518</f>
        <v>9947.4</v>
      </c>
    </row>
    <row r="3519" spans="6:18" ht="24" customHeight="1">
      <c r="J3519" s="4"/>
      <c r="K3519" s="331" t="s">
        <v>1980</v>
      </c>
      <c r="M3519">
        <v>14.1</v>
      </c>
      <c r="N3519" t="s">
        <v>1375</v>
      </c>
      <c r="O3519" t="s">
        <v>2713</v>
      </c>
      <c r="P3519">
        <f>AE12</f>
        <v>461</v>
      </c>
      <c r="Q3519" t="s">
        <v>1341</v>
      </c>
      <c r="R3519">
        <f>P3519*M3519</f>
        <v>6500.1</v>
      </c>
    </row>
    <row r="3521" spans="6:18" ht="24" customHeight="1">
      <c r="O3521" s="33" t="s">
        <v>3444</v>
      </c>
      <c r="R3521">
        <f>SUM(R3517:R3520)</f>
        <v>17894.7</v>
      </c>
    </row>
    <row r="3522" spans="6:18" ht="24" customHeight="1">
      <c r="O3522" s="33" t="s">
        <v>3439</v>
      </c>
      <c r="R3522">
        <f>R3521/10</f>
        <v>1789.47</v>
      </c>
    </row>
    <row r="3523" spans="6:18" ht="24" customHeight="1">
      <c r="F3523" s="452"/>
      <c r="G3523" s="453"/>
      <c r="H3523" s="452" t="s">
        <v>3560</v>
      </c>
      <c r="I3523" s="452"/>
      <c r="J3523" s="454"/>
      <c r="O3523" s="33"/>
    </row>
    <row r="3524" spans="6:18" ht="24" customHeight="1">
      <c r="H3524" s="456" t="s">
        <v>3561</v>
      </c>
      <c r="I3524" s="452">
        <f>1.1*2.325</f>
        <v>2.56</v>
      </c>
      <c r="O3524" s="37" t="s">
        <v>3778</v>
      </c>
      <c r="R3524" s="37">
        <v>29.3</v>
      </c>
    </row>
    <row r="3525" spans="6:18" ht="24" customHeight="1">
      <c r="F3525" s="452">
        <f>I3524</f>
        <v>2.56</v>
      </c>
      <c r="G3525" s="453" t="s">
        <v>578</v>
      </c>
      <c r="H3525" s="452" t="s">
        <v>4866</v>
      </c>
      <c r="I3525" s="535">
        <v>2233</v>
      </c>
      <c r="J3525" s="453" t="s">
        <v>578</v>
      </c>
      <c r="K3525" s="452">
        <f>I3525*F3525</f>
        <v>5716.48</v>
      </c>
    </row>
    <row r="3526" spans="6:18" ht="24" customHeight="1">
      <c r="F3526" s="452">
        <f>F3525</f>
        <v>2.56</v>
      </c>
      <c r="G3526" s="453" t="s">
        <v>578</v>
      </c>
      <c r="H3526" s="452" t="s">
        <v>4515</v>
      </c>
      <c r="I3526" s="535">
        <f>AE56</f>
        <v>285</v>
      </c>
      <c r="J3526" s="453" t="s">
        <v>578</v>
      </c>
      <c r="K3526" s="452">
        <f t="shared" ref="K3526:K3533" si="328">I3526*F3526</f>
        <v>729.6</v>
      </c>
    </row>
    <row r="3527" spans="6:18" ht="24" customHeight="1">
      <c r="F3527" s="452">
        <v>4</v>
      </c>
      <c r="G3527" s="453" t="s">
        <v>739</v>
      </c>
      <c r="H3527" s="452" t="s">
        <v>3769</v>
      </c>
      <c r="I3527" s="452">
        <f>P3231</f>
        <v>53.4</v>
      </c>
      <c r="J3527" s="453" t="s">
        <v>739</v>
      </c>
      <c r="K3527" s="452">
        <f t="shared" si="328"/>
        <v>213.6</v>
      </c>
      <c r="M3527" s="452"/>
      <c r="N3527" s="453"/>
      <c r="O3527" s="532" t="s">
        <v>3671</v>
      </c>
      <c r="P3527" s="452"/>
      <c r="Q3527" s="454"/>
    </row>
    <row r="3528" spans="6:18" ht="24" customHeight="1">
      <c r="F3528" s="452">
        <v>8</v>
      </c>
      <c r="G3528" s="453" t="s">
        <v>739</v>
      </c>
      <c r="H3528" s="452" t="s">
        <v>3770</v>
      </c>
      <c r="I3528" s="452">
        <f>P3232</f>
        <v>83</v>
      </c>
      <c r="J3528" s="453" t="s">
        <v>739</v>
      </c>
      <c r="K3528" s="452">
        <f t="shared" si="328"/>
        <v>664</v>
      </c>
      <c r="N3528" s="3"/>
      <c r="O3528" s="531" t="s">
        <v>3672</v>
      </c>
      <c r="P3528" s="531">
        <f>1.4*2.325</f>
        <v>3.26</v>
      </c>
      <c r="Q3528" s="11"/>
    </row>
    <row r="3529" spans="6:18" ht="24" customHeight="1">
      <c r="F3529" s="452">
        <v>4</v>
      </c>
      <c r="G3529" s="453" t="s">
        <v>739</v>
      </c>
      <c r="H3529" s="452" t="s">
        <v>3771</v>
      </c>
      <c r="I3529" s="452">
        <f>C287</f>
        <v>60</v>
      </c>
      <c r="J3529" s="453" t="s">
        <v>739</v>
      </c>
      <c r="K3529" s="452">
        <f t="shared" si="328"/>
        <v>240</v>
      </c>
      <c r="M3529" s="452">
        <f>P3528</f>
        <v>3.26</v>
      </c>
      <c r="N3529" s="453" t="s">
        <v>578</v>
      </c>
      <c r="O3529" s="452" t="s">
        <v>4238</v>
      </c>
      <c r="P3529" s="452">
        <f>I3525</f>
        <v>2233</v>
      </c>
      <c r="Q3529" s="453" t="s">
        <v>578</v>
      </c>
      <c r="R3529" s="452">
        <f t="shared" ref="R3529:R3537" si="329">P3529*M3529</f>
        <v>7279.58</v>
      </c>
    </row>
    <row r="3530" spans="6:18" ht="24" customHeight="1">
      <c r="F3530" s="452">
        <v>1</v>
      </c>
      <c r="G3530" s="453" t="s">
        <v>739</v>
      </c>
      <c r="H3530" s="452" t="s">
        <v>3772</v>
      </c>
      <c r="I3530" s="452">
        <f>C289</f>
        <v>167.6</v>
      </c>
      <c r="J3530" s="453" t="s">
        <v>739</v>
      </c>
      <c r="K3530" s="452">
        <f t="shared" si="328"/>
        <v>167.6</v>
      </c>
      <c r="M3530" s="452">
        <f>M3529</f>
        <v>3.26</v>
      </c>
      <c r="N3530" s="453" t="s">
        <v>578</v>
      </c>
      <c r="O3530" s="452" t="s">
        <v>3779</v>
      </c>
      <c r="P3530" s="452">
        <f t="shared" ref="P3530:P3537" si="330">I3526</f>
        <v>285</v>
      </c>
      <c r="Q3530" s="453" t="s">
        <v>578</v>
      </c>
      <c r="R3530" s="452">
        <f t="shared" si="329"/>
        <v>929.1</v>
      </c>
    </row>
    <row r="3531" spans="6:18" ht="24" customHeight="1">
      <c r="F3531" s="452">
        <v>118</v>
      </c>
      <c r="G3531" s="453" t="s">
        <v>739</v>
      </c>
      <c r="H3531" s="452" t="s">
        <v>3553</v>
      </c>
      <c r="I3531" s="452">
        <f>P3451</f>
        <v>2.39</v>
      </c>
      <c r="J3531" s="453" t="s">
        <v>739</v>
      </c>
      <c r="K3531" s="452">
        <f t="shared" si="328"/>
        <v>282.02</v>
      </c>
      <c r="M3531" s="452">
        <v>4</v>
      </c>
      <c r="N3531" s="453" t="s">
        <v>739</v>
      </c>
      <c r="O3531" s="452" t="s">
        <v>3550</v>
      </c>
      <c r="P3531" s="452">
        <f t="shared" si="330"/>
        <v>53.4</v>
      </c>
      <c r="Q3531" s="453" t="s">
        <v>739</v>
      </c>
      <c r="R3531" s="452">
        <f t="shared" si="329"/>
        <v>213.6</v>
      </c>
    </row>
    <row r="3532" spans="6:18" ht="24" customHeight="1">
      <c r="F3532" s="452">
        <v>2</v>
      </c>
      <c r="G3532" s="453" t="s">
        <v>739</v>
      </c>
      <c r="H3532" s="452" t="s">
        <v>3773</v>
      </c>
      <c r="I3532" s="452">
        <f>P3200</f>
        <v>22.9</v>
      </c>
      <c r="J3532" s="453" t="s">
        <v>739</v>
      </c>
      <c r="K3532" s="452">
        <f t="shared" si="328"/>
        <v>45.8</v>
      </c>
      <c r="M3532" s="452">
        <v>10</v>
      </c>
      <c r="N3532" s="453" t="s">
        <v>739</v>
      </c>
      <c r="O3532" s="452" t="s">
        <v>3551</v>
      </c>
      <c r="P3532" s="452">
        <f t="shared" si="330"/>
        <v>83</v>
      </c>
      <c r="Q3532" s="453" t="s">
        <v>739</v>
      </c>
      <c r="R3532" s="452">
        <f t="shared" si="329"/>
        <v>830</v>
      </c>
    </row>
    <row r="3533" spans="6:18" ht="24" customHeight="1">
      <c r="F3533" s="452">
        <v>2</v>
      </c>
      <c r="G3533" s="453" t="s">
        <v>739</v>
      </c>
      <c r="H3533" s="452" t="s">
        <v>3555</v>
      </c>
      <c r="I3533" s="452">
        <f>P3406</f>
        <v>45.9</v>
      </c>
      <c r="J3533" s="453" t="s">
        <v>739</v>
      </c>
      <c r="K3533" s="452">
        <f t="shared" si="328"/>
        <v>91.8</v>
      </c>
      <c r="M3533" s="452">
        <v>3</v>
      </c>
      <c r="N3533" s="453" t="s">
        <v>739</v>
      </c>
      <c r="O3533" s="452" t="s">
        <v>3552</v>
      </c>
      <c r="P3533" s="452">
        <f t="shared" si="330"/>
        <v>60</v>
      </c>
      <c r="Q3533" s="453" t="s">
        <v>739</v>
      </c>
      <c r="R3533" s="452">
        <f t="shared" si="329"/>
        <v>180</v>
      </c>
    </row>
    <row r="3534" spans="6:18" ht="24" customHeight="1">
      <c r="F3534" s="455">
        <v>0.41099999999999998</v>
      </c>
      <c r="G3534" s="453" t="s">
        <v>578</v>
      </c>
      <c r="H3534" s="452" t="s">
        <v>3556</v>
      </c>
      <c r="I3534" s="452">
        <f>I1139</f>
        <v>172.13</v>
      </c>
      <c r="J3534" s="453" t="s">
        <v>578</v>
      </c>
      <c r="K3534" s="452"/>
      <c r="M3534" s="452">
        <v>1</v>
      </c>
      <c r="N3534" s="453" t="s">
        <v>739</v>
      </c>
      <c r="O3534" s="452" t="s">
        <v>2379</v>
      </c>
      <c r="P3534" s="452">
        <f t="shared" si="330"/>
        <v>167.6</v>
      </c>
      <c r="Q3534" s="453" t="s">
        <v>739</v>
      </c>
      <c r="R3534" s="452">
        <f t="shared" si="329"/>
        <v>167.6</v>
      </c>
    </row>
    <row r="3535" spans="6:18" ht="24" customHeight="1">
      <c r="F3535" s="452"/>
      <c r="G3535" s="453"/>
      <c r="H3535" s="452" t="s">
        <v>3676</v>
      </c>
      <c r="I3535" s="452"/>
      <c r="J3535" s="454"/>
      <c r="K3535" s="452">
        <f>SUM(K3525:K3534)</f>
        <v>8150.9</v>
      </c>
      <c r="M3535" s="452">
        <v>162</v>
      </c>
      <c r="N3535" s="453" t="s">
        <v>739</v>
      </c>
      <c r="O3535" s="452" t="s">
        <v>3553</v>
      </c>
      <c r="P3535" s="452">
        <f t="shared" si="330"/>
        <v>2.39</v>
      </c>
      <c r="Q3535" s="453" t="s">
        <v>739</v>
      </c>
      <c r="R3535" s="452">
        <f t="shared" si="329"/>
        <v>387.18</v>
      </c>
    </row>
    <row r="3536" spans="6:18" ht="24" customHeight="1">
      <c r="F3536" s="452"/>
      <c r="G3536" s="453"/>
      <c r="H3536" s="452" t="s">
        <v>3174</v>
      </c>
      <c r="I3536" s="452"/>
      <c r="J3536" s="454"/>
      <c r="K3536" s="452">
        <f>K3535/F3526</f>
        <v>3183.95</v>
      </c>
      <c r="M3536" s="452">
        <v>2</v>
      </c>
      <c r="N3536" s="453" t="s">
        <v>739</v>
      </c>
      <c r="O3536" s="452" t="s">
        <v>3554</v>
      </c>
      <c r="P3536" s="452">
        <f t="shared" si="330"/>
        <v>22.9</v>
      </c>
      <c r="Q3536" s="453" t="s">
        <v>739</v>
      </c>
      <c r="R3536" s="452">
        <f t="shared" si="329"/>
        <v>45.8</v>
      </c>
    </row>
    <row r="3537" spans="6:33" ht="24" customHeight="1">
      <c r="H3537" s="452"/>
      <c r="K3537" s="452"/>
      <c r="M3537" s="452">
        <v>2</v>
      </c>
      <c r="N3537" s="453" t="s">
        <v>739</v>
      </c>
      <c r="O3537" s="452" t="s">
        <v>3555</v>
      </c>
      <c r="P3537" s="452">
        <f t="shared" si="330"/>
        <v>45.9</v>
      </c>
      <c r="Q3537" s="453" t="s">
        <v>739</v>
      </c>
      <c r="R3537" s="452">
        <f t="shared" si="329"/>
        <v>91.8</v>
      </c>
    </row>
    <row r="3538" spans="6:33" ht="24" customHeight="1">
      <c r="M3538" s="455">
        <v>0</v>
      </c>
      <c r="N3538" s="453" t="s">
        <v>578</v>
      </c>
      <c r="O3538" s="452" t="s">
        <v>3556</v>
      </c>
      <c r="P3538" s="452">
        <f>I3534</f>
        <v>172.13</v>
      </c>
      <c r="Q3538" s="453" t="s">
        <v>578</v>
      </c>
      <c r="R3538" s="452">
        <f>P3538*M3538</f>
        <v>0</v>
      </c>
    </row>
    <row r="3539" spans="6:33" ht="24" customHeight="1">
      <c r="F3539" s="452"/>
      <c r="G3539" s="453"/>
      <c r="H3539" s="452" t="s">
        <v>3558</v>
      </c>
      <c r="I3539" s="452"/>
      <c r="J3539" s="454"/>
      <c r="M3539" s="452"/>
      <c r="N3539" s="453"/>
      <c r="O3539" s="452" t="s">
        <v>3673</v>
      </c>
      <c r="P3539" s="452"/>
      <c r="Q3539" s="454"/>
      <c r="R3539" s="452">
        <f>SUM(R3529:R3538)</f>
        <v>10124.66</v>
      </c>
      <c r="S3539" s="452"/>
      <c r="T3539" s="453"/>
      <c r="U3539" s="452" t="s">
        <v>3681</v>
      </c>
      <c r="V3539" s="452"/>
      <c r="W3539" s="454"/>
      <c r="AB3539" s="452"/>
      <c r="AC3539" s="453"/>
      <c r="AD3539" s="452" t="s">
        <v>4267</v>
      </c>
      <c r="AE3539" s="452"/>
      <c r="AF3539" s="454"/>
    </row>
    <row r="3540" spans="6:33" ht="24" customHeight="1">
      <c r="H3540" s="452" t="s">
        <v>3688</v>
      </c>
      <c r="I3540">
        <f>0.9*2.025</f>
        <v>1.82</v>
      </c>
      <c r="M3540" s="452"/>
      <c r="N3540" s="453"/>
      <c r="O3540" s="452" t="s">
        <v>3174</v>
      </c>
      <c r="P3540" s="452"/>
      <c r="Q3540" s="454"/>
      <c r="R3540" s="452">
        <f>R3539/M3530</f>
        <v>3105.72</v>
      </c>
      <c r="S3540"/>
      <c r="T3540" s="3"/>
      <c r="U3540" s="452" t="s">
        <v>3689</v>
      </c>
      <c r="V3540">
        <f>0.9*2.325</f>
        <v>2.09</v>
      </c>
      <c r="W3540" s="11"/>
      <c r="AC3540" s="3"/>
      <c r="AD3540" s="452" t="s">
        <v>4561</v>
      </c>
      <c r="AE3540">
        <f>0.8*2.025</f>
        <v>1.62</v>
      </c>
      <c r="AF3540" s="11"/>
    </row>
    <row r="3541" spans="6:33" ht="24" customHeight="1">
      <c r="F3541" s="452">
        <f>I3540</f>
        <v>1.82</v>
      </c>
      <c r="G3541" s="453" t="s">
        <v>578</v>
      </c>
      <c r="H3541" s="452" t="s">
        <v>3548</v>
      </c>
      <c r="I3541" s="535">
        <f>I3525</f>
        <v>2233</v>
      </c>
      <c r="J3541" s="453" t="s">
        <v>578</v>
      </c>
      <c r="K3541" s="452">
        <f>I3541*F3541</f>
        <v>4064.06</v>
      </c>
      <c r="Q3541" s="453"/>
      <c r="R3541" s="532"/>
      <c r="S3541" s="452">
        <f>V3540</f>
        <v>2.09</v>
      </c>
      <c r="T3541" s="453" t="s">
        <v>578</v>
      </c>
      <c r="U3541" s="452" t="s">
        <v>3548</v>
      </c>
      <c r="V3541" s="452">
        <f>I3541</f>
        <v>2233</v>
      </c>
      <c r="W3541" s="453" t="s">
        <v>578</v>
      </c>
      <c r="X3541" s="452">
        <f>V3541*S3541</f>
        <v>4666.97</v>
      </c>
      <c r="AB3541" s="452">
        <f>AE3540</f>
        <v>1.62</v>
      </c>
      <c r="AC3541" s="453" t="s">
        <v>578</v>
      </c>
      <c r="AD3541" s="452" t="s">
        <v>4270</v>
      </c>
      <c r="AE3541" s="535">
        <f>I3525</f>
        <v>2233</v>
      </c>
      <c r="AF3541" s="453" t="s">
        <v>578</v>
      </c>
      <c r="AG3541" s="452">
        <f>AE3541*AB3541</f>
        <v>3617.46</v>
      </c>
    </row>
    <row r="3542" spans="6:33" ht="24" customHeight="1">
      <c r="F3542" s="452">
        <f>I3540</f>
        <v>1.82</v>
      </c>
      <c r="G3542" s="453" t="s">
        <v>578</v>
      </c>
      <c r="H3542" s="452" t="s">
        <v>4516</v>
      </c>
      <c r="I3542" s="535">
        <f>AE55</f>
        <v>185</v>
      </c>
      <c r="J3542" s="453" t="s">
        <v>578</v>
      </c>
      <c r="K3542" s="452">
        <f t="shared" ref="K3542:K3549" si="331">I3542*F3542</f>
        <v>336.7</v>
      </c>
      <c r="S3542" s="452">
        <f>V3540</f>
        <v>2.09</v>
      </c>
      <c r="T3542" s="453" t="s">
        <v>578</v>
      </c>
      <c r="U3542" s="452" t="s">
        <v>3549</v>
      </c>
      <c r="V3542" s="452">
        <f t="shared" ref="V3542:V3550" si="332">I3542</f>
        <v>185</v>
      </c>
      <c r="W3542" s="453" t="s">
        <v>578</v>
      </c>
      <c r="X3542" s="452">
        <f t="shared" ref="X3542:X3549" si="333">V3542*S3542</f>
        <v>386.65</v>
      </c>
      <c r="AB3542" s="452">
        <f>AE3540</f>
        <v>1.62</v>
      </c>
      <c r="AC3542" s="453" t="s">
        <v>578</v>
      </c>
      <c r="AD3542" s="452" t="s">
        <v>3768</v>
      </c>
      <c r="AE3542" s="535">
        <f>I3542</f>
        <v>185</v>
      </c>
      <c r="AF3542" s="453" t="s">
        <v>578</v>
      </c>
      <c r="AG3542" s="452">
        <f t="shared" ref="AG3542:AG3549" si="334">AE3542*AB3542</f>
        <v>299.7</v>
      </c>
    </row>
    <row r="3543" spans="6:33" ht="24" customHeight="1">
      <c r="F3543" s="452">
        <v>2</v>
      </c>
      <c r="G3543" s="453" t="s">
        <v>739</v>
      </c>
      <c r="H3543" s="452" t="s">
        <v>3550</v>
      </c>
      <c r="I3543" s="452">
        <f t="shared" ref="I3543:I3549" si="335">I3527</f>
        <v>53.4</v>
      </c>
      <c r="J3543" s="453" t="s">
        <v>739</v>
      </c>
      <c r="K3543" s="452">
        <f t="shared" si="331"/>
        <v>106.8</v>
      </c>
      <c r="M3543" s="452"/>
      <c r="N3543" s="453"/>
      <c r="O3543" s="452" t="s">
        <v>3674</v>
      </c>
      <c r="P3543" s="452"/>
      <c r="Q3543" s="454"/>
      <c r="S3543" s="452">
        <v>2</v>
      </c>
      <c r="T3543" s="453" t="s">
        <v>739</v>
      </c>
      <c r="U3543" s="452" t="s">
        <v>3550</v>
      </c>
      <c r="V3543" s="452">
        <f t="shared" si="332"/>
        <v>53.4</v>
      </c>
      <c r="W3543" s="453" t="s">
        <v>739</v>
      </c>
      <c r="X3543" s="452">
        <f t="shared" si="333"/>
        <v>106.8</v>
      </c>
      <c r="AB3543" s="452">
        <v>2</v>
      </c>
      <c r="AC3543" s="453" t="s">
        <v>739</v>
      </c>
      <c r="AD3543" s="452" t="s">
        <v>3550</v>
      </c>
      <c r="AE3543" s="535">
        <f t="shared" ref="AE3543:AE3550" si="336">I3543</f>
        <v>53.4</v>
      </c>
      <c r="AF3543" s="453" t="s">
        <v>739</v>
      </c>
      <c r="AG3543" s="452">
        <f t="shared" si="334"/>
        <v>106.8</v>
      </c>
    </row>
    <row r="3544" spans="6:33" ht="24" customHeight="1">
      <c r="F3544" s="452">
        <v>3</v>
      </c>
      <c r="G3544" s="453" t="s">
        <v>739</v>
      </c>
      <c r="H3544" s="452" t="s">
        <v>3551</v>
      </c>
      <c r="I3544" s="452">
        <f t="shared" si="335"/>
        <v>83</v>
      </c>
      <c r="J3544" s="453" t="s">
        <v>739</v>
      </c>
      <c r="K3544" s="452">
        <f t="shared" si="331"/>
        <v>249</v>
      </c>
      <c r="N3544" s="3"/>
      <c r="O3544" s="531" t="s">
        <v>3675</v>
      </c>
      <c r="P3544" s="531">
        <f>1.1*2.325</f>
        <v>2.56</v>
      </c>
      <c r="Q3544" s="11"/>
      <c r="S3544" s="452">
        <v>4</v>
      </c>
      <c r="T3544" s="453" t="s">
        <v>739</v>
      </c>
      <c r="U3544" s="452" t="s">
        <v>3551</v>
      </c>
      <c r="V3544" s="452">
        <f t="shared" si="332"/>
        <v>83</v>
      </c>
      <c r="W3544" s="453" t="s">
        <v>739</v>
      </c>
      <c r="X3544" s="452">
        <f t="shared" si="333"/>
        <v>332</v>
      </c>
      <c r="AB3544" s="452">
        <v>3</v>
      </c>
      <c r="AC3544" s="453" t="s">
        <v>739</v>
      </c>
      <c r="AD3544" s="452" t="s">
        <v>3551</v>
      </c>
      <c r="AE3544" s="535">
        <f t="shared" si="336"/>
        <v>83</v>
      </c>
      <c r="AF3544" s="453" t="s">
        <v>739</v>
      </c>
      <c r="AG3544" s="452">
        <f t="shared" si="334"/>
        <v>249</v>
      </c>
    </row>
    <row r="3545" spans="6:33" ht="24" customHeight="1">
      <c r="F3545" s="452">
        <v>2</v>
      </c>
      <c r="G3545" s="453" t="s">
        <v>739</v>
      </c>
      <c r="H3545" s="452" t="s">
        <v>3552</v>
      </c>
      <c r="I3545" s="452">
        <f t="shared" si="335"/>
        <v>60</v>
      </c>
      <c r="J3545" s="453" t="s">
        <v>739</v>
      </c>
      <c r="K3545" s="452">
        <f t="shared" si="331"/>
        <v>120</v>
      </c>
      <c r="M3545" s="452">
        <f>P3544</f>
        <v>2.56</v>
      </c>
      <c r="N3545" s="453" t="s">
        <v>578</v>
      </c>
      <c r="O3545" s="452" t="s">
        <v>3548</v>
      </c>
      <c r="P3545" s="452">
        <f>I3541</f>
        <v>2233</v>
      </c>
      <c r="Q3545" s="453" t="s">
        <v>578</v>
      </c>
      <c r="R3545" s="452">
        <f>P3545*M3545</f>
        <v>5716.48</v>
      </c>
      <c r="S3545" s="452">
        <v>2</v>
      </c>
      <c r="T3545" s="453" t="s">
        <v>739</v>
      </c>
      <c r="U3545" s="452" t="s">
        <v>3552</v>
      </c>
      <c r="V3545" s="452">
        <f t="shared" si="332"/>
        <v>60</v>
      </c>
      <c r="W3545" s="453" t="s">
        <v>739</v>
      </c>
      <c r="X3545" s="452">
        <f t="shared" si="333"/>
        <v>120</v>
      </c>
      <c r="AB3545" s="452">
        <v>2</v>
      </c>
      <c r="AC3545" s="453" t="s">
        <v>739</v>
      </c>
      <c r="AD3545" s="452" t="s">
        <v>3552</v>
      </c>
      <c r="AE3545" s="535">
        <f t="shared" si="336"/>
        <v>60</v>
      </c>
      <c r="AF3545" s="453" t="s">
        <v>739</v>
      </c>
      <c r="AG3545" s="452">
        <f t="shared" si="334"/>
        <v>120</v>
      </c>
    </row>
    <row r="3546" spans="6:33" ht="24" customHeight="1">
      <c r="F3546" s="452">
        <v>1</v>
      </c>
      <c r="G3546" s="453" t="s">
        <v>739</v>
      </c>
      <c r="H3546" s="452" t="s">
        <v>2379</v>
      </c>
      <c r="I3546" s="452">
        <f t="shared" si="335"/>
        <v>167.6</v>
      </c>
      <c r="J3546" s="453" t="s">
        <v>739</v>
      </c>
      <c r="K3546" s="452">
        <f t="shared" si="331"/>
        <v>167.6</v>
      </c>
      <c r="M3546" s="452">
        <f>P3544</f>
        <v>2.56</v>
      </c>
      <c r="N3546" s="453" t="s">
        <v>578</v>
      </c>
      <c r="O3546" s="452" t="s">
        <v>4179</v>
      </c>
      <c r="P3546" s="452">
        <v>122</v>
      </c>
      <c r="Q3546" s="453" t="s">
        <v>578</v>
      </c>
      <c r="R3546" s="452">
        <f t="shared" ref="R3546:R3554" si="337">P3546*M3546</f>
        <v>312.32</v>
      </c>
      <c r="S3546" s="452">
        <v>1</v>
      </c>
      <c r="T3546" s="453" t="s">
        <v>739</v>
      </c>
      <c r="U3546" s="452" t="s">
        <v>2379</v>
      </c>
      <c r="V3546" s="452">
        <f t="shared" si="332"/>
        <v>167.6</v>
      </c>
      <c r="W3546" s="453" t="s">
        <v>739</v>
      </c>
      <c r="X3546" s="452">
        <f t="shared" si="333"/>
        <v>167.6</v>
      </c>
      <c r="AB3546" s="452">
        <v>1</v>
      </c>
      <c r="AC3546" s="453" t="s">
        <v>739</v>
      </c>
      <c r="AD3546" s="452" t="s">
        <v>2379</v>
      </c>
      <c r="AE3546" s="535">
        <f t="shared" si="336"/>
        <v>167.6</v>
      </c>
      <c r="AF3546" s="453" t="s">
        <v>739</v>
      </c>
      <c r="AG3546" s="452">
        <f t="shared" si="334"/>
        <v>167.6</v>
      </c>
    </row>
    <row r="3547" spans="6:33" ht="24" customHeight="1">
      <c r="F3547" s="452">
        <v>92</v>
      </c>
      <c r="G3547" s="453" t="s">
        <v>739</v>
      </c>
      <c r="H3547" s="452" t="s">
        <v>3553</v>
      </c>
      <c r="I3547" s="452">
        <f t="shared" si="335"/>
        <v>2.39</v>
      </c>
      <c r="J3547" s="453" t="s">
        <v>739</v>
      </c>
      <c r="K3547" s="452">
        <f t="shared" si="331"/>
        <v>219.88</v>
      </c>
      <c r="M3547" s="452">
        <v>2</v>
      </c>
      <c r="N3547" s="453" t="s">
        <v>739</v>
      </c>
      <c r="O3547" s="452" t="s">
        <v>3550</v>
      </c>
      <c r="P3547" s="452">
        <f t="shared" ref="P3547:P3553" si="338">P3531</f>
        <v>53.4</v>
      </c>
      <c r="Q3547" s="453" t="s">
        <v>739</v>
      </c>
      <c r="R3547" s="452">
        <f t="shared" si="337"/>
        <v>106.8</v>
      </c>
      <c r="S3547" s="452">
        <v>92</v>
      </c>
      <c r="T3547" s="453" t="s">
        <v>739</v>
      </c>
      <c r="U3547" s="452" t="s">
        <v>3553</v>
      </c>
      <c r="V3547" s="452">
        <f t="shared" si="332"/>
        <v>2.39</v>
      </c>
      <c r="W3547" s="453" t="s">
        <v>739</v>
      </c>
      <c r="X3547" s="452">
        <f t="shared" si="333"/>
        <v>219.88</v>
      </c>
      <c r="AB3547" s="452">
        <v>92</v>
      </c>
      <c r="AC3547" s="453" t="s">
        <v>739</v>
      </c>
      <c r="AD3547" s="452" t="s">
        <v>3553</v>
      </c>
      <c r="AE3547" s="535">
        <f t="shared" si="336"/>
        <v>2.39</v>
      </c>
      <c r="AF3547" s="453" t="s">
        <v>739</v>
      </c>
      <c r="AG3547" s="452">
        <f t="shared" si="334"/>
        <v>219.88</v>
      </c>
    </row>
    <row r="3548" spans="6:33" ht="24" customHeight="1">
      <c r="F3548" s="452">
        <v>1</v>
      </c>
      <c r="G3548" s="453" t="s">
        <v>739</v>
      </c>
      <c r="H3548" s="452" t="s">
        <v>3554</v>
      </c>
      <c r="I3548" s="452">
        <f t="shared" si="335"/>
        <v>22.9</v>
      </c>
      <c r="J3548" s="453" t="s">
        <v>739</v>
      </c>
      <c r="K3548" s="452">
        <f t="shared" si="331"/>
        <v>22.9</v>
      </c>
      <c r="M3548" s="452">
        <v>4</v>
      </c>
      <c r="N3548" s="453" t="s">
        <v>739</v>
      </c>
      <c r="O3548" s="452" t="s">
        <v>3551</v>
      </c>
      <c r="P3548" s="452">
        <f t="shared" si="338"/>
        <v>83</v>
      </c>
      <c r="Q3548" s="453" t="s">
        <v>739</v>
      </c>
      <c r="R3548" s="452">
        <f t="shared" si="337"/>
        <v>332</v>
      </c>
      <c r="S3548" s="452">
        <v>1</v>
      </c>
      <c r="T3548" s="453" t="s">
        <v>739</v>
      </c>
      <c r="U3548" s="452" t="s">
        <v>3554</v>
      </c>
      <c r="V3548" s="452">
        <f t="shared" si="332"/>
        <v>22.9</v>
      </c>
      <c r="W3548" s="453" t="s">
        <v>739</v>
      </c>
      <c r="X3548" s="452">
        <f t="shared" si="333"/>
        <v>22.9</v>
      </c>
      <c r="AB3548" s="452">
        <v>1</v>
      </c>
      <c r="AC3548" s="453" t="s">
        <v>739</v>
      </c>
      <c r="AD3548" s="452" t="s">
        <v>3554</v>
      </c>
      <c r="AE3548" s="535">
        <f t="shared" si="336"/>
        <v>22.9</v>
      </c>
      <c r="AF3548" s="453" t="s">
        <v>739</v>
      </c>
      <c r="AG3548" s="452">
        <f t="shared" si="334"/>
        <v>22.9</v>
      </c>
    </row>
    <row r="3549" spans="6:33" ht="24" customHeight="1">
      <c r="F3549" s="452">
        <v>1</v>
      </c>
      <c r="G3549" s="453" t="s">
        <v>739</v>
      </c>
      <c r="H3549" s="452" t="s">
        <v>3555</v>
      </c>
      <c r="I3549" s="452">
        <f t="shared" si="335"/>
        <v>45.9</v>
      </c>
      <c r="J3549" s="453" t="s">
        <v>739</v>
      </c>
      <c r="K3549" s="452">
        <f t="shared" si="331"/>
        <v>45.9</v>
      </c>
      <c r="M3549" s="452">
        <v>2</v>
      </c>
      <c r="N3549" s="453" t="s">
        <v>739</v>
      </c>
      <c r="O3549" s="452" t="s">
        <v>3552</v>
      </c>
      <c r="P3549" s="452">
        <f t="shared" si="338"/>
        <v>60</v>
      </c>
      <c r="Q3549" s="453" t="s">
        <v>739</v>
      </c>
      <c r="R3549" s="452">
        <f t="shared" si="337"/>
        <v>120</v>
      </c>
      <c r="S3549" s="452">
        <v>1</v>
      </c>
      <c r="T3549" s="453" t="s">
        <v>739</v>
      </c>
      <c r="U3549" s="452" t="s">
        <v>3555</v>
      </c>
      <c r="V3549" s="452">
        <f t="shared" si="332"/>
        <v>45.9</v>
      </c>
      <c r="W3549" s="453" t="s">
        <v>739</v>
      </c>
      <c r="X3549" s="452">
        <f t="shared" si="333"/>
        <v>45.9</v>
      </c>
      <c r="AB3549" s="452">
        <v>1</v>
      </c>
      <c r="AC3549" s="453" t="s">
        <v>739</v>
      </c>
      <c r="AD3549" s="452" t="s">
        <v>3555</v>
      </c>
      <c r="AE3549" s="535">
        <f t="shared" si="336"/>
        <v>45.9</v>
      </c>
      <c r="AF3549" s="453" t="s">
        <v>739</v>
      </c>
      <c r="AG3549" s="452">
        <f t="shared" si="334"/>
        <v>45.9</v>
      </c>
    </row>
    <row r="3550" spans="6:33" ht="24" customHeight="1">
      <c r="F3550" s="533">
        <v>0.35</v>
      </c>
      <c r="G3550" s="534" t="s">
        <v>578</v>
      </c>
      <c r="H3550" s="535" t="s">
        <v>3680</v>
      </c>
      <c r="I3550" s="535">
        <f>K1543</f>
        <v>212.24</v>
      </c>
      <c r="J3550" s="534" t="s">
        <v>578</v>
      </c>
      <c r="K3550" s="535"/>
      <c r="M3550" s="452">
        <v>1</v>
      </c>
      <c r="N3550" s="453" t="s">
        <v>739</v>
      </c>
      <c r="O3550" s="452" t="s">
        <v>2379</v>
      </c>
      <c r="P3550" s="452">
        <f t="shared" si="338"/>
        <v>167.6</v>
      </c>
      <c r="Q3550" s="453" t="s">
        <v>739</v>
      </c>
      <c r="R3550" s="452">
        <f t="shared" si="337"/>
        <v>167.6</v>
      </c>
      <c r="S3550" s="533">
        <v>0.39</v>
      </c>
      <c r="T3550" s="534" t="s">
        <v>578</v>
      </c>
      <c r="U3550" s="535" t="s">
        <v>3680</v>
      </c>
      <c r="V3550" s="452">
        <f t="shared" si="332"/>
        <v>212.24</v>
      </c>
      <c r="W3550" s="534" t="s">
        <v>578</v>
      </c>
      <c r="X3550" s="535"/>
      <c r="AB3550" s="533">
        <v>0.35</v>
      </c>
      <c r="AC3550" s="534" t="s">
        <v>578</v>
      </c>
      <c r="AD3550" s="535" t="s">
        <v>3680</v>
      </c>
      <c r="AE3550" s="535">
        <f t="shared" si="336"/>
        <v>212.24</v>
      </c>
      <c r="AF3550" s="534" t="s">
        <v>578</v>
      </c>
      <c r="AG3550" s="452"/>
    </row>
    <row r="3551" spans="6:33" ht="24" customHeight="1">
      <c r="F3551" s="452"/>
      <c r="G3551" s="453"/>
      <c r="H3551" s="452" t="s">
        <v>3559</v>
      </c>
      <c r="I3551" s="452"/>
      <c r="J3551" s="454"/>
      <c r="K3551" s="452">
        <f>SUM(K3541:K3550)</f>
        <v>5332.84</v>
      </c>
      <c r="M3551" s="452">
        <v>92</v>
      </c>
      <c r="N3551" s="453" t="s">
        <v>739</v>
      </c>
      <c r="O3551" s="452" t="s">
        <v>3553</v>
      </c>
      <c r="P3551" s="452">
        <f t="shared" si="338"/>
        <v>2.39</v>
      </c>
      <c r="Q3551" s="453" t="s">
        <v>739</v>
      </c>
      <c r="R3551" s="452">
        <f t="shared" si="337"/>
        <v>219.88</v>
      </c>
      <c r="S3551" s="452"/>
      <c r="T3551" s="453"/>
      <c r="U3551" s="452" t="s">
        <v>3682</v>
      </c>
      <c r="V3551" s="452"/>
      <c r="W3551" s="454"/>
      <c r="X3551" s="452">
        <f>SUM(X3541:X3550)</f>
        <v>6068.7</v>
      </c>
      <c r="AB3551" s="452"/>
      <c r="AC3551" s="453"/>
      <c r="AD3551" s="452" t="s">
        <v>4268</v>
      </c>
      <c r="AE3551" s="452"/>
      <c r="AF3551" s="454"/>
      <c r="AG3551" s="452">
        <f>SUM(AG3541:AG3550)</f>
        <v>4849.24</v>
      </c>
    </row>
    <row r="3552" spans="6:33" ht="24" customHeight="1">
      <c r="F3552" s="452"/>
      <c r="G3552" s="453"/>
      <c r="H3552" s="452" t="s">
        <v>3174</v>
      </c>
      <c r="I3552" s="452"/>
      <c r="J3552" s="454"/>
      <c r="K3552" s="452">
        <f>K3551/F3542</f>
        <v>2930.13</v>
      </c>
      <c r="M3552" s="452">
        <v>1</v>
      </c>
      <c r="N3552" s="453" t="s">
        <v>739</v>
      </c>
      <c r="O3552" s="452" t="s">
        <v>3554</v>
      </c>
      <c r="P3552" s="452">
        <f t="shared" si="338"/>
        <v>22.9</v>
      </c>
      <c r="Q3552" s="453" t="s">
        <v>739</v>
      </c>
      <c r="R3552" s="452">
        <f t="shared" si="337"/>
        <v>22.9</v>
      </c>
      <c r="S3552" s="452"/>
      <c r="T3552" s="453"/>
      <c r="U3552" s="452" t="s">
        <v>3174</v>
      </c>
      <c r="V3552" s="452"/>
      <c r="W3552" s="454"/>
      <c r="X3552" s="452">
        <f>X3551/S3542</f>
        <v>2903.68</v>
      </c>
      <c r="AB3552" s="452"/>
      <c r="AC3552" s="453"/>
      <c r="AD3552" s="452" t="s">
        <v>3174</v>
      </c>
      <c r="AE3552" s="452"/>
      <c r="AF3552" s="454"/>
      <c r="AG3552" s="452">
        <f>AG3551/AB3542</f>
        <v>2993.36</v>
      </c>
    </row>
    <row r="3553" spans="6:33" ht="24" customHeight="1">
      <c r="M3553" s="452">
        <v>1</v>
      </c>
      <c r="N3553" s="453" t="s">
        <v>739</v>
      </c>
      <c r="O3553" s="452" t="s">
        <v>3555</v>
      </c>
      <c r="P3553" s="452">
        <f t="shared" si="338"/>
        <v>45.9</v>
      </c>
      <c r="Q3553" s="453" t="s">
        <v>739</v>
      </c>
      <c r="R3553" s="452">
        <f t="shared" si="337"/>
        <v>45.9</v>
      </c>
      <c r="AC3553" s="3"/>
      <c r="AF3553" s="11"/>
    </row>
    <row r="3554" spans="6:33" ht="24" customHeight="1">
      <c r="M3554" s="455"/>
      <c r="N3554" s="453" t="s">
        <v>578</v>
      </c>
      <c r="O3554" s="452" t="s">
        <v>3556</v>
      </c>
      <c r="P3554" s="452">
        <f>P3538</f>
        <v>172.13</v>
      </c>
      <c r="Q3554" s="453" t="s">
        <v>578</v>
      </c>
      <c r="R3554" s="452">
        <f t="shared" si="337"/>
        <v>0</v>
      </c>
    </row>
    <row r="3555" spans="6:33" ht="24" customHeight="1">
      <c r="F3555" s="25"/>
      <c r="G3555" s="7" t="s">
        <v>2167</v>
      </c>
      <c r="H3555" s="1" t="s">
        <v>2137</v>
      </c>
      <c r="M3555" s="452"/>
      <c r="N3555" s="453"/>
      <c r="O3555" s="452" t="s">
        <v>3676</v>
      </c>
      <c r="P3555" s="452"/>
      <c r="Q3555" s="454"/>
      <c r="R3555" s="452">
        <f>SUM(R3545:R3554)</f>
        <v>7043.88</v>
      </c>
      <c r="S3555" s="452"/>
      <c r="T3555" s="453"/>
      <c r="U3555" s="452" t="s">
        <v>3683</v>
      </c>
      <c r="V3555" s="452"/>
      <c r="W3555" s="454"/>
      <c r="AB3555" s="452"/>
      <c r="AC3555" s="453"/>
      <c r="AD3555" s="452" t="s">
        <v>4558</v>
      </c>
      <c r="AE3555" s="452"/>
      <c r="AF3555" s="454"/>
    </row>
    <row r="3556" spans="6:33" ht="24" customHeight="1">
      <c r="H3556" s="34" t="s">
        <v>3580</v>
      </c>
      <c r="M3556" s="452"/>
      <c r="N3556" s="453"/>
      <c r="O3556" s="452" t="s">
        <v>3174</v>
      </c>
      <c r="P3556" s="452"/>
      <c r="Q3556" s="454"/>
      <c r="R3556" s="452">
        <f>R3555/M3546</f>
        <v>2751.52</v>
      </c>
      <c r="S3556"/>
      <c r="T3556" s="3"/>
      <c r="U3556" s="452" t="s">
        <v>3686</v>
      </c>
      <c r="V3556">
        <f>1.4*2.025</f>
        <v>2.84</v>
      </c>
      <c r="W3556" s="11"/>
      <c r="AC3556" s="3"/>
      <c r="AD3556" s="452" t="s">
        <v>4559</v>
      </c>
      <c r="AE3556">
        <f>0.8*2.325</f>
        <v>1.86</v>
      </c>
      <c r="AF3556" s="11"/>
    </row>
    <row r="3557" spans="6:33" ht="24" customHeight="1">
      <c r="H3557" s="1" t="s">
        <v>1103</v>
      </c>
      <c r="N3557" s="3"/>
      <c r="Q3557" s="11"/>
      <c r="S3557" s="452">
        <f>V3556</f>
        <v>2.84</v>
      </c>
      <c r="T3557" s="453" t="s">
        <v>578</v>
      </c>
      <c r="U3557" s="452" t="s">
        <v>3548</v>
      </c>
      <c r="V3557" s="452">
        <f>P3529</f>
        <v>2233</v>
      </c>
      <c r="W3557" s="453" t="s">
        <v>578</v>
      </c>
      <c r="X3557" s="452">
        <f>V3557*S3557</f>
        <v>6341.72</v>
      </c>
      <c r="AB3557" s="452">
        <f>AE3556</f>
        <v>1.86</v>
      </c>
      <c r="AC3557" s="453" t="s">
        <v>578</v>
      </c>
      <c r="AD3557" s="452" t="s">
        <v>3548</v>
      </c>
      <c r="AE3557" s="452">
        <f>AE3541</f>
        <v>2233</v>
      </c>
      <c r="AF3557" s="453" t="s">
        <v>578</v>
      </c>
      <c r="AG3557" s="452">
        <f>AE3557*AB3557</f>
        <v>4153.38</v>
      </c>
    </row>
    <row r="3558" spans="6:33" ht="24" customHeight="1">
      <c r="H3558" s="1" t="s">
        <v>1104</v>
      </c>
      <c r="M3558" s="25"/>
      <c r="N3558" s="7" t="s">
        <v>2167</v>
      </c>
      <c r="O3558" s="1" t="s">
        <v>2137</v>
      </c>
      <c r="Q3558" s="11"/>
      <c r="S3558" s="452">
        <f>V3556</f>
        <v>2.84</v>
      </c>
      <c r="T3558" s="453" t="s">
        <v>578</v>
      </c>
      <c r="U3558" s="452" t="s">
        <v>3549</v>
      </c>
      <c r="V3558" s="452">
        <f>P3530</f>
        <v>285</v>
      </c>
      <c r="W3558" s="453" t="s">
        <v>578</v>
      </c>
      <c r="X3558" s="452">
        <f t="shared" ref="X3558:X3565" si="339">V3558*S3558</f>
        <v>809.4</v>
      </c>
      <c r="AB3558" s="452">
        <f>AE3556</f>
        <v>1.86</v>
      </c>
      <c r="AC3558" s="453" t="s">
        <v>578</v>
      </c>
      <c r="AD3558" s="452" t="s">
        <v>3549</v>
      </c>
      <c r="AE3558" s="452">
        <f t="shared" ref="AE3558:AE3566" si="340">AE3542</f>
        <v>185</v>
      </c>
      <c r="AF3558" s="453" t="s">
        <v>578</v>
      </c>
      <c r="AG3558" s="452">
        <f t="shared" ref="AG3558:AG3565" si="341">AE3558*AB3558</f>
        <v>344.1</v>
      </c>
    </row>
    <row r="3559" spans="6:33" ht="46.5" customHeight="1">
      <c r="H3559" s="5" t="s">
        <v>1530</v>
      </c>
      <c r="N3559" s="3"/>
      <c r="O3559" s="34" t="s">
        <v>3580</v>
      </c>
      <c r="Q3559" s="11"/>
      <c r="S3559" s="452">
        <v>4</v>
      </c>
      <c r="T3559" s="453" t="s">
        <v>739</v>
      </c>
      <c r="U3559" s="452" t="s">
        <v>3550</v>
      </c>
      <c r="V3559" s="452">
        <f t="shared" ref="V3559:V3566" si="342">V3543</f>
        <v>53.4</v>
      </c>
      <c r="W3559" s="453" t="s">
        <v>739</v>
      </c>
      <c r="X3559" s="452">
        <f t="shared" si="339"/>
        <v>213.6</v>
      </c>
      <c r="AB3559" s="452">
        <v>2</v>
      </c>
      <c r="AC3559" s="453" t="s">
        <v>739</v>
      </c>
      <c r="AD3559" s="452" t="s">
        <v>3550</v>
      </c>
      <c r="AE3559" s="452">
        <f t="shared" si="340"/>
        <v>53.4</v>
      </c>
      <c r="AF3559" s="453" t="s">
        <v>739</v>
      </c>
      <c r="AG3559" s="452">
        <f t="shared" si="341"/>
        <v>106.8</v>
      </c>
    </row>
    <row r="3560" spans="6:33" ht="33.75" customHeight="1">
      <c r="F3560" s="22">
        <v>1</v>
      </c>
      <c r="G3560" s="22" t="s">
        <v>835</v>
      </c>
      <c r="H3560" s="23" t="s">
        <v>4517</v>
      </c>
      <c r="I3560" s="747">
        <v>1656</v>
      </c>
      <c r="J3560" s="98" t="s">
        <v>835</v>
      </c>
      <c r="K3560" s="22">
        <f>(F3560*I3560)</f>
        <v>1656</v>
      </c>
      <c r="N3560" s="3"/>
      <c r="O3560" s="1" t="s">
        <v>1103</v>
      </c>
      <c r="Q3560" s="11"/>
      <c r="S3560" s="452">
        <v>6</v>
      </c>
      <c r="T3560" s="453" t="s">
        <v>739</v>
      </c>
      <c r="U3560" s="452" t="s">
        <v>3551</v>
      </c>
      <c r="V3560" s="452">
        <f t="shared" si="342"/>
        <v>83</v>
      </c>
      <c r="W3560" s="453" t="s">
        <v>739</v>
      </c>
      <c r="X3560" s="452">
        <f t="shared" si="339"/>
        <v>498</v>
      </c>
      <c r="AB3560" s="452">
        <v>4</v>
      </c>
      <c r="AC3560" s="453" t="s">
        <v>739</v>
      </c>
      <c r="AD3560" s="452" t="s">
        <v>3551</v>
      </c>
      <c r="AE3560" s="452">
        <f t="shared" si="340"/>
        <v>83</v>
      </c>
      <c r="AF3560" s="453" t="s">
        <v>739</v>
      </c>
      <c r="AG3560" s="452">
        <f t="shared" si="341"/>
        <v>332</v>
      </c>
    </row>
    <row r="3561" spans="6:33" ht="24" customHeight="1">
      <c r="F3561" s="8"/>
      <c r="G3561" s="7"/>
      <c r="H3561" s="62"/>
      <c r="I3561" s="8"/>
      <c r="J3561" s="1"/>
      <c r="K3561" s="8"/>
      <c r="N3561" s="3"/>
      <c r="O3561" s="1" t="s">
        <v>1104</v>
      </c>
      <c r="Q3561" s="11"/>
      <c r="S3561" s="452">
        <v>4</v>
      </c>
      <c r="T3561" s="453" t="s">
        <v>739</v>
      </c>
      <c r="U3561" s="452" t="s">
        <v>3552</v>
      </c>
      <c r="V3561" s="452">
        <f t="shared" si="342"/>
        <v>60</v>
      </c>
      <c r="W3561" s="453" t="s">
        <v>739</v>
      </c>
      <c r="X3561" s="452">
        <f t="shared" si="339"/>
        <v>240</v>
      </c>
      <c r="AB3561" s="452">
        <v>2</v>
      </c>
      <c r="AC3561" s="453" t="s">
        <v>739</v>
      </c>
      <c r="AD3561" s="452" t="s">
        <v>3552</v>
      </c>
      <c r="AE3561" s="452">
        <f t="shared" si="340"/>
        <v>60</v>
      </c>
      <c r="AF3561" s="453" t="s">
        <v>739</v>
      </c>
      <c r="AG3561" s="452">
        <f t="shared" si="341"/>
        <v>120</v>
      </c>
    </row>
    <row r="3562" spans="6:33" ht="24" customHeight="1">
      <c r="F3562" s="8"/>
      <c r="G3562" s="7"/>
      <c r="H3562" s="62"/>
      <c r="I3562" s="8"/>
      <c r="J3562" s="2"/>
      <c r="K3562" s="8"/>
      <c r="N3562" s="3"/>
      <c r="O3562" s="5" t="s">
        <v>1530</v>
      </c>
      <c r="Q3562" s="11"/>
      <c r="S3562" s="452">
        <v>1</v>
      </c>
      <c r="T3562" s="453" t="s">
        <v>739</v>
      </c>
      <c r="U3562" s="452" t="s">
        <v>2379</v>
      </c>
      <c r="V3562" s="452">
        <f t="shared" si="342"/>
        <v>167.6</v>
      </c>
      <c r="W3562" s="453" t="s">
        <v>739</v>
      </c>
      <c r="X3562" s="452">
        <f t="shared" si="339"/>
        <v>167.6</v>
      </c>
      <c r="AB3562" s="452">
        <v>1</v>
      </c>
      <c r="AC3562" s="453" t="s">
        <v>739</v>
      </c>
      <c r="AD3562" s="452" t="s">
        <v>2379</v>
      </c>
      <c r="AE3562" s="452">
        <f t="shared" si="340"/>
        <v>167.6</v>
      </c>
      <c r="AF3562" s="453" t="s">
        <v>739</v>
      </c>
      <c r="AG3562" s="452">
        <f t="shared" si="341"/>
        <v>167.6</v>
      </c>
    </row>
    <row r="3563" spans="6:33" ht="24" customHeight="1">
      <c r="F3563" s="161">
        <v>1</v>
      </c>
      <c r="G3563" s="161" t="s">
        <v>835</v>
      </c>
      <c r="H3563" s="62" t="s">
        <v>2051</v>
      </c>
      <c r="I3563" s="496">
        <f>I1942</f>
        <v>-167</v>
      </c>
      <c r="J3563" s="62" t="s">
        <v>835</v>
      </c>
      <c r="K3563" s="161">
        <f>(F3563*I3563)</f>
        <v>-167</v>
      </c>
      <c r="M3563" s="22">
        <v>1</v>
      </c>
      <c r="N3563" s="22" t="s">
        <v>835</v>
      </c>
      <c r="O3563" s="23" t="s">
        <v>4517</v>
      </c>
      <c r="P3563" s="747">
        <v>1656</v>
      </c>
      <c r="Q3563" s="98" t="s">
        <v>835</v>
      </c>
      <c r="R3563" s="22">
        <f>(M3563*P3563)</f>
        <v>1656</v>
      </c>
      <c r="S3563" s="452">
        <v>118</v>
      </c>
      <c r="T3563" s="453" t="s">
        <v>739</v>
      </c>
      <c r="U3563" s="452" t="s">
        <v>3553</v>
      </c>
      <c r="V3563" s="452">
        <f t="shared" si="342"/>
        <v>2.39</v>
      </c>
      <c r="W3563" s="453" t="s">
        <v>739</v>
      </c>
      <c r="X3563" s="452">
        <f t="shared" si="339"/>
        <v>282.02</v>
      </c>
      <c r="AB3563" s="452">
        <v>92</v>
      </c>
      <c r="AC3563" s="453" t="s">
        <v>739</v>
      </c>
      <c r="AD3563" s="452" t="s">
        <v>3553</v>
      </c>
      <c r="AE3563" s="452">
        <f t="shared" si="340"/>
        <v>2.39</v>
      </c>
      <c r="AF3563" s="453" t="s">
        <v>739</v>
      </c>
      <c r="AG3563" s="452">
        <f t="shared" si="341"/>
        <v>219.88</v>
      </c>
    </row>
    <row r="3564" spans="6:33" ht="24" customHeight="1">
      <c r="F3564" s="64"/>
      <c r="G3564" s="65"/>
      <c r="H3564" s="62"/>
      <c r="I3564" s="64"/>
      <c r="J3564" s="61"/>
      <c r="K3564" s="64"/>
      <c r="M3564" s="8"/>
      <c r="N3564" s="7"/>
      <c r="O3564" s="62"/>
      <c r="P3564" s="8"/>
      <c r="Q3564" s="1"/>
      <c r="R3564" s="8"/>
      <c r="S3564" s="452">
        <v>2</v>
      </c>
      <c r="T3564" s="453" t="s">
        <v>739</v>
      </c>
      <c r="U3564" s="452" t="s">
        <v>3554</v>
      </c>
      <c r="V3564" s="452">
        <f t="shared" si="342"/>
        <v>22.9</v>
      </c>
      <c r="W3564" s="453" t="s">
        <v>739</v>
      </c>
      <c r="X3564" s="452">
        <f t="shared" si="339"/>
        <v>45.8</v>
      </c>
      <c r="AB3564" s="452">
        <v>1</v>
      </c>
      <c r="AC3564" s="453" t="s">
        <v>739</v>
      </c>
      <c r="AD3564" s="452" t="s">
        <v>3554</v>
      </c>
      <c r="AE3564" s="452">
        <f t="shared" si="340"/>
        <v>22.9</v>
      </c>
      <c r="AF3564" s="453" t="s">
        <v>739</v>
      </c>
      <c r="AG3564" s="452">
        <f t="shared" si="341"/>
        <v>22.9</v>
      </c>
    </row>
    <row r="3565" spans="6:33" ht="24" customHeight="1">
      <c r="F3565" s="64">
        <v>1</v>
      </c>
      <c r="G3565" s="65" t="s">
        <v>835</v>
      </c>
      <c r="H3565" s="62" t="s">
        <v>2052</v>
      </c>
      <c r="I3565" s="497">
        <v>250</v>
      </c>
      <c r="J3565" s="62" t="s">
        <v>835</v>
      </c>
      <c r="K3565" s="172">
        <f>(F3565*I3565)</f>
        <v>250</v>
      </c>
      <c r="M3565" s="8"/>
      <c r="N3565" s="7"/>
      <c r="O3565" s="62"/>
      <c r="P3565" s="8"/>
      <c r="Q3565" s="2"/>
      <c r="R3565" s="8"/>
      <c r="S3565" s="452">
        <v>2</v>
      </c>
      <c r="T3565" s="453" t="s">
        <v>739</v>
      </c>
      <c r="U3565" s="452" t="s">
        <v>3555</v>
      </c>
      <c r="V3565" s="452">
        <f t="shared" si="342"/>
        <v>45.9</v>
      </c>
      <c r="W3565" s="453" t="s">
        <v>739</v>
      </c>
      <c r="X3565" s="452">
        <f t="shared" si="339"/>
        <v>91.8</v>
      </c>
      <c r="AB3565" s="452">
        <v>1</v>
      </c>
      <c r="AC3565" s="453" t="s">
        <v>739</v>
      </c>
      <c r="AD3565" s="452" t="s">
        <v>3555</v>
      </c>
      <c r="AE3565" s="452">
        <f t="shared" si="340"/>
        <v>45.9</v>
      </c>
      <c r="AF3565" s="453" t="s">
        <v>739</v>
      </c>
      <c r="AG3565" s="452">
        <f t="shared" si="341"/>
        <v>45.9</v>
      </c>
    </row>
    <row r="3566" spans="6:33" ht="24" customHeight="1">
      <c r="F3566" s="8"/>
      <c r="G3566" s="7"/>
      <c r="H3566" s="1"/>
      <c r="I3566" s="8"/>
      <c r="J3566" s="1"/>
      <c r="K3566" s="8"/>
      <c r="M3566" s="161">
        <v>1</v>
      </c>
      <c r="N3566" s="161" t="s">
        <v>835</v>
      </c>
      <c r="O3566" s="62" t="s">
        <v>2051</v>
      </c>
      <c r="P3566" s="496">
        <f>I3563</f>
        <v>-167</v>
      </c>
      <c r="Q3566" s="62" t="s">
        <v>835</v>
      </c>
      <c r="R3566" s="161">
        <f>(M3566*P3566)</f>
        <v>-167</v>
      </c>
      <c r="S3566" s="533">
        <v>0.65</v>
      </c>
      <c r="T3566" s="534" t="s">
        <v>578</v>
      </c>
      <c r="U3566" s="535" t="s">
        <v>3680</v>
      </c>
      <c r="V3566" s="452">
        <f t="shared" si="342"/>
        <v>212.24</v>
      </c>
      <c r="W3566" s="534" t="s">
        <v>578</v>
      </c>
      <c r="X3566" s="535"/>
      <c r="AB3566" s="533">
        <v>0.39</v>
      </c>
      <c r="AC3566" s="534" t="s">
        <v>578</v>
      </c>
      <c r="AD3566" s="535" t="s">
        <v>3680</v>
      </c>
      <c r="AE3566" s="452">
        <f t="shared" si="340"/>
        <v>212.24</v>
      </c>
      <c r="AF3566" s="534" t="s">
        <v>578</v>
      </c>
      <c r="AG3566" s="535"/>
    </row>
    <row r="3567" spans="6:33" ht="24" customHeight="1">
      <c r="F3567" s="8">
        <v>0.5</v>
      </c>
      <c r="G3567" s="7" t="s">
        <v>835</v>
      </c>
      <c r="H3567" s="1" t="s">
        <v>2024</v>
      </c>
      <c r="I3567" s="8">
        <f>I1946</f>
        <v>747</v>
      </c>
      <c r="J3567" s="1" t="s">
        <v>835</v>
      </c>
      <c r="K3567" s="8">
        <f>(F3567*I3567)</f>
        <v>373.5</v>
      </c>
      <c r="M3567" s="64"/>
      <c r="N3567" s="65"/>
      <c r="O3567" s="62"/>
      <c r="P3567" s="64"/>
      <c r="Q3567" s="61"/>
      <c r="R3567" s="64"/>
      <c r="S3567" s="452"/>
      <c r="T3567" s="453"/>
      <c r="U3567" s="452" t="s">
        <v>3687</v>
      </c>
      <c r="V3567" s="452"/>
      <c r="W3567" s="454"/>
      <c r="X3567" s="452">
        <f>SUM(X3557:X3566)</f>
        <v>8689.94</v>
      </c>
      <c r="AB3567" s="452"/>
      <c r="AC3567" s="453"/>
      <c r="AD3567" s="452" t="s">
        <v>4560</v>
      </c>
      <c r="AE3567" s="452"/>
      <c r="AF3567" s="454"/>
      <c r="AG3567" s="452">
        <f>SUM(AG3557:AG3566)</f>
        <v>5512.56</v>
      </c>
    </row>
    <row r="3568" spans="6:33" ht="24" customHeight="1">
      <c r="F3568" s="8">
        <v>1</v>
      </c>
      <c r="G3568" s="7" t="s">
        <v>835</v>
      </c>
      <c r="H3568" s="1" t="s">
        <v>1836</v>
      </c>
      <c r="I3568" s="8">
        <f>I1947</f>
        <v>562</v>
      </c>
      <c r="J3568" s="1" t="s">
        <v>835</v>
      </c>
      <c r="K3568" s="8">
        <f>(F3568*I3568)</f>
        <v>562</v>
      </c>
      <c r="M3568" s="64">
        <v>1</v>
      </c>
      <c r="N3568" s="65" t="s">
        <v>835</v>
      </c>
      <c r="O3568" s="62" t="s">
        <v>2052</v>
      </c>
      <c r="P3568" s="497">
        <v>250</v>
      </c>
      <c r="Q3568" s="62" t="s">
        <v>835</v>
      </c>
      <c r="R3568" s="172">
        <f>(M3568*P3568)</f>
        <v>250</v>
      </c>
      <c r="S3568" s="452"/>
      <c r="T3568" s="453"/>
      <c r="U3568" s="452" t="s">
        <v>3174</v>
      </c>
      <c r="V3568" s="452"/>
      <c r="W3568" s="454"/>
      <c r="X3568" s="452">
        <f>X3567/S3558</f>
        <v>3059.84</v>
      </c>
      <c r="AB3568" s="452"/>
      <c r="AC3568" s="453"/>
      <c r="AD3568" s="452" t="s">
        <v>3174</v>
      </c>
      <c r="AE3568" s="452"/>
      <c r="AF3568" s="454"/>
      <c r="AG3568" s="452">
        <f>AG3567/AB3558</f>
        <v>2963.74</v>
      </c>
    </row>
    <row r="3569" spans="6:24" ht="24" customHeight="1">
      <c r="F3569" s="8">
        <v>0.5</v>
      </c>
      <c r="G3569" s="7" t="s">
        <v>835</v>
      </c>
      <c r="H3569" s="1" t="s">
        <v>1938</v>
      </c>
      <c r="I3569" s="8">
        <f>I1948</f>
        <v>861</v>
      </c>
      <c r="J3569" s="1" t="s">
        <v>835</v>
      </c>
      <c r="K3569" s="8">
        <f>(F3569*I3569)</f>
        <v>430.5</v>
      </c>
      <c r="M3569" s="8"/>
      <c r="N3569" s="7"/>
      <c r="O3569" s="1"/>
      <c r="P3569" s="8"/>
      <c r="Q3569" s="1"/>
      <c r="R3569" s="8"/>
    </row>
    <row r="3570" spans="6:24" ht="24" customHeight="1">
      <c r="G3570" s="7" t="s">
        <v>419</v>
      </c>
      <c r="H3570" s="1" t="s">
        <v>1105</v>
      </c>
      <c r="J3570" s="1" t="s">
        <v>419</v>
      </c>
      <c r="K3570" s="8">
        <v>0.82</v>
      </c>
      <c r="M3570" s="8">
        <v>0.5</v>
      </c>
      <c r="N3570" s="7" t="s">
        <v>835</v>
      </c>
      <c r="O3570" s="1" t="s">
        <v>2024</v>
      </c>
      <c r="P3570" s="8">
        <f>I3567</f>
        <v>747</v>
      </c>
      <c r="Q3570" s="1" t="s">
        <v>835</v>
      </c>
      <c r="R3570" s="8">
        <f>(M3570*P3570)</f>
        <v>373.5</v>
      </c>
    </row>
    <row r="3571" spans="6:24" ht="24" customHeight="1">
      <c r="K3571" s="5" t="s">
        <v>1530</v>
      </c>
      <c r="M3571" s="8">
        <v>1</v>
      </c>
      <c r="N3571" s="7" t="s">
        <v>835</v>
      </c>
      <c r="O3571" s="1" t="s">
        <v>1836</v>
      </c>
      <c r="P3571" s="8">
        <f>I3568</f>
        <v>562</v>
      </c>
      <c r="Q3571" s="1" t="s">
        <v>835</v>
      </c>
      <c r="R3571" s="8">
        <f>(M3571*P3571)</f>
        <v>562</v>
      </c>
      <c r="S3571" s="452"/>
      <c r="T3571" s="453"/>
      <c r="U3571" s="452" t="s">
        <v>3684</v>
      </c>
      <c r="V3571" s="452"/>
      <c r="W3571" s="454"/>
    </row>
    <row r="3572" spans="6:24" ht="24" customHeight="1">
      <c r="H3572" s="1" t="s">
        <v>1694</v>
      </c>
      <c r="K3572" s="39">
        <f>SUM(K3560:K3570)</f>
        <v>3105.82</v>
      </c>
      <c r="M3572" s="8">
        <v>0.5</v>
      </c>
      <c r="N3572" s="7" t="s">
        <v>835</v>
      </c>
      <c r="O3572" s="1" t="s">
        <v>1938</v>
      </c>
      <c r="P3572" s="8">
        <f>I3569</f>
        <v>861</v>
      </c>
      <c r="Q3572" s="1" t="s">
        <v>835</v>
      </c>
      <c r="R3572" s="8">
        <f>(M3572*P3572)</f>
        <v>430.5</v>
      </c>
      <c r="S3572"/>
      <c r="T3572" s="3"/>
      <c r="U3572" s="452" t="s">
        <v>3685</v>
      </c>
      <c r="V3572">
        <f>1.4*2.325</f>
        <v>3.26</v>
      </c>
      <c r="W3572" s="11"/>
    </row>
    <row r="3573" spans="6:24" ht="24" customHeight="1">
      <c r="K3573" s="5" t="s">
        <v>1530</v>
      </c>
      <c r="N3573" s="7" t="s">
        <v>419</v>
      </c>
      <c r="O3573" s="1" t="s">
        <v>1105</v>
      </c>
      <c r="Q3573" s="1" t="s">
        <v>419</v>
      </c>
      <c r="R3573" s="8">
        <v>0.82</v>
      </c>
      <c r="S3573" s="452">
        <f>V3572</f>
        <v>3.26</v>
      </c>
      <c r="T3573" s="453" t="s">
        <v>578</v>
      </c>
      <c r="U3573" s="452" t="s">
        <v>3548</v>
      </c>
      <c r="V3573" s="452">
        <f>V3557</f>
        <v>2233</v>
      </c>
      <c r="W3573" s="453" t="s">
        <v>578</v>
      </c>
      <c r="X3573" s="452">
        <f>V3573*S3573</f>
        <v>7279.58</v>
      </c>
    </row>
    <row r="3574" spans="6:24" ht="24" customHeight="1">
      <c r="G3574"/>
      <c r="I3574" s="51"/>
      <c r="J3574"/>
      <c r="N3574" s="3"/>
      <c r="Q3574" s="11"/>
      <c r="R3574" s="5" t="s">
        <v>1530</v>
      </c>
      <c r="S3574" s="452">
        <f>V3572</f>
        <v>3.26</v>
      </c>
      <c r="T3574" s="453" t="s">
        <v>578</v>
      </c>
      <c r="U3574" s="452" t="s">
        <v>3549</v>
      </c>
      <c r="V3574" s="452">
        <f t="shared" ref="V3574:V3582" si="343">V3558</f>
        <v>285</v>
      </c>
      <c r="W3574" s="453" t="s">
        <v>578</v>
      </c>
      <c r="X3574" s="452">
        <f t="shared" ref="X3574:X3581" si="344">V3574*S3574</f>
        <v>929.1</v>
      </c>
    </row>
    <row r="3575" spans="6:24" ht="35.1" customHeight="1">
      <c r="G3575"/>
      <c r="H3575" s="328" t="s">
        <v>3647</v>
      </c>
      <c r="I3575" s="51"/>
      <c r="J3575"/>
      <c r="N3575" s="3"/>
      <c r="O3575" s="1" t="s">
        <v>1694</v>
      </c>
      <c r="Q3575" s="11"/>
      <c r="R3575" s="39">
        <f>SUM(R3563:R3573)</f>
        <v>3105.82</v>
      </c>
      <c r="S3575" s="452">
        <v>4</v>
      </c>
      <c r="T3575" s="453" t="s">
        <v>739</v>
      </c>
      <c r="U3575" s="452" t="s">
        <v>3550</v>
      </c>
      <c r="V3575" s="452">
        <f t="shared" si="343"/>
        <v>53.4</v>
      </c>
      <c r="W3575" s="453" t="s">
        <v>739</v>
      </c>
      <c r="X3575" s="452">
        <f t="shared" si="344"/>
        <v>213.6</v>
      </c>
    </row>
    <row r="3576" spans="6:24" ht="35.1" customHeight="1">
      <c r="F3576">
        <v>70</v>
      </c>
      <c r="G3576" s="3" t="s">
        <v>794</v>
      </c>
      <c r="H3576" s="489" t="s">
        <v>3926</v>
      </c>
      <c r="I3576" s="442">
        <f>P1356</f>
        <v>33</v>
      </c>
      <c r="J3576" s="11" t="s">
        <v>2280</v>
      </c>
      <c r="K3576">
        <f>I3576*F3576</f>
        <v>2310</v>
      </c>
      <c r="N3576" s="3"/>
      <c r="Q3576" s="11"/>
      <c r="R3576" s="5" t="s">
        <v>1530</v>
      </c>
      <c r="S3576" s="452">
        <v>6</v>
      </c>
      <c r="T3576" s="453" t="s">
        <v>739</v>
      </c>
      <c r="U3576" s="452" t="s">
        <v>3551</v>
      </c>
      <c r="V3576" s="452">
        <f t="shared" si="343"/>
        <v>83</v>
      </c>
      <c r="W3576" s="453" t="s">
        <v>739</v>
      </c>
      <c r="X3576" s="452">
        <f t="shared" si="344"/>
        <v>498</v>
      </c>
    </row>
    <row r="3577" spans="6:24" ht="35.1" customHeight="1">
      <c r="F3577">
        <v>0.3</v>
      </c>
      <c r="G3577" s="3" t="s">
        <v>1289</v>
      </c>
      <c r="H3577" s="489" t="s">
        <v>3927</v>
      </c>
      <c r="I3577" s="442">
        <f>P1358</f>
        <v>17600</v>
      </c>
      <c r="J3577" s="11" t="s">
        <v>3611</v>
      </c>
      <c r="K3577">
        <f>I3577*F3577</f>
        <v>5280</v>
      </c>
      <c r="S3577" s="452">
        <v>4</v>
      </c>
      <c r="T3577" s="453" t="s">
        <v>739</v>
      </c>
      <c r="U3577" s="452" t="s">
        <v>3552</v>
      </c>
      <c r="V3577" s="452">
        <f t="shared" si="343"/>
        <v>60</v>
      </c>
      <c r="W3577" s="453" t="s">
        <v>739</v>
      </c>
      <c r="X3577" s="452">
        <f t="shared" si="344"/>
        <v>240</v>
      </c>
    </row>
    <row r="3578" spans="6:24" ht="35.1" customHeight="1">
      <c r="H3578" t="s">
        <v>3628</v>
      </c>
      <c r="K3578">
        <f>SUM(K3576:K3577)</f>
        <v>7590</v>
      </c>
      <c r="S3578" s="452">
        <v>1</v>
      </c>
      <c r="T3578" s="453" t="s">
        <v>739</v>
      </c>
      <c r="U3578" s="452" t="s">
        <v>2379</v>
      </c>
      <c r="V3578" s="452">
        <f t="shared" si="343"/>
        <v>167.6</v>
      </c>
      <c r="W3578" s="453" t="s">
        <v>739</v>
      </c>
      <c r="X3578" s="452">
        <f t="shared" si="344"/>
        <v>167.6</v>
      </c>
    </row>
    <row r="3579" spans="6:24" ht="35.1" customHeight="1">
      <c r="H3579" s="37" t="s">
        <v>3629</v>
      </c>
      <c r="I3579" s="37"/>
      <c r="J3579" s="99"/>
      <c r="K3579" s="37">
        <f>K3578/10</f>
        <v>759</v>
      </c>
      <c r="S3579" s="452">
        <v>118</v>
      </c>
      <c r="T3579" s="453" t="s">
        <v>739</v>
      </c>
      <c r="U3579" s="452" t="s">
        <v>3553</v>
      </c>
      <c r="V3579" s="452">
        <f t="shared" si="343"/>
        <v>2.39</v>
      </c>
      <c r="W3579" s="453" t="s">
        <v>739</v>
      </c>
      <c r="X3579" s="452">
        <f t="shared" si="344"/>
        <v>282.02</v>
      </c>
    </row>
    <row r="3580" spans="6:24" ht="35.1" customHeight="1">
      <c r="F3580">
        <v>1</v>
      </c>
      <c r="G3580" s="3" t="s">
        <v>3630</v>
      </c>
      <c r="H3580" t="s">
        <v>3631</v>
      </c>
      <c r="I3580">
        <f>K3579</f>
        <v>759</v>
      </c>
      <c r="J3580" s="11" t="s">
        <v>3630</v>
      </c>
      <c r="K3580">
        <f>I3580*F3580</f>
        <v>759</v>
      </c>
      <c r="S3580" s="452">
        <v>2</v>
      </c>
      <c r="T3580" s="453" t="s">
        <v>739</v>
      </c>
      <c r="U3580" s="452" t="s">
        <v>3554</v>
      </c>
      <c r="V3580" s="452">
        <f t="shared" si="343"/>
        <v>22.9</v>
      </c>
      <c r="W3580" s="453" t="s">
        <v>739</v>
      </c>
      <c r="X3580" s="452">
        <f t="shared" si="344"/>
        <v>45.8</v>
      </c>
    </row>
    <row r="3581" spans="6:24" ht="35.1" customHeight="1">
      <c r="F3581">
        <v>2</v>
      </c>
      <c r="G3581" s="3" t="s">
        <v>1375</v>
      </c>
      <c r="H3581" s="489" t="s">
        <v>142</v>
      </c>
      <c r="I3581" s="442">
        <f>I2352</f>
        <v>562</v>
      </c>
      <c r="J3581" s="11" t="s">
        <v>1341</v>
      </c>
      <c r="K3581">
        <f>I3581*F3581</f>
        <v>1124</v>
      </c>
      <c r="S3581" s="452">
        <v>2</v>
      </c>
      <c r="T3581" s="453" t="s">
        <v>739</v>
      </c>
      <c r="U3581" s="452" t="s">
        <v>3555</v>
      </c>
      <c r="V3581" s="452">
        <f t="shared" si="343"/>
        <v>45.9</v>
      </c>
      <c r="W3581" s="453" t="s">
        <v>739</v>
      </c>
      <c r="X3581" s="452">
        <f t="shared" si="344"/>
        <v>91.8</v>
      </c>
    </row>
    <row r="3582" spans="6:24" ht="35.1" customHeight="1">
      <c r="H3582" t="s">
        <v>3632</v>
      </c>
      <c r="K3582">
        <v>10.3</v>
      </c>
      <c r="S3582" s="533">
        <v>0.73</v>
      </c>
      <c r="T3582" s="534" t="s">
        <v>578</v>
      </c>
      <c r="U3582" s="535" t="s">
        <v>3680</v>
      </c>
      <c r="V3582" s="452">
        <f t="shared" si="343"/>
        <v>212.24</v>
      </c>
      <c r="W3582" s="534" t="s">
        <v>578</v>
      </c>
      <c r="X3582" s="535"/>
    </row>
    <row r="3583" spans="6:24" ht="35.1" customHeight="1">
      <c r="H3583" t="s">
        <v>3634</v>
      </c>
      <c r="K3583">
        <f>SUM(K3580:K3582)</f>
        <v>1893.3</v>
      </c>
      <c r="S3583" s="452"/>
      <c r="T3583" s="453"/>
      <c r="U3583" s="452" t="s">
        <v>3673</v>
      </c>
      <c r="V3583" s="452"/>
      <c r="W3583" s="454"/>
      <c r="X3583" s="452">
        <f>SUM(X3573:X3582)</f>
        <v>9747.5</v>
      </c>
    </row>
    <row r="3584" spans="6:24" s="37" customFormat="1" ht="35.1" customHeight="1">
      <c r="G3584" s="73"/>
      <c r="H3584" s="37" t="s">
        <v>3633</v>
      </c>
      <c r="J3584" s="99"/>
      <c r="K3584" s="37">
        <f>K3583/6</f>
        <v>315.55</v>
      </c>
      <c r="S3584" s="452"/>
      <c r="T3584" s="453"/>
      <c r="U3584" s="452" t="s">
        <v>3174</v>
      </c>
      <c r="V3584" s="452"/>
      <c r="W3584" s="454"/>
      <c r="X3584" s="452">
        <f>X3583/S3574</f>
        <v>2990.03</v>
      </c>
    </row>
    <row r="3585" spans="6:24" ht="35.1" customHeight="1">
      <c r="H3585" s="37" t="s">
        <v>3635</v>
      </c>
    </row>
    <row r="3586" spans="6:24" ht="35.1" customHeight="1">
      <c r="F3586">
        <v>49</v>
      </c>
      <c r="G3586" s="3" t="s">
        <v>3391</v>
      </c>
      <c r="H3586" t="s">
        <v>3636</v>
      </c>
      <c r="I3586">
        <f>I3576</f>
        <v>33</v>
      </c>
      <c r="J3586" s="11" t="s">
        <v>2280</v>
      </c>
      <c r="K3586">
        <f>F3586*I3586</f>
        <v>1617</v>
      </c>
      <c r="S3586" s="452"/>
      <c r="T3586" s="453"/>
      <c r="U3586" s="452" t="s">
        <v>3989</v>
      </c>
      <c r="V3586" s="452"/>
      <c r="W3586" s="454"/>
    </row>
    <row r="3587" spans="6:24" ht="35.1" customHeight="1">
      <c r="F3587">
        <v>0.3</v>
      </c>
      <c r="G3587" s="3" t="s">
        <v>1289</v>
      </c>
      <c r="H3587" t="s">
        <v>3637</v>
      </c>
      <c r="I3587">
        <f>I3577</f>
        <v>17600</v>
      </c>
      <c r="J3587" s="11" t="s">
        <v>1289</v>
      </c>
      <c r="K3587">
        <f>F3587*I3587</f>
        <v>5280</v>
      </c>
      <c r="S3587"/>
      <c r="T3587" s="3"/>
      <c r="U3587" s="456" t="s">
        <v>3990</v>
      </c>
      <c r="V3587" s="452">
        <f>1.7*2.325</f>
        <v>3.95</v>
      </c>
      <c r="W3587" s="11"/>
    </row>
    <row r="3588" spans="6:24" ht="35.1" customHeight="1">
      <c r="H3588" s="37" t="s">
        <v>3638</v>
      </c>
      <c r="K3588" s="37">
        <f>SUM(K3586:K3587)</f>
        <v>6897</v>
      </c>
      <c r="S3588" s="452">
        <f>V3587</f>
        <v>3.95</v>
      </c>
      <c r="T3588" s="453" t="s">
        <v>578</v>
      </c>
      <c r="U3588" s="452" t="s">
        <v>3548</v>
      </c>
      <c r="V3588" s="452">
        <f>V3573</f>
        <v>2233</v>
      </c>
      <c r="W3588" s="453" t="s">
        <v>578</v>
      </c>
      <c r="X3588" s="452">
        <f>V3588*S3588</f>
        <v>8820.35</v>
      </c>
    </row>
    <row r="3589" spans="6:24" ht="35.1" customHeight="1">
      <c r="H3589" s="37" t="s">
        <v>3629</v>
      </c>
      <c r="K3589" s="37">
        <f>K3588/10</f>
        <v>689.7</v>
      </c>
      <c r="S3589" s="452">
        <f>S3588</f>
        <v>3.95</v>
      </c>
      <c r="T3589" s="453" t="s">
        <v>578</v>
      </c>
      <c r="U3589" s="452" t="s">
        <v>3549</v>
      </c>
      <c r="V3589" s="452">
        <f t="shared" ref="V3589:V3596" si="345">V3574</f>
        <v>285</v>
      </c>
      <c r="W3589" s="453" t="s">
        <v>578</v>
      </c>
      <c r="X3589" s="452">
        <f t="shared" ref="X3589:X3596" si="346">V3589*S3589</f>
        <v>1125.75</v>
      </c>
    </row>
    <row r="3590" spans="6:24" ht="35.1" customHeight="1">
      <c r="F3590">
        <v>2</v>
      </c>
      <c r="G3590" s="3" t="s">
        <v>244</v>
      </c>
      <c r="H3590" s="442" t="s">
        <v>142</v>
      </c>
      <c r="I3590">
        <f>I3581</f>
        <v>562</v>
      </c>
      <c r="J3590" s="11" t="s">
        <v>244</v>
      </c>
      <c r="K3590">
        <f>F3590*I3590</f>
        <v>1124</v>
      </c>
      <c r="S3590" s="452">
        <v>4</v>
      </c>
      <c r="T3590" s="453" t="s">
        <v>739</v>
      </c>
      <c r="U3590" s="452" t="s">
        <v>3550</v>
      </c>
      <c r="V3590" s="452">
        <f t="shared" si="345"/>
        <v>53.4</v>
      </c>
      <c r="W3590" s="453" t="s">
        <v>739</v>
      </c>
      <c r="X3590" s="452">
        <f t="shared" si="346"/>
        <v>213.6</v>
      </c>
    </row>
    <row r="3591" spans="6:24" ht="35.1" customHeight="1">
      <c r="H3591" s="442" t="s">
        <v>3639</v>
      </c>
      <c r="K3591">
        <v>4.3499999999999996</v>
      </c>
      <c r="S3591" s="452">
        <v>8</v>
      </c>
      <c r="T3591" s="453" t="s">
        <v>739</v>
      </c>
      <c r="U3591" s="452" t="s">
        <v>3551</v>
      </c>
      <c r="V3591" s="452">
        <f t="shared" si="345"/>
        <v>83</v>
      </c>
      <c r="W3591" s="453" t="s">
        <v>739</v>
      </c>
      <c r="X3591" s="452">
        <f t="shared" si="346"/>
        <v>664</v>
      </c>
    </row>
    <row r="3592" spans="6:24" ht="35.1" customHeight="1">
      <c r="H3592" s="442" t="s">
        <v>3640</v>
      </c>
      <c r="K3592">
        <f>SUM(K3589:K3591)</f>
        <v>1818.05</v>
      </c>
      <c r="S3592" s="452">
        <v>4</v>
      </c>
      <c r="T3592" s="453" t="s">
        <v>739</v>
      </c>
      <c r="U3592" s="452" t="s">
        <v>3552</v>
      </c>
      <c r="V3592" s="452">
        <f t="shared" si="345"/>
        <v>60</v>
      </c>
      <c r="W3592" s="453" t="s">
        <v>739</v>
      </c>
      <c r="X3592" s="452">
        <f t="shared" si="346"/>
        <v>240</v>
      </c>
    </row>
    <row r="3593" spans="6:24" ht="35.1" customHeight="1">
      <c r="H3593" s="37" t="s">
        <v>3641</v>
      </c>
      <c r="I3593" s="37"/>
      <c r="J3593" s="99"/>
      <c r="K3593" s="37">
        <f>K3592/6</f>
        <v>303.01</v>
      </c>
      <c r="S3593" s="452">
        <v>1</v>
      </c>
      <c r="T3593" s="453" t="s">
        <v>739</v>
      </c>
      <c r="U3593" s="452" t="s">
        <v>2379</v>
      </c>
      <c r="V3593" s="452">
        <f t="shared" si="345"/>
        <v>167.6</v>
      </c>
      <c r="W3593" s="453" t="s">
        <v>739</v>
      </c>
      <c r="X3593" s="452">
        <f t="shared" si="346"/>
        <v>167.6</v>
      </c>
    </row>
    <row r="3594" spans="6:24" s="37" customFormat="1" ht="35.1" customHeight="1">
      <c r="G3594" s="73"/>
      <c r="H3594" s="442" t="s">
        <v>3642</v>
      </c>
      <c r="I3594" s="442"/>
      <c r="J3594" s="482"/>
      <c r="K3594" s="442">
        <f>K3584</f>
        <v>315.55</v>
      </c>
      <c r="S3594" s="452">
        <v>118</v>
      </c>
      <c r="T3594" s="453" t="s">
        <v>739</v>
      </c>
      <c r="U3594" s="452" t="s">
        <v>3553</v>
      </c>
      <c r="V3594" s="452">
        <f t="shared" si="345"/>
        <v>2.39</v>
      </c>
      <c r="W3594" s="453" t="s">
        <v>739</v>
      </c>
      <c r="X3594" s="452">
        <f t="shared" si="346"/>
        <v>282.02</v>
      </c>
    </row>
    <row r="3595" spans="6:24" s="37" customFormat="1" ht="35.1" customHeight="1">
      <c r="G3595" s="73"/>
      <c r="H3595" s="442" t="s">
        <v>3643</v>
      </c>
      <c r="I3595" s="442">
        <f>K3594</f>
        <v>315.55</v>
      </c>
      <c r="J3595" s="482">
        <f>K3593</f>
        <v>303.01</v>
      </c>
      <c r="K3595" s="442">
        <f>SUM(I3595:J3595)</f>
        <v>618.55999999999995</v>
      </c>
      <c r="S3595" s="452">
        <v>2</v>
      </c>
      <c r="T3595" s="453" t="s">
        <v>739</v>
      </c>
      <c r="U3595" s="452" t="s">
        <v>3554</v>
      </c>
      <c r="V3595" s="452">
        <f t="shared" si="345"/>
        <v>22.9</v>
      </c>
      <c r="W3595" s="453" t="s">
        <v>739</v>
      </c>
      <c r="X3595" s="452">
        <f t="shared" si="346"/>
        <v>45.8</v>
      </c>
    </row>
    <row r="3596" spans="6:24" s="37" customFormat="1" ht="35.1" customHeight="1">
      <c r="G3596" s="73"/>
      <c r="H3596" s="442" t="s">
        <v>3644</v>
      </c>
      <c r="I3596" s="442">
        <f>K3595</f>
        <v>618.55999999999995</v>
      </c>
      <c r="J3596" s="482">
        <f>J3595</f>
        <v>303.01</v>
      </c>
      <c r="K3596" s="442">
        <f>SUM(I3596:J3596)</f>
        <v>921.57</v>
      </c>
      <c r="S3596" s="452">
        <v>2</v>
      </c>
      <c r="T3596" s="453" t="s">
        <v>739</v>
      </c>
      <c r="U3596" s="452" t="s">
        <v>3555</v>
      </c>
      <c r="V3596" s="452">
        <f t="shared" si="345"/>
        <v>45.9</v>
      </c>
      <c r="W3596" s="453" t="s">
        <v>739</v>
      </c>
      <c r="X3596" s="452">
        <f t="shared" si="346"/>
        <v>91.8</v>
      </c>
    </row>
    <row r="3597" spans="6:24" s="37" customFormat="1" ht="35.1" customHeight="1">
      <c r="G3597" s="73"/>
      <c r="H3597" s="442" t="s">
        <v>3645</v>
      </c>
      <c r="I3597" s="442">
        <f>K3596</f>
        <v>921.57</v>
      </c>
      <c r="J3597" s="482">
        <f>J3596</f>
        <v>303.01</v>
      </c>
      <c r="K3597" s="442">
        <f>SUM(I3597:J3597)</f>
        <v>1224.58</v>
      </c>
      <c r="S3597" s="455"/>
      <c r="T3597" s="453"/>
      <c r="U3597" s="452"/>
      <c r="V3597" s="452"/>
      <c r="W3597" s="453" t="s">
        <v>578</v>
      </c>
      <c r="X3597" s="452">
        <f>V3597*S3597</f>
        <v>0</v>
      </c>
    </row>
    <row r="3598" spans="6:24" s="37" customFormat="1" ht="35.1" customHeight="1">
      <c r="G3598" s="73"/>
      <c r="H3598" s="442" t="s">
        <v>3646</v>
      </c>
      <c r="I3598" s="442">
        <f>K3597</f>
        <v>1224.58</v>
      </c>
      <c r="J3598" s="482">
        <f>J3597</f>
        <v>303.01</v>
      </c>
      <c r="K3598" s="442">
        <f>SUM(I3598:J3598)</f>
        <v>1527.59</v>
      </c>
      <c r="S3598" s="452"/>
      <c r="T3598" s="453"/>
      <c r="U3598" s="452" t="s">
        <v>3991</v>
      </c>
      <c r="V3598" s="452"/>
      <c r="W3598" s="454"/>
      <c r="X3598" s="452">
        <f>SUM(X3588:X3597)</f>
        <v>11650.92</v>
      </c>
    </row>
    <row r="3599" spans="6:24" ht="24" customHeight="1">
      <c r="S3599" s="452"/>
      <c r="T3599" s="453"/>
      <c r="U3599" s="452" t="s">
        <v>3174</v>
      </c>
      <c r="V3599" s="452"/>
      <c r="W3599" s="454"/>
      <c r="X3599" s="452">
        <f>X3598/S3589</f>
        <v>2949.6</v>
      </c>
    </row>
    <row r="3600" spans="6:24" ht="24" customHeight="1">
      <c r="F3600" s="2"/>
      <c r="G3600" s="7" t="s">
        <v>2167</v>
      </c>
      <c r="H3600" s="34" t="s">
        <v>3712</v>
      </c>
      <c r="L3600" s="11"/>
      <c r="S3600"/>
      <c r="T3600" s="3"/>
      <c r="U3600" s="452"/>
      <c r="W3600" s="11"/>
      <c r="X3600" s="452"/>
    </row>
    <row r="3601" spans="6:24" ht="24" customHeight="1">
      <c r="H3601" s="34" t="s">
        <v>3713</v>
      </c>
      <c r="L3601" s="1"/>
    </row>
    <row r="3602" spans="6:24" ht="24" customHeight="1">
      <c r="H3602" s="5" t="s">
        <v>1530</v>
      </c>
      <c r="L3602" s="1"/>
    </row>
    <row r="3603" spans="6:24" ht="24" customHeight="1">
      <c r="F3603" s="19">
        <v>7.0699999999999999E-2</v>
      </c>
      <c r="G3603" s="7" t="s">
        <v>1289</v>
      </c>
      <c r="H3603" s="1" t="s">
        <v>1290</v>
      </c>
      <c r="I3603" s="8">
        <f>I2817</f>
        <v>99400</v>
      </c>
      <c r="J3603" s="1" t="s">
        <v>836</v>
      </c>
      <c r="K3603" s="8">
        <f t="shared" ref="K3603:K3611" si="347">(F3603*I3603)</f>
        <v>7027.58</v>
      </c>
      <c r="L3603" s="1"/>
      <c r="S3603" s="452"/>
      <c r="T3603" s="453"/>
      <c r="U3603" s="452" t="s">
        <v>3992</v>
      </c>
      <c r="V3603" s="452"/>
      <c r="W3603" s="454"/>
    </row>
    <row r="3604" spans="6:24" ht="24" customHeight="1">
      <c r="F3604" s="19">
        <v>5.16</v>
      </c>
      <c r="G3604" s="7" t="s">
        <v>578</v>
      </c>
      <c r="H3604" s="1" t="s">
        <v>3714</v>
      </c>
      <c r="I3604" s="423">
        <f>AE60</f>
        <v>1334</v>
      </c>
      <c r="J3604" s="1" t="s">
        <v>836</v>
      </c>
      <c r="K3604" s="8">
        <f t="shared" si="347"/>
        <v>6883.44</v>
      </c>
      <c r="L3604" s="1"/>
      <c r="S3604"/>
      <c r="T3604" s="3"/>
      <c r="U3604" s="456" t="s">
        <v>3993</v>
      </c>
      <c r="V3604" s="452">
        <f>1.7*2.025</f>
        <v>3.44</v>
      </c>
      <c r="W3604" s="11"/>
    </row>
    <row r="3605" spans="6:24" ht="24" customHeight="1">
      <c r="F3605" s="19">
        <v>3.6659999999999999</v>
      </c>
      <c r="G3605" s="7" t="s">
        <v>578</v>
      </c>
      <c r="H3605" s="1" t="s">
        <v>3715</v>
      </c>
      <c r="I3605" s="443">
        <f>P1398</f>
        <v>303.89999999999998</v>
      </c>
      <c r="J3605" s="1" t="s">
        <v>578</v>
      </c>
      <c r="K3605" s="8">
        <f t="shared" si="347"/>
        <v>1114.0999999999999</v>
      </c>
      <c r="L3605" s="1"/>
      <c r="S3605" s="452">
        <f>V3604</f>
        <v>3.44</v>
      </c>
      <c r="T3605" s="453" t="s">
        <v>578</v>
      </c>
      <c r="U3605" s="452" t="s">
        <v>3548</v>
      </c>
      <c r="V3605" s="452">
        <f>V3588</f>
        <v>2233</v>
      </c>
      <c r="W3605" s="453" t="s">
        <v>578</v>
      </c>
      <c r="X3605" s="452">
        <f>V3605*S3605</f>
        <v>7681.52</v>
      </c>
    </row>
    <row r="3606" spans="6:24" ht="24" customHeight="1">
      <c r="F3606" s="8">
        <v>22.66</v>
      </c>
      <c r="G3606" s="7" t="s">
        <v>794</v>
      </c>
      <c r="H3606" s="1" t="s">
        <v>3716</v>
      </c>
      <c r="I3606" s="423">
        <v>15.3</v>
      </c>
      <c r="J3606" s="7" t="s">
        <v>794</v>
      </c>
      <c r="K3606" s="8">
        <f t="shared" si="347"/>
        <v>346.7</v>
      </c>
      <c r="L3606" s="1"/>
      <c r="S3606" s="452">
        <f>S3605</f>
        <v>3.44</v>
      </c>
      <c r="T3606" s="453" t="s">
        <v>578</v>
      </c>
      <c r="U3606" s="452" t="s">
        <v>3549</v>
      </c>
      <c r="V3606" s="452">
        <f t="shared" ref="V3606:V3613" si="348">V3589</f>
        <v>285</v>
      </c>
      <c r="W3606" s="453" t="s">
        <v>578</v>
      </c>
      <c r="X3606" s="452">
        <f t="shared" ref="X3606:X3613" si="349">V3606*S3606</f>
        <v>980.4</v>
      </c>
    </row>
    <row r="3607" spans="6:24" ht="24" customHeight="1">
      <c r="F3607" s="8">
        <v>15</v>
      </c>
      <c r="G3607" s="7" t="s">
        <v>835</v>
      </c>
      <c r="H3607" s="1" t="s">
        <v>1460</v>
      </c>
      <c r="I3607" s="423">
        <v>83</v>
      </c>
      <c r="J3607" s="1" t="s">
        <v>835</v>
      </c>
      <c r="K3607" s="8">
        <f>(F3606*I3607)</f>
        <v>1880.78</v>
      </c>
      <c r="L3607" s="1"/>
      <c r="S3607" s="452">
        <v>4</v>
      </c>
      <c r="T3607" s="453" t="s">
        <v>739</v>
      </c>
      <c r="U3607" s="452" t="s">
        <v>3550</v>
      </c>
      <c r="V3607" s="452">
        <f t="shared" si="348"/>
        <v>53.4</v>
      </c>
      <c r="W3607" s="453" t="s">
        <v>739</v>
      </c>
      <c r="X3607" s="452">
        <f t="shared" si="349"/>
        <v>213.6</v>
      </c>
    </row>
    <row r="3608" spans="6:24" ht="24" customHeight="1">
      <c r="F3608" s="8">
        <v>10</v>
      </c>
      <c r="G3608" s="7" t="s">
        <v>835</v>
      </c>
      <c r="H3608" s="1" t="s">
        <v>3717</v>
      </c>
      <c r="I3608" s="423">
        <v>76.2</v>
      </c>
      <c r="J3608" s="1" t="s">
        <v>835</v>
      </c>
      <c r="K3608" s="8">
        <f>(F3607*I3608)</f>
        <v>1143</v>
      </c>
      <c r="L3608" s="1"/>
      <c r="S3608" s="452">
        <v>6</v>
      </c>
      <c r="T3608" s="453" t="s">
        <v>739</v>
      </c>
      <c r="U3608" s="452" t="s">
        <v>3551</v>
      </c>
      <c r="V3608" s="452">
        <f t="shared" si="348"/>
        <v>83</v>
      </c>
      <c r="W3608" s="453" t="s">
        <v>739</v>
      </c>
      <c r="X3608" s="452">
        <f t="shared" si="349"/>
        <v>498</v>
      </c>
    </row>
    <row r="3609" spans="6:24" ht="24" customHeight="1">
      <c r="F3609" s="8">
        <v>5</v>
      </c>
      <c r="G3609" s="7" t="s">
        <v>835</v>
      </c>
      <c r="H3609" s="1" t="s">
        <v>3718</v>
      </c>
      <c r="I3609" s="423">
        <v>53.4</v>
      </c>
      <c r="J3609" s="1" t="s">
        <v>835</v>
      </c>
      <c r="K3609" s="8">
        <f>(F3610*I3609)</f>
        <v>267</v>
      </c>
      <c r="L3609" s="11"/>
      <c r="S3609" s="452">
        <v>4</v>
      </c>
      <c r="T3609" s="453" t="s">
        <v>739</v>
      </c>
      <c r="U3609" s="452" t="s">
        <v>3552</v>
      </c>
      <c r="V3609" s="452">
        <f t="shared" si="348"/>
        <v>60</v>
      </c>
      <c r="W3609" s="453" t="s">
        <v>739</v>
      </c>
      <c r="X3609" s="452">
        <f t="shared" si="349"/>
        <v>240</v>
      </c>
    </row>
    <row r="3610" spans="6:24" ht="24" customHeight="1">
      <c r="F3610" s="8">
        <v>5</v>
      </c>
      <c r="G3610" s="7" t="s">
        <v>835</v>
      </c>
      <c r="H3610" s="1" t="s">
        <v>2029</v>
      </c>
      <c r="I3610" s="545">
        <v>7.3</v>
      </c>
      <c r="J3610" s="1" t="s">
        <v>835</v>
      </c>
      <c r="K3610" s="8">
        <f>(F3608*I3610)</f>
        <v>73</v>
      </c>
      <c r="L3610" s="11"/>
      <c r="S3610" s="452">
        <v>1</v>
      </c>
      <c r="T3610" s="453" t="s">
        <v>739</v>
      </c>
      <c r="U3610" s="452" t="s">
        <v>2379</v>
      </c>
      <c r="V3610" s="452">
        <f t="shared" si="348"/>
        <v>167.6</v>
      </c>
      <c r="W3610" s="453" t="s">
        <v>739</v>
      </c>
      <c r="X3610" s="452">
        <f t="shared" si="349"/>
        <v>167.6</v>
      </c>
    </row>
    <row r="3611" spans="6:24" ht="24" customHeight="1">
      <c r="F3611" s="8">
        <v>10</v>
      </c>
      <c r="H3611" s="1" t="s">
        <v>1102</v>
      </c>
      <c r="I3611" s="8">
        <f>I3433</f>
        <v>2.39</v>
      </c>
      <c r="J3611" s="1" t="s">
        <v>835</v>
      </c>
      <c r="K3611" s="8">
        <f t="shared" si="347"/>
        <v>23.9</v>
      </c>
      <c r="L3611" s="11"/>
      <c r="S3611" s="452">
        <v>118</v>
      </c>
      <c r="T3611" s="453" t="s">
        <v>739</v>
      </c>
      <c r="U3611" s="452" t="s">
        <v>3553</v>
      </c>
      <c r="V3611" s="452">
        <f t="shared" si="348"/>
        <v>2.39</v>
      </c>
      <c r="W3611" s="453" t="s">
        <v>739</v>
      </c>
      <c r="X3611" s="452">
        <f t="shared" si="349"/>
        <v>282.02</v>
      </c>
    </row>
    <row r="3612" spans="6:24" ht="24" customHeight="1">
      <c r="K3612" s="5" t="s">
        <v>1530</v>
      </c>
      <c r="L3612" s="11"/>
      <c r="S3612" s="452">
        <v>2</v>
      </c>
      <c r="T3612" s="453" t="s">
        <v>739</v>
      </c>
      <c r="U3612" s="452" t="s">
        <v>3554</v>
      </c>
      <c r="V3612" s="452">
        <f t="shared" si="348"/>
        <v>22.9</v>
      </c>
      <c r="W3612" s="453" t="s">
        <v>739</v>
      </c>
      <c r="X3612" s="452">
        <f t="shared" si="349"/>
        <v>45.8</v>
      </c>
    </row>
    <row r="3613" spans="6:24" ht="24" customHeight="1">
      <c r="H3613" s="2" t="s">
        <v>3719</v>
      </c>
      <c r="K3613" s="8">
        <f>SUM(K3599:K3611)</f>
        <v>18759.5</v>
      </c>
      <c r="L3613" s="11"/>
      <c r="S3613" s="452">
        <v>2</v>
      </c>
      <c r="T3613" s="453" t="s">
        <v>739</v>
      </c>
      <c r="U3613" s="452" t="s">
        <v>3555</v>
      </c>
      <c r="V3613" s="452">
        <f t="shared" si="348"/>
        <v>45.9</v>
      </c>
      <c r="W3613" s="453" t="s">
        <v>739</v>
      </c>
      <c r="X3613" s="452">
        <f t="shared" si="349"/>
        <v>91.8</v>
      </c>
    </row>
    <row r="3614" spans="6:24" ht="24" customHeight="1">
      <c r="K3614" s="5" t="s">
        <v>1530</v>
      </c>
      <c r="L3614" s="11"/>
      <c r="S3614" s="455"/>
      <c r="T3614" s="453"/>
      <c r="U3614" s="452"/>
      <c r="V3614" s="452"/>
      <c r="W3614" s="453" t="s">
        <v>578</v>
      </c>
      <c r="X3614" s="452">
        <f>V3614*S3614</f>
        <v>0</v>
      </c>
    </row>
    <row r="3615" spans="6:24" ht="24" customHeight="1">
      <c r="H3615" s="59" t="s">
        <v>521</v>
      </c>
      <c r="I3615" s="1" t="s">
        <v>940</v>
      </c>
      <c r="K3615" s="39">
        <f>K3613/F3604</f>
        <v>3635.56</v>
      </c>
      <c r="S3615" s="452"/>
      <c r="T3615" s="453"/>
      <c r="U3615" s="452" t="s">
        <v>3994</v>
      </c>
      <c r="V3615" s="452"/>
      <c r="W3615" s="454"/>
      <c r="X3615" s="452">
        <f>SUM(X3605:X3614)</f>
        <v>10200.74</v>
      </c>
    </row>
    <row r="3616" spans="6:24" ht="24" customHeight="1">
      <c r="K3616" s="5" t="s">
        <v>1980</v>
      </c>
      <c r="S3616" s="452"/>
      <c r="T3616" s="453"/>
      <c r="U3616" s="452" t="s">
        <v>3174</v>
      </c>
      <c r="V3616" s="452"/>
      <c r="W3616" s="454"/>
      <c r="X3616" s="452">
        <f>X3615/S3606</f>
        <v>2965.33</v>
      </c>
    </row>
    <row r="3617" spans="6:24" ht="24" customHeight="1">
      <c r="F3617" s="2" t="s">
        <v>1561</v>
      </c>
      <c r="G3617" s="7" t="s">
        <v>2167</v>
      </c>
      <c r="H3617" s="1" t="s">
        <v>3732</v>
      </c>
      <c r="S3617"/>
    </row>
    <row r="3618" spans="6:24" ht="24" customHeight="1">
      <c r="H3618" s="1" t="s">
        <v>3733</v>
      </c>
      <c r="S3618" s="452"/>
      <c r="T3618" s="453"/>
      <c r="U3618" s="452" t="s">
        <v>4562</v>
      </c>
      <c r="V3618" s="452"/>
      <c r="W3618" s="454"/>
    </row>
    <row r="3619" spans="6:24" ht="18.75" customHeight="1">
      <c r="H3619" s="5" t="s">
        <v>1530</v>
      </c>
      <c r="S3619"/>
      <c r="T3619" s="3"/>
      <c r="U3619" s="456" t="s">
        <v>4563</v>
      </c>
      <c r="W3619" s="11">
        <f>1.1*2.025</f>
        <v>2.23</v>
      </c>
    </row>
    <row r="3620" spans="6:24" ht="18.75" customHeight="1">
      <c r="H3620" s="120" t="s">
        <v>3734</v>
      </c>
      <c r="I3620" s="115" t="s">
        <v>1980</v>
      </c>
      <c r="J3620" s="387">
        <f>0.65*0.65</f>
        <v>0.42249999999999999</v>
      </c>
      <c r="K3620" s="111" t="s">
        <v>2199</v>
      </c>
      <c r="S3620" s="452">
        <f>W3619</f>
        <v>2.23</v>
      </c>
      <c r="T3620" s="453" t="s">
        <v>578</v>
      </c>
      <c r="U3620" s="452" t="s">
        <v>3548</v>
      </c>
      <c r="V3620" s="452">
        <f>AE3557</f>
        <v>2233</v>
      </c>
      <c r="W3620" s="453" t="s">
        <v>578</v>
      </c>
      <c r="X3620" s="452">
        <f>V3620*S3620</f>
        <v>4979.59</v>
      </c>
    </row>
    <row r="3621" spans="6:24" ht="18.75" customHeight="1">
      <c r="H3621" s="120"/>
      <c r="I3621" s="115"/>
      <c r="J3621" s="386"/>
      <c r="K3621" s="111"/>
      <c r="S3621" s="452">
        <f>S3620</f>
        <v>2.23</v>
      </c>
      <c r="T3621" s="453" t="s">
        <v>578</v>
      </c>
      <c r="U3621" s="452" t="s">
        <v>3549</v>
      </c>
      <c r="V3621" s="452">
        <f>V3606</f>
        <v>285</v>
      </c>
      <c r="W3621" s="453" t="s">
        <v>578</v>
      </c>
      <c r="X3621" s="452">
        <f t="shared" ref="X3621:X3628" si="350">V3621*S3621</f>
        <v>635.54999999999995</v>
      </c>
    </row>
    <row r="3622" spans="6:24" ht="18.75" customHeight="1">
      <c r="H3622" s="120" t="s">
        <v>3736</v>
      </c>
      <c r="I3622" s="115" t="s">
        <v>1980</v>
      </c>
      <c r="J3622" s="387">
        <v>5.1999999999999998E-2</v>
      </c>
      <c r="K3622" s="111" t="s">
        <v>2070</v>
      </c>
      <c r="S3622" s="452">
        <v>4</v>
      </c>
      <c r="T3622" s="453" t="s">
        <v>739</v>
      </c>
      <c r="U3622" s="452" t="s">
        <v>3550</v>
      </c>
      <c r="V3622" s="452">
        <f t="shared" ref="V3622:V3628" si="351">AE3559</f>
        <v>53.4</v>
      </c>
      <c r="W3622" s="453" t="s">
        <v>739</v>
      </c>
      <c r="X3622" s="452">
        <f t="shared" si="350"/>
        <v>213.6</v>
      </c>
    </row>
    <row r="3623" spans="6:24" ht="18.75" customHeight="1">
      <c r="H3623" s="120" t="s">
        <v>3208</v>
      </c>
      <c r="J3623" s="388"/>
      <c r="K3623" s="111"/>
      <c r="S3623" s="452">
        <v>6</v>
      </c>
      <c r="T3623" s="453" t="s">
        <v>739</v>
      </c>
      <c r="U3623" s="452" t="s">
        <v>3551</v>
      </c>
      <c r="V3623" s="452">
        <f t="shared" si="351"/>
        <v>83</v>
      </c>
      <c r="W3623" s="453" t="s">
        <v>739</v>
      </c>
      <c r="X3623" s="452">
        <f t="shared" si="350"/>
        <v>498</v>
      </c>
    </row>
    <row r="3624" spans="6:24" ht="18.75" customHeight="1">
      <c r="H3624" s="120" t="s">
        <v>3735</v>
      </c>
      <c r="I3624" s="115" t="s">
        <v>1980</v>
      </c>
      <c r="J3624" s="389">
        <v>1.772E-2</v>
      </c>
      <c r="K3624" s="111"/>
      <c r="S3624" s="452">
        <v>4</v>
      </c>
      <c r="T3624" s="453" t="s">
        <v>739</v>
      </c>
      <c r="U3624" s="452" t="s">
        <v>3552</v>
      </c>
      <c r="V3624" s="452">
        <f t="shared" si="351"/>
        <v>60</v>
      </c>
      <c r="W3624" s="453" t="s">
        <v>739</v>
      </c>
      <c r="X3624" s="452">
        <f t="shared" si="350"/>
        <v>240</v>
      </c>
    </row>
    <row r="3625" spans="6:24" ht="18.75" customHeight="1">
      <c r="H3625" s="5"/>
      <c r="S3625" s="452">
        <v>1</v>
      </c>
      <c r="T3625" s="453" t="s">
        <v>739</v>
      </c>
      <c r="U3625" s="452" t="s">
        <v>2379</v>
      </c>
      <c r="V3625" s="452">
        <f t="shared" si="351"/>
        <v>167.6</v>
      </c>
      <c r="W3625" s="453" t="s">
        <v>739</v>
      </c>
      <c r="X3625" s="452">
        <f t="shared" si="350"/>
        <v>167.6</v>
      </c>
    </row>
    <row r="3626" spans="6:24" ht="24" customHeight="1">
      <c r="F3626" s="19">
        <v>5.3E-3</v>
      </c>
      <c r="G3626" s="7" t="s">
        <v>1289</v>
      </c>
      <c r="H3626" s="1" t="s">
        <v>1290</v>
      </c>
      <c r="I3626" s="8">
        <f>I3603</f>
        <v>99400</v>
      </c>
      <c r="J3626" s="1" t="s">
        <v>836</v>
      </c>
      <c r="K3626" s="8">
        <f t="shared" ref="K3626:K3632" si="352">(F3626*I3626)</f>
        <v>526.82000000000005</v>
      </c>
      <c r="S3626" s="452">
        <v>118</v>
      </c>
      <c r="T3626" s="453" t="s">
        <v>739</v>
      </c>
      <c r="U3626" s="452" t="s">
        <v>3553</v>
      </c>
      <c r="V3626" s="452">
        <f t="shared" si="351"/>
        <v>2.39</v>
      </c>
      <c r="W3626" s="453" t="s">
        <v>739</v>
      </c>
      <c r="X3626" s="452">
        <f t="shared" si="350"/>
        <v>282.02</v>
      </c>
    </row>
    <row r="3627" spans="6:24" ht="24" customHeight="1">
      <c r="F3627" s="19">
        <v>0.27450000000000002</v>
      </c>
      <c r="G3627" s="7" t="s">
        <v>578</v>
      </c>
      <c r="H3627" s="1" t="str">
        <f>H3605</f>
        <v>4 mm thicj frosted glass</v>
      </c>
      <c r="I3627" s="8">
        <f>I3605</f>
        <v>303.89999999999998</v>
      </c>
      <c r="J3627" s="1" t="s">
        <v>836</v>
      </c>
      <c r="K3627" s="8">
        <f t="shared" si="352"/>
        <v>83.42</v>
      </c>
      <c r="S3627" s="452">
        <v>2</v>
      </c>
      <c r="T3627" s="453" t="s">
        <v>739</v>
      </c>
      <c r="U3627" s="452" t="s">
        <v>3554</v>
      </c>
      <c r="V3627" s="452">
        <f t="shared" si="351"/>
        <v>22.9</v>
      </c>
      <c r="W3627" s="453" t="s">
        <v>739</v>
      </c>
      <c r="X3627" s="452">
        <f t="shared" si="350"/>
        <v>45.8</v>
      </c>
    </row>
    <row r="3628" spans="6:24" ht="24" customHeight="1">
      <c r="F3628" s="19">
        <v>0.4</v>
      </c>
      <c r="G3628" s="7" t="s">
        <v>578</v>
      </c>
      <c r="H3628" s="1" t="s">
        <v>2012</v>
      </c>
      <c r="I3628" s="8">
        <f>AE34</f>
        <v>1035</v>
      </c>
      <c r="J3628" s="1" t="s">
        <v>578</v>
      </c>
      <c r="K3628" s="8">
        <f t="shared" si="352"/>
        <v>414</v>
      </c>
      <c r="S3628" s="452">
        <v>2</v>
      </c>
      <c r="T3628" s="453" t="s">
        <v>739</v>
      </c>
      <c r="U3628" s="452" t="s">
        <v>3555</v>
      </c>
      <c r="V3628" s="452">
        <f t="shared" si="351"/>
        <v>45.9</v>
      </c>
      <c r="W3628" s="453" t="s">
        <v>739</v>
      </c>
      <c r="X3628" s="452">
        <f t="shared" si="350"/>
        <v>91.8</v>
      </c>
    </row>
    <row r="3629" spans="6:24" ht="24" customHeight="1">
      <c r="F3629" s="8">
        <v>2</v>
      </c>
      <c r="G3629" s="7" t="s">
        <v>1924</v>
      </c>
      <c r="H3629" s="1" t="s">
        <v>1925</v>
      </c>
      <c r="I3629" s="545">
        <v>148</v>
      </c>
      <c r="J3629" s="1" t="s">
        <v>1924</v>
      </c>
      <c r="K3629" s="8">
        <f t="shared" si="352"/>
        <v>296</v>
      </c>
      <c r="S3629" s="455"/>
      <c r="T3629" s="453" t="s">
        <v>578</v>
      </c>
      <c r="U3629" s="452"/>
      <c r="W3629" s="453" t="s">
        <v>578</v>
      </c>
      <c r="X3629" s="452">
        <f>V3628*S3629</f>
        <v>0</v>
      </c>
    </row>
    <row r="3630" spans="6:24" ht="24" customHeight="1">
      <c r="F3630" s="8">
        <v>1</v>
      </c>
      <c r="G3630" s="7" t="s">
        <v>835</v>
      </c>
      <c r="H3630" s="1" t="s">
        <v>1926</v>
      </c>
      <c r="I3630" s="8">
        <f>C2811</f>
        <v>0</v>
      </c>
      <c r="J3630" s="1" t="s">
        <v>835</v>
      </c>
      <c r="K3630" s="8">
        <f t="shared" si="352"/>
        <v>0</v>
      </c>
      <c r="S3630" s="452"/>
      <c r="T3630" s="453"/>
      <c r="U3630" s="452" t="s">
        <v>3557</v>
      </c>
      <c r="V3630" s="452"/>
      <c r="W3630" s="454"/>
      <c r="X3630" s="452">
        <f>SUM(X3620:X3629)</f>
        <v>7153.96</v>
      </c>
    </row>
    <row r="3631" spans="6:24" ht="24" customHeight="1">
      <c r="F3631" s="8">
        <v>1</v>
      </c>
      <c r="G3631" s="7" t="s">
        <v>835</v>
      </c>
      <c r="H3631" s="1" t="s">
        <v>1927</v>
      </c>
      <c r="I3631" s="8">
        <f>C2809</f>
        <v>0</v>
      </c>
      <c r="J3631" s="1" t="s">
        <v>835</v>
      </c>
      <c r="K3631" s="8">
        <f t="shared" si="352"/>
        <v>0</v>
      </c>
      <c r="S3631" s="452"/>
      <c r="T3631" s="453"/>
      <c r="U3631" s="452" t="s">
        <v>3174</v>
      </c>
      <c r="V3631" s="452"/>
      <c r="W3631" s="454"/>
      <c r="X3631" s="452">
        <f>X3630/S3621</f>
        <v>3208.05</v>
      </c>
    </row>
    <row r="3632" spans="6:24" ht="24" customHeight="1">
      <c r="F3632" s="8">
        <v>10</v>
      </c>
      <c r="H3632" s="1" t="s">
        <v>1102</v>
      </c>
      <c r="I3632" s="8">
        <f>I3611</f>
        <v>2.39</v>
      </c>
      <c r="J3632" s="1" t="s">
        <v>835</v>
      </c>
      <c r="K3632" s="8">
        <f t="shared" si="352"/>
        <v>23.9</v>
      </c>
    </row>
    <row r="3633" spans="6:24" ht="24" customHeight="1">
      <c r="K3633" s="5" t="s">
        <v>1530</v>
      </c>
      <c r="S3633"/>
      <c r="U3633" s="34" t="s">
        <v>1684</v>
      </c>
    </row>
    <row r="3634" spans="6:24" ht="24" customHeight="1">
      <c r="H3634" s="2" t="s">
        <v>34</v>
      </c>
      <c r="K3634" s="8">
        <f>SUM(K3616:K3632)</f>
        <v>1344.14</v>
      </c>
      <c r="S3634"/>
      <c r="U3634" s="40" t="s">
        <v>3811</v>
      </c>
    </row>
    <row r="3635" spans="6:24" ht="24" customHeight="1">
      <c r="K3635" s="5" t="s">
        <v>1530</v>
      </c>
      <c r="S3635"/>
    </row>
    <row r="3636" spans="6:24" ht="24" customHeight="1">
      <c r="H3636" s="59" t="s">
        <v>521</v>
      </c>
      <c r="I3636" s="1" t="s">
        <v>940</v>
      </c>
      <c r="K3636" s="39">
        <f>K3634/F3628</f>
        <v>3360.35</v>
      </c>
      <c r="S3636"/>
    </row>
    <row r="3637" spans="6:24" ht="24" customHeight="1">
      <c r="F3637" s="1" t="s">
        <v>940</v>
      </c>
      <c r="S3637" s="76">
        <v>2.2800000000000001E-2</v>
      </c>
      <c r="T3637" s="54" t="s">
        <v>836</v>
      </c>
      <c r="U3637" s="55" t="s">
        <v>3073</v>
      </c>
      <c r="V3637" s="55">
        <f>V3615</f>
        <v>0</v>
      </c>
      <c r="W3637" s="72" t="s">
        <v>836</v>
      </c>
      <c r="X3637" s="55">
        <f>V3637*S3637</f>
        <v>0</v>
      </c>
    </row>
    <row r="3638" spans="6:24" ht="24" customHeight="1">
      <c r="K3638" s="5" t="s">
        <v>1980</v>
      </c>
      <c r="S3638" s="76">
        <v>3.5400000000000001E-2</v>
      </c>
      <c r="T3638" s="54" t="s">
        <v>836</v>
      </c>
      <c r="U3638" s="55" t="s">
        <v>2413</v>
      </c>
      <c r="V3638" s="55">
        <f>V3616</f>
        <v>0</v>
      </c>
      <c r="W3638" s="72" t="s">
        <v>836</v>
      </c>
      <c r="X3638" s="55">
        <f t="shared" ref="X3638:X3647" si="353">V3638*S3638</f>
        <v>0</v>
      </c>
    </row>
    <row r="3639" spans="6:24" ht="24" customHeight="1">
      <c r="F3639">
        <v>45</v>
      </c>
      <c r="H3639" s="1539" t="s">
        <v>3880</v>
      </c>
      <c r="I3639" s="1539"/>
      <c r="J3639" s="1539"/>
      <c r="S3639" s="77">
        <v>3.2300000000000002E-2</v>
      </c>
      <c r="T3639" s="54" t="s">
        <v>836</v>
      </c>
      <c r="U3639" s="55" t="s">
        <v>900</v>
      </c>
      <c r="V3639" s="55">
        <f>V3617</f>
        <v>0</v>
      </c>
      <c r="W3639" s="72" t="s">
        <v>836</v>
      </c>
      <c r="X3639" s="55">
        <f t="shared" si="353"/>
        <v>0</v>
      </c>
    </row>
    <row r="3640" spans="6:24" ht="24" customHeight="1">
      <c r="H3640" s="1539"/>
      <c r="I3640" s="1539"/>
      <c r="J3640" s="1539"/>
      <c r="S3640" s="74">
        <v>2.835</v>
      </c>
      <c r="T3640" s="54" t="s">
        <v>578</v>
      </c>
      <c r="U3640" s="55" t="s">
        <v>850</v>
      </c>
      <c r="V3640" s="55">
        <v>698</v>
      </c>
      <c r="W3640" s="72" t="s">
        <v>578</v>
      </c>
      <c r="X3640" s="55">
        <f t="shared" si="353"/>
        <v>1978.83</v>
      </c>
    </row>
    <row r="3641" spans="6:24" ht="24" customHeight="1">
      <c r="S3641" s="55">
        <v>2</v>
      </c>
      <c r="T3641" s="54" t="s">
        <v>1807</v>
      </c>
      <c r="U3641" t="s">
        <v>3655</v>
      </c>
      <c r="V3641" s="526">
        <v>450</v>
      </c>
      <c r="W3641" s="72" t="s">
        <v>1341</v>
      </c>
      <c r="X3641" s="55">
        <f t="shared" si="353"/>
        <v>900</v>
      </c>
    </row>
    <row r="3642" spans="6:24" ht="33" customHeight="1">
      <c r="F3642" s="8">
        <v>0.15</v>
      </c>
      <c r="G3642" s="3" t="s">
        <v>836</v>
      </c>
      <c r="H3642" s="28" t="s">
        <v>4868</v>
      </c>
      <c r="I3642" s="435">
        <f>90.2/0.0354</f>
        <v>2548.02</v>
      </c>
      <c r="J3642" s="11" t="s">
        <v>836</v>
      </c>
      <c r="K3642">
        <f t="shared" ref="K3642:K3647" si="354">I3642*F3642</f>
        <v>382.2</v>
      </c>
      <c r="S3642" s="55">
        <v>6</v>
      </c>
      <c r="T3642" s="54" t="s">
        <v>1807</v>
      </c>
      <c r="U3642" t="s">
        <v>3656</v>
      </c>
      <c r="V3642" s="526">
        <v>79</v>
      </c>
      <c r="W3642" s="72" t="s">
        <v>1341</v>
      </c>
      <c r="X3642" s="55">
        <f t="shared" si="353"/>
        <v>474</v>
      </c>
    </row>
    <row r="3643" spans="6:24" ht="24" customHeight="1">
      <c r="F3643" s="16">
        <v>7.1999999999999995E-2</v>
      </c>
      <c r="G3643" s="3" t="s">
        <v>828</v>
      </c>
      <c r="H3643" t="s">
        <v>829</v>
      </c>
      <c r="I3643">
        <f>I1648</f>
        <v>5960</v>
      </c>
      <c r="J3643" s="11" t="s">
        <v>828</v>
      </c>
      <c r="K3643">
        <f t="shared" si="354"/>
        <v>429.12</v>
      </c>
      <c r="S3643" s="55">
        <v>4</v>
      </c>
      <c r="T3643" s="54" t="s">
        <v>1807</v>
      </c>
      <c r="U3643" t="s">
        <v>3657</v>
      </c>
      <c r="V3643" s="526">
        <v>130</v>
      </c>
      <c r="W3643" s="72" t="s">
        <v>1341</v>
      </c>
      <c r="X3643" s="55">
        <f t="shared" si="353"/>
        <v>520</v>
      </c>
    </row>
    <row r="3644" spans="6:24" ht="24" customHeight="1">
      <c r="F3644" s="8">
        <v>1.6</v>
      </c>
      <c r="G3644" s="3" t="s">
        <v>739</v>
      </c>
      <c r="H3644" t="s">
        <v>1938</v>
      </c>
      <c r="I3644">
        <f>I1649</f>
        <v>861</v>
      </c>
      <c r="J3644" s="11" t="s">
        <v>739</v>
      </c>
      <c r="K3644">
        <f t="shared" si="354"/>
        <v>1377.6</v>
      </c>
      <c r="S3644" s="55">
        <v>1</v>
      </c>
      <c r="T3644" s="54" t="s">
        <v>1807</v>
      </c>
      <c r="U3644" t="s">
        <v>3658</v>
      </c>
      <c r="V3644" s="526">
        <v>985</v>
      </c>
      <c r="W3644" s="72" t="s">
        <v>1341</v>
      </c>
      <c r="X3644" s="55">
        <f t="shared" si="353"/>
        <v>985</v>
      </c>
    </row>
    <row r="3645" spans="6:24" ht="24" customHeight="1">
      <c r="F3645" s="8">
        <v>0.5</v>
      </c>
      <c r="G3645" s="3" t="s">
        <v>739</v>
      </c>
      <c r="H3645" t="s">
        <v>1836</v>
      </c>
      <c r="I3645">
        <f>I1650</f>
        <v>562</v>
      </c>
      <c r="J3645" s="11" t="s">
        <v>739</v>
      </c>
      <c r="K3645">
        <f t="shared" si="354"/>
        <v>281</v>
      </c>
      <c r="S3645" s="55">
        <v>2</v>
      </c>
      <c r="T3645" s="54" t="s">
        <v>1807</v>
      </c>
      <c r="U3645" t="s">
        <v>3650</v>
      </c>
      <c r="V3645" s="526">
        <v>24.2</v>
      </c>
      <c r="W3645" s="72" t="s">
        <v>1341</v>
      </c>
      <c r="X3645" s="55">
        <f t="shared" si="353"/>
        <v>48.4</v>
      </c>
    </row>
    <row r="3646" spans="6:24" ht="24" customHeight="1">
      <c r="F3646" s="8">
        <v>1.1000000000000001</v>
      </c>
      <c r="G3646" s="3" t="s">
        <v>739</v>
      </c>
      <c r="H3646" t="s">
        <v>299</v>
      </c>
      <c r="I3646">
        <f>I1651</f>
        <v>461</v>
      </c>
      <c r="J3646" s="11" t="s">
        <v>739</v>
      </c>
      <c r="K3646">
        <f t="shared" si="354"/>
        <v>507.1</v>
      </c>
      <c r="S3646" s="55">
        <v>2</v>
      </c>
      <c r="T3646" s="54" t="s">
        <v>1807</v>
      </c>
      <c r="U3646" s="55" t="s">
        <v>1913</v>
      </c>
      <c r="V3646" s="55">
        <v>48.9</v>
      </c>
      <c r="W3646" s="72" t="s">
        <v>1341</v>
      </c>
      <c r="X3646" s="55">
        <f t="shared" si="353"/>
        <v>97.8</v>
      </c>
    </row>
    <row r="3647" spans="6:24" ht="24" customHeight="1">
      <c r="F3647" s="8">
        <v>14.5</v>
      </c>
      <c r="G3647" s="3" t="s">
        <v>337</v>
      </c>
      <c r="H3647" t="s">
        <v>3881</v>
      </c>
      <c r="I3647">
        <f>I3750</f>
        <v>24.7</v>
      </c>
      <c r="J3647" s="11" t="s">
        <v>337</v>
      </c>
      <c r="K3647">
        <f t="shared" si="354"/>
        <v>358.15</v>
      </c>
      <c r="S3647" s="442">
        <v>118</v>
      </c>
      <c r="T3647" s="73"/>
      <c r="U3647" s="442" t="s">
        <v>1102</v>
      </c>
      <c r="V3647" s="55">
        <v>2.4</v>
      </c>
      <c r="W3647" s="72"/>
      <c r="X3647" s="55">
        <f t="shared" si="353"/>
        <v>283.2</v>
      </c>
    </row>
    <row r="3648" spans="6:24" ht="24" customHeight="1">
      <c r="G3648" s="3" t="s">
        <v>625</v>
      </c>
      <c r="H3648" t="s">
        <v>420</v>
      </c>
      <c r="J3648" s="11" t="s">
        <v>625</v>
      </c>
      <c r="K3648">
        <v>7</v>
      </c>
      <c r="S3648"/>
      <c r="W3648" s="72"/>
      <c r="X3648" s="37">
        <f>SUM(X3637:X3647)</f>
        <v>5287.23</v>
      </c>
    </row>
    <row r="3649" spans="6:25" ht="24" customHeight="1">
      <c r="S3649" s="55"/>
      <c r="T3649" s="73"/>
      <c r="U3649" s="37"/>
      <c r="V3649" s="55"/>
      <c r="W3649" s="72"/>
      <c r="X3649" s="57" t="s">
        <v>144</v>
      </c>
    </row>
    <row r="3650" spans="6:25" ht="24" customHeight="1">
      <c r="H3650" t="s">
        <v>411</v>
      </c>
      <c r="K3650">
        <f>SUM(K3642:K3649)</f>
        <v>3342.17</v>
      </c>
      <c r="S3650" s="55"/>
      <c r="T3650" s="73"/>
      <c r="U3650" s="37" t="s">
        <v>2002</v>
      </c>
      <c r="V3650" s="55"/>
      <c r="W3650" s="72"/>
      <c r="X3650" s="37">
        <f>X3648/2.835</f>
        <v>1864.98</v>
      </c>
    </row>
    <row r="3651" spans="6:25" ht="24" customHeight="1">
      <c r="H3651" t="s">
        <v>521</v>
      </c>
      <c r="K3651">
        <f>K3650/10</f>
        <v>334.22</v>
      </c>
      <c r="S3651" s="55"/>
      <c r="T3651" s="73"/>
      <c r="W3651" s="11"/>
      <c r="X3651" s="56" t="s">
        <v>144</v>
      </c>
    </row>
    <row r="3652" spans="6:25" ht="24" customHeight="1">
      <c r="S3652"/>
    </row>
    <row r="3653" spans="6:25" ht="24" customHeight="1">
      <c r="K3653" t="s">
        <v>1980</v>
      </c>
      <c r="S3653" s="629" t="s">
        <v>4019</v>
      </c>
      <c r="T3653" s="629"/>
      <c r="U3653" s="629"/>
      <c r="V3653" s="629"/>
      <c r="W3653" s="577"/>
      <c r="X3653" s="577"/>
      <c r="Y3653" s="578"/>
    </row>
    <row r="3654" spans="6:25" ht="24" customHeight="1">
      <c r="S3654" s="582"/>
      <c r="T3654" s="583"/>
      <c r="U3654" s="590"/>
      <c r="V3654" s="580"/>
      <c r="W3654" s="583"/>
      <c r="X3654" s="580"/>
      <c r="Y3654" s="578"/>
    </row>
    <row r="3655" spans="6:25" ht="24" customHeight="1">
      <c r="G3655"/>
      <c r="H3655" s="59" t="s">
        <v>3725</v>
      </c>
      <c r="J3655"/>
      <c r="S3655" s="582"/>
      <c r="T3655" s="583"/>
      <c r="U3655" s="584"/>
      <c r="V3655" s="922"/>
      <c r="W3655" s="583"/>
      <c r="X3655" s="580"/>
      <c r="Y3655" s="578"/>
    </row>
    <row r="3656" spans="6:25" ht="24" customHeight="1">
      <c r="G3656"/>
      <c r="H3656" s="5" t="s">
        <v>1530</v>
      </c>
      <c r="J3656"/>
      <c r="S3656" s="582">
        <v>28.49</v>
      </c>
      <c r="T3656" s="583" t="s">
        <v>876</v>
      </c>
      <c r="U3656" s="665" t="s">
        <v>4021</v>
      </c>
      <c r="V3656" s="921">
        <f>I3784</f>
        <v>301</v>
      </c>
      <c r="W3656" s="583" t="s">
        <v>876</v>
      </c>
      <c r="X3656" s="580">
        <f>V3656*S3656</f>
        <v>8575.49</v>
      </c>
      <c r="Y3656" s="578"/>
    </row>
    <row r="3657" spans="6:25" ht="24" customHeight="1">
      <c r="G3657" s="1" t="s">
        <v>2167</v>
      </c>
      <c r="H3657" s="34" t="s">
        <v>3726</v>
      </c>
      <c r="J3657"/>
      <c r="S3657" s="630">
        <v>3.82</v>
      </c>
      <c r="T3657" s="583" t="s">
        <v>794</v>
      </c>
      <c r="U3657" s="584" t="s">
        <v>4239</v>
      </c>
      <c r="V3657" s="921">
        <v>37.9</v>
      </c>
      <c r="W3657" s="583" t="s">
        <v>794</v>
      </c>
      <c r="X3657" s="580">
        <v>501.66</v>
      </c>
      <c r="Y3657" s="578"/>
    </row>
    <row r="3658" spans="6:25" ht="24" customHeight="1">
      <c r="G3658"/>
      <c r="H3658" s="34" t="s">
        <v>3727</v>
      </c>
      <c r="J3658"/>
      <c r="S3658" s="582">
        <v>1.52</v>
      </c>
      <c r="T3658" s="583" t="s">
        <v>222</v>
      </c>
      <c r="U3658" s="584" t="s">
        <v>3939</v>
      </c>
      <c r="V3658" s="921">
        <v>359</v>
      </c>
      <c r="W3658" s="583" t="s">
        <v>222</v>
      </c>
      <c r="X3658" s="580">
        <f t="shared" ref="X3658:X3667" si="355">V3658*S3658</f>
        <v>545.67999999999995</v>
      </c>
      <c r="Y3658" s="578"/>
    </row>
    <row r="3659" spans="6:25" ht="24" customHeight="1">
      <c r="G3659"/>
      <c r="H3659" s="34" t="s">
        <v>151</v>
      </c>
      <c r="J3659"/>
      <c r="S3659" s="582">
        <v>1.52</v>
      </c>
      <c r="T3659" s="583" t="s">
        <v>222</v>
      </c>
      <c r="U3659" s="584" t="s">
        <v>3940</v>
      </c>
      <c r="V3659" s="922">
        <v>695</v>
      </c>
      <c r="W3659" s="583" t="s">
        <v>739</v>
      </c>
      <c r="X3659" s="580">
        <f t="shared" si="355"/>
        <v>1056.4000000000001</v>
      </c>
      <c r="Y3659" s="578"/>
    </row>
    <row r="3660" spans="6:25" ht="24" customHeight="1">
      <c r="G3660"/>
      <c r="H3660" s="5" t="s">
        <v>1530</v>
      </c>
      <c r="J3660"/>
      <c r="S3660" s="582">
        <v>3</v>
      </c>
      <c r="T3660" s="583" t="s">
        <v>216</v>
      </c>
      <c r="U3660" s="584" t="s">
        <v>4022</v>
      </c>
      <c r="V3660" s="921">
        <v>11.8</v>
      </c>
      <c r="W3660" s="583" t="s">
        <v>216</v>
      </c>
      <c r="X3660" s="580">
        <f t="shared" si="355"/>
        <v>35.4</v>
      </c>
      <c r="Y3660" s="578"/>
    </row>
    <row r="3661" spans="6:25" ht="24" customHeight="1">
      <c r="G3661" s="1" t="s">
        <v>152</v>
      </c>
      <c r="H3661" s="555" t="s">
        <v>3728</v>
      </c>
      <c r="J3661"/>
      <c r="S3661" s="582">
        <v>4.2</v>
      </c>
      <c r="T3661" s="583" t="s">
        <v>1341</v>
      </c>
      <c r="U3661" s="584" t="s">
        <v>4905</v>
      </c>
      <c r="V3661" s="921">
        <v>7.6</v>
      </c>
      <c r="W3661" s="583" t="s">
        <v>739</v>
      </c>
      <c r="X3661" s="580">
        <f t="shared" si="355"/>
        <v>31.92</v>
      </c>
      <c r="Y3661" s="578"/>
    </row>
    <row r="3662" spans="6:25" ht="24" customHeight="1">
      <c r="G3662"/>
      <c r="H3662" s="5" t="s">
        <v>1530</v>
      </c>
      <c r="J3662"/>
      <c r="S3662" s="582">
        <v>3.15</v>
      </c>
      <c r="T3662" s="583" t="s">
        <v>2199</v>
      </c>
      <c r="U3662" s="584" t="s">
        <v>3818</v>
      </c>
      <c r="V3662" s="578">
        <f>X3678</f>
        <v>1724</v>
      </c>
      <c r="W3662" s="583" t="s">
        <v>2199</v>
      </c>
      <c r="X3662" s="580">
        <f t="shared" si="355"/>
        <v>5430.6</v>
      </c>
      <c r="Y3662" s="578"/>
    </row>
    <row r="3663" spans="6:25" ht="24" customHeight="1">
      <c r="F3663" s="8">
        <v>18.899999999999999</v>
      </c>
      <c r="G3663" s="1" t="s">
        <v>836</v>
      </c>
      <c r="H3663" s="1" t="s">
        <v>586</v>
      </c>
      <c r="I3663" s="8">
        <f>P434</f>
        <v>193.2</v>
      </c>
      <c r="J3663" s="1" t="s">
        <v>836</v>
      </c>
      <c r="K3663" s="8">
        <f>(F3663*I3663)</f>
        <v>3651.48</v>
      </c>
      <c r="S3663" s="37">
        <v>1</v>
      </c>
      <c r="T3663" s="73" t="s">
        <v>1807</v>
      </c>
      <c r="U3663" s="37" t="s">
        <v>4906</v>
      </c>
      <c r="V3663" s="447">
        <v>45.9</v>
      </c>
      <c r="W3663" s="99" t="s">
        <v>1341</v>
      </c>
      <c r="X3663" s="37">
        <f t="shared" si="355"/>
        <v>45.9</v>
      </c>
      <c r="Y3663" s="578"/>
    </row>
    <row r="3664" spans="6:25" ht="24" customHeight="1">
      <c r="F3664" s="8">
        <v>18.63</v>
      </c>
      <c r="G3664" s="1" t="s">
        <v>836</v>
      </c>
      <c r="H3664" s="1" t="s">
        <v>2076</v>
      </c>
      <c r="I3664" s="8">
        <f>P435</f>
        <v>33.6</v>
      </c>
      <c r="J3664" s="1" t="s">
        <v>836</v>
      </c>
      <c r="K3664" s="8">
        <f>(F3664*I3664)</f>
        <v>625.97</v>
      </c>
      <c r="S3664" s="37">
        <v>1</v>
      </c>
      <c r="T3664" s="73" t="s">
        <v>1807</v>
      </c>
      <c r="U3664" s="37" t="s">
        <v>4023</v>
      </c>
      <c r="V3664" s="706">
        <v>934</v>
      </c>
      <c r="W3664" s="99" t="s">
        <v>1341</v>
      </c>
      <c r="X3664" s="37">
        <f t="shared" si="355"/>
        <v>934</v>
      </c>
      <c r="Y3664" s="578"/>
    </row>
    <row r="3665" spans="6:25" ht="45.75" customHeight="1">
      <c r="F3665" s="8">
        <v>30</v>
      </c>
      <c r="G3665" s="1" t="s">
        <v>1714</v>
      </c>
      <c r="H3665" s="38" t="s">
        <v>4869</v>
      </c>
      <c r="I3665" s="39">
        <v>201</v>
      </c>
      <c r="J3665" s="1" t="s">
        <v>1714</v>
      </c>
      <c r="K3665" s="8">
        <f>(F3665*I3665)</f>
        <v>6030</v>
      </c>
      <c r="S3665" s="631">
        <v>45</v>
      </c>
      <c r="T3665" s="632" t="s">
        <v>1807</v>
      </c>
      <c r="U3665" s="631" t="s">
        <v>4907</v>
      </c>
      <c r="V3665" s="633">
        <v>2.19</v>
      </c>
      <c r="W3665" s="634" t="s">
        <v>1337</v>
      </c>
      <c r="X3665" s="580">
        <f t="shared" si="355"/>
        <v>98.55</v>
      </c>
      <c r="Y3665" s="578"/>
    </row>
    <row r="3666" spans="6:25" ht="24" customHeight="1">
      <c r="G3666"/>
      <c r="J3666"/>
      <c r="S3666" s="631">
        <v>2</v>
      </c>
      <c r="T3666" s="632" t="s">
        <v>1807</v>
      </c>
      <c r="U3666" s="631" t="s">
        <v>4012</v>
      </c>
      <c r="V3666" s="927">
        <v>108.7</v>
      </c>
      <c r="W3666" s="99" t="s">
        <v>1341</v>
      </c>
      <c r="X3666" s="580">
        <f t="shared" si="355"/>
        <v>217.4</v>
      </c>
      <c r="Y3666" s="578"/>
    </row>
    <row r="3667" spans="6:25" ht="24" customHeight="1">
      <c r="F3667" s="8">
        <v>30</v>
      </c>
      <c r="G3667" s="1" t="s">
        <v>1714</v>
      </c>
      <c r="H3667" s="1" t="s">
        <v>2077</v>
      </c>
      <c r="I3667" s="8">
        <v>15.58</v>
      </c>
      <c r="J3667" s="1" t="s">
        <v>1714</v>
      </c>
      <c r="K3667" s="8">
        <f>(F3667*I3667)</f>
        <v>467.4</v>
      </c>
      <c r="S3667" s="631">
        <v>2</v>
      </c>
      <c r="T3667" s="632" t="s">
        <v>1807</v>
      </c>
      <c r="U3667" s="631" t="s">
        <v>4013</v>
      </c>
      <c r="V3667" s="927">
        <v>54</v>
      </c>
      <c r="W3667" s="99" t="s">
        <v>1341</v>
      </c>
      <c r="X3667" s="580">
        <f t="shared" si="355"/>
        <v>108</v>
      </c>
      <c r="Y3667" s="578"/>
    </row>
    <row r="3668" spans="6:25" ht="24" customHeight="1">
      <c r="G3668"/>
      <c r="H3668" s="1" t="s">
        <v>2078</v>
      </c>
      <c r="J3668"/>
      <c r="S3668"/>
      <c r="X3668" s="51"/>
      <c r="Y3668" s="578"/>
    </row>
    <row r="3669" spans="6:25" ht="24" customHeight="1">
      <c r="G3669"/>
      <c r="H3669" s="1" t="s">
        <v>2079</v>
      </c>
      <c r="J3669"/>
      <c r="S3669" s="582"/>
      <c r="T3669" s="583"/>
      <c r="U3669" s="584"/>
      <c r="V3669" s="578"/>
      <c r="W3669" s="579"/>
      <c r="X3669" s="580"/>
      <c r="Y3669" s="578"/>
    </row>
    <row r="3670" spans="6:25" ht="24" customHeight="1">
      <c r="G3670"/>
      <c r="H3670" s="1" t="s">
        <v>2080</v>
      </c>
      <c r="J3670"/>
      <c r="S3670" s="582"/>
      <c r="T3670" s="583"/>
      <c r="U3670" s="1" t="s">
        <v>4014</v>
      </c>
      <c r="W3670" s="583"/>
      <c r="X3670" s="580">
        <f>SUM(X3656:X3669)</f>
        <v>17581</v>
      </c>
      <c r="Y3670" s="578"/>
    </row>
    <row r="3671" spans="6:25" ht="24" customHeight="1">
      <c r="G3671"/>
      <c r="H3671" s="1" t="s">
        <v>4032</v>
      </c>
      <c r="J3671"/>
      <c r="S3671" s="582"/>
      <c r="T3671" s="583"/>
      <c r="U3671" s="1" t="s">
        <v>521</v>
      </c>
      <c r="W3671" s="577"/>
      <c r="X3671" s="587">
        <f>X3670/3.15</f>
        <v>5581.27</v>
      </c>
      <c r="Y3671" s="588" t="s">
        <v>1341</v>
      </c>
    </row>
    <row r="3672" spans="6:25" ht="24.75" customHeight="1">
      <c r="G3672"/>
      <c r="H3672" s="1"/>
      <c r="J3672"/>
      <c r="S3672" s="578"/>
      <c r="T3672" s="578"/>
      <c r="U3672" s="591"/>
      <c r="V3672" s="578"/>
      <c r="W3672" s="578"/>
      <c r="X3672" s="578"/>
      <c r="Y3672" s="578"/>
    </row>
    <row r="3673" spans="6:25" ht="30" customHeight="1">
      <c r="F3673" s="8">
        <v>5</v>
      </c>
      <c r="G3673" s="1" t="s">
        <v>739</v>
      </c>
      <c r="H3673" s="23" t="s">
        <v>4518</v>
      </c>
      <c r="I3673" s="423">
        <v>35.6</v>
      </c>
      <c r="J3673" s="1" t="s">
        <v>739</v>
      </c>
      <c r="K3673" s="8">
        <f>(F3673*I3673)</f>
        <v>178</v>
      </c>
      <c r="L3673" s="860">
        <v>35.6</v>
      </c>
      <c r="S3673" s="580">
        <v>1</v>
      </c>
      <c r="T3673" s="583" t="s">
        <v>835</v>
      </c>
      <c r="U3673" s="584" t="s">
        <v>3824</v>
      </c>
      <c r="V3673" s="580">
        <f>AE17</f>
        <v>760</v>
      </c>
      <c r="W3673" s="584" t="s">
        <v>835</v>
      </c>
      <c r="X3673" s="580">
        <f>V3673*S3673</f>
        <v>760</v>
      </c>
      <c r="Y3673" s="578"/>
    </row>
    <row r="3674" spans="6:25" ht="24" customHeight="1">
      <c r="F3674" s="8">
        <v>1</v>
      </c>
      <c r="G3674" s="1" t="s">
        <v>419</v>
      </c>
      <c r="H3674" s="1" t="s">
        <v>1630</v>
      </c>
      <c r="I3674" s="8">
        <v>12.1</v>
      </c>
      <c r="J3674" s="1" t="s">
        <v>419</v>
      </c>
      <c r="K3674" s="8">
        <f>(F3674*I3674)</f>
        <v>12.1</v>
      </c>
      <c r="S3674" s="580">
        <v>1</v>
      </c>
      <c r="T3674" s="583" t="s">
        <v>835</v>
      </c>
      <c r="U3674" s="584" t="s">
        <v>3825</v>
      </c>
      <c r="V3674" s="580">
        <f>AE11</f>
        <v>562</v>
      </c>
      <c r="W3674" s="584" t="s">
        <v>835</v>
      </c>
      <c r="X3674" s="580">
        <f>V3674*S3674</f>
        <v>562</v>
      </c>
      <c r="Y3674" s="578"/>
    </row>
    <row r="3675" spans="6:25" ht="24" customHeight="1">
      <c r="F3675" s="8"/>
      <c r="G3675" s="1" t="s">
        <v>419</v>
      </c>
      <c r="H3675" s="1" t="s">
        <v>420</v>
      </c>
      <c r="J3675" s="1" t="s">
        <v>419</v>
      </c>
      <c r="K3675" s="8">
        <v>17.100000000000001</v>
      </c>
      <c r="S3675" s="580">
        <v>0.5</v>
      </c>
      <c r="T3675" s="583" t="s">
        <v>835</v>
      </c>
      <c r="U3675" s="584" t="s">
        <v>3826</v>
      </c>
      <c r="V3675" s="580">
        <f>AE20</f>
        <v>804</v>
      </c>
      <c r="W3675" s="584" t="s">
        <v>835</v>
      </c>
      <c r="X3675" s="580">
        <f>V3675*S3675</f>
        <v>402</v>
      </c>
      <c r="Y3675" s="578"/>
    </row>
    <row r="3676" spans="6:25" ht="24" customHeight="1">
      <c r="G3676"/>
      <c r="J3676"/>
      <c r="S3676" s="578"/>
      <c r="T3676" s="583" t="s">
        <v>419</v>
      </c>
      <c r="U3676" s="584"/>
      <c r="V3676" s="580"/>
      <c r="W3676" s="584" t="s">
        <v>419</v>
      </c>
      <c r="X3676" s="580"/>
      <c r="Y3676" s="578"/>
    </row>
    <row r="3677" spans="6:25" ht="24" customHeight="1">
      <c r="G3677"/>
      <c r="J3677"/>
      <c r="K3677" s="5" t="s">
        <v>1530</v>
      </c>
      <c r="S3677" s="578"/>
      <c r="T3677" s="585"/>
      <c r="U3677" s="578"/>
      <c r="V3677" s="578"/>
      <c r="W3677" s="592"/>
      <c r="X3677" s="593" t="s">
        <v>1530</v>
      </c>
      <c r="Y3677" s="578"/>
    </row>
    <row r="3678" spans="6:25" ht="24" customHeight="1">
      <c r="G3678"/>
      <c r="H3678" s="1" t="s">
        <v>1489</v>
      </c>
      <c r="J3678"/>
      <c r="K3678" s="8">
        <f>SUM(K3663:K3675)</f>
        <v>10982.05</v>
      </c>
      <c r="S3678" s="578"/>
      <c r="T3678" s="585"/>
      <c r="U3678" s="584" t="s">
        <v>3827</v>
      </c>
      <c r="V3678" s="578"/>
      <c r="W3678" s="592"/>
      <c r="X3678" s="587">
        <f>SUM(X3673:X3677)</f>
        <v>1724</v>
      </c>
      <c r="Y3678" s="578"/>
    </row>
    <row r="3679" spans="6:25" ht="24" customHeight="1">
      <c r="G3679"/>
      <c r="J3679"/>
      <c r="K3679" s="5" t="s">
        <v>1530</v>
      </c>
      <c r="S3679" s="578"/>
      <c r="T3679" s="585"/>
      <c r="U3679" s="578"/>
      <c r="V3679" s="578"/>
      <c r="W3679" s="592"/>
      <c r="X3679" s="593" t="s">
        <v>1530</v>
      </c>
      <c r="Y3679" s="578"/>
    </row>
    <row r="3680" spans="6:25" ht="24" customHeight="1">
      <c r="G3680"/>
      <c r="H3680" s="1" t="s">
        <v>1490</v>
      </c>
      <c r="J3680"/>
      <c r="K3680" s="39">
        <f>(K3678/30)</f>
        <v>366.07</v>
      </c>
      <c r="S3680"/>
    </row>
    <row r="3681" spans="6:24" ht="24" customHeight="1">
      <c r="G3681"/>
      <c r="J3681"/>
      <c r="K3681" s="5" t="s">
        <v>1530</v>
      </c>
      <c r="S3681"/>
    </row>
    <row r="3682" spans="6:24" ht="24" customHeight="1">
      <c r="G3682" s="1" t="s">
        <v>1500</v>
      </c>
      <c r="H3682" s="555" t="s">
        <v>3729</v>
      </c>
      <c r="J3682"/>
      <c r="S3682" s="627"/>
      <c r="T3682" s="627"/>
      <c r="U3682" s="627"/>
      <c r="V3682" s="627"/>
      <c r="W3682" s="627"/>
      <c r="X3682" s="627"/>
    </row>
    <row r="3683" spans="6:24" ht="24" customHeight="1">
      <c r="G3683"/>
      <c r="H3683" s="5" t="s">
        <v>1530</v>
      </c>
      <c r="J3683"/>
      <c r="S3683" s="1495" t="s">
        <v>4020</v>
      </c>
      <c r="T3683" s="1495"/>
      <c r="U3683" s="1495"/>
      <c r="V3683" s="1495"/>
      <c r="W3683" s="577"/>
      <c r="X3683" s="577"/>
    </row>
    <row r="3684" spans="6:24" ht="24" customHeight="1">
      <c r="F3684" s="8">
        <f>F3663</f>
        <v>18.899999999999999</v>
      </c>
      <c r="G3684" s="1" t="s">
        <v>836</v>
      </c>
      <c r="H3684" s="1" t="str">
        <f>H3663</f>
        <v>E.W EXCLUDING REFILLING</v>
      </c>
      <c r="I3684" s="8">
        <f>I3663</f>
        <v>193.2</v>
      </c>
      <c r="J3684" s="1" t="s">
        <v>836</v>
      </c>
      <c r="K3684" s="8">
        <f>(F3684*I3684)</f>
        <v>3651.48</v>
      </c>
      <c r="S3684" s="582"/>
      <c r="T3684" s="583"/>
      <c r="U3684" s="590"/>
      <c r="V3684" s="580"/>
      <c r="W3684" s="583"/>
      <c r="X3684" s="580"/>
    </row>
    <row r="3685" spans="6:24" ht="24" customHeight="1">
      <c r="F3685" s="8">
        <v>18.3</v>
      </c>
      <c r="G3685" s="1" t="s">
        <v>836</v>
      </c>
      <c r="H3685" s="1" t="str">
        <f>H3664</f>
        <v>REFILLING CHARGE</v>
      </c>
      <c r="I3685" s="8">
        <f>I3664</f>
        <v>33.6</v>
      </c>
      <c r="J3685" s="1" t="s">
        <v>836</v>
      </c>
      <c r="K3685" s="8">
        <f>(F3685*I3685)</f>
        <v>614.88</v>
      </c>
      <c r="S3685" s="582"/>
      <c r="T3685" s="583"/>
      <c r="U3685" s="584"/>
      <c r="V3685" s="580"/>
      <c r="W3685" s="583"/>
      <c r="X3685" s="580"/>
    </row>
    <row r="3686" spans="6:24" ht="39" customHeight="1">
      <c r="F3686" s="8">
        <f>F3665</f>
        <v>30</v>
      </c>
      <c r="G3686" s="1" t="s">
        <v>1714</v>
      </c>
      <c r="H3686" s="38" t="s">
        <v>4870</v>
      </c>
      <c r="I3686" s="39">
        <v>422</v>
      </c>
      <c r="J3686" s="1" t="s">
        <v>1714</v>
      </c>
      <c r="K3686" s="8">
        <f>(F3686*I3686)</f>
        <v>12660</v>
      </c>
      <c r="S3686" s="582">
        <v>29.06</v>
      </c>
      <c r="T3686" s="583" t="s">
        <v>876</v>
      </c>
      <c r="U3686" s="665" t="s">
        <v>4021</v>
      </c>
      <c r="V3686" s="580">
        <f>V3656</f>
        <v>301</v>
      </c>
      <c r="W3686" s="583" t="s">
        <v>876</v>
      </c>
      <c r="X3686" s="580">
        <f>V3686*S3686</f>
        <v>8747.06</v>
      </c>
    </row>
    <row r="3687" spans="6:24" ht="24" customHeight="1">
      <c r="F3687" s="8"/>
      <c r="G3687"/>
      <c r="H3687" s="1"/>
      <c r="I3687" s="8"/>
      <c r="J3687"/>
      <c r="K3687" s="8"/>
      <c r="S3687" s="630">
        <v>9.24</v>
      </c>
      <c r="T3687" s="583" t="s">
        <v>794</v>
      </c>
      <c r="U3687" s="584" t="s">
        <v>3941</v>
      </c>
      <c r="V3687" s="580">
        <f t="shared" ref="V3687:V3697" si="356">V3657</f>
        <v>37.9</v>
      </c>
      <c r="W3687" s="583" t="s">
        <v>794</v>
      </c>
      <c r="X3687" s="580">
        <f t="shared" ref="X3687:X3697" si="357">V3687*S3687</f>
        <v>350.2</v>
      </c>
    </row>
    <row r="3688" spans="6:24" ht="24" customHeight="1">
      <c r="F3688" s="8">
        <f>F3667</f>
        <v>30</v>
      </c>
      <c r="G3688"/>
      <c r="H3688" s="1" t="str">
        <f>H3667</f>
        <v>CONVEYING,LOWERING  ANDLAYING</v>
      </c>
      <c r="I3688" s="8">
        <v>21.97</v>
      </c>
      <c r="J3688" s="1" t="s">
        <v>1714</v>
      </c>
      <c r="K3688" s="8">
        <f>(F3688*I3688)</f>
        <v>659.1</v>
      </c>
      <c r="S3688" s="582">
        <v>1.49</v>
      </c>
      <c r="T3688" s="583" t="s">
        <v>222</v>
      </c>
      <c r="U3688" s="584" t="s">
        <v>3939</v>
      </c>
      <c r="V3688" s="580">
        <f t="shared" si="356"/>
        <v>359</v>
      </c>
      <c r="W3688" s="583" t="s">
        <v>222</v>
      </c>
      <c r="X3688" s="580">
        <f t="shared" si="357"/>
        <v>534.91</v>
      </c>
    </row>
    <row r="3689" spans="6:24" ht="24" customHeight="1">
      <c r="F3689" s="8"/>
      <c r="G3689"/>
      <c r="H3689" s="1" t="str">
        <f>H3668</f>
        <v>TO PROPER GRADEAND</v>
      </c>
      <c r="I3689" s="8"/>
      <c r="J3689"/>
      <c r="S3689" s="582">
        <v>0.75</v>
      </c>
      <c r="T3689" s="583" t="s">
        <v>222</v>
      </c>
      <c r="U3689" s="584" t="s">
        <v>3940</v>
      </c>
      <c r="V3689" s="580">
        <f t="shared" si="356"/>
        <v>695</v>
      </c>
      <c r="W3689" s="583" t="s">
        <v>739</v>
      </c>
      <c r="X3689" s="580">
        <f t="shared" si="357"/>
        <v>521.25</v>
      </c>
    </row>
    <row r="3690" spans="6:24" ht="24" customHeight="1">
      <c r="F3690" s="8"/>
      <c r="G3690"/>
      <c r="H3690" s="1" t="str">
        <f>H3669</f>
        <v>ALIGNMENT,JOINTING</v>
      </c>
      <c r="I3690" s="8"/>
      <c r="J3690"/>
      <c r="S3690" s="668">
        <v>2</v>
      </c>
      <c r="T3690" s="583" t="s">
        <v>216</v>
      </c>
      <c r="U3690" s="584" t="s">
        <v>4022</v>
      </c>
      <c r="V3690" s="580">
        <f t="shared" si="356"/>
        <v>11.8</v>
      </c>
      <c r="W3690" s="583" t="s">
        <v>216</v>
      </c>
      <c r="X3690" s="580">
        <f t="shared" si="357"/>
        <v>23.6</v>
      </c>
    </row>
    <row r="3691" spans="6:24" ht="24" customHeight="1">
      <c r="F3691" s="8"/>
      <c r="G3691" s="1"/>
      <c r="H3691" s="1" t="str">
        <f>H3670</f>
        <v>ETC BUT EXCLUDING  COST OF</v>
      </c>
      <c r="I3691" s="8"/>
      <c r="J3691" s="1"/>
      <c r="K3691" s="8"/>
      <c r="S3691" s="582">
        <v>7.08</v>
      </c>
      <c r="T3691" s="583" t="s">
        <v>1341</v>
      </c>
      <c r="U3691" s="584" t="s">
        <v>4008</v>
      </c>
      <c r="V3691" s="580">
        <f t="shared" si="356"/>
        <v>7.6</v>
      </c>
      <c r="W3691" s="583" t="s">
        <v>739</v>
      </c>
      <c r="X3691" s="580">
        <f t="shared" si="357"/>
        <v>53.81</v>
      </c>
    </row>
    <row r="3692" spans="6:24" ht="24" customHeight="1">
      <c r="F3692" s="8"/>
      <c r="G3692" s="1"/>
      <c r="H3692" s="1" t="str">
        <f>H3671</f>
        <v>JOINTING MATERIALS. (TWAD SR 17-18 11-b)</v>
      </c>
      <c r="I3692" s="8"/>
      <c r="J3692" s="1"/>
      <c r="K3692" s="8"/>
      <c r="S3692" s="582">
        <v>2.1</v>
      </c>
      <c r="T3692" s="583" t="s">
        <v>2199</v>
      </c>
      <c r="U3692" s="584" t="s">
        <v>3818</v>
      </c>
      <c r="V3692" s="580">
        <f t="shared" si="356"/>
        <v>1724</v>
      </c>
      <c r="W3692" s="583" t="s">
        <v>2199</v>
      </c>
      <c r="X3692" s="580">
        <f t="shared" si="357"/>
        <v>3620.4</v>
      </c>
    </row>
    <row r="3693" spans="6:24" ht="24" customHeight="1">
      <c r="F3693" s="8"/>
      <c r="G3693" s="1"/>
      <c r="H3693" s="1"/>
      <c r="I3693" s="8"/>
      <c r="J3693" s="1"/>
      <c r="K3693" s="8"/>
      <c r="S3693" s="662">
        <v>1</v>
      </c>
      <c r="T3693" s="666" t="s">
        <v>1807</v>
      </c>
      <c r="U3693" s="37" t="s">
        <v>4009</v>
      </c>
      <c r="V3693" s="580">
        <f t="shared" si="356"/>
        <v>45.9</v>
      </c>
      <c r="W3693" s="667" t="s">
        <v>1341</v>
      </c>
      <c r="X3693" s="580">
        <f t="shared" si="357"/>
        <v>45.9</v>
      </c>
    </row>
    <row r="3694" spans="6:24" ht="24" customHeight="1">
      <c r="F3694" s="8">
        <f>F3673</f>
        <v>5</v>
      </c>
      <c r="G3694" s="1" t="s">
        <v>419</v>
      </c>
      <c r="H3694" s="1" t="str">
        <f>H3673</f>
        <v>CUTTING CHARGES ( P-32/141)</v>
      </c>
      <c r="I3694" s="423">
        <f>I3673</f>
        <v>35.6</v>
      </c>
      <c r="J3694" s="1" t="s">
        <v>739</v>
      </c>
      <c r="K3694" s="8">
        <f>(F3694*I3694)</f>
        <v>178</v>
      </c>
      <c r="S3694" s="662">
        <v>1</v>
      </c>
      <c r="T3694" s="666" t="s">
        <v>1807</v>
      </c>
      <c r="U3694" s="37" t="s">
        <v>4023</v>
      </c>
      <c r="V3694" s="580">
        <f t="shared" si="356"/>
        <v>934</v>
      </c>
      <c r="W3694" s="667" t="s">
        <v>1341</v>
      </c>
      <c r="X3694" s="580">
        <f t="shared" si="357"/>
        <v>934</v>
      </c>
    </row>
    <row r="3695" spans="6:24" ht="24" customHeight="1">
      <c r="F3695" s="8">
        <f>F3674</f>
        <v>1</v>
      </c>
      <c r="G3695"/>
      <c r="H3695" s="1" t="str">
        <f>H3674</f>
        <v>COST OF JOINTING  MATERIALS</v>
      </c>
      <c r="I3695" s="8">
        <f>I3674</f>
        <v>12.1</v>
      </c>
      <c r="J3695" s="1" t="s">
        <v>419</v>
      </c>
      <c r="K3695" s="8">
        <f>(F3695*I3695)</f>
        <v>12.1</v>
      </c>
      <c r="S3695" s="631">
        <v>6</v>
      </c>
      <c r="T3695" s="632" t="s">
        <v>1807</v>
      </c>
      <c r="U3695" s="631" t="s">
        <v>4017</v>
      </c>
      <c r="V3695" s="580">
        <f t="shared" si="356"/>
        <v>2.19</v>
      </c>
      <c r="W3695" s="634" t="s">
        <v>1337</v>
      </c>
      <c r="X3695" s="580">
        <f t="shared" si="357"/>
        <v>13.14</v>
      </c>
    </row>
    <row r="3696" spans="6:24" ht="24" customHeight="1">
      <c r="G3696"/>
      <c r="H3696" s="1" t="str">
        <f>H3675</f>
        <v>SUNDRIES</v>
      </c>
      <c r="J3696" s="1" t="s">
        <v>419</v>
      </c>
      <c r="K3696" s="8">
        <v>24.3</v>
      </c>
      <c r="S3696" s="631">
        <v>2</v>
      </c>
      <c r="T3696" s="632" t="s">
        <v>1807</v>
      </c>
      <c r="U3696" s="631" t="s">
        <v>4024</v>
      </c>
      <c r="V3696" s="580">
        <f t="shared" si="356"/>
        <v>108.7</v>
      </c>
      <c r="W3696" s="667" t="s">
        <v>1341</v>
      </c>
      <c r="X3696" s="580">
        <f t="shared" si="357"/>
        <v>217.4</v>
      </c>
    </row>
    <row r="3697" spans="6:26" ht="24" customHeight="1">
      <c r="G3697"/>
      <c r="J3697"/>
      <c r="K3697" s="8"/>
      <c r="S3697" s="631">
        <v>2</v>
      </c>
      <c r="T3697" s="632" t="s">
        <v>1807</v>
      </c>
      <c r="U3697" s="631" t="s">
        <v>4013</v>
      </c>
      <c r="V3697" s="580">
        <f t="shared" si="356"/>
        <v>54</v>
      </c>
      <c r="W3697" s="667" t="s">
        <v>1341</v>
      </c>
      <c r="X3697" s="580">
        <f t="shared" si="357"/>
        <v>108</v>
      </c>
    </row>
    <row r="3698" spans="6:26" ht="24" customHeight="1">
      <c r="G3698"/>
      <c r="H3698" s="1" t="s">
        <v>1489</v>
      </c>
      <c r="J3698"/>
      <c r="K3698" s="8">
        <f>SUM(K3684:K3697)</f>
        <v>17799.86</v>
      </c>
      <c r="S3698" s="595"/>
      <c r="T3698" s="595"/>
      <c r="U3698" s="1" t="s">
        <v>4025</v>
      </c>
      <c r="W3698" s="583"/>
      <c r="X3698" s="580">
        <f>SUM(X3686:X3697)</f>
        <v>15169.67</v>
      </c>
      <c r="Y3698" s="578"/>
    </row>
    <row r="3699" spans="6:26" ht="24" customHeight="1">
      <c r="G3699"/>
      <c r="J3699"/>
      <c r="K3699" s="5" t="s">
        <v>1530</v>
      </c>
      <c r="S3699" s="627"/>
      <c r="T3699" s="627"/>
      <c r="U3699" s="1" t="s">
        <v>521</v>
      </c>
      <c r="W3699" s="577"/>
      <c r="X3699" s="587">
        <f>X3698/2.1</f>
        <v>7223.65</v>
      </c>
      <c r="Y3699" s="588"/>
    </row>
    <row r="3700" spans="6:26" ht="24" customHeight="1">
      <c r="G3700"/>
      <c r="H3700" s="1" t="s">
        <v>1490</v>
      </c>
      <c r="J3700"/>
      <c r="K3700" s="39">
        <f>(K3698/30)</f>
        <v>593.33000000000004</v>
      </c>
      <c r="S3700" s="627"/>
      <c r="T3700" s="627"/>
      <c r="U3700" s="627"/>
      <c r="V3700" s="627"/>
      <c r="W3700" s="627"/>
      <c r="X3700" s="627"/>
    </row>
    <row r="3701" spans="6:26" ht="24" customHeight="1">
      <c r="G3701"/>
      <c r="J3701"/>
      <c r="S3701"/>
      <c r="U3701" s="37" t="s">
        <v>4118</v>
      </c>
    </row>
    <row r="3702" spans="6:26" ht="240.75" customHeight="1">
      <c r="S3702" s="629"/>
      <c r="T3702" s="629"/>
      <c r="U3702" s="705" t="s">
        <v>4117</v>
      </c>
      <c r="V3702" s="705"/>
      <c r="W3702" s="705"/>
      <c r="X3702" s="705"/>
      <c r="Y3702" s="705"/>
      <c r="Z3702" s="705"/>
    </row>
    <row r="3703" spans="6:26" ht="25.5" customHeight="1">
      <c r="S3703" s="629"/>
      <c r="T3703" s="629"/>
      <c r="U3703" s="705"/>
      <c r="V3703" s="705"/>
      <c r="W3703" s="705"/>
      <c r="X3703" s="705"/>
      <c r="Y3703" s="705"/>
      <c r="Z3703" s="705"/>
    </row>
    <row r="3704" spans="6:26" ht="24" customHeight="1">
      <c r="F3704" s="627"/>
      <c r="G3704" s="627"/>
      <c r="H3704" s="627"/>
      <c r="I3704" s="627"/>
      <c r="J3704" s="627"/>
      <c r="K3704" s="627"/>
      <c r="L3704" s="627"/>
      <c r="M3704" s="627"/>
      <c r="N3704" s="627"/>
      <c r="S3704" s="582">
        <v>17.440000000000001</v>
      </c>
      <c r="T3704" s="583" t="s">
        <v>876</v>
      </c>
      <c r="U3704" s="665" t="s">
        <v>4240</v>
      </c>
      <c r="V3704" s="580">
        <f>V3686</f>
        <v>301</v>
      </c>
      <c r="W3704" s="583" t="s">
        <v>876</v>
      </c>
      <c r="X3704" s="580">
        <f>V3704*S3704</f>
        <v>5249.44</v>
      </c>
      <c r="Y3704" s="578"/>
    </row>
    <row r="3705" spans="6:26" ht="24" customHeight="1">
      <c r="F3705" s="627"/>
      <c r="G3705" s="627"/>
      <c r="H3705" s="635" t="s">
        <v>3945</v>
      </c>
      <c r="I3705" s="635"/>
      <c r="J3705" s="635"/>
      <c r="K3705" s="635"/>
      <c r="L3705" s="627"/>
      <c r="M3705" s="627"/>
      <c r="N3705" s="627"/>
      <c r="S3705" s="630">
        <v>13.56</v>
      </c>
      <c r="T3705" s="583" t="s">
        <v>794</v>
      </c>
      <c r="U3705" s="584" t="s">
        <v>4908</v>
      </c>
      <c r="V3705" s="922">
        <v>37.9</v>
      </c>
      <c r="W3705" s="583" t="s">
        <v>794</v>
      </c>
      <c r="X3705" s="580">
        <v>501.66</v>
      </c>
      <c r="Y3705" s="578"/>
    </row>
    <row r="3706" spans="6:26" ht="24" customHeight="1">
      <c r="F3706" s="627">
        <v>11</v>
      </c>
      <c r="G3706" s="636" t="s">
        <v>2199</v>
      </c>
      <c r="H3706" s="627" t="s">
        <v>3946</v>
      </c>
      <c r="I3706" s="919">
        <v>378</v>
      </c>
      <c r="J3706" s="636" t="s">
        <v>2199</v>
      </c>
      <c r="K3706" s="95">
        <f>I3706*F3706</f>
        <v>4158</v>
      </c>
      <c r="L3706" s="627"/>
      <c r="M3706" s="627"/>
      <c r="N3706" s="627"/>
      <c r="S3706" s="582">
        <v>2.62</v>
      </c>
      <c r="T3706" s="583" t="s">
        <v>222</v>
      </c>
      <c r="U3706" s="584" t="s">
        <v>4909</v>
      </c>
      <c r="V3706" s="922">
        <v>303</v>
      </c>
      <c r="W3706" s="583" t="s">
        <v>222</v>
      </c>
      <c r="X3706" s="580">
        <f>V3706*S3706</f>
        <v>793.86</v>
      </c>
      <c r="Y3706" s="578"/>
    </row>
    <row r="3707" spans="6:26" ht="24" customHeight="1">
      <c r="F3707" s="627">
        <v>2.2000000000000002</v>
      </c>
      <c r="G3707" s="627" t="s">
        <v>1341</v>
      </c>
      <c r="H3707" s="627" t="s">
        <v>3962</v>
      </c>
      <c r="I3707" s="595">
        <f>AE17</f>
        <v>760</v>
      </c>
      <c r="J3707" s="627" t="s">
        <v>1341</v>
      </c>
      <c r="K3707" s="95">
        <f>I3707*F3707</f>
        <v>1672</v>
      </c>
      <c r="L3707" s="627"/>
      <c r="M3707" s="627"/>
      <c r="N3707" s="627"/>
      <c r="S3707" s="582">
        <v>8</v>
      </c>
      <c r="T3707" s="583" t="s">
        <v>1375</v>
      </c>
      <c r="U3707" s="584" t="s">
        <v>4910</v>
      </c>
      <c r="V3707" s="922">
        <v>13.95</v>
      </c>
      <c r="W3707" s="583" t="s">
        <v>1375</v>
      </c>
      <c r="X3707" s="580">
        <f>V3707*S3707</f>
        <v>111.6</v>
      </c>
      <c r="Y3707" s="578"/>
    </row>
    <row r="3708" spans="6:26" ht="24" customHeight="1">
      <c r="F3708" s="627">
        <v>1.1000000000000001</v>
      </c>
      <c r="G3708" s="627" t="s">
        <v>1341</v>
      </c>
      <c r="H3708" s="627" t="s">
        <v>3947</v>
      </c>
      <c r="I3708" s="595">
        <f>AE19</f>
        <v>842</v>
      </c>
      <c r="J3708" s="627" t="s">
        <v>1341</v>
      </c>
      <c r="K3708" s="95">
        <f>I3708*F3708</f>
        <v>926.2</v>
      </c>
      <c r="L3708" s="627"/>
      <c r="M3708" s="627"/>
      <c r="N3708" s="627"/>
      <c r="S3708" s="582">
        <v>3</v>
      </c>
      <c r="T3708" s="583" t="s">
        <v>1375</v>
      </c>
      <c r="U3708" s="584" t="s">
        <v>4911</v>
      </c>
      <c r="V3708" s="922">
        <v>65.900000000000006</v>
      </c>
      <c r="W3708" s="583" t="s">
        <v>216</v>
      </c>
      <c r="X3708" s="580">
        <f>V3708*S3708</f>
        <v>197.7</v>
      </c>
      <c r="Y3708" s="578"/>
    </row>
    <row r="3709" spans="6:26" ht="24" customHeight="1">
      <c r="F3709" s="627">
        <v>3.2</v>
      </c>
      <c r="G3709" s="627" t="s">
        <v>1341</v>
      </c>
      <c r="H3709" s="638" t="s">
        <v>3948</v>
      </c>
      <c r="I3709" s="595">
        <f>AE11</f>
        <v>562</v>
      </c>
      <c r="J3709" s="627" t="s">
        <v>1341</v>
      </c>
      <c r="K3709" s="95">
        <f>I3709*F3709</f>
        <v>1798.4</v>
      </c>
      <c r="L3709" s="627"/>
      <c r="M3709" s="627"/>
      <c r="N3709" s="627"/>
      <c r="S3709" s="582">
        <v>4</v>
      </c>
      <c r="T3709" s="583" t="s">
        <v>1375</v>
      </c>
      <c r="U3709" s="584" t="s">
        <v>4912</v>
      </c>
      <c r="V3709" s="922">
        <v>32.700000000000003</v>
      </c>
      <c r="W3709" s="583" t="s">
        <v>739</v>
      </c>
      <c r="X3709" s="580">
        <f>V3709*S3709</f>
        <v>130.80000000000001</v>
      </c>
      <c r="Y3709" s="578"/>
    </row>
    <row r="3710" spans="6:26" ht="24" customHeight="1">
      <c r="F3710" s="627"/>
      <c r="G3710" s="627" t="s">
        <v>3949</v>
      </c>
      <c r="H3710" s="627" t="s">
        <v>3950</v>
      </c>
      <c r="I3710" s="627" t="s">
        <v>3949</v>
      </c>
      <c r="J3710" s="627"/>
      <c r="K3710" s="627">
        <v>107.11</v>
      </c>
      <c r="L3710" s="627"/>
      <c r="M3710" s="627"/>
      <c r="N3710" s="627"/>
      <c r="S3710" s="582">
        <v>2.4300000000000002</v>
      </c>
      <c r="T3710" s="583" t="s">
        <v>2199</v>
      </c>
      <c r="U3710" s="584" t="s">
        <v>3818</v>
      </c>
      <c r="V3710" s="578">
        <f>X3678</f>
        <v>1724</v>
      </c>
      <c r="W3710" s="583" t="s">
        <v>2199</v>
      </c>
      <c r="X3710" s="580">
        <f>V3710*S3710</f>
        <v>4189.32</v>
      </c>
      <c r="Y3710" s="578"/>
    </row>
    <row r="3711" spans="6:26" ht="24" customHeight="1">
      <c r="F3711" s="627"/>
      <c r="G3711" s="627"/>
      <c r="H3711" s="627" t="s">
        <v>3951</v>
      </c>
      <c r="I3711" s="627"/>
      <c r="J3711" s="627"/>
      <c r="K3711" s="95">
        <f>SUM(K3706:K3710)</f>
        <v>8661.7099999999991</v>
      </c>
      <c r="L3711" s="627"/>
      <c r="M3711" s="627"/>
      <c r="N3711" s="627"/>
      <c r="S3711" s="37"/>
      <c r="T3711" s="73" t="s">
        <v>625</v>
      </c>
      <c r="U3711" s="37" t="s">
        <v>4112</v>
      </c>
      <c r="V3711" s="37"/>
      <c r="W3711" s="99" t="s">
        <v>625</v>
      </c>
      <c r="X3711" s="37">
        <v>130</v>
      </c>
      <c r="Y3711" s="578"/>
    </row>
    <row r="3712" spans="6:26" ht="24" customHeight="1">
      <c r="F3712" s="627"/>
      <c r="G3712" s="627"/>
      <c r="H3712" s="627" t="s">
        <v>3952</v>
      </c>
      <c r="I3712" s="627"/>
      <c r="J3712" s="627"/>
      <c r="K3712" s="639">
        <f>K3711/10</f>
        <v>866.17</v>
      </c>
      <c r="L3712" s="627"/>
      <c r="M3712" s="627"/>
      <c r="N3712" s="627">
        <f>L3712</f>
        <v>0</v>
      </c>
      <c r="S3712" s="37"/>
      <c r="T3712" s="73"/>
      <c r="U3712" s="37"/>
      <c r="V3712" s="37"/>
      <c r="W3712" s="99"/>
      <c r="X3712" s="37">
        <f>SUM(X3704:X3711)</f>
        <v>11304.38</v>
      </c>
      <c r="Y3712" s="578"/>
    </row>
    <row r="3713" spans="6:25" ht="24" customHeight="1">
      <c r="F3713" s="627"/>
      <c r="G3713" s="627"/>
      <c r="H3713" s="627"/>
      <c r="I3713" s="627"/>
      <c r="J3713" s="627"/>
      <c r="K3713" s="627"/>
      <c r="L3713" s="627"/>
      <c r="M3713" s="627"/>
      <c r="N3713" s="627"/>
      <c r="X3713" s="37">
        <f>X3712/S3710</f>
        <v>4652.01</v>
      </c>
      <c r="Y3713" s="578" t="s">
        <v>2199</v>
      </c>
    </row>
    <row r="3714" spans="6:25" ht="52.5" customHeight="1">
      <c r="F3714" s="949" t="s">
        <v>3963</v>
      </c>
      <c r="G3714" s="949"/>
      <c r="H3714" s="949"/>
      <c r="I3714" s="949"/>
      <c r="J3714" s="949"/>
      <c r="K3714" s="949"/>
      <c r="L3714" s="949"/>
      <c r="M3714" s="949"/>
      <c r="N3714" s="627"/>
      <c r="O3714" s="1530" t="s">
        <v>4616</v>
      </c>
      <c r="P3714" s="1530"/>
      <c r="W3714" t="s">
        <v>4121</v>
      </c>
      <c r="X3714">
        <v>3584</v>
      </c>
      <c r="Y3714" s="578"/>
    </row>
    <row r="3715" spans="6:25" ht="36.75" customHeight="1">
      <c r="F3715" s="640"/>
      <c r="G3715" s="640"/>
      <c r="H3715" s="641" t="s">
        <v>3953</v>
      </c>
      <c r="I3715" s="641"/>
      <c r="J3715" s="641"/>
      <c r="K3715" s="641"/>
      <c r="L3715" s="640"/>
      <c r="M3715" s="644">
        <v>12.72</v>
      </c>
      <c r="N3715" s="640" t="s">
        <v>1591</v>
      </c>
      <c r="O3715" t="s">
        <v>4620</v>
      </c>
      <c r="P3715">
        <f>V3718</f>
        <v>301</v>
      </c>
      <c r="Q3715" s="640" t="s">
        <v>1591</v>
      </c>
      <c r="R3715" s="875">
        <f>P3715*M3715</f>
        <v>3828.72</v>
      </c>
      <c r="S3715"/>
      <c r="U3715" s="37" t="s">
        <v>4119</v>
      </c>
      <c r="Y3715" s="578"/>
    </row>
    <row r="3716" spans="6:25" ht="81" customHeight="1">
      <c r="F3716" s="642">
        <v>36</v>
      </c>
      <c r="G3716" s="640" t="s">
        <v>794</v>
      </c>
      <c r="H3716" s="643" t="s">
        <v>4871</v>
      </c>
      <c r="I3716" s="748">
        <v>34.6</v>
      </c>
      <c r="J3716" s="644" t="str">
        <f>G3716</f>
        <v>Rmt</v>
      </c>
      <c r="K3716" s="642">
        <f>I3716*F3716</f>
        <v>1245.5999999999999</v>
      </c>
      <c r="L3716" s="640"/>
      <c r="M3716" s="870">
        <v>9.4</v>
      </c>
      <c r="N3716" s="871" t="s">
        <v>2199</v>
      </c>
      <c r="O3716" s="872" t="s">
        <v>4618</v>
      </c>
      <c r="P3716" s="925">
        <v>807</v>
      </c>
      <c r="Q3716" s="871" t="s">
        <v>2199</v>
      </c>
      <c r="R3716" s="875">
        <f t="shared" ref="R3716:R3721" si="358">P3716*M3716</f>
        <v>7585.8</v>
      </c>
      <c r="S3716" s="629"/>
      <c r="T3716" s="629"/>
      <c r="U3716" s="705" t="s">
        <v>4120</v>
      </c>
      <c r="V3716" s="705"/>
      <c r="W3716" s="705"/>
      <c r="X3716" s="705"/>
      <c r="Y3716" s="578"/>
    </row>
    <row r="3717" spans="6:25" ht="36.75" customHeight="1">
      <c r="F3717" s="642">
        <v>9</v>
      </c>
      <c r="G3717" s="644" t="s">
        <v>2199</v>
      </c>
      <c r="H3717" s="645" t="s">
        <v>3954</v>
      </c>
      <c r="I3717" s="920">
        <v>350</v>
      </c>
      <c r="J3717" s="644" t="str">
        <f>G3717</f>
        <v>Sqm</v>
      </c>
      <c r="K3717" s="642">
        <f>I3717*F3717</f>
        <v>3150</v>
      </c>
      <c r="L3717" s="640"/>
      <c r="M3717" s="642">
        <v>9.4</v>
      </c>
      <c r="N3717" s="644" t="s">
        <v>2199</v>
      </c>
      <c r="O3717" s="645" t="s">
        <v>4898</v>
      </c>
      <c r="P3717" s="748">
        <v>408</v>
      </c>
      <c r="Q3717" s="644" t="s">
        <v>2199</v>
      </c>
      <c r="R3717" s="875">
        <f t="shared" si="358"/>
        <v>3835.2</v>
      </c>
      <c r="S3717" s="629"/>
      <c r="T3717" s="629"/>
      <c r="U3717" s="705"/>
      <c r="V3717" s="705"/>
      <c r="W3717" s="705"/>
      <c r="X3717" s="705"/>
      <c r="Y3717" s="578"/>
    </row>
    <row r="3718" spans="6:25" ht="36.75" customHeight="1">
      <c r="F3718" s="642">
        <v>9</v>
      </c>
      <c r="G3718" s="644" t="s">
        <v>2199</v>
      </c>
      <c r="H3718" s="645" t="s">
        <v>3955</v>
      </c>
      <c r="I3718" s="920">
        <v>860.8</v>
      </c>
      <c r="J3718" s="644" t="str">
        <f>G3718</f>
        <v>Sqm</v>
      </c>
      <c r="K3718" s="642">
        <f>I3718*F3718</f>
        <v>7747.2</v>
      </c>
      <c r="L3718" s="640"/>
      <c r="M3718" s="642">
        <v>40</v>
      </c>
      <c r="N3718" s="644" t="s">
        <v>244</v>
      </c>
      <c r="O3718" s="645" t="s">
        <v>4617</v>
      </c>
      <c r="P3718" s="920">
        <v>10</v>
      </c>
      <c r="Q3718" s="644" t="s">
        <v>244</v>
      </c>
      <c r="R3718" s="875">
        <f t="shared" si="358"/>
        <v>400</v>
      </c>
      <c r="S3718" s="582">
        <v>14.43</v>
      </c>
      <c r="T3718" s="583" t="s">
        <v>876</v>
      </c>
      <c r="U3718" s="665" t="s">
        <v>4021</v>
      </c>
      <c r="V3718" s="580">
        <f>V3704</f>
        <v>301</v>
      </c>
      <c r="W3718" s="583" t="s">
        <v>876</v>
      </c>
      <c r="X3718" s="580">
        <f>V3718*S3718</f>
        <v>4343.43</v>
      </c>
      <c r="Y3718" s="578"/>
    </row>
    <row r="3719" spans="6:25" ht="36.75" customHeight="1">
      <c r="F3719" s="642">
        <v>9</v>
      </c>
      <c r="G3719" s="644" t="s">
        <v>2199</v>
      </c>
      <c r="H3719" s="643" t="s">
        <v>4872</v>
      </c>
      <c r="I3719" s="748">
        <v>642</v>
      </c>
      <c r="J3719" s="644" t="str">
        <f>G3719</f>
        <v>Sqm</v>
      </c>
      <c r="K3719" s="642">
        <f>I3719*F3719</f>
        <v>5778</v>
      </c>
      <c r="L3719" s="640"/>
      <c r="M3719" s="642">
        <v>2.25</v>
      </c>
      <c r="N3719" s="644" t="s">
        <v>1591</v>
      </c>
      <c r="O3719" s="643" t="s">
        <v>4899</v>
      </c>
      <c r="P3719" s="748">
        <v>197.8</v>
      </c>
      <c r="Q3719" s="644" t="s">
        <v>1591</v>
      </c>
      <c r="R3719" s="875">
        <f t="shared" si="358"/>
        <v>445.05</v>
      </c>
      <c r="S3719" s="630">
        <v>10.433999999999999</v>
      </c>
      <c r="T3719" s="583" t="s">
        <v>794</v>
      </c>
      <c r="U3719" s="584" t="s">
        <v>3941</v>
      </c>
      <c r="V3719" s="580">
        <f t="shared" ref="V3719:V3724" si="359">V3705</f>
        <v>37.9</v>
      </c>
      <c r="W3719" s="583" t="s">
        <v>794</v>
      </c>
      <c r="X3719" s="580">
        <v>501.66</v>
      </c>
      <c r="Y3719" s="578"/>
    </row>
    <row r="3720" spans="6:25" ht="36.75" customHeight="1">
      <c r="F3720" s="642">
        <v>9</v>
      </c>
      <c r="G3720" s="644" t="s">
        <v>2199</v>
      </c>
      <c r="H3720" s="640" t="s">
        <v>3956</v>
      </c>
      <c r="I3720" s="642">
        <f>K3728</f>
        <v>1552.5</v>
      </c>
      <c r="J3720" s="644" t="str">
        <f>G3720</f>
        <v>Sqm</v>
      </c>
      <c r="K3720" s="642">
        <f>I3720*F3720</f>
        <v>13972.5</v>
      </c>
      <c r="L3720" s="640"/>
      <c r="M3720" s="869">
        <v>9.4</v>
      </c>
      <c r="N3720" s="644" t="s">
        <v>2199</v>
      </c>
      <c r="O3720" s="640" t="s">
        <v>3956</v>
      </c>
      <c r="P3720" s="642">
        <f>R3728</f>
        <v>2376.5</v>
      </c>
      <c r="Q3720" s="644" t="s">
        <v>2199</v>
      </c>
      <c r="R3720" s="875">
        <f t="shared" si="358"/>
        <v>22339.1</v>
      </c>
      <c r="S3720" s="582">
        <v>2.16</v>
      </c>
      <c r="T3720" s="583" t="s">
        <v>222</v>
      </c>
      <c r="U3720" s="584" t="s">
        <v>4113</v>
      </c>
      <c r="V3720" s="580">
        <f t="shared" si="359"/>
        <v>303</v>
      </c>
      <c r="W3720" s="583" t="s">
        <v>222</v>
      </c>
      <c r="X3720" s="580">
        <f>V3720*S3720</f>
        <v>654.48</v>
      </c>
      <c r="Y3720" s="578"/>
    </row>
    <row r="3721" spans="6:25" ht="36.75" customHeight="1">
      <c r="F3721" s="640"/>
      <c r="G3721" s="640"/>
      <c r="H3721" s="640"/>
      <c r="I3721" s="640"/>
      <c r="J3721" s="640"/>
      <c r="K3721" s="642">
        <f>SUM(K3716:K3720)</f>
        <v>31893.3</v>
      </c>
      <c r="L3721" s="640"/>
      <c r="M3721" s="869">
        <v>0.25</v>
      </c>
      <c r="N3721" s="873" t="s">
        <v>1591</v>
      </c>
      <c r="O3721" s="640" t="s">
        <v>4900</v>
      </c>
      <c r="P3721" s="926">
        <v>63.4</v>
      </c>
      <c r="Q3721" s="873" t="s">
        <v>1591</v>
      </c>
      <c r="R3721" s="875">
        <f t="shared" si="358"/>
        <v>15.85</v>
      </c>
      <c r="S3721" s="582">
        <v>6</v>
      </c>
      <c r="T3721" s="583" t="s">
        <v>1375</v>
      </c>
      <c r="U3721" s="584" t="s">
        <v>4115</v>
      </c>
      <c r="V3721" s="580">
        <f t="shared" si="359"/>
        <v>13.95</v>
      </c>
      <c r="W3721" s="583" t="s">
        <v>1375</v>
      </c>
      <c r="X3721" s="580">
        <f>V3721*S3721</f>
        <v>83.7</v>
      </c>
      <c r="Y3721" s="588"/>
    </row>
    <row r="3722" spans="6:25" ht="36.75" customHeight="1">
      <c r="F3722" s="640"/>
      <c r="G3722" s="640"/>
      <c r="H3722" s="640" t="s">
        <v>3957</v>
      </c>
      <c r="I3722" s="640"/>
      <c r="J3722" s="644"/>
      <c r="K3722" s="642">
        <f>K3721/9</f>
        <v>3543.7</v>
      </c>
      <c r="L3722" s="640"/>
      <c r="M3722" s="640"/>
      <c r="N3722" s="640"/>
      <c r="O3722" s="640" t="s">
        <v>4619</v>
      </c>
      <c r="P3722" s="640"/>
      <c r="Q3722" s="644"/>
      <c r="R3722" s="642">
        <f>SUM(R3715:R3721)</f>
        <v>38449.72</v>
      </c>
      <c r="S3722" s="582">
        <v>2</v>
      </c>
      <c r="T3722" s="583" t="s">
        <v>1375</v>
      </c>
      <c r="U3722" s="584" t="s">
        <v>4114</v>
      </c>
      <c r="V3722" s="580">
        <f t="shared" si="359"/>
        <v>65.900000000000006</v>
      </c>
      <c r="W3722" s="583" t="s">
        <v>216</v>
      </c>
      <c r="X3722" s="580">
        <f>V3722*S3722</f>
        <v>131.80000000000001</v>
      </c>
      <c r="Y3722" s="578"/>
    </row>
    <row r="3723" spans="6:25" ht="24" customHeight="1">
      <c r="F3723" s="640"/>
      <c r="G3723" s="640"/>
      <c r="H3723" s="646" t="s">
        <v>3958</v>
      </c>
      <c r="I3723" s="641" t="s">
        <v>3959</v>
      </c>
      <c r="J3723" s="640"/>
      <c r="K3723" s="647">
        <v>3282</v>
      </c>
      <c r="L3723" s="640"/>
      <c r="M3723" s="640"/>
      <c r="N3723" s="640"/>
      <c r="O3723" s="646" t="s">
        <v>3958</v>
      </c>
      <c r="P3723" s="641" t="s">
        <v>3959</v>
      </c>
      <c r="Q3723" s="640"/>
      <c r="R3723" s="647">
        <f>R3722/M3720</f>
        <v>4090.4</v>
      </c>
      <c r="S3723" s="582">
        <v>3</v>
      </c>
      <c r="T3723" s="583" t="s">
        <v>1375</v>
      </c>
      <c r="U3723" s="584" t="s">
        <v>4116</v>
      </c>
      <c r="V3723" s="580">
        <f t="shared" si="359"/>
        <v>32.700000000000003</v>
      </c>
      <c r="W3723" s="583" t="s">
        <v>739</v>
      </c>
      <c r="X3723" s="580">
        <f>V3723*S3723</f>
        <v>98.1</v>
      </c>
      <c r="Y3723" s="578"/>
    </row>
    <row r="3724" spans="6:25" ht="24" customHeight="1">
      <c r="F3724" s="640"/>
      <c r="G3724" s="640"/>
      <c r="H3724" s="640" t="s">
        <v>3960</v>
      </c>
      <c r="I3724" s="640"/>
      <c r="J3724" s="640"/>
      <c r="K3724" s="640"/>
      <c r="L3724" s="640"/>
      <c r="M3724" s="640"/>
      <c r="N3724" s="640"/>
      <c r="O3724" s="640" t="s">
        <v>3960</v>
      </c>
      <c r="P3724" s="640"/>
      <c r="Q3724" s="640"/>
      <c r="R3724" s="640"/>
      <c r="S3724" s="582">
        <v>1.823</v>
      </c>
      <c r="T3724" s="583" t="s">
        <v>2199</v>
      </c>
      <c r="U3724" s="584" t="s">
        <v>3818</v>
      </c>
      <c r="V3724" s="580">
        <f t="shared" si="359"/>
        <v>1724</v>
      </c>
      <c r="W3724" s="583" t="s">
        <v>2199</v>
      </c>
      <c r="X3724" s="580">
        <f>V3724*S3724</f>
        <v>3142.85</v>
      </c>
      <c r="Y3724" s="578"/>
    </row>
    <row r="3725" spans="6:25" ht="24" customHeight="1">
      <c r="F3725" s="642">
        <v>1</v>
      </c>
      <c r="G3725" s="644" t="s">
        <v>244</v>
      </c>
      <c r="H3725" s="642" t="s">
        <v>3961</v>
      </c>
      <c r="I3725" s="642">
        <f>AE17</f>
        <v>760</v>
      </c>
      <c r="J3725" s="644" t="s">
        <v>244</v>
      </c>
      <c r="K3725" s="640">
        <f>I3725*F3725</f>
        <v>760</v>
      </c>
      <c r="L3725" s="640"/>
      <c r="M3725" s="642">
        <v>1</v>
      </c>
      <c r="N3725" s="644" t="s">
        <v>244</v>
      </c>
      <c r="O3725" s="642" t="s">
        <v>3979</v>
      </c>
      <c r="P3725" s="642">
        <f>AE19</f>
        <v>842</v>
      </c>
      <c r="Q3725" s="644" t="s">
        <v>244</v>
      </c>
      <c r="R3725" s="874">
        <f>P3725*M3725</f>
        <v>842</v>
      </c>
      <c r="S3725" s="37"/>
      <c r="T3725" s="73" t="s">
        <v>625</v>
      </c>
      <c r="U3725" s="37" t="s">
        <v>4112</v>
      </c>
      <c r="V3725" s="37"/>
      <c r="W3725" s="99" t="s">
        <v>625</v>
      </c>
      <c r="X3725" s="37">
        <v>110</v>
      </c>
      <c r="Y3725" s="578"/>
    </row>
    <row r="3726" spans="6:25" ht="24" customHeight="1">
      <c r="F3726" s="642">
        <v>1</v>
      </c>
      <c r="G3726" s="644" t="s">
        <v>244</v>
      </c>
      <c r="H3726" s="643" t="s">
        <v>1836</v>
      </c>
      <c r="I3726" s="642">
        <f>AE11</f>
        <v>562</v>
      </c>
      <c r="J3726" s="644" t="s">
        <v>244</v>
      </c>
      <c r="K3726" s="640">
        <f>I3726*F3726</f>
        <v>562</v>
      </c>
      <c r="L3726" s="640"/>
      <c r="M3726" s="642">
        <v>1.5</v>
      </c>
      <c r="N3726" s="644" t="s">
        <v>244</v>
      </c>
      <c r="O3726" s="643" t="s">
        <v>1836</v>
      </c>
      <c r="P3726" s="642">
        <f>I3726</f>
        <v>562</v>
      </c>
      <c r="Q3726" s="644" t="s">
        <v>244</v>
      </c>
      <c r="R3726" s="874">
        <f>P3726*M3726</f>
        <v>843</v>
      </c>
      <c r="S3726" s="37"/>
      <c r="T3726" s="73"/>
      <c r="U3726" s="37"/>
      <c r="V3726" s="37"/>
      <c r="W3726" s="99"/>
      <c r="X3726" s="37">
        <f>SUM(X3718:X3725)</f>
        <v>9066.02</v>
      </c>
      <c r="Y3726" s="578"/>
    </row>
    <row r="3727" spans="6:25" ht="24" customHeight="1">
      <c r="F3727" s="642">
        <v>0.5</v>
      </c>
      <c r="G3727" s="644" t="s">
        <v>244</v>
      </c>
      <c r="H3727" s="643" t="s">
        <v>299</v>
      </c>
      <c r="I3727" s="642">
        <f>AE12</f>
        <v>461</v>
      </c>
      <c r="J3727" s="644" t="s">
        <v>244</v>
      </c>
      <c r="K3727" s="640">
        <f>I3727*F3727</f>
        <v>230.5</v>
      </c>
      <c r="L3727" s="640"/>
      <c r="M3727" s="642">
        <v>1.5</v>
      </c>
      <c r="N3727" s="644" t="s">
        <v>244</v>
      </c>
      <c r="O3727" s="643" t="s">
        <v>299</v>
      </c>
      <c r="P3727" s="642">
        <f>I3727</f>
        <v>461</v>
      </c>
      <c r="Q3727" s="644" t="s">
        <v>244</v>
      </c>
      <c r="R3727" s="874">
        <f>P3727*M3727</f>
        <v>691.5</v>
      </c>
      <c r="X3727" s="37">
        <f>X3726/S3724</f>
        <v>4973.13</v>
      </c>
      <c r="Y3727" s="578"/>
    </row>
    <row r="3728" spans="6:25" ht="24" customHeight="1">
      <c r="F3728" s="640"/>
      <c r="G3728" s="640"/>
      <c r="H3728" s="640"/>
      <c r="I3728" s="640"/>
      <c r="J3728" s="640"/>
      <c r="K3728" s="640">
        <f>SUM(K3725:K3727)</f>
        <v>1552.5</v>
      </c>
      <c r="L3728" s="640"/>
      <c r="M3728" s="640"/>
      <c r="N3728" s="640"/>
      <c r="O3728" s="640"/>
      <c r="P3728" s="640"/>
      <c r="Q3728" s="640"/>
      <c r="R3728" s="874">
        <f>SUM(R3725:R3727)</f>
        <v>2376.5</v>
      </c>
      <c r="X3728">
        <v>3873</v>
      </c>
      <c r="Y3728" s="578"/>
    </row>
    <row r="3729" spans="6:25" ht="24" customHeight="1">
      <c r="F3729" s="640"/>
      <c r="G3729" s="640"/>
      <c r="H3729" s="640"/>
      <c r="I3729" s="640"/>
      <c r="J3729" s="640"/>
      <c r="K3729" s="640"/>
      <c r="L3729" s="640"/>
      <c r="M3729" s="640"/>
      <c r="N3729" s="640"/>
      <c r="O3729" s="640"/>
      <c r="P3729" s="640"/>
      <c r="Q3729" s="640"/>
      <c r="R3729" s="640"/>
      <c r="S3729" s="578"/>
      <c r="T3729" s="585"/>
      <c r="U3729" s="578"/>
      <c r="V3729" s="578"/>
      <c r="W3729" s="592"/>
      <c r="X3729" s="593"/>
      <c r="Y3729" s="578"/>
    </row>
    <row r="3730" spans="6:25" ht="24" customHeight="1">
      <c r="F3730" s="627"/>
      <c r="G3730" s="627"/>
      <c r="H3730" s="627"/>
      <c r="I3730" s="627"/>
      <c r="J3730" s="627"/>
      <c r="K3730" s="627"/>
      <c r="L3730" s="627"/>
      <c r="M3730" s="627"/>
      <c r="N3730" s="627"/>
      <c r="S3730"/>
    </row>
    <row r="3731" spans="6:25" ht="24" customHeight="1">
      <c r="F3731" s="595"/>
      <c r="G3731" s="595"/>
      <c r="H3731" s="6"/>
      <c r="I3731" s="595"/>
      <c r="J3731" s="595"/>
      <c r="K3731" s="627"/>
      <c r="L3731" s="627"/>
      <c r="M3731" s="627"/>
      <c r="N3731" s="627"/>
    </row>
    <row r="3732" spans="6:25" ht="24" customHeight="1">
      <c r="F3732" s="627"/>
      <c r="G3732" s="627"/>
      <c r="H3732" s="648" t="s">
        <v>3964</v>
      </c>
      <c r="I3732" s="635"/>
      <c r="J3732" s="627"/>
      <c r="K3732" s="627"/>
      <c r="L3732" s="627"/>
      <c r="M3732" s="627"/>
      <c r="N3732" s="627"/>
    </row>
    <row r="3733" spans="6:25" ht="24" customHeight="1">
      <c r="F3733" s="627"/>
      <c r="G3733" s="627"/>
      <c r="H3733" s="627"/>
      <c r="I3733" s="627"/>
      <c r="J3733" s="627"/>
      <c r="K3733" s="627"/>
      <c r="L3733" s="627"/>
      <c r="M3733" s="627"/>
      <c r="N3733" s="627"/>
    </row>
    <row r="3734" spans="6:25" ht="24" customHeight="1">
      <c r="F3734" s="637"/>
      <c r="G3734" s="636"/>
      <c r="H3734" s="649" t="s">
        <v>3965</v>
      </c>
      <c r="I3734" s="637"/>
      <c r="J3734" s="637"/>
      <c r="K3734" s="627"/>
      <c r="L3734" s="627"/>
      <c r="M3734" s="627"/>
      <c r="N3734" s="627"/>
    </row>
    <row r="3735" spans="6:25" ht="24" customHeight="1">
      <c r="F3735" s="637"/>
      <c r="G3735" s="636"/>
      <c r="H3735" s="638"/>
      <c r="I3735" s="637"/>
      <c r="J3735" s="637"/>
      <c r="K3735" s="627"/>
      <c r="L3735" s="627"/>
      <c r="M3735" s="627"/>
      <c r="N3735" s="627"/>
    </row>
    <row r="3736" spans="6:25" ht="24" customHeight="1">
      <c r="F3736" s="627"/>
      <c r="G3736" s="627"/>
      <c r="H3736" s="109" t="s">
        <v>4873</v>
      </c>
      <c r="I3736" s="637"/>
      <c r="J3736" s="627"/>
      <c r="K3736" s="627"/>
      <c r="L3736" s="627"/>
      <c r="M3736" s="627"/>
      <c r="N3736" s="627"/>
    </row>
    <row r="3737" spans="6:25" ht="24" customHeight="1">
      <c r="F3737" s="637">
        <v>5</v>
      </c>
      <c r="G3737" s="636" t="s">
        <v>1591</v>
      </c>
      <c r="H3737" s="637" t="s">
        <v>4874</v>
      </c>
      <c r="I3737" s="749">
        <v>27.2</v>
      </c>
      <c r="J3737" s="636" t="s">
        <v>1591</v>
      </c>
      <c r="K3737" s="636">
        <f>I3737*F3737</f>
        <v>136</v>
      </c>
      <c r="L3737" s="627"/>
      <c r="M3737" s="627"/>
      <c r="N3737" s="627"/>
    </row>
    <row r="3738" spans="6:25" ht="24" customHeight="1">
      <c r="F3738" s="637">
        <v>1</v>
      </c>
      <c r="G3738" s="636" t="s">
        <v>1337</v>
      </c>
      <c r="H3738" s="637" t="s">
        <v>3966</v>
      </c>
      <c r="I3738" s="637">
        <f>AE13</f>
        <v>688</v>
      </c>
      <c r="J3738" s="636" t="s">
        <v>1337</v>
      </c>
      <c r="K3738" s="636">
        <f>I3738*F3738</f>
        <v>688</v>
      </c>
      <c r="L3738" s="627"/>
      <c r="M3738" s="627"/>
      <c r="N3738" s="627"/>
    </row>
    <row r="3739" spans="6:25" ht="24" customHeight="1">
      <c r="F3739" s="637"/>
      <c r="G3739" s="650" t="s">
        <v>625</v>
      </c>
      <c r="H3739" s="638" t="s">
        <v>2987</v>
      </c>
      <c r="I3739" s="627"/>
      <c r="J3739" s="650" t="s">
        <v>625</v>
      </c>
      <c r="K3739" s="636">
        <f>(121.1+90.9)/12</f>
        <v>17.670000000000002</v>
      </c>
      <c r="L3739" s="627"/>
      <c r="M3739" s="627"/>
      <c r="N3739" s="627"/>
    </row>
    <row r="3740" spans="6:25" ht="24" customHeight="1">
      <c r="F3740" s="627"/>
      <c r="G3740" s="627"/>
      <c r="H3740" s="638" t="s">
        <v>1402</v>
      </c>
      <c r="I3740" s="627"/>
      <c r="J3740" s="627"/>
      <c r="K3740" s="651">
        <f>SUM(K3737:K3739)</f>
        <v>841.67</v>
      </c>
      <c r="L3740" s="627"/>
      <c r="M3740" s="627"/>
      <c r="N3740" s="627"/>
    </row>
    <row r="3741" spans="6:25" ht="24" customHeight="1">
      <c r="F3741" s="627"/>
      <c r="G3741" s="627"/>
      <c r="H3741" s="638" t="s">
        <v>3174</v>
      </c>
      <c r="I3741" s="627"/>
      <c r="J3741" s="627"/>
      <c r="K3741" s="652">
        <f>K3740/10</f>
        <v>84.17</v>
      </c>
      <c r="L3741" s="627"/>
      <c r="M3741" s="627"/>
      <c r="N3741" s="627"/>
    </row>
    <row r="3744" spans="6:25" ht="24" customHeight="1">
      <c r="F3744" s="627"/>
      <c r="G3744" s="627"/>
      <c r="H3744" s="627"/>
      <c r="I3744" s="627"/>
      <c r="J3744" s="627"/>
      <c r="K3744" s="627"/>
      <c r="L3744" s="627"/>
      <c r="M3744" s="627"/>
      <c r="N3744" s="627"/>
    </row>
    <row r="3745" spans="6:14" ht="24" customHeight="1">
      <c r="F3745" s="637"/>
      <c r="G3745" s="636"/>
      <c r="H3745" s="649" t="s">
        <v>3967</v>
      </c>
      <c r="I3745" s="637"/>
      <c r="J3745" s="637"/>
      <c r="K3745" s="627"/>
      <c r="L3745" s="627"/>
      <c r="M3745" s="627"/>
      <c r="N3745" s="627"/>
    </row>
    <row r="3746" spans="6:14" ht="24" customHeight="1">
      <c r="F3746" s="637" t="s">
        <v>1007</v>
      </c>
      <c r="G3746" s="636" t="s">
        <v>216</v>
      </c>
      <c r="H3746" s="638"/>
      <c r="I3746" s="637" t="s">
        <v>95</v>
      </c>
      <c r="J3746" s="636" t="s">
        <v>216</v>
      </c>
      <c r="K3746" s="636" t="s">
        <v>939</v>
      </c>
      <c r="L3746" s="627"/>
      <c r="M3746" s="627"/>
      <c r="N3746" s="627"/>
    </row>
    <row r="3747" spans="6:14" ht="24" customHeight="1">
      <c r="F3747" s="637"/>
      <c r="G3747" s="636"/>
      <c r="H3747" s="638"/>
      <c r="I3747" s="637"/>
      <c r="J3747" s="637"/>
      <c r="K3747" s="627"/>
      <c r="L3747" s="627"/>
      <c r="M3747" s="627"/>
      <c r="N3747" s="627"/>
    </row>
    <row r="3748" spans="6:14" ht="40.5" customHeight="1">
      <c r="F3748" s="637">
        <v>0.15</v>
      </c>
      <c r="G3748" s="636" t="s">
        <v>2070</v>
      </c>
      <c r="H3748" s="745" t="s">
        <v>4180</v>
      </c>
      <c r="I3748" s="749">
        <f>I3642</f>
        <v>2548.02</v>
      </c>
      <c r="J3748" s="636" t="s">
        <v>2070</v>
      </c>
      <c r="K3748" s="637">
        <f t="shared" ref="K3748:K3753" si="360">I3748*F3748</f>
        <v>382.2</v>
      </c>
      <c r="L3748" s="627"/>
      <c r="M3748" s="627"/>
      <c r="N3748" s="627"/>
    </row>
    <row r="3749" spans="6:14" ht="24" customHeight="1">
      <c r="F3749" s="653">
        <v>7.1999999999999995E-2</v>
      </c>
      <c r="G3749" s="636" t="s">
        <v>494</v>
      </c>
      <c r="H3749" s="638" t="s">
        <v>364</v>
      </c>
      <c r="I3749" s="637">
        <f>I9</f>
        <v>5960</v>
      </c>
      <c r="J3749" s="636" t="s">
        <v>494</v>
      </c>
      <c r="K3749" s="637">
        <f t="shared" si="360"/>
        <v>429.12</v>
      </c>
      <c r="L3749" s="627"/>
      <c r="M3749" s="627"/>
      <c r="N3749" s="627"/>
    </row>
    <row r="3750" spans="6:14" ht="24" customHeight="1">
      <c r="F3750" s="637">
        <v>14.5</v>
      </c>
      <c r="G3750" s="636" t="s">
        <v>876</v>
      </c>
      <c r="H3750" s="109" t="s">
        <v>3856</v>
      </c>
      <c r="I3750" s="749">
        <f>P2436</f>
        <v>24.7</v>
      </c>
      <c r="J3750" s="636" t="s">
        <v>876</v>
      </c>
      <c r="K3750" s="637">
        <f t="shared" si="360"/>
        <v>358.15</v>
      </c>
      <c r="L3750" s="627"/>
      <c r="M3750" s="627"/>
      <c r="N3750" s="627"/>
    </row>
    <row r="3751" spans="6:14" ht="24" customHeight="1">
      <c r="F3751" s="637">
        <v>1.6</v>
      </c>
      <c r="G3751" s="636" t="s">
        <v>244</v>
      </c>
      <c r="H3751" s="637" t="s">
        <v>3968</v>
      </c>
      <c r="I3751" s="637">
        <f>AE9</f>
        <v>861</v>
      </c>
      <c r="J3751" s="636" t="s">
        <v>244</v>
      </c>
      <c r="K3751" s="637">
        <f t="shared" si="360"/>
        <v>1377.6</v>
      </c>
      <c r="L3751" s="627"/>
      <c r="M3751" s="627"/>
      <c r="N3751" s="627"/>
    </row>
    <row r="3752" spans="6:14" ht="24" customHeight="1">
      <c r="F3752" s="637">
        <v>0.5</v>
      </c>
      <c r="G3752" s="636" t="s">
        <v>244</v>
      </c>
      <c r="H3752" s="638" t="s">
        <v>1836</v>
      </c>
      <c r="I3752" s="637">
        <f>AE11</f>
        <v>562</v>
      </c>
      <c r="J3752" s="636" t="s">
        <v>244</v>
      </c>
      <c r="K3752" s="637">
        <f t="shared" si="360"/>
        <v>281</v>
      </c>
      <c r="L3752" s="627"/>
      <c r="M3752" s="627"/>
      <c r="N3752" s="627"/>
    </row>
    <row r="3753" spans="6:14" ht="24" customHeight="1">
      <c r="F3753" s="637">
        <v>1.1000000000000001</v>
      </c>
      <c r="G3753" s="636" t="s">
        <v>244</v>
      </c>
      <c r="H3753" s="638" t="s">
        <v>299</v>
      </c>
      <c r="I3753" s="637">
        <v>280</v>
      </c>
      <c r="J3753" s="636" t="s">
        <v>244</v>
      </c>
      <c r="K3753" s="637">
        <f t="shared" si="360"/>
        <v>308</v>
      </c>
      <c r="L3753" s="627"/>
      <c r="M3753" s="627"/>
      <c r="N3753" s="627"/>
    </row>
    <row r="3754" spans="6:14" ht="24" customHeight="1">
      <c r="F3754" s="637"/>
      <c r="G3754" s="636"/>
      <c r="H3754" s="638" t="s">
        <v>2987</v>
      </c>
      <c r="I3754" s="654" t="s">
        <v>625</v>
      </c>
      <c r="J3754" s="636"/>
      <c r="K3754" s="637">
        <v>52.63</v>
      </c>
      <c r="L3754" s="627"/>
      <c r="M3754" s="627"/>
      <c r="N3754" s="627"/>
    </row>
    <row r="3755" spans="6:14" ht="24" customHeight="1">
      <c r="F3755" s="637"/>
      <c r="G3755" s="636"/>
      <c r="H3755" s="638" t="s">
        <v>1402</v>
      </c>
      <c r="I3755" s="627"/>
      <c r="J3755" s="627"/>
      <c r="K3755" s="637">
        <f>SUM(K3748:K3754)</f>
        <v>3188.7</v>
      </c>
      <c r="L3755" s="627"/>
      <c r="M3755" s="627"/>
      <c r="N3755" s="627"/>
    </row>
    <row r="3756" spans="6:14" ht="24" customHeight="1">
      <c r="F3756" s="627"/>
      <c r="G3756" s="627"/>
      <c r="H3756" s="638" t="s">
        <v>3174</v>
      </c>
      <c r="I3756" s="627"/>
      <c r="J3756" s="627"/>
      <c r="K3756" s="655">
        <f>K3755/10</f>
        <v>318.87</v>
      </c>
      <c r="L3756" s="627"/>
      <c r="M3756" s="627"/>
      <c r="N3756" s="627"/>
    </row>
    <row r="3757" spans="6:14" ht="24" customHeight="1">
      <c r="F3757" s="627"/>
      <c r="G3757" s="627"/>
      <c r="H3757" s="627"/>
      <c r="I3757" s="627"/>
      <c r="J3757" s="627"/>
      <c r="K3757" s="627"/>
      <c r="L3757" s="627"/>
      <c r="M3757" s="627"/>
      <c r="N3757" s="627"/>
    </row>
    <row r="3758" spans="6:14" ht="24" customHeight="1">
      <c r="F3758" s="12"/>
      <c r="G3758" s="7" t="s">
        <v>2167</v>
      </c>
      <c r="I3758" s="657"/>
      <c r="J3758" s="658"/>
      <c r="K3758" s="595"/>
      <c r="L3758" s="595"/>
    </row>
    <row r="3759" spans="6:14" ht="24" customHeight="1">
      <c r="F3759" s="595"/>
      <c r="G3759" s="659"/>
      <c r="H3759" s="1"/>
      <c r="I3759" s="595"/>
      <c r="J3759" s="660"/>
      <c r="K3759" s="595"/>
      <c r="L3759" s="595"/>
    </row>
    <row r="3760" spans="6:14" ht="24" customHeight="1">
      <c r="F3760" s="595"/>
      <c r="G3760" s="659"/>
      <c r="H3760" s="656" t="s">
        <v>3969</v>
      </c>
      <c r="I3760" s="595"/>
      <c r="J3760" s="660"/>
      <c r="K3760" s="595"/>
      <c r="L3760" s="595"/>
    </row>
    <row r="3761" spans="6:12" ht="24" customHeight="1">
      <c r="F3761" s="595"/>
      <c r="G3761" s="659"/>
      <c r="H3761" s="5" t="s">
        <v>1530</v>
      </c>
      <c r="I3761" s="595"/>
      <c r="J3761" s="660"/>
      <c r="K3761" s="595"/>
      <c r="L3761" s="595"/>
    </row>
    <row r="3762" spans="6:12" ht="24" customHeight="1">
      <c r="F3762" s="8">
        <v>21.55</v>
      </c>
      <c r="G3762" s="7" t="s">
        <v>1591</v>
      </c>
      <c r="H3762" s="1" t="s">
        <v>3970</v>
      </c>
      <c r="I3762" s="8">
        <f>I3738</f>
        <v>688</v>
      </c>
      <c r="J3762" s="7" t="s">
        <v>1591</v>
      </c>
      <c r="K3762" s="8">
        <f>I3762*F3762</f>
        <v>14826.4</v>
      </c>
      <c r="L3762" s="595"/>
    </row>
    <row r="3763" spans="6:12" ht="24" customHeight="1">
      <c r="F3763" s="8"/>
      <c r="G3763" s="7"/>
      <c r="H3763" s="1" t="s">
        <v>3971</v>
      </c>
      <c r="I3763" s="8"/>
      <c r="J3763" s="7"/>
      <c r="K3763" s="8">
        <f>K3762*10/100</f>
        <v>1482.64</v>
      </c>
      <c r="L3763" s="595"/>
    </row>
    <row r="3764" spans="6:12" ht="24" customHeight="1">
      <c r="F3764" s="8">
        <v>3.7</v>
      </c>
      <c r="G3764" s="7" t="s">
        <v>1591</v>
      </c>
      <c r="H3764" s="1" t="s">
        <v>3972</v>
      </c>
      <c r="I3764" s="8">
        <f>Y32</f>
        <v>51750</v>
      </c>
      <c r="J3764" s="7" t="s">
        <v>494</v>
      </c>
      <c r="K3764" s="8">
        <f>I3764*F3764/10000</f>
        <v>19.149999999999999</v>
      </c>
      <c r="L3764" s="595"/>
    </row>
    <row r="3765" spans="6:12" ht="24" customHeight="1">
      <c r="F3765" s="627"/>
      <c r="G3765" s="627"/>
      <c r="H3765" s="1" t="s">
        <v>3973</v>
      </c>
      <c r="I3765" s="8"/>
      <c r="J3765" s="1"/>
      <c r="K3765" s="8">
        <f>K3764*5/100</f>
        <v>0.96</v>
      </c>
      <c r="L3765" s="595"/>
    </row>
    <row r="3766" spans="6:12" ht="24" customHeight="1">
      <c r="F3766" s="8">
        <v>18</v>
      </c>
      <c r="G3766" s="7" t="s">
        <v>1807</v>
      </c>
      <c r="H3766" s="1" t="s">
        <v>3974</v>
      </c>
      <c r="I3766" s="8">
        <v>15</v>
      </c>
      <c r="J3766" s="7" t="s">
        <v>1375</v>
      </c>
      <c r="K3766" s="8">
        <f>I3766*F3766</f>
        <v>270</v>
      </c>
      <c r="L3766" s="595"/>
    </row>
    <row r="3767" spans="6:12" ht="24" customHeight="1">
      <c r="F3767" s="8"/>
      <c r="G3767" s="7"/>
      <c r="H3767" s="1" t="s">
        <v>3975</v>
      </c>
      <c r="I3767" s="8"/>
      <c r="J3767" s="1"/>
      <c r="K3767" s="8">
        <f>K3766*10/100</f>
        <v>27</v>
      </c>
      <c r="L3767" s="595"/>
    </row>
    <row r="3768" spans="6:12" ht="24" customHeight="1">
      <c r="F3768" s="8">
        <v>28</v>
      </c>
      <c r="G3768" s="7" t="s">
        <v>1807</v>
      </c>
      <c r="H3768" s="1" t="s">
        <v>3976</v>
      </c>
      <c r="I3768" s="8">
        <v>1</v>
      </c>
      <c r="J3768" s="7" t="s">
        <v>1807</v>
      </c>
      <c r="K3768" s="8">
        <f>I3768*F3768</f>
        <v>28</v>
      </c>
      <c r="L3768" s="595"/>
    </row>
    <row r="3769" spans="6:12" ht="33" customHeight="1">
      <c r="F3769" s="8">
        <v>28</v>
      </c>
      <c r="G3769" s="7" t="s">
        <v>1807</v>
      </c>
      <c r="H3769" s="1" t="s">
        <v>3977</v>
      </c>
      <c r="I3769" s="8">
        <v>2</v>
      </c>
      <c r="J3769" s="7" t="s">
        <v>1807</v>
      </c>
      <c r="K3769" s="8">
        <f>I3769*F3769</f>
        <v>56</v>
      </c>
      <c r="L3769" s="595"/>
    </row>
    <row r="3770" spans="6:12" ht="36" customHeight="1">
      <c r="F3770" s="8">
        <v>4</v>
      </c>
      <c r="G3770" s="7" t="s">
        <v>1807</v>
      </c>
      <c r="H3770" s="664" t="s">
        <v>3978</v>
      </c>
      <c r="I3770" s="8">
        <f>AE17</f>
        <v>760</v>
      </c>
      <c r="J3770" s="7" t="s">
        <v>1807</v>
      </c>
      <c r="K3770" s="8">
        <f>I3770*F3770</f>
        <v>3040</v>
      </c>
      <c r="L3770" s="595"/>
    </row>
    <row r="3771" spans="6:12" ht="24" customHeight="1">
      <c r="F3771" s="8">
        <v>2</v>
      </c>
      <c r="G3771" s="7" t="s">
        <v>1807</v>
      </c>
      <c r="H3771" s="661" t="s">
        <v>3979</v>
      </c>
      <c r="I3771" s="8">
        <f>AE19</f>
        <v>842</v>
      </c>
      <c r="J3771" s="7" t="s">
        <v>1807</v>
      </c>
      <c r="K3771" s="8">
        <f>I3771*F3771</f>
        <v>1684</v>
      </c>
      <c r="L3771" s="595"/>
    </row>
    <row r="3772" spans="6:12" ht="24" customHeight="1">
      <c r="F3772" s="8">
        <v>6</v>
      </c>
      <c r="G3772" s="7" t="s">
        <v>1807</v>
      </c>
      <c r="H3772" s="661" t="s">
        <v>3980</v>
      </c>
      <c r="I3772" s="8">
        <f>AE11</f>
        <v>562</v>
      </c>
      <c r="J3772" s="7" t="s">
        <v>1807</v>
      </c>
      <c r="K3772" s="8">
        <f>I3772*F3772</f>
        <v>3372</v>
      </c>
      <c r="L3772" s="595"/>
    </row>
    <row r="3773" spans="6:12" ht="24" customHeight="1">
      <c r="F3773" s="8"/>
      <c r="G3773" s="7" t="s">
        <v>419</v>
      </c>
      <c r="H3773" s="1" t="s">
        <v>2987</v>
      </c>
      <c r="I3773" s="1" t="s">
        <v>940</v>
      </c>
      <c r="J3773" s="1" t="s">
        <v>419</v>
      </c>
      <c r="K3773" s="8">
        <v>5.38</v>
      </c>
      <c r="L3773" s="595"/>
    </row>
    <row r="3774" spans="6:12" ht="24" customHeight="1">
      <c r="F3774" s="8"/>
      <c r="G3774" s="7"/>
      <c r="H3774" s="1"/>
      <c r="I3774" s="8"/>
      <c r="J3774" s="7"/>
      <c r="K3774" s="8"/>
      <c r="L3774" s="595"/>
    </row>
    <row r="3775" spans="6:12" ht="24" customHeight="1">
      <c r="F3775" s="595"/>
      <c r="G3775" s="659"/>
      <c r="H3775" s="1" t="s">
        <v>3981</v>
      </c>
      <c r="I3775" s="595"/>
      <c r="J3775" s="660"/>
      <c r="K3775" s="8">
        <f>SUM(K3762:K3774)</f>
        <v>24811.53</v>
      </c>
      <c r="L3775" s="595"/>
    </row>
    <row r="3776" spans="6:12" ht="24" customHeight="1">
      <c r="F3776" s="595"/>
      <c r="G3776" s="659"/>
      <c r="H3776" s="595"/>
      <c r="I3776" s="595"/>
      <c r="J3776" s="660"/>
      <c r="K3776" s="5" t="s">
        <v>1530</v>
      </c>
      <c r="L3776" s="595"/>
    </row>
    <row r="3777" spans="6:12" ht="24" customHeight="1">
      <c r="F3777" s="595"/>
      <c r="G3777" s="659"/>
      <c r="H3777" s="42" t="s">
        <v>3982</v>
      </c>
      <c r="I3777" s="662"/>
      <c r="J3777" s="663" t="s">
        <v>690</v>
      </c>
      <c r="K3777" s="39">
        <f>K3775/18</f>
        <v>1378.42</v>
      </c>
      <c r="L3777" s="595"/>
    </row>
    <row r="3778" spans="6:12" ht="24" customHeight="1">
      <c r="F3778" s="595"/>
      <c r="G3778" s="659"/>
      <c r="H3778" s="42"/>
      <c r="I3778" s="662"/>
      <c r="J3778" s="663"/>
      <c r="K3778" s="5" t="s">
        <v>1530</v>
      </c>
      <c r="L3778" s="595"/>
    </row>
    <row r="3779" spans="6:12" ht="24" customHeight="1">
      <c r="F3779" s="595"/>
      <c r="G3779" s="659"/>
      <c r="H3779" s="42"/>
      <c r="I3779" s="662"/>
      <c r="J3779" s="663"/>
      <c r="K3779" s="39"/>
      <c r="L3779" s="595"/>
    </row>
    <row r="3780" spans="6:12" ht="24" customHeight="1">
      <c r="F3780" s="627"/>
      <c r="G3780" s="627"/>
      <c r="H3780" s="628" t="s">
        <v>4241</v>
      </c>
      <c r="I3780" s="627"/>
      <c r="J3780" s="627"/>
      <c r="K3780" s="627"/>
      <c r="L3780" s="627"/>
    </row>
    <row r="3781" spans="6:12" ht="24" customHeight="1">
      <c r="F3781" s="595"/>
      <c r="G3781" s="629" t="s">
        <v>3938</v>
      </c>
      <c r="H3781" s="629"/>
      <c r="I3781" s="629"/>
      <c r="J3781" s="629"/>
      <c r="K3781" s="577"/>
      <c r="L3781" s="577"/>
    </row>
    <row r="3782" spans="6:12" ht="24" customHeight="1">
      <c r="F3782" s="595"/>
      <c r="G3782" s="582"/>
      <c r="H3782" s="583"/>
      <c r="I3782" s="590"/>
      <c r="J3782" s="580"/>
      <c r="K3782" s="583"/>
      <c r="L3782" s="580"/>
    </row>
    <row r="3783" spans="6:12" ht="24" customHeight="1">
      <c r="F3783" s="595"/>
      <c r="G3783" s="582"/>
      <c r="H3783" s="583"/>
      <c r="I3783" s="584"/>
      <c r="J3783" s="580"/>
      <c r="K3783" s="583"/>
      <c r="L3783" s="580"/>
    </row>
    <row r="3784" spans="6:12" ht="24" customHeight="1">
      <c r="F3784" s="582">
        <v>38.86</v>
      </c>
      <c r="G3784" s="583" t="s">
        <v>876</v>
      </c>
      <c r="H3784" s="584" t="s">
        <v>4875</v>
      </c>
      <c r="I3784" s="921">
        <v>301</v>
      </c>
      <c r="J3784" s="583" t="s">
        <v>876</v>
      </c>
      <c r="K3784" s="580">
        <f t="shared" ref="K3784:K3791" si="361">I3784*F3784</f>
        <v>11696.86</v>
      </c>
      <c r="L3784" s="578"/>
    </row>
    <row r="3785" spans="6:12" ht="24" customHeight="1">
      <c r="F3785" s="582">
        <v>2.4300000000000002</v>
      </c>
      <c r="G3785" s="750" t="s">
        <v>222</v>
      </c>
      <c r="H3785" s="751" t="s">
        <v>3939</v>
      </c>
      <c r="I3785" s="921">
        <v>359</v>
      </c>
      <c r="J3785" s="583" t="s">
        <v>222</v>
      </c>
      <c r="K3785" s="580">
        <f t="shared" si="361"/>
        <v>872.37</v>
      </c>
      <c r="L3785" s="578"/>
    </row>
    <row r="3786" spans="6:12" ht="24" customHeight="1">
      <c r="F3786" s="582">
        <v>4.8499999999999996</v>
      </c>
      <c r="G3786" s="750" t="s">
        <v>222</v>
      </c>
      <c r="H3786" s="751" t="s">
        <v>3940</v>
      </c>
      <c r="I3786" s="922">
        <v>695</v>
      </c>
      <c r="J3786" s="583" t="s">
        <v>739</v>
      </c>
      <c r="K3786" s="580">
        <f t="shared" si="361"/>
        <v>3370.75</v>
      </c>
      <c r="L3786" s="578"/>
    </row>
    <row r="3787" spans="6:12" ht="24" customHeight="1">
      <c r="F3787" s="630">
        <v>34.65</v>
      </c>
      <c r="G3787" s="750" t="s">
        <v>794</v>
      </c>
      <c r="H3787" s="751" t="s">
        <v>3941</v>
      </c>
      <c r="I3787" s="921">
        <v>37.9</v>
      </c>
      <c r="J3787" s="583" t="s">
        <v>794</v>
      </c>
      <c r="K3787" s="580">
        <f t="shared" si="361"/>
        <v>1313.24</v>
      </c>
      <c r="L3787" s="578"/>
    </row>
    <row r="3788" spans="6:12" ht="24" customHeight="1">
      <c r="F3788" s="631">
        <v>144</v>
      </c>
      <c r="G3788" s="752" t="s">
        <v>1807</v>
      </c>
      <c r="H3788" s="753" t="s">
        <v>4876</v>
      </c>
      <c r="I3788" s="923">
        <v>2.39</v>
      </c>
      <c r="J3788" s="634" t="s">
        <v>1337</v>
      </c>
      <c r="K3788" s="580">
        <f t="shared" si="361"/>
        <v>344.16</v>
      </c>
      <c r="L3788" s="578"/>
    </row>
    <row r="3789" spans="6:12" ht="24" customHeight="1">
      <c r="F3789" s="631">
        <v>12</v>
      </c>
      <c r="G3789" s="752" t="s">
        <v>1807</v>
      </c>
      <c r="H3789" s="753" t="s">
        <v>4877</v>
      </c>
      <c r="I3789" s="923">
        <v>4.84</v>
      </c>
      <c r="J3789" s="634" t="s">
        <v>1337</v>
      </c>
      <c r="K3789" s="580">
        <f t="shared" si="361"/>
        <v>58.08</v>
      </c>
      <c r="L3789" s="578"/>
    </row>
    <row r="3790" spans="6:12" ht="24" customHeight="1">
      <c r="F3790" s="631">
        <v>12</v>
      </c>
      <c r="G3790" s="752" t="s">
        <v>1807</v>
      </c>
      <c r="H3790" s="753" t="s">
        <v>3942</v>
      </c>
      <c r="I3790" s="633">
        <v>1.07</v>
      </c>
      <c r="J3790" s="634" t="s">
        <v>1337</v>
      </c>
      <c r="K3790" s="580">
        <f t="shared" si="361"/>
        <v>12.84</v>
      </c>
      <c r="L3790" s="578"/>
    </row>
    <row r="3791" spans="6:12" ht="24" customHeight="1">
      <c r="F3791" s="582">
        <v>2</v>
      </c>
      <c r="G3791" s="750" t="s">
        <v>216</v>
      </c>
      <c r="H3791" s="751" t="s">
        <v>4181</v>
      </c>
      <c r="I3791" s="580">
        <v>11.8</v>
      </c>
      <c r="J3791" s="583" t="s">
        <v>216</v>
      </c>
      <c r="K3791" s="580">
        <f t="shared" si="361"/>
        <v>23.6</v>
      </c>
      <c r="L3791" s="578"/>
    </row>
    <row r="3792" spans="6:12" ht="24" customHeight="1">
      <c r="F3792" s="582">
        <v>6.6150000000000002</v>
      </c>
      <c r="G3792" s="750" t="s">
        <v>2199</v>
      </c>
      <c r="H3792" s="751" t="s">
        <v>3818</v>
      </c>
      <c r="I3792" s="578">
        <f>K3802</f>
        <v>1724</v>
      </c>
      <c r="J3792" s="583" t="s">
        <v>2199</v>
      </c>
      <c r="K3792" s="580">
        <f>1059.95*6.615</f>
        <v>7011.57</v>
      </c>
      <c r="L3792" s="578"/>
    </row>
    <row r="3793" spans="6:12" ht="24" customHeight="1">
      <c r="F3793" s="582"/>
      <c r="G3793" s="750"/>
      <c r="H3793" s="751"/>
      <c r="I3793" s="578"/>
      <c r="J3793" s="579"/>
      <c r="K3793" s="580"/>
      <c r="L3793" s="578"/>
    </row>
    <row r="3794" spans="6:12" ht="24" customHeight="1">
      <c r="F3794" s="582"/>
      <c r="G3794" s="750"/>
      <c r="H3794" s="620" t="s">
        <v>3944</v>
      </c>
      <c r="I3794" s="595"/>
      <c r="J3794" s="583"/>
      <c r="K3794" s="580">
        <f>SUM(K3784:K3793)</f>
        <v>24703.47</v>
      </c>
      <c r="L3794" s="578"/>
    </row>
    <row r="3795" spans="6:12" ht="24" customHeight="1">
      <c r="F3795" s="582"/>
      <c r="G3795" s="750"/>
      <c r="H3795" s="620" t="s">
        <v>521</v>
      </c>
      <c r="I3795" s="595"/>
      <c r="J3795" s="577"/>
      <c r="K3795" s="587">
        <f>K3794/6.615</f>
        <v>3734.46</v>
      </c>
      <c r="L3795" s="588" t="s">
        <v>1341</v>
      </c>
    </row>
    <row r="3796" spans="6:12" ht="24" customHeight="1">
      <c r="F3796" s="578"/>
      <c r="G3796" s="754"/>
      <c r="H3796" s="755"/>
      <c r="I3796" s="578"/>
      <c r="J3796" s="578"/>
      <c r="K3796" s="578"/>
      <c r="L3796" s="578"/>
    </row>
    <row r="3797" spans="6:12" ht="24" customHeight="1">
      <c r="F3797" s="580">
        <v>1</v>
      </c>
      <c r="G3797" s="583" t="s">
        <v>835</v>
      </c>
      <c r="H3797" s="584" t="s">
        <v>3824</v>
      </c>
      <c r="I3797" s="580">
        <f>AE17</f>
        <v>760</v>
      </c>
      <c r="J3797" s="584" t="s">
        <v>835</v>
      </c>
      <c r="K3797" s="580">
        <f>I3797*F3797</f>
        <v>760</v>
      </c>
      <c r="L3797" s="578"/>
    </row>
    <row r="3798" spans="6:12" ht="24" customHeight="1">
      <c r="F3798" s="580">
        <v>1</v>
      </c>
      <c r="G3798" s="583" t="s">
        <v>835</v>
      </c>
      <c r="H3798" s="584" t="s">
        <v>3825</v>
      </c>
      <c r="I3798" s="580">
        <f>AE11</f>
        <v>562</v>
      </c>
      <c r="J3798" s="584" t="s">
        <v>835</v>
      </c>
      <c r="K3798" s="580">
        <f>I3798*F3798</f>
        <v>562</v>
      </c>
      <c r="L3798" s="578"/>
    </row>
    <row r="3799" spans="6:12" ht="24" customHeight="1">
      <c r="F3799" s="580">
        <v>0.5</v>
      </c>
      <c r="G3799" s="583" t="s">
        <v>835</v>
      </c>
      <c r="H3799" s="584" t="s">
        <v>3826</v>
      </c>
      <c r="I3799" s="580">
        <f>AE20</f>
        <v>804</v>
      </c>
      <c r="J3799" s="584" t="s">
        <v>835</v>
      </c>
      <c r="K3799" s="580">
        <f>I3799*F3799</f>
        <v>402</v>
      </c>
      <c r="L3799" s="578"/>
    </row>
    <row r="3800" spans="6:12" ht="24" customHeight="1">
      <c r="F3800" s="578"/>
      <c r="G3800" s="583" t="s">
        <v>419</v>
      </c>
      <c r="H3800" s="584"/>
      <c r="I3800" s="580"/>
      <c r="J3800" s="584" t="s">
        <v>419</v>
      </c>
      <c r="K3800" s="580"/>
      <c r="L3800" s="578"/>
    </row>
    <row r="3801" spans="6:12" ht="24" customHeight="1">
      <c r="F3801" s="595"/>
      <c r="G3801" s="578"/>
      <c r="H3801" s="585"/>
      <c r="I3801" s="578"/>
      <c r="J3801" s="578"/>
      <c r="K3801" s="593" t="s">
        <v>1530</v>
      </c>
      <c r="L3801" s="627"/>
    </row>
    <row r="3802" spans="6:12" ht="24" customHeight="1">
      <c r="F3802" s="595"/>
      <c r="G3802" s="578"/>
      <c r="H3802" s="585"/>
      <c r="I3802" s="584" t="s">
        <v>3827</v>
      </c>
      <c r="J3802" s="578"/>
      <c r="K3802" s="587">
        <f>SUM(K3797:K3801)</f>
        <v>1724</v>
      </c>
      <c r="L3802" s="627"/>
    </row>
    <row r="3803" spans="6:12" ht="24" customHeight="1">
      <c r="F3803" s="595"/>
      <c r="G3803" s="578"/>
      <c r="H3803" s="585"/>
      <c r="I3803" s="578"/>
      <c r="J3803" s="578"/>
      <c r="K3803" s="593" t="s">
        <v>1530</v>
      </c>
      <c r="L3803" s="627"/>
    </row>
    <row r="3804" spans="6:12" ht="24" customHeight="1">
      <c r="F3804" s="595"/>
      <c r="G3804" s="595"/>
      <c r="H3804" s="595"/>
      <c r="I3804" s="595"/>
      <c r="J3804" s="595"/>
      <c r="K3804" s="51"/>
      <c r="L3804" s="595"/>
    </row>
    <row r="3805" spans="6:12" ht="24" customHeight="1">
      <c r="F3805" s="25"/>
      <c r="G3805" s="7" t="s">
        <v>2167</v>
      </c>
      <c r="H3805" s="1" t="s">
        <v>3531</v>
      </c>
    </row>
    <row r="3806" spans="6:12" ht="24" customHeight="1">
      <c r="H3806" s="1"/>
    </row>
    <row r="3807" spans="6:12" ht="24" customHeight="1">
      <c r="H3807" s="5" t="s">
        <v>1530</v>
      </c>
    </row>
    <row r="3808" spans="6:12" ht="24" customHeight="1">
      <c r="F3808" s="8">
        <v>1.86</v>
      </c>
      <c r="G3808" s="7" t="s">
        <v>578</v>
      </c>
      <c r="H3808" s="1" t="s">
        <v>3535</v>
      </c>
      <c r="I3808" s="545">
        <v>699.4</v>
      </c>
      <c r="J3808" s="1" t="s">
        <v>578</v>
      </c>
      <c r="K3808" s="8">
        <f>(F3808*I3808)</f>
        <v>1300.8800000000001</v>
      </c>
    </row>
    <row r="3809" spans="6:11" ht="24" customHeight="1">
      <c r="F3809" s="8">
        <v>0.4</v>
      </c>
      <c r="G3809" s="7" t="s">
        <v>1591</v>
      </c>
      <c r="H3809" s="1" t="s">
        <v>2001</v>
      </c>
      <c r="I3809" s="537">
        <f>I3465</f>
        <v>36.1</v>
      </c>
      <c r="J3809" s="1" t="s">
        <v>1591</v>
      </c>
      <c r="K3809" s="8">
        <f>(F3809*I3809)</f>
        <v>14.44</v>
      </c>
    </row>
    <row r="3810" spans="6:11" ht="24" customHeight="1">
      <c r="F3810" s="8">
        <v>0.02</v>
      </c>
      <c r="G3810" s="7" t="s">
        <v>836</v>
      </c>
      <c r="H3810" s="1" t="s">
        <v>388</v>
      </c>
      <c r="I3810" s="8">
        <f>K23</f>
        <v>5792.02</v>
      </c>
      <c r="J3810" s="1" t="s">
        <v>836</v>
      </c>
      <c r="K3810" s="8">
        <f>(F3810*I3810)</f>
        <v>115.84</v>
      </c>
    </row>
    <row r="3811" spans="6:11" ht="24" customHeight="1">
      <c r="F3811" s="8">
        <v>1</v>
      </c>
      <c r="G3811" s="7" t="s">
        <v>739</v>
      </c>
      <c r="H3811" s="1" t="s">
        <v>1938</v>
      </c>
      <c r="I3811" s="8">
        <f>I3751</f>
        <v>861</v>
      </c>
      <c r="J3811" s="1" t="s">
        <v>739</v>
      </c>
      <c r="K3811" s="8">
        <f>(F3811*I3811)</f>
        <v>861</v>
      </c>
    </row>
    <row r="3812" spans="6:11" ht="24" customHeight="1">
      <c r="F3812" s="8">
        <v>1</v>
      </c>
      <c r="G3812" s="7" t="s">
        <v>739</v>
      </c>
      <c r="H3812" s="1" t="s">
        <v>1634</v>
      </c>
      <c r="I3812" s="8">
        <f>I3798</f>
        <v>562</v>
      </c>
      <c r="J3812" s="1" t="s">
        <v>739</v>
      </c>
      <c r="K3812" s="8">
        <f>(F3812*I3812)</f>
        <v>562</v>
      </c>
    </row>
    <row r="3813" spans="6:11" ht="24" customHeight="1">
      <c r="G3813" s="7" t="s">
        <v>419</v>
      </c>
      <c r="H3813" s="1" t="s">
        <v>420</v>
      </c>
      <c r="J3813" s="1" t="s">
        <v>419</v>
      </c>
      <c r="K3813" s="8"/>
    </row>
    <row r="3814" spans="6:11" ht="24" customHeight="1">
      <c r="K3814" s="5" t="s">
        <v>1530</v>
      </c>
    </row>
    <row r="3815" spans="6:11" ht="24" customHeight="1">
      <c r="H3815" s="1" t="s">
        <v>1635</v>
      </c>
      <c r="K3815" s="8">
        <f>SUM(K3808:K3813)</f>
        <v>2854.16</v>
      </c>
    </row>
    <row r="3816" spans="6:11" ht="24" customHeight="1">
      <c r="K3816" s="5" t="s">
        <v>1530</v>
      </c>
    </row>
    <row r="3817" spans="6:11" ht="24" customHeight="1">
      <c r="H3817" s="59" t="s">
        <v>521</v>
      </c>
      <c r="K3817" s="39">
        <f>(K3815/1.86)</f>
        <v>1534.49</v>
      </c>
    </row>
    <row r="3818" spans="6:11" ht="24" customHeight="1">
      <c r="K3818" s="5" t="s">
        <v>1980</v>
      </c>
    </row>
    <row r="3820" spans="6:11" ht="24" customHeight="1">
      <c r="F3820" s="25"/>
      <c r="G3820" s="7" t="s">
        <v>2167</v>
      </c>
      <c r="H3820" s="1" t="s">
        <v>3530</v>
      </c>
    </row>
    <row r="3821" spans="6:11" ht="24" customHeight="1">
      <c r="H3821" s="1"/>
    </row>
    <row r="3822" spans="6:11" ht="24" customHeight="1">
      <c r="H3822" s="1"/>
    </row>
    <row r="3823" spans="6:11" ht="24" customHeight="1">
      <c r="H3823" s="5" t="s">
        <v>1530</v>
      </c>
      <c r="I3823" s="5" t="s">
        <v>1530</v>
      </c>
    </row>
    <row r="3824" spans="6:11" ht="36" customHeight="1">
      <c r="F3824" s="8">
        <v>10</v>
      </c>
      <c r="G3824" s="7" t="s">
        <v>578</v>
      </c>
      <c r="H3824" s="27" t="s">
        <v>3534</v>
      </c>
      <c r="I3824" s="545">
        <v>538.21</v>
      </c>
      <c r="J3824" s="1" t="s">
        <v>578</v>
      </c>
      <c r="K3824" s="8">
        <f>(F3824*I3824)</f>
        <v>5382.1</v>
      </c>
    </row>
    <row r="3825" spans="6:11" ht="32.25" customHeight="1">
      <c r="F3825" s="8">
        <v>0.21</v>
      </c>
      <c r="G3825" s="7" t="s">
        <v>836</v>
      </c>
      <c r="H3825" s="1" t="s">
        <v>1810</v>
      </c>
      <c r="I3825" s="64">
        <f>I3458</f>
        <v>4361.62</v>
      </c>
      <c r="J3825" s="1" t="s">
        <v>836</v>
      </c>
      <c r="K3825" s="8">
        <f>(F3825*I3825)</f>
        <v>915.94</v>
      </c>
    </row>
    <row r="3826" spans="6:11" ht="24" customHeight="1">
      <c r="H3826" s="1" t="s">
        <v>1811</v>
      </c>
      <c r="I3826" s="64"/>
      <c r="K3826" s="1" t="s">
        <v>940</v>
      </c>
    </row>
    <row r="3827" spans="6:11" ht="24" customHeight="1">
      <c r="F3827" s="8">
        <v>1.1000000000000001</v>
      </c>
      <c r="G3827" s="7" t="s">
        <v>739</v>
      </c>
      <c r="H3827" s="1" t="s">
        <v>1938</v>
      </c>
      <c r="I3827" s="64">
        <f>I3460</f>
        <v>861</v>
      </c>
      <c r="J3827" s="1" t="s">
        <v>739</v>
      </c>
      <c r="K3827" s="8">
        <f>(F3827*I3827)</f>
        <v>947.1</v>
      </c>
    </row>
    <row r="3828" spans="6:11" ht="24" customHeight="1">
      <c r="F3828" s="8">
        <v>1.1000000000000001</v>
      </c>
      <c r="G3828" s="7" t="s">
        <v>739</v>
      </c>
      <c r="H3828" s="1" t="s">
        <v>1654</v>
      </c>
      <c r="I3828" s="64">
        <f t="shared" ref="I3828:I3835" si="362">I3461</f>
        <v>804</v>
      </c>
      <c r="J3828" s="1" t="s">
        <v>739</v>
      </c>
      <c r="K3828" s="8">
        <f>(F3828*I3828)</f>
        <v>884.4</v>
      </c>
    </row>
    <row r="3829" spans="6:11" ht="24" customHeight="1">
      <c r="F3829" s="8">
        <v>2.2000000000000002</v>
      </c>
      <c r="G3829" s="7" t="s">
        <v>739</v>
      </c>
      <c r="H3829" s="1" t="s">
        <v>1836</v>
      </c>
      <c r="I3829" s="64">
        <f t="shared" si="362"/>
        <v>562</v>
      </c>
      <c r="J3829" s="1" t="s">
        <v>739</v>
      </c>
      <c r="K3829" s="8">
        <f>(F3829*I3829)</f>
        <v>1236.4000000000001</v>
      </c>
    </row>
    <row r="3830" spans="6:11" ht="24" customHeight="1">
      <c r="F3830" s="8">
        <v>2.2000000000000002</v>
      </c>
      <c r="G3830" s="7" t="s">
        <v>739</v>
      </c>
      <c r="H3830" s="1" t="s">
        <v>299</v>
      </c>
      <c r="I3830" s="64">
        <f t="shared" si="362"/>
        <v>461</v>
      </c>
      <c r="J3830" s="1" t="s">
        <v>739</v>
      </c>
      <c r="K3830" s="8">
        <f>(F3830*I3830)</f>
        <v>1014.2</v>
      </c>
    </row>
    <row r="3831" spans="6:11" ht="24" customHeight="1">
      <c r="F3831" s="13">
        <v>20</v>
      </c>
      <c r="G3831" s="7" t="s">
        <v>1591</v>
      </c>
      <c r="H3831" s="1" t="s">
        <v>829</v>
      </c>
      <c r="I3831" s="64">
        <f t="shared" si="362"/>
        <v>5960</v>
      </c>
      <c r="J3831" s="1" t="s">
        <v>828</v>
      </c>
      <c r="K3831" s="8">
        <f>(F3831*I3831)/1000</f>
        <v>119.2</v>
      </c>
    </row>
    <row r="3832" spans="6:11" ht="24" customHeight="1">
      <c r="F3832" s="13">
        <v>2</v>
      </c>
      <c r="G3832" s="7" t="s">
        <v>1591</v>
      </c>
      <c r="H3832" s="1" t="s">
        <v>2001</v>
      </c>
      <c r="I3832" s="64">
        <f t="shared" si="362"/>
        <v>36.1</v>
      </c>
      <c r="J3832" s="1" t="s">
        <v>1591</v>
      </c>
      <c r="K3832" s="8">
        <f>(F3832*I3832)</f>
        <v>72.2</v>
      </c>
    </row>
    <row r="3833" spans="6:11" ht="24" customHeight="1">
      <c r="F3833" s="8">
        <v>1.6</v>
      </c>
      <c r="G3833" s="7" t="s">
        <v>739</v>
      </c>
      <c r="H3833" s="1" t="s">
        <v>1654</v>
      </c>
      <c r="I3833" s="64">
        <f t="shared" si="362"/>
        <v>804</v>
      </c>
      <c r="J3833" s="1" t="s">
        <v>739</v>
      </c>
      <c r="K3833" s="8">
        <f>(F3833*I3833)</f>
        <v>1286.4000000000001</v>
      </c>
    </row>
    <row r="3834" spans="6:11" ht="24" customHeight="1">
      <c r="F3834" s="8">
        <v>0.5</v>
      </c>
      <c r="G3834" s="7" t="s">
        <v>739</v>
      </c>
      <c r="H3834" s="1" t="s">
        <v>1836</v>
      </c>
      <c r="I3834" s="64">
        <f t="shared" si="362"/>
        <v>562</v>
      </c>
      <c r="J3834" s="1" t="s">
        <v>739</v>
      </c>
      <c r="K3834" s="8">
        <f>(F3834*I3834)</f>
        <v>281</v>
      </c>
    </row>
    <row r="3835" spans="6:11" ht="24" customHeight="1">
      <c r="F3835" s="8">
        <v>1.1000000000000001</v>
      </c>
      <c r="G3835" s="7" t="s">
        <v>739</v>
      </c>
      <c r="H3835" s="1" t="s">
        <v>299</v>
      </c>
      <c r="I3835" s="64">
        <f t="shared" si="362"/>
        <v>461</v>
      </c>
      <c r="J3835" s="1" t="s">
        <v>739</v>
      </c>
      <c r="K3835" s="8">
        <f>(F3835*I3835)</f>
        <v>507.1</v>
      </c>
    </row>
    <row r="3836" spans="6:11" ht="24" customHeight="1">
      <c r="G3836" s="7" t="s">
        <v>419</v>
      </c>
      <c r="H3836" s="1" t="s">
        <v>420</v>
      </c>
      <c r="J3836" s="1" t="s">
        <v>419</v>
      </c>
      <c r="K3836" s="8">
        <v>0</v>
      </c>
    </row>
    <row r="3837" spans="6:11" ht="24" customHeight="1">
      <c r="K3837" s="5" t="s">
        <v>1530</v>
      </c>
    </row>
    <row r="3838" spans="6:11" ht="24" customHeight="1">
      <c r="H3838" s="1" t="s">
        <v>411</v>
      </c>
      <c r="K3838" s="8">
        <f>SUM(K3824:K3836)</f>
        <v>12646.04</v>
      </c>
    </row>
    <row r="3839" spans="6:11" ht="24" customHeight="1">
      <c r="K3839" s="5" t="s">
        <v>1530</v>
      </c>
    </row>
    <row r="3840" spans="6:11" ht="24" customHeight="1">
      <c r="F3840" s="51"/>
      <c r="G3840"/>
      <c r="H3840" s="59" t="s">
        <v>521</v>
      </c>
      <c r="K3840" s="39">
        <f>(K3838/10)</f>
        <v>1264.5999999999999</v>
      </c>
    </row>
    <row r="3841" spans="5:11" ht="24" customHeight="1">
      <c r="F3841" s="51"/>
      <c r="G3841"/>
      <c r="K3841" s="5" t="s">
        <v>1980</v>
      </c>
    </row>
    <row r="3843" spans="5:11" ht="24" customHeight="1">
      <c r="E3843" s="55"/>
      <c r="F3843" s="54"/>
      <c r="G3843" s="37" t="s">
        <v>3996</v>
      </c>
      <c r="H3843" s="55"/>
      <c r="I3843" s="72">
        <f>1.2*0.8</f>
        <v>0.96</v>
      </c>
      <c r="J3843" s="55"/>
      <c r="K3843" s="51"/>
    </row>
    <row r="3844" spans="5:11" ht="24" customHeight="1">
      <c r="E3844" s="55"/>
      <c r="F3844" s="54"/>
      <c r="G3844" s="55"/>
      <c r="H3844" s="55"/>
      <c r="I3844" s="72"/>
      <c r="J3844" s="55"/>
      <c r="K3844" s="51"/>
    </row>
    <row r="3845" spans="5:11" ht="24" customHeight="1">
      <c r="E3845" s="11" t="s">
        <v>3997</v>
      </c>
      <c r="F3845" s="72"/>
      <c r="G3845" s="72"/>
      <c r="H3845" s="74">
        <f>4*3.9</f>
        <v>15.6</v>
      </c>
      <c r="I3845" s="72" t="s">
        <v>337</v>
      </c>
      <c r="J3845" s="72"/>
      <c r="K3845" s="51"/>
    </row>
    <row r="3846" spans="5:11" ht="24" customHeight="1">
      <c r="E3846" t="s">
        <v>3998</v>
      </c>
      <c r="F3846" s="54"/>
      <c r="G3846" s="55"/>
      <c r="H3846" s="55">
        <f>11*0.8*3.14</f>
        <v>27.63</v>
      </c>
      <c r="I3846" s="72" t="s">
        <v>337</v>
      </c>
      <c r="J3846" s="72"/>
      <c r="K3846" s="51"/>
    </row>
    <row r="3847" spans="5:11" ht="24" customHeight="1">
      <c r="E3847" t="s">
        <v>3999</v>
      </c>
      <c r="F3847" s="54"/>
      <c r="G3847" s="55"/>
      <c r="H3847" s="55">
        <f>2*1.2*1.2</f>
        <v>2.88</v>
      </c>
      <c r="I3847" s="72" t="s">
        <v>337</v>
      </c>
      <c r="J3847" s="72"/>
      <c r="K3847" s="51"/>
    </row>
    <row r="3848" spans="5:11" ht="24" customHeight="1">
      <c r="E3848" t="s">
        <v>4000</v>
      </c>
      <c r="F3848" s="54"/>
      <c r="G3848" s="55"/>
      <c r="H3848" s="55">
        <f>3*0.8*1.2</f>
        <v>2.88</v>
      </c>
      <c r="I3848" s="72" t="s">
        <v>337</v>
      </c>
      <c r="J3848" s="72"/>
      <c r="K3848" s="51"/>
    </row>
    <row r="3849" spans="5:11" ht="24" customHeight="1">
      <c r="E3849" t="s">
        <v>4001</v>
      </c>
      <c r="F3849" s="54"/>
      <c r="G3849" s="55"/>
      <c r="H3849" s="55">
        <v>5</v>
      </c>
      <c r="I3849" s="72"/>
      <c r="J3849" s="72"/>
      <c r="K3849" s="51"/>
    </row>
    <row r="3850" spans="5:11" ht="24" customHeight="1">
      <c r="E3850" s="55"/>
      <c r="F3850" s="54"/>
      <c r="G3850" s="55"/>
      <c r="H3850" s="57" t="s">
        <v>846</v>
      </c>
      <c r="I3850" s="72"/>
      <c r="J3850" s="72"/>
      <c r="K3850" s="51"/>
    </row>
    <row r="3851" spans="5:11" ht="24" customHeight="1">
      <c r="E3851" s="55"/>
      <c r="F3851" s="54"/>
      <c r="G3851" s="55"/>
      <c r="H3851" s="76">
        <f>SUM(H3845:H3849)</f>
        <v>53.99</v>
      </c>
      <c r="I3851" s="72" t="s">
        <v>337</v>
      </c>
      <c r="J3851" s="72">
        <f>H3851-51.7</f>
        <v>2.29</v>
      </c>
      <c r="K3851" s="51"/>
    </row>
    <row r="3852" spans="5:11" ht="24" customHeight="1">
      <c r="E3852" s="55"/>
      <c r="F3852" s="54"/>
      <c r="G3852" s="55"/>
      <c r="H3852" s="57" t="s">
        <v>846</v>
      </c>
      <c r="I3852" s="72"/>
      <c r="J3852" s="55"/>
      <c r="K3852" s="51"/>
    </row>
    <row r="3853" spans="5:11" ht="24" customHeight="1">
      <c r="E3853" s="55"/>
      <c r="F3853" s="54"/>
      <c r="G3853" s="55"/>
      <c r="H3853" s="55"/>
      <c r="I3853" s="72"/>
      <c r="J3853" s="55"/>
      <c r="K3853" s="51"/>
    </row>
    <row r="3854" spans="5:11" ht="24" customHeight="1">
      <c r="E3854" s="55"/>
      <c r="F3854" s="54"/>
      <c r="G3854" s="55"/>
      <c r="H3854" s="55"/>
      <c r="I3854" s="72"/>
      <c r="J3854" s="55"/>
      <c r="K3854" s="51"/>
    </row>
    <row r="3855" spans="5:11" ht="24" customHeight="1">
      <c r="E3855" s="74">
        <f>H3851</f>
        <v>53.99</v>
      </c>
      <c r="F3855" s="54" t="s">
        <v>1591</v>
      </c>
      <c r="G3855" s="55" t="s">
        <v>479</v>
      </c>
      <c r="H3855" s="55">
        <f>I2610</f>
        <v>62.6</v>
      </c>
      <c r="I3855" s="72" t="s">
        <v>1591</v>
      </c>
      <c r="J3855" s="55">
        <f>H3855*E3855</f>
        <v>3379.77</v>
      </c>
      <c r="K3855" s="51"/>
    </row>
    <row r="3856" spans="5:11" ht="24" customHeight="1">
      <c r="E3856" s="74">
        <v>0.96</v>
      </c>
      <c r="F3856" s="54" t="s">
        <v>2199</v>
      </c>
      <c r="G3856" s="55" t="s">
        <v>2044</v>
      </c>
      <c r="H3856" s="55">
        <f>I2611</f>
        <v>339</v>
      </c>
      <c r="I3856" s="72" t="s">
        <v>2199</v>
      </c>
      <c r="J3856" s="55">
        <f>H3856*E3856</f>
        <v>325.44</v>
      </c>
      <c r="K3856" s="51"/>
    </row>
    <row r="3857" spans="5:11" ht="24" customHeight="1">
      <c r="E3857" s="74">
        <v>0.96</v>
      </c>
      <c r="F3857" s="54" t="s">
        <v>2199</v>
      </c>
      <c r="G3857" s="55" t="s">
        <v>480</v>
      </c>
      <c r="H3857" s="55">
        <f>I2612</f>
        <v>36.299999999999997</v>
      </c>
      <c r="I3857" s="72" t="s">
        <v>2199</v>
      </c>
      <c r="J3857" s="55">
        <f>H3857*E3857</f>
        <v>34.85</v>
      </c>
      <c r="K3857" s="51"/>
    </row>
    <row r="3858" spans="5:11" ht="24" customHeight="1">
      <c r="E3858" s="55"/>
      <c r="F3858" s="54"/>
      <c r="G3858" s="55" t="s">
        <v>540</v>
      </c>
      <c r="H3858" s="55">
        <f>I2613</f>
        <v>266.81</v>
      </c>
      <c r="I3858" s="72" t="s">
        <v>419</v>
      </c>
      <c r="J3858" s="55">
        <f>H3858</f>
        <v>266.81</v>
      </c>
      <c r="K3858" s="51"/>
    </row>
    <row r="3859" spans="5:11" ht="24" customHeight="1">
      <c r="E3859" s="55"/>
      <c r="F3859" s="54"/>
      <c r="G3859" s="55"/>
      <c r="H3859" s="55"/>
      <c r="I3859" s="72"/>
      <c r="J3859" s="57" t="s">
        <v>144</v>
      </c>
      <c r="K3859" s="51"/>
    </row>
    <row r="3860" spans="5:11" ht="24" customHeight="1">
      <c r="E3860" s="55"/>
      <c r="F3860" s="54"/>
      <c r="G3860" s="37" t="s">
        <v>482</v>
      </c>
      <c r="H3860" s="55"/>
      <c r="I3860" s="72"/>
      <c r="J3860" s="37">
        <f>SUM(J3855:J3859)</f>
        <v>4006.87</v>
      </c>
      <c r="K3860" s="51"/>
    </row>
    <row r="3861" spans="5:11" ht="24" customHeight="1">
      <c r="E3861" s="55"/>
      <c r="F3861" s="54"/>
      <c r="G3861" s="55"/>
      <c r="H3861" s="55"/>
      <c r="I3861" s="72"/>
      <c r="J3861" s="57" t="s">
        <v>144</v>
      </c>
      <c r="K3861" s="51"/>
    </row>
    <row r="3862" spans="5:11" ht="24" customHeight="1">
      <c r="E3862" s="55"/>
      <c r="F3862" s="54"/>
      <c r="G3862" s="92" t="s">
        <v>2726</v>
      </c>
      <c r="H3862" s="55"/>
      <c r="I3862" s="72"/>
      <c r="J3862" s="37">
        <f>J3860/E3856</f>
        <v>4173.82</v>
      </c>
      <c r="K3862" s="51"/>
    </row>
    <row r="3863" spans="5:11" ht="24" customHeight="1">
      <c r="G3863"/>
      <c r="J3863"/>
      <c r="K3863" s="51"/>
    </row>
    <row r="3864" spans="5:11" ht="24" customHeight="1">
      <c r="E3864" s="55"/>
      <c r="F3864" s="54"/>
      <c r="G3864" s="37" t="s">
        <v>4002</v>
      </c>
      <c r="H3864" s="55"/>
      <c r="I3864" s="72">
        <f>1*0.8</f>
        <v>0.8</v>
      </c>
      <c r="J3864" s="55"/>
      <c r="K3864" s="51"/>
    </row>
    <row r="3865" spans="5:11" ht="24" customHeight="1">
      <c r="E3865" s="55"/>
      <c r="F3865" s="54"/>
      <c r="G3865" s="55"/>
      <c r="H3865" s="55"/>
      <c r="I3865" s="72"/>
      <c r="J3865" s="55"/>
      <c r="K3865" s="51"/>
    </row>
    <row r="3866" spans="5:11" ht="24" customHeight="1">
      <c r="E3866" s="11" t="s">
        <v>4003</v>
      </c>
      <c r="F3866" s="72"/>
      <c r="G3866" s="72"/>
      <c r="H3866" s="74">
        <f>3.6*3.9</f>
        <v>14.04</v>
      </c>
      <c r="I3866" s="72" t="s">
        <v>337</v>
      </c>
      <c r="J3866" s="72"/>
      <c r="K3866" s="51"/>
    </row>
    <row r="3867" spans="5:11" ht="24" customHeight="1">
      <c r="E3867" t="s">
        <v>4004</v>
      </c>
      <c r="F3867" s="54"/>
      <c r="G3867" s="55"/>
      <c r="H3867" s="55">
        <f>9*0.8*3.14</f>
        <v>22.61</v>
      </c>
      <c r="I3867" s="72" t="s">
        <v>337</v>
      </c>
      <c r="J3867" s="72"/>
      <c r="K3867" s="51"/>
    </row>
    <row r="3868" spans="5:11" ht="24" customHeight="1">
      <c r="E3868" t="s">
        <v>4005</v>
      </c>
      <c r="F3868" s="54"/>
      <c r="G3868" s="55"/>
      <c r="H3868" s="55">
        <f>2*1*1.2</f>
        <v>2.4</v>
      </c>
      <c r="I3868" s="72" t="s">
        <v>337</v>
      </c>
      <c r="J3868" s="72"/>
      <c r="K3868" s="51"/>
    </row>
    <row r="3869" spans="5:11" ht="24" customHeight="1">
      <c r="E3869" t="s">
        <v>4000</v>
      </c>
      <c r="F3869" s="54"/>
      <c r="G3869" s="55"/>
      <c r="H3869" s="55">
        <f>3*0.8*1.2</f>
        <v>2.88</v>
      </c>
      <c r="I3869" s="72" t="s">
        <v>337</v>
      </c>
      <c r="J3869" s="72"/>
      <c r="K3869" s="51"/>
    </row>
    <row r="3870" spans="5:11" ht="24" customHeight="1">
      <c r="E3870" t="s">
        <v>4001</v>
      </c>
      <c r="F3870" s="54"/>
      <c r="G3870" s="55"/>
      <c r="H3870" s="55">
        <v>5</v>
      </c>
      <c r="I3870" s="72"/>
      <c r="J3870" s="72"/>
      <c r="K3870" s="51"/>
    </row>
    <row r="3871" spans="5:11" ht="24" customHeight="1">
      <c r="E3871" s="55"/>
      <c r="F3871" s="54"/>
      <c r="G3871" s="55"/>
      <c r="H3871" s="57" t="s">
        <v>846</v>
      </c>
      <c r="I3871" s="72"/>
      <c r="J3871" s="72"/>
      <c r="K3871" s="51"/>
    </row>
    <row r="3872" spans="5:11" ht="24" customHeight="1">
      <c r="E3872" s="55"/>
      <c r="F3872" s="54"/>
      <c r="G3872" s="55"/>
      <c r="H3872" s="76">
        <f>SUM(H3866:H3870)</f>
        <v>46.93</v>
      </c>
      <c r="I3872" s="72" t="s">
        <v>337</v>
      </c>
      <c r="J3872" s="72"/>
      <c r="K3872" s="51"/>
    </row>
    <row r="3873" spans="5:11" ht="24" customHeight="1">
      <c r="E3873" s="55"/>
      <c r="F3873" s="54"/>
      <c r="G3873" s="55"/>
      <c r="H3873" s="57" t="s">
        <v>846</v>
      </c>
      <c r="I3873" s="72"/>
      <c r="J3873" s="55"/>
      <c r="K3873" s="51"/>
    </row>
    <row r="3874" spans="5:11" ht="24" customHeight="1">
      <c r="E3874" s="55"/>
      <c r="F3874" s="54"/>
      <c r="G3874" s="55"/>
      <c r="H3874" s="55"/>
      <c r="I3874" s="72"/>
      <c r="J3874" s="55"/>
      <c r="K3874" s="51"/>
    </row>
    <row r="3875" spans="5:11" ht="24" customHeight="1">
      <c r="E3875" s="55"/>
      <c r="F3875" s="54"/>
      <c r="G3875" s="55"/>
      <c r="H3875" s="55"/>
      <c r="I3875" s="72"/>
      <c r="J3875" s="55"/>
      <c r="K3875" s="51"/>
    </row>
    <row r="3876" spans="5:11" ht="24" customHeight="1">
      <c r="E3876" s="74">
        <f>H3872</f>
        <v>46.93</v>
      </c>
      <c r="F3876" s="54" t="s">
        <v>1591</v>
      </c>
      <c r="G3876" s="55" t="s">
        <v>479</v>
      </c>
      <c r="H3876" s="55">
        <f>H3855</f>
        <v>62.6</v>
      </c>
      <c r="I3876" s="72" t="s">
        <v>1591</v>
      </c>
      <c r="J3876" s="55">
        <f>H3876*E3876</f>
        <v>2937.82</v>
      </c>
      <c r="K3876" s="51"/>
    </row>
    <row r="3877" spans="5:11" ht="24" customHeight="1">
      <c r="E3877" s="55">
        <v>0.8</v>
      </c>
      <c r="F3877" s="54" t="s">
        <v>2199</v>
      </c>
      <c r="G3877" s="55" t="s">
        <v>2044</v>
      </c>
      <c r="H3877" s="55">
        <f>H3856</f>
        <v>339</v>
      </c>
      <c r="I3877" s="72" t="s">
        <v>2199</v>
      </c>
      <c r="J3877" s="55">
        <f>H3877*E3877</f>
        <v>271.2</v>
      </c>
      <c r="K3877" s="51"/>
    </row>
    <row r="3878" spans="5:11" ht="24" customHeight="1">
      <c r="E3878" s="55">
        <v>0.8</v>
      </c>
      <c r="F3878" s="54" t="s">
        <v>2199</v>
      </c>
      <c r="G3878" s="55" t="s">
        <v>480</v>
      </c>
      <c r="H3878" s="55">
        <f>H3857</f>
        <v>36.299999999999997</v>
      </c>
      <c r="I3878" s="72" t="s">
        <v>2199</v>
      </c>
      <c r="J3878" s="55">
        <f>H3878*E3878</f>
        <v>29.04</v>
      </c>
      <c r="K3878" s="51"/>
    </row>
    <row r="3879" spans="5:11" ht="24" customHeight="1">
      <c r="E3879" s="55"/>
      <c r="F3879" s="54"/>
      <c r="G3879" s="55" t="s">
        <v>540</v>
      </c>
      <c r="H3879" s="55">
        <f>H3858</f>
        <v>266.81</v>
      </c>
      <c r="I3879" s="72" t="s">
        <v>419</v>
      </c>
      <c r="J3879" s="55">
        <v>47.1</v>
      </c>
      <c r="K3879" s="51"/>
    </row>
    <row r="3880" spans="5:11" ht="24" customHeight="1">
      <c r="E3880" s="55"/>
      <c r="F3880" s="54"/>
      <c r="G3880" s="55"/>
      <c r="H3880" s="55"/>
      <c r="I3880" s="72"/>
      <c r="J3880" s="57" t="s">
        <v>144</v>
      </c>
      <c r="K3880" s="51"/>
    </row>
    <row r="3881" spans="5:11" ht="24" customHeight="1">
      <c r="E3881" s="55"/>
      <c r="F3881" s="54"/>
      <c r="G3881" s="37" t="s">
        <v>482</v>
      </c>
      <c r="H3881" s="55"/>
      <c r="I3881" s="72"/>
      <c r="J3881" s="37">
        <f>SUM(J3876:J3880)</f>
        <v>3285.16</v>
      </c>
      <c r="K3881" s="51"/>
    </row>
    <row r="3882" spans="5:11" ht="24" customHeight="1">
      <c r="E3882" s="55"/>
      <c r="F3882" s="54"/>
      <c r="G3882" s="55"/>
      <c r="H3882" s="55"/>
      <c r="I3882" s="72"/>
      <c r="J3882" s="57" t="s">
        <v>144</v>
      </c>
      <c r="K3882" s="51"/>
    </row>
    <row r="3883" spans="5:11" ht="24" customHeight="1">
      <c r="E3883" s="55"/>
      <c r="F3883" s="54"/>
      <c r="G3883" s="92" t="s">
        <v>2726</v>
      </c>
      <c r="H3883" s="55"/>
      <c r="I3883" s="72"/>
      <c r="J3883" s="37">
        <f>J3881/E3877</f>
        <v>4106.45</v>
      </c>
      <c r="K3883" s="51"/>
    </row>
    <row r="3884" spans="5:11" ht="24" customHeight="1">
      <c r="E3884" s="55" t="s">
        <v>477</v>
      </c>
      <c r="F3884" s="54"/>
      <c r="G3884" s="55"/>
      <c r="H3884" s="55">
        <v>3.24</v>
      </c>
      <c r="I3884" s="72" t="s">
        <v>337</v>
      </c>
      <c r="J3884" s="55"/>
      <c r="K3884" s="51"/>
    </row>
    <row r="3885" spans="5:11" ht="24" customHeight="1">
      <c r="E3885" s="55" t="s">
        <v>478</v>
      </c>
      <c r="F3885" s="54"/>
      <c r="G3885" s="55"/>
      <c r="H3885" s="55">
        <v>2.16</v>
      </c>
      <c r="I3885" s="72" t="s">
        <v>337</v>
      </c>
      <c r="J3885" s="55"/>
      <c r="K3885" s="51"/>
    </row>
    <row r="3886" spans="5:11" ht="24" customHeight="1">
      <c r="E3886" s="55"/>
      <c r="F3886" s="54"/>
      <c r="G3886" s="55"/>
      <c r="H3886" s="55"/>
      <c r="I3886" s="72"/>
      <c r="J3886" s="55"/>
      <c r="K3886" s="51"/>
    </row>
    <row r="3887" spans="5:11" ht="24" customHeight="1">
      <c r="E3887" s="55"/>
      <c r="F3887" s="54"/>
      <c r="G3887" s="55"/>
      <c r="H3887" s="57" t="s">
        <v>144</v>
      </c>
      <c r="I3887" s="72"/>
      <c r="J3887" s="55"/>
      <c r="K3887" s="51"/>
    </row>
    <row r="3888" spans="5:11" ht="24" customHeight="1">
      <c r="E3888" s="55"/>
      <c r="F3888" s="54"/>
      <c r="G3888" s="55"/>
      <c r="H3888" s="55">
        <f>SUM(H3882:H3886)</f>
        <v>5.4</v>
      </c>
      <c r="I3888" s="72"/>
      <c r="J3888" s="55"/>
      <c r="K3888" s="51"/>
    </row>
    <row r="3889" spans="5:11" ht="24" customHeight="1">
      <c r="E3889" s="55"/>
      <c r="F3889" s="54"/>
      <c r="G3889" s="55"/>
      <c r="H3889" s="55" t="s">
        <v>1631</v>
      </c>
      <c r="I3889" s="72"/>
      <c r="J3889" s="55"/>
      <c r="K3889" s="51"/>
    </row>
    <row r="3890" spans="5:11" ht="24" customHeight="1">
      <c r="E3890" s="55"/>
      <c r="F3890" s="54"/>
      <c r="G3890" s="55"/>
      <c r="H3890" s="55"/>
      <c r="I3890" s="72"/>
      <c r="J3890" s="55"/>
      <c r="K3890" s="51"/>
    </row>
    <row r="3891" spans="5:11" ht="24" customHeight="1">
      <c r="E3891" s="55"/>
      <c r="F3891" s="54"/>
      <c r="G3891" s="55"/>
      <c r="H3891" s="55"/>
      <c r="I3891" s="72"/>
      <c r="J3891" s="55"/>
      <c r="K3891" s="51"/>
    </row>
    <row r="3892" spans="5:11" ht="24" customHeight="1">
      <c r="E3892" s="55">
        <v>42.81</v>
      </c>
      <c r="F3892" s="54" t="s">
        <v>1591</v>
      </c>
      <c r="G3892" s="55" t="s">
        <v>479</v>
      </c>
      <c r="H3892" s="55">
        <f>H3876</f>
        <v>62.6</v>
      </c>
      <c r="I3892" s="72" t="s">
        <v>1591</v>
      </c>
      <c r="J3892" s="55">
        <f>H3892*E3892</f>
        <v>2679.91</v>
      </c>
      <c r="K3892" s="51"/>
    </row>
    <row r="3893" spans="5:11" ht="24" customHeight="1">
      <c r="E3893" s="55">
        <v>0.77</v>
      </c>
      <c r="F3893" s="54" t="s">
        <v>2199</v>
      </c>
      <c r="G3893" s="55" t="s">
        <v>2373</v>
      </c>
      <c r="H3893" s="55">
        <f>H3877</f>
        <v>339</v>
      </c>
      <c r="I3893" s="72" t="s">
        <v>2199</v>
      </c>
      <c r="J3893" s="55">
        <f>H3893*E3893</f>
        <v>261.02999999999997</v>
      </c>
      <c r="K3893" s="51"/>
    </row>
    <row r="3894" spans="5:11" ht="24" customHeight="1">
      <c r="E3894" s="55">
        <v>0.77</v>
      </c>
      <c r="F3894" s="54" t="s">
        <v>2199</v>
      </c>
      <c r="G3894" s="522" t="s">
        <v>1883</v>
      </c>
      <c r="H3894" s="55">
        <f>H3878</f>
        <v>36.299999999999997</v>
      </c>
      <c r="I3894" s="72" t="s">
        <v>2199</v>
      </c>
      <c r="J3894" s="55">
        <f>H3894*E3894</f>
        <v>27.95</v>
      </c>
      <c r="K3894" s="51"/>
    </row>
    <row r="3895" spans="5:11" ht="24" customHeight="1">
      <c r="E3895" s="55"/>
      <c r="F3895" s="54"/>
      <c r="G3895" s="55" t="s">
        <v>481</v>
      </c>
      <c r="H3895" s="55">
        <f>H3879</f>
        <v>266.81</v>
      </c>
      <c r="I3895" s="72" t="s">
        <v>419</v>
      </c>
      <c r="J3895" s="55">
        <f>H3895</f>
        <v>266.81</v>
      </c>
      <c r="K3895" s="51"/>
    </row>
    <row r="3896" spans="5:11" ht="24" customHeight="1">
      <c r="E3896" s="55"/>
      <c r="F3896" s="54"/>
      <c r="G3896" s="55"/>
      <c r="H3896" s="55"/>
      <c r="I3896" s="72"/>
      <c r="J3896" s="57" t="s">
        <v>144</v>
      </c>
      <c r="K3896" s="51"/>
    </row>
    <row r="3897" spans="5:11" ht="24" customHeight="1">
      <c r="E3897" s="55"/>
      <c r="F3897" s="54"/>
      <c r="G3897" s="37" t="s">
        <v>482</v>
      </c>
      <c r="H3897" s="55"/>
      <c r="I3897" s="72"/>
      <c r="J3897" s="37">
        <f>SUM(J3892:J3895)</f>
        <v>3235.7</v>
      </c>
      <c r="K3897" s="51"/>
    </row>
    <row r="3898" spans="5:11" ht="24" customHeight="1">
      <c r="E3898" s="55"/>
      <c r="F3898" s="54"/>
      <c r="G3898" s="55"/>
      <c r="H3898" s="55"/>
      <c r="I3898" s="72"/>
      <c r="J3898" s="57" t="s">
        <v>144</v>
      </c>
      <c r="K3898" s="51"/>
    </row>
    <row r="3899" spans="5:11" ht="24" customHeight="1">
      <c r="F3899" s="3"/>
      <c r="G3899" s="565">
        <f>1.285*0.6</f>
        <v>0.77</v>
      </c>
      <c r="I3899" s="11"/>
      <c r="J3899">
        <f>J3897/G3899</f>
        <v>4202.21</v>
      </c>
      <c r="K3899" s="51"/>
    </row>
    <row r="3900" spans="5:11" ht="24" customHeight="1">
      <c r="E3900" s="55">
        <f>C3893</f>
        <v>0</v>
      </c>
      <c r="G3900" s="11">
        <f>E3900*D3859</f>
        <v>0</v>
      </c>
      <c r="J3900"/>
      <c r="K3900" s="51"/>
    </row>
    <row r="3901" spans="5:11" ht="24" customHeight="1">
      <c r="E3901" s="55"/>
      <c r="G3901" s="11">
        <v>0.8</v>
      </c>
      <c r="J3901"/>
      <c r="K3901" s="51"/>
    </row>
    <row r="3902" spans="5:11" ht="24" customHeight="1">
      <c r="G3902" s="11">
        <f>SUM(G3898:G3901)</f>
        <v>1.57</v>
      </c>
      <c r="J3902"/>
      <c r="K3902" s="51"/>
    </row>
    <row r="3903" spans="5:11" ht="24" customHeight="1">
      <c r="G3903" s="11">
        <f>G3902/0.77</f>
        <v>2.04</v>
      </c>
      <c r="J3903"/>
      <c r="K3903" s="51"/>
    </row>
    <row r="3904" spans="5:11" ht="24" customHeight="1">
      <c r="G3904"/>
      <c r="H3904" s="37" t="s">
        <v>4223</v>
      </c>
      <c r="J3904"/>
      <c r="K3904" s="51"/>
    </row>
    <row r="3905" spans="6:8" ht="24" customHeight="1">
      <c r="F3905" s="2" t="s">
        <v>1273</v>
      </c>
      <c r="G3905" s="7" t="s">
        <v>2167</v>
      </c>
      <c r="H3905" s="1" t="s">
        <v>1958</v>
      </c>
    </row>
    <row r="3906" spans="6:8" ht="24" customHeight="1">
      <c r="H3906" s="1" t="s">
        <v>1959</v>
      </c>
    </row>
    <row r="3907" spans="6:8" ht="24" customHeight="1">
      <c r="H3907" s="1" t="s">
        <v>1960</v>
      </c>
    </row>
    <row r="3908" spans="6:8" ht="24" customHeight="1">
      <c r="H3908" s="1" t="s">
        <v>858</v>
      </c>
    </row>
    <row r="3909" spans="6:8" ht="24" customHeight="1">
      <c r="H3909" s="1" t="s">
        <v>859</v>
      </c>
    </row>
    <row r="3910" spans="6:8" ht="24" customHeight="1">
      <c r="H3910" s="1" t="s">
        <v>1662</v>
      </c>
    </row>
    <row r="3911" spans="6:8" ht="24" customHeight="1">
      <c r="H3911" s="1" t="s">
        <v>91</v>
      </c>
    </row>
    <row r="3912" spans="6:8" ht="24" customHeight="1">
      <c r="H3912" s="1" t="s">
        <v>92</v>
      </c>
    </row>
    <row r="3913" spans="6:8" ht="24" customHeight="1">
      <c r="H3913" s="1" t="s">
        <v>93</v>
      </c>
    </row>
    <row r="3914" spans="6:8" ht="24" customHeight="1">
      <c r="H3914" s="1" t="s">
        <v>94</v>
      </c>
    </row>
    <row r="3915" spans="6:8" ht="24" customHeight="1">
      <c r="H3915" s="1" t="s">
        <v>1978</v>
      </c>
    </row>
    <row r="3916" spans="6:8" ht="24" customHeight="1">
      <c r="H3916" s="1" t="s">
        <v>996</v>
      </c>
    </row>
    <row r="3917" spans="6:8" ht="24" customHeight="1">
      <c r="H3917" s="1" t="s">
        <v>1721</v>
      </c>
    </row>
    <row r="3918" spans="6:8" ht="24" customHeight="1">
      <c r="H3918" s="1" t="s">
        <v>1722</v>
      </c>
    </row>
    <row r="3921" spans="6:11" ht="24" customHeight="1">
      <c r="G3921" s="7" t="s">
        <v>295</v>
      </c>
      <c r="H3921" s="2" t="s">
        <v>1719</v>
      </c>
    </row>
    <row r="3922" spans="6:11" ht="24" customHeight="1">
      <c r="H3922" s="2" t="s">
        <v>1724</v>
      </c>
    </row>
    <row r="3923" spans="6:11" ht="24" customHeight="1">
      <c r="F3923" s="15">
        <v>3.8100000000000002E-2</v>
      </c>
      <c r="G3923" s="7" t="s">
        <v>836</v>
      </c>
      <c r="H3923" s="1" t="s">
        <v>1993</v>
      </c>
      <c r="I3923" s="8">
        <f>K824</f>
        <v>7802.65</v>
      </c>
      <c r="J3923" s="1" t="s">
        <v>836</v>
      </c>
      <c r="K3923" s="8">
        <f>F3923*I3923</f>
        <v>297.27999999999997</v>
      </c>
    </row>
    <row r="3924" spans="6:11" ht="24" customHeight="1">
      <c r="F3924" s="217">
        <v>5.01</v>
      </c>
      <c r="G3924" s="7" t="s">
        <v>1591</v>
      </c>
      <c r="H3924" s="1" t="s">
        <v>1994</v>
      </c>
      <c r="I3924" s="8">
        <f>K1611</f>
        <v>77593</v>
      </c>
      <c r="J3924" s="1" t="s">
        <v>828</v>
      </c>
      <c r="K3924" s="8">
        <f>F3924*I3924/1000</f>
        <v>388.74</v>
      </c>
    </row>
    <row r="3925" spans="6:11" ht="24" customHeight="1">
      <c r="F3925" s="8">
        <v>3</v>
      </c>
      <c r="G3925" s="7" t="s">
        <v>835</v>
      </c>
      <c r="H3925" s="1" t="s">
        <v>1145</v>
      </c>
      <c r="I3925" s="492">
        <v>14.8</v>
      </c>
      <c r="J3925" s="1" t="s">
        <v>835</v>
      </c>
      <c r="K3925" s="8">
        <f t="shared" ref="K3925:K3932" si="363">F3925*I3925</f>
        <v>44.4</v>
      </c>
    </row>
    <row r="3926" spans="6:11" ht="24" customHeight="1">
      <c r="F3926" s="8">
        <v>12</v>
      </c>
      <c r="G3926" s="7" t="s">
        <v>835</v>
      </c>
      <c r="H3926" s="1" t="s">
        <v>1146</v>
      </c>
      <c r="I3926" s="492">
        <v>2</v>
      </c>
      <c r="J3926" s="1" t="s">
        <v>835</v>
      </c>
      <c r="K3926" s="8">
        <f t="shared" si="363"/>
        <v>24</v>
      </c>
    </row>
    <row r="3927" spans="6:11" ht="24" customHeight="1">
      <c r="F3927" s="8">
        <v>2</v>
      </c>
      <c r="G3927" s="7" t="s">
        <v>835</v>
      </c>
      <c r="H3927" s="1" t="s">
        <v>1147</v>
      </c>
      <c r="I3927" s="492">
        <v>4.9000000000000004</v>
      </c>
      <c r="J3927" s="1" t="s">
        <v>835</v>
      </c>
      <c r="K3927" s="8">
        <f t="shared" si="363"/>
        <v>9.8000000000000007</v>
      </c>
    </row>
    <row r="3928" spans="6:11" ht="24" customHeight="1">
      <c r="F3928" s="8">
        <v>6</v>
      </c>
      <c r="G3928" s="7" t="s">
        <v>835</v>
      </c>
      <c r="H3928" s="1" t="s">
        <v>2138</v>
      </c>
      <c r="I3928" s="492">
        <v>4.45</v>
      </c>
      <c r="J3928" s="1" t="s">
        <v>835</v>
      </c>
      <c r="K3928" s="8">
        <f t="shared" si="363"/>
        <v>26.7</v>
      </c>
    </row>
    <row r="3929" spans="6:11" ht="24" customHeight="1">
      <c r="F3929" s="8">
        <v>1</v>
      </c>
      <c r="G3929" s="7" t="s">
        <v>835</v>
      </c>
      <c r="H3929" s="1" t="s">
        <v>1149</v>
      </c>
      <c r="I3929" s="8">
        <f>I868</f>
        <v>861</v>
      </c>
      <c r="J3929" s="1" t="s">
        <v>835</v>
      </c>
      <c r="K3929" s="8">
        <f t="shared" si="363"/>
        <v>861</v>
      </c>
    </row>
    <row r="3930" spans="6:11" ht="24" customHeight="1">
      <c r="F3930" s="8">
        <v>1</v>
      </c>
      <c r="G3930" s="7" t="s">
        <v>835</v>
      </c>
      <c r="H3930" s="1" t="s">
        <v>1150</v>
      </c>
      <c r="I3930" s="8">
        <f>I869</f>
        <v>562</v>
      </c>
      <c r="J3930" s="1" t="s">
        <v>835</v>
      </c>
      <c r="K3930" s="8">
        <f t="shared" si="363"/>
        <v>562</v>
      </c>
    </row>
    <row r="3931" spans="6:11" ht="24" customHeight="1">
      <c r="F3931" s="8">
        <v>1</v>
      </c>
      <c r="G3931" s="7" t="s">
        <v>835</v>
      </c>
      <c r="H3931" s="1" t="s">
        <v>1151</v>
      </c>
      <c r="I3931" s="492">
        <v>25</v>
      </c>
      <c r="J3931" s="1" t="s">
        <v>835</v>
      </c>
      <c r="K3931" s="8">
        <f t="shared" si="363"/>
        <v>25</v>
      </c>
    </row>
    <row r="3932" spans="6:11" ht="24" customHeight="1">
      <c r="F3932" s="8">
        <v>0.5</v>
      </c>
      <c r="G3932" s="7" t="s">
        <v>835</v>
      </c>
      <c r="H3932" s="1" t="s">
        <v>1152</v>
      </c>
      <c r="I3932" s="8">
        <f>I871</f>
        <v>461</v>
      </c>
      <c r="J3932" s="1" t="s">
        <v>835</v>
      </c>
      <c r="K3932" s="8">
        <f t="shared" si="363"/>
        <v>230.5</v>
      </c>
    </row>
    <row r="3933" spans="6:11" ht="24" customHeight="1">
      <c r="G3933" s="7" t="s">
        <v>419</v>
      </c>
      <c r="H3933" s="1" t="s">
        <v>2058</v>
      </c>
      <c r="J3933" s="1" t="s">
        <v>419</v>
      </c>
      <c r="K3933" s="8">
        <v>1.1299999999999999</v>
      </c>
    </row>
    <row r="3934" spans="6:11" ht="24" customHeight="1">
      <c r="K3934" s="5" t="s">
        <v>1530</v>
      </c>
    </row>
    <row r="3935" spans="6:11" ht="24" customHeight="1">
      <c r="H3935" s="59" t="s">
        <v>266</v>
      </c>
      <c r="K3935" s="39">
        <f>SUM(K3923:K3933)</f>
        <v>2470.5500000000002</v>
      </c>
    </row>
    <row r="3936" spans="6:11" ht="24" customHeight="1">
      <c r="K3936" s="5" t="s">
        <v>1530</v>
      </c>
    </row>
    <row r="3939" spans="6:11" ht="24" customHeight="1">
      <c r="G3939" s="7" t="s">
        <v>1840</v>
      </c>
      <c r="H3939" s="2" t="s">
        <v>1723</v>
      </c>
    </row>
    <row r="3940" spans="6:11" ht="24" customHeight="1">
      <c r="H3940" s="2" t="s">
        <v>1724</v>
      </c>
    </row>
    <row r="3941" spans="6:11" ht="46.5" customHeight="1">
      <c r="F3941" s="15">
        <v>3.6799999999999999E-2</v>
      </c>
      <c r="G3941" s="7" t="s">
        <v>836</v>
      </c>
      <c r="H3941" s="23" t="s">
        <v>4224</v>
      </c>
      <c r="I3941" s="8">
        <f t="shared" ref="I3941:I3948" si="364">I3923</f>
        <v>7802.65</v>
      </c>
      <c r="J3941" s="1" t="s">
        <v>836</v>
      </c>
      <c r="K3941" s="8">
        <f>F3941*I3941</f>
        <v>287.14</v>
      </c>
    </row>
    <row r="3942" spans="6:11" ht="24" customHeight="1">
      <c r="F3942" s="8">
        <v>4.87</v>
      </c>
      <c r="G3942" s="7" t="s">
        <v>1591</v>
      </c>
      <c r="H3942" s="1" t="s">
        <v>1994</v>
      </c>
      <c r="I3942" s="8">
        <f t="shared" si="364"/>
        <v>77593</v>
      </c>
      <c r="J3942" s="1" t="s">
        <v>828</v>
      </c>
      <c r="K3942" s="8">
        <f>F3942*I3942/1000</f>
        <v>377.88</v>
      </c>
    </row>
    <row r="3943" spans="6:11" ht="24" customHeight="1">
      <c r="F3943" s="8">
        <v>3</v>
      </c>
      <c r="G3943" s="7" t="s">
        <v>835</v>
      </c>
      <c r="H3943" s="1" t="s">
        <v>1145</v>
      </c>
      <c r="I3943" s="491">
        <f t="shared" si="364"/>
        <v>14.8</v>
      </c>
      <c r="J3943" s="1" t="s">
        <v>835</v>
      </c>
      <c r="K3943" s="8">
        <f t="shared" ref="K3943:K3950" si="365">F3943*I3943</f>
        <v>44.4</v>
      </c>
    </row>
    <row r="3944" spans="6:11" ht="24" customHeight="1">
      <c r="F3944" s="8">
        <v>12</v>
      </c>
      <c r="G3944" s="7" t="s">
        <v>835</v>
      </c>
      <c r="H3944" s="1" t="s">
        <v>1146</v>
      </c>
      <c r="I3944" s="491">
        <f t="shared" si="364"/>
        <v>2</v>
      </c>
      <c r="J3944" s="1" t="s">
        <v>835</v>
      </c>
      <c r="K3944" s="8">
        <f t="shared" si="365"/>
        <v>24</v>
      </c>
    </row>
    <row r="3945" spans="6:11" ht="24" customHeight="1">
      <c r="F3945" s="8">
        <v>2</v>
      </c>
      <c r="G3945" s="7" t="s">
        <v>835</v>
      </c>
      <c r="H3945" s="1" t="s">
        <v>1147</v>
      </c>
      <c r="I3945" s="491">
        <f t="shared" si="364"/>
        <v>4.9000000000000004</v>
      </c>
      <c r="J3945" s="1" t="s">
        <v>835</v>
      </c>
      <c r="K3945" s="8">
        <f t="shared" si="365"/>
        <v>9.8000000000000007</v>
      </c>
    </row>
    <row r="3946" spans="6:11" ht="24" customHeight="1">
      <c r="F3946" s="8">
        <v>6</v>
      </c>
      <c r="G3946" s="7" t="s">
        <v>835</v>
      </c>
      <c r="H3946" s="1" t="s">
        <v>2138</v>
      </c>
      <c r="I3946" s="491">
        <f t="shared" si="364"/>
        <v>4.45</v>
      </c>
      <c r="J3946" s="1" t="s">
        <v>835</v>
      </c>
      <c r="K3946" s="8">
        <f t="shared" si="365"/>
        <v>26.7</v>
      </c>
    </row>
    <row r="3947" spans="6:11" ht="24" customHeight="1">
      <c r="F3947" s="8">
        <v>1</v>
      </c>
      <c r="G3947" s="7" t="s">
        <v>835</v>
      </c>
      <c r="H3947" s="1" t="s">
        <v>1149</v>
      </c>
      <c r="I3947" s="8">
        <f t="shared" si="364"/>
        <v>861</v>
      </c>
      <c r="J3947" s="1" t="s">
        <v>835</v>
      </c>
      <c r="K3947" s="8">
        <f t="shared" si="365"/>
        <v>861</v>
      </c>
    </row>
    <row r="3948" spans="6:11" ht="24" customHeight="1">
      <c r="F3948" s="8">
        <v>1</v>
      </c>
      <c r="G3948" s="7" t="s">
        <v>835</v>
      </c>
      <c r="H3948" s="1" t="s">
        <v>1150</v>
      </c>
      <c r="I3948" s="8">
        <f t="shared" si="364"/>
        <v>562</v>
      </c>
      <c r="J3948" s="1" t="s">
        <v>835</v>
      </c>
      <c r="K3948" s="8">
        <f t="shared" si="365"/>
        <v>562</v>
      </c>
    </row>
    <row r="3949" spans="6:11" ht="24" customHeight="1">
      <c r="F3949" s="8">
        <v>1</v>
      </c>
      <c r="G3949" s="7" t="s">
        <v>835</v>
      </c>
      <c r="H3949" s="1" t="s">
        <v>1151</v>
      </c>
      <c r="I3949" s="487">
        <v>25</v>
      </c>
      <c r="J3949" s="1" t="s">
        <v>835</v>
      </c>
      <c r="K3949" s="8">
        <f t="shared" si="365"/>
        <v>25</v>
      </c>
    </row>
    <row r="3950" spans="6:11" ht="24" customHeight="1">
      <c r="F3950" s="8">
        <v>0.5</v>
      </c>
      <c r="G3950" s="7" t="s">
        <v>835</v>
      </c>
      <c r="H3950" s="1" t="s">
        <v>1152</v>
      </c>
      <c r="I3950" s="8">
        <f>I3932</f>
        <v>461</v>
      </c>
      <c r="J3950" s="1" t="s">
        <v>835</v>
      </c>
      <c r="K3950" s="8">
        <f t="shared" si="365"/>
        <v>230.5</v>
      </c>
    </row>
    <row r="3951" spans="6:11" ht="24" customHeight="1">
      <c r="G3951" s="7" t="s">
        <v>419</v>
      </c>
      <c r="H3951" s="1" t="s">
        <v>2058</v>
      </c>
      <c r="J3951" s="1" t="s">
        <v>419</v>
      </c>
      <c r="K3951" s="8">
        <f>1.9+0.08</f>
        <v>1.98</v>
      </c>
    </row>
    <row r="3952" spans="6:11" ht="24" customHeight="1">
      <c r="K3952" s="5" t="s">
        <v>1530</v>
      </c>
    </row>
    <row r="3953" spans="6:12" ht="24" customHeight="1">
      <c r="H3953" s="59" t="s">
        <v>266</v>
      </c>
      <c r="K3953" s="39">
        <f>SUM(K3941:K3951)</f>
        <v>2450.4</v>
      </c>
      <c r="L3953">
        <f>K3953-1729</f>
        <v>721.4</v>
      </c>
    </row>
    <row r="3954" spans="6:12" ht="24" customHeight="1">
      <c r="K3954" s="5" t="s">
        <v>1530</v>
      </c>
    </row>
    <row r="3955" spans="6:12" ht="24" customHeight="1">
      <c r="F3955" s="2"/>
      <c r="G3955" s="7" t="s">
        <v>486</v>
      </c>
      <c r="H3955" s="2" t="s">
        <v>532</v>
      </c>
    </row>
    <row r="3956" spans="6:12" ht="24" customHeight="1">
      <c r="H3956" s="2" t="s">
        <v>1724</v>
      </c>
    </row>
    <row r="3957" spans="6:12" ht="24" customHeight="1">
      <c r="F3957" s="15">
        <v>3.5299999999999998E-2</v>
      </c>
      <c r="G3957" s="7" t="s">
        <v>836</v>
      </c>
      <c r="H3957" s="1" t="s">
        <v>1993</v>
      </c>
      <c r="I3957" s="8">
        <f t="shared" ref="I3957:I3962" si="366">I3941</f>
        <v>7802.65</v>
      </c>
      <c r="J3957" s="1" t="s">
        <v>836</v>
      </c>
      <c r="K3957" s="8">
        <f>F3957*I3957</f>
        <v>275.43</v>
      </c>
    </row>
    <row r="3958" spans="6:12" ht="24" customHeight="1">
      <c r="F3958" s="8">
        <v>4.59</v>
      </c>
      <c r="G3958" s="7" t="s">
        <v>1591</v>
      </c>
      <c r="H3958" s="1" t="s">
        <v>1994</v>
      </c>
      <c r="I3958" s="8">
        <f t="shared" si="366"/>
        <v>77593</v>
      </c>
      <c r="J3958" s="1" t="s">
        <v>828</v>
      </c>
      <c r="K3958" s="8">
        <f>F3958*I3958/1000</f>
        <v>356.15</v>
      </c>
    </row>
    <row r="3959" spans="6:12" ht="24" customHeight="1">
      <c r="F3959" s="8">
        <v>3</v>
      </c>
      <c r="G3959" s="7" t="s">
        <v>835</v>
      </c>
      <c r="H3959" s="1" t="s">
        <v>1145</v>
      </c>
      <c r="I3959" s="491">
        <f t="shared" si="366"/>
        <v>14.8</v>
      </c>
      <c r="J3959" s="1" t="s">
        <v>835</v>
      </c>
      <c r="K3959" s="8">
        <f t="shared" ref="K3959:K3966" si="367">F3959*I3959</f>
        <v>44.4</v>
      </c>
    </row>
    <row r="3960" spans="6:12" ht="24" customHeight="1">
      <c r="F3960" s="8">
        <v>12</v>
      </c>
      <c r="G3960" s="7" t="s">
        <v>835</v>
      </c>
      <c r="H3960" s="1" t="s">
        <v>1146</v>
      </c>
      <c r="I3960" s="491">
        <f t="shared" si="366"/>
        <v>2</v>
      </c>
      <c r="J3960" s="1" t="s">
        <v>835</v>
      </c>
      <c r="K3960" s="8">
        <f t="shared" si="367"/>
        <v>24</v>
      </c>
    </row>
    <row r="3961" spans="6:12" ht="24" customHeight="1">
      <c r="F3961" s="8">
        <v>2</v>
      </c>
      <c r="G3961" s="7" t="s">
        <v>835</v>
      </c>
      <c r="H3961" s="8" t="str">
        <f>H3945</f>
        <v>TOWER BOLT RECEIVER</v>
      </c>
      <c r="I3961" s="491">
        <f t="shared" si="366"/>
        <v>4.9000000000000004</v>
      </c>
      <c r="J3961" s="1" t="s">
        <v>835</v>
      </c>
      <c r="K3961" s="8">
        <f t="shared" si="367"/>
        <v>9.8000000000000007</v>
      </c>
    </row>
    <row r="3962" spans="6:12" ht="24" customHeight="1">
      <c r="F3962" s="8">
        <v>6</v>
      </c>
      <c r="G3962" s="7" t="s">
        <v>835</v>
      </c>
      <c r="H3962" s="1" t="s">
        <v>2138</v>
      </c>
      <c r="I3962" s="491">
        <f t="shared" si="366"/>
        <v>4.45</v>
      </c>
      <c r="J3962" s="1" t="s">
        <v>835</v>
      </c>
      <c r="K3962" s="8">
        <f t="shared" si="367"/>
        <v>26.7</v>
      </c>
    </row>
    <row r="3963" spans="6:12" ht="24" customHeight="1">
      <c r="F3963" s="8">
        <v>1</v>
      </c>
      <c r="G3963" s="7" t="s">
        <v>835</v>
      </c>
      <c r="H3963" s="1" t="s">
        <v>1149</v>
      </c>
      <c r="I3963" s="8">
        <f>I3947</f>
        <v>861</v>
      </c>
      <c r="J3963" s="1" t="s">
        <v>835</v>
      </c>
      <c r="K3963" s="8">
        <f t="shared" si="367"/>
        <v>861</v>
      </c>
    </row>
    <row r="3964" spans="6:12" ht="24" customHeight="1">
      <c r="F3964" s="8">
        <v>1</v>
      </c>
      <c r="G3964" s="7" t="s">
        <v>835</v>
      </c>
      <c r="H3964" s="1" t="s">
        <v>1150</v>
      </c>
      <c r="I3964" s="8">
        <f>I3948</f>
        <v>562</v>
      </c>
      <c r="J3964" s="1" t="s">
        <v>835</v>
      </c>
      <c r="K3964" s="8">
        <f t="shared" si="367"/>
        <v>562</v>
      </c>
    </row>
    <row r="3965" spans="6:12" ht="24" customHeight="1">
      <c r="F3965" s="8">
        <v>1</v>
      </c>
      <c r="G3965" s="7" t="s">
        <v>835</v>
      </c>
      <c r="H3965" s="8" t="str">
        <f>H3949</f>
        <v>MOULDING CHARGES</v>
      </c>
      <c r="I3965" s="8">
        <f>I3949</f>
        <v>25</v>
      </c>
      <c r="J3965" s="1" t="s">
        <v>835</v>
      </c>
      <c r="K3965" s="8">
        <f t="shared" si="367"/>
        <v>25</v>
      </c>
    </row>
    <row r="3966" spans="6:12" ht="24" customHeight="1">
      <c r="F3966" s="8">
        <v>0.5</v>
      </c>
      <c r="G3966" s="7" t="s">
        <v>835</v>
      </c>
      <c r="H3966" s="1" t="s">
        <v>1152</v>
      </c>
      <c r="I3966" s="8">
        <f>I3950</f>
        <v>461</v>
      </c>
      <c r="J3966" s="1" t="s">
        <v>835</v>
      </c>
      <c r="K3966" s="8">
        <f t="shared" si="367"/>
        <v>230.5</v>
      </c>
    </row>
    <row r="3967" spans="6:12" ht="24" customHeight="1">
      <c r="G3967" s="7" t="s">
        <v>419</v>
      </c>
      <c r="H3967" s="1" t="s">
        <v>2058</v>
      </c>
      <c r="I3967" s="8">
        <f>I3951</f>
        <v>0</v>
      </c>
      <c r="J3967" s="1" t="s">
        <v>419</v>
      </c>
      <c r="K3967" s="8">
        <v>1.39</v>
      </c>
    </row>
    <row r="3968" spans="6:12" ht="24" customHeight="1">
      <c r="K3968" s="5" t="s">
        <v>1530</v>
      </c>
    </row>
    <row r="3969" spans="6:11" ht="24" customHeight="1">
      <c r="H3969" s="59" t="s">
        <v>266</v>
      </c>
      <c r="K3969" s="39">
        <f>SUM(K3957:K3967)</f>
        <v>2416.37</v>
      </c>
    </row>
    <row r="3970" spans="6:11" ht="24" customHeight="1">
      <c r="K3970" s="5" t="s">
        <v>1530</v>
      </c>
    </row>
    <row r="3972" spans="6:11" ht="24" customHeight="1">
      <c r="G3972"/>
      <c r="H3972" s="2" t="s">
        <v>1686</v>
      </c>
      <c r="J3972"/>
      <c r="K3972" s="5"/>
    </row>
    <row r="3973" spans="6:11" ht="24" customHeight="1">
      <c r="G3973"/>
      <c r="J3973"/>
      <c r="K3973" s="5"/>
    </row>
    <row r="3974" spans="6:11" ht="24" customHeight="1">
      <c r="F3974" s="15">
        <v>6.5000000000000002E-2</v>
      </c>
      <c r="G3974" s="7" t="s">
        <v>836</v>
      </c>
      <c r="H3974" s="1" t="s">
        <v>1993</v>
      </c>
      <c r="I3974" s="8">
        <f>I3957</f>
        <v>7802.65</v>
      </c>
      <c r="J3974" s="1" t="s">
        <v>836</v>
      </c>
      <c r="K3974" s="8">
        <f>I3974*F3974</f>
        <v>507.17</v>
      </c>
    </row>
    <row r="3975" spans="6:11" ht="24" customHeight="1">
      <c r="F3975" s="407">
        <v>8.4499999999999993</v>
      </c>
      <c r="G3975" s="7" t="s">
        <v>1591</v>
      </c>
      <c r="H3975" s="1" t="s">
        <v>1994</v>
      </c>
      <c r="I3975" s="8">
        <f t="shared" ref="I3975:I3984" si="368">I3958</f>
        <v>77593</v>
      </c>
      <c r="J3975" s="1" t="s">
        <v>828</v>
      </c>
      <c r="K3975" s="8">
        <f>I3975*F3975/1000</f>
        <v>655.66</v>
      </c>
    </row>
    <row r="3976" spans="6:11" ht="24" customHeight="1">
      <c r="F3976" s="8">
        <v>3</v>
      </c>
      <c r="G3976" s="7" t="s">
        <v>835</v>
      </c>
      <c r="H3976" s="1" t="s">
        <v>1145</v>
      </c>
      <c r="I3976" s="8">
        <f t="shared" si="368"/>
        <v>14.8</v>
      </c>
      <c r="J3976" s="1" t="s">
        <v>835</v>
      </c>
      <c r="K3976" s="8">
        <f t="shared" ref="K3976:K3983" si="369">I3976*F3976</f>
        <v>44.4</v>
      </c>
    </row>
    <row r="3977" spans="6:11" ht="24" customHeight="1">
      <c r="F3977" s="8">
        <v>12</v>
      </c>
      <c r="G3977" s="7" t="s">
        <v>835</v>
      </c>
      <c r="H3977" s="1" t="s">
        <v>1146</v>
      </c>
      <c r="I3977" s="8">
        <f t="shared" si="368"/>
        <v>2</v>
      </c>
      <c r="J3977" s="1" t="s">
        <v>835</v>
      </c>
      <c r="K3977" s="8">
        <f t="shared" si="369"/>
        <v>24</v>
      </c>
    </row>
    <row r="3978" spans="6:11" ht="24" customHeight="1">
      <c r="F3978" s="8">
        <v>2</v>
      </c>
      <c r="G3978" s="7" t="s">
        <v>835</v>
      </c>
      <c r="H3978" s="1" t="s">
        <v>1147</v>
      </c>
      <c r="I3978" s="8">
        <f t="shared" si="368"/>
        <v>4.9000000000000004</v>
      </c>
      <c r="J3978" s="1" t="s">
        <v>835</v>
      </c>
      <c r="K3978" s="8">
        <f t="shared" si="369"/>
        <v>9.8000000000000007</v>
      </c>
    </row>
    <row r="3979" spans="6:11" ht="24" customHeight="1">
      <c r="F3979" s="8">
        <v>6</v>
      </c>
      <c r="G3979" s="7" t="s">
        <v>835</v>
      </c>
      <c r="H3979" s="1" t="s">
        <v>2138</v>
      </c>
      <c r="I3979" s="8">
        <f t="shared" si="368"/>
        <v>4.45</v>
      </c>
      <c r="J3979" s="1" t="s">
        <v>835</v>
      </c>
      <c r="K3979" s="8">
        <f t="shared" si="369"/>
        <v>26.7</v>
      </c>
    </row>
    <row r="3980" spans="6:11" ht="24" customHeight="1">
      <c r="F3980" s="8">
        <v>1</v>
      </c>
      <c r="G3980" s="7" t="s">
        <v>835</v>
      </c>
      <c r="H3980" s="1" t="s">
        <v>1149</v>
      </c>
      <c r="I3980" s="8">
        <f t="shared" si="368"/>
        <v>861</v>
      </c>
      <c r="J3980" s="1" t="s">
        <v>835</v>
      </c>
      <c r="K3980" s="8">
        <f t="shared" si="369"/>
        <v>861</v>
      </c>
    </row>
    <row r="3981" spans="6:11" ht="24" customHeight="1">
      <c r="F3981" s="8">
        <v>1</v>
      </c>
      <c r="G3981" s="7" t="s">
        <v>835</v>
      </c>
      <c r="H3981" s="1" t="s">
        <v>1150</v>
      </c>
      <c r="I3981" s="8">
        <f t="shared" si="368"/>
        <v>562</v>
      </c>
      <c r="J3981" s="1" t="s">
        <v>835</v>
      </c>
      <c r="K3981" s="8">
        <f t="shared" si="369"/>
        <v>562</v>
      </c>
    </row>
    <row r="3982" spans="6:11" ht="24" customHeight="1">
      <c r="F3982" s="8">
        <v>1</v>
      </c>
      <c r="G3982" s="7" t="s">
        <v>835</v>
      </c>
      <c r="H3982" s="1" t="s">
        <v>1151</v>
      </c>
      <c r="I3982" s="8">
        <f t="shared" si="368"/>
        <v>25</v>
      </c>
      <c r="J3982" s="1" t="s">
        <v>835</v>
      </c>
      <c r="K3982" s="8">
        <f t="shared" si="369"/>
        <v>25</v>
      </c>
    </row>
    <row r="3983" spans="6:11" ht="24" customHeight="1">
      <c r="F3983" s="8">
        <v>0.5</v>
      </c>
      <c r="G3983" s="7" t="s">
        <v>835</v>
      </c>
      <c r="H3983" s="1" t="s">
        <v>1152</v>
      </c>
      <c r="I3983" s="8">
        <f t="shared" si="368"/>
        <v>461</v>
      </c>
      <c r="J3983" s="1" t="s">
        <v>835</v>
      </c>
      <c r="K3983" s="8">
        <f t="shared" si="369"/>
        <v>230.5</v>
      </c>
    </row>
    <row r="3984" spans="6:11" ht="24" customHeight="1">
      <c r="G3984" s="7" t="s">
        <v>419</v>
      </c>
      <c r="H3984" s="1" t="s">
        <v>2058</v>
      </c>
      <c r="I3984" s="8">
        <f t="shared" si="368"/>
        <v>0</v>
      </c>
      <c r="J3984" s="1" t="s">
        <v>419</v>
      </c>
      <c r="K3984" s="8">
        <v>2.1</v>
      </c>
    </row>
    <row r="3985" spans="6:11" ht="24" customHeight="1">
      <c r="K3985" s="5" t="s">
        <v>1530</v>
      </c>
    </row>
    <row r="3986" spans="6:11" ht="24" customHeight="1">
      <c r="H3986" s="59" t="s">
        <v>266</v>
      </c>
      <c r="K3986" s="408">
        <f>SUM(K3974:K3984)</f>
        <v>2948.33</v>
      </c>
    </row>
    <row r="3987" spans="6:11" ht="24" customHeight="1">
      <c r="K3987" s="5" t="s">
        <v>1530</v>
      </c>
    </row>
    <row r="3988" spans="6:11" ht="24" customHeight="1">
      <c r="F3988" s="1531" t="s">
        <v>4225</v>
      </c>
      <c r="G3988" s="1531"/>
      <c r="H3988" s="1531"/>
      <c r="I3988" s="594"/>
      <c r="J3988" s="594"/>
    </row>
    <row r="3989" spans="6:11" ht="24" customHeight="1">
      <c r="F3989" s="51"/>
      <c r="H3989" s="218" t="s">
        <v>4226</v>
      </c>
    </row>
    <row r="3990" spans="6:11" ht="24" customHeight="1">
      <c r="F3990" s="13">
        <v>4.88</v>
      </c>
      <c r="G3990" s="7" t="s">
        <v>876</v>
      </c>
      <c r="H3990" s="1" t="s">
        <v>1788</v>
      </c>
      <c r="I3990" s="8">
        <f>AB1353</f>
        <v>301</v>
      </c>
      <c r="J3990" s="7" t="s">
        <v>876</v>
      </c>
      <c r="K3990" s="8">
        <f t="shared" ref="K3990:K3999" si="370">I3990*F3990</f>
        <v>1468.88</v>
      </c>
    </row>
    <row r="3991" spans="6:11" ht="24" customHeight="1">
      <c r="F3991" s="13">
        <v>7.76</v>
      </c>
      <c r="G3991" s="7" t="s">
        <v>876</v>
      </c>
      <c r="H3991" s="1" t="s">
        <v>1788</v>
      </c>
      <c r="I3991" s="8">
        <f>I3990</f>
        <v>301</v>
      </c>
      <c r="J3991" s="7" t="s">
        <v>876</v>
      </c>
      <c r="K3991" s="8">
        <f t="shared" si="370"/>
        <v>2335.7600000000002</v>
      </c>
    </row>
    <row r="3992" spans="6:11" ht="24" customHeight="1">
      <c r="F3992" s="13">
        <v>3.03</v>
      </c>
      <c r="G3992" s="7" t="s">
        <v>876</v>
      </c>
      <c r="H3992" s="1" t="s">
        <v>1788</v>
      </c>
      <c r="I3992" s="8">
        <f>I3991</f>
        <v>301</v>
      </c>
      <c r="J3992" s="7" t="s">
        <v>876</v>
      </c>
      <c r="K3992" s="8">
        <f t="shared" si="370"/>
        <v>912.03</v>
      </c>
    </row>
    <row r="3993" spans="6:11" ht="24" customHeight="1">
      <c r="F3993" s="13">
        <v>1.45</v>
      </c>
      <c r="G3993" s="7" t="s">
        <v>876</v>
      </c>
      <c r="H3993" s="1" t="s">
        <v>1788</v>
      </c>
      <c r="I3993" s="8">
        <f>I3992</f>
        <v>301</v>
      </c>
      <c r="J3993" s="7" t="s">
        <v>876</v>
      </c>
      <c r="K3993" s="8">
        <f t="shared" si="370"/>
        <v>436.45</v>
      </c>
    </row>
    <row r="3994" spans="6:11" ht="24" customHeight="1">
      <c r="F3994" s="13">
        <v>2.4300000000000002</v>
      </c>
      <c r="G3994" s="7" t="s">
        <v>222</v>
      </c>
      <c r="H3994" s="1" t="s">
        <v>1789</v>
      </c>
      <c r="I3994" s="8">
        <f>AB1357</f>
        <v>303.89999999999998</v>
      </c>
      <c r="J3994" s="7" t="s">
        <v>222</v>
      </c>
      <c r="K3994" s="8">
        <f t="shared" si="370"/>
        <v>738.48</v>
      </c>
    </row>
    <row r="3995" spans="6:11" ht="24" customHeight="1">
      <c r="F3995" s="13">
        <v>11.7</v>
      </c>
      <c r="G3995" s="7" t="s">
        <v>794</v>
      </c>
      <c r="H3995" s="1" t="s">
        <v>1790</v>
      </c>
      <c r="I3995" s="8">
        <f>AB1358</f>
        <v>28.8</v>
      </c>
      <c r="J3995" s="7" t="s">
        <v>794</v>
      </c>
      <c r="K3995" s="8">
        <f t="shared" si="370"/>
        <v>336.96</v>
      </c>
    </row>
    <row r="3996" spans="6:11" ht="24" customHeight="1">
      <c r="F3996" s="13">
        <v>3</v>
      </c>
      <c r="G3996" s="7" t="s">
        <v>739</v>
      </c>
      <c r="H3996" s="1" t="s">
        <v>4227</v>
      </c>
      <c r="I3996" s="8">
        <v>350</v>
      </c>
      <c r="J3996" s="7" t="s">
        <v>739</v>
      </c>
      <c r="K3996" s="8">
        <f t="shared" si="370"/>
        <v>1050</v>
      </c>
    </row>
    <row r="3997" spans="6:11" ht="24" customHeight="1">
      <c r="F3997" s="13">
        <v>3</v>
      </c>
      <c r="G3997" s="7" t="s">
        <v>739</v>
      </c>
      <c r="H3997" s="1" t="s">
        <v>1792</v>
      </c>
      <c r="I3997" s="8">
        <f>V1362</f>
        <v>53.4</v>
      </c>
      <c r="J3997" s="7" t="s">
        <v>739</v>
      </c>
      <c r="K3997" s="8">
        <f t="shared" si="370"/>
        <v>160.19999999999999</v>
      </c>
    </row>
    <row r="3998" spans="6:11" ht="24" customHeight="1">
      <c r="F3998" s="13">
        <v>4</v>
      </c>
      <c r="G3998" s="7" t="s">
        <v>739</v>
      </c>
      <c r="H3998" s="1" t="s">
        <v>1795</v>
      </c>
      <c r="I3998" s="8">
        <f>AB1363</f>
        <v>15</v>
      </c>
      <c r="J3998" s="7" t="s">
        <v>739</v>
      </c>
      <c r="K3998" s="8">
        <f t="shared" si="370"/>
        <v>60</v>
      </c>
    </row>
    <row r="3999" spans="6:11" ht="24" customHeight="1">
      <c r="F3999" s="13">
        <v>2.4300000000000002</v>
      </c>
      <c r="G3999" s="7" t="s">
        <v>2199</v>
      </c>
      <c r="H3999" s="1" t="s">
        <v>1796</v>
      </c>
      <c r="I3999" s="8">
        <f>AB1364</f>
        <v>1724</v>
      </c>
      <c r="J3999" s="7" t="s">
        <v>739</v>
      </c>
      <c r="K3999" s="8">
        <f t="shared" si="370"/>
        <v>4189.32</v>
      </c>
    </row>
    <row r="4000" spans="6:11" ht="24" customHeight="1">
      <c r="F4000" s="51"/>
      <c r="H4000" s="1" t="s">
        <v>1797</v>
      </c>
      <c r="J4000" s="7"/>
      <c r="K4000" s="8"/>
    </row>
    <row r="4001" spans="6:11" ht="24" customHeight="1">
      <c r="F4001" s="51"/>
      <c r="G4001"/>
      <c r="H4001" s="42" t="s">
        <v>3490</v>
      </c>
      <c r="J4001"/>
      <c r="K4001" s="8">
        <f>SUM(K3990:K4000)</f>
        <v>11688.08</v>
      </c>
    </row>
    <row r="4002" spans="6:11" ht="24" customHeight="1">
      <c r="F4002" s="51"/>
      <c r="G4002"/>
      <c r="H4002" s="42" t="s">
        <v>4228</v>
      </c>
      <c r="J4002" s="7" t="s">
        <v>2199</v>
      </c>
      <c r="K4002" s="8">
        <f>K4001/F3999</f>
        <v>4809.91</v>
      </c>
    </row>
    <row r="4003" spans="6:11" ht="24" customHeight="1">
      <c r="F4003" s="51"/>
      <c r="G4003"/>
      <c r="J4003"/>
      <c r="K4003" s="39"/>
    </row>
    <row r="4004" spans="6:11" ht="24" customHeight="1">
      <c r="F4004" s="51"/>
      <c r="G4004"/>
      <c r="J4004"/>
    </row>
    <row r="4005" spans="6:11" ht="24" customHeight="1">
      <c r="F4005" s="595"/>
      <c r="G4005" s="659"/>
      <c r="H4005" s="1531" t="s">
        <v>4229</v>
      </c>
      <c r="I4005" s="1531"/>
      <c r="J4005" s="1531"/>
      <c r="K4005" s="1531"/>
    </row>
    <row r="4006" spans="6:11" ht="24" customHeight="1">
      <c r="F4006" s="16"/>
      <c r="G4006" s="7"/>
      <c r="H4006" s="1"/>
      <c r="I4006" s="8"/>
      <c r="J4006" s="7"/>
      <c r="K4006" s="8"/>
    </row>
    <row r="4007" spans="6:11" ht="24" customHeight="1">
      <c r="F4007" s="16"/>
      <c r="G4007" s="7"/>
      <c r="H4007" s="1"/>
      <c r="I4007" s="8"/>
      <c r="J4007" s="7"/>
      <c r="K4007" s="8"/>
    </row>
    <row r="4008" spans="6:11" ht="24" customHeight="1">
      <c r="F4008" s="16"/>
      <c r="G4008" s="7"/>
      <c r="H4008" s="1"/>
      <c r="I4008" s="8"/>
      <c r="J4008" s="7"/>
      <c r="K4008" s="8"/>
    </row>
    <row r="4009" spans="6:11" ht="24" customHeight="1">
      <c r="F4009" s="16">
        <v>12.08</v>
      </c>
      <c r="G4009" s="7" t="s">
        <v>876</v>
      </c>
      <c r="H4009" s="1" t="s">
        <v>1788</v>
      </c>
      <c r="I4009" s="8">
        <f>I3990</f>
        <v>301</v>
      </c>
      <c r="J4009" s="7" t="s">
        <v>876</v>
      </c>
      <c r="K4009" s="8">
        <f>I4009*F4009</f>
        <v>3636.08</v>
      </c>
    </row>
    <row r="4010" spans="6:11" ht="24" customHeight="1">
      <c r="F4010" s="16">
        <v>1.823</v>
      </c>
      <c r="G4010" s="7" t="s">
        <v>222</v>
      </c>
      <c r="H4010" s="1" t="s">
        <v>1789</v>
      </c>
      <c r="I4010" s="8">
        <f>I3994</f>
        <v>303.89999999999998</v>
      </c>
      <c r="J4010" s="7" t="s">
        <v>222</v>
      </c>
      <c r="K4010" s="8">
        <f t="shared" ref="K4010:K4015" si="371">I4010*F4010</f>
        <v>554.01</v>
      </c>
    </row>
    <row r="4011" spans="6:11" ht="24" customHeight="1">
      <c r="F4011" s="16">
        <v>8.1</v>
      </c>
      <c r="G4011" s="7" t="s">
        <v>794</v>
      </c>
      <c r="H4011" s="1" t="s">
        <v>1790</v>
      </c>
      <c r="I4011" s="8">
        <f>I3995</f>
        <v>28.8</v>
      </c>
      <c r="J4011" s="7" t="s">
        <v>794</v>
      </c>
      <c r="K4011" s="8">
        <f t="shared" si="371"/>
        <v>233.28</v>
      </c>
    </row>
    <row r="4012" spans="6:11" ht="24" customHeight="1">
      <c r="F4012" s="16">
        <v>2</v>
      </c>
      <c r="G4012" s="7" t="s">
        <v>3822</v>
      </c>
      <c r="H4012" s="1" t="s">
        <v>4230</v>
      </c>
      <c r="I4012" s="8">
        <f>I3996</f>
        <v>350</v>
      </c>
      <c r="J4012" s="7" t="s">
        <v>739</v>
      </c>
      <c r="K4012" s="8">
        <f t="shared" si="371"/>
        <v>700</v>
      </c>
    </row>
    <row r="4013" spans="6:11" ht="24" customHeight="1">
      <c r="F4013" s="16">
        <v>2</v>
      </c>
      <c r="G4013" s="7" t="s">
        <v>739</v>
      </c>
      <c r="H4013" s="1" t="s">
        <v>1792</v>
      </c>
      <c r="I4013" s="8">
        <f>I3997</f>
        <v>53.4</v>
      </c>
      <c r="J4013" s="7" t="s">
        <v>739</v>
      </c>
      <c r="K4013" s="8">
        <f t="shared" si="371"/>
        <v>106.8</v>
      </c>
    </row>
    <row r="4014" spans="6:11" ht="24" customHeight="1">
      <c r="F4014" s="16">
        <v>4</v>
      </c>
      <c r="G4014" s="7" t="s">
        <v>739</v>
      </c>
      <c r="H4014" s="1" t="s">
        <v>1795</v>
      </c>
      <c r="I4014" s="545">
        <v>15</v>
      </c>
      <c r="J4014" s="7" t="s">
        <v>739</v>
      </c>
      <c r="K4014" s="8">
        <f t="shared" si="371"/>
        <v>60</v>
      </c>
    </row>
    <row r="4015" spans="6:11" ht="24" customHeight="1">
      <c r="F4015" s="16">
        <v>1.823</v>
      </c>
      <c r="G4015" s="7" t="s">
        <v>2199</v>
      </c>
      <c r="H4015" s="1" t="s">
        <v>1796</v>
      </c>
      <c r="I4015" s="595">
        <f>I3999</f>
        <v>1724</v>
      </c>
      <c r="J4015" s="7" t="s">
        <v>2199</v>
      </c>
      <c r="K4015" s="8">
        <f t="shared" si="371"/>
        <v>3142.85</v>
      </c>
    </row>
    <row r="4016" spans="6:11" ht="24" customHeight="1">
      <c r="F4016" s="595"/>
      <c r="G4016" s="659"/>
      <c r="H4016" s="1"/>
      <c r="I4016" s="595"/>
      <c r="J4016" s="596"/>
      <c r="K4016" s="8"/>
    </row>
    <row r="4017" spans="6:11" ht="24" customHeight="1">
      <c r="F4017" s="595"/>
      <c r="G4017" s="595"/>
      <c r="H4017" s="6" t="s">
        <v>4231</v>
      </c>
      <c r="I4017" s="595"/>
      <c r="J4017" s="595"/>
      <c r="K4017" s="443">
        <f>SUM(K4009:K4016)</f>
        <v>8433.02</v>
      </c>
    </row>
    <row r="4018" spans="6:11" ht="24" customHeight="1">
      <c r="F4018" s="595"/>
      <c r="G4018" s="595"/>
      <c r="H4018" s="6" t="s">
        <v>4232</v>
      </c>
      <c r="I4018" s="595"/>
      <c r="J4018" s="595"/>
      <c r="K4018" s="662">
        <f>K4017/F4015</f>
        <v>4625.8999999999996</v>
      </c>
    </row>
    <row r="4019" spans="6:11" ht="24" customHeight="1">
      <c r="F4019" s="595"/>
      <c r="G4019" s="595"/>
      <c r="H4019" s="6"/>
      <c r="I4019" s="595"/>
      <c r="J4019" s="595"/>
      <c r="K4019" s="595"/>
    </row>
    <row r="4020" spans="6:11" ht="24" customHeight="1">
      <c r="F4020" s="51"/>
      <c r="H4020" s="218" t="s">
        <v>4233</v>
      </c>
    </row>
    <row r="4021" spans="6:11" ht="24" customHeight="1">
      <c r="F4021" s="13">
        <v>3.72</v>
      </c>
      <c r="G4021" s="7" t="s">
        <v>876</v>
      </c>
      <c r="H4021" s="1" t="s">
        <v>1788</v>
      </c>
      <c r="I4021" s="8">
        <f>I3990</f>
        <v>301</v>
      </c>
      <c r="J4021" s="7" t="s">
        <v>876</v>
      </c>
      <c r="K4021" s="8">
        <f>I4021*F4021</f>
        <v>1119.72</v>
      </c>
    </row>
    <row r="4022" spans="6:11" ht="24" customHeight="1">
      <c r="F4022" s="13">
        <v>4.57</v>
      </c>
      <c r="G4022" s="7" t="s">
        <v>876</v>
      </c>
      <c r="H4022" s="1" t="s">
        <v>1788</v>
      </c>
      <c r="I4022" s="8">
        <f>I4021</f>
        <v>301</v>
      </c>
      <c r="J4022" s="7" t="s">
        <v>876</v>
      </c>
      <c r="K4022" s="8">
        <f t="shared" ref="K4022:K4028" si="372">I4022*F4022</f>
        <v>1375.57</v>
      </c>
    </row>
    <row r="4023" spans="6:11" ht="24" customHeight="1">
      <c r="F4023" s="13">
        <v>1.18</v>
      </c>
      <c r="G4023" s="7" t="s">
        <v>876</v>
      </c>
      <c r="H4023" s="1" t="s">
        <v>1788</v>
      </c>
      <c r="I4023" s="8">
        <f>I4022</f>
        <v>301</v>
      </c>
      <c r="J4023" s="7" t="s">
        <v>876</v>
      </c>
      <c r="K4023" s="8">
        <f t="shared" si="372"/>
        <v>355.18</v>
      </c>
    </row>
    <row r="4024" spans="6:11" ht="24" customHeight="1">
      <c r="F4024" s="13">
        <v>0.86</v>
      </c>
      <c r="G4024" s="7" t="s">
        <v>876</v>
      </c>
      <c r="H4024" s="1" t="s">
        <v>1788</v>
      </c>
      <c r="I4024" s="8">
        <f>I4023</f>
        <v>301</v>
      </c>
      <c r="J4024" s="7" t="s">
        <v>876</v>
      </c>
      <c r="K4024" s="8">
        <f t="shared" si="372"/>
        <v>258.86</v>
      </c>
    </row>
    <row r="4025" spans="6:11" ht="24" customHeight="1">
      <c r="F4025" s="13">
        <v>1.42</v>
      </c>
      <c r="G4025" s="7" t="s">
        <v>222</v>
      </c>
      <c r="H4025" s="1" t="s">
        <v>1789</v>
      </c>
      <c r="I4025" s="8">
        <f t="shared" ref="I4025:I4030" si="373">I4010</f>
        <v>303.89999999999998</v>
      </c>
      <c r="J4025" s="7" t="s">
        <v>222</v>
      </c>
      <c r="K4025" s="8">
        <f t="shared" si="372"/>
        <v>431.54</v>
      </c>
    </row>
    <row r="4026" spans="6:11" ht="24" customHeight="1">
      <c r="F4026" s="13">
        <v>6.9</v>
      </c>
      <c r="G4026" s="7" t="s">
        <v>794</v>
      </c>
      <c r="H4026" s="1" t="s">
        <v>1790</v>
      </c>
      <c r="I4026" s="8">
        <f t="shared" si="373"/>
        <v>28.8</v>
      </c>
      <c r="J4026" s="7" t="s">
        <v>794</v>
      </c>
      <c r="K4026" s="8">
        <f t="shared" si="372"/>
        <v>198.72</v>
      </c>
    </row>
    <row r="4027" spans="6:11" ht="24" customHeight="1">
      <c r="F4027" s="13">
        <v>2</v>
      </c>
      <c r="G4027" s="7" t="s">
        <v>739</v>
      </c>
      <c r="H4027" s="1" t="s">
        <v>4230</v>
      </c>
      <c r="I4027" s="8">
        <f t="shared" si="373"/>
        <v>350</v>
      </c>
      <c r="J4027" s="7" t="s">
        <v>739</v>
      </c>
      <c r="K4027" s="8">
        <f t="shared" si="372"/>
        <v>700</v>
      </c>
    </row>
    <row r="4028" spans="6:11" ht="24" customHeight="1">
      <c r="F4028" s="13">
        <v>2</v>
      </c>
      <c r="G4028" s="7" t="s">
        <v>739</v>
      </c>
      <c r="H4028" s="1" t="s">
        <v>1792</v>
      </c>
      <c r="I4028" s="8">
        <f t="shared" si="373"/>
        <v>53.4</v>
      </c>
      <c r="J4028" s="7" t="s">
        <v>739</v>
      </c>
      <c r="K4028" s="8">
        <f t="shared" si="372"/>
        <v>106.8</v>
      </c>
    </row>
    <row r="4029" spans="6:11" ht="24" customHeight="1">
      <c r="F4029" s="13">
        <v>4</v>
      </c>
      <c r="G4029" s="7" t="s">
        <v>739</v>
      </c>
      <c r="H4029" s="1" t="s">
        <v>1795</v>
      </c>
      <c r="I4029" s="8">
        <f t="shared" si="373"/>
        <v>15</v>
      </c>
      <c r="J4029" s="7" t="s">
        <v>739</v>
      </c>
      <c r="K4029" s="8">
        <f>I4029*F4029</f>
        <v>60</v>
      </c>
    </row>
    <row r="4030" spans="6:11" ht="24" customHeight="1">
      <c r="F4030" s="13">
        <v>1.42</v>
      </c>
      <c r="G4030" s="7" t="s">
        <v>2199</v>
      </c>
      <c r="H4030" s="1" t="s">
        <v>1796</v>
      </c>
      <c r="I4030" s="8">
        <f t="shared" si="373"/>
        <v>1724</v>
      </c>
      <c r="J4030" s="7" t="s">
        <v>2199</v>
      </c>
      <c r="K4030" s="8">
        <f>I4030*F4030</f>
        <v>2448.08</v>
      </c>
    </row>
    <row r="4031" spans="6:11" ht="24" customHeight="1">
      <c r="F4031" s="51"/>
      <c r="H4031" s="1" t="s">
        <v>1797</v>
      </c>
      <c r="J4031" s="4"/>
      <c r="K4031" s="8"/>
    </row>
    <row r="4032" spans="6:11" ht="24" customHeight="1">
      <c r="F4032" s="51"/>
      <c r="G4032"/>
      <c r="H4032" s="42" t="s">
        <v>3490</v>
      </c>
      <c r="J4032"/>
      <c r="K4032" s="8">
        <f>SUM(K4021:K4031)</f>
        <v>7054.47</v>
      </c>
    </row>
    <row r="4033" spans="6:13" ht="24" customHeight="1">
      <c r="F4033" s="51"/>
      <c r="G4033"/>
      <c r="H4033" s="6" t="s">
        <v>4232</v>
      </c>
      <c r="J4033"/>
      <c r="K4033" s="37">
        <f>K4032/F4030</f>
        <v>4967.9399999999996</v>
      </c>
    </row>
    <row r="4034" spans="6:13" ht="24" customHeight="1">
      <c r="F4034" s="51"/>
      <c r="G4034"/>
      <c r="J4034"/>
      <c r="K4034" s="39"/>
    </row>
    <row r="4035" spans="6:13" ht="24" customHeight="1">
      <c r="F4035" s="51"/>
      <c r="G4035"/>
      <c r="H4035" s="218" t="s">
        <v>4234</v>
      </c>
    </row>
    <row r="4036" spans="6:13" ht="24" customHeight="1">
      <c r="F4036" s="582">
        <v>11.61</v>
      </c>
      <c r="G4036" s="583" t="s">
        <v>876</v>
      </c>
      <c r="H4036" s="584" t="s">
        <v>1788</v>
      </c>
      <c r="I4036" s="580">
        <f>I4021</f>
        <v>301</v>
      </c>
      <c r="J4036" s="583" t="s">
        <v>876</v>
      </c>
      <c r="K4036" s="580">
        <f>I4036*F4036</f>
        <v>3494.61</v>
      </c>
    </row>
    <row r="4037" spans="6:13" ht="24" customHeight="1">
      <c r="F4037" s="582">
        <v>7.8</v>
      </c>
      <c r="G4037" s="583" t="s">
        <v>794</v>
      </c>
      <c r="H4037" s="584" t="s">
        <v>3813</v>
      </c>
      <c r="I4037" s="580">
        <f>I4026</f>
        <v>28.8</v>
      </c>
      <c r="J4037" s="583" t="s">
        <v>794</v>
      </c>
      <c r="K4037" s="580">
        <f t="shared" ref="K4037:K4042" si="374">I4037*F4037</f>
        <v>224.64</v>
      </c>
    </row>
    <row r="4038" spans="6:13" ht="24" customHeight="1">
      <c r="F4038" s="582">
        <v>1.62</v>
      </c>
      <c r="G4038" s="583" t="s">
        <v>222</v>
      </c>
      <c r="H4038" s="584" t="s">
        <v>3814</v>
      </c>
      <c r="I4038" s="580">
        <f>I4025</f>
        <v>303.89999999999998</v>
      </c>
      <c r="J4038" s="583" t="s">
        <v>222</v>
      </c>
      <c r="K4038" s="580">
        <f t="shared" si="374"/>
        <v>492.32</v>
      </c>
    </row>
    <row r="4039" spans="6:13" ht="24" customHeight="1">
      <c r="F4039" s="582">
        <v>2</v>
      </c>
      <c r="G4039" s="583" t="s">
        <v>739</v>
      </c>
      <c r="H4039" s="584" t="s">
        <v>3815</v>
      </c>
      <c r="I4039" s="580">
        <f>I4028</f>
        <v>53.4</v>
      </c>
      <c r="J4039" s="583" t="s">
        <v>739</v>
      </c>
      <c r="K4039" s="580">
        <f t="shared" si="374"/>
        <v>106.8</v>
      </c>
    </row>
    <row r="4040" spans="6:13" ht="24" customHeight="1">
      <c r="F4040" s="582">
        <v>2</v>
      </c>
      <c r="G4040" s="583" t="s">
        <v>739</v>
      </c>
      <c r="H4040" s="584" t="s">
        <v>4235</v>
      </c>
      <c r="I4040" s="580">
        <f>I4027</f>
        <v>350</v>
      </c>
      <c r="J4040" s="583" t="s">
        <v>739</v>
      </c>
      <c r="K4040" s="580">
        <f t="shared" si="374"/>
        <v>700</v>
      </c>
    </row>
    <row r="4041" spans="6:13" ht="24" customHeight="1">
      <c r="F4041" s="582">
        <v>4</v>
      </c>
      <c r="G4041" s="583" t="s">
        <v>739</v>
      </c>
      <c r="H4041" s="584" t="s">
        <v>3817</v>
      </c>
      <c r="I4041" s="580">
        <f>I4029</f>
        <v>15</v>
      </c>
      <c r="J4041" s="583" t="s">
        <v>739</v>
      </c>
      <c r="K4041" s="580">
        <f t="shared" si="374"/>
        <v>60</v>
      </c>
    </row>
    <row r="4042" spans="6:13" ht="24" customHeight="1">
      <c r="F4042" s="582">
        <v>1.62</v>
      </c>
      <c r="G4042" s="583" t="s">
        <v>2199</v>
      </c>
      <c r="H4042" s="584" t="s">
        <v>3818</v>
      </c>
      <c r="I4042" s="580">
        <f>I4030</f>
        <v>1724</v>
      </c>
      <c r="J4042" s="583" t="s">
        <v>2199</v>
      </c>
      <c r="K4042" s="580">
        <f t="shared" si="374"/>
        <v>2792.88</v>
      </c>
    </row>
    <row r="4043" spans="6:13" ht="24" customHeight="1">
      <c r="F4043" s="578"/>
      <c r="G4043" s="585"/>
      <c r="H4043" s="584" t="s">
        <v>2187</v>
      </c>
      <c r="I4043" s="578"/>
      <c r="J4043" s="579"/>
      <c r="K4043" s="580"/>
    </row>
    <row r="4044" spans="6:13" ht="24" customHeight="1">
      <c r="F4044" s="578"/>
      <c r="G4044" s="578"/>
      <c r="H4044" s="42" t="s">
        <v>3490</v>
      </c>
      <c r="J4044"/>
      <c r="K4044" s="8">
        <f>SUM(K4036:K4043)</f>
        <v>7871.25</v>
      </c>
    </row>
    <row r="4045" spans="6:13" ht="24" customHeight="1">
      <c r="F4045" s="51"/>
      <c r="G4045"/>
      <c r="H4045" s="6" t="s">
        <v>4232</v>
      </c>
      <c r="J4045"/>
      <c r="K4045" s="37">
        <f>K4044/F4042</f>
        <v>4858.8</v>
      </c>
    </row>
    <row r="4046" spans="6:13" ht="24" customHeight="1">
      <c r="F4046" s="51"/>
      <c r="G4046"/>
      <c r="J4046"/>
    </row>
    <row r="4048" spans="6:13" ht="24" customHeight="1">
      <c r="F4048" s="792"/>
      <c r="G4048" s="793"/>
      <c r="H4048" s="120" t="s">
        <v>4276</v>
      </c>
      <c r="I4048" s="792"/>
      <c r="J4048" s="794"/>
      <c r="K4048" s="792"/>
      <c r="L4048" s="51"/>
      <c r="M4048" s="51"/>
    </row>
    <row r="4049" spans="6:13" ht="24" customHeight="1">
      <c r="F4049" s="792"/>
      <c r="G4049" s="793"/>
      <c r="H4049" s="385" t="s">
        <v>4277</v>
      </c>
      <c r="I4049" s="792"/>
      <c r="J4049" s="794"/>
      <c r="K4049" s="792"/>
      <c r="L4049" s="51"/>
      <c r="M4049" s="51"/>
    </row>
    <row r="4050" spans="6:13" ht="24" customHeight="1">
      <c r="F4050" s="792"/>
      <c r="G4050" s="793"/>
      <c r="H4050" s="121" t="s">
        <v>1530</v>
      </c>
      <c r="I4050" s="792"/>
      <c r="J4050" s="794"/>
      <c r="K4050" s="792"/>
      <c r="L4050" s="51"/>
      <c r="M4050" s="51"/>
    </row>
    <row r="4051" spans="6:13" ht="24" customHeight="1">
      <c r="F4051" s="792"/>
      <c r="G4051" s="793"/>
      <c r="H4051" s="109" t="s">
        <v>4278</v>
      </c>
      <c r="I4051" s="595"/>
      <c r="J4051" s="595"/>
      <c r="K4051" s="595"/>
      <c r="L4051" s="51"/>
      <c r="M4051" s="51"/>
    </row>
    <row r="4052" spans="6:13" ht="33.950000000000003" customHeight="1">
      <c r="F4052" s="792"/>
      <c r="G4052" s="793"/>
      <c r="H4052" s="136" t="s">
        <v>4279</v>
      </c>
      <c r="I4052" s="627"/>
      <c r="J4052" s="387">
        <f>3*2*1.9*0.075*0.0375</f>
        <v>3.2099999999999997E-2</v>
      </c>
      <c r="K4052" s="792" t="s">
        <v>2070</v>
      </c>
      <c r="L4052" s="51"/>
      <c r="M4052" s="51"/>
    </row>
    <row r="4053" spans="6:13" ht="33.950000000000003" customHeight="1">
      <c r="F4053" s="792"/>
      <c r="G4053" s="793"/>
      <c r="H4053" s="120" t="s">
        <v>4280</v>
      </c>
      <c r="I4053" s="627"/>
      <c r="J4053" s="387">
        <f>3*2*0.5*0.075*0.0375</f>
        <v>8.3999999999999995E-3</v>
      </c>
      <c r="K4053" s="792" t="s">
        <v>2070</v>
      </c>
      <c r="L4053" s="51"/>
      <c r="M4053" s="51"/>
    </row>
    <row r="4054" spans="6:13" ht="24" customHeight="1">
      <c r="F4054" s="792"/>
      <c r="G4054" s="793"/>
      <c r="H4054" s="120"/>
      <c r="I4054" s="795"/>
      <c r="J4054" s="121" t="s">
        <v>1530</v>
      </c>
      <c r="K4054" s="131"/>
      <c r="L4054" s="51"/>
      <c r="M4054" s="51"/>
    </row>
    <row r="4055" spans="6:13" ht="24" customHeight="1">
      <c r="F4055" s="792"/>
      <c r="G4055" s="793"/>
      <c r="H4055" s="792"/>
      <c r="I4055" s="792"/>
      <c r="J4055" s="796">
        <f>SUM(J4052:J4054)</f>
        <v>4.0500000000000001E-2</v>
      </c>
      <c r="K4055" s="595" t="s">
        <v>2070</v>
      </c>
      <c r="L4055" s="51"/>
      <c r="M4055" s="51"/>
    </row>
    <row r="4056" spans="6:13" ht="24" customHeight="1">
      <c r="F4056" s="792"/>
      <c r="G4056" s="793"/>
      <c r="H4056" s="792"/>
      <c r="I4056" s="792"/>
      <c r="J4056" s="121" t="s">
        <v>1530</v>
      </c>
      <c r="K4056" s="595"/>
      <c r="L4056" s="51"/>
      <c r="M4056" s="51"/>
    </row>
    <row r="4057" spans="6:13" ht="24" customHeight="1">
      <c r="F4057" s="792"/>
      <c r="G4057" s="793"/>
      <c r="H4057" s="120" t="s">
        <v>417</v>
      </c>
      <c r="I4057" s="627"/>
      <c r="J4057" s="627"/>
      <c r="K4057" s="627"/>
      <c r="L4057" s="51"/>
      <c r="M4057" s="51"/>
    </row>
    <row r="4058" spans="6:13" ht="24" customHeight="1">
      <c r="F4058" s="792"/>
      <c r="G4058" s="793"/>
      <c r="H4058" s="120" t="s">
        <v>4281</v>
      </c>
      <c r="I4058" s="389"/>
      <c r="J4058" s="386">
        <f>3*1.9*0.5</f>
        <v>2.85</v>
      </c>
      <c r="K4058" s="7" t="s">
        <v>578</v>
      </c>
      <c r="L4058" s="51"/>
      <c r="M4058" s="51"/>
    </row>
    <row r="4059" spans="6:13" ht="24" customHeight="1">
      <c r="F4059" s="792"/>
      <c r="G4059" s="793"/>
      <c r="H4059" s="120"/>
      <c r="I4059" s="389"/>
      <c r="J4059" s="386"/>
      <c r="K4059" s="131"/>
      <c r="L4059" s="51"/>
      <c r="M4059" s="51"/>
    </row>
    <row r="4060" spans="6:13" ht="33.950000000000003" customHeight="1">
      <c r="F4060" s="792"/>
      <c r="G4060" s="793"/>
      <c r="H4060" s="120" t="s">
        <v>4282</v>
      </c>
      <c r="I4060" s="389"/>
      <c r="J4060" s="386"/>
      <c r="K4060" s="131"/>
      <c r="L4060" s="51"/>
      <c r="M4060" s="51"/>
    </row>
    <row r="4061" spans="6:13" ht="33.950000000000003" customHeight="1">
      <c r="F4061" s="792"/>
      <c r="G4061" s="793"/>
      <c r="H4061" s="120" t="s">
        <v>4283</v>
      </c>
      <c r="I4061" s="389"/>
      <c r="J4061" s="387">
        <f>3*1.775*0.375</f>
        <v>1.9968999999999999</v>
      </c>
      <c r="K4061" s="131" t="str">
        <f>K4058</f>
        <v>SQM</v>
      </c>
      <c r="L4061" s="51"/>
      <c r="M4061" s="51"/>
    </row>
    <row r="4062" spans="6:13" ht="33.950000000000003" customHeight="1">
      <c r="F4062" s="792"/>
      <c r="G4062" s="793"/>
      <c r="H4062" s="120" t="s">
        <v>4284</v>
      </c>
      <c r="I4062" s="792"/>
      <c r="J4062" s="394"/>
      <c r="K4062" s="136"/>
      <c r="L4062" s="51"/>
      <c r="M4062" s="51"/>
    </row>
    <row r="4063" spans="6:13" ht="33.950000000000003" customHeight="1">
      <c r="F4063" s="137"/>
      <c r="G4063" s="793"/>
      <c r="H4063" s="120" t="s">
        <v>4285</v>
      </c>
      <c r="I4063" s="389"/>
      <c r="J4063" s="797">
        <f>1.775+0.375</f>
        <v>2.15</v>
      </c>
      <c r="K4063" s="131"/>
      <c r="L4063" s="122"/>
      <c r="M4063" s="51"/>
    </row>
    <row r="4064" spans="6:13" ht="33.950000000000003" customHeight="1">
      <c r="F4064" s="137"/>
      <c r="G4064" s="793"/>
      <c r="H4064" s="792"/>
      <c r="I4064" s="798"/>
      <c r="J4064" s="141">
        <f>J4063*6</f>
        <v>12.9</v>
      </c>
      <c r="K4064" s="122" t="s">
        <v>794</v>
      </c>
      <c r="L4064" s="122"/>
      <c r="M4064" s="51"/>
    </row>
    <row r="4065" spans="6:13" ht="33.950000000000003" customHeight="1">
      <c r="F4065" s="137"/>
      <c r="G4065" s="793"/>
      <c r="H4065" s="799" t="s">
        <v>4286</v>
      </c>
      <c r="I4065" s="798"/>
      <c r="J4065" s="118"/>
      <c r="K4065" s="122"/>
      <c r="L4065" s="122"/>
      <c r="M4065" s="51"/>
    </row>
    <row r="4066" spans="6:13" ht="33.950000000000003" customHeight="1">
      <c r="F4066" s="133"/>
      <c r="G4066" s="793"/>
      <c r="H4066" s="109" t="s">
        <v>4287</v>
      </c>
      <c r="I4066" s="627"/>
      <c r="J4066" s="122"/>
      <c r="K4066" s="794"/>
      <c r="L4066" s="122"/>
      <c r="M4066" s="51"/>
    </row>
    <row r="4067" spans="6:13" ht="33.950000000000003" customHeight="1">
      <c r="F4067" s="131">
        <f>J4055</f>
        <v>4.0500000000000001E-2</v>
      </c>
      <c r="G4067" s="120" t="s">
        <v>836</v>
      </c>
      <c r="H4067" s="120" t="s">
        <v>4288</v>
      </c>
      <c r="I4067" s="122">
        <f>V3117</f>
        <v>99400</v>
      </c>
      <c r="J4067" s="118" t="s">
        <v>836</v>
      </c>
      <c r="K4067" s="122">
        <f>(F4067*I4067)</f>
        <v>4025.7</v>
      </c>
      <c r="L4067" s="122"/>
      <c r="M4067" s="51"/>
    </row>
    <row r="4068" spans="6:13" ht="33.950000000000003" customHeight="1">
      <c r="F4068" s="131">
        <f>J4058</f>
        <v>2.85</v>
      </c>
      <c r="G4068" s="7" t="s">
        <v>578</v>
      </c>
      <c r="H4068" s="120" t="s">
        <v>417</v>
      </c>
      <c r="I4068" s="122">
        <f>V3119</f>
        <v>1239</v>
      </c>
      <c r="J4068" s="7" t="s">
        <v>578</v>
      </c>
      <c r="K4068" s="122">
        <f>(F4068*I4068)</f>
        <v>3531.15</v>
      </c>
      <c r="L4068" s="122"/>
      <c r="M4068" s="51"/>
    </row>
    <row r="4069" spans="6:13" ht="33.950000000000003" customHeight="1">
      <c r="F4069" s="131">
        <f>J4061</f>
        <v>1.9968999999999999</v>
      </c>
      <c r="G4069" s="7" t="s">
        <v>578</v>
      </c>
      <c r="H4069" s="120" t="s">
        <v>4282</v>
      </c>
      <c r="I4069" s="122">
        <f>V3118</f>
        <v>208.8</v>
      </c>
      <c r="J4069" s="7" t="s">
        <v>578</v>
      </c>
      <c r="K4069" s="122">
        <f t="shared" ref="K4069:K4075" si="375">(F4069*I4069)</f>
        <v>416.95</v>
      </c>
      <c r="L4069" s="122"/>
      <c r="M4069" s="51"/>
    </row>
    <row r="4070" spans="6:13" ht="33.950000000000003" customHeight="1">
      <c r="F4070" s="122">
        <f>J4064</f>
        <v>12.9</v>
      </c>
      <c r="G4070" s="122" t="s">
        <v>794</v>
      </c>
      <c r="H4070" s="109" t="s">
        <v>4289</v>
      </c>
      <c r="I4070" s="122">
        <f t="shared" ref="I4070:I4075" si="376">V3120</f>
        <v>48.7</v>
      </c>
      <c r="J4070" s="122" t="s">
        <v>794</v>
      </c>
      <c r="K4070" s="122">
        <f t="shared" si="375"/>
        <v>628.23</v>
      </c>
      <c r="L4070" s="122"/>
      <c r="M4070" s="51"/>
    </row>
    <row r="4071" spans="6:13" ht="33.950000000000003" customHeight="1">
      <c r="F4071" s="122">
        <v>9</v>
      </c>
      <c r="G4071" s="7" t="s">
        <v>835</v>
      </c>
      <c r="H4071" s="1" t="s">
        <v>1460</v>
      </c>
      <c r="I4071" s="122">
        <f t="shared" si="376"/>
        <v>83</v>
      </c>
      <c r="J4071" s="1" t="s">
        <v>835</v>
      </c>
      <c r="K4071" s="122">
        <f t="shared" si="375"/>
        <v>747</v>
      </c>
      <c r="L4071" s="122"/>
      <c r="M4071" s="51"/>
    </row>
    <row r="4072" spans="6:13" ht="33.950000000000003" customHeight="1">
      <c r="F4072" s="122">
        <v>6</v>
      </c>
      <c r="G4072" s="7" t="s">
        <v>835</v>
      </c>
      <c r="H4072" s="1" t="s">
        <v>3501</v>
      </c>
      <c r="I4072" s="122">
        <f t="shared" si="376"/>
        <v>68.5</v>
      </c>
      <c r="J4072" s="1" t="s">
        <v>835</v>
      </c>
      <c r="K4072" s="122">
        <f t="shared" si="375"/>
        <v>411</v>
      </c>
      <c r="L4072" s="122"/>
      <c r="M4072" s="51"/>
    </row>
    <row r="4073" spans="6:13" ht="33.950000000000003" customHeight="1">
      <c r="F4073" s="122">
        <v>3</v>
      </c>
      <c r="G4073" s="7" t="s">
        <v>835</v>
      </c>
      <c r="H4073" s="1" t="s">
        <v>3502</v>
      </c>
      <c r="I4073" s="122">
        <f t="shared" si="376"/>
        <v>53.4</v>
      </c>
      <c r="J4073" s="1" t="s">
        <v>835</v>
      </c>
      <c r="K4073" s="122">
        <f t="shared" si="375"/>
        <v>160.19999999999999</v>
      </c>
      <c r="L4073" s="122"/>
      <c r="M4073" s="51"/>
    </row>
    <row r="4074" spans="6:13" ht="33.950000000000003" customHeight="1">
      <c r="F4074" s="122">
        <v>3</v>
      </c>
      <c r="G4074" s="7" t="s">
        <v>835</v>
      </c>
      <c r="H4074" s="1" t="s">
        <v>1911</v>
      </c>
      <c r="I4074" s="122">
        <f t="shared" si="376"/>
        <v>7.3</v>
      </c>
      <c r="J4074" s="1" t="s">
        <v>835</v>
      </c>
      <c r="K4074" s="122">
        <f t="shared" si="375"/>
        <v>21.9</v>
      </c>
      <c r="L4074" s="122"/>
      <c r="M4074" s="51"/>
    </row>
    <row r="4075" spans="6:13" ht="33.950000000000003" customHeight="1">
      <c r="F4075" s="122">
        <v>120</v>
      </c>
      <c r="G4075" s="7" t="s">
        <v>835</v>
      </c>
      <c r="H4075" s="1" t="s">
        <v>4290</v>
      </c>
      <c r="I4075" s="122">
        <f t="shared" si="376"/>
        <v>2.39</v>
      </c>
      <c r="J4075" s="1" t="s">
        <v>835</v>
      </c>
      <c r="K4075" s="122">
        <f t="shared" si="375"/>
        <v>286.8</v>
      </c>
      <c r="L4075" s="122"/>
      <c r="M4075" s="51"/>
    </row>
    <row r="4076" spans="6:13" ht="33.950000000000003" customHeight="1">
      <c r="F4076" s="122"/>
      <c r="G4076" s="119"/>
      <c r="H4076" s="120"/>
      <c r="I4076" s="627"/>
      <c r="J4076" s="122"/>
      <c r="K4076" s="121" t="s">
        <v>1530</v>
      </c>
      <c r="L4076" s="122"/>
      <c r="M4076" s="51"/>
    </row>
    <row r="4077" spans="6:13" ht="33.950000000000003" customHeight="1">
      <c r="F4077" s="792"/>
      <c r="G4077" s="793"/>
      <c r="H4077" s="120" t="s">
        <v>4291</v>
      </c>
      <c r="I4077" s="627"/>
      <c r="J4077" s="118"/>
      <c r="K4077" s="795">
        <f>SUM(K4067:K4076)</f>
        <v>10228.93</v>
      </c>
      <c r="L4077" s="395"/>
      <c r="M4077" s="51"/>
    </row>
    <row r="4078" spans="6:13" ht="33.950000000000003" customHeight="1">
      <c r="F4078" s="792"/>
      <c r="G4078" s="793"/>
      <c r="H4078" s="627"/>
      <c r="I4078" s="122"/>
      <c r="J4078" s="794"/>
      <c r="K4078" s="121" t="s">
        <v>1530</v>
      </c>
      <c r="L4078" s="627"/>
      <c r="M4078" s="51"/>
    </row>
    <row r="4079" spans="6:13" ht="33.950000000000003" customHeight="1">
      <c r="F4079" s="792"/>
      <c r="G4079" s="793"/>
      <c r="H4079" s="795" t="s">
        <v>3952</v>
      </c>
      <c r="I4079" s="122"/>
      <c r="J4079" s="794"/>
      <c r="K4079" s="639">
        <f>K4077/F4068</f>
        <v>3589.1</v>
      </c>
      <c r="L4079" s="122">
        <f>SUM(L4063:L4078)</f>
        <v>0</v>
      </c>
      <c r="M4079" s="51"/>
    </row>
    <row r="4080" spans="6:13" ht="33.950000000000003" customHeight="1">
      <c r="F4080" s="792"/>
      <c r="G4080" s="793"/>
      <c r="H4080" s="792"/>
      <c r="I4080" s="122"/>
      <c r="J4080" s="794"/>
      <c r="K4080" s="627"/>
      <c r="L4080" s="627"/>
      <c r="M4080" s="51"/>
    </row>
    <row r="4081" spans="6:13" ht="24" customHeight="1">
      <c r="F4081" s="792"/>
      <c r="G4081" s="793"/>
      <c r="H4081" s="109"/>
      <c r="I4081" s="792"/>
      <c r="J4081" s="1494"/>
      <c r="K4081" s="1494"/>
      <c r="L4081" s="1494"/>
      <c r="M4081" s="1494"/>
    </row>
    <row r="4082" spans="6:13" ht="24" customHeight="1">
      <c r="F4082" s="595"/>
      <c r="G4082" s="595"/>
      <c r="H4082" s="595"/>
      <c r="I4082" s="595"/>
      <c r="J4082" s="595"/>
      <c r="K4082" s="595"/>
      <c r="L4082" s="51"/>
      <c r="M4082" s="51"/>
    </row>
  </sheetData>
  <mergeCells count="21">
    <mergeCell ref="AA553:AB553"/>
    <mergeCell ref="H3639:J3640"/>
    <mergeCell ref="H2425:H2426"/>
    <mergeCell ref="H2423:K2423"/>
    <mergeCell ref="N1534:R1534"/>
    <mergeCell ref="AD2604:AG2604"/>
    <mergeCell ref="S3151:T3151"/>
    <mergeCell ref="O2430:R2430"/>
    <mergeCell ref="O2432:O2433"/>
    <mergeCell ref="P1477:R1477"/>
    <mergeCell ref="O3714:P3714"/>
    <mergeCell ref="S1477:U1477"/>
    <mergeCell ref="J4081:M4081"/>
    <mergeCell ref="F3988:H3988"/>
    <mergeCell ref="H4005:K4005"/>
    <mergeCell ref="I3495:J3495"/>
    <mergeCell ref="U2:X2"/>
    <mergeCell ref="I3049:J3049"/>
    <mergeCell ref="O2346:Q2346"/>
    <mergeCell ref="O2356:Q2356"/>
    <mergeCell ref="S3683:V3683"/>
  </mergeCells>
  <phoneticPr fontId="0" type="noConversion"/>
  <hyperlinks>
    <hyperlink ref="J273" r:id="rId1" display="G:\2273"/>
    <hyperlink ref="C273" r:id="rId2" display="G:\2273"/>
  </hyperlinks>
  <printOptions horizontalCentered="1"/>
  <pageMargins left="0.41" right="0.28999999999999998" top="0.43" bottom="0.35433070866141703" header="0.23622047244094499" footer="0.196850393700787"/>
  <pageSetup paperSize="9" scale="54" orientation="landscape" r:id="rId3"/>
  <headerFooter alignWithMargins="0">
    <oddHeader>&amp;CData Based on 2021-2022&amp;R&amp;P</oddHeader>
  </headerFooter>
  <rowBreaks count="4" manualBreakCount="4">
    <brk id="386" min="18" max="23" man="1"/>
    <brk id="403" min="27" max="32" man="1"/>
    <brk id="438" min="18" max="23" man="1"/>
    <brk id="1981" min="5" max="10" man="1"/>
  </rowBreaks>
  <colBreaks count="1" manualBreakCount="1">
    <brk id="4" max="1048575" man="1"/>
  </colBreaks>
  <drawing r:id="rId4"/>
</worksheet>
</file>

<file path=xl/worksheets/sheet13.xml><?xml version="1.0" encoding="utf-8"?>
<worksheet xmlns="http://schemas.openxmlformats.org/spreadsheetml/2006/main" xmlns:r="http://schemas.openxmlformats.org/officeDocument/2006/relationships">
  <sheetPr>
    <tabColor rgb="FF00B0F0"/>
  </sheetPr>
  <dimension ref="A1:H87"/>
  <sheetViews>
    <sheetView view="pageBreakPreview" topLeftCell="A76" zoomScaleSheetLayoutView="100" workbookViewId="0">
      <selection activeCell="F10" sqref="F10"/>
    </sheetView>
  </sheetViews>
  <sheetFormatPr defaultRowHeight="15.75"/>
  <cols>
    <col min="1" max="1" width="5.5546875" style="1091" customWidth="1"/>
    <col min="2" max="2" width="28.77734375" style="1085" customWidth="1"/>
    <col min="3" max="4" width="5.88671875" style="1091" customWidth="1"/>
    <col min="5" max="5" width="10" style="1091" customWidth="1"/>
    <col min="6" max="8" width="8.88671875" style="109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44" t="str">
        <f>'G. Abstract'!A3:F3</f>
        <v>N/W : Construction of District office building for Tamilnadu Pollution Control Board at Theni in Theni district.</v>
      </c>
      <c r="B2" s="1544"/>
      <c r="C2" s="1544"/>
      <c r="D2" s="1544"/>
      <c r="E2" s="1544"/>
      <c r="F2" s="1544"/>
      <c r="G2" s="1544"/>
      <c r="H2" s="1544"/>
    </row>
    <row r="3" spans="1:8" ht="32.25" customHeight="1">
      <c r="A3" s="1544" t="s">
        <v>6049</v>
      </c>
      <c r="B3" s="1544"/>
      <c r="C3" s="1544"/>
      <c r="D3" s="1544"/>
      <c r="E3" s="1544"/>
      <c r="F3" s="1544"/>
      <c r="G3" s="1544"/>
      <c r="H3" s="1544"/>
    </row>
    <row r="4" spans="1:8" ht="33" customHeight="1">
      <c r="A4" s="1308">
        <v>1.5</v>
      </c>
      <c r="B4" s="1309" t="s">
        <v>5711</v>
      </c>
      <c r="C4" s="1545" t="s">
        <v>1807</v>
      </c>
      <c r="D4" s="1546"/>
      <c r="E4" s="1449" t="s">
        <v>4982</v>
      </c>
      <c r="F4" s="1449" t="s">
        <v>1500</v>
      </c>
      <c r="G4" s="1449" t="s">
        <v>4983</v>
      </c>
      <c r="H4" s="1311" t="s">
        <v>1532</v>
      </c>
    </row>
    <row r="5" spans="1:8">
      <c r="A5" s="1310"/>
      <c r="B5" s="1312" t="s">
        <v>5712</v>
      </c>
      <c r="C5" s="1310"/>
      <c r="D5" s="1310"/>
      <c r="E5" s="1310"/>
      <c r="F5" s="1310"/>
      <c r="G5" s="1310"/>
      <c r="H5" s="1311"/>
    </row>
    <row r="6" spans="1:8">
      <c r="A6" s="1310"/>
      <c r="B6" s="1312" t="s">
        <v>5713</v>
      </c>
      <c r="C6" s="1310">
        <v>1</v>
      </c>
      <c r="D6" s="1310">
        <v>1</v>
      </c>
      <c r="E6" s="1313">
        <v>5.7</v>
      </c>
      <c r="F6" s="1313">
        <v>3.2</v>
      </c>
      <c r="G6" s="1313">
        <v>2</v>
      </c>
      <c r="H6" s="1311">
        <f>PRODUCT(C6:G6)</f>
        <v>36.479999999999997</v>
      </c>
    </row>
    <row r="7" spans="1:8">
      <c r="A7" s="1310"/>
      <c r="B7" s="1312" t="s">
        <v>5714</v>
      </c>
      <c r="C7" s="1310">
        <v>1</v>
      </c>
      <c r="D7" s="1310">
        <v>1</v>
      </c>
      <c r="E7" s="1313">
        <v>12</v>
      </c>
      <c r="F7" s="1313">
        <v>1</v>
      </c>
      <c r="G7" s="1313">
        <v>2</v>
      </c>
      <c r="H7" s="1311">
        <f>PRODUCT(C7:G7)</f>
        <v>24</v>
      </c>
    </row>
    <row r="8" spans="1:8">
      <c r="A8" s="1310"/>
      <c r="B8" s="1312" t="s">
        <v>5715</v>
      </c>
      <c r="C8" s="1310">
        <v>1</v>
      </c>
      <c r="D8" s="1310">
        <v>2</v>
      </c>
      <c r="E8" s="1313">
        <v>1.2</v>
      </c>
      <c r="F8" s="1313">
        <v>1.2</v>
      </c>
      <c r="G8" s="1313">
        <v>2</v>
      </c>
      <c r="H8" s="1311">
        <f>PRODUCT(C8:G8)</f>
        <v>5.76</v>
      </c>
    </row>
    <row r="9" spans="1:8">
      <c r="A9" s="1310"/>
      <c r="B9" s="1312"/>
      <c r="C9" s="1310"/>
      <c r="D9" s="1310"/>
      <c r="E9" s="1313"/>
      <c r="F9" s="1313"/>
      <c r="G9" s="1313"/>
      <c r="H9" s="1314">
        <f>SUM(H6:H8)</f>
        <v>66.239999999999995</v>
      </c>
    </row>
    <row r="10" spans="1:8">
      <c r="A10" s="1310"/>
      <c r="B10" s="1312"/>
      <c r="C10" s="1310"/>
      <c r="D10" s="1310"/>
      <c r="E10" s="1313"/>
      <c r="F10" s="1315" t="s">
        <v>4121</v>
      </c>
      <c r="G10" s="1316">
        <f>ROUNDUP(H9,1)</f>
        <v>66.3</v>
      </c>
      <c r="H10" s="1314" t="s">
        <v>5716</v>
      </c>
    </row>
    <row r="11" spans="1:8">
      <c r="A11" s="1308">
        <v>3.3</v>
      </c>
      <c r="B11" s="1309" t="s">
        <v>5717</v>
      </c>
      <c r="C11" s="1310"/>
      <c r="D11" s="1310"/>
      <c r="E11" s="1313"/>
      <c r="F11" s="1313"/>
      <c r="G11" s="1313"/>
      <c r="H11" s="1314"/>
    </row>
    <row r="12" spans="1:8">
      <c r="A12" s="1310"/>
      <c r="B12" s="1312" t="s">
        <v>5715</v>
      </c>
      <c r="C12" s="1310">
        <v>1</v>
      </c>
      <c r="D12" s="1310">
        <v>2</v>
      </c>
      <c r="E12" s="1313">
        <v>0.6</v>
      </c>
      <c r="F12" s="1313">
        <v>0.6</v>
      </c>
      <c r="G12" s="1313">
        <v>0.1</v>
      </c>
      <c r="H12" s="1314">
        <f>PRODUCT(C12:G12)</f>
        <v>7.0000000000000007E-2</v>
      </c>
    </row>
    <row r="13" spans="1:8">
      <c r="A13" s="1310"/>
      <c r="B13" s="1312"/>
      <c r="C13" s="1310"/>
      <c r="D13" s="1310"/>
      <c r="E13" s="1313"/>
      <c r="F13" s="1315" t="s">
        <v>4121</v>
      </c>
      <c r="G13" s="1316">
        <f>ROUNDUP(H12,1)</f>
        <v>0.1</v>
      </c>
      <c r="H13" s="1314" t="s">
        <v>5716</v>
      </c>
    </row>
    <row r="14" spans="1:8">
      <c r="A14" s="1308">
        <v>3.1</v>
      </c>
      <c r="B14" s="1317" t="s">
        <v>5718</v>
      </c>
      <c r="C14" s="1310"/>
      <c r="D14" s="1310"/>
      <c r="E14" s="1313"/>
      <c r="F14" s="1313"/>
      <c r="G14" s="1313"/>
      <c r="H14" s="1311"/>
    </row>
    <row r="15" spans="1:8">
      <c r="A15" s="1310"/>
      <c r="B15" s="1312" t="s">
        <v>5719</v>
      </c>
      <c r="C15" s="1310">
        <v>1</v>
      </c>
      <c r="D15" s="1310">
        <v>2</v>
      </c>
      <c r="E15" s="1313">
        <v>1.2</v>
      </c>
      <c r="F15" s="1313">
        <v>0.9</v>
      </c>
      <c r="G15" s="1313">
        <v>0.15</v>
      </c>
      <c r="H15" s="1314">
        <f>PRODUCT(C15:G15)</f>
        <v>0.32</v>
      </c>
    </row>
    <row r="16" spans="1:8">
      <c r="A16" s="1310"/>
      <c r="B16" s="1312"/>
      <c r="C16" s="1310"/>
      <c r="D16" s="1310"/>
      <c r="E16" s="1313"/>
      <c r="F16" s="1315" t="s">
        <v>4121</v>
      </c>
      <c r="G16" s="1316">
        <f>ROUNDUP(H15,1)</f>
        <v>0.4</v>
      </c>
      <c r="H16" s="1314" t="s">
        <v>5716</v>
      </c>
    </row>
    <row r="17" spans="1:8">
      <c r="A17" s="1308">
        <v>3.2</v>
      </c>
      <c r="B17" s="1309" t="s">
        <v>5720</v>
      </c>
      <c r="C17" s="1310"/>
      <c r="D17" s="1310"/>
      <c r="E17" s="1313"/>
      <c r="F17" s="1313"/>
      <c r="G17" s="1313"/>
      <c r="H17" s="1311"/>
    </row>
    <row r="18" spans="1:8">
      <c r="A18" s="1310"/>
      <c r="B18" s="1312" t="s">
        <v>5721</v>
      </c>
      <c r="C18" s="1310">
        <v>1</v>
      </c>
      <c r="D18" s="1310">
        <v>1</v>
      </c>
      <c r="E18" s="1313">
        <v>5.7</v>
      </c>
      <c r="F18" s="1313">
        <v>3.2</v>
      </c>
      <c r="G18" s="1313">
        <v>0.23</v>
      </c>
      <c r="H18" s="1314">
        <f>PRODUCT(C18:G18)</f>
        <v>4.2</v>
      </c>
    </row>
    <row r="19" spans="1:8">
      <c r="A19" s="1310"/>
      <c r="B19" s="1312"/>
      <c r="C19" s="1310"/>
      <c r="D19" s="1310"/>
      <c r="E19" s="1313"/>
      <c r="F19" s="1315" t="s">
        <v>4121</v>
      </c>
      <c r="G19" s="1316">
        <f>ROUNDUP(H18,1)</f>
        <v>4.2</v>
      </c>
      <c r="H19" s="1314" t="s">
        <v>5716</v>
      </c>
    </row>
    <row r="20" spans="1:8">
      <c r="A20" s="1308">
        <v>6.5</v>
      </c>
      <c r="B20" s="1317" t="s">
        <v>5722</v>
      </c>
      <c r="C20" s="1310"/>
      <c r="D20" s="1310"/>
      <c r="E20" s="1313"/>
      <c r="F20" s="1313"/>
      <c r="G20" s="1313"/>
      <c r="H20" s="1311"/>
    </row>
    <row r="21" spans="1:8">
      <c r="A21" s="1310"/>
      <c r="B21" s="1312" t="s">
        <v>5723</v>
      </c>
      <c r="C21" s="1310">
        <v>1</v>
      </c>
      <c r="D21" s="1310">
        <v>1</v>
      </c>
      <c r="E21" s="1313">
        <v>14.8</v>
      </c>
      <c r="F21" s="1313">
        <v>0.45</v>
      </c>
      <c r="G21" s="1313">
        <v>0.6</v>
      </c>
      <c r="H21" s="1311">
        <f t="shared" ref="H21:H26" si="0">PRODUCT(C21:G21)</f>
        <v>4</v>
      </c>
    </row>
    <row r="22" spans="1:8">
      <c r="A22" s="1310"/>
      <c r="B22" s="1312" t="s">
        <v>5724</v>
      </c>
      <c r="C22" s="1310">
        <v>1</v>
      </c>
      <c r="D22" s="1310">
        <v>1</v>
      </c>
      <c r="E22" s="1313">
        <v>14.36</v>
      </c>
      <c r="F22" s="1313">
        <v>0.34</v>
      </c>
      <c r="G22" s="1313">
        <v>0.7</v>
      </c>
      <c r="H22" s="1311">
        <f t="shared" si="0"/>
        <v>3.42</v>
      </c>
    </row>
    <row r="23" spans="1:8">
      <c r="A23" s="1310"/>
      <c r="B23" s="1312" t="s">
        <v>5725</v>
      </c>
      <c r="C23" s="1310">
        <v>1</v>
      </c>
      <c r="D23" s="1310">
        <v>1</v>
      </c>
      <c r="E23" s="1313">
        <v>13.92</v>
      </c>
      <c r="F23" s="1313">
        <v>0.23</v>
      </c>
      <c r="G23" s="1313">
        <v>0.6</v>
      </c>
      <c r="H23" s="1311">
        <f t="shared" si="0"/>
        <v>1.92</v>
      </c>
    </row>
    <row r="24" spans="1:8">
      <c r="A24" s="1310"/>
      <c r="B24" s="1312" t="s">
        <v>5726</v>
      </c>
      <c r="C24" s="1310">
        <v>1</v>
      </c>
      <c r="D24" s="1310">
        <v>2</v>
      </c>
      <c r="E24" s="1313">
        <v>2.2599999999999998</v>
      </c>
      <c r="F24" s="1313">
        <v>0.23</v>
      </c>
      <c r="G24" s="1313">
        <v>0.75</v>
      </c>
      <c r="H24" s="1311">
        <f t="shared" si="0"/>
        <v>0.78</v>
      </c>
    </row>
    <row r="25" spans="1:8">
      <c r="A25" s="1310"/>
      <c r="B25" s="1312" t="s">
        <v>5727</v>
      </c>
      <c r="C25" s="1310">
        <v>1</v>
      </c>
      <c r="D25" s="1310">
        <v>1</v>
      </c>
      <c r="E25" s="1313">
        <v>2</v>
      </c>
      <c r="F25" s="1313">
        <v>0.23</v>
      </c>
      <c r="G25" s="1313">
        <v>1.5</v>
      </c>
      <c r="H25" s="1311">
        <f t="shared" si="0"/>
        <v>0.69</v>
      </c>
    </row>
    <row r="26" spans="1:8">
      <c r="A26" s="1310"/>
      <c r="B26" s="1312" t="s">
        <v>5727</v>
      </c>
      <c r="C26" s="1310">
        <v>1</v>
      </c>
      <c r="D26" s="1310">
        <v>1</v>
      </c>
      <c r="E26" s="1313">
        <v>2</v>
      </c>
      <c r="F26" s="1313">
        <v>0.23</v>
      </c>
      <c r="G26" s="1313">
        <v>0.9</v>
      </c>
      <c r="H26" s="1311">
        <f t="shared" si="0"/>
        <v>0.41</v>
      </c>
    </row>
    <row r="27" spans="1:8">
      <c r="A27" s="1310"/>
      <c r="B27" s="1312"/>
      <c r="C27" s="1310"/>
      <c r="D27" s="1310"/>
      <c r="E27" s="1313"/>
      <c r="F27" s="1313"/>
      <c r="G27" s="1313"/>
      <c r="H27" s="1314">
        <f>SUM(H21:H26)</f>
        <v>11.22</v>
      </c>
    </row>
    <row r="28" spans="1:8">
      <c r="A28" s="1310"/>
      <c r="B28" s="1312"/>
      <c r="C28" s="1310"/>
      <c r="D28" s="1310"/>
      <c r="E28" s="1313"/>
      <c r="F28" s="1315" t="s">
        <v>4121</v>
      </c>
      <c r="G28" s="1316">
        <f>ROUNDUP(H27,1)</f>
        <v>11.3</v>
      </c>
      <c r="H28" s="1314" t="s">
        <v>5716</v>
      </c>
    </row>
    <row r="29" spans="1:8">
      <c r="A29" s="1308" t="s">
        <v>5728</v>
      </c>
      <c r="B29" s="1317" t="s">
        <v>5729</v>
      </c>
      <c r="C29" s="1310"/>
      <c r="D29" s="1310"/>
      <c r="E29" s="1313"/>
      <c r="F29" s="1313"/>
      <c r="G29" s="1313"/>
      <c r="H29" s="1314"/>
    </row>
    <row r="30" spans="1:8">
      <c r="A30" s="1310"/>
      <c r="B30" s="1312" t="s">
        <v>5715</v>
      </c>
      <c r="C30" s="1310">
        <v>1</v>
      </c>
      <c r="D30" s="1310">
        <v>2</v>
      </c>
      <c r="E30" s="1313">
        <v>0.75</v>
      </c>
      <c r="F30" s="1313">
        <v>0.75</v>
      </c>
      <c r="G30" s="1313"/>
      <c r="H30" s="1311">
        <f>PRODUCT(C30:G30)</f>
        <v>1.1299999999999999</v>
      </c>
    </row>
    <row r="31" spans="1:8">
      <c r="A31" s="1310"/>
      <c r="B31" s="1312" t="s">
        <v>5730</v>
      </c>
      <c r="C31" s="1310">
        <v>1</v>
      </c>
      <c r="D31" s="1310">
        <v>2</v>
      </c>
      <c r="E31" s="1313">
        <v>0.75</v>
      </c>
      <c r="F31" s="1313">
        <v>0.75</v>
      </c>
      <c r="G31" s="1313"/>
      <c r="H31" s="1311">
        <f>PRODUCT(C31:G31)</f>
        <v>1.1299999999999999</v>
      </c>
    </row>
    <row r="32" spans="1:8">
      <c r="A32" s="1310"/>
      <c r="B32" s="1312"/>
      <c r="C32" s="1310"/>
      <c r="D32" s="1310"/>
      <c r="E32" s="1313"/>
      <c r="F32" s="1313"/>
      <c r="G32" s="1313"/>
      <c r="H32" s="1314">
        <f>SUM(H30:H31)</f>
        <v>2.2599999999999998</v>
      </c>
    </row>
    <row r="33" spans="1:8">
      <c r="A33" s="1310"/>
      <c r="B33" s="1312"/>
      <c r="C33" s="1310"/>
      <c r="D33" s="1310"/>
      <c r="E33" s="1313"/>
      <c r="F33" s="1315" t="s">
        <v>4121</v>
      </c>
      <c r="G33" s="1316">
        <f>ROUNDUP(H32,1)</f>
        <v>2.2999999999999998</v>
      </c>
      <c r="H33" s="1314" t="s">
        <v>5716</v>
      </c>
    </row>
    <row r="34" spans="1:8">
      <c r="A34" s="1308">
        <v>4.0999999999999996</v>
      </c>
      <c r="B34" s="1309" t="s">
        <v>5731</v>
      </c>
      <c r="C34" s="1310"/>
      <c r="D34" s="1310"/>
      <c r="E34" s="1313"/>
      <c r="F34" s="1313"/>
      <c r="G34" s="1313"/>
      <c r="H34" s="1311"/>
    </row>
    <row r="35" spans="1:8">
      <c r="A35" s="1310"/>
      <c r="B35" s="1312" t="s">
        <v>5732</v>
      </c>
      <c r="C35" s="1310">
        <v>1</v>
      </c>
      <c r="D35" s="1310">
        <v>1</v>
      </c>
      <c r="E35" s="1313">
        <v>4.96</v>
      </c>
      <c r="F35" s="1313">
        <v>2.46</v>
      </c>
      <c r="G35" s="1313">
        <v>0.15</v>
      </c>
      <c r="H35" s="1311">
        <f>PRODUCT(C35:G35)</f>
        <v>1.83</v>
      </c>
    </row>
    <row r="36" spans="1:8">
      <c r="A36" s="1310"/>
      <c r="B36" s="1312" t="s">
        <v>5733</v>
      </c>
      <c r="C36" s="1310">
        <v>-1</v>
      </c>
      <c r="D36" s="1310">
        <v>2</v>
      </c>
      <c r="E36" s="1313">
        <v>0.6</v>
      </c>
      <c r="F36" s="1313">
        <v>0.6</v>
      </c>
      <c r="G36" s="1313">
        <v>0.15</v>
      </c>
      <c r="H36" s="1311">
        <f>PRODUCT(C36:G36)</f>
        <v>-0.11</v>
      </c>
    </row>
    <row r="37" spans="1:8">
      <c r="A37" s="1310"/>
      <c r="B37" s="1312" t="s">
        <v>5734</v>
      </c>
      <c r="C37" s="1310">
        <v>1</v>
      </c>
      <c r="D37" s="1310">
        <v>1</v>
      </c>
      <c r="E37" s="1313">
        <v>2.46</v>
      </c>
      <c r="F37" s="1313">
        <v>0.23</v>
      </c>
      <c r="G37" s="1313">
        <v>0.3</v>
      </c>
      <c r="H37" s="1311">
        <f>PRODUCT(C37:G37)</f>
        <v>0.17</v>
      </c>
    </row>
    <row r="38" spans="1:8">
      <c r="A38" s="1310"/>
      <c r="B38" s="1312"/>
      <c r="C38" s="1310"/>
      <c r="D38" s="1310"/>
      <c r="E38" s="1313"/>
      <c r="F38" s="1313"/>
      <c r="G38" s="1313"/>
      <c r="H38" s="1314">
        <f>SUM(H35:H37)</f>
        <v>1.89</v>
      </c>
    </row>
    <row r="39" spans="1:8">
      <c r="A39" s="1310"/>
      <c r="B39" s="1312"/>
      <c r="C39" s="1310"/>
      <c r="D39" s="1310"/>
      <c r="E39" s="1313"/>
      <c r="F39" s="1315" t="s">
        <v>4121</v>
      </c>
      <c r="G39" s="1316">
        <f>ROUNDUP(H38,1)</f>
        <v>1.9</v>
      </c>
      <c r="H39" s="1314" t="s">
        <v>5716</v>
      </c>
    </row>
    <row r="40" spans="1:8" ht="29.25">
      <c r="A40" s="1308">
        <v>18.100000000000001</v>
      </c>
      <c r="B40" s="1309" t="s">
        <v>5735</v>
      </c>
      <c r="C40" s="1310"/>
      <c r="D40" s="1310"/>
      <c r="E40" s="1313"/>
      <c r="F40" s="1313"/>
      <c r="G40" s="1313"/>
      <c r="H40" s="1314"/>
    </row>
    <row r="41" spans="1:8">
      <c r="A41" s="1310"/>
      <c r="B41" s="1317" t="s">
        <v>5736</v>
      </c>
      <c r="C41" s="1310"/>
      <c r="D41" s="1310"/>
      <c r="E41" s="1313"/>
      <c r="F41" s="1313"/>
      <c r="G41" s="1313"/>
      <c r="H41" s="1311"/>
    </row>
    <row r="42" spans="1:8">
      <c r="A42" s="1310"/>
      <c r="B42" s="1312" t="s">
        <v>5737</v>
      </c>
      <c r="C42" s="1310">
        <v>1</v>
      </c>
      <c r="D42" s="1310">
        <v>1</v>
      </c>
      <c r="E42" s="1313">
        <v>14.84</v>
      </c>
      <c r="F42" s="1313"/>
      <c r="G42" s="1313">
        <v>0.15</v>
      </c>
      <c r="H42" s="1311">
        <f>PRODUCT(C42:G42)</f>
        <v>2.23</v>
      </c>
    </row>
    <row r="43" spans="1:8">
      <c r="A43" s="1310"/>
      <c r="B43" s="1312" t="s">
        <v>5727</v>
      </c>
      <c r="C43" s="1310">
        <v>1</v>
      </c>
      <c r="D43" s="1310">
        <v>1</v>
      </c>
      <c r="E43" s="1313">
        <v>2.46</v>
      </c>
      <c r="F43" s="1313"/>
      <c r="G43" s="1313">
        <v>0.83</v>
      </c>
      <c r="H43" s="1311">
        <f>PRODUCT(C43:G43)</f>
        <v>2.04</v>
      </c>
    </row>
    <row r="44" spans="1:8">
      <c r="A44" s="1310"/>
      <c r="B44" s="1312" t="s">
        <v>5738</v>
      </c>
      <c r="C44" s="1310">
        <v>1</v>
      </c>
      <c r="D44" s="1310">
        <v>2</v>
      </c>
      <c r="E44" s="1313">
        <v>2.4</v>
      </c>
      <c r="F44" s="1313"/>
      <c r="G44" s="1313">
        <v>0.15</v>
      </c>
      <c r="H44" s="1311">
        <f>PRODUCT(C44:G44)</f>
        <v>0.72</v>
      </c>
    </row>
    <row r="45" spans="1:8">
      <c r="A45" s="1310"/>
      <c r="B45" s="1312"/>
      <c r="C45" s="1310"/>
      <c r="D45" s="1310"/>
      <c r="E45" s="1313"/>
      <c r="F45" s="1313"/>
      <c r="G45" s="1313"/>
      <c r="H45" s="1314">
        <f>SUM(H42:H44)</f>
        <v>4.99</v>
      </c>
    </row>
    <row r="46" spans="1:8">
      <c r="A46" s="1310"/>
      <c r="B46" s="1317" t="s">
        <v>5739</v>
      </c>
      <c r="C46" s="1310"/>
      <c r="D46" s="1310"/>
      <c r="E46" s="1313"/>
      <c r="F46" s="1315" t="s">
        <v>4121</v>
      </c>
      <c r="G46" s="1316">
        <f>ROUNDUP(H45,1)</f>
        <v>5</v>
      </c>
      <c r="H46" s="1314" t="s">
        <v>5716</v>
      </c>
    </row>
    <row r="47" spans="1:8">
      <c r="A47" s="1310"/>
      <c r="B47" s="1312" t="s">
        <v>5740</v>
      </c>
      <c r="C47" s="1310">
        <v>1</v>
      </c>
      <c r="D47" s="1310">
        <v>1</v>
      </c>
      <c r="E47" s="1313">
        <v>4.5</v>
      </c>
      <c r="F47" s="1313">
        <v>2</v>
      </c>
      <c r="G47" s="1313"/>
      <c r="H47" s="1311">
        <f>PRODUCT(C47:G47)</f>
        <v>9</v>
      </c>
    </row>
    <row r="48" spans="1:8">
      <c r="A48" s="1310"/>
      <c r="B48" s="1312" t="s">
        <v>5741</v>
      </c>
      <c r="C48" s="1310">
        <v>-1</v>
      </c>
      <c r="D48" s="1310">
        <v>2</v>
      </c>
      <c r="E48" s="1313">
        <v>0.6</v>
      </c>
      <c r="F48" s="1313">
        <v>0.6</v>
      </c>
      <c r="G48" s="1313"/>
      <c r="H48" s="1311">
        <f>PRODUCT(C48:G48)</f>
        <v>-0.72</v>
      </c>
    </row>
    <row r="49" spans="1:8">
      <c r="A49" s="1310"/>
      <c r="B49" s="1312"/>
      <c r="C49" s="1310"/>
      <c r="D49" s="1310"/>
      <c r="E49" s="1313"/>
      <c r="F49" s="1313"/>
      <c r="G49" s="1313"/>
      <c r="H49" s="1314">
        <f>SUM(H47:H48)</f>
        <v>8.2799999999999994</v>
      </c>
    </row>
    <row r="50" spans="1:8">
      <c r="A50" s="1318">
        <v>34</v>
      </c>
      <c r="B50" s="1309" t="s">
        <v>5742</v>
      </c>
      <c r="C50" s="1310"/>
      <c r="D50" s="1310"/>
      <c r="E50" s="1313"/>
      <c r="F50" s="1315" t="s">
        <v>4121</v>
      </c>
      <c r="G50" s="1316">
        <f>ROUNDUP(H49,1)</f>
        <v>8.3000000000000007</v>
      </c>
      <c r="H50" s="1314" t="s">
        <v>5716</v>
      </c>
    </row>
    <row r="51" spans="1:8">
      <c r="A51" s="1310"/>
      <c r="B51" s="1312" t="s">
        <v>5743</v>
      </c>
      <c r="C51" s="1310">
        <v>1</v>
      </c>
      <c r="D51" s="1310">
        <v>1</v>
      </c>
      <c r="E51" s="1313">
        <v>13</v>
      </c>
      <c r="F51" s="1313"/>
      <c r="G51" s="1313">
        <v>1.9</v>
      </c>
      <c r="H51" s="1311">
        <f>PRODUCT(C51:G51)</f>
        <v>24.7</v>
      </c>
    </row>
    <row r="52" spans="1:8">
      <c r="A52" s="1310"/>
      <c r="B52" s="1312" t="s">
        <v>5744</v>
      </c>
      <c r="C52" s="1310">
        <v>1</v>
      </c>
      <c r="D52" s="1310">
        <v>1</v>
      </c>
      <c r="E52" s="1313">
        <v>2</v>
      </c>
      <c r="F52" s="1313">
        <v>3.23</v>
      </c>
      <c r="G52" s="1313"/>
      <c r="H52" s="1311">
        <f>PRODUCT(C52:G52)</f>
        <v>6.46</v>
      </c>
    </row>
    <row r="53" spans="1:8">
      <c r="A53" s="1310"/>
      <c r="B53" s="1312" t="s">
        <v>5745</v>
      </c>
      <c r="C53" s="1310">
        <v>1</v>
      </c>
      <c r="D53" s="1310">
        <v>1</v>
      </c>
      <c r="E53" s="1313">
        <v>2</v>
      </c>
      <c r="F53" s="1313">
        <v>2.86</v>
      </c>
      <c r="G53" s="1313"/>
      <c r="H53" s="1311">
        <f>PRODUCT(C53:G53)</f>
        <v>5.72</v>
      </c>
    </row>
    <row r="54" spans="1:8">
      <c r="A54" s="1310"/>
      <c r="B54" s="1312" t="s">
        <v>5746</v>
      </c>
      <c r="C54" s="1310">
        <v>1</v>
      </c>
      <c r="D54" s="1310">
        <v>2</v>
      </c>
      <c r="E54" s="1313">
        <v>2.4</v>
      </c>
      <c r="F54" s="1313">
        <v>0.75</v>
      </c>
      <c r="G54" s="1313"/>
      <c r="H54" s="1311">
        <f>PRODUCT(C54:G54)</f>
        <v>3.6</v>
      </c>
    </row>
    <row r="55" spans="1:8">
      <c r="A55" s="1310"/>
      <c r="B55" s="1312"/>
      <c r="C55" s="1310"/>
      <c r="D55" s="1310"/>
      <c r="E55" s="1313"/>
      <c r="F55" s="1313"/>
      <c r="G55" s="1313"/>
      <c r="H55" s="1314">
        <f>SUM(H51:H54)</f>
        <v>40.479999999999997</v>
      </c>
    </row>
    <row r="56" spans="1:8">
      <c r="A56" s="1310"/>
      <c r="B56" s="1312"/>
      <c r="C56" s="1310"/>
      <c r="D56" s="1310"/>
      <c r="E56" s="1313"/>
      <c r="F56" s="1315" t="s">
        <v>4121</v>
      </c>
      <c r="G56" s="1316">
        <f>ROUNDUP(H55,1)</f>
        <v>40.5</v>
      </c>
      <c r="H56" s="1314" t="s">
        <v>5716</v>
      </c>
    </row>
    <row r="57" spans="1:8">
      <c r="A57" s="1318">
        <v>33</v>
      </c>
      <c r="B57" s="1309" t="s">
        <v>5747</v>
      </c>
      <c r="C57" s="1310"/>
      <c r="D57" s="1310"/>
      <c r="E57" s="1313"/>
      <c r="F57" s="1313"/>
      <c r="G57" s="1313"/>
      <c r="H57" s="1314"/>
    </row>
    <row r="58" spans="1:8">
      <c r="A58" s="1310"/>
      <c r="B58" s="1312" t="s">
        <v>5748</v>
      </c>
      <c r="C58" s="1310">
        <v>1</v>
      </c>
      <c r="D58" s="1310">
        <v>1</v>
      </c>
      <c r="E58" s="1313">
        <v>16.600000000000001</v>
      </c>
      <c r="F58" s="1313"/>
      <c r="G58" s="1313">
        <v>0.72</v>
      </c>
      <c r="H58" s="1311">
        <f>PRODUCT(C58:G58)</f>
        <v>11.95</v>
      </c>
    </row>
    <row r="59" spans="1:8">
      <c r="A59" s="1310"/>
      <c r="B59" s="1312" t="s">
        <v>5749</v>
      </c>
      <c r="C59" s="1310">
        <v>1</v>
      </c>
      <c r="D59" s="1310">
        <v>1</v>
      </c>
      <c r="E59" s="1313">
        <v>15.72</v>
      </c>
      <c r="F59" s="1313"/>
      <c r="G59" s="1313">
        <v>0.81</v>
      </c>
      <c r="H59" s="1311">
        <f>PRODUCT(C59:G59)</f>
        <v>12.73</v>
      </c>
    </row>
    <row r="60" spans="1:8">
      <c r="A60" s="1310"/>
      <c r="B60" s="1312" t="s">
        <v>5750</v>
      </c>
      <c r="C60" s="1310">
        <v>1</v>
      </c>
      <c r="D60" s="1310">
        <v>1</v>
      </c>
      <c r="E60" s="1313">
        <v>14.84</v>
      </c>
      <c r="F60" s="1313"/>
      <c r="G60" s="1313">
        <v>0.82</v>
      </c>
      <c r="H60" s="1311">
        <f>PRODUCT(C60:G60)</f>
        <v>12.17</v>
      </c>
    </row>
    <row r="61" spans="1:8">
      <c r="A61" s="1310"/>
      <c r="B61" s="1312" t="s">
        <v>5746</v>
      </c>
      <c r="C61" s="1310">
        <v>1</v>
      </c>
      <c r="D61" s="1310">
        <v>2</v>
      </c>
      <c r="E61" s="1313">
        <v>2.72</v>
      </c>
      <c r="F61" s="1313"/>
      <c r="G61" s="1313">
        <v>0.75</v>
      </c>
      <c r="H61" s="1311">
        <f>PRODUCT(C61:G61)</f>
        <v>4.08</v>
      </c>
    </row>
    <row r="62" spans="1:8">
      <c r="A62" s="1310"/>
      <c r="B62" s="1312" t="s">
        <v>5751</v>
      </c>
      <c r="C62" s="1310">
        <v>1</v>
      </c>
      <c r="D62" s="1310">
        <v>2</v>
      </c>
      <c r="E62" s="1313">
        <v>2.2599999999999998</v>
      </c>
      <c r="F62" s="1313">
        <v>0.23</v>
      </c>
      <c r="G62" s="1313"/>
      <c r="H62" s="1311">
        <f>PRODUCT(C62:G62)</f>
        <v>1.04</v>
      </c>
    </row>
    <row r="63" spans="1:8">
      <c r="A63" s="1310"/>
      <c r="B63" s="1312"/>
      <c r="C63" s="1310"/>
      <c r="D63" s="1310"/>
      <c r="E63" s="1313"/>
      <c r="F63" s="1313"/>
      <c r="G63" s="1313"/>
      <c r="H63" s="1314">
        <f>SUM(H58:H62)</f>
        <v>41.97</v>
      </c>
    </row>
    <row r="64" spans="1:8">
      <c r="A64" s="1318">
        <v>43</v>
      </c>
      <c r="B64" s="1317" t="s">
        <v>5752</v>
      </c>
      <c r="C64" s="1310"/>
      <c r="D64" s="1310"/>
      <c r="E64" s="1313"/>
      <c r="F64" s="1315" t="s">
        <v>4121</v>
      </c>
      <c r="G64" s="1316">
        <f>ROUNDUP(H63,1)</f>
        <v>42</v>
      </c>
      <c r="H64" s="1314" t="s">
        <v>5716</v>
      </c>
    </row>
    <row r="65" spans="1:8">
      <c r="A65" s="1318"/>
      <c r="B65" s="1317" t="s">
        <v>5753</v>
      </c>
      <c r="C65" s="1310"/>
      <c r="D65" s="1310"/>
      <c r="E65" s="1313"/>
      <c r="F65" s="1313"/>
      <c r="G65" s="1313"/>
      <c r="H65" s="1314"/>
    </row>
    <row r="66" spans="1:8">
      <c r="A66" s="1310"/>
      <c r="B66" s="1312" t="s">
        <v>5754</v>
      </c>
      <c r="C66" s="1310"/>
      <c r="D66" s="1310"/>
      <c r="E66" s="1313">
        <v>2.2999999999999998</v>
      </c>
      <c r="F66" s="1313">
        <v>0.04</v>
      </c>
      <c r="G66" s="1313">
        <v>100</v>
      </c>
      <c r="H66" s="1311">
        <f>PRODUCT(C66:G66)</f>
        <v>9.1999999999999993</v>
      </c>
    </row>
    <row r="67" spans="1:8">
      <c r="A67" s="1310"/>
      <c r="B67" s="1312" t="s">
        <v>5755</v>
      </c>
      <c r="C67" s="1310">
        <v>1.9</v>
      </c>
      <c r="D67" s="1310">
        <v>100</v>
      </c>
      <c r="E67" s="1313"/>
      <c r="F67" s="1313"/>
      <c r="G67" s="1313"/>
      <c r="H67" s="1311">
        <f>PRODUCT(C67:G67)</f>
        <v>190</v>
      </c>
    </row>
    <row r="68" spans="1:8">
      <c r="A68" s="1310"/>
      <c r="B68" s="1312" t="s">
        <v>2161</v>
      </c>
      <c r="C68" s="1310"/>
      <c r="D68" s="1310"/>
      <c r="E68" s="1313"/>
      <c r="F68" s="1313"/>
      <c r="G68" s="1313"/>
      <c r="H68" s="1314">
        <f>SUM(H66:H67)</f>
        <v>199.2</v>
      </c>
    </row>
    <row r="69" spans="1:8">
      <c r="A69" s="1310"/>
      <c r="B69" s="1312"/>
      <c r="C69" s="1310"/>
      <c r="D69" s="1310"/>
      <c r="E69" s="1313"/>
      <c r="F69" s="1313"/>
      <c r="G69" s="1319">
        <f>H68/1000</f>
        <v>0.19900000000000001</v>
      </c>
      <c r="H69" s="1314" t="s">
        <v>5430</v>
      </c>
    </row>
    <row r="70" spans="1:8">
      <c r="A70" s="1310"/>
      <c r="B70" s="1312"/>
      <c r="C70" s="1310"/>
      <c r="D70" s="1310"/>
      <c r="E70" s="1313"/>
      <c r="F70" s="1313"/>
      <c r="G70" s="1313"/>
      <c r="H70" s="1314"/>
    </row>
    <row r="71" spans="1:8">
      <c r="A71" s="1318">
        <v>62</v>
      </c>
      <c r="B71" s="1317" t="s">
        <v>5756</v>
      </c>
      <c r="C71" s="1310">
        <v>1</v>
      </c>
      <c r="D71" s="1310">
        <v>1</v>
      </c>
      <c r="E71" s="1313">
        <v>2</v>
      </c>
      <c r="F71" s="1313"/>
      <c r="G71" s="1313"/>
      <c r="H71" s="1314">
        <f>PRODUCT(C71:G71)</f>
        <v>2</v>
      </c>
    </row>
    <row r="72" spans="1:8">
      <c r="A72" s="1318"/>
      <c r="B72" s="1317"/>
      <c r="C72" s="1310"/>
      <c r="D72" s="1310"/>
      <c r="E72" s="1313"/>
      <c r="F72" s="1313"/>
      <c r="G72" s="1313"/>
      <c r="H72" s="1314"/>
    </row>
    <row r="73" spans="1:8" ht="31.5">
      <c r="A73" s="1308">
        <v>58.2</v>
      </c>
      <c r="B73" s="1320" t="s">
        <v>5757</v>
      </c>
      <c r="C73" s="1310">
        <v>1</v>
      </c>
      <c r="D73" s="1310">
        <v>1</v>
      </c>
      <c r="E73" s="1313">
        <v>1</v>
      </c>
      <c r="F73" s="1313"/>
      <c r="G73" s="1313"/>
      <c r="H73" s="1314">
        <f>PRODUCT(C73:G73)</f>
        <v>1</v>
      </c>
    </row>
    <row r="74" spans="1:8">
      <c r="A74" s="1308"/>
      <c r="B74" s="1312"/>
      <c r="C74" s="1310"/>
      <c r="D74" s="1310"/>
      <c r="E74" s="1313"/>
      <c r="F74" s="1313"/>
      <c r="G74" s="1313"/>
      <c r="H74" s="1314"/>
    </row>
    <row r="75" spans="1:8" ht="29.25">
      <c r="A75" s="1308">
        <v>2.6</v>
      </c>
      <c r="B75" s="1309" t="s">
        <v>5758</v>
      </c>
      <c r="C75" s="1310">
        <v>1</v>
      </c>
      <c r="D75" s="1310">
        <v>1</v>
      </c>
      <c r="E75" s="1313">
        <v>12</v>
      </c>
      <c r="F75" s="1313">
        <v>1</v>
      </c>
      <c r="G75" s="1313">
        <v>0.6</v>
      </c>
      <c r="H75" s="1314">
        <f>PRODUCT(C75:G75)</f>
        <v>7.2</v>
      </c>
    </row>
    <row r="76" spans="1:8">
      <c r="A76" s="1310"/>
      <c r="B76" s="1312"/>
      <c r="C76" s="1310"/>
      <c r="D76" s="1310"/>
      <c r="E76" s="1313"/>
      <c r="F76" s="1313"/>
      <c r="G76" s="1313"/>
      <c r="H76" s="1311"/>
    </row>
    <row r="77" spans="1:8" ht="29.25">
      <c r="A77" s="1308">
        <v>2.7</v>
      </c>
      <c r="B77" s="1309" t="s">
        <v>5759</v>
      </c>
      <c r="C77" s="1310">
        <v>1</v>
      </c>
      <c r="D77" s="1310">
        <v>1</v>
      </c>
      <c r="E77" s="1313">
        <v>12</v>
      </c>
      <c r="F77" s="1313">
        <v>1</v>
      </c>
      <c r="G77" s="1313">
        <v>0.2</v>
      </c>
      <c r="H77" s="1314">
        <f>PRODUCT(C77:G77)</f>
        <v>2.4</v>
      </c>
    </row>
    <row r="78" spans="1:8">
      <c r="A78" s="1310"/>
      <c r="B78" s="1312"/>
      <c r="C78" s="1310"/>
      <c r="D78" s="1310"/>
      <c r="E78" s="1313"/>
      <c r="F78" s="1313"/>
      <c r="G78" s="1313"/>
      <c r="H78" s="1311"/>
    </row>
    <row r="79" spans="1:8">
      <c r="A79" s="1308">
        <v>2.1</v>
      </c>
      <c r="B79" s="1309" t="s">
        <v>5760</v>
      </c>
      <c r="C79" s="1310">
        <v>1</v>
      </c>
      <c r="D79" s="1310">
        <v>1</v>
      </c>
      <c r="E79" s="1313">
        <v>12</v>
      </c>
      <c r="F79" s="1313">
        <v>1</v>
      </c>
      <c r="G79" s="1313">
        <v>0.2</v>
      </c>
      <c r="H79" s="1314">
        <f>PRODUCT(C79:G79)</f>
        <v>2.4</v>
      </c>
    </row>
    <row r="80" spans="1:8">
      <c r="A80" s="1310"/>
      <c r="B80" s="1312"/>
      <c r="C80" s="1310"/>
      <c r="D80" s="1310"/>
      <c r="E80" s="1313"/>
      <c r="F80" s="1313"/>
      <c r="G80" s="1313"/>
      <c r="H80" s="1311"/>
    </row>
    <row r="81" spans="1:8">
      <c r="A81" s="1308">
        <v>61.2</v>
      </c>
      <c r="B81" s="1317" t="s">
        <v>5761</v>
      </c>
      <c r="C81" s="1310">
        <v>1</v>
      </c>
      <c r="D81" s="1310">
        <v>1</v>
      </c>
      <c r="E81" s="1313">
        <v>12</v>
      </c>
      <c r="F81" s="1313"/>
      <c r="G81" s="1313"/>
      <c r="H81" s="1314">
        <f>PRODUCT(C81:G81)</f>
        <v>12</v>
      </c>
    </row>
    <row r="82" spans="1:8">
      <c r="A82" s="1310"/>
      <c r="B82" s="1317" t="s">
        <v>5762</v>
      </c>
      <c r="C82" s="1310"/>
      <c r="D82" s="1310"/>
      <c r="E82" s="1313"/>
      <c r="F82" s="1313"/>
      <c r="G82" s="1313"/>
      <c r="H82" s="1311"/>
    </row>
    <row r="83" spans="1:8">
      <c r="A83" s="1310"/>
      <c r="B83" s="1317"/>
      <c r="C83" s="1310"/>
      <c r="D83" s="1310"/>
      <c r="E83" s="1313"/>
      <c r="F83" s="1313"/>
      <c r="G83" s="1313"/>
      <c r="H83" s="1311"/>
    </row>
    <row r="84" spans="1:8">
      <c r="A84" s="1318">
        <v>28</v>
      </c>
      <c r="B84" s="1320" t="s">
        <v>5763</v>
      </c>
      <c r="C84" s="1310"/>
      <c r="D84" s="1310"/>
      <c r="E84" s="1313"/>
      <c r="F84" s="1313"/>
      <c r="G84" s="1313"/>
      <c r="H84" s="1311"/>
    </row>
    <row r="85" spans="1:8">
      <c r="A85" s="1318"/>
      <c r="B85" s="1312" t="s">
        <v>5764</v>
      </c>
      <c r="C85" s="1310"/>
      <c r="D85" s="1310"/>
      <c r="E85" s="1313"/>
      <c r="F85" s="1313"/>
      <c r="G85" s="1313"/>
      <c r="H85" s="1311"/>
    </row>
    <row r="86" spans="1:8">
      <c r="A86" s="1318"/>
      <c r="B86" s="1312" t="s">
        <v>5719</v>
      </c>
      <c r="C86" s="1310">
        <v>1</v>
      </c>
      <c r="D86" s="1310">
        <v>2</v>
      </c>
      <c r="E86" s="1313">
        <v>0.6</v>
      </c>
      <c r="F86" s="1313">
        <v>0.6</v>
      </c>
      <c r="G86" s="1313"/>
      <c r="H86" s="1314">
        <f>PRODUCT(C86:G86)</f>
        <v>0.72</v>
      </c>
    </row>
    <row r="87" spans="1:8">
      <c r="A87" s="1310"/>
      <c r="B87" s="1312"/>
      <c r="C87" s="1310"/>
      <c r="D87" s="1310"/>
      <c r="E87" s="1313"/>
      <c r="F87" s="1315" t="s">
        <v>4121</v>
      </c>
      <c r="G87" s="1316">
        <f>ROUNDUP(H86,1)</f>
        <v>0.8</v>
      </c>
      <c r="H87" s="1314" t="s">
        <v>4388</v>
      </c>
    </row>
  </sheetData>
  <mergeCells count="4">
    <mergeCell ref="A1:H1"/>
    <mergeCell ref="A2:H2"/>
    <mergeCell ref="A3:H3"/>
    <mergeCell ref="C4:D4"/>
  </mergeCells>
  <pageMargins left="0.7" right="0.7" top="0.75" bottom="0.75" header="0.3" footer="0.3"/>
  <pageSetup paperSize="9" scale="85" orientation="portrait" r:id="rId1"/>
</worksheet>
</file>

<file path=xl/worksheets/sheet14.xml><?xml version="1.0" encoding="utf-8"?>
<worksheet xmlns="http://schemas.openxmlformats.org/spreadsheetml/2006/main" xmlns:r="http://schemas.openxmlformats.org/officeDocument/2006/relationships">
  <sheetPr>
    <tabColor rgb="FF00B0F0"/>
  </sheetPr>
  <dimension ref="A1:H474"/>
  <sheetViews>
    <sheetView view="pageBreakPreview" topLeftCell="A39" zoomScaleSheetLayoutView="100" workbookViewId="0">
      <selection activeCell="G52" sqref="G52"/>
    </sheetView>
  </sheetViews>
  <sheetFormatPr defaultRowHeight="15.75"/>
  <cols>
    <col min="1" max="1" width="5.5546875" style="958" customWidth="1"/>
    <col min="2" max="2" width="28.77734375" style="960" customWidth="1"/>
    <col min="3" max="4" width="5.88671875" style="958" customWidth="1"/>
    <col min="5" max="5" width="10" style="958" customWidth="1"/>
    <col min="6" max="7" width="8.88671875" style="958"/>
    <col min="8" max="8" width="11.21875" style="958"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38.25" customHeight="1">
      <c r="A2" s="1544" t="str">
        <f>ST!A2</f>
        <v>N/W : Construction of District office building for Tamilnadu Pollution Control Board at Theni in Theni district.</v>
      </c>
      <c r="B2" s="1544"/>
      <c r="C2" s="1544"/>
      <c r="D2" s="1544"/>
      <c r="E2" s="1544"/>
      <c r="F2" s="1544"/>
      <c r="G2" s="1544"/>
      <c r="H2" s="1544"/>
    </row>
    <row r="3" spans="1:8" ht="23.25" customHeight="1">
      <c r="A3" s="1548" t="s">
        <v>5765</v>
      </c>
      <c r="B3" s="1549"/>
      <c r="C3" s="1549"/>
      <c r="D3" s="1549"/>
      <c r="E3" s="1549"/>
      <c r="F3" s="1549"/>
      <c r="G3" s="1549"/>
      <c r="H3" s="1550"/>
    </row>
    <row r="4" spans="1:8" ht="21.75" customHeight="1">
      <c r="A4" s="1317" t="s">
        <v>5766</v>
      </c>
      <c r="B4" s="1317" t="s">
        <v>4958</v>
      </c>
      <c r="C4" s="1551" t="s">
        <v>1375</v>
      </c>
      <c r="D4" s="1551"/>
      <c r="E4" s="1317" t="s">
        <v>4982</v>
      </c>
      <c r="F4" s="1308" t="s">
        <v>1500</v>
      </c>
      <c r="G4" s="1308" t="s">
        <v>4983</v>
      </c>
      <c r="H4" s="1308" t="s">
        <v>5767</v>
      </c>
    </row>
    <row r="5" spans="1:8" ht="29.25">
      <c r="A5" s="1317">
        <v>1.5</v>
      </c>
      <c r="B5" s="1309" t="s">
        <v>5768</v>
      </c>
      <c r="C5" s="1308"/>
      <c r="D5" s="1308"/>
      <c r="E5" s="1317"/>
      <c r="F5" s="1308"/>
      <c r="G5" s="1308"/>
      <c r="H5" s="1308"/>
    </row>
    <row r="6" spans="1:8">
      <c r="A6" s="1317"/>
      <c r="B6" s="1317" t="s">
        <v>5769</v>
      </c>
      <c r="C6" s="1308">
        <v>1</v>
      </c>
      <c r="D6" s="1308">
        <v>1</v>
      </c>
      <c r="E6" s="1545" t="s">
        <v>5770</v>
      </c>
      <c r="F6" s="1546"/>
      <c r="G6" s="1313">
        <v>2</v>
      </c>
      <c r="H6" s="1310">
        <v>69.010000000000005</v>
      </c>
    </row>
    <row r="7" spans="1:8">
      <c r="A7" s="1317"/>
      <c r="B7" s="1317"/>
      <c r="C7" s="1308"/>
      <c r="D7" s="1308"/>
      <c r="E7" s="1317"/>
      <c r="F7" s="1308" t="s">
        <v>4121</v>
      </c>
      <c r="G7" s="1321">
        <f>ROUNDUP(H6,1)</f>
        <v>69.099999999999994</v>
      </c>
      <c r="H7" s="1308" t="s">
        <v>2070</v>
      </c>
    </row>
    <row r="8" spans="1:8" ht="29.25">
      <c r="A8" s="1317">
        <v>3.1</v>
      </c>
      <c r="B8" s="1309" t="s">
        <v>5771</v>
      </c>
      <c r="C8" s="1310"/>
      <c r="D8" s="1310"/>
      <c r="E8" s="1312"/>
      <c r="F8" s="1310"/>
      <c r="G8" s="1310"/>
      <c r="H8" s="1310"/>
    </row>
    <row r="9" spans="1:8">
      <c r="A9" s="1312"/>
      <c r="B9" s="1312" t="s">
        <v>5772</v>
      </c>
      <c r="C9" s="1310">
        <v>1</v>
      </c>
      <c r="D9" s="1310">
        <v>1</v>
      </c>
      <c r="E9" s="1312" t="s">
        <v>5770</v>
      </c>
      <c r="F9" s="1310"/>
      <c r="G9" s="1310">
        <v>0.1</v>
      </c>
      <c r="H9" s="1308">
        <v>3.45</v>
      </c>
    </row>
    <row r="10" spans="1:8">
      <c r="A10" s="1312"/>
      <c r="B10" s="1312"/>
      <c r="C10" s="1310"/>
      <c r="D10" s="1310"/>
      <c r="E10" s="1312"/>
      <c r="F10" s="1308" t="s">
        <v>4121</v>
      </c>
      <c r="G10" s="1321">
        <f>ROUNDUP(H9,1)</f>
        <v>3.5</v>
      </c>
      <c r="H10" s="1308" t="s">
        <v>2070</v>
      </c>
    </row>
    <row r="11" spans="1:8">
      <c r="A11" s="1317">
        <v>4.0999999999999996</v>
      </c>
      <c r="B11" s="1309" t="s">
        <v>5773</v>
      </c>
      <c r="C11" s="1310"/>
      <c r="D11" s="1310"/>
      <c r="E11" s="1312"/>
      <c r="F11" s="1310"/>
      <c r="G11" s="1310"/>
      <c r="H11" s="1310"/>
    </row>
    <row r="12" spans="1:8">
      <c r="A12" s="1312"/>
      <c r="B12" s="1312" t="s">
        <v>5772</v>
      </c>
      <c r="C12" s="1310">
        <v>1</v>
      </c>
      <c r="D12" s="1310">
        <v>1</v>
      </c>
      <c r="E12" s="1312" t="s">
        <v>5774</v>
      </c>
      <c r="F12" s="1310"/>
      <c r="G12" s="1310">
        <v>0.125</v>
      </c>
      <c r="H12" s="1313">
        <v>3.75</v>
      </c>
    </row>
    <row r="13" spans="1:8">
      <c r="A13" s="1312"/>
      <c r="B13" s="1312" t="s">
        <v>5775</v>
      </c>
      <c r="C13" s="1310">
        <v>1</v>
      </c>
      <c r="D13" s="1310">
        <v>1</v>
      </c>
      <c r="E13" s="1312" t="s">
        <v>5776</v>
      </c>
      <c r="F13" s="1310"/>
      <c r="G13" s="1310">
        <v>0.23</v>
      </c>
      <c r="H13" s="1313">
        <v>5.32</v>
      </c>
    </row>
    <row r="14" spans="1:8">
      <c r="A14" s="1312"/>
      <c r="B14" s="1312" t="s">
        <v>5777</v>
      </c>
      <c r="C14" s="1310">
        <v>-1</v>
      </c>
      <c r="D14" s="1310">
        <v>2</v>
      </c>
      <c r="E14" s="1312">
        <v>0.6</v>
      </c>
      <c r="F14" s="1310">
        <v>0.6</v>
      </c>
      <c r="G14" s="1310">
        <v>0.125</v>
      </c>
      <c r="H14" s="1313">
        <f>PRODUCT(C14:G14)</f>
        <v>-0.09</v>
      </c>
    </row>
    <row r="15" spans="1:8">
      <c r="A15" s="1312"/>
      <c r="B15" s="1312" t="s">
        <v>5778</v>
      </c>
      <c r="C15" s="1310">
        <v>1</v>
      </c>
      <c r="D15" s="1310">
        <v>1</v>
      </c>
      <c r="E15" s="1312" t="s">
        <v>5779</v>
      </c>
      <c r="F15" s="1310"/>
      <c r="G15" s="1310">
        <v>0.2</v>
      </c>
      <c r="H15" s="1310">
        <v>6.49</v>
      </c>
    </row>
    <row r="16" spans="1:8">
      <c r="A16" s="1312"/>
      <c r="B16" s="1312" t="s">
        <v>5780</v>
      </c>
      <c r="C16" s="1310">
        <v>1</v>
      </c>
      <c r="D16" s="1310">
        <v>1</v>
      </c>
      <c r="E16" s="1312" t="s">
        <v>5781</v>
      </c>
      <c r="F16" s="1310"/>
      <c r="G16" s="1310">
        <v>2.5</v>
      </c>
      <c r="H16" s="1310">
        <v>0.18</v>
      </c>
    </row>
    <row r="17" spans="1:8">
      <c r="A17" s="1312"/>
      <c r="B17" s="1312" t="s">
        <v>5782</v>
      </c>
      <c r="C17" s="1310">
        <v>1</v>
      </c>
      <c r="D17" s="1310">
        <v>1</v>
      </c>
      <c r="E17" s="1312" t="s">
        <v>5783</v>
      </c>
      <c r="F17" s="1310"/>
      <c r="G17" s="1310">
        <v>0.9</v>
      </c>
      <c r="H17" s="1310">
        <v>3.48</v>
      </c>
    </row>
    <row r="18" spans="1:8">
      <c r="A18" s="1312"/>
      <c r="B18" s="1312" t="s">
        <v>5784</v>
      </c>
      <c r="C18" s="1310">
        <v>1</v>
      </c>
      <c r="D18" s="1310">
        <v>1</v>
      </c>
      <c r="E18" s="1312" t="s">
        <v>5785</v>
      </c>
      <c r="F18" s="1310"/>
      <c r="G18" s="1310">
        <v>0.6</v>
      </c>
      <c r="H18" s="1310">
        <v>1.37</v>
      </c>
    </row>
    <row r="19" spans="1:8">
      <c r="A19" s="1312"/>
      <c r="B19" s="1312"/>
      <c r="C19" s="1310"/>
      <c r="D19" s="1310"/>
      <c r="E19" s="1312"/>
      <c r="F19" s="1310"/>
      <c r="G19" s="1310"/>
      <c r="H19" s="1315">
        <f>SUM(H12:H18)</f>
        <v>20.5</v>
      </c>
    </row>
    <row r="20" spans="1:8">
      <c r="A20" s="1312"/>
      <c r="B20" s="1312"/>
      <c r="C20" s="1310"/>
      <c r="D20" s="1310"/>
      <c r="E20" s="1312"/>
      <c r="F20" s="1308" t="s">
        <v>4121</v>
      </c>
      <c r="G20" s="1321">
        <f>ROUNDUP(H19,1)</f>
        <v>20.5</v>
      </c>
      <c r="H20" s="1315" t="s">
        <v>5716</v>
      </c>
    </row>
    <row r="21" spans="1:8" ht="29.25">
      <c r="A21" s="1317">
        <v>10.5</v>
      </c>
      <c r="B21" s="1309" t="s">
        <v>5786</v>
      </c>
      <c r="C21" s="1310"/>
      <c r="D21" s="1310"/>
      <c r="E21" s="1312"/>
      <c r="F21" s="1310"/>
      <c r="G21" s="1310"/>
      <c r="H21" s="1310"/>
    </row>
    <row r="22" spans="1:8">
      <c r="A22" s="1312"/>
      <c r="B22" s="1312" t="s">
        <v>5787</v>
      </c>
      <c r="C22" s="1310">
        <v>1</v>
      </c>
      <c r="D22" s="1310">
        <v>1</v>
      </c>
      <c r="E22" s="1547" t="s">
        <v>5788</v>
      </c>
      <c r="F22" s="1547"/>
      <c r="G22" s="1313">
        <v>0.3</v>
      </c>
      <c r="H22" s="1310">
        <v>6.17</v>
      </c>
    </row>
    <row r="23" spans="1:8">
      <c r="A23" s="1312"/>
      <c r="B23" s="1312" t="s">
        <v>5789</v>
      </c>
      <c r="C23" s="1310">
        <v>1</v>
      </c>
      <c r="D23" s="1310">
        <v>1</v>
      </c>
      <c r="E23" s="1547" t="s">
        <v>5790</v>
      </c>
      <c r="F23" s="1547"/>
      <c r="G23" s="1313">
        <v>1.5</v>
      </c>
      <c r="H23" s="1310">
        <v>24.12</v>
      </c>
    </row>
    <row r="24" spans="1:8">
      <c r="A24" s="1312"/>
      <c r="B24" s="1312" t="s">
        <v>5791</v>
      </c>
      <c r="C24" s="1310">
        <v>1</v>
      </c>
      <c r="D24" s="1310">
        <v>1</v>
      </c>
      <c r="E24" s="1547" t="s">
        <v>5792</v>
      </c>
      <c r="F24" s="1547"/>
      <c r="G24" s="1313">
        <v>0.6</v>
      </c>
      <c r="H24" s="1310">
        <v>8.23</v>
      </c>
    </row>
    <row r="25" spans="1:8">
      <c r="A25" s="1312"/>
      <c r="B25" s="1312" t="s">
        <v>5793</v>
      </c>
      <c r="C25" s="1310">
        <v>1</v>
      </c>
      <c r="D25" s="1310">
        <v>1</v>
      </c>
      <c r="E25" s="1547" t="s">
        <v>5794</v>
      </c>
      <c r="F25" s="1547"/>
      <c r="G25" s="1313">
        <v>0.9</v>
      </c>
      <c r="H25" s="1313">
        <v>13</v>
      </c>
    </row>
    <row r="26" spans="1:8">
      <c r="A26" s="1312"/>
      <c r="B26" s="1312"/>
      <c r="C26" s="1310"/>
      <c r="D26" s="1310"/>
      <c r="E26" s="1312"/>
      <c r="F26" s="1310"/>
      <c r="G26" s="1313"/>
      <c r="H26" s="1308">
        <f>SUM(H22:H25)</f>
        <v>51.52</v>
      </c>
    </row>
    <row r="27" spans="1:8">
      <c r="A27" s="1312"/>
      <c r="B27" s="1312"/>
      <c r="C27" s="1310"/>
      <c r="D27" s="1310"/>
      <c r="E27" s="1312"/>
      <c r="F27" s="1308" t="s">
        <v>4121</v>
      </c>
      <c r="G27" s="1321">
        <f>ROUNDUP(H26,1)</f>
        <v>51.6</v>
      </c>
      <c r="H27" s="1315" t="s">
        <v>4388</v>
      </c>
    </row>
    <row r="28" spans="1:8" ht="29.25">
      <c r="A28" s="1317">
        <v>35.1</v>
      </c>
      <c r="B28" s="1309" t="s">
        <v>5795</v>
      </c>
      <c r="C28" s="1310"/>
      <c r="D28" s="1310"/>
      <c r="E28" s="1312"/>
      <c r="F28" s="1310"/>
      <c r="G28" s="1313"/>
      <c r="H28" s="1310"/>
    </row>
    <row r="29" spans="1:8">
      <c r="A29" s="1312"/>
      <c r="B29" s="1312" t="s">
        <v>5796</v>
      </c>
      <c r="C29" s="1310">
        <v>1</v>
      </c>
      <c r="D29" s="1310">
        <v>1</v>
      </c>
      <c r="E29" s="1547" t="s">
        <v>5797</v>
      </c>
      <c r="F29" s="1547"/>
      <c r="G29" s="1313">
        <v>0.9</v>
      </c>
      <c r="H29" s="1310">
        <v>12.01</v>
      </c>
    </row>
    <row r="30" spans="1:8">
      <c r="A30" s="1312"/>
      <c r="B30" s="1312" t="s">
        <v>5798</v>
      </c>
      <c r="C30" s="1310">
        <v>1</v>
      </c>
      <c r="D30" s="1310">
        <v>1</v>
      </c>
      <c r="E30" s="1547" t="s">
        <v>5799</v>
      </c>
      <c r="F30" s="1547"/>
      <c r="G30" s="1313">
        <v>0.6</v>
      </c>
      <c r="H30" s="1310">
        <v>8.44</v>
      </c>
    </row>
    <row r="31" spans="1:8">
      <c r="A31" s="1312"/>
      <c r="B31" s="1312"/>
      <c r="C31" s="1310"/>
      <c r="D31" s="1310"/>
      <c r="E31" s="1312"/>
      <c r="F31" s="1310"/>
      <c r="G31" s="1313"/>
      <c r="H31" s="1308">
        <f>SUM(H29:H30)</f>
        <v>20.45</v>
      </c>
    </row>
    <row r="32" spans="1:8">
      <c r="A32" s="1312"/>
      <c r="B32" s="1312"/>
      <c r="C32" s="1310"/>
      <c r="D32" s="1310"/>
      <c r="E32" s="1312"/>
      <c r="F32" s="1308" t="s">
        <v>4121</v>
      </c>
      <c r="G32" s="1321">
        <f>ROUNDUP(H31,1)</f>
        <v>20.5</v>
      </c>
      <c r="H32" s="1308" t="s">
        <v>5800</v>
      </c>
    </row>
    <row r="33" spans="1:8">
      <c r="A33" s="1317">
        <v>33</v>
      </c>
      <c r="B33" s="1317" t="s">
        <v>5801</v>
      </c>
      <c r="C33" s="1310"/>
      <c r="D33" s="1310"/>
      <c r="E33" s="1312"/>
      <c r="F33" s="1310"/>
      <c r="G33" s="1313"/>
      <c r="H33" s="1310"/>
    </row>
    <row r="34" spans="1:8">
      <c r="A34" s="1312"/>
      <c r="B34" s="1312" t="s">
        <v>5802</v>
      </c>
      <c r="C34" s="1310">
        <v>1</v>
      </c>
      <c r="D34" s="1310">
        <v>1</v>
      </c>
      <c r="E34" s="1547" t="s">
        <v>5803</v>
      </c>
      <c r="F34" s="1547"/>
      <c r="G34" s="1313">
        <v>1.62</v>
      </c>
      <c r="H34" s="1310">
        <v>26.6</v>
      </c>
    </row>
    <row r="35" spans="1:8">
      <c r="A35" s="1312"/>
      <c r="B35" s="1312"/>
      <c r="C35" s="1310"/>
      <c r="D35" s="1310"/>
      <c r="E35" s="1312"/>
      <c r="F35" s="1308" t="s">
        <v>4121</v>
      </c>
      <c r="G35" s="1321">
        <f>ROUNDUP(H34,1)</f>
        <v>26.6</v>
      </c>
      <c r="H35" s="1308" t="s">
        <v>2199</v>
      </c>
    </row>
    <row r="36" spans="1:8">
      <c r="A36" s="1312"/>
      <c r="B36" s="1312"/>
      <c r="C36" s="1310"/>
      <c r="D36" s="1310"/>
      <c r="E36" s="1312"/>
      <c r="F36" s="1310"/>
      <c r="G36" s="1310"/>
      <c r="H36" s="1310"/>
    </row>
    <row r="37" spans="1:8">
      <c r="A37" s="1317">
        <v>43</v>
      </c>
      <c r="B37" s="1317" t="s">
        <v>5804</v>
      </c>
      <c r="C37" s="1310"/>
      <c r="D37" s="1310"/>
      <c r="E37" s="1312"/>
      <c r="F37" s="1310"/>
      <c r="G37" s="1310"/>
      <c r="H37" s="1310"/>
    </row>
    <row r="38" spans="1:8">
      <c r="A38" s="1317"/>
      <c r="B38" s="1317" t="s">
        <v>6122</v>
      </c>
      <c r="C38" s="1310"/>
      <c r="D38" s="1310"/>
      <c r="E38" s="1312"/>
      <c r="F38" s="1310"/>
      <c r="G38" s="1310"/>
      <c r="H38" s="1456">
        <f>G20</f>
        <v>20.5</v>
      </c>
    </row>
    <row r="39" spans="1:8">
      <c r="A39" s="1317"/>
      <c r="B39" s="1317"/>
      <c r="C39" s="1310"/>
      <c r="D39" s="1310"/>
      <c r="E39" s="1312"/>
      <c r="F39" s="1310"/>
      <c r="G39" s="1310"/>
      <c r="H39" s="1310"/>
    </row>
    <row r="40" spans="1:8">
      <c r="A40" s="1312"/>
      <c r="B40" s="1312" t="s">
        <v>5772</v>
      </c>
      <c r="C40" s="1310">
        <v>1</v>
      </c>
      <c r="D40" s="1310">
        <v>1</v>
      </c>
      <c r="E40" s="1547" t="s">
        <v>5805</v>
      </c>
      <c r="F40" s="1547"/>
      <c r="G40" s="1547"/>
      <c r="H40" s="1310">
        <v>2050</v>
      </c>
    </row>
    <row r="41" spans="1:8">
      <c r="A41" s="1312"/>
      <c r="B41" s="1312"/>
      <c r="C41" s="1310"/>
      <c r="D41" s="1310"/>
      <c r="E41" s="1312"/>
      <c r="F41" s="1308" t="s">
        <v>4121</v>
      </c>
      <c r="G41" s="1321">
        <v>2.0499999999999998</v>
      </c>
      <c r="H41" s="1308" t="s">
        <v>5430</v>
      </c>
    </row>
    <row r="42" spans="1:8">
      <c r="A42" s="1312"/>
      <c r="B42" s="1312"/>
      <c r="C42" s="1310"/>
      <c r="D42" s="1310"/>
      <c r="E42" s="1312"/>
      <c r="F42" s="1310"/>
      <c r="G42" s="1308"/>
      <c r="H42" s="1308"/>
    </row>
    <row r="43" spans="1:8" ht="29.25">
      <c r="A43" s="1312">
        <v>53.4</v>
      </c>
      <c r="B43" s="1309" t="s">
        <v>5806</v>
      </c>
      <c r="C43" s="1310"/>
      <c r="D43" s="1310"/>
      <c r="E43" s="1312"/>
      <c r="F43" s="1310"/>
      <c r="G43" s="1310"/>
      <c r="H43" s="1310"/>
    </row>
    <row r="44" spans="1:8">
      <c r="A44" s="1312"/>
      <c r="B44" s="1312" t="s">
        <v>5807</v>
      </c>
      <c r="C44" s="1310">
        <v>1</v>
      </c>
      <c r="D44" s="1310">
        <v>2</v>
      </c>
      <c r="E44" s="1312">
        <v>1</v>
      </c>
      <c r="F44" s="1310"/>
      <c r="G44" s="1310"/>
      <c r="H44" s="1308">
        <v>2</v>
      </c>
    </row>
    <row r="45" spans="1:8">
      <c r="A45" s="1312">
        <v>53.3</v>
      </c>
      <c r="B45" s="1317" t="s">
        <v>5808</v>
      </c>
      <c r="C45" s="1310"/>
      <c r="D45" s="1310"/>
      <c r="E45" s="1312"/>
      <c r="F45" s="1310"/>
      <c r="G45" s="1310"/>
      <c r="H45" s="1310"/>
    </row>
    <row r="46" spans="1:8">
      <c r="A46" s="1312"/>
      <c r="B46" s="1312" t="s">
        <v>5772</v>
      </c>
      <c r="C46" s="1310">
        <v>1</v>
      </c>
      <c r="D46" s="1310">
        <v>1</v>
      </c>
      <c r="E46" s="1312">
        <v>5</v>
      </c>
      <c r="F46" s="1310"/>
      <c r="G46" s="1310"/>
      <c r="H46" s="1308">
        <v>5</v>
      </c>
    </row>
    <row r="47" spans="1:8">
      <c r="A47" s="1312"/>
      <c r="B47" s="1312"/>
      <c r="C47" s="1310"/>
      <c r="D47" s="1310"/>
      <c r="E47" s="1312"/>
      <c r="F47" s="1310"/>
      <c r="G47" s="1310"/>
      <c r="H47" s="1310"/>
    </row>
    <row r="48" spans="1:8">
      <c r="A48" s="1317">
        <v>18.100000000000001</v>
      </c>
      <c r="B48" s="1317" t="s">
        <v>5809</v>
      </c>
      <c r="C48" s="1310"/>
      <c r="D48" s="1310"/>
      <c r="E48" s="1312"/>
      <c r="F48" s="1310"/>
      <c r="G48" s="1310"/>
      <c r="H48" s="1310"/>
    </row>
    <row r="49" spans="1:8">
      <c r="A49" s="1312"/>
      <c r="B49" s="1312" t="s">
        <v>5810</v>
      </c>
      <c r="C49" s="1310">
        <v>1</v>
      </c>
      <c r="D49" s="1310">
        <v>1</v>
      </c>
      <c r="E49" s="1547" t="s">
        <v>5799</v>
      </c>
      <c r="F49" s="1547"/>
      <c r="G49" s="1310"/>
      <c r="H49" s="1310">
        <v>14.07</v>
      </c>
    </row>
    <row r="50" spans="1:8">
      <c r="A50" s="1312"/>
      <c r="B50" s="1312" t="s">
        <v>5811</v>
      </c>
      <c r="C50" s="1310">
        <v>1</v>
      </c>
      <c r="D50" s="1310">
        <v>1</v>
      </c>
      <c r="E50" s="1545" t="s">
        <v>5803</v>
      </c>
      <c r="F50" s="1546"/>
      <c r="G50" s="1310">
        <v>0.125</v>
      </c>
      <c r="H50" s="1310">
        <v>2.0499999999999998</v>
      </c>
    </row>
    <row r="51" spans="1:8">
      <c r="A51" s="1312"/>
      <c r="B51" s="1312" t="s">
        <v>5812</v>
      </c>
      <c r="C51" s="1310">
        <v>1</v>
      </c>
      <c r="D51" s="1310">
        <v>2</v>
      </c>
      <c r="E51" s="1547" t="s">
        <v>5813</v>
      </c>
      <c r="F51" s="1547"/>
      <c r="G51" s="1547"/>
      <c r="H51" s="1310">
        <v>-0.72</v>
      </c>
    </row>
    <row r="52" spans="1:8">
      <c r="A52" s="1312"/>
      <c r="B52" s="1312" t="s">
        <v>5814</v>
      </c>
      <c r="C52" s="1310">
        <v>1</v>
      </c>
      <c r="D52" s="1310">
        <v>1</v>
      </c>
      <c r="E52" s="1312">
        <v>5.23</v>
      </c>
      <c r="F52" s="1310"/>
      <c r="G52" s="1310">
        <v>0.57999999999999996</v>
      </c>
      <c r="H52" s="1310">
        <v>3.03</v>
      </c>
    </row>
    <row r="53" spans="1:8">
      <c r="A53" s="1312"/>
      <c r="B53" s="1312" t="s">
        <v>5815</v>
      </c>
      <c r="C53" s="1310">
        <v>1</v>
      </c>
      <c r="D53" s="1310">
        <v>1</v>
      </c>
      <c r="E53" s="1545" t="s">
        <v>5816</v>
      </c>
      <c r="F53" s="1546"/>
      <c r="G53" s="1310">
        <v>1.5</v>
      </c>
      <c r="H53" s="1310">
        <v>1.41</v>
      </c>
    </row>
    <row r="54" spans="1:8">
      <c r="A54" s="1312"/>
      <c r="B54" s="1312"/>
      <c r="C54" s="1310"/>
      <c r="D54" s="1310"/>
      <c r="E54" s="1312"/>
      <c r="F54" s="1310"/>
      <c r="G54" s="1310"/>
      <c r="H54" s="1308">
        <f>SUM(H49:H53)</f>
        <v>19.84</v>
      </c>
    </row>
    <row r="55" spans="1:8">
      <c r="A55" s="1312"/>
      <c r="B55" s="1312"/>
      <c r="C55" s="1310"/>
      <c r="D55" s="1310"/>
      <c r="E55" s="1312"/>
      <c r="F55" s="1308" t="s">
        <v>4121</v>
      </c>
      <c r="G55" s="1321">
        <f>ROUNDUP(H54,1)</f>
        <v>19.899999999999999</v>
      </c>
      <c r="H55" s="1308" t="s">
        <v>222</v>
      </c>
    </row>
    <row r="62" spans="1:8">
      <c r="E62" s="1322"/>
    </row>
    <row r="84" spans="5:5">
      <c r="E84" s="1322"/>
    </row>
    <row r="106" spans="5:5">
      <c r="E106" s="1322"/>
    </row>
    <row r="120" spans="5:5">
      <c r="E120" s="1322"/>
    </row>
    <row r="140" spans="5:5">
      <c r="E140" s="1322"/>
    </row>
    <row r="162" spans="5:5">
      <c r="E162" s="1322"/>
    </row>
    <row r="185" spans="5:5">
      <c r="E185" s="1322"/>
    </row>
    <row r="190" spans="5:5">
      <c r="E190" s="1322"/>
    </row>
    <row r="197" spans="5:5">
      <c r="E197" s="1322"/>
    </row>
    <row r="223" spans="5:5">
      <c r="E223" s="1322"/>
    </row>
    <row r="237" spans="5:5">
      <c r="E237" s="1322"/>
    </row>
    <row r="248" spans="5:5">
      <c r="E248" s="1322"/>
    </row>
    <row r="267" spans="5:5">
      <c r="E267" s="1322"/>
    </row>
    <row r="276" spans="5:5">
      <c r="E276" s="1322"/>
    </row>
    <row r="327" spans="5:5">
      <c r="E327" s="1322"/>
    </row>
    <row r="352" spans="5:5">
      <c r="E352" s="1322"/>
    </row>
    <row r="372" spans="5:5">
      <c r="E372" s="1322"/>
    </row>
    <row r="399" spans="5:5">
      <c r="E399" s="1322"/>
    </row>
    <row r="407" spans="2:5">
      <c r="E407" s="1322"/>
    </row>
    <row r="409" spans="2:5">
      <c r="B409" s="958"/>
    </row>
    <row r="410" spans="2:5">
      <c r="B410" s="958"/>
    </row>
    <row r="411" spans="2:5">
      <c r="B411" s="958"/>
    </row>
    <row r="412" spans="2:5">
      <c r="B412" s="958"/>
    </row>
    <row r="413" spans="2:5">
      <c r="B413" s="958"/>
    </row>
    <row r="414" spans="2:5">
      <c r="B414" s="958"/>
    </row>
    <row r="415" spans="2:5">
      <c r="B415" s="958"/>
    </row>
    <row r="416" spans="2:5">
      <c r="B416" s="958"/>
    </row>
    <row r="417" spans="2:3">
      <c r="B417" s="958"/>
    </row>
    <row r="418" spans="2:3">
      <c r="B418" s="958"/>
    </row>
    <row r="419" spans="2:3">
      <c r="B419" s="958"/>
    </row>
    <row r="420" spans="2:3">
      <c r="B420" s="958"/>
    </row>
    <row r="421" spans="2:3">
      <c r="B421" s="958"/>
    </row>
    <row r="422" spans="2:3">
      <c r="B422" s="958"/>
    </row>
    <row r="423" spans="2:3">
      <c r="B423" s="958"/>
      <c r="C423" s="1322"/>
    </row>
    <row r="440" spans="5:5">
      <c r="E440" s="1322"/>
    </row>
    <row r="458" spans="5:5">
      <c r="E458" s="1322"/>
    </row>
    <row r="469" spans="3:5">
      <c r="E469" s="1322"/>
    </row>
    <row r="474" spans="3:5">
      <c r="C474" s="1322"/>
    </row>
  </sheetData>
  <mergeCells count="17">
    <mergeCell ref="E40:G40"/>
    <mergeCell ref="E49:F49"/>
    <mergeCell ref="E50:F50"/>
    <mergeCell ref="E51:G51"/>
    <mergeCell ref="E53:F53"/>
    <mergeCell ref="E34:F34"/>
    <mergeCell ref="A1:H1"/>
    <mergeCell ref="A2:H2"/>
    <mergeCell ref="A3:H3"/>
    <mergeCell ref="C4:D4"/>
    <mergeCell ref="E6:F6"/>
    <mergeCell ref="E22:F22"/>
    <mergeCell ref="E23:F23"/>
    <mergeCell ref="E24:F24"/>
    <mergeCell ref="E25:F25"/>
    <mergeCell ref="E29:F29"/>
    <mergeCell ref="E30:F30"/>
  </mergeCells>
  <pageMargins left="0.7" right="0.26" top="0.75" bottom="0.75" header="0.3" footer="0.3"/>
  <pageSetup paperSize="9" scale="85" orientation="portrait" r:id="rId1"/>
</worksheet>
</file>

<file path=xl/worksheets/sheet15.xml><?xml version="1.0" encoding="utf-8"?>
<worksheet xmlns="http://schemas.openxmlformats.org/spreadsheetml/2006/main" xmlns:r="http://schemas.openxmlformats.org/officeDocument/2006/relationships">
  <sheetPr>
    <tabColor rgb="FF00B0F0"/>
  </sheetPr>
  <dimension ref="A1:H451"/>
  <sheetViews>
    <sheetView view="pageBreakPreview" topLeftCell="A16" zoomScaleSheetLayoutView="100" workbookViewId="0">
      <selection activeCell="F38" sqref="F38"/>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37.5" customHeight="1">
      <c r="A2" s="1544" t="str">
        <f>'Sullage drain'!A2:H2</f>
        <v>N/W : Construction of District office building for Tamilnadu Pollution Control Board at Theni in Theni district.</v>
      </c>
      <c r="B2" s="1544"/>
      <c r="C2" s="1544"/>
      <c r="D2" s="1544"/>
      <c r="E2" s="1544"/>
      <c r="F2" s="1544"/>
      <c r="G2" s="1544"/>
      <c r="H2" s="1544"/>
    </row>
    <row r="3" spans="1:8" ht="23.25" customHeight="1">
      <c r="A3" s="1552" t="s">
        <v>5900</v>
      </c>
      <c r="B3" s="1552"/>
      <c r="C3" s="1552"/>
      <c r="D3" s="1552"/>
      <c r="E3" s="1552"/>
      <c r="F3" s="1552"/>
      <c r="G3" s="1552"/>
      <c r="H3" s="1552"/>
    </row>
    <row r="4" spans="1:8">
      <c r="A4" s="1553" t="s">
        <v>4981</v>
      </c>
      <c r="B4" s="1553"/>
      <c r="C4" s="1553"/>
      <c r="D4" s="1553"/>
      <c r="E4" s="1553"/>
      <c r="F4" s="1553"/>
      <c r="G4" s="1553"/>
      <c r="H4" s="1553"/>
    </row>
    <row r="5" spans="1:8">
      <c r="A5" s="1344" t="s">
        <v>4960</v>
      </c>
      <c r="B5" s="1343" t="s">
        <v>5887</v>
      </c>
      <c r="C5" s="1554" t="s">
        <v>1375</v>
      </c>
      <c r="D5" s="1554"/>
      <c r="E5" s="1344" t="s">
        <v>4982</v>
      </c>
      <c r="F5" s="1344" t="s">
        <v>1500</v>
      </c>
      <c r="G5" s="1344" t="s">
        <v>4983</v>
      </c>
      <c r="H5" s="1344" t="s">
        <v>1007</v>
      </c>
    </row>
    <row r="6" spans="1:8" ht="31.5">
      <c r="A6" s="1344">
        <v>1</v>
      </c>
      <c r="B6" s="1345" t="s">
        <v>5901</v>
      </c>
      <c r="C6" s="1346"/>
      <c r="D6" s="1346"/>
      <c r="E6" s="1346"/>
      <c r="F6" s="1346"/>
      <c r="G6" s="1346"/>
      <c r="H6" s="1347"/>
    </row>
    <row r="7" spans="1:8">
      <c r="A7" s="1344"/>
      <c r="B7" s="1347" t="s">
        <v>5881</v>
      </c>
      <c r="C7" s="1346"/>
      <c r="D7" s="1346"/>
      <c r="E7" s="1348"/>
      <c r="F7" s="1348"/>
      <c r="G7" s="1349"/>
      <c r="H7" s="1350"/>
    </row>
    <row r="8" spans="1:8">
      <c r="A8" s="1344"/>
      <c r="B8" s="1347" t="s">
        <v>6067</v>
      </c>
      <c r="C8" s="1346">
        <v>1</v>
      </c>
      <c r="D8" s="1346">
        <v>1</v>
      </c>
      <c r="E8" s="1346">
        <v>100.3</v>
      </c>
      <c r="F8" s="1349">
        <v>0.3</v>
      </c>
      <c r="G8" s="1349">
        <v>0.45</v>
      </c>
      <c r="H8" s="1350">
        <f>PRODUCT(C8:G8)</f>
        <v>13.54</v>
      </c>
    </row>
    <row r="9" spans="1:8">
      <c r="A9" s="1344"/>
      <c r="B9" s="1347"/>
      <c r="C9" s="1346"/>
      <c r="D9" s="1346"/>
      <c r="E9" s="1346"/>
      <c r="F9" s="1349"/>
      <c r="G9" s="1349"/>
      <c r="H9" s="1350">
        <f>SUM(H8:H8)</f>
        <v>13.54</v>
      </c>
    </row>
    <row r="10" spans="1:8">
      <c r="A10" s="1344"/>
      <c r="B10" s="1347"/>
      <c r="C10" s="1346"/>
      <c r="D10" s="1346"/>
      <c r="E10" s="1349"/>
      <c r="F10" s="1349" t="s">
        <v>5429</v>
      </c>
      <c r="G10" s="1351">
        <f>ROUNDUP(H9,1)</f>
        <v>13.6</v>
      </c>
      <c r="H10" s="1348" t="s">
        <v>1289</v>
      </c>
    </row>
    <row r="11" spans="1:8" ht="31.5">
      <c r="A11" s="1344">
        <v>2</v>
      </c>
      <c r="B11" s="1345" t="s">
        <v>5902</v>
      </c>
      <c r="C11" s="1346"/>
      <c r="D11" s="1346"/>
      <c r="E11" s="1349"/>
      <c r="F11" s="1349"/>
      <c r="G11" s="1348"/>
      <c r="H11" s="1348"/>
    </row>
    <row r="12" spans="1:8">
      <c r="A12" s="1344"/>
      <c r="B12" s="1347" t="s">
        <v>6067</v>
      </c>
      <c r="C12" s="1346">
        <v>1</v>
      </c>
      <c r="D12" s="1346">
        <v>1</v>
      </c>
      <c r="E12" s="1346">
        <v>100.3</v>
      </c>
      <c r="F12" s="1349">
        <v>0.3</v>
      </c>
      <c r="G12" s="1354">
        <v>7.4999999999999997E-2</v>
      </c>
      <c r="H12" s="1350">
        <f>PRODUCT(C12:G12)</f>
        <v>2.2599999999999998</v>
      </c>
    </row>
    <row r="13" spans="1:8">
      <c r="A13" s="1344"/>
      <c r="B13" s="1347"/>
      <c r="C13" s="1346"/>
      <c r="D13" s="1346"/>
      <c r="E13" s="1349"/>
      <c r="F13" s="1349"/>
      <c r="G13" s="1349"/>
      <c r="H13" s="1350">
        <f>SUM(H12:H12)</f>
        <v>2.2599999999999998</v>
      </c>
    </row>
    <row r="14" spans="1:8">
      <c r="A14" s="1344"/>
      <c r="B14" s="1347"/>
      <c r="C14" s="1346"/>
      <c r="D14" s="1346"/>
      <c r="E14" s="1349"/>
      <c r="F14" s="1349" t="s">
        <v>5429</v>
      </c>
      <c r="G14" s="1351">
        <f>ROUNDUP(H13,1)</f>
        <v>2.2999999999999998</v>
      </c>
      <c r="H14" s="1352" t="s">
        <v>1289</v>
      </c>
    </row>
    <row r="15" spans="1:8">
      <c r="A15" s="1344">
        <v>3</v>
      </c>
      <c r="B15" s="1345" t="s">
        <v>5890</v>
      </c>
      <c r="C15" s="1346"/>
      <c r="D15" s="1346"/>
      <c r="E15" s="1346"/>
      <c r="F15" s="1346"/>
      <c r="G15" s="1346"/>
      <c r="H15" s="1347"/>
    </row>
    <row r="16" spans="1:8">
      <c r="A16" s="1344"/>
      <c r="B16" s="1347" t="s">
        <v>6067</v>
      </c>
      <c r="C16" s="1346">
        <v>1</v>
      </c>
      <c r="D16" s="1346">
        <v>1</v>
      </c>
      <c r="E16" s="1346">
        <v>100.3</v>
      </c>
      <c r="F16" s="1349">
        <v>0.3</v>
      </c>
      <c r="G16" s="1354">
        <v>0.1</v>
      </c>
      <c r="H16" s="1350">
        <f>PRODUCT(C16:G16)</f>
        <v>3.01</v>
      </c>
    </row>
    <row r="17" spans="1:8">
      <c r="A17" s="1344"/>
      <c r="B17" s="1347"/>
      <c r="C17" s="1346"/>
      <c r="D17" s="1346"/>
      <c r="E17" s="1349"/>
      <c r="F17" s="1349"/>
      <c r="G17" s="1348"/>
      <c r="H17" s="1351">
        <f>SUM(H16:H16)</f>
        <v>3.01</v>
      </c>
    </row>
    <row r="18" spans="1:8">
      <c r="A18" s="1344"/>
      <c r="B18" s="1347"/>
      <c r="C18" s="1346"/>
      <c r="D18" s="1346"/>
      <c r="E18" s="1349"/>
      <c r="F18" s="1349" t="s">
        <v>5429</v>
      </c>
      <c r="G18" s="1351">
        <f>ROUNDUP(H17,1)</f>
        <v>3.1</v>
      </c>
      <c r="H18" s="1352" t="s">
        <v>1289</v>
      </c>
    </row>
    <row r="19" spans="1:8">
      <c r="A19" s="1344"/>
      <c r="B19" s="1347"/>
      <c r="C19" s="1346"/>
      <c r="D19" s="1346"/>
      <c r="E19" s="1349"/>
      <c r="F19" s="1349"/>
      <c r="G19" s="1351"/>
      <c r="H19" s="1352"/>
    </row>
    <row r="20" spans="1:8" ht="31.5">
      <c r="A20" s="1344"/>
      <c r="B20" s="1345" t="s">
        <v>5903</v>
      </c>
      <c r="C20" s="1346"/>
      <c r="D20" s="1346"/>
      <c r="E20" s="1346"/>
      <c r="F20" s="1346"/>
      <c r="G20" s="1346"/>
      <c r="H20" s="1347"/>
    </row>
    <row r="21" spans="1:8">
      <c r="A21" s="1344"/>
      <c r="B21" s="1347" t="s">
        <v>6067</v>
      </c>
      <c r="C21" s="1346">
        <v>1</v>
      </c>
      <c r="D21" s="1346">
        <v>1</v>
      </c>
      <c r="E21" s="1346">
        <v>100.3</v>
      </c>
      <c r="F21" s="1349">
        <v>0.23</v>
      </c>
      <c r="G21" s="1354">
        <v>0.6</v>
      </c>
      <c r="H21" s="1350">
        <f>PRODUCT(C21:G21)</f>
        <v>13.84</v>
      </c>
    </row>
    <row r="22" spans="1:8">
      <c r="A22" s="1344"/>
      <c r="B22" s="1347"/>
      <c r="C22" s="1347"/>
      <c r="D22" s="1347"/>
      <c r="E22" s="1347"/>
      <c r="F22" s="1347"/>
      <c r="G22" s="1347"/>
      <c r="H22" s="1350">
        <f>SUM(H21:H21)</f>
        <v>13.84</v>
      </c>
    </row>
    <row r="23" spans="1:8">
      <c r="A23" s="1344"/>
      <c r="B23" s="1347"/>
      <c r="C23" s="1346"/>
      <c r="D23" s="1346"/>
      <c r="E23" s="1349"/>
      <c r="F23" s="1349" t="s">
        <v>5429</v>
      </c>
      <c r="G23" s="1351">
        <f>ROUNDUP(H22,1)</f>
        <v>13.9</v>
      </c>
      <c r="H23" s="1348" t="s">
        <v>2070</v>
      </c>
    </row>
    <row r="24" spans="1:8">
      <c r="A24" s="1344"/>
      <c r="B24" s="1347"/>
      <c r="C24" s="1346"/>
      <c r="D24" s="1346"/>
      <c r="E24" s="1349"/>
      <c r="F24" s="1349"/>
      <c r="G24" s="1351"/>
      <c r="H24" s="1352"/>
    </row>
    <row r="25" spans="1:8">
      <c r="A25" s="1344"/>
      <c r="B25" s="1347"/>
      <c r="C25" s="1346"/>
      <c r="D25" s="1346"/>
      <c r="E25" s="1349"/>
      <c r="F25" s="1349"/>
      <c r="G25" s="1351"/>
      <c r="H25" s="1352"/>
    </row>
    <row r="26" spans="1:8">
      <c r="A26" s="1344">
        <v>4</v>
      </c>
      <c r="B26" s="1345" t="s">
        <v>5893</v>
      </c>
      <c r="C26" s="1346"/>
      <c r="D26" s="1346"/>
      <c r="E26" s="1346"/>
      <c r="F26" s="1346"/>
      <c r="G26" s="1346"/>
      <c r="H26" s="1347"/>
    </row>
    <row r="27" spans="1:8">
      <c r="A27" s="1344"/>
      <c r="B27" s="1347" t="s">
        <v>6067</v>
      </c>
      <c r="C27" s="1346">
        <v>1</v>
      </c>
      <c r="D27" s="1346">
        <v>1</v>
      </c>
      <c r="E27" s="1346">
        <v>100.3</v>
      </c>
      <c r="F27" s="1349"/>
      <c r="G27" s="1354">
        <v>0.6</v>
      </c>
      <c r="H27" s="1350">
        <f>PRODUCT(C27:G27)</f>
        <v>60.18</v>
      </c>
    </row>
    <row r="28" spans="1:8">
      <c r="A28" s="1347"/>
      <c r="B28" s="1347"/>
      <c r="C28" s="1347"/>
      <c r="D28" s="1347"/>
      <c r="E28" s="1347"/>
      <c r="F28" s="1347"/>
      <c r="G28" s="1347"/>
      <c r="H28" s="1350">
        <f>SUM(H27:H27)</f>
        <v>60.18</v>
      </c>
    </row>
    <row r="29" spans="1:8">
      <c r="A29" s="1344"/>
      <c r="B29" s="1347"/>
      <c r="C29" s="1346"/>
      <c r="D29" s="1346"/>
      <c r="E29" s="1349"/>
      <c r="F29" s="1349" t="s">
        <v>5429</v>
      </c>
      <c r="G29" s="1351">
        <f>ROUNDUP(H28,1)</f>
        <v>60.2</v>
      </c>
      <c r="H29" s="1348" t="s">
        <v>222</v>
      </c>
    </row>
    <row r="30" spans="1:8">
      <c r="A30" s="1344">
        <v>5</v>
      </c>
      <c r="B30" s="1347" t="s">
        <v>5896</v>
      </c>
      <c r="C30" s="1346"/>
      <c r="D30" s="1346"/>
      <c r="E30" s="1346"/>
      <c r="F30" s="1346"/>
      <c r="G30" s="1346"/>
      <c r="H30" s="1347"/>
    </row>
    <row r="31" spans="1:8">
      <c r="A31" s="1344"/>
      <c r="B31" s="1347" t="s">
        <v>6067</v>
      </c>
      <c r="C31" s="1346">
        <v>1</v>
      </c>
      <c r="D31" s="1346">
        <v>1</v>
      </c>
      <c r="E31" s="1346">
        <v>100.3</v>
      </c>
      <c r="F31" s="1349"/>
      <c r="G31" s="1354">
        <v>1.2</v>
      </c>
      <c r="H31" s="1350">
        <f>PRODUCT(C31:G31)</f>
        <v>120.36</v>
      </c>
    </row>
    <row r="32" spans="1:8">
      <c r="A32" s="1344"/>
      <c r="B32" s="1347"/>
      <c r="C32" s="1346"/>
      <c r="D32" s="1346"/>
      <c r="E32" s="1349"/>
      <c r="F32" s="1349"/>
      <c r="G32" s="1349"/>
      <c r="H32" s="1350">
        <f>SUM(H31:H31)</f>
        <v>120.36</v>
      </c>
    </row>
    <row r="33" spans="1:8">
      <c r="A33" s="1344"/>
      <c r="B33" s="1347"/>
      <c r="C33" s="1346"/>
      <c r="D33" s="1346"/>
      <c r="E33" s="1349"/>
      <c r="F33" s="1349" t="s">
        <v>5429</v>
      </c>
      <c r="G33" s="1351">
        <f>ROUNDUP(H32,1)</f>
        <v>120.4</v>
      </c>
      <c r="H33" s="1348" t="s">
        <v>222</v>
      </c>
    </row>
    <row r="34" spans="1:8" ht="47.25">
      <c r="A34" s="1344">
        <v>6</v>
      </c>
      <c r="B34" s="1345" t="s">
        <v>5904</v>
      </c>
      <c r="C34" s="1346"/>
      <c r="D34" s="1346"/>
      <c r="E34" s="1346"/>
      <c r="F34" s="1346"/>
      <c r="G34" s="1346"/>
      <c r="H34" s="1347"/>
    </row>
    <row r="35" spans="1:8">
      <c r="A35" s="1344"/>
      <c r="B35" s="1347" t="s">
        <v>6067</v>
      </c>
      <c r="C35" s="1346">
        <v>1</v>
      </c>
      <c r="D35" s="1346">
        <v>1</v>
      </c>
      <c r="E35" s="1346">
        <v>100.3</v>
      </c>
      <c r="F35" s="1349">
        <v>0.6</v>
      </c>
      <c r="G35" s="1349"/>
      <c r="H35" s="1350">
        <f>PRODUCT(C35:G35)</f>
        <v>60.18</v>
      </c>
    </row>
    <row r="36" spans="1:8">
      <c r="A36" s="1344"/>
      <c r="B36" s="1345"/>
      <c r="C36" s="1346"/>
      <c r="D36" s="1346"/>
      <c r="E36" s="1346"/>
      <c r="F36" s="1346"/>
      <c r="G36" s="1346"/>
      <c r="H36" s="1350">
        <f>SUM(H35:H35)</f>
        <v>60.18</v>
      </c>
    </row>
    <row r="37" spans="1:8">
      <c r="A37" s="1344"/>
      <c r="B37" s="1345"/>
      <c r="C37" s="1346"/>
      <c r="D37" s="1346"/>
      <c r="E37" s="1346"/>
      <c r="F37" s="1349" t="s">
        <v>5429</v>
      </c>
      <c r="G37" s="1351">
        <f>ROUNDUP(H36,1)</f>
        <v>60.2</v>
      </c>
      <c r="H37" s="1348" t="s">
        <v>222</v>
      </c>
    </row>
    <row r="38" spans="1:8">
      <c r="A38" s="1344">
        <v>7</v>
      </c>
      <c r="B38" s="1345" t="s">
        <v>6118</v>
      </c>
      <c r="C38" s="1346"/>
      <c r="D38" s="1346"/>
      <c r="E38" s="1346"/>
      <c r="F38" s="1346"/>
      <c r="G38" s="1346"/>
      <c r="H38" s="1347"/>
    </row>
    <row r="39" spans="1:8">
      <c r="A39" s="1344"/>
      <c r="B39" s="1347" t="s">
        <v>6067</v>
      </c>
      <c r="C39" s="1346">
        <v>1</v>
      </c>
      <c r="D39" s="1346">
        <v>1</v>
      </c>
      <c r="E39" s="1346">
        <v>100.3</v>
      </c>
      <c r="F39" s="1349">
        <v>0.49</v>
      </c>
      <c r="G39" s="1354">
        <v>1.075</v>
      </c>
      <c r="H39" s="1350">
        <f>PRODUCT(C39:G39)</f>
        <v>52.83</v>
      </c>
    </row>
    <row r="40" spans="1:8">
      <c r="A40" s="1344"/>
      <c r="B40" s="1347"/>
      <c r="C40" s="1346"/>
      <c r="D40" s="1346"/>
      <c r="E40" s="1349"/>
      <c r="F40" s="1349"/>
      <c r="G40" s="1349"/>
      <c r="H40" s="1350">
        <f>SUM(H39:H39)</f>
        <v>52.83</v>
      </c>
    </row>
    <row r="41" spans="1:8">
      <c r="A41" s="1344"/>
      <c r="B41" s="1347"/>
      <c r="C41" s="1346"/>
      <c r="D41" s="1346"/>
      <c r="E41" s="1349"/>
      <c r="F41" s="1349" t="s">
        <v>5429</v>
      </c>
      <c r="G41" s="1351">
        <f>ROUNDUP(H40,1)</f>
        <v>52.9</v>
      </c>
      <c r="H41" s="1348" t="s">
        <v>2070</v>
      </c>
    </row>
    <row r="61" spans="5:5">
      <c r="E61" s="37"/>
    </row>
    <row r="83" spans="5:5">
      <c r="E83" s="37"/>
    </row>
    <row r="97" spans="5:5">
      <c r="E97" s="37"/>
    </row>
    <row r="117" spans="5:5">
      <c r="E117" s="37"/>
    </row>
    <row r="139" spans="5:5">
      <c r="E139" s="37"/>
    </row>
    <row r="162" spans="5:5">
      <c r="E162" s="37"/>
    </row>
    <row r="167" spans="5:5">
      <c r="E167" s="37"/>
    </row>
    <row r="174" spans="5:5">
      <c r="E174" s="37"/>
    </row>
    <row r="200" spans="5:5">
      <c r="E200" s="37"/>
    </row>
    <row r="214" spans="5:5">
      <c r="E214" s="37"/>
    </row>
    <row r="225" spans="5:5">
      <c r="E225" s="37"/>
    </row>
    <row r="244" spans="5:5">
      <c r="E244" s="37"/>
    </row>
    <row r="253" spans="5:5">
      <c r="E253" s="37"/>
    </row>
    <row r="304" spans="5:5">
      <c r="E304" s="37"/>
    </row>
    <row r="329" spans="5:5">
      <c r="E329" s="37"/>
    </row>
    <row r="349" spans="5:5">
      <c r="E349" s="37"/>
    </row>
    <row r="376" spans="5:5">
      <c r="E376" s="37"/>
    </row>
    <row r="384" spans="5:5">
      <c r="E384" s="37"/>
    </row>
    <row r="386" spans="2:3">
      <c r="B386"/>
    </row>
    <row r="387" spans="2:3">
      <c r="B387"/>
    </row>
    <row r="388" spans="2:3">
      <c r="B388"/>
    </row>
    <row r="389" spans="2:3">
      <c r="B389"/>
    </row>
    <row r="390" spans="2:3">
      <c r="B390"/>
    </row>
    <row r="391" spans="2:3">
      <c r="B391"/>
    </row>
    <row r="392" spans="2:3">
      <c r="B392"/>
    </row>
    <row r="393" spans="2:3">
      <c r="B393"/>
    </row>
    <row r="394" spans="2:3">
      <c r="B394"/>
    </row>
    <row r="395" spans="2:3">
      <c r="B395"/>
    </row>
    <row r="396" spans="2:3">
      <c r="B396"/>
    </row>
    <row r="397" spans="2:3">
      <c r="B397"/>
    </row>
    <row r="398" spans="2:3">
      <c r="B398"/>
    </row>
    <row r="399" spans="2:3">
      <c r="B399"/>
    </row>
    <row r="400" spans="2:3">
      <c r="B400"/>
      <c r="C400" s="37"/>
    </row>
    <row r="417" spans="5:5">
      <c r="E417" s="37"/>
    </row>
    <row r="435" spans="5:5">
      <c r="E435" s="37"/>
    </row>
    <row r="446" spans="5:5">
      <c r="E446" s="37"/>
    </row>
    <row r="451" spans="3:3">
      <c r="C451" s="37"/>
    </row>
  </sheetData>
  <mergeCells count="5">
    <mergeCell ref="A1:H1"/>
    <mergeCell ref="A2:H2"/>
    <mergeCell ref="A3:H3"/>
    <mergeCell ref="A4:H4"/>
    <mergeCell ref="C5:D5"/>
  </mergeCells>
  <pageMargins left="0.7" right="0.7" top="0.75" bottom="0.75" header="0.3" footer="0.3"/>
  <pageSetup paperSize="9" scale="90" orientation="portrait" r:id="rId1"/>
</worksheet>
</file>

<file path=xl/worksheets/sheet16.xml><?xml version="1.0" encoding="utf-8"?>
<worksheet xmlns="http://schemas.openxmlformats.org/spreadsheetml/2006/main" xmlns:r="http://schemas.openxmlformats.org/officeDocument/2006/relationships">
  <sheetPr>
    <tabColor rgb="FF00B0F0"/>
  </sheetPr>
  <dimension ref="A1:H488"/>
  <sheetViews>
    <sheetView view="pageBreakPreview" topLeftCell="A19" zoomScaleSheetLayoutView="100" workbookViewId="0">
      <selection activeCell="G33" sqref="G33"/>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55" t="str">
        <f>Sump!A2</f>
        <v>N/W : Construction of District office building for Tamilnadu Pollution Control Board at Theni in Theni district.</v>
      </c>
      <c r="B2" s="1555"/>
      <c r="C2" s="1555"/>
      <c r="D2" s="1555"/>
      <c r="E2" s="1555"/>
      <c r="F2" s="1555"/>
      <c r="G2" s="1555"/>
      <c r="H2" s="1555"/>
    </row>
    <row r="3" spans="1:8" ht="23.25" customHeight="1">
      <c r="A3" s="1556" t="s">
        <v>5877</v>
      </c>
      <c r="B3" s="1557"/>
      <c r="C3" s="1557"/>
      <c r="D3" s="1557"/>
      <c r="E3" s="1557"/>
      <c r="F3" s="1557"/>
      <c r="G3" s="1557"/>
      <c r="H3" s="1558"/>
    </row>
    <row r="4" spans="1:8">
      <c r="A4" s="1553" t="s">
        <v>4981</v>
      </c>
      <c r="B4" s="1553"/>
      <c r="C4" s="1553"/>
      <c r="D4" s="1553"/>
      <c r="E4" s="1553"/>
      <c r="F4" s="1553"/>
      <c r="G4" s="1553"/>
      <c r="H4" s="1553"/>
    </row>
    <row r="5" spans="1:8">
      <c r="A5" s="1343" t="s">
        <v>5878</v>
      </c>
      <c r="B5" s="1343" t="s">
        <v>5879</v>
      </c>
      <c r="C5" s="1554" t="s">
        <v>1375</v>
      </c>
      <c r="D5" s="1554"/>
      <c r="E5" s="1344" t="s">
        <v>4982</v>
      </c>
      <c r="F5" s="1344" t="s">
        <v>1500</v>
      </c>
      <c r="G5" s="1344" t="s">
        <v>4983</v>
      </c>
      <c r="H5" s="1344" t="s">
        <v>1007</v>
      </c>
    </row>
    <row r="6" spans="1:8" ht="31.5">
      <c r="A6" s="1344">
        <v>1</v>
      </c>
      <c r="B6" s="1345" t="s">
        <v>5880</v>
      </c>
      <c r="C6" s="1346"/>
      <c r="D6" s="1346"/>
      <c r="E6" s="1346"/>
      <c r="F6" s="1346"/>
      <c r="G6" s="1346"/>
      <c r="H6" s="1347"/>
    </row>
    <row r="7" spans="1:8">
      <c r="A7" s="1344"/>
      <c r="B7" s="1347" t="s">
        <v>5881</v>
      </c>
      <c r="C7" s="1346"/>
      <c r="D7" s="1346"/>
      <c r="E7" s="1348"/>
      <c r="F7" s="1348"/>
      <c r="G7" s="1349"/>
      <c r="H7" s="1350"/>
    </row>
    <row r="8" spans="1:8">
      <c r="A8" s="1344"/>
      <c r="B8" s="1347" t="s">
        <v>5882</v>
      </c>
      <c r="C8" s="1346">
        <v>1</v>
      </c>
      <c r="D8" s="1346">
        <v>1</v>
      </c>
      <c r="E8" s="1349">
        <v>123.2</v>
      </c>
      <c r="F8" s="1349">
        <v>6</v>
      </c>
      <c r="G8" s="1349">
        <v>0.15</v>
      </c>
      <c r="H8" s="1350">
        <f>PRODUCT(C8:G8)</f>
        <v>110.88</v>
      </c>
    </row>
    <row r="9" spans="1:8">
      <c r="A9" s="1344"/>
      <c r="B9" s="1347" t="s">
        <v>6068</v>
      </c>
      <c r="C9" s="1346">
        <v>1</v>
      </c>
      <c r="D9" s="1346">
        <v>1</v>
      </c>
      <c r="E9" s="1349">
        <v>15.8</v>
      </c>
      <c r="F9" s="1349">
        <v>20</v>
      </c>
      <c r="G9" s="1349">
        <v>0.15</v>
      </c>
      <c r="H9" s="1350">
        <f>PRODUCT(C9:G9)</f>
        <v>47.4</v>
      </c>
    </row>
    <row r="10" spans="1:8">
      <c r="A10" s="1344"/>
      <c r="B10" s="1347"/>
      <c r="C10" s="1346"/>
      <c r="D10" s="1346"/>
      <c r="E10" s="1349"/>
      <c r="F10" s="1349"/>
      <c r="G10" s="1349"/>
      <c r="H10" s="1350">
        <f>SUM(H8:H9)</f>
        <v>158.28</v>
      </c>
    </row>
    <row r="11" spans="1:8">
      <c r="A11" s="1344"/>
      <c r="B11" s="1347"/>
      <c r="C11" s="1346"/>
      <c r="D11" s="1346"/>
      <c r="E11" s="1349"/>
      <c r="F11" s="1349" t="s">
        <v>5429</v>
      </c>
      <c r="G11" s="1351">
        <f>ROUNDUP(H10,1)</f>
        <v>158.30000000000001</v>
      </c>
      <c r="H11" s="1352" t="s">
        <v>1289</v>
      </c>
    </row>
    <row r="12" spans="1:8" ht="31.5">
      <c r="A12" s="1344">
        <v>2</v>
      </c>
      <c r="B12" s="1345" t="s">
        <v>5883</v>
      </c>
      <c r="C12" s="1346"/>
      <c r="D12" s="1346"/>
      <c r="E12" s="1349"/>
      <c r="F12" s="1346"/>
      <c r="G12" s="1346"/>
      <c r="H12" s="1347"/>
    </row>
    <row r="13" spans="1:8">
      <c r="A13" s="1344"/>
      <c r="B13" s="1347" t="s">
        <v>5882</v>
      </c>
      <c r="C13" s="1346">
        <v>1</v>
      </c>
      <c r="D13" s="1346">
        <v>1</v>
      </c>
      <c r="E13" s="1349">
        <v>123.2</v>
      </c>
      <c r="F13" s="1349">
        <v>6</v>
      </c>
      <c r="G13" s="1349">
        <v>0.15</v>
      </c>
      <c r="H13" s="1350">
        <f>PRODUCT(C13:G13)</f>
        <v>110.88</v>
      </c>
    </row>
    <row r="14" spans="1:8">
      <c r="A14" s="1344"/>
      <c r="B14" s="1347" t="s">
        <v>6068</v>
      </c>
      <c r="C14" s="1346">
        <v>1</v>
      </c>
      <c r="D14" s="1346">
        <v>1</v>
      </c>
      <c r="E14" s="1349">
        <v>15.8</v>
      </c>
      <c r="F14" s="1349">
        <v>20</v>
      </c>
      <c r="G14" s="1349">
        <v>0.15</v>
      </c>
      <c r="H14" s="1350">
        <f>PRODUCT(C14:G14)</f>
        <v>47.4</v>
      </c>
    </row>
    <row r="15" spans="1:8">
      <c r="A15" s="1344"/>
      <c r="B15" s="1347"/>
      <c r="C15" s="1346"/>
      <c r="D15" s="1346"/>
      <c r="E15" s="1349"/>
      <c r="F15" s="1349"/>
      <c r="G15" s="1349"/>
      <c r="H15" s="1350">
        <f>SUM(H13:H14)</f>
        <v>158.28</v>
      </c>
    </row>
    <row r="16" spans="1:8">
      <c r="A16" s="1344"/>
      <c r="B16" s="1347"/>
      <c r="C16" s="1346"/>
      <c r="D16" s="1346"/>
      <c r="E16" s="1349"/>
      <c r="F16" s="1349" t="s">
        <v>5429</v>
      </c>
      <c r="G16" s="1351">
        <f>ROUNDUP(H15,1)</f>
        <v>158.30000000000001</v>
      </c>
      <c r="H16" s="1352" t="s">
        <v>1289</v>
      </c>
    </row>
    <row r="17" spans="1:8">
      <c r="A17" s="1344"/>
      <c r="B17" s="1347"/>
      <c r="C17" s="1346"/>
      <c r="D17" s="1346"/>
      <c r="E17" s="1349"/>
      <c r="F17" s="1349"/>
      <c r="G17" s="1348"/>
      <c r="H17" s="1348"/>
    </row>
    <row r="18" spans="1:8" ht="63">
      <c r="A18" s="1344">
        <v>3</v>
      </c>
      <c r="B18" s="1353" t="s">
        <v>5049</v>
      </c>
      <c r="C18" s="1346"/>
      <c r="D18" s="1346"/>
      <c r="E18" s="1349"/>
      <c r="F18" s="1346"/>
      <c r="G18" s="1346"/>
      <c r="H18" s="1347"/>
    </row>
    <row r="19" spans="1:8">
      <c r="A19" s="1344"/>
      <c r="B19" s="1347" t="s">
        <v>5882</v>
      </c>
      <c r="C19" s="1346">
        <v>1</v>
      </c>
      <c r="D19" s="1346">
        <v>1</v>
      </c>
      <c r="E19" s="1349">
        <v>123.2</v>
      </c>
      <c r="F19" s="1349">
        <v>6</v>
      </c>
      <c r="G19" s="1349"/>
      <c r="H19" s="1350">
        <f>PRODUCT(C19:G19)</f>
        <v>739.2</v>
      </c>
    </row>
    <row r="20" spans="1:8">
      <c r="A20" s="1344"/>
      <c r="B20" s="1347" t="s">
        <v>6068</v>
      </c>
      <c r="C20" s="1346">
        <v>1</v>
      </c>
      <c r="D20" s="1346">
        <v>1</v>
      </c>
      <c r="E20" s="1349">
        <v>15.8</v>
      </c>
      <c r="F20" s="1349">
        <v>20</v>
      </c>
      <c r="G20" s="1349"/>
      <c r="H20" s="1350">
        <f>PRODUCT(C20:G20)</f>
        <v>316</v>
      </c>
    </row>
    <row r="21" spans="1:8">
      <c r="A21" s="1344"/>
      <c r="B21" s="1347"/>
      <c r="C21" s="1346"/>
      <c r="D21" s="1346"/>
      <c r="E21" s="1349"/>
      <c r="F21" s="1349"/>
      <c r="G21" s="1349"/>
      <c r="H21" s="1350">
        <f>SUM(H19:H20)</f>
        <v>1055.2</v>
      </c>
    </row>
    <row r="22" spans="1:8">
      <c r="A22" s="1344"/>
      <c r="B22" s="1347"/>
      <c r="C22" s="1346"/>
      <c r="D22" s="1346"/>
      <c r="E22" s="1349"/>
      <c r="F22" s="1349" t="s">
        <v>5429</v>
      </c>
      <c r="G22" s="1351">
        <f>ROUNDUP(H21,1)</f>
        <v>1055.2</v>
      </c>
      <c r="H22" s="1352" t="s">
        <v>1289</v>
      </c>
    </row>
    <row r="23" spans="1:8">
      <c r="A23" s="1344"/>
      <c r="B23" s="1347"/>
      <c r="C23" s="1346"/>
      <c r="D23" s="1346"/>
      <c r="E23" s="1349"/>
      <c r="F23" s="1349"/>
      <c r="G23" s="1351"/>
      <c r="H23" s="1348"/>
    </row>
    <row r="24" spans="1:8" ht="31.5">
      <c r="A24" s="1344">
        <v>4</v>
      </c>
      <c r="B24" s="1345" t="s">
        <v>5884</v>
      </c>
      <c r="C24" s="1346"/>
      <c r="D24" s="1346"/>
      <c r="E24" s="1349"/>
      <c r="F24" s="1346"/>
      <c r="G24" s="1346"/>
      <c r="H24" s="1347"/>
    </row>
    <row r="25" spans="1:8">
      <c r="A25" s="1344"/>
      <c r="B25" s="1347" t="s">
        <v>5882</v>
      </c>
      <c r="C25" s="1346">
        <v>2</v>
      </c>
      <c r="D25" s="1346">
        <v>1</v>
      </c>
      <c r="E25" s="1349">
        <v>123.2</v>
      </c>
      <c r="F25" s="1349"/>
      <c r="G25" s="1349"/>
      <c r="H25" s="1350">
        <f>PRODUCT(C25:G25)</f>
        <v>246.4</v>
      </c>
    </row>
    <row r="26" spans="1:8">
      <c r="A26" s="1344"/>
      <c r="B26" s="1347" t="s">
        <v>6068</v>
      </c>
      <c r="C26" s="1346">
        <v>2</v>
      </c>
      <c r="D26" s="1346">
        <v>1</v>
      </c>
      <c r="E26" s="1349">
        <v>15.8</v>
      </c>
      <c r="F26" s="1349"/>
      <c r="G26" s="1349"/>
      <c r="H26" s="1350">
        <f>PRODUCT(C26:G26)</f>
        <v>31.6</v>
      </c>
    </row>
    <row r="27" spans="1:8">
      <c r="A27" s="1344"/>
      <c r="B27" s="1347"/>
      <c r="C27" s="1346"/>
      <c r="D27" s="1346"/>
      <c r="E27" s="1349"/>
      <c r="F27" s="1349"/>
      <c r="G27" s="1349"/>
      <c r="H27" s="1350">
        <f>SUM(H25:H26)</f>
        <v>278</v>
      </c>
    </row>
    <row r="28" spans="1:8">
      <c r="A28" s="1344"/>
      <c r="B28" s="1347"/>
      <c r="C28" s="1346"/>
      <c r="D28" s="1346"/>
      <c r="E28" s="1349"/>
      <c r="F28" s="1349" t="s">
        <v>5429</v>
      </c>
      <c r="G28" s="1351">
        <f>ROUNDUP(H27,1)</f>
        <v>278</v>
      </c>
      <c r="H28" s="1348" t="s">
        <v>1714</v>
      </c>
    </row>
    <row r="29" spans="1:8">
      <c r="A29" s="1344">
        <v>5</v>
      </c>
      <c r="B29" s="1347" t="s">
        <v>5885</v>
      </c>
      <c r="C29" s="1346"/>
      <c r="D29" s="1346"/>
      <c r="E29" s="1349"/>
      <c r="F29" s="1346"/>
      <c r="G29" s="1346"/>
      <c r="H29" s="1347"/>
    </row>
    <row r="30" spans="1:8">
      <c r="A30" s="1344"/>
      <c r="B30" s="1347" t="s">
        <v>5882</v>
      </c>
      <c r="C30" s="1346">
        <v>2</v>
      </c>
      <c r="D30" s="1346">
        <v>1</v>
      </c>
      <c r="E30" s="1349">
        <v>123.2</v>
      </c>
      <c r="F30" s="1349"/>
      <c r="G30" s="1349">
        <v>0.45</v>
      </c>
      <c r="H30" s="1350">
        <f>PRODUCT(C30:G30)</f>
        <v>110.88</v>
      </c>
    </row>
    <row r="31" spans="1:8">
      <c r="A31" s="1344"/>
      <c r="B31" s="1347" t="s">
        <v>6068</v>
      </c>
      <c r="C31" s="1346">
        <v>2</v>
      </c>
      <c r="D31" s="1346">
        <v>1</v>
      </c>
      <c r="E31" s="1349">
        <v>15.8</v>
      </c>
      <c r="F31" s="1349"/>
      <c r="G31" s="1349">
        <v>0.45</v>
      </c>
      <c r="H31" s="1350">
        <f>PRODUCT(C31:G31)</f>
        <v>14.22</v>
      </c>
    </row>
    <row r="32" spans="1:8">
      <c r="A32" s="1344"/>
      <c r="B32" s="1347"/>
      <c r="C32" s="1346"/>
      <c r="D32" s="1346"/>
      <c r="E32" s="1349"/>
      <c r="F32" s="1349"/>
      <c r="G32" s="1349"/>
      <c r="H32" s="1350">
        <f>SUM(H30:H31)</f>
        <v>125.1</v>
      </c>
    </row>
    <row r="33" spans="1:8">
      <c r="A33" s="1344"/>
      <c r="B33" s="1347"/>
      <c r="C33" s="1346"/>
      <c r="D33" s="1346"/>
      <c r="E33" s="1349"/>
      <c r="F33" s="1349" t="s">
        <v>5429</v>
      </c>
      <c r="G33" s="1351">
        <f>ROUNDUP(H32,1)</f>
        <v>125.1</v>
      </c>
      <c r="H33" s="1348" t="s">
        <v>222</v>
      </c>
    </row>
    <row r="38" spans="1:8">
      <c r="E38" s="37"/>
    </row>
    <row r="50" spans="5:5">
      <c r="E50" s="37"/>
    </row>
    <row r="64" spans="5:5">
      <c r="E64" s="37"/>
    </row>
    <row r="76" spans="5:5">
      <c r="E76" s="37"/>
    </row>
    <row r="98" spans="5:5">
      <c r="E98" s="37"/>
    </row>
    <row r="120" spans="5:5">
      <c r="E120" s="37"/>
    </row>
    <row r="134" spans="5:5">
      <c r="E134" s="37"/>
    </row>
    <row r="154" spans="5:5">
      <c r="E154" s="37"/>
    </row>
    <row r="176" spans="5:5">
      <c r="E176" s="37"/>
    </row>
    <row r="199" spans="5:5">
      <c r="E199" s="37"/>
    </row>
    <row r="204" spans="5:5">
      <c r="E204" s="37"/>
    </row>
    <row r="211" spans="5:5">
      <c r="E211" s="37"/>
    </row>
    <row r="237" spans="5:5">
      <c r="E237" s="37"/>
    </row>
    <row r="251" spans="5:5">
      <c r="E251" s="37"/>
    </row>
    <row r="262" spans="5:5">
      <c r="E262" s="37"/>
    </row>
    <row r="281" spans="5:5">
      <c r="E281" s="37"/>
    </row>
    <row r="290" spans="5:5">
      <c r="E290" s="37"/>
    </row>
    <row r="341" spans="5:5">
      <c r="E341" s="37"/>
    </row>
    <row r="366" spans="5:5">
      <c r="E366" s="37"/>
    </row>
    <row r="386" spans="5:5">
      <c r="E386" s="37"/>
    </row>
    <row r="413" spans="5:5">
      <c r="E413" s="37"/>
    </row>
    <row r="421" spans="2:5">
      <c r="E421" s="37"/>
    </row>
    <row r="423" spans="2:5">
      <c r="B423"/>
    </row>
    <row r="424" spans="2:5">
      <c r="B424"/>
    </row>
    <row r="425" spans="2:5">
      <c r="B425"/>
    </row>
    <row r="426" spans="2:5">
      <c r="B426"/>
    </row>
    <row r="427" spans="2:5">
      <c r="B427"/>
    </row>
    <row r="428" spans="2:5">
      <c r="B428"/>
    </row>
    <row r="429" spans="2:5">
      <c r="B429"/>
    </row>
    <row r="430" spans="2:5">
      <c r="B430"/>
    </row>
    <row r="431" spans="2:5">
      <c r="B431"/>
    </row>
    <row r="432" spans="2:5">
      <c r="B432"/>
    </row>
    <row r="433" spans="2:3">
      <c r="B433"/>
    </row>
    <row r="434" spans="2:3">
      <c r="B434"/>
    </row>
    <row r="435" spans="2:3">
      <c r="B435"/>
    </row>
    <row r="436" spans="2:3">
      <c r="B436"/>
    </row>
    <row r="437" spans="2:3">
      <c r="B437"/>
      <c r="C437" s="37"/>
    </row>
    <row r="454" spans="5:5">
      <c r="E454" s="37"/>
    </row>
    <row r="472" spans="5:5">
      <c r="E472" s="37"/>
    </row>
    <row r="483" spans="3:5">
      <c r="E483" s="37"/>
    </row>
    <row r="488" spans="3:5">
      <c r="C488" s="37"/>
    </row>
  </sheetData>
  <mergeCells count="5">
    <mergeCell ref="A1:H1"/>
    <mergeCell ref="A2:H2"/>
    <mergeCell ref="A3:H3"/>
    <mergeCell ref="A4:H4"/>
    <mergeCell ref="C5:D5"/>
  </mergeCells>
  <pageMargins left="0.7" right="0.7" top="0.75" bottom="0.75" header="0.3" footer="0.3"/>
  <pageSetup paperSize="9" scale="79" orientation="portrait" r:id="rId1"/>
</worksheet>
</file>

<file path=xl/worksheets/sheet17.xml><?xml version="1.0" encoding="utf-8"?>
<worksheet xmlns="http://schemas.openxmlformats.org/spreadsheetml/2006/main" xmlns:r="http://schemas.openxmlformats.org/officeDocument/2006/relationships">
  <sheetPr>
    <tabColor rgb="FF00B0F0"/>
  </sheetPr>
  <dimension ref="A1:H419"/>
  <sheetViews>
    <sheetView view="pageBreakPreview" topLeftCell="A22" zoomScaleSheetLayoutView="100" workbookViewId="0">
      <selection activeCell="A3" sqref="A3:H3"/>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44" t="str">
        <f>'Paver '!A2:H2</f>
        <v>N/W : Construction of District office building for Tamilnadu Pollution Control Board at Theni in Theni district.</v>
      </c>
      <c r="B2" s="1544"/>
      <c r="C2" s="1544"/>
      <c r="D2" s="1544"/>
      <c r="E2" s="1544"/>
      <c r="F2" s="1544"/>
      <c r="G2" s="1544"/>
      <c r="H2" s="1544"/>
    </row>
    <row r="3" spans="1:8" ht="23.25" customHeight="1">
      <c r="A3" s="1552" t="s">
        <v>5886</v>
      </c>
      <c r="B3" s="1552"/>
      <c r="C3" s="1552"/>
      <c r="D3" s="1552"/>
      <c r="E3" s="1552"/>
      <c r="F3" s="1552"/>
      <c r="G3" s="1552"/>
      <c r="H3" s="1552"/>
    </row>
    <row r="4" spans="1:8">
      <c r="A4" s="1553" t="s">
        <v>4981</v>
      </c>
      <c r="B4" s="1553"/>
      <c r="C4" s="1553"/>
      <c r="D4" s="1553"/>
      <c r="E4" s="1553"/>
      <c r="F4" s="1553"/>
      <c r="G4" s="1553"/>
      <c r="H4" s="1553"/>
    </row>
    <row r="5" spans="1:8">
      <c r="A5" s="1344" t="s">
        <v>4960</v>
      </c>
      <c r="B5" s="1343" t="s">
        <v>5887</v>
      </c>
      <c r="C5" s="1554" t="s">
        <v>1375</v>
      </c>
      <c r="D5" s="1554"/>
      <c r="E5" s="1344" t="s">
        <v>4982</v>
      </c>
      <c r="F5" s="1344" t="s">
        <v>1500</v>
      </c>
      <c r="G5" s="1344" t="s">
        <v>4983</v>
      </c>
      <c r="H5" s="1344" t="s">
        <v>1007</v>
      </c>
    </row>
    <row r="6" spans="1:8" ht="47.25">
      <c r="A6" s="1344">
        <v>1</v>
      </c>
      <c r="B6" s="1345" t="s">
        <v>5888</v>
      </c>
      <c r="C6" s="1346"/>
      <c r="D6" s="1346"/>
      <c r="E6" s="1346"/>
      <c r="F6" s="1346"/>
      <c r="G6" s="1346"/>
      <c r="H6" s="1347"/>
    </row>
    <row r="7" spans="1:8">
      <c r="A7" s="1344"/>
      <c r="B7" s="1347" t="s">
        <v>5881</v>
      </c>
      <c r="C7" s="1346"/>
      <c r="D7" s="1346"/>
      <c r="E7" s="1348"/>
      <c r="F7" s="1348"/>
      <c r="G7" s="1349"/>
      <c r="H7" s="1350"/>
    </row>
    <row r="8" spans="1:8">
      <c r="A8" s="1344"/>
      <c r="B8" s="1347" t="s">
        <v>5889</v>
      </c>
      <c r="C8" s="1346">
        <v>1</v>
      </c>
      <c r="D8" s="1346">
        <v>1</v>
      </c>
      <c r="E8" s="1349">
        <v>75</v>
      </c>
      <c r="F8" s="1349">
        <v>0.75</v>
      </c>
      <c r="G8" s="1349">
        <v>0.4</v>
      </c>
      <c r="H8" s="1350">
        <f>PRODUCT(C8:G8)</f>
        <v>22.5</v>
      </c>
    </row>
    <row r="9" spans="1:8">
      <c r="A9" s="1344"/>
      <c r="B9" s="1347"/>
      <c r="C9" s="1346"/>
      <c r="D9" s="1346"/>
      <c r="E9" s="1349"/>
      <c r="F9" s="1349"/>
      <c r="G9" s="1349"/>
      <c r="H9" s="1350">
        <f>SUM(H8:H8)</f>
        <v>22.5</v>
      </c>
    </row>
    <row r="10" spans="1:8">
      <c r="A10" s="1344"/>
      <c r="B10" s="1347"/>
      <c r="C10" s="1346"/>
      <c r="D10" s="1346"/>
      <c r="E10" s="1349"/>
      <c r="F10" s="1349" t="s">
        <v>5429</v>
      </c>
      <c r="G10" s="1351">
        <f>ROUNDUP(H9,1)</f>
        <v>22.5</v>
      </c>
      <c r="H10" s="1348" t="s">
        <v>1289</v>
      </c>
    </row>
    <row r="11" spans="1:8">
      <c r="A11" s="1344">
        <v>2</v>
      </c>
      <c r="B11" s="1345" t="s">
        <v>5890</v>
      </c>
      <c r="C11" s="1346"/>
      <c r="D11" s="1346"/>
      <c r="E11" s="1349"/>
      <c r="F11" s="1346"/>
      <c r="G11" s="1346"/>
      <c r="H11" s="1347"/>
    </row>
    <row r="12" spans="1:8">
      <c r="A12" s="1344"/>
      <c r="B12" s="1347" t="s">
        <v>5889</v>
      </c>
      <c r="C12" s="1346">
        <v>1</v>
      </c>
      <c r="D12" s="1346">
        <v>1</v>
      </c>
      <c r="E12" s="1349">
        <v>75</v>
      </c>
      <c r="F12" s="1349">
        <v>0.75</v>
      </c>
      <c r="G12" s="1349">
        <v>0.1</v>
      </c>
      <c r="H12" s="1350">
        <f>PRODUCT(C12:G12)</f>
        <v>5.63</v>
      </c>
    </row>
    <row r="13" spans="1:8">
      <c r="A13" s="1344"/>
      <c r="B13" s="1347"/>
      <c r="C13" s="1346"/>
      <c r="D13" s="1346"/>
      <c r="E13" s="1349"/>
      <c r="F13" s="1349"/>
      <c r="G13" s="1349"/>
      <c r="H13" s="1350">
        <f>SUM(H12:H12)</f>
        <v>5.63</v>
      </c>
    </row>
    <row r="14" spans="1:8">
      <c r="A14" s="1344"/>
      <c r="B14" s="1347"/>
      <c r="C14" s="1346"/>
      <c r="D14" s="1346"/>
      <c r="E14" s="1349"/>
      <c r="F14" s="1349" t="s">
        <v>5429</v>
      </c>
      <c r="G14" s="1351">
        <f>ROUNDUP(H13,1)</f>
        <v>5.7</v>
      </c>
      <c r="H14" s="1348" t="s">
        <v>1289</v>
      </c>
    </row>
    <row r="15" spans="1:8">
      <c r="A15" s="1344">
        <v>3</v>
      </c>
      <c r="B15" s="1347" t="s">
        <v>5891</v>
      </c>
      <c r="C15" s="1346"/>
      <c r="D15" s="1346"/>
      <c r="E15" s="1349"/>
      <c r="F15" s="1349"/>
      <c r="G15" s="1348"/>
      <c r="H15" s="1348"/>
    </row>
    <row r="16" spans="1:8">
      <c r="A16" s="1344"/>
      <c r="B16" s="1347" t="s">
        <v>5889</v>
      </c>
      <c r="C16" s="1346">
        <v>1</v>
      </c>
      <c r="D16" s="1346">
        <v>1</v>
      </c>
      <c r="E16" s="1349">
        <v>75</v>
      </c>
      <c r="F16" s="1349">
        <v>0.23</v>
      </c>
      <c r="G16" s="1349">
        <v>0.6</v>
      </c>
      <c r="H16" s="1350">
        <f>PRODUCT(C16:G16)</f>
        <v>10.35</v>
      </c>
    </row>
    <row r="17" spans="1:8">
      <c r="A17" s="1344"/>
      <c r="B17" s="1347" t="s">
        <v>5892</v>
      </c>
      <c r="C17" s="1346">
        <v>1</v>
      </c>
      <c r="D17" s="1346">
        <v>25</v>
      </c>
      <c r="E17" s="1349">
        <v>0.23</v>
      </c>
      <c r="F17" s="1349">
        <v>0.23</v>
      </c>
      <c r="G17" s="1349">
        <v>0.6</v>
      </c>
      <c r="H17" s="1350">
        <f>PRODUCT(C17:G17)</f>
        <v>0.79</v>
      </c>
    </row>
    <row r="18" spans="1:8">
      <c r="A18" s="1344"/>
      <c r="B18" s="1347"/>
      <c r="C18" s="1346"/>
      <c r="D18" s="1346"/>
      <c r="E18" s="1349"/>
      <c r="F18" s="1349"/>
      <c r="G18" s="1349"/>
      <c r="H18" s="1350">
        <f>SUM(H16:H17)</f>
        <v>11.14</v>
      </c>
    </row>
    <row r="19" spans="1:8">
      <c r="A19" s="1344"/>
      <c r="B19" s="1347"/>
      <c r="C19" s="1346"/>
      <c r="D19" s="1346"/>
      <c r="E19" s="1349"/>
      <c r="F19" s="1349" t="s">
        <v>5429</v>
      </c>
      <c r="G19" s="1351">
        <f>ROUNDUP(H18,1)</f>
        <v>11.2</v>
      </c>
      <c r="H19" s="1348" t="s">
        <v>1289</v>
      </c>
    </row>
    <row r="20" spans="1:8">
      <c r="A20" s="1344">
        <v>3</v>
      </c>
      <c r="B20" s="1345" t="s">
        <v>5893</v>
      </c>
      <c r="C20" s="1346"/>
      <c r="D20" s="1346"/>
      <c r="E20" s="1349"/>
      <c r="F20" s="1346"/>
      <c r="G20" s="1346"/>
      <c r="H20" s="1347"/>
    </row>
    <row r="21" spans="1:8">
      <c r="A21" s="1344"/>
      <c r="B21" s="1347" t="s">
        <v>5889</v>
      </c>
      <c r="C21" s="1346">
        <v>1</v>
      </c>
      <c r="D21" s="1346">
        <v>1</v>
      </c>
      <c r="E21" s="1349">
        <v>75</v>
      </c>
      <c r="F21" s="1349"/>
      <c r="G21" s="1349">
        <v>0.6</v>
      </c>
      <c r="H21" s="1350">
        <f>PRODUCT(C21:G21)</f>
        <v>45</v>
      </c>
    </row>
    <row r="22" spans="1:8">
      <c r="A22" s="1344"/>
      <c r="B22" s="1347" t="s">
        <v>5894</v>
      </c>
      <c r="C22" s="1346">
        <v>1</v>
      </c>
      <c r="D22" s="1346">
        <v>-25</v>
      </c>
      <c r="E22" s="1349">
        <v>0.23</v>
      </c>
      <c r="F22" s="1349"/>
      <c r="G22" s="1349">
        <v>0.6</v>
      </c>
      <c r="H22" s="1350">
        <f>PRODUCT(C22:G22)</f>
        <v>-3.45</v>
      </c>
    </row>
    <row r="23" spans="1:8">
      <c r="A23" s="1344"/>
      <c r="B23" s="1347"/>
      <c r="C23" s="1346"/>
      <c r="D23" s="1346"/>
      <c r="E23" s="1349"/>
      <c r="F23" s="1349"/>
      <c r="G23" s="1349"/>
      <c r="H23" s="1350">
        <f>SUM(H21:H22)</f>
        <v>41.55</v>
      </c>
    </row>
    <row r="24" spans="1:8">
      <c r="A24" s="1344"/>
      <c r="B24" s="1347"/>
      <c r="C24" s="1346"/>
      <c r="D24" s="1346"/>
      <c r="E24" s="1349"/>
      <c r="F24" s="1349" t="s">
        <v>5429</v>
      </c>
      <c r="G24" s="1351">
        <f>ROUNDUP(H23,1)</f>
        <v>41.6</v>
      </c>
      <c r="H24" s="1348" t="s">
        <v>2199</v>
      </c>
    </row>
    <row r="25" spans="1:8">
      <c r="A25" s="1344">
        <v>4</v>
      </c>
      <c r="B25" s="1347" t="s">
        <v>5895</v>
      </c>
      <c r="C25" s="1346"/>
      <c r="D25" s="1346"/>
      <c r="E25" s="1349"/>
      <c r="F25" s="1346"/>
      <c r="G25" s="1346"/>
      <c r="H25" s="1347"/>
    </row>
    <row r="26" spans="1:8">
      <c r="A26" s="1344"/>
      <c r="B26" s="1347" t="s">
        <v>5889</v>
      </c>
      <c r="C26" s="1346">
        <v>1</v>
      </c>
      <c r="D26" s="1346">
        <v>1</v>
      </c>
      <c r="E26" s="1349">
        <v>75</v>
      </c>
      <c r="F26" s="1349">
        <v>0.3</v>
      </c>
      <c r="G26" s="1349"/>
      <c r="H26" s="1350">
        <f>PRODUCT(C26:G26)</f>
        <v>22.5</v>
      </c>
    </row>
    <row r="27" spans="1:8">
      <c r="A27" s="1344"/>
      <c r="B27" s="1347"/>
      <c r="C27" s="1346"/>
      <c r="D27" s="1346"/>
      <c r="E27" s="1349"/>
      <c r="F27" s="1349"/>
      <c r="G27" s="1349"/>
      <c r="H27" s="1350">
        <f>SUM(H26:H26)</f>
        <v>22.5</v>
      </c>
    </row>
    <row r="28" spans="1:8">
      <c r="A28" s="1344"/>
      <c r="B28" s="1347"/>
      <c r="C28" s="1346"/>
      <c r="D28" s="1346"/>
      <c r="E28" s="1349"/>
      <c r="F28" s="1349" t="s">
        <v>5429</v>
      </c>
      <c r="G28" s="1351">
        <f>ROUNDUP(H27,1)</f>
        <v>22.5</v>
      </c>
      <c r="H28" s="1348" t="s">
        <v>2199</v>
      </c>
    </row>
    <row r="29" spans="1:8">
      <c r="A29" s="1344">
        <v>5</v>
      </c>
      <c r="B29" s="1347" t="s">
        <v>5896</v>
      </c>
      <c r="C29" s="1346"/>
      <c r="D29" s="1346"/>
      <c r="E29" s="1349"/>
      <c r="F29" s="1346"/>
      <c r="G29" s="1346"/>
      <c r="H29" s="1347"/>
    </row>
    <row r="30" spans="1:8">
      <c r="A30" s="1344"/>
      <c r="B30" s="1347" t="s">
        <v>5897</v>
      </c>
      <c r="C30" s="1346">
        <v>1</v>
      </c>
      <c r="D30" s="1346">
        <v>1</v>
      </c>
      <c r="E30" s="1349">
        <v>75</v>
      </c>
      <c r="F30" s="1349"/>
      <c r="G30" s="1349">
        <v>1.3149999999999999</v>
      </c>
      <c r="H30" s="1350">
        <f>PRODUCT(C30:G30)</f>
        <v>98.63</v>
      </c>
    </row>
    <row r="31" spans="1:8">
      <c r="A31" s="1344"/>
      <c r="B31" s="1347"/>
      <c r="C31" s="1346"/>
      <c r="D31" s="1346"/>
      <c r="E31" s="1349"/>
      <c r="F31" s="1349"/>
      <c r="G31" s="1349"/>
      <c r="H31" s="1350">
        <f>SUM(H30:H30)</f>
        <v>98.63</v>
      </c>
    </row>
    <row r="32" spans="1:8">
      <c r="A32" s="1344"/>
      <c r="B32" s="1347"/>
      <c r="C32" s="1346"/>
      <c r="D32" s="1346"/>
      <c r="E32" s="1349"/>
      <c r="F32" s="1349" t="s">
        <v>5429</v>
      </c>
      <c r="G32" s="1351">
        <f>ROUNDUP(H31,1)</f>
        <v>98.7</v>
      </c>
      <c r="H32" s="1348" t="s">
        <v>2199</v>
      </c>
    </row>
    <row r="33" spans="1:8">
      <c r="A33" s="1344">
        <v>6</v>
      </c>
      <c r="B33" s="1347" t="s">
        <v>5898</v>
      </c>
      <c r="C33" s="1346"/>
      <c r="D33" s="1346"/>
      <c r="E33" s="1349"/>
      <c r="F33" s="1346"/>
      <c r="G33" s="1346"/>
      <c r="H33" s="1347"/>
    </row>
    <row r="34" spans="1:8">
      <c r="A34" s="1344"/>
      <c r="B34" s="1347" t="s">
        <v>5899</v>
      </c>
      <c r="C34" s="1346">
        <v>1</v>
      </c>
      <c r="D34" s="1346">
        <v>1</v>
      </c>
      <c r="E34" s="1349">
        <v>75</v>
      </c>
      <c r="F34" s="1349"/>
      <c r="G34" s="1349">
        <v>1.2</v>
      </c>
      <c r="H34" s="1350">
        <f>PRODUCT(C34:G34)</f>
        <v>90</v>
      </c>
    </row>
    <row r="35" spans="1:8">
      <c r="A35" s="1344"/>
      <c r="B35" s="1347"/>
      <c r="C35" s="1346"/>
      <c r="D35" s="1346"/>
      <c r="E35" s="1349"/>
      <c r="F35" s="1349"/>
      <c r="G35" s="1349"/>
      <c r="H35" s="1350">
        <f>SUM(H34:H34)</f>
        <v>90</v>
      </c>
    </row>
    <row r="36" spans="1:8">
      <c r="A36" s="1344"/>
      <c r="B36" s="1347"/>
      <c r="C36" s="1346"/>
      <c r="D36" s="1346"/>
      <c r="E36" s="1349"/>
      <c r="F36" s="1349" t="s">
        <v>5429</v>
      </c>
      <c r="G36" s="1351">
        <f>ROUNDUP(H35,1)</f>
        <v>90</v>
      </c>
      <c r="H36" s="1348" t="s">
        <v>2199</v>
      </c>
    </row>
    <row r="51" spans="5:5">
      <c r="E51" s="37"/>
    </row>
    <row r="65" spans="5:5">
      <c r="E65" s="37"/>
    </row>
    <row r="85" spans="5:5">
      <c r="E85" s="37"/>
    </row>
    <row r="107" spans="5:5">
      <c r="E107" s="37"/>
    </row>
    <row r="130" spans="5:5">
      <c r="E130" s="37"/>
    </row>
    <row r="135" spans="5:5">
      <c r="E135" s="37"/>
    </row>
    <row r="142" spans="5:5">
      <c r="E142" s="37"/>
    </row>
    <row r="168" spans="5:5">
      <c r="E168" s="37"/>
    </row>
    <row r="182" spans="5:5">
      <c r="E182" s="37"/>
    </row>
    <row r="193" spans="5:5">
      <c r="E193" s="37"/>
    </row>
    <row r="212" spans="5:5">
      <c r="E212" s="37"/>
    </row>
    <row r="221" spans="5:5">
      <c r="E221" s="37"/>
    </row>
    <row r="272" spans="5:5">
      <c r="E272" s="37"/>
    </row>
    <row r="297" spans="5:5">
      <c r="E297" s="37"/>
    </row>
    <row r="317" spans="5:5">
      <c r="E317" s="37"/>
    </row>
    <row r="344" spans="5:5">
      <c r="E344" s="37"/>
    </row>
    <row r="352" spans="5:5">
      <c r="E352" s="37"/>
    </row>
    <row r="354" spans="2:3">
      <c r="B354"/>
    </row>
    <row r="355" spans="2:3">
      <c r="B355"/>
    </row>
    <row r="356" spans="2:3">
      <c r="B356"/>
    </row>
    <row r="357" spans="2:3">
      <c r="B357"/>
    </row>
    <row r="358" spans="2:3">
      <c r="B358"/>
    </row>
    <row r="359" spans="2:3">
      <c r="B359"/>
    </row>
    <row r="360" spans="2:3">
      <c r="B360"/>
    </row>
    <row r="361" spans="2:3">
      <c r="B361"/>
    </row>
    <row r="362" spans="2:3">
      <c r="B362"/>
    </row>
    <row r="363" spans="2:3">
      <c r="B363"/>
    </row>
    <row r="364" spans="2:3">
      <c r="B364"/>
    </row>
    <row r="365" spans="2:3">
      <c r="B365"/>
    </row>
    <row r="366" spans="2:3">
      <c r="B366"/>
    </row>
    <row r="367" spans="2:3">
      <c r="B367"/>
    </row>
    <row r="368" spans="2:3">
      <c r="B368"/>
      <c r="C368" s="37"/>
    </row>
    <row r="385" spans="5:5">
      <c r="E385" s="37"/>
    </row>
    <row r="403" spans="5:5">
      <c r="E403" s="37"/>
    </row>
    <row r="414" spans="5:5">
      <c r="E414" s="37"/>
    </row>
    <row r="419" spans="3:3">
      <c r="C419" s="37"/>
    </row>
  </sheetData>
  <mergeCells count="5">
    <mergeCell ref="A1:H1"/>
    <mergeCell ref="A2:H2"/>
    <mergeCell ref="A3:H3"/>
    <mergeCell ref="A4:H4"/>
    <mergeCell ref="C5:D5"/>
  </mergeCells>
  <pageMargins left="0.7" right="0.7" top="0.75" bottom="0.75" header="0.3" footer="0.3"/>
  <pageSetup paperSize="9" scale="79" orientation="portrait" r:id="rId1"/>
</worksheet>
</file>

<file path=xl/worksheets/sheet18.xml><?xml version="1.0" encoding="utf-8"?>
<worksheet xmlns="http://schemas.openxmlformats.org/spreadsheetml/2006/main" xmlns:r="http://schemas.openxmlformats.org/officeDocument/2006/relationships">
  <sheetPr>
    <tabColor rgb="FF00B0F0"/>
  </sheetPr>
  <dimension ref="A1:H511"/>
  <sheetViews>
    <sheetView view="pageBreakPreview" topLeftCell="A4" zoomScaleSheetLayoutView="100" workbookViewId="0">
      <selection activeCell="E7" sqref="E7"/>
    </sheetView>
  </sheetViews>
  <sheetFormatPr defaultRowHeight="15.75"/>
  <cols>
    <col min="1" max="1" width="5.5546875" customWidth="1"/>
    <col min="2" max="2" width="28.77734375" style="28" customWidth="1"/>
    <col min="3" max="4" width="5.88671875" customWidth="1"/>
    <col min="5" max="5" width="10" customWidth="1"/>
    <col min="257" max="257" width="5.5546875" customWidth="1"/>
    <col min="258" max="258" width="28.77734375" customWidth="1"/>
    <col min="259" max="260" width="5.88671875" customWidth="1"/>
    <col min="261" max="261" width="10" customWidth="1"/>
    <col min="513" max="513" width="5.5546875" customWidth="1"/>
    <col min="514" max="514" width="28.77734375" customWidth="1"/>
    <col min="515" max="516" width="5.88671875" customWidth="1"/>
    <col min="517" max="517" width="10" customWidth="1"/>
    <col min="769" max="769" width="5.5546875" customWidth="1"/>
    <col min="770" max="770" width="28.77734375" customWidth="1"/>
    <col min="771" max="772" width="5.88671875" customWidth="1"/>
    <col min="773" max="773" width="10" customWidth="1"/>
    <col min="1025" max="1025" width="5.5546875" customWidth="1"/>
    <col min="1026" max="1026" width="28.77734375" customWidth="1"/>
    <col min="1027" max="1028" width="5.88671875" customWidth="1"/>
    <col min="1029" max="1029" width="10" customWidth="1"/>
    <col min="1281" max="1281" width="5.5546875" customWidth="1"/>
    <col min="1282" max="1282" width="28.77734375" customWidth="1"/>
    <col min="1283" max="1284" width="5.88671875" customWidth="1"/>
    <col min="1285" max="1285" width="10" customWidth="1"/>
    <col min="1537" max="1537" width="5.5546875" customWidth="1"/>
    <col min="1538" max="1538" width="28.77734375" customWidth="1"/>
    <col min="1539" max="1540" width="5.88671875" customWidth="1"/>
    <col min="1541" max="1541" width="10" customWidth="1"/>
    <col min="1793" max="1793" width="5.5546875" customWidth="1"/>
    <col min="1794" max="1794" width="28.77734375" customWidth="1"/>
    <col min="1795" max="1796" width="5.88671875" customWidth="1"/>
    <col min="1797" max="1797" width="10" customWidth="1"/>
    <col min="2049" max="2049" width="5.5546875" customWidth="1"/>
    <col min="2050" max="2050" width="28.77734375" customWidth="1"/>
    <col min="2051" max="2052" width="5.88671875" customWidth="1"/>
    <col min="2053" max="2053" width="10" customWidth="1"/>
    <col min="2305" max="2305" width="5.5546875" customWidth="1"/>
    <col min="2306" max="2306" width="28.77734375" customWidth="1"/>
    <col min="2307" max="2308" width="5.88671875" customWidth="1"/>
    <col min="2309" max="2309" width="10" customWidth="1"/>
    <col min="2561" max="2561" width="5.5546875" customWidth="1"/>
    <col min="2562" max="2562" width="28.77734375" customWidth="1"/>
    <col min="2563" max="2564" width="5.88671875" customWidth="1"/>
    <col min="2565" max="2565" width="10" customWidth="1"/>
    <col min="2817" max="2817" width="5.5546875" customWidth="1"/>
    <col min="2818" max="2818" width="28.77734375" customWidth="1"/>
    <col min="2819" max="2820" width="5.88671875" customWidth="1"/>
    <col min="2821" max="2821" width="10" customWidth="1"/>
    <col min="3073" max="3073" width="5.5546875" customWidth="1"/>
    <col min="3074" max="3074" width="28.77734375" customWidth="1"/>
    <col min="3075" max="3076" width="5.88671875" customWidth="1"/>
    <col min="3077" max="3077" width="10" customWidth="1"/>
    <col min="3329" max="3329" width="5.5546875" customWidth="1"/>
    <col min="3330" max="3330" width="28.77734375" customWidth="1"/>
    <col min="3331" max="3332" width="5.88671875" customWidth="1"/>
    <col min="3333" max="3333" width="10" customWidth="1"/>
    <col min="3585" max="3585" width="5.5546875" customWidth="1"/>
    <col min="3586" max="3586" width="28.77734375" customWidth="1"/>
    <col min="3587" max="3588" width="5.88671875" customWidth="1"/>
    <col min="3589" max="3589" width="10" customWidth="1"/>
    <col min="3841" max="3841" width="5.5546875" customWidth="1"/>
    <col min="3842" max="3842" width="28.77734375" customWidth="1"/>
    <col min="3843" max="3844" width="5.88671875" customWidth="1"/>
    <col min="3845" max="3845" width="10" customWidth="1"/>
    <col min="4097" max="4097" width="5.5546875" customWidth="1"/>
    <col min="4098" max="4098" width="28.77734375" customWidth="1"/>
    <col min="4099" max="4100" width="5.88671875" customWidth="1"/>
    <col min="4101" max="4101" width="10" customWidth="1"/>
    <col min="4353" max="4353" width="5.5546875" customWidth="1"/>
    <col min="4354" max="4354" width="28.77734375" customWidth="1"/>
    <col min="4355" max="4356" width="5.88671875" customWidth="1"/>
    <col min="4357" max="4357" width="10" customWidth="1"/>
    <col min="4609" max="4609" width="5.5546875" customWidth="1"/>
    <col min="4610" max="4610" width="28.77734375" customWidth="1"/>
    <col min="4611" max="4612" width="5.88671875" customWidth="1"/>
    <col min="4613" max="4613" width="10" customWidth="1"/>
    <col min="4865" max="4865" width="5.5546875" customWidth="1"/>
    <col min="4866" max="4866" width="28.77734375" customWidth="1"/>
    <col min="4867" max="4868" width="5.88671875" customWidth="1"/>
    <col min="4869" max="4869" width="10" customWidth="1"/>
    <col min="5121" max="5121" width="5.5546875" customWidth="1"/>
    <col min="5122" max="5122" width="28.77734375" customWidth="1"/>
    <col min="5123" max="5124" width="5.88671875" customWidth="1"/>
    <col min="5125" max="5125" width="10" customWidth="1"/>
    <col min="5377" max="5377" width="5.5546875" customWidth="1"/>
    <col min="5378" max="5378" width="28.77734375" customWidth="1"/>
    <col min="5379" max="5380" width="5.88671875" customWidth="1"/>
    <col min="5381" max="5381" width="10" customWidth="1"/>
    <col min="5633" max="5633" width="5.5546875" customWidth="1"/>
    <col min="5634" max="5634" width="28.77734375" customWidth="1"/>
    <col min="5635" max="5636" width="5.88671875" customWidth="1"/>
    <col min="5637" max="5637" width="10" customWidth="1"/>
    <col min="5889" max="5889" width="5.5546875" customWidth="1"/>
    <col min="5890" max="5890" width="28.77734375" customWidth="1"/>
    <col min="5891" max="5892" width="5.88671875" customWidth="1"/>
    <col min="5893" max="5893" width="10" customWidth="1"/>
    <col min="6145" max="6145" width="5.5546875" customWidth="1"/>
    <col min="6146" max="6146" width="28.77734375" customWidth="1"/>
    <col min="6147" max="6148" width="5.88671875" customWidth="1"/>
    <col min="6149" max="6149" width="10" customWidth="1"/>
    <col min="6401" max="6401" width="5.5546875" customWidth="1"/>
    <col min="6402" max="6402" width="28.77734375" customWidth="1"/>
    <col min="6403" max="6404" width="5.88671875" customWidth="1"/>
    <col min="6405" max="6405" width="10" customWidth="1"/>
    <col min="6657" max="6657" width="5.5546875" customWidth="1"/>
    <col min="6658" max="6658" width="28.77734375" customWidth="1"/>
    <col min="6659" max="6660" width="5.88671875" customWidth="1"/>
    <col min="6661" max="6661" width="10" customWidth="1"/>
    <col min="6913" max="6913" width="5.5546875" customWidth="1"/>
    <col min="6914" max="6914" width="28.77734375" customWidth="1"/>
    <col min="6915" max="6916" width="5.88671875" customWidth="1"/>
    <col min="6917" max="6917" width="10" customWidth="1"/>
    <col min="7169" max="7169" width="5.5546875" customWidth="1"/>
    <col min="7170" max="7170" width="28.77734375" customWidth="1"/>
    <col min="7171" max="7172" width="5.88671875" customWidth="1"/>
    <col min="7173" max="7173" width="10" customWidth="1"/>
    <col min="7425" max="7425" width="5.5546875" customWidth="1"/>
    <col min="7426" max="7426" width="28.77734375" customWidth="1"/>
    <col min="7427" max="7428" width="5.88671875" customWidth="1"/>
    <col min="7429" max="7429" width="10" customWidth="1"/>
    <col min="7681" max="7681" width="5.5546875" customWidth="1"/>
    <col min="7682" max="7682" width="28.77734375" customWidth="1"/>
    <col min="7683" max="7684" width="5.88671875" customWidth="1"/>
    <col min="7685" max="7685" width="10" customWidth="1"/>
    <col min="7937" max="7937" width="5.5546875" customWidth="1"/>
    <col min="7938" max="7938" width="28.77734375" customWidth="1"/>
    <col min="7939" max="7940" width="5.88671875" customWidth="1"/>
    <col min="7941" max="7941" width="10" customWidth="1"/>
    <col min="8193" max="8193" width="5.5546875" customWidth="1"/>
    <col min="8194" max="8194" width="28.77734375" customWidth="1"/>
    <col min="8195" max="8196" width="5.88671875" customWidth="1"/>
    <col min="8197" max="8197" width="10" customWidth="1"/>
    <col min="8449" max="8449" width="5.5546875" customWidth="1"/>
    <col min="8450" max="8450" width="28.77734375" customWidth="1"/>
    <col min="8451" max="8452" width="5.88671875" customWidth="1"/>
    <col min="8453" max="8453" width="10" customWidth="1"/>
    <col min="8705" max="8705" width="5.5546875" customWidth="1"/>
    <col min="8706" max="8706" width="28.77734375" customWidth="1"/>
    <col min="8707" max="8708" width="5.88671875" customWidth="1"/>
    <col min="8709" max="8709" width="10" customWidth="1"/>
    <col min="8961" max="8961" width="5.5546875" customWidth="1"/>
    <col min="8962" max="8962" width="28.77734375" customWidth="1"/>
    <col min="8963" max="8964" width="5.88671875" customWidth="1"/>
    <col min="8965" max="8965" width="10" customWidth="1"/>
    <col min="9217" max="9217" width="5.5546875" customWidth="1"/>
    <col min="9218" max="9218" width="28.77734375" customWidth="1"/>
    <col min="9219" max="9220" width="5.88671875" customWidth="1"/>
    <col min="9221" max="9221" width="10" customWidth="1"/>
    <col min="9473" max="9473" width="5.5546875" customWidth="1"/>
    <col min="9474" max="9474" width="28.77734375" customWidth="1"/>
    <col min="9475" max="9476" width="5.88671875" customWidth="1"/>
    <col min="9477" max="9477" width="10" customWidth="1"/>
    <col min="9729" max="9729" width="5.5546875" customWidth="1"/>
    <col min="9730" max="9730" width="28.77734375" customWidth="1"/>
    <col min="9731" max="9732" width="5.88671875" customWidth="1"/>
    <col min="9733" max="9733" width="10" customWidth="1"/>
    <col min="9985" max="9985" width="5.5546875" customWidth="1"/>
    <col min="9986" max="9986" width="28.77734375" customWidth="1"/>
    <col min="9987" max="9988" width="5.88671875" customWidth="1"/>
    <col min="9989" max="9989" width="10" customWidth="1"/>
    <col min="10241" max="10241" width="5.5546875" customWidth="1"/>
    <col min="10242" max="10242" width="28.77734375" customWidth="1"/>
    <col min="10243" max="10244" width="5.88671875" customWidth="1"/>
    <col min="10245" max="10245" width="10" customWidth="1"/>
    <col min="10497" max="10497" width="5.5546875" customWidth="1"/>
    <col min="10498" max="10498" width="28.77734375" customWidth="1"/>
    <col min="10499" max="10500" width="5.88671875" customWidth="1"/>
    <col min="10501" max="10501" width="10" customWidth="1"/>
    <col min="10753" max="10753" width="5.5546875" customWidth="1"/>
    <col min="10754" max="10754" width="28.77734375" customWidth="1"/>
    <col min="10755" max="10756" width="5.88671875" customWidth="1"/>
    <col min="10757" max="10757" width="10" customWidth="1"/>
    <col min="11009" max="11009" width="5.5546875" customWidth="1"/>
    <col min="11010" max="11010" width="28.77734375" customWidth="1"/>
    <col min="11011" max="11012" width="5.88671875" customWidth="1"/>
    <col min="11013" max="11013" width="10" customWidth="1"/>
    <col min="11265" max="11265" width="5.5546875" customWidth="1"/>
    <col min="11266" max="11266" width="28.77734375" customWidth="1"/>
    <col min="11267" max="11268" width="5.88671875" customWidth="1"/>
    <col min="11269" max="11269" width="10" customWidth="1"/>
    <col min="11521" max="11521" width="5.5546875" customWidth="1"/>
    <col min="11522" max="11522" width="28.77734375" customWidth="1"/>
    <col min="11523" max="11524" width="5.88671875" customWidth="1"/>
    <col min="11525" max="11525" width="10" customWidth="1"/>
    <col min="11777" max="11777" width="5.5546875" customWidth="1"/>
    <col min="11778" max="11778" width="28.77734375" customWidth="1"/>
    <col min="11779" max="11780" width="5.88671875" customWidth="1"/>
    <col min="11781" max="11781" width="10" customWidth="1"/>
    <col min="12033" max="12033" width="5.5546875" customWidth="1"/>
    <col min="12034" max="12034" width="28.77734375" customWidth="1"/>
    <col min="12035" max="12036" width="5.88671875" customWidth="1"/>
    <col min="12037" max="12037" width="10" customWidth="1"/>
    <col min="12289" max="12289" width="5.5546875" customWidth="1"/>
    <col min="12290" max="12290" width="28.77734375" customWidth="1"/>
    <col min="12291" max="12292" width="5.88671875" customWidth="1"/>
    <col min="12293" max="12293" width="10" customWidth="1"/>
    <col min="12545" max="12545" width="5.5546875" customWidth="1"/>
    <col min="12546" max="12546" width="28.77734375" customWidth="1"/>
    <col min="12547" max="12548" width="5.88671875" customWidth="1"/>
    <col min="12549" max="12549" width="10" customWidth="1"/>
    <col min="12801" max="12801" width="5.5546875" customWidth="1"/>
    <col min="12802" max="12802" width="28.77734375" customWidth="1"/>
    <col min="12803" max="12804" width="5.88671875" customWidth="1"/>
    <col min="12805" max="12805" width="10" customWidth="1"/>
    <col min="13057" max="13057" width="5.5546875" customWidth="1"/>
    <col min="13058" max="13058" width="28.77734375" customWidth="1"/>
    <col min="13059" max="13060" width="5.88671875" customWidth="1"/>
    <col min="13061" max="13061" width="10" customWidth="1"/>
    <col min="13313" max="13313" width="5.5546875" customWidth="1"/>
    <col min="13314" max="13314" width="28.77734375" customWidth="1"/>
    <col min="13315" max="13316" width="5.88671875" customWidth="1"/>
    <col min="13317" max="13317" width="10" customWidth="1"/>
    <col min="13569" max="13569" width="5.5546875" customWidth="1"/>
    <col min="13570" max="13570" width="28.77734375" customWidth="1"/>
    <col min="13571" max="13572" width="5.88671875" customWidth="1"/>
    <col min="13573" max="13573" width="10" customWidth="1"/>
    <col min="13825" max="13825" width="5.5546875" customWidth="1"/>
    <col min="13826" max="13826" width="28.77734375" customWidth="1"/>
    <col min="13827" max="13828" width="5.88671875" customWidth="1"/>
    <col min="13829" max="13829" width="10" customWidth="1"/>
    <col min="14081" max="14081" width="5.5546875" customWidth="1"/>
    <col min="14082" max="14082" width="28.77734375" customWidth="1"/>
    <col min="14083" max="14084" width="5.88671875" customWidth="1"/>
    <col min="14085" max="14085" width="10" customWidth="1"/>
    <col min="14337" max="14337" width="5.5546875" customWidth="1"/>
    <col min="14338" max="14338" width="28.77734375" customWidth="1"/>
    <col min="14339" max="14340" width="5.88671875" customWidth="1"/>
    <col min="14341" max="14341" width="10" customWidth="1"/>
    <col min="14593" max="14593" width="5.5546875" customWidth="1"/>
    <col min="14594" max="14594" width="28.77734375" customWidth="1"/>
    <col min="14595" max="14596" width="5.88671875" customWidth="1"/>
    <col min="14597" max="14597" width="10" customWidth="1"/>
    <col min="14849" max="14849" width="5.5546875" customWidth="1"/>
    <col min="14850" max="14850" width="28.77734375" customWidth="1"/>
    <col min="14851" max="14852" width="5.88671875" customWidth="1"/>
    <col min="14853" max="14853" width="10" customWidth="1"/>
    <col min="15105" max="15105" width="5.5546875" customWidth="1"/>
    <col min="15106" max="15106" width="28.77734375" customWidth="1"/>
    <col min="15107" max="15108" width="5.88671875" customWidth="1"/>
    <col min="15109" max="15109" width="10" customWidth="1"/>
    <col min="15361" max="15361" width="5.5546875" customWidth="1"/>
    <col min="15362" max="15362" width="28.77734375" customWidth="1"/>
    <col min="15363" max="15364" width="5.88671875" customWidth="1"/>
    <col min="15365" max="15365" width="10" customWidth="1"/>
    <col min="15617" max="15617" width="5.5546875" customWidth="1"/>
    <col min="15618" max="15618" width="28.77734375" customWidth="1"/>
    <col min="15619" max="15620" width="5.88671875" customWidth="1"/>
    <col min="15621" max="15621" width="10" customWidth="1"/>
    <col min="15873" max="15873" width="5.5546875" customWidth="1"/>
    <col min="15874" max="15874" width="28.77734375" customWidth="1"/>
    <col min="15875" max="15876" width="5.88671875" customWidth="1"/>
    <col min="15877" max="15877" width="10" customWidth="1"/>
    <col min="16129" max="16129" width="5.5546875" customWidth="1"/>
    <col min="16130" max="16130" width="28.777343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1.25" customHeight="1">
      <c r="A2" s="1559" t="s">
        <v>5989</v>
      </c>
      <c r="B2" s="1560"/>
      <c r="C2" s="1560"/>
      <c r="D2" s="1560"/>
      <c r="E2" s="1560"/>
      <c r="F2" s="1560"/>
      <c r="G2" s="1560"/>
      <c r="H2" s="1561"/>
    </row>
    <row r="3" spans="1:8" ht="23.25" customHeight="1">
      <c r="A3" s="1551" t="s">
        <v>5817</v>
      </c>
      <c r="B3" s="1551"/>
      <c r="C3" s="1551"/>
      <c r="D3" s="1551"/>
      <c r="E3" s="1551"/>
      <c r="F3" s="1551"/>
      <c r="G3" s="1551"/>
      <c r="H3" s="1551"/>
    </row>
    <row r="4" spans="1:8">
      <c r="A4" s="1562" t="s">
        <v>5766</v>
      </c>
      <c r="B4" s="1562" t="s">
        <v>1720</v>
      </c>
      <c r="C4" s="1562" t="s">
        <v>1375</v>
      </c>
      <c r="D4" s="1562"/>
      <c r="E4" s="1551" t="s">
        <v>5818</v>
      </c>
      <c r="F4" s="1551"/>
      <c r="G4" s="1551"/>
      <c r="H4" s="1562" t="s">
        <v>1007</v>
      </c>
    </row>
    <row r="5" spans="1:8">
      <c r="A5" s="1562"/>
      <c r="B5" s="1562"/>
      <c r="C5" s="1562"/>
      <c r="D5" s="1562"/>
      <c r="E5" s="1308" t="s">
        <v>4982</v>
      </c>
      <c r="F5" s="1308" t="s">
        <v>1500</v>
      </c>
      <c r="G5" s="1308" t="s">
        <v>4983</v>
      </c>
      <c r="H5" s="1562"/>
    </row>
    <row r="6" spans="1:8" ht="45">
      <c r="A6" s="1323">
        <v>1</v>
      </c>
      <c r="B6" s="1324" t="s">
        <v>5047</v>
      </c>
      <c r="C6" s="1323"/>
      <c r="D6" s="1323"/>
      <c r="E6" s="1323"/>
      <c r="F6" s="1323"/>
      <c r="G6" s="1323"/>
      <c r="H6" s="1323"/>
    </row>
    <row r="7" spans="1:8">
      <c r="A7" s="1323"/>
      <c r="B7" s="1323" t="s">
        <v>5819</v>
      </c>
      <c r="C7" s="1323">
        <v>1</v>
      </c>
      <c r="D7" s="1323">
        <v>1</v>
      </c>
      <c r="E7" s="1325">
        <v>375</v>
      </c>
      <c r="F7" s="1326" t="s">
        <v>1530</v>
      </c>
      <c r="G7" s="1326" t="s">
        <v>1530</v>
      </c>
      <c r="H7" s="1325">
        <f>PRODUCT(D7:E7)</f>
        <v>375</v>
      </c>
    </row>
    <row r="8" spans="1:8">
      <c r="A8" s="1323"/>
      <c r="B8" s="1323"/>
      <c r="C8" s="1323"/>
      <c r="D8" s="1323"/>
      <c r="E8" s="1323"/>
      <c r="F8" s="1323"/>
      <c r="G8" s="1323"/>
      <c r="H8" s="1327">
        <f>SUM(H7:H7)</f>
        <v>375</v>
      </c>
    </row>
    <row r="9" spans="1:8" ht="45">
      <c r="A9" s="1323">
        <v>2</v>
      </c>
      <c r="B9" s="1324" t="s">
        <v>5046</v>
      </c>
      <c r="C9" s="1323"/>
      <c r="D9" s="1323"/>
      <c r="E9" s="1323"/>
      <c r="F9" s="1323"/>
      <c r="G9" s="1323"/>
      <c r="H9" s="1323"/>
    </row>
    <row r="10" spans="1:8">
      <c r="A10" s="1323"/>
      <c r="B10" s="1323" t="s">
        <v>5820</v>
      </c>
      <c r="C10" s="1323">
        <v>1</v>
      </c>
      <c r="D10" s="1323">
        <v>1</v>
      </c>
      <c r="E10" s="1325">
        <v>30</v>
      </c>
      <c r="F10" s="1326" t="s">
        <v>1530</v>
      </c>
      <c r="G10" s="1326" t="s">
        <v>1530</v>
      </c>
      <c r="H10" s="1325">
        <f>PRODUCT(D10:E10)</f>
        <v>30</v>
      </c>
    </row>
    <row r="11" spans="1:8">
      <c r="A11" s="1323"/>
      <c r="B11" s="1323"/>
      <c r="C11" s="1323"/>
      <c r="D11" s="1323"/>
      <c r="E11" s="1323"/>
      <c r="F11" s="1323"/>
      <c r="G11" s="1323"/>
      <c r="H11" s="1327">
        <f>SUM(H10:H10)</f>
        <v>30</v>
      </c>
    </row>
    <row r="12" spans="1:8" ht="30">
      <c r="A12" s="1323">
        <v>3</v>
      </c>
      <c r="B12" s="1324" t="s">
        <v>5821</v>
      </c>
      <c r="C12" s="1323"/>
      <c r="D12" s="1323"/>
      <c r="E12" s="1323"/>
      <c r="F12" s="1323"/>
      <c r="G12" s="1323"/>
      <c r="H12" s="1323"/>
    </row>
    <row r="13" spans="1:8">
      <c r="A13" s="1323"/>
      <c r="B13" s="1323" t="s">
        <v>5822</v>
      </c>
      <c r="C13" s="1323">
        <v>1</v>
      </c>
      <c r="D13" s="1323">
        <v>1</v>
      </c>
      <c r="E13" s="1325">
        <v>1</v>
      </c>
      <c r="F13" s="1326" t="s">
        <v>1530</v>
      </c>
      <c r="G13" s="1326" t="s">
        <v>1530</v>
      </c>
      <c r="H13" s="1325">
        <v>1</v>
      </c>
    </row>
    <row r="14" spans="1:8">
      <c r="A14" s="1328"/>
      <c r="B14" s="1328"/>
      <c r="C14" s="1328"/>
      <c r="D14" s="1328"/>
      <c r="E14" s="1317"/>
      <c r="F14" s="1317"/>
      <c r="G14" s="1317"/>
      <c r="H14" s="1328"/>
    </row>
    <row r="15" spans="1:8" ht="43.5">
      <c r="A15" s="1329">
        <v>4</v>
      </c>
      <c r="B15" s="1330" t="s">
        <v>5823</v>
      </c>
      <c r="C15" s="1331"/>
      <c r="D15" s="1331"/>
      <c r="E15" s="1331"/>
      <c r="F15" s="1331"/>
      <c r="G15" s="1331"/>
      <c r="H15" s="1331"/>
    </row>
    <row r="16" spans="1:8">
      <c r="A16" s="1329"/>
      <c r="B16" s="1331" t="s">
        <v>5824</v>
      </c>
      <c r="C16" s="1331"/>
      <c r="D16" s="1331"/>
      <c r="E16" s="1331"/>
      <c r="F16" s="1331"/>
      <c r="G16" s="1331"/>
      <c r="H16" s="1331"/>
    </row>
    <row r="17" spans="1:8">
      <c r="A17" s="1329"/>
      <c r="B17" s="1331" t="s">
        <v>5825</v>
      </c>
      <c r="C17" s="1331">
        <v>1</v>
      </c>
      <c r="D17" s="1331">
        <v>1</v>
      </c>
      <c r="E17" s="1332">
        <v>1</v>
      </c>
      <c r="F17" s="1321" t="s">
        <v>1530</v>
      </c>
      <c r="G17" s="1321" t="s">
        <v>1530</v>
      </c>
      <c r="H17" s="1332">
        <f>PRODUCT(C17:G17)</f>
        <v>1</v>
      </c>
    </row>
    <row r="18" spans="1:8">
      <c r="A18" s="1329"/>
      <c r="B18" s="1331" t="s">
        <v>5826</v>
      </c>
      <c r="C18" s="1331">
        <v>1</v>
      </c>
      <c r="D18" s="1331">
        <v>1</v>
      </c>
      <c r="E18" s="1332">
        <v>1</v>
      </c>
      <c r="F18" s="1321"/>
      <c r="G18" s="1321"/>
      <c r="H18" s="1332">
        <f>PRODUCT(C18:G18)</f>
        <v>1</v>
      </c>
    </row>
    <row r="19" spans="1:8">
      <c r="A19" s="1329"/>
      <c r="B19" s="1331"/>
      <c r="C19" s="1331"/>
      <c r="D19" s="1331"/>
      <c r="E19" s="1332"/>
      <c r="F19" s="1321"/>
      <c r="G19" s="1321"/>
      <c r="H19" s="1316">
        <f>SUM(H17:H18)</f>
        <v>2</v>
      </c>
    </row>
    <row r="20" spans="1:8" ht="29.25">
      <c r="A20" s="1329">
        <v>5</v>
      </c>
      <c r="B20" s="1333" t="s">
        <v>5043</v>
      </c>
      <c r="C20" s="1331"/>
      <c r="D20" s="1331"/>
      <c r="E20" s="1332"/>
      <c r="F20" s="1332"/>
      <c r="G20" s="1332"/>
      <c r="H20" s="1332"/>
    </row>
    <row r="21" spans="1:8">
      <c r="A21" s="1329"/>
      <c r="B21" s="1331" t="s">
        <v>5827</v>
      </c>
      <c r="C21" s="1331">
        <v>2</v>
      </c>
      <c r="D21" s="1331">
        <v>1</v>
      </c>
      <c r="E21" s="1332">
        <v>1</v>
      </c>
      <c r="F21" s="1321" t="s">
        <v>1530</v>
      </c>
      <c r="G21" s="1321" t="s">
        <v>1530</v>
      </c>
      <c r="H21" s="1332">
        <f>PRODUCT(C21:G21)</f>
        <v>2</v>
      </c>
    </row>
    <row r="22" spans="1:8">
      <c r="A22" s="1329"/>
      <c r="B22" s="1331"/>
      <c r="C22" s="1331"/>
      <c r="D22" s="1331"/>
      <c r="E22" s="1332"/>
      <c r="F22" s="1321"/>
      <c r="G22" s="1321"/>
      <c r="H22" s="1332"/>
    </row>
    <row r="23" spans="1:8" ht="43.5">
      <c r="A23" s="1329">
        <v>6</v>
      </c>
      <c r="B23" s="1330" t="s">
        <v>5042</v>
      </c>
      <c r="C23" s="1331"/>
      <c r="D23" s="1331"/>
      <c r="E23" s="1332"/>
      <c r="F23" s="1332"/>
      <c r="G23" s="1332"/>
      <c r="H23" s="1332"/>
    </row>
    <row r="24" spans="1:8">
      <c r="A24" s="1329"/>
      <c r="B24" s="1331" t="s">
        <v>5828</v>
      </c>
      <c r="C24" s="1331">
        <v>2</v>
      </c>
      <c r="D24" s="1331">
        <v>1</v>
      </c>
      <c r="E24" s="1332">
        <v>1</v>
      </c>
      <c r="F24" s="1321" t="s">
        <v>1530</v>
      </c>
      <c r="G24" s="1321" t="s">
        <v>1530</v>
      </c>
      <c r="H24" s="1332">
        <f>PRODUCT(C24:G24)</f>
        <v>2</v>
      </c>
    </row>
    <row r="25" spans="1:8">
      <c r="A25" s="1329"/>
      <c r="B25" s="1331"/>
      <c r="C25" s="1331"/>
      <c r="D25" s="1331"/>
      <c r="E25" s="1332"/>
      <c r="F25" s="1321"/>
      <c r="G25" s="1321"/>
      <c r="H25" s="1332"/>
    </row>
    <row r="26" spans="1:8" ht="43.5">
      <c r="A26" s="1329">
        <v>7</v>
      </c>
      <c r="B26" s="1330" t="s">
        <v>5829</v>
      </c>
      <c r="C26" s="1331">
        <v>1</v>
      </c>
      <c r="D26" s="1331">
        <v>1</v>
      </c>
      <c r="E26" s="1332">
        <v>1</v>
      </c>
      <c r="F26" s="1321" t="s">
        <v>1530</v>
      </c>
      <c r="G26" s="1321" t="s">
        <v>1530</v>
      </c>
      <c r="H26" s="1332">
        <f>PRODUCT(C26:G26)</f>
        <v>1</v>
      </c>
    </row>
    <row r="27" spans="1:8">
      <c r="A27" s="1329"/>
      <c r="B27" s="1330"/>
      <c r="C27" s="1331"/>
      <c r="D27" s="1331"/>
      <c r="E27" s="1332"/>
      <c r="F27" s="1321"/>
      <c r="G27" s="1321"/>
      <c r="H27" s="1332"/>
    </row>
    <row r="28" spans="1:8" ht="43.5">
      <c r="A28" s="1329">
        <v>8</v>
      </c>
      <c r="B28" s="1330" t="s">
        <v>5830</v>
      </c>
      <c r="C28" s="1331">
        <v>1</v>
      </c>
      <c r="D28" s="1331">
        <v>1</v>
      </c>
      <c r="E28" s="1332">
        <v>1</v>
      </c>
      <c r="F28" s="1321" t="s">
        <v>1530</v>
      </c>
      <c r="G28" s="1321" t="s">
        <v>1530</v>
      </c>
      <c r="H28" s="1332">
        <f>PRODUCT(C28:G28)</f>
        <v>1</v>
      </c>
    </row>
    <row r="29" spans="1:8">
      <c r="A29" s="1329"/>
      <c r="B29" s="1330"/>
      <c r="C29" s="1331"/>
      <c r="D29" s="1331"/>
      <c r="E29" s="1332"/>
      <c r="F29" s="1321"/>
      <c r="G29" s="1321"/>
      <c r="H29" s="1332"/>
    </row>
    <row r="30" spans="1:8" ht="29.25">
      <c r="A30" s="1329">
        <v>9</v>
      </c>
      <c r="B30" s="1330" t="s">
        <v>5831</v>
      </c>
      <c r="C30" s="1331">
        <v>1</v>
      </c>
      <c r="D30" s="1331">
        <v>1</v>
      </c>
      <c r="E30" s="1332">
        <v>1</v>
      </c>
      <c r="F30" s="1321" t="s">
        <v>1530</v>
      </c>
      <c r="G30" s="1321" t="s">
        <v>1530</v>
      </c>
      <c r="H30" s="1332">
        <f>PRODUCT(C30:G30)</f>
        <v>1</v>
      </c>
    </row>
    <row r="31" spans="1:8">
      <c r="A31" s="1329"/>
      <c r="B31" s="1330"/>
      <c r="C31" s="1331"/>
      <c r="D31" s="1331"/>
      <c r="E31" s="1332"/>
      <c r="F31" s="1321"/>
      <c r="G31" s="1321"/>
      <c r="H31" s="1332"/>
    </row>
    <row r="32" spans="1:8" ht="29.25">
      <c r="A32" s="1329">
        <v>10</v>
      </c>
      <c r="B32" s="1330" t="s">
        <v>5037</v>
      </c>
      <c r="C32" s="1331"/>
      <c r="D32" s="1331"/>
      <c r="E32" s="1332"/>
      <c r="F32" s="1321"/>
      <c r="G32" s="1321"/>
      <c r="H32" s="1332"/>
    </row>
    <row r="33" spans="1:8">
      <c r="A33" s="1329"/>
      <c r="B33" s="1330" t="s">
        <v>5832</v>
      </c>
      <c r="C33" s="1331">
        <v>1</v>
      </c>
      <c r="D33" s="1331">
        <v>1</v>
      </c>
      <c r="E33" s="1332">
        <v>375</v>
      </c>
      <c r="F33" s="1321" t="s">
        <v>1530</v>
      </c>
      <c r="G33" s="1321" t="s">
        <v>1530</v>
      </c>
      <c r="H33" s="1332">
        <f t="shared" ref="H33:H73" si="0">PRODUCT(C33:G33)</f>
        <v>375</v>
      </c>
    </row>
    <row r="34" spans="1:8">
      <c r="A34" s="1329"/>
      <c r="B34" s="1330" t="s">
        <v>5833</v>
      </c>
      <c r="C34" s="1331">
        <v>1</v>
      </c>
      <c r="D34" s="1331">
        <v>1</v>
      </c>
      <c r="E34" s="1332">
        <v>40</v>
      </c>
      <c r="F34" s="1321"/>
      <c r="G34" s="1321"/>
      <c r="H34" s="1332">
        <f t="shared" si="0"/>
        <v>40</v>
      </c>
    </row>
    <row r="35" spans="1:8">
      <c r="A35" s="1329"/>
      <c r="B35" s="1330"/>
      <c r="C35" s="1331"/>
      <c r="D35" s="1331"/>
      <c r="E35" s="1332"/>
      <c r="F35" s="1321"/>
      <c r="G35" s="1321"/>
      <c r="H35" s="1316">
        <f>SUM(H33:H34)</f>
        <v>415</v>
      </c>
    </row>
    <row r="36" spans="1:8" ht="29.25">
      <c r="A36" s="1329">
        <v>9</v>
      </c>
      <c r="B36" s="1330" t="s">
        <v>5036</v>
      </c>
      <c r="C36" s="1331"/>
      <c r="D36" s="1331"/>
      <c r="E36" s="1332"/>
      <c r="F36" s="1321"/>
      <c r="G36" s="1321"/>
      <c r="H36" s="1332"/>
    </row>
    <row r="37" spans="1:8">
      <c r="A37" s="1329"/>
      <c r="B37" s="1330" t="s">
        <v>5834</v>
      </c>
      <c r="C37" s="1331">
        <v>1</v>
      </c>
      <c r="D37" s="1331">
        <v>1</v>
      </c>
      <c r="E37" s="1332">
        <v>375</v>
      </c>
      <c r="F37" s="1321" t="s">
        <v>1530</v>
      </c>
      <c r="G37" s="1321" t="s">
        <v>1530</v>
      </c>
      <c r="H37" s="1332">
        <f t="shared" si="0"/>
        <v>375</v>
      </c>
    </row>
    <row r="38" spans="1:8">
      <c r="A38" s="1329"/>
      <c r="B38" s="1330"/>
      <c r="C38" s="1331"/>
      <c r="D38" s="1331"/>
      <c r="E38" s="1332"/>
      <c r="F38" s="1321"/>
      <c r="G38" s="1321"/>
      <c r="H38" s="1316">
        <f>SUM(H37:H37)</f>
        <v>375</v>
      </c>
    </row>
    <row r="39" spans="1:8">
      <c r="A39" s="1329"/>
      <c r="B39" s="1330"/>
      <c r="C39" s="1331"/>
      <c r="D39" s="1331"/>
      <c r="E39" s="1332"/>
      <c r="F39" s="1321"/>
      <c r="G39" s="1315"/>
      <c r="H39" s="1316"/>
    </row>
    <row r="40" spans="1:8" ht="29.25">
      <c r="A40" s="1329">
        <v>10</v>
      </c>
      <c r="B40" s="1330" t="s">
        <v>5035</v>
      </c>
      <c r="C40" s="1331"/>
      <c r="D40" s="1331"/>
      <c r="E40" s="1332"/>
      <c r="F40" s="1321"/>
      <c r="G40" s="1321"/>
      <c r="H40" s="1332"/>
    </row>
    <row r="41" spans="1:8">
      <c r="A41" s="1329"/>
      <c r="B41" s="1334" t="s">
        <v>5034</v>
      </c>
      <c r="C41" s="1331"/>
      <c r="D41" s="1331"/>
      <c r="E41" s="1332"/>
      <c r="F41" s="1321"/>
      <c r="G41" s="1321"/>
      <c r="H41" s="1332"/>
    </row>
    <row r="42" spans="1:8">
      <c r="A42" s="1329"/>
      <c r="B42" s="1330" t="s">
        <v>5835</v>
      </c>
      <c r="C42" s="1331">
        <v>1</v>
      </c>
      <c r="D42" s="1331">
        <v>1</v>
      </c>
      <c r="E42" s="1332">
        <v>15</v>
      </c>
      <c r="F42" s="1321" t="s">
        <v>1530</v>
      </c>
      <c r="G42" s="1321" t="s">
        <v>1530</v>
      </c>
      <c r="H42" s="1332">
        <f t="shared" si="0"/>
        <v>15</v>
      </c>
    </row>
    <row r="43" spans="1:8">
      <c r="A43" s="1329"/>
      <c r="B43" s="1330"/>
      <c r="C43" s="1331"/>
      <c r="D43" s="1331"/>
      <c r="E43" s="1332"/>
      <c r="F43" s="1321"/>
      <c r="G43" s="1321"/>
      <c r="H43" s="1316">
        <f>SUM(H42:H42)</f>
        <v>15</v>
      </c>
    </row>
    <row r="44" spans="1:8">
      <c r="A44" s="1329"/>
      <c r="B44" s="1334" t="s">
        <v>5033</v>
      </c>
      <c r="C44" s="1331"/>
      <c r="D44" s="1331"/>
      <c r="E44" s="1332"/>
      <c r="F44" s="1321"/>
      <c r="G44" s="1321"/>
      <c r="H44" s="1332"/>
    </row>
    <row r="45" spans="1:8">
      <c r="A45" s="1329"/>
      <c r="B45" s="1330" t="s">
        <v>5836</v>
      </c>
      <c r="C45" s="1331">
        <v>1</v>
      </c>
      <c r="D45" s="1331">
        <v>1</v>
      </c>
      <c r="E45" s="1332">
        <v>5</v>
      </c>
      <c r="F45" s="1321" t="s">
        <v>1530</v>
      </c>
      <c r="G45" s="1321" t="s">
        <v>1530</v>
      </c>
      <c r="H45" s="1316">
        <f t="shared" si="0"/>
        <v>5</v>
      </c>
    </row>
    <row r="46" spans="1:8">
      <c r="A46" s="1329"/>
      <c r="B46" s="1334" t="s">
        <v>5837</v>
      </c>
      <c r="C46" s="1331"/>
      <c r="D46" s="1331"/>
      <c r="E46" s="1332"/>
      <c r="F46" s="1321"/>
      <c r="G46" s="1321"/>
      <c r="H46" s="1332"/>
    </row>
    <row r="47" spans="1:8">
      <c r="A47" s="1329"/>
      <c r="B47" s="1330" t="s">
        <v>5838</v>
      </c>
      <c r="C47" s="1331">
        <v>1</v>
      </c>
      <c r="D47" s="1331">
        <v>1</v>
      </c>
      <c r="E47" s="1332">
        <v>3</v>
      </c>
      <c r="F47" s="1321" t="s">
        <v>1530</v>
      </c>
      <c r="G47" s="1321" t="s">
        <v>1530</v>
      </c>
      <c r="H47" s="1332">
        <f t="shared" si="0"/>
        <v>3</v>
      </c>
    </row>
    <row r="48" spans="1:8">
      <c r="A48" s="1329"/>
      <c r="B48" s="1330" t="s">
        <v>5839</v>
      </c>
      <c r="C48" s="1331">
        <v>1</v>
      </c>
      <c r="D48" s="1331">
        <v>1</v>
      </c>
      <c r="E48" s="1332">
        <v>5</v>
      </c>
      <c r="F48" s="1321" t="s">
        <v>1530</v>
      </c>
      <c r="G48" s="1321" t="s">
        <v>1530</v>
      </c>
      <c r="H48" s="1332">
        <f t="shared" si="0"/>
        <v>5</v>
      </c>
    </row>
    <row r="49" spans="1:8">
      <c r="A49" s="1329"/>
      <c r="B49" s="1330" t="s">
        <v>5840</v>
      </c>
      <c r="C49" s="1331">
        <v>1</v>
      </c>
      <c r="D49" s="1331">
        <v>1</v>
      </c>
      <c r="E49" s="1332">
        <v>5</v>
      </c>
      <c r="F49" s="1321" t="s">
        <v>1530</v>
      </c>
      <c r="G49" s="1321" t="s">
        <v>1530</v>
      </c>
      <c r="H49" s="1332">
        <f t="shared" si="0"/>
        <v>5</v>
      </c>
    </row>
    <row r="50" spans="1:8">
      <c r="A50" s="1329"/>
      <c r="B50" s="1330" t="s">
        <v>5841</v>
      </c>
      <c r="C50" s="1331">
        <v>1</v>
      </c>
      <c r="D50" s="1331">
        <v>1</v>
      </c>
      <c r="E50" s="1332">
        <v>3</v>
      </c>
      <c r="F50" s="1321" t="s">
        <v>1530</v>
      </c>
      <c r="G50" s="1321" t="s">
        <v>1530</v>
      </c>
      <c r="H50" s="1332">
        <f t="shared" si="0"/>
        <v>3</v>
      </c>
    </row>
    <row r="51" spans="1:8">
      <c r="A51" s="1329"/>
      <c r="B51" s="1330"/>
      <c r="C51" s="1331"/>
      <c r="D51" s="1331"/>
      <c r="E51" s="1332"/>
      <c r="F51" s="1321"/>
      <c r="G51" s="1321"/>
      <c r="H51" s="1316">
        <f>SUM(H47:H50)</f>
        <v>16</v>
      </c>
    </row>
    <row r="52" spans="1:8">
      <c r="A52" s="1329"/>
      <c r="B52" s="1330"/>
      <c r="C52" s="1331"/>
      <c r="D52" s="1331"/>
      <c r="E52" s="1332"/>
      <c r="F52" s="1321"/>
      <c r="G52" s="1321"/>
      <c r="H52" s="1316"/>
    </row>
    <row r="53" spans="1:8" ht="29.25">
      <c r="A53" s="1329">
        <v>11</v>
      </c>
      <c r="B53" s="1330" t="s">
        <v>5032</v>
      </c>
      <c r="C53" s="1331"/>
      <c r="D53" s="1331"/>
      <c r="E53" s="1332"/>
      <c r="F53" s="1321"/>
      <c r="G53" s="1321"/>
      <c r="H53" s="1332"/>
    </row>
    <row r="54" spans="1:8">
      <c r="A54" s="1329"/>
      <c r="B54" s="1334" t="s">
        <v>5031</v>
      </c>
      <c r="C54" s="1331"/>
      <c r="D54" s="1331"/>
      <c r="E54" s="1332"/>
      <c r="F54" s="1321"/>
      <c r="G54" s="1321"/>
      <c r="H54" s="1332"/>
    </row>
    <row r="55" spans="1:8">
      <c r="A55" s="1329"/>
      <c r="B55" s="1330" t="s">
        <v>5842</v>
      </c>
      <c r="C55" s="1331">
        <v>1</v>
      </c>
      <c r="D55" s="1331">
        <v>1</v>
      </c>
      <c r="E55" s="1332">
        <v>95</v>
      </c>
      <c r="F55" s="1321"/>
      <c r="G55" s="1321"/>
      <c r="H55" s="1332">
        <f>PRODUCT(C55:G55)</f>
        <v>95</v>
      </c>
    </row>
    <row r="56" spans="1:8">
      <c r="A56" s="1329"/>
      <c r="B56" s="1330"/>
      <c r="C56" s="1331"/>
      <c r="D56" s="1331"/>
      <c r="E56" s="1332"/>
      <c r="F56" s="1321"/>
      <c r="G56" s="1321"/>
      <c r="H56" s="1332">
        <f>SUM(H55:H55)</f>
        <v>95</v>
      </c>
    </row>
    <row r="57" spans="1:8">
      <c r="A57" s="1329"/>
      <c r="B57" s="1330"/>
      <c r="C57" s="1331"/>
      <c r="D57" s="1331"/>
      <c r="E57" s="1332"/>
      <c r="F57" s="1315" t="s">
        <v>4121</v>
      </c>
      <c r="G57" s="1335">
        <f>ROUNDUP(H56,1)</f>
        <v>95</v>
      </c>
      <c r="H57" s="1316" t="s">
        <v>5843</v>
      </c>
    </row>
    <row r="58" spans="1:8">
      <c r="A58" s="1329"/>
      <c r="B58" s="1330" t="s">
        <v>5844</v>
      </c>
      <c r="C58" s="1331"/>
      <c r="D58" s="1331"/>
      <c r="E58" s="1332"/>
      <c r="F58" s="1321"/>
      <c r="G58" s="1321"/>
      <c r="H58" s="1332"/>
    </row>
    <row r="59" spans="1:8">
      <c r="A59" s="1329"/>
      <c r="B59" s="1330" t="s">
        <v>5845</v>
      </c>
      <c r="C59" s="1331">
        <v>1</v>
      </c>
      <c r="D59" s="1331">
        <v>1</v>
      </c>
      <c r="E59" s="1332">
        <v>15</v>
      </c>
      <c r="F59" s="1321" t="s">
        <v>1530</v>
      </c>
      <c r="G59" s="1321" t="s">
        <v>1530</v>
      </c>
      <c r="H59" s="1332">
        <f t="shared" si="0"/>
        <v>15</v>
      </c>
    </row>
    <row r="60" spans="1:8">
      <c r="A60" s="1329"/>
      <c r="B60" s="1330"/>
      <c r="C60" s="1331"/>
      <c r="D60" s="1331"/>
      <c r="E60" s="1332"/>
      <c r="F60" s="1321"/>
      <c r="G60" s="1321"/>
      <c r="H60" s="1316">
        <f>SUM(H59:H59)</f>
        <v>15</v>
      </c>
    </row>
    <row r="61" spans="1:8" ht="29.25">
      <c r="A61" s="1329">
        <v>13</v>
      </c>
      <c r="B61" s="1330" t="s">
        <v>5029</v>
      </c>
      <c r="C61" s="1331"/>
      <c r="D61" s="1331"/>
      <c r="E61" s="1332"/>
      <c r="F61" s="1321"/>
      <c r="G61" s="1321"/>
      <c r="H61" s="1332"/>
    </row>
    <row r="62" spans="1:8">
      <c r="A62" s="1329" t="s">
        <v>5276</v>
      </c>
      <c r="B62" s="1330" t="s">
        <v>5846</v>
      </c>
      <c r="C62" s="1331">
        <v>1</v>
      </c>
      <c r="D62" s="1331">
        <v>1</v>
      </c>
      <c r="E62" s="1332">
        <v>5</v>
      </c>
      <c r="F62" s="1321" t="s">
        <v>1530</v>
      </c>
      <c r="G62" s="1321" t="s">
        <v>1530</v>
      </c>
      <c r="H62" s="1332">
        <f t="shared" si="0"/>
        <v>5</v>
      </c>
    </row>
    <row r="63" spans="1:8">
      <c r="A63" s="1329" t="s">
        <v>5265</v>
      </c>
      <c r="B63" s="1330" t="s">
        <v>5847</v>
      </c>
      <c r="C63" s="1331">
        <v>1</v>
      </c>
      <c r="D63" s="1331">
        <v>1</v>
      </c>
      <c r="E63" s="1332">
        <v>6</v>
      </c>
      <c r="F63" s="1321" t="s">
        <v>1530</v>
      </c>
      <c r="G63" s="1321" t="s">
        <v>1530</v>
      </c>
      <c r="H63" s="1332">
        <f t="shared" si="0"/>
        <v>6</v>
      </c>
    </row>
    <row r="64" spans="1:8">
      <c r="A64" s="1329" t="s">
        <v>5848</v>
      </c>
      <c r="B64" s="1330" t="s">
        <v>5849</v>
      </c>
      <c r="C64" s="1331">
        <v>1</v>
      </c>
      <c r="D64" s="1331">
        <v>1</v>
      </c>
      <c r="E64" s="1332">
        <v>3</v>
      </c>
      <c r="F64" s="1321" t="s">
        <v>1530</v>
      </c>
      <c r="G64" s="1321" t="s">
        <v>1530</v>
      </c>
      <c r="H64" s="1332">
        <f t="shared" si="0"/>
        <v>3</v>
      </c>
    </row>
    <row r="65" spans="1:8">
      <c r="A65" s="1329" t="s">
        <v>5850</v>
      </c>
      <c r="B65" s="1330" t="s">
        <v>5851</v>
      </c>
      <c r="C65" s="1331">
        <v>1</v>
      </c>
      <c r="D65" s="1331">
        <v>1</v>
      </c>
      <c r="E65" s="1332">
        <v>1</v>
      </c>
      <c r="F65" s="1321" t="s">
        <v>1530</v>
      </c>
      <c r="G65" s="1321" t="s">
        <v>1530</v>
      </c>
      <c r="H65" s="1332">
        <f t="shared" si="0"/>
        <v>1</v>
      </c>
    </row>
    <row r="66" spans="1:8">
      <c r="A66" s="1329" t="s">
        <v>5852</v>
      </c>
      <c r="B66" s="1330" t="s">
        <v>5853</v>
      </c>
      <c r="C66" s="1331">
        <v>1</v>
      </c>
      <c r="D66" s="1331">
        <v>1</v>
      </c>
      <c r="E66" s="1332">
        <v>3</v>
      </c>
      <c r="F66" s="1321" t="s">
        <v>1530</v>
      </c>
      <c r="G66" s="1321" t="s">
        <v>1530</v>
      </c>
      <c r="H66" s="1332">
        <f t="shared" si="0"/>
        <v>3</v>
      </c>
    </row>
    <row r="67" spans="1:8">
      <c r="A67" s="1329" t="s">
        <v>5854</v>
      </c>
      <c r="B67" s="1330" t="s">
        <v>5855</v>
      </c>
      <c r="C67" s="1331">
        <v>1</v>
      </c>
      <c r="D67" s="1331">
        <v>1</v>
      </c>
      <c r="E67" s="1332">
        <v>5</v>
      </c>
      <c r="F67" s="1321" t="s">
        <v>1530</v>
      </c>
      <c r="G67" s="1321" t="s">
        <v>1530</v>
      </c>
      <c r="H67" s="1332">
        <f t="shared" si="0"/>
        <v>5</v>
      </c>
    </row>
    <row r="68" spans="1:8">
      <c r="A68" s="1329" t="s">
        <v>5856</v>
      </c>
      <c r="B68" s="1330" t="s">
        <v>5857</v>
      </c>
      <c r="C68" s="1331">
        <v>1</v>
      </c>
      <c r="D68" s="1331">
        <v>1</v>
      </c>
      <c r="E68" s="1332">
        <v>1</v>
      </c>
      <c r="F68" s="1321" t="s">
        <v>1530</v>
      </c>
      <c r="G68" s="1321" t="s">
        <v>1530</v>
      </c>
      <c r="H68" s="1332">
        <f t="shared" si="0"/>
        <v>1</v>
      </c>
    </row>
    <row r="69" spans="1:8">
      <c r="A69" s="1329" t="s">
        <v>5858</v>
      </c>
      <c r="B69" s="1330" t="s">
        <v>5859</v>
      </c>
      <c r="C69" s="1331">
        <v>1</v>
      </c>
      <c r="D69" s="1331">
        <v>1</v>
      </c>
      <c r="E69" s="1332">
        <v>3</v>
      </c>
      <c r="F69" s="1321" t="s">
        <v>1530</v>
      </c>
      <c r="G69" s="1321" t="s">
        <v>1530</v>
      </c>
      <c r="H69" s="1332">
        <f t="shared" si="0"/>
        <v>3</v>
      </c>
    </row>
    <row r="70" spans="1:8">
      <c r="A70" s="1329" t="s">
        <v>5860</v>
      </c>
      <c r="B70" s="1330" t="s">
        <v>5861</v>
      </c>
      <c r="C70" s="1331">
        <v>1</v>
      </c>
      <c r="D70" s="1331">
        <v>1</v>
      </c>
      <c r="E70" s="1332">
        <v>2</v>
      </c>
      <c r="F70" s="1321" t="s">
        <v>1530</v>
      </c>
      <c r="G70" s="1321" t="s">
        <v>1530</v>
      </c>
      <c r="H70" s="1332">
        <f t="shared" si="0"/>
        <v>2</v>
      </c>
    </row>
    <row r="71" spans="1:8">
      <c r="A71" s="1329" t="s">
        <v>5862</v>
      </c>
      <c r="B71" s="1330" t="s">
        <v>5863</v>
      </c>
      <c r="C71" s="1331">
        <v>1</v>
      </c>
      <c r="D71" s="1331">
        <v>1</v>
      </c>
      <c r="E71" s="1332">
        <v>2</v>
      </c>
      <c r="F71" s="1321" t="s">
        <v>1530</v>
      </c>
      <c r="G71" s="1321" t="s">
        <v>1530</v>
      </c>
      <c r="H71" s="1332">
        <f t="shared" si="0"/>
        <v>2</v>
      </c>
    </row>
    <row r="72" spans="1:8">
      <c r="A72" s="1329" t="s">
        <v>5864</v>
      </c>
      <c r="B72" s="1330" t="s">
        <v>5865</v>
      </c>
      <c r="C72" s="1331">
        <v>1</v>
      </c>
      <c r="D72" s="1331">
        <v>1</v>
      </c>
      <c r="E72" s="1332">
        <v>2</v>
      </c>
      <c r="F72" s="1321" t="s">
        <v>1530</v>
      </c>
      <c r="G72" s="1321" t="s">
        <v>1530</v>
      </c>
      <c r="H72" s="1332">
        <f t="shared" si="0"/>
        <v>2</v>
      </c>
    </row>
    <row r="73" spans="1:8">
      <c r="A73" s="1329" t="s">
        <v>5866</v>
      </c>
      <c r="B73" s="1330" t="s">
        <v>5017</v>
      </c>
      <c r="C73" s="1331">
        <v>1</v>
      </c>
      <c r="D73" s="1331">
        <v>1</v>
      </c>
      <c r="E73" s="1332">
        <v>2</v>
      </c>
      <c r="F73" s="1321" t="s">
        <v>1530</v>
      </c>
      <c r="G73" s="1321" t="s">
        <v>1530</v>
      </c>
      <c r="H73" s="1332">
        <f t="shared" si="0"/>
        <v>2</v>
      </c>
    </row>
    <row r="74" spans="1:8">
      <c r="A74" s="1331"/>
      <c r="B74" s="1331"/>
      <c r="C74" s="1331"/>
      <c r="D74" s="1331"/>
      <c r="E74" s="1331"/>
      <c r="F74" s="1331"/>
      <c r="G74" s="1331"/>
      <c r="H74" s="1331"/>
    </row>
    <row r="75" spans="1:8" ht="30">
      <c r="A75" s="1331"/>
      <c r="B75" s="1324" t="s">
        <v>5016</v>
      </c>
      <c r="C75" s="1331"/>
      <c r="D75" s="1331"/>
      <c r="E75" s="1331"/>
      <c r="F75" s="1331"/>
      <c r="G75" s="1331"/>
      <c r="H75" s="1331"/>
    </row>
    <row r="76" spans="1:8" ht="30">
      <c r="A76" s="1331"/>
      <c r="B76" s="1324" t="s">
        <v>5867</v>
      </c>
      <c r="C76" s="1331">
        <v>1</v>
      </c>
      <c r="D76" s="1331">
        <v>1</v>
      </c>
      <c r="E76" s="1331"/>
      <c r="F76" s="1331"/>
      <c r="G76" s="1331"/>
      <c r="H76" s="1316">
        <v>220</v>
      </c>
    </row>
    <row r="77" spans="1:8">
      <c r="A77" s="1331"/>
      <c r="B77" s="1331"/>
      <c r="C77" s="1331"/>
      <c r="D77" s="1331"/>
      <c r="E77" s="1331"/>
      <c r="F77" s="1331"/>
      <c r="G77" s="1331"/>
      <c r="H77" s="1331"/>
    </row>
    <row r="78" spans="1:8">
      <c r="A78" s="1331"/>
      <c r="B78" s="1317" t="s">
        <v>5868</v>
      </c>
      <c r="C78" s="1331"/>
      <c r="D78" s="1331"/>
      <c r="E78" s="1331"/>
      <c r="F78" s="1331"/>
      <c r="G78" s="1331"/>
      <c r="H78" s="1331"/>
    </row>
    <row r="79" spans="1:8" ht="47.25">
      <c r="A79" s="1336">
        <v>1</v>
      </c>
      <c r="B79" s="1337" t="s">
        <v>5869</v>
      </c>
      <c r="C79" s="1336">
        <v>1</v>
      </c>
      <c r="D79" s="1336">
        <v>1</v>
      </c>
      <c r="E79" s="1336">
        <v>1</v>
      </c>
      <c r="F79" s="1338" t="s">
        <v>1530</v>
      </c>
      <c r="G79" s="1338" t="s">
        <v>1530</v>
      </c>
      <c r="H79" s="1339">
        <f>C79*D79*E79</f>
        <v>1</v>
      </c>
    </row>
    <row r="80" spans="1:8">
      <c r="A80" s="1336"/>
      <c r="B80" s="1337"/>
      <c r="C80" s="1336"/>
      <c r="D80" s="1336"/>
      <c r="E80" s="1336"/>
      <c r="F80" s="1336"/>
      <c r="G80" s="1336"/>
      <c r="H80" s="1340"/>
    </row>
    <row r="81" spans="1:8" ht="30" customHeight="1">
      <c r="A81" s="1336">
        <v>2</v>
      </c>
      <c r="B81" s="1337" t="s">
        <v>5870</v>
      </c>
      <c r="C81" s="1336"/>
      <c r="D81" s="1336"/>
      <c r="E81" s="1336"/>
      <c r="F81" s="1336"/>
      <c r="G81" s="1336"/>
      <c r="H81" s="1340"/>
    </row>
    <row r="82" spans="1:8">
      <c r="A82" s="1336"/>
      <c r="B82" s="1341" t="s">
        <v>5871</v>
      </c>
      <c r="C82" s="1336"/>
      <c r="D82" s="1336"/>
      <c r="E82" s="1336"/>
      <c r="F82" s="1336"/>
      <c r="G82" s="1336"/>
      <c r="H82" s="1340"/>
    </row>
    <row r="83" spans="1:8">
      <c r="A83" s="1336"/>
      <c r="B83" s="1336"/>
      <c r="C83" s="1336">
        <v>18</v>
      </c>
      <c r="D83" s="1336">
        <v>1</v>
      </c>
      <c r="E83" s="1336">
        <v>1</v>
      </c>
      <c r="F83" s="1338" t="s">
        <v>1530</v>
      </c>
      <c r="G83" s="1338" t="s">
        <v>1530</v>
      </c>
      <c r="H83" s="1340">
        <f>C83*D83*E83</f>
        <v>18</v>
      </c>
    </row>
    <row r="84" spans="1:8">
      <c r="A84" s="1336"/>
      <c r="B84" s="1336"/>
      <c r="C84" s="1336"/>
      <c r="D84" s="1336"/>
      <c r="E84" s="1336"/>
      <c r="F84" s="1338"/>
      <c r="G84" s="1338"/>
      <c r="H84" s="1340"/>
    </row>
    <row r="85" spans="1:8">
      <c r="A85" s="1336"/>
      <c r="B85" s="1336"/>
      <c r="C85" s="1336">
        <v>35</v>
      </c>
      <c r="D85" s="1336">
        <v>1</v>
      </c>
      <c r="E85" s="1336">
        <v>1</v>
      </c>
      <c r="F85" s="1338" t="s">
        <v>1530</v>
      </c>
      <c r="G85" s="1338" t="s">
        <v>1530</v>
      </c>
      <c r="H85" s="1340">
        <f>C85*D85*E85</f>
        <v>35</v>
      </c>
    </row>
    <row r="86" spans="1:8">
      <c r="A86" s="1336"/>
      <c r="B86" s="1336"/>
      <c r="C86" s="1336"/>
      <c r="D86" s="1336"/>
      <c r="E86" s="1336"/>
      <c r="F86" s="1338"/>
      <c r="G86" s="1338"/>
      <c r="H86" s="1340"/>
    </row>
    <row r="87" spans="1:8">
      <c r="A87" s="1336"/>
      <c r="B87" s="1336"/>
      <c r="C87" s="1336">
        <v>12</v>
      </c>
      <c r="D87" s="1336">
        <v>1</v>
      </c>
      <c r="E87" s="1336">
        <v>1</v>
      </c>
      <c r="F87" s="1338"/>
      <c r="G87" s="1338"/>
      <c r="H87" s="1340">
        <f>C87*D87*E87</f>
        <v>12</v>
      </c>
    </row>
    <row r="88" spans="1:8">
      <c r="A88" s="1336"/>
      <c r="B88" s="1336"/>
      <c r="C88" s="1336"/>
      <c r="D88" s="1336"/>
      <c r="E88" s="1336"/>
      <c r="F88" s="1338"/>
      <c r="G88" s="1338"/>
      <c r="H88" s="1340"/>
    </row>
    <row r="89" spans="1:8">
      <c r="A89" s="1336"/>
      <c r="B89" s="1336"/>
      <c r="C89" s="1336">
        <v>9</v>
      </c>
      <c r="D89" s="1336">
        <v>1</v>
      </c>
      <c r="E89" s="1336">
        <v>1</v>
      </c>
      <c r="F89" s="1338"/>
      <c r="G89" s="1338"/>
      <c r="H89" s="1340">
        <f>C89*D89*E89</f>
        <v>9</v>
      </c>
    </row>
    <row r="90" spans="1:8">
      <c r="A90" s="1336"/>
      <c r="B90" s="1336"/>
      <c r="C90" s="1336"/>
      <c r="D90" s="1336"/>
      <c r="E90" s="1336"/>
      <c r="F90" s="1336"/>
      <c r="G90" s="1336"/>
      <c r="H90" s="1339">
        <f>SUM(H83:H89)</f>
        <v>74</v>
      </c>
    </row>
    <row r="91" spans="1:8">
      <c r="A91" s="1336"/>
      <c r="B91" s="1341" t="s">
        <v>5011</v>
      </c>
      <c r="C91" s="1336"/>
      <c r="D91" s="1336"/>
      <c r="E91" s="1336"/>
      <c r="F91" s="1336"/>
      <c r="G91" s="1336"/>
      <c r="H91" s="1336"/>
    </row>
    <row r="92" spans="1:8">
      <c r="A92" s="1336"/>
      <c r="B92" s="1341" t="s">
        <v>5872</v>
      </c>
      <c r="C92" s="1336"/>
      <c r="D92" s="1336"/>
      <c r="E92" s="1336"/>
      <c r="F92" s="1336"/>
      <c r="G92" s="1336"/>
      <c r="H92" s="1340"/>
    </row>
    <row r="93" spans="1:8">
      <c r="A93" s="1336"/>
      <c r="B93" s="1336" t="s">
        <v>5873</v>
      </c>
      <c r="C93" s="1336">
        <v>1</v>
      </c>
      <c r="D93" s="1336">
        <v>12</v>
      </c>
      <c r="E93" s="1336">
        <v>1</v>
      </c>
      <c r="F93" s="1338" t="s">
        <v>1530</v>
      </c>
      <c r="G93" s="1338" t="s">
        <v>1530</v>
      </c>
      <c r="H93" s="1340">
        <f>C93*D93*E93</f>
        <v>12</v>
      </c>
    </row>
    <row r="94" spans="1:8">
      <c r="A94" s="1336"/>
      <c r="B94" s="1336" t="s">
        <v>5874</v>
      </c>
      <c r="C94" s="1336">
        <v>1</v>
      </c>
      <c r="D94" s="1336">
        <v>12</v>
      </c>
      <c r="E94" s="1336">
        <v>1</v>
      </c>
      <c r="F94" s="1338"/>
      <c r="G94" s="1338"/>
      <c r="H94" s="1340">
        <f>C94*D94*E94</f>
        <v>12</v>
      </c>
    </row>
    <row r="95" spans="1:8">
      <c r="A95" s="1336"/>
      <c r="B95" s="1342" t="s">
        <v>5875</v>
      </c>
      <c r="C95" s="1336">
        <v>1</v>
      </c>
      <c r="D95" s="1336">
        <v>8</v>
      </c>
      <c r="E95" s="1336">
        <v>1</v>
      </c>
      <c r="F95" s="1338"/>
      <c r="G95" s="1338"/>
      <c r="H95" s="1340">
        <f>C95*D95*E95</f>
        <v>8</v>
      </c>
    </row>
    <row r="96" spans="1:8">
      <c r="A96" s="1336"/>
      <c r="B96" s="1342" t="s">
        <v>5876</v>
      </c>
      <c r="C96" s="1336">
        <v>1</v>
      </c>
      <c r="D96" s="1336">
        <v>8</v>
      </c>
      <c r="E96" s="1336">
        <v>1</v>
      </c>
      <c r="F96" s="1338"/>
      <c r="G96" s="1338"/>
      <c r="H96" s="1340">
        <f>C96*D96*E96</f>
        <v>8</v>
      </c>
    </row>
    <row r="97" spans="1:8">
      <c r="A97" s="1336"/>
      <c r="B97" s="1337"/>
      <c r="C97" s="1336"/>
      <c r="D97" s="1336"/>
      <c r="E97" s="1336"/>
      <c r="F97" s="1336"/>
      <c r="G97" s="1336"/>
      <c r="H97" s="1339">
        <f>SUM(H93:H96)</f>
        <v>40</v>
      </c>
    </row>
    <row r="99" spans="1:8">
      <c r="E99" s="37"/>
    </row>
    <row r="121" spans="5:5">
      <c r="E121" s="37"/>
    </row>
    <row r="143" spans="5:5">
      <c r="E143" s="37"/>
    </row>
    <row r="157" spans="5:5">
      <c r="E157" s="37"/>
    </row>
    <row r="177" spans="5:5">
      <c r="E177" s="37"/>
    </row>
    <row r="199" spans="5:5">
      <c r="E199" s="37"/>
    </row>
    <row r="222" spans="5:5">
      <c r="E222" s="37"/>
    </row>
    <row r="227" spans="5:5">
      <c r="E227" s="37"/>
    </row>
    <row r="234" spans="5:5">
      <c r="E234" s="37"/>
    </row>
    <row r="260" spans="5:5">
      <c r="E260" s="37"/>
    </row>
    <row r="274" spans="5:5">
      <c r="E274" s="37"/>
    </row>
    <row r="285" spans="5:5">
      <c r="E285" s="37"/>
    </row>
    <row r="304" spans="5:5">
      <c r="E304" s="37"/>
    </row>
    <row r="313" spans="5:5">
      <c r="E313" s="37"/>
    </row>
    <row r="364" spans="5:5">
      <c r="E364" s="37"/>
    </row>
    <row r="389" spans="5:5">
      <c r="E389" s="37"/>
    </row>
    <row r="409" spans="5:5">
      <c r="E409" s="37"/>
    </row>
    <row r="436" spans="2:5">
      <c r="E436" s="37"/>
    </row>
    <row r="444" spans="2:5">
      <c r="E444" s="37"/>
    </row>
    <row r="446" spans="2:5">
      <c r="B446"/>
    </row>
    <row r="447" spans="2:5">
      <c r="B447"/>
    </row>
    <row r="448" spans="2:5">
      <c r="B448"/>
    </row>
    <row r="449" spans="2:3">
      <c r="B449"/>
    </row>
    <row r="450" spans="2:3">
      <c r="B450"/>
    </row>
    <row r="451" spans="2:3">
      <c r="B451"/>
    </row>
    <row r="452" spans="2:3">
      <c r="B452"/>
    </row>
    <row r="453" spans="2:3">
      <c r="B453"/>
    </row>
    <row r="454" spans="2:3">
      <c r="B454"/>
    </row>
    <row r="455" spans="2:3">
      <c r="B455"/>
    </row>
    <row r="456" spans="2:3">
      <c r="B456"/>
    </row>
    <row r="457" spans="2:3">
      <c r="B457"/>
    </row>
    <row r="458" spans="2:3">
      <c r="B458"/>
    </row>
    <row r="459" spans="2:3">
      <c r="B459"/>
    </row>
    <row r="460" spans="2:3">
      <c r="B460"/>
      <c r="C460" s="37"/>
    </row>
    <row r="477" spans="5:5">
      <c r="E477" s="37"/>
    </row>
    <row r="495" spans="5:5">
      <c r="E495" s="37"/>
    </row>
    <row r="506" spans="3:5">
      <c r="E506" s="37"/>
    </row>
    <row r="511" spans="3:5">
      <c r="C511" s="37"/>
    </row>
  </sheetData>
  <mergeCells count="8">
    <mergeCell ref="A1:H1"/>
    <mergeCell ref="A2:H2"/>
    <mergeCell ref="A3:H3"/>
    <mergeCell ref="A4:A5"/>
    <mergeCell ref="B4:B5"/>
    <mergeCell ref="C4:D5"/>
    <mergeCell ref="E4:G4"/>
    <mergeCell ref="H4:H5"/>
  </mergeCells>
  <pageMargins left="0.7" right="0.7" top="0.75" bottom="0.75" header="0.3" footer="0.3"/>
  <pageSetup paperSize="9" scale="79" orientation="portrait" r:id="rId1"/>
</worksheet>
</file>

<file path=xl/worksheets/sheet19.xml><?xml version="1.0" encoding="utf-8"?>
<worksheet xmlns="http://schemas.openxmlformats.org/spreadsheetml/2006/main" xmlns:r="http://schemas.openxmlformats.org/officeDocument/2006/relationships">
  <sheetPr>
    <tabColor rgb="FF00B0F0"/>
  </sheetPr>
  <dimension ref="A1:H400"/>
  <sheetViews>
    <sheetView view="pageBreakPreview" topLeftCell="A43" zoomScaleSheetLayoutView="100" workbookViewId="0">
      <selection activeCell="B13" sqref="B13"/>
    </sheetView>
  </sheetViews>
  <sheetFormatPr defaultRowHeight="15.75"/>
  <cols>
    <col min="1" max="1" width="5.5546875" customWidth="1"/>
    <col min="2" max="2" width="36.88671875" style="28" customWidth="1"/>
    <col min="3" max="4" width="5.88671875" customWidth="1"/>
    <col min="5" max="5" width="10" customWidth="1"/>
    <col min="257" max="257" width="5.5546875" customWidth="1"/>
    <col min="258" max="258" width="36.88671875" customWidth="1"/>
    <col min="259" max="260" width="5.88671875" customWidth="1"/>
    <col min="261" max="261" width="10" customWidth="1"/>
    <col min="513" max="513" width="5.5546875" customWidth="1"/>
    <col min="514" max="514" width="36.88671875" customWidth="1"/>
    <col min="515" max="516" width="5.88671875" customWidth="1"/>
    <col min="517" max="517" width="10" customWidth="1"/>
    <col min="769" max="769" width="5.5546875" customWidth="1"/>
    <col min="770" max="770" width="36.88671875" customWidth="1"/>
    <col min="771" max="772" width="5.88671875" customWidth="1"/>
    <col min="773" max="773" width="10" customWidth="1"/>
    <col min="1025" max="1025" width="5.5546875" customWidth="1"/>
    <col min="1026" max="1026" width="36.88671875" customWidth="1"/>
    <col min="1027" max="1028" width="5.88671875" customWidth="1"/>
    <col min="1029" max="1029" width="10" customWidth="1"/>
    <col min="1281" max="1281" width="5.5546875" customWidth="1"/>
    <col min="1282" max="1282" width="36.88671875" customWidth="1"/>
    <col min="1283" max="1284" width="5.88671875" customWidth="1"/>
    <col min="1285" max="1285" width="10" customWidth="1"/>
    <col min="1537" max="1537" width="5.5546875" customWidth="1"/>
    <col min="1538" max="1538" width="36.88671875" customWidth="1"/>
    <col min="1539" max="1540" width="5.88671875" customWidth="1"/>
    <col min="1541" max="1541" width="10" customWidth="1"/>
    <col min="1793" max="1793" width="5.5546875" customWidth="1"/>
    <col min="1794" max="1794" width="36.88671875" customWidth="1"/>
    <col min="1795" max="1796" width="5.88671875" customWidth="1"/>
    <col min="1797" max="1797" width="10" customWidth="1"/>
    <col min="2049" max="2049" width="5.5546875" customWidth="1"/>
    <col min="2050" max="2050" width="36.88671875" customWidth="1"/>
    <col min="2051" max="2052" width="5.88671875" customWidth="1"/>
    <col min="2053" max="2053" width="10" customWidth="1"/>
    <col min="2305" max="2305" width="5.5546875" customWidth="1"/>
    <col min="2306" max="2306" width="36.88671875" customWidth="1"/>
    <col min="2307" max="2308" width="5.88671875" customWidth="1"/>
    <col min="2309" max="2309" width="10" customWidth="1"/>
    <col min="2561" max="2561" width="5.5546875" customWidth="1"/>
    <col min="2562" max="2562" width="36.88671875" customWidth="1"/>
    <col min="2563" max="2564" width="5.88671875" customWidth="1"/>
    <col min="2565" max="2565" width="10" customWidth="1"/>
    <col min="2817" max="2817" width="5.5546875" customWidth="1"/>
    <col min="2818" max="2818" width="36.88671875" customWidth="1"/>
    <col min="2819" max="2820" width="5.88671875" customWidth="1"/>
    <col min="2821" max="2821" width="10" customWidth="1"/>
    <col min="3073" max="3073" width="5.5546875" customWidth="1"/>
    <col min="3074" max="3074" width="36.88671875" customWidth="1"/>
    <col min="3075" max="3076" width="5.88671875" customWidth="1"/>
    <col min="3077" max="3077" width="10" customWidth="1"/>
    <col min="3329" max="3329" width="5.5546875" customWidth="1"/>
    <col min="3330" max="3330" width="36.88671875" customWidth="1"/>
    <col min="3331" max="3332" width="5.88671875" customWidth="1"/>
    <col min="3333" max="3333" width="10" customWidth="1"/>
    <col min="3585" max="3585" width="5.5546875" customWidth="1"/>
    <col min="3586" max="3586" width="36.88671875" customWidth="1"/>
    <col min="3587" max="3588" width="5.88671875" customWidth="1"/>
    <col min="3589" max="3589" width="10" customWidth="1"/>
    <col min="3841" max="3841" width="5.5546875" customWidth="1"/>
    <col min="3842" max="3842" width="36.88671875" customWidth="1"/>
    <col min="3843" max="3844" width="5.88671875" customWidth="1"/>
    <col min="3845" max="3845" width="10" customWidth="1"/>
    <col min="4097" max="4097" width="5.5546875" customWidth="1"/>
    <col min="4098" max="4098" width="36.88671875" customWidth="1"/>
    <col min="4099" max="4100" width="5.88671875" customWidth="1"/>
    <col min="4101" max="4101" width="10" customWidth="1"/>
    <col min="4353" max="4353" width="5.5546875" customWidth="1"/>
    <col min="4354" max="4354" width="36.88671875" customWidth="1"/>
    <col min="4355" max="4356" width="5.88671875" customWidth="1"/>
    <col min="4357" max="4357" width="10" customWidth="1"/>
    <col min="4609" max="4609" width="5.5546875" customWidth="1"/>
    <col min="4610" max="4610" width="36.88671875" customWidth="1"/>
    <col min="4611" max="4612" width="5.88671875" customWidth="1"/>
    <col min="4613" max="4613" width="10" customWidth="1"/>
    <col min="4865" max="4865" width="5.5546875" customWidth="1"/>
    <col min="4866" max="4866" width="36.88671875" customWidth="1"/>
    <col min="4867" max="4868" width="5.88671875" customWidth="1"/>
    <col min="4869" max="4869" width="10" customWidth="1"/>
    <col min="5121" max="5121" width="5.5546875" customWidth="1"/>
    <col min="5122" max="5122" width="36.88671875" customWidth="1"/>
    <col min="5123" max="5124" width="5.88671875" customWidth="1"/>
    <col min="5125" max="5125" width="10" customWidth="1"/>
    <col min="5377" max="5377" width="5.5546875" customWidth="1"/>
    <col min="5378" max="5378" width="36.88671875" customWidth="1"/>
    <col min="5379" max="5380" width="5.88671875" customWidth="1"/>
    <col min="5381" max="5381" width="10" customWidth="1"/>
    <col min="5633" max="5633" width="5.5546875" customWidth="1"/>
    <col min="5634" max="5634" width="36.88671875" customWidth="1"/>
    <col min="5635" max="5636" width="5.88671875" customWidth="1"/>
    <col min="5637" max="5637" width="10" customWidth="1"/>
    <col min="5889" max="5889" width="5.5546875" customWidth="1"/>
    <col min="5890" max="5890" width="36.88671875" customWidth="1"/>
    <col min="5891" max="5892" width="5.88671875" customWidth="1"/>
    <col min="5893" max="5893" width="10" customWidth="1"/>
    <col min="6145" max="6145" width="5.5546875" customWidth="1"/>
    <col min="6146" max="6146" width="36.88671875" customWidth="1"/>
    <col min="6147" max="6148" width="5.88671875" customWidth="1"/>
    <col min="6149" max="6149" width="10" customWidth="1"/>
    <col min="6401" max="6401" width="5.5546875" customWidth="1"/>
    <col min="6402" max="6402" width="36.88671875" customWidth="1"/>
    <col min="6403" max="6404" width="5.88671875" customWidth="1"/>
    <col min="6405" max="6405" width="10" customWidth="1"/>
    <col min="6657" max="6657" width="5.5546875" customWidth="1"/>
    <col min="6658" max="6658" width="36.88671875" customWidth="1"/>
    <col min="6659" max="6660" width="5.88671875" customWidth="1"/>
    <col min="6661" max="6661" width="10" customWidth="1"/>
    <col min="6913" max="6913" width="5.5546875" customWidth="1"/>
    <col min="6914" max="6914" width="36.88671875" customWidth="1"/>
    <col min="6915" max="6916" width="5.88671875" customWidth="1"/>
    <col min="6917" max="6917" width="10" customWidth="1"/>
    <col min="7169" max="7169" width="5.5546875" customWidth="1"/>
    <col min="7170" max="7170" width="36.88671875" customWidth="1"/>
    <col min="7171" max="7172" width="5.88671875" customWidth="1"/>
    <col min="7173" max="7173" width="10" customWidth="1"/>
    <col min="7425" max="7425" width="5.5546875" customWidth="1"/>
    <col min="7426" max="7426" width="36.88671875" customWidth="1"/>
    <col min="7427" max="7428" width="5.88671875" customWidth="1"/>
    <col min="7429" max="7429" width="10" customWidth="1"/>
    <col min="7681" max="7681" width="5.5546875" customWidth="1"/>
    <col min="7682" max="7682" width="36.88671875" customWidth="1"/>
    <col min="7683" max="7684" width="5.88671875" customWidth="1"/>
    <col min="7685" max="7685" width="10" customWidth="1"/>
    <col min="7937" max="7937" width="5.5546875" customWidth="1"/>
    <col min="7938" max="7938" width="36.88671875" customWidth="1"/>
    <col min="7939" max="7940" width="5.88671875" customWidth="1"/>
    <col min="7941" max="7941" width="10" customWidth="1"/>
    <col min="8193" max="8193" width="5.5546875" customWidth="1"/>
    <col min="8194" max="8194" width="36.88671875" customWidth="1"/>
    <col min="8195" max="8196" width="5.88671875" customWidth="1"/>
    <col min="8197" max="8197" width="10" customWidth="1"/>
    <col min="8449" max="8449" width="5.5546875" customWidth="1"/>
    <col min="8450" max="8450" width="36.88671875" customWidth="1"/>
    <col min="8451" max="8452" width="5.88671875" customWidth="1"/>
    <col min="8453" max="8453" width="10" customWidth="1"/>
    <col min="8705" max="8705" width="5.5546875" customWidth="1"/>
    <col min="8706" max="8706" width="36.88671875" customWidth="1"/>
    <col min="8707" max="8708" width="5.88671875" customWidth="1"/>
    <col min="8709" max="8709" width="10" customWidth="1"/>
    <col min="8961" max="8961" width="5.5546875" customWidth="1"/>
    <col min="8962" max="8962" width="36.88671875" customWidth="1"/>
    <col min="8963" max="8964" width="5.88671875" customWidth="1"/>
    <col min="8965" max="8965" width="10" customWidth="1"/>
    <col min="9217" max="9217" width="5.5546875" customWidth="1"/>
    <col min="9218" max="9218" width="36.88671875" customWidth="1"/>
    <col min="9219" max="9220" width="5.88671875" customWidth="1"/>
    <col min="9221" max="9221" width="10" customWidth="1"/>
    <col min="9473" max="9473" width="5.5546875" customWidth="1"/>
    <col min="9474" max="9474" width="36.88671875" customWidth="1"/>
    <col min="9475" max="9476" width="5.88671875" customWidth="1"/>
    <col min="9477" max="9477" width="10" customWidth="1"/>
    <col min="9729" max="9729" width="5.5546875" customWidth="1"/>
    <col min="9730" max="9730" width="36.88671875" customWidth="1"/>
    <col min="9731" max="9732" width="5.88671875" customWidth="1"/>
    <col min="9733" max="9733" width="10" customWidth="1"/>
    <col min="9985" max="9985" width="5.5546875" customWidth="1"/>
    <col min="9986" max="9986" width="36.88671875" customWidth="1"/>
    <col min="9987" max="9988" width="5.88671875" customWidth="1"/>
    <col min="9989" max="9989" width="10" customWidth="1"/>
    <col min="10241" max="10241" width="5.5546875" customWidth="1"/>
    <col min="10242" max="10242" width="36.88671875" customWidth="1"/>
    <col min="10243" max="10244" width="5.88671875" customWidth="1"/>
    <col min="10245" max="10245" width="10" customWidth="1"/>
    <col min="10497" max="10497" width="5.5546875" customWidth="1"/>
    <col min="10498" max="10498" width="36.88671875" customWidth="1"/>
    <col min="10499" max="10500" width="5.88671875" customWidth="1"/>
    <col min="10501" max="10501" width="10" customWidth="1"/>
    <col min="10753" max="10753" width="5.5546875" customWidth="1"/>
    <col min="10754" max="10754" width="36.88671875" customWidth="1"/>
    <col min="10755" max="10756" width="5.88671875" customWidth="1"/>
    <col min="10757" max="10757" width="10" customWidth="1"/>
    <col min="11009" max="11009" width="5.5546875" customWidth="1"/>
    <col min="11010" max="11010" width="36.88671875" customWidth="1"/>
    <col min="11011" max="11012" width="5.88671875" customWidth="1"/>
    <col min="11013" max="11013" width="10" customWidth="1"/>
    <col min="11265" max="11265" width="5.5546875" customWidth="1"/>
    <col min="11266" max="11266" width="36.88671875" customWidth="1"/>
    <col min="11267" max="11268" width="5.88671875" customWidth="1"/>
    <col min="11269" max="11269" width="10" customWidth="1"/>
    <col min="11521" max="11521" width="5.5546875" customWidth="1"/>
    <col min="11522" max="11522" width="36.88671875" customWidth="1"/>
    <col min="11523" max="11524" width="5.88671875" customWidth="1"/>
    <col min="11525" max="11525" width="10" customWidth="1"/>
    <col min="11777" max="11777" width="5.5546875" customWidth="1"/>
    <col min="11778" max="11778" width="36.88671875" customWidth="1"/>
    <col min="11779" max="11780" width="5.88671875" customWidth="1"/>
    <col min="11781" max="11781" width="10" customWidth="1"/>
    <col min="12033" max="12033" width="5.5546875" customWidth="1"/>
    <col min="12034" max="12034" width="36.88671875" customWidth="1"/>
    <col min="12035" max="12036" width="5.88671875" customWidth="1"/>
    <col min="12037" max="12037" width="10" customWidth="1"/>
    <col min="12289" max="12289" width="5.5546875" customWidth="1"/>
    <col min="12290" max="12290" width="36.88671875" customWidth="1"/>
    <col min="12291" max="12292" width="5.88671875" customWidth="1"/>
    <col min="12293" max="12293" width="10" customWidth="1"/>
    <col min="12545" max="12545" width="5.5546875" customWidth="1"/>
    <col min="12546" max="12546" width="36.88671875" customWidth="1"/>
    <col min="12547" max="12548" width="5.88671875" customWidth="1"/>
    <col min="12549" max="12549" width="10" customWidth="1"/>
    <col min="12801" max="12801" width="5.5546875" customWidth="1"/>
    <col min="12802" max="12802" width="36.88671875" customWidth="1"/>
    <col min="12803" max="12804" width="5.88671875" customWidth="1"/>
    <col min="12805" max="12805" width="10" customWidth="1"/>
    <col min="13057" max="13057" width="5.5546875" customWidth="1"/>
    <col min="13058" max="13058" width="36.88671875" customWidth="1"/>
    <col min="13059" max="13060" width="5.88671875" customWidth="1"/>
    <col min="13061" max="13061" width="10" customWidth="1"/>
    <col min="13313" max="13313" width="5.5546875" customWidth="1"/>
    <col min="13314" max="13314" width="36.88671875" customWidth="1"/>
    <col min="13315" max="13316" width="5.88671875" customWidth="1"/>
    <col min="13317" max="13317" width="10" customWidth="1"/>
    <col min="13569" max="13569" width="5.5546875" customWidth="1"/>
    <col min="13570" max="13570" width="36.88671875" customWidth="1"/>
    <col min="13571" max="13572" width="5.88671875" customWidth="1"/>
    <col min="13573" max="13573" width="10" customWidth="1"/>
    <col min="13825" max="13825" width="5.5546875" customWidth="1"/>
    <col min="13826" max="13826" width="36.88671875" customWidth="1"/>
    <col min="13827" max="13828" width="5.88671875" customWidth="1"/>
    <col min="13829" max="13829" width="10" customWidth="1"/>
    <col min="14081" max="14081" width="5.5546875" customWidth="1"/>
    <col min="14082" max="14082" width="36.88671875" customWidth="1"/>
    <col min="14083" max="14084" width="5.88671875" customWidth="1"/>
    <col min="14085" max="14085" width="10" customWidth="1"/>
    <col min="14337" max="14337" width="5.5546875" customWidth="1"/>
    <col min="14338" max="14338" width="36.88671875" customWidth="1"/>
    <col min="14339" max="14340" width="5.88671875" customWidth="1"/>
    <col min="14341" max="14341" width="10" customWidth="1"/>
    <col min="14593" max="14593" width="5.5546875" customWidth="1"/>
    <col min="14594" max="14594" width="36.88671875" customWidth="1"/>
    <col min="14595" max="14596" width="5.88671875" customWidth="1"/>
    <col min="14597" max="14597" width="10" customWidth="1"/>
    <col min="14849" max="14849" width="5.5546875" customWidth="1"/>
    <col min="14850" max="14850" width="36.88671875" customWidth="1"/>
    <col min="14851" max="14852" width="5.88671875" customWidth="1"/>
    <col min="14853" max="14853" width="10" customWidth="1"/>
    <col min="15105" max="15105" width="5.5546875" customWidth="1"/>
    <col min="15106" max="15106" width="36.88671875" customWidth="1"/>
    <col min="15107" max="15108" width="5.88671875" customWidth="1"/>
    <col min="15109" max="15109" width="10" customWidth="1"/>
    <col min="15361" max="15361" width="5.5546875" customWidth="1"/>
    <col min="15362" max="15362" width="36.88671875" customWidth="1"/>
    <col min="15363" max="15364" width="5.88671875" customWidth="1"/>
    <col min="15365" max="15365" width="10" customWidth="1"/>
    <col min="15617" max="15617" width="5.5546875" customWidth="1"/>
    <col min="15618" max="15618" width="36.88671875" customWidth="1"/>
    <col min="15619" max="15620" width="5.88671875" customWidth="1"/>
    <col min="15621" max="15621" width="10" customWidth="1"/>
    <col min="15873" max="15873" width="5.5546875" customWidth="1"/>
    <col min="15874" max="15874" width="36.88671875" customWidth="1"/>
    <col min="15875" max="15876" width="5.88671875" customWidth="1"/>
    <col min="15877" max="15877" width="10" customWidth="1"/>
    <col min="16129" max="16129" width="5.5546875" customWidth="1"/>
    <col min="16130" max="16130" width="36.88671875" customWidth="1"/>
    <col min="16131" max="16132" width="5.88671875" customWidth="1"/>
    <col min="16133" max="16133" width="10" customWidth="1"/>
  </cols>
  <sheetData>
    <row r="1" spans="1:8" ht="28.5" customHeight="1">
      <c r="A1" s="1543" t="s">
        <v>4956</v>
      </c>
      <c r="B1" s="1543"/>
      <c r="C1" s="1543"/>
      <c r="D1" s="1543"/>
      <c r="E1" s="1543"/>
      <c r="F1" s="1543"/>
      <c r="G1" s="1543"/>
      <c r="H1" s="1543"/>
    </row>
    <row r="2" spans="1:8" ht="45.75" customHeight="1">
      <c r="A2" s="1544" t="str">
        <f>'Plinth P'!A2:H2</f>
        <v>N/W : Construction of District office building for Tamilnadu Pollution Control Board at Theni in Theni district.</v>
      </c>
      <c r="B2" s="1544"/>
      <c r="C2" s="1544"/>
      <c r="D2" s="1544"/>
      <c r="E2" s="1544"/>
      <c r="F2" s="1544"/>
      <c r="G2" s="1544"/>
      <c r="H2" s="1544"/>
    </row>
    <row r="3" spans="1:8" ht="23.25" customHeight="1">
      <c r="A3" s="1563" t="s">
        <v>5905</v>
      </c>
      <c r="B3" s="1563"/>
      <c r="C3" s="1563"/>
      <c r="D3" s="1563"/>
      <c r="E3" s="1563"/>
      <c r="F3" s="1563"/>
      <c r="G3" s="1563"/>
      <c r="H3" s="1563"/>
    </row>
    <row r="4" spans="1:8" ht="18">
      <c r="A4" s="1564" t="s">
        <v>5906</v>
      </c>
      <c r="B4" s="1563" t="s">
        <v>4966</v>
      </c>
      <c r="C4" s="1564" t="s">
        <v>1375</v>
      </c>
      <c r="D4" s="1564"/>
      <c r="E4" s="1564" t="s">
        <v>5818</v>
      </c>
      <c r="F4" s="1564"/>
      <c r="G4" s="1564"/>
      <c r="H4" s="1564" t="s">
        <v>1007</v>
      </c>
    </row>
    <row r="5" spans="1:8" ht="18">
      <c r="A5" s="1564"/>
      <c r="B5" s="1563"/>
      <c r="C5" s="1564"/>
      <c r="D5" s="1564"/>
      <c r="E5" s="1355" t="s">
        <v>4982</v>
      </c>
      <c r="F5" s="1355" t="s">
        <v>1500</v>
      </c>
      <c r="G5" s="1355" t="s">
        <v>4983</v>
      </c>
      <c r="H5" s="1564"/>
    </row>
    <row r="6" spans="1:8" ht="37.5">
      <c r="A6" s="1356">
        <v>1</v>
      </c>
      <c r="B6" s="1408" t="s">
        <v>6077</v>
      </c>
      <c r="C6" s="1328"/>
      <c r="D6" s="1328"/>
      <c r="E6" s="1328"/>
      <c r="F6" s="1357"/>
      <c r="G6" s="1328"/>
      <c r="H6" s="1328"/>
    </row>
    <row r="7" spans="1:8">
      <c r="A7" s="1356"/>
      <c r="B7" s="1330" t="s">
        <v>6059</v>
      </c>
      <c r="C7" s="1358">
        <v>1</v>
      </c>
      <c r="D7" s="1358">
        <v>1</v>
      </c>
      <c r="E7" s="1359">
        <v>1</v>
      </c>
      <c r="F7" s="1359"/>
      <c r="G7" s="1314"/>
      <c r="H7" s="1314">
        <f>C7*D7*E7</f>
        <v>1</v>
      </c>
    </row>
    <row r="8" spans="1:8">
      <c r="A8" s="1356"/>
      <c r="B8" s="1330"/>
      <c r="C8" s="1358"/>
      <c r="D8" s="1358"/>
      <c r="E8" s="1359"/>
      <c r="F8" s="1359"/>
      <c r="G8" s="1314"/>
      <c r="H8" s="1314"/>
    </row>
    <row r="9" spans="1:8" ht="150">
      <c r="A9" s="1360">
        <v>3</v>
      </c>
      <c r="B9" s="1361" t="s">
        <v>5010</v>
      </c>
      <c r="C9" s="1362"/>
      <c r="D9" s="1362"/>
      <c r="E9" s="1363"/>
      <c r="F9" s="1363"/>
      <c r="G9" s="987"/>
      <c r="H9" s="987"/>
    </row>
    <row r="10" spans="1:8" ht="37.5">
      <c r="A10" s="1360"/>
      <c r="B10" s="1364" t="s">
        <v>5907</v>
      </c>
      <c r="C10" s="1362"/>
      <c r="D10" s="1362"/>
      <c r="E10" s="1363"/>
      <c r="F10" s="1363"/>
      <c r="G10" s="987"/>
      <c r="H10" s="987"/>
    </row>
    <row r="11" spans="1:8" ht="18.75">
      <c r="A11" s="1360"/>
      <c r="B11" s="1368" t="s">
        <v>6060</v>
      </c>
      <c r="C11" s="1362">
        <v>1</v>
      </c>
      <c r="D11" s="1362">
        <v>2</v>
      </c>
      <c r="E11" s="1363">
        <v>8.5</v>
      </c>
      <c r="F11" s="1363"/>
      <c r="G11" s="987"/>
      <c r="H11" s="1363">
        <f>E11</f>
        <v>8.5</v>
      </c>
    </row>
    <row r="12" spans="1:8" ht="18.75">
      <c r="A12" s="1360"/>
      <c r="B12" s="1368" t="s">
        <v>6075</v>
      </c>
      <c r="C12" s="1362">
        <v>1</v>
      </c>
      <c r="D12" s="1362">
        <v>1</v>
      </c>
      <c r="E12" s="1363">
        <v>70</v>
      </c>
      <c r="F12" s="1363"/>
      <c r="G12" s="987"/>
      <c r="H12" s="1363">
        <f>E12</f>
        <v>70</v>
      </c>
    </row>
    <row r="13" spans="1:8" ht="18.75">
      <c r="A13" s="1360"/>
      <c r="B13" s="1368"/>
      <c r="C13" s="1362"/>
      <c r="D13" s="1362"/>
      <c r="E13" s="1363"/>
      <c r="F13" s="1363"/>
      <c r="G13" s="987"/>
      <c r="H13" s="987">
        <f>+SUM(H11:H12)</f>
        <v>78.5</v>
      </c>
    </row>
    <row r="14" spans="1:8" ht="93.75">
      <c r="A14" s="1360">
        <v>5</v>
      </c>
      <c r="B14" s="1361" t="s">
        <v>5007</v>
      </c>
      <c r="C14" s="1362"/>
      <c r="D14" s="1362"/>
      <c r="E14" s="1363"/>
      <c r="F14" s="1363"/>
      <c r="G14" s="1363"/>
      <c r="H14" s="987"/>
    </row>
    <row r="15" spans="1:8" ht="18.75">
      <c r="A15" s="1360"/>
      <c r="B15" s="1368" t="s">
        <v>6061</v>
      </c>
      <c r="C15" s="1362">
        <v>1</v>
      </c>
      <c r="D15" s="1362">
        <v>1</v>
      </c>
      <c r="E15" s="1363">
        <v>2</v>
      </c>
      <c r="F15" s="1363"/>
      <c r="G15" s="1363"/>
      <c r="H15" s="1363">
        <f>C15*D15*E15</f>
        <v>2</v>
      </c>
    </row>
    <row r="16" spans="1:8" ht="18.75">
      <c r="A16" s="1360"/>
      <c r="B16" s="1368"/>
      <c r="C16" s="1362"/>
      <c r="D16" s="1362"/>
      <c r="E16" s="1363"/>
      <c r="F16" s="1363"/>
      <c r="G16" s="1363"/>
      <c r="H16" s="987">
        <f>SUM(H15:H15)</f>
        <v>2</v>
      </c>
    </row>
    <row r="17" spans="1:8" ht="75">
      <c r="A17" s="1360">
        <v>7</v>
      </c>
      <c r="B17" s="1361" t="s">
        <v>5908</v>
      </c>
      <c r="C17" s="1362"/>
      <c r="D17" s="1362"/>
      <c r="E17" s="1363"/>
      <c r="F17" s="1363"/>
      <c r="G17" s="987"/>
      <c r="H17" s="987"/>
    </row>
    <row r="18" spans="1:8" ht="18.75">
      <c r="A18" s="1360"/>
      <c r="B18" s="1368" t="s">
        <v>6062</v>
      </c>
      <c r="C18" s="1362">
        <v>1</v>
      </c>
      <c r="D18" s="1362">
        <v>1</v>
      </c>
      <c r="E18" s="1363">
        <v>25</v>
      </c>
      <c r="F18" s="1363"/>
      <c r="G18" s="1363"/>
      <c r="H18" s="1363">
        <f>E18</f>
        <v>25</v>
      </c>
    </row>
    <row r="19" spans="1:8" ht="18.75">
      <c r="A19" s="1360"/>
      <c r="B19" s="1368"/>
      <c r="C19" s="1362"/>
      <c r="D19" s="1362"/>
      <c r="E19" s="1363"/>
      <c r="F19" s="1363"/>
      <c r="G19" s="987"/>
      <c r="H19" s="987">
        <f>H18</f>
        <v>25</v>
      </c>
    </row>
    <row r="20" spans="1:8" ht="18.75">
      <c r="A20" s="1360"/>
      <c r="B20" s="1368"/>
      <c r="C20" s="1362"/>
      <c r="D20" s="1362"/>
      <c r="E20" s="1363"/>
      <c r="F20" s="1363"/>
      <c r="G20" s="1363"/>
      <c r="H20" s="987"/>
    </row>
    <row r="21" spans="1:8" ht="56.25">
      <c r="A21" s="1360">
        <v>8</v>
      </c>
      <c r="B21" s="1365" t="s">
        <v>5909</v>
      </c>
      <c r="C21" s="1366"/>
      <c r="D21" s="1362"/>
      <c r="E21" s="1363"/>
      <c r="F21" s="1363"/>
      <c r="G21" s="1363"/>
      <c r="H21" s="1363"/>
    </row>
    <row r="22" spans="1:8" ht="18.75">
      <c r="A22" s="1360"/>
      <c r="B22" s="1409" t="s">
        <v>6063</v>
      </c>
      <c r="C22" s="1410">
        <v>1</v>
      </c>
      <c r="D22" s="1410">
        <v>1</v>
      </c>
      <c r="E22" s="1411">
        <v>70</v>
      </c>
      <c r="F22" s="1363"/>
      <c r="G22" s="987"/>
      <c r="H22" s="1363">
        <f>E22</f>
        <v>70</v>
      </c>
    </row>
    <row r="23" spans="1:8" ht="18.75">
      <c r="A23" s="1360"/>
      <c r="B23" s="1367"/>
      <c r="C23" s="1355"/>
      <c r="D23" s="1355"/>
      <c r="E23" s="1355"/>
      <c r="F23" s="1363"/>
      <c r="G23" s="987"/>
      <c r="H23" s="987">
        <f>+SUM(H22:H22)</f>
        <v>70</v>
      </c>
    </row>
    <row r="24" spans="1:8" ht="37.5">
      <c r="A24" s="1360">
        <v>9</v>
      </c>
      <c r="B24" s="1368" t="s">
        <v>5910</v>
      </c>
      <c r="C24" s="1362"/>
      <c r="D24" s="1362"/>
      <c r="E24" s="1363"/>
      <c r="F24" s="1363"/>
      <c r="G24" s="1363"/>
      <c r="H24" s="1363"/>
    </row>
    <row r="25" spans="1:8" ht="37.5">
      <c r="A25" s="1360"/>
      <c r="B25" s="1368" t="s">
        <v>6064</v>
      </c>
      <c r="C25" s="1362">
        <v>1</v>
      </c>
      <c r="D25" s="1362">
        <v>2</v>
      </c>
      <c r="E25" s="1363">
        <v>8.5</v>
      </c>
      <c r="F25" s="1363"/>
      <c r="G25" s="987"/>
      <c r="H25" s="1363">
        <f>C25*D25*E25</f>
        <v>17</v>
      </c>
    </row>
    <row r="26" spans="1:8" ht="18.75">
      <c r="A26" s="1360"/>
      <c r="B26" s="1368"/>
      <c r="C26" s="1362"/>
      <c r="D26" s="1362"/>
      <c r="E26" s="1363"/>
      <c r="F26" s="1362"/>
      <c r="G26" s="1362"/>
      <c r="H26" s="1363">
        <f>SUM(H25:H25)</f>
        <v>17</v>
      </c>
    </row>
    <row r="27" spans="1:8" ht="18.75">
      <c r="A27" s="1360"/>
      <c r="B27" s="1368"/>
      <c r="C27" s="1362"/>
      <c r="D27" s="1362"/>
      <c r="E27" s="1363"/>
      <c r="F27" s="1363"/>
      <c r="G27" s="987" t="s">
        <v>4121</v>
      </c>
      <c r="H27" s="987">
        <f>ROUND(H26,0)</f>
        <v>17</v>
      </c>
    </row>
    <row r="28" spans="1:8" ht="37.5">
      <c r="A28" s="1360">
        <v>11</v>
      </c>
      <c r="B28" s="1368" t="s">
        <v>5911</v>
      </c>
      <c r="C28" s="1366"/>
      <c r="D28" s="1362"/>
      <c r="E28" s="1363"/>
      <c r="F28" s="1363"/>
      <c r="G28" s="1363"/>
      <c r="H28" s="1363"/>
    </row>
    <row r="29" spans="1:8" ht="18.75">
      <c r="A29" s="1360"/>
      <c r="B29" s="1368" t="s">
        <v>5912</v>
      </c>
      <c r="C29" s="1362">
        <v>1</v>
      </c>
      <c r="D29" s="1362">
        <v>1</v>
      </c>
      <c r="E29" s="1363">
        <v>70</v>
      </c>
      <c r="F29" s="1363"/>
      <c r="G29" s="1363"/>
      <c r="H29" s="1363">
        <f>C29*D29*E29</f>
        <v>70</v>
      </c>
    </row>
    <row r="30" spans="1:8" ht="18.75">
      <c r="A30" s="1360"/>
      <c r="B30" s="1368" t="s">
        <v>6076</v>
      </c>
      <c r="C30" s="1362">
        <v>1</v>
      </c>
      <c r="D30" s="1362">
        <v>1</v>
      </c>
      <c r="E30" s="1363">
        <v>6</v>
      </c>
      <c r="F30" s="1363"/>
      <c r="G30" s="1363"/>
      <c r="H30" s="1363">
        <f>C30*D30*E30</f>
        <v>6</v>
      </c>
    </row>
    <row r="31" spans="1:8" ht="18.75">
      <c r="A31" s="1360"/>
      <c r="B31" s="1368"/>
      <c r="C31" s="1362"/>
      <c r="D31" s="1362"/>
      <c r="E31" s="1363"/>
      <c r="F31" s="1363"/>
      <c r="G31" s="987" t="s">
        <v>4121</v>
      </c>
      <c r="H31" s="987">
        <f>SUM(H29:H30)</f>
        <v>76</v>
      </c>
    </row>
    <row r="32" spans="1:8" ht="37.5">
      <c r="A32" s="1360">
        <v>12</v>
      </c>
      <c r="B32" s="1368" t="s">
        <v>5913</v>
      </c>
      <c r="C32" s="1366"/>
      <c r="D32" s="1362"/>
      <c r="E32" s="1363"/>
      <c r="F32" s="1363"/>
      <c r="G32" s="1363"/>
      <c r="H32" s="1363"/>
    </row>
    <row r="33" spans="1:8" ht="18.75">
      <c r="A33" s="1360"/>
      <c r="B33" s="1368" t="s">
        <v>6065</v>
      </c>
      <c r="C33" s="1362"/>
      <c r="D33" s="1362"/>
      <c r="E33" s="1363"/>
      <c r="F33" s="1363"/>
      <c r="G33" s="1363"/>
      <c r="H33" s="1363"/>
    </row>
    <row r="34" spans="1:8" ht="18.75">
      <c r="A34" s="1360"/>
      <c r="B34" s="1368"/>
      <c r="C34" s="1362">
        <v>2</v>
      </c>
      <c r="D34" s="1362">
        <v>1</v>
      </c>
      <c r="E34" s="1363">
        <v>5</v>
      </c>
      <c r="F34" s="1363"/>
      <c r="G34" s="1363"/>
      <c r="H34" s="987">
        <f>C34*D34*E34</f>
        <v>10</v>
      </c>
    </row>
    <row r="35" spans="1:8" ht="18.75">
      <c r="A35" s="1360"/>
      <c r="B35" s="1368" t="s">
        <v>6066</v>
      </c>
      <c r="C35" s="1362"/>
      <c r="D35" s="1362"/>
      <c r="E35" s="1363"/>
      <c r="F35" s="1363"/>
      <c r="G35" s="1363"/>
      <c r="H35" s="1363"/>
    </row>
    <row r="36" spans="1:8" ht="18.75">
      <c r="A36" s="1360"/>
      <c r="B36" s="1368"/>
      <c r="C36" s="1362">
        <v>2</v>
      </c>
      <c r="D36" s="1362">
        <v>1</v>
      </c>
      <c r="E36" s="1363">
        <v>10</v>
      </c>
      <c r="F36" s="1363"/>
      <c r="G36" s="1363"/>
      <c r="H36" s="987">
        <f>C36*D36*E36</f>
        <v>20</v>
      </c>
    </row>
    <row r="37" spans="1:8" ht="18.75">
      <c r="A37" s="1360"/>
      <c r="B37" s="1364"/>
      <c r="C37" s="1362"/>
      <c r="D37" s="1362"/>
      <c r="E37" s="1363"/>
      <c r="F37" s="1363"/>
      <c r="G37" s="1363"/>
      <c r="H37" s="1363"/>
    </row>
    <row r="38" spans="1:8" ht="93.75">
      <c r="A38" s="1360">
        <v>13</v>
      </c>
      <c r="B38" s="1368" t="s">
        <v>4999</v>
      </c>
      <c r="C38" s="1362"/>
      <c r="D38" s="1362"/>
      <c r="E38" s="1363"/>
      <c r="F38" s="1363"/>
      <c r="G38" s="1363"/>
      <c r="H38" s="1363"/>
    </row>
    <row r="39" spans="1:8" ht="18.75">
      <c r="A39" s="1360"/>
      <c r="B39" s="1368" t="s">
        <v>5912</v>
      </c>
      <c r="C39" s="1362">
        <v>1</v>
      </c>
      <c r="D39" s="1362">
        <v>3</v>
      </c>
      <c r="E39" s="1363">
        <v>1</v>
      </c>
      <c r="F39" s="1363"/>
      <c r="G39" s="1363"/>
      <c r="H39" s="987">
        <f>C39*D39*E39</f>
        <v>3</v>
      </c>
    </row>
    <row r="40" spans="1:8" ht="18.75">
      <c r="A40" s="1360"/>
      <c r="B40" s="1368"/>
      <c r="C40" s="1362"/>
      <c r="D40" s="1362"/>
      <c r="E40" s="1363"/>
      <c r="F40" s="1363"/>
      <c r="G40" s="1363"/>
      <c r="H40" s="987"/>
    </row>
    <row r="41" spans="1:8" ht="37.5">
      <c r="A41" s="1360">
        <v>14</v>
      </c>
      <c r="B41" s="1368" t="s">
        <v>4998</v>
      </c>
      <c r="C41" s="1362"/>
      <c r="D41" s="1362"/>
      <c r="E41" s="1363"/>
      <c r="F41" s="1363"/>
      <c r="G41" s="1363"/>
      <c r="H41" s="987"/>
    </row>
    <row r="42" spans="1:8" ht="18.75">
      <c r="A42" s="1360"/>
      <c r="B42" s="1368" t="s">
        <v>5912</v>
      </c>
      <c r="C42" s="1362">
        <v>1</v>
      </c>
      <c r="D42" s="1362">
        <v>3</v>
      </c>
      <c r="E42" s="1363">
        <v>1</v>
      </c>
      <c r="F42" s="1363"/>
      <c r="G42" s="1363"/>
      <c r="H42" s="987">
        <f>C42*D42*E42</f>
        <v>3</v>
      </c>
    </row>
    <row r="43" spans="1:8" ht="18.75">
      <c r="A43" s="1360"/>
      <c r="B43" s="1368"/>
      <c r="C43" s="1362"/>
      <c r="D43" s="1362"/>
      <c r="E43" s="1363"/>
      <c r="F43" s="1363"/>
      <c r="G43" s="1363"/>
      <c r="H43" s="1363"/>
    </row>
    <row r="44" spans="1:8" ht="37.5">
      <c r="A44" s="1360">
        <v>15</v>
      </c>
      <c r="B44" s="1368" t="s">
        <v>4997</v>
      </c>
      <c r="C44" s="1362"/>
      <c r="D44" s="1362"/>
      <c r="E44" s="1363"/>
      <c r="F44" s="1363"/>
      <c r="G44" s="1363"/>
      <c r="H44" s="1363"/>
    </row>
    <row r="45" spans="1:8" ht="18.75">
      <c r="A45" s="1360"/>
      <c r="B45" s="1368" t="s">
        <v>5912</v>
      </c>
      <c r="C45" s="1362">
        <v>1</v>
      </c>
      <c r="D45" s="1362">
        <v>3</v>
      </c>
      <c r="E45" s="1363">
        <v>1</v>
      </c>
      <c r="F45" s="1363"/>
      <c r="G45" s="1363"/>
      <c r="H45" s="987">
        <f>C45*D45*E45</f>
        <v>3</v>
      </c>
    </row>
    <row r="46" spans="1:8" ht="18.75">
      <c r="A46" s="1360"/>
      <c r="B46" s="1368"/>
      <c r="C46" s="1362"/>
      <c r="D46" s="1362"/>
      <c r="E46" s="1363"/>
      <c r="F46" s="1363"/>
      <c r="G46" s="1363"/>
      <c r="H46" s="1363"/>
    </row>
    <row r="47" spans="1:8" ht="37.5">
      <c r="A47" s="1360">
        <v>16</v>
      </c>
      <c r="B47" s="1368" t="s">
        <v>4996</v>
      </c>
      <c r="C47" s="1362"/>
      <c r="D47" s="1362"/>
      <c r="E47" s="1363"/>
      <c r="F47" s="1363"/>
      <c r="G47" s="1363"/>
      <c r="H47" s="1363"/>
    </row>
    <row r="48" spans="1:8" ht="18.75">
      <c r="A48" s="1360"/>
      <c r="B48" s="1368" t="s">
        <v>5912</v>
      </c>
      <c r="C48" s="1362">
        <v>6</v>
      </c>
      <c r="D48" s="1362">
        <v>3</v>
      </c>
      <c r="E48" s="1363">
        <v>1</v>
      </c>
      <c r="F48" s="1363"/>
      <c r="G48" s="1363"/>
      <c r="H48" s="987">
        <f>C48*D48*E48</f>
        <v>18</v>
      </c>
    </row>
    <row r="49" spans="1:8" ht="18.75">
      <c r="A49" s="1360"/>
      <c r="B49" s="1368"/>
      <c r="C49" s="1362"/>
      <c r="D49" s="1362"/>
      <c r="E49" s="1363"/>
      <c r="F49" s="1363"/>
      <c r="G49" s="1363"/>
      <c r="H49" s="1363"/>
    </row>
    <row r="50" spans="1:8" ht="37.5">
      <c r="A50" s="1360">
        <v>17</v>
      </c>
      <c r="B50" s="1369" t="s">
        <v>3468</v>
      </c>
      <c r="C50" s="1362"/>
      <c r="D50" s="1362"/>
      <c r="E50" s="1362"/>
      <c r="F50" s="1362"/>
      <c r="G50" s="1362"/>
      <c r="H50" s="1362"/>
    </row>
    <row r="51" spans="1:8" ht="18.75">
      <c r="A51" s="1360"/>
      <c r="B51" s="1368" t="s">
        <v>4977</v>
      </c>
      <c r="C51" s="1362">
        <v>1</v>
      </c>
      <c r="D51" s="1362">
        <v>1</v>
      </c>
      <c r="E51" s="1362">
        <v>1</v>
      </c>
      <c r="F51" s="1362"/>
      <c r="G51" s="1362"/>
      <c r="H51" s="1362">
        <v>1</v>
      </c>
    </row>
    <row r="52" spans="1:8" ht="18.75">
      <c r="A52" s="1360"/>
      <c r="B52" s="1368"/>
      <c r="C52" s="1362"/>
      <c r="D52" s="1362"/>
      <c r="E52" s="1362"/>
      <c r="F52" s="1362"/>
      <c r="G52" s="1362"/>
      <c r="H52" s="1362"/>
    </row>
    <row r="53" spans="1:8" ht="37.5">
      <c r="A53" s="1370">
        <v>18</v>
      </c>
      <c r="B53" s="1412" t="s">
        <v>4994</v>
      </c>
      <c r="C53" s="1370"/>
      <c r="D53" s="1370"/>
      <c r="E53" s="1371"/>
      <c r="F53" s="1371"/>
      <c r="G53" s="1371"/>
      <c r="H53" s="1371"/>
    </row>
    <row r="54" spans="1:8" ht="18.75">
      <c r="A54" s="1370"/>
      <c r="B54" s="1413" t="s">
        <v>5914</v>
      </c>
      <c r="C54" s="1370">
        <v>1</v>
      </c>
      <c r="D54" s="1370">
        <v>3</v>
      </c>
      <c r="E54" s="1372">
        <v>1</v>
      </c>
      <c r="F54" s="1371"/>
      <c r="G54" s="1371"/>
      <c r="H54" s="1372">
        <f>E54*C54*D54</f>
        <v>3</v>
      </c>
    </row>
    <row r="55" spans="1:8" ht="18.75">
      <c r="A55" s="1370"/>
      <c r="B55" s="1413"/>
      <c r="C55" s="1370"/>
      <c r="D55" s="1370"/>
      <c r="E55" s="1371"/>
      <c r="F55" s="1371"/>
      <c r="G55" s="1371"/>
      <c r="H55" s="1373">
        <f>SUM(H54:H54)</f>
        <v>3</v>
      </c>
    </row>
    <row r="66" spans="5:5">
      <c r="E66" s="37"/>
    </row>
    <row r="88" spans="5:5">
      <c r="E88" s="37"/>
    </row>
    <row r="111" spans="5:5">
      <c r="E111" s="37"/>
    </row>
    <row r="116" spans="5:5">
      <c r="E116" s="37"/>
    </row>
    <row r="123" spans="5:5">
      <c r="E123" s="37"/>
    </row>
    <row r="149" spans="5:5">
      <c r="E149" s="37"/>
    </row>
    <row r="163" spans="5:5">
      <c r="E163" s="37"/>
    </row>
    <row r="174" spans="5:5">
      <c r="E174" s="37"/>
    </row>
    <row r="193" spans="5:5">
      <c r="E193" s="37"/>
    </row>
    <row r="202" spans="5:5">
      <c r="E202" s="37"/>
    </row>
    <row r="253" spans="5:5">
      <c r="E253" s="37"/>
    </row>
    <row r="278" spans="5:5">
      <c r="E278" s="37"/>
    </row>
    <row r="298" spans="5:5">
      <c r="E298" s="37"/>
    </row>
    <row r="325" spans="2:5">
      <c r="E325" s="37"/>
    </row>
    <row r="333" spans="2:5">
      <c r="E333" s="37"/>
    </row>
    <row r="335" spans="2:5">
      <c r="B335"/>
    </row>
    <row r="336" spans="2:5">
      <c r="B336"/>
    </row>
    <row r="337" spans="2:3">
      <c r="B337"/>
    </row>
    <row r="338" spans="2:3">
      <c r="B338"/>
    </row>
    <row r="339" spans="2:3">
      <c r="B339"/>
    </row>
    <row r="340" spans="2:3">
      <c r="B340"/>
    </row>
    <row r="341" spans="2:3">
      <c r="B341"/>
    </row>
    <row r="342" spans="2:3">
      <c r="B342"/>
    </row>
    <row r="343" spans="2:3">
      <c r="B343"/>
    </row>
    <row r="344" spans="2:3">
      <c r="B344"/>
    </row>
    <row r="345" spans="2:3">
      <c r="B345"/>
    </row>
    <row r="346" spans="2:3">
      <c r="B346"/>
    </row>
    <row r="347" spans="2:3">
      <c r="B347"/>
    </row>
    <row r="348" spans="2:3">
      <c r="B348"/>
    </row>
    <row r="349" spans="2:3">
      <c r="B349"/>
      <c r="C349" s="37"/>
    </row>
    <row r="366" spans="5:5">
      <c r="E366" s="37"/>
    </row>
    <row r="384" spans="5:5">
      <c r="E384" s="37"/>
    </row>
    <row r="395" spans="3:5">
      <c r="E395" s="37"/>
    </row>
    <row r="400" spans="3:5">
      <c r="C400" s="37"/>
    </row>
  </sheetData>
  <mergeCells count="8">
    <mergeCell ref="A1:H1"/>
    <mergeCell ref="A2:H2"/>
    <mergeCell ref="A3:H3"/>
    <mergeCell ref="A4:A5"/>
    <mergeCell ref="B4:B5"/>
    <mergeCell ref="C4:D5"/>
    <mergeCell ref="E4:G4"/>
    <mergeCell ref="H4:H5"/>
  </mergeCells>
  <pageMargins left="0.7" right="0.7" top="0.75" bottom="0.75" header="0.3" footer="0.3"/>
  <pageSetup paperSize="9" scale="81" orientation="portrait" r:id="rId1"/>
</worksheet>
</file>

<file path=xl/worksheets/sheet20.xml><?xml version="1.0" encoding="utf-8"?>
<worksheet xmlns="http://schemas.openxmlformats.org/spreadsheetml/2006/main" xmlns:r="http://schemas.openxmlformats.org/officeDocument/2006/relationships">
  <sheetPr>
    <tabColor rgb="FF00B0F0"/>
  </sheetPr>
  <dimension ref="A1:I541"/>
  <sheetViews>
    <sheetView view="pageBreakPreview" topLeftCell="A66" zoomScaleSheetLayoutView="100" workbookViewId="0">
      <selection activeCell="E119" sqref="E119"/>
    </sheetView>
  </sheetViews>
  <sheetFormatPr defaultRowHeight="15.75"/>
  <cols>
    <col min="1" max="1" width="5.5546875" customWidth="1"/>
    <col min="2" max="2" width="28.77734375" style="28" customWidth="1"/>
    <col min="3" max="4" width="5.88671875" customWidth="1"/>
    <col min="5" max="5" width="10" customWidth="1"/>
    <col min="9" max="9" width="9.21875" bestFit="1" customWidth="1"/>
    <col min="257" max="257" width="5.5546875" customWidth="1"/>
    <col min="258" max="258" width="28.77734375" customWidth="1"/>
    <col min="259" max="260" width="5.88671875" customWidth="1"/>
    <col min="261" max="261" width="10" customWidth="1"/>
    <col min="265" max="265" width="9.21875" bestFit="1" customWidth="1"/>
    <col min="513" max="513" width="5.5546875" customWidth="1"/>
    <col min="514" max="514" width="28.77734375" customWidth="1"/>
    <col min="515" max="516" width="5.88671875" customWidth="1"/>
    <col min="517" max="517" width="10" customWidth="1"/>
    <col min="521" max="521" width="9.21875" bestFit="1" customWidth="1"/>
    <col min="769" max="769" width="5.5546875" customWidth="1"/>
    <col min="770" max="770" width="28.77734375" customWidth="1"/>
    <col min="771" max="772" width="5.88671875" customWidth="1"/>
    <col min="773" max="773" width="10" customWidth="1"/>
    <col min="777" max="777" width="9.21875" bestFit="1" customWidth="1"/>
    <col min="1025" max="1025" width="5.5546875" customWidth="1"/>
    <col min="1026" max="1026" width="28.77734375" customWidth="1"/>
    <col min="1027" max="1028" width="5.88671875" customWidth="1"/>
    <col min="1029" max="1029" width="10" customWidth="1"/>
    <col min="1033" max="1033" width="9.21875" bestFit="1" customWidth="1"/>
    <col min="1281" max="1281" width="5.5546875" customWidth="1"/>
    <col min="1282" max="1282" width="28.77734375" customWidth="1"/>
    <col min="1283" max="1284" width="5.88671875" customWidth="1"/>
    <col min="1285" max="1285" width="10" customWidth="1"/>
    <col min="1289" max="1289" width="9.21875" bestFit="1" customWidth="1"/>
    <col min="1537" max="1537" width="5.5546875" customWidth="1"/>
    <col min="1538" max="1538" width="28.77734375" customWidth="1"/>
    <col min="1539" max="1540" width="5.88671875" customWidth="1"/>
    <col min="1541" max="1541" width="10" customWidth="1"/>
    <col min="1545" max="1545" width="9.21875" bestFit="1" customWidth="1"/>
    <col min="1793" max="1793" width="5.5546875" customWidth="1"/>
    <col min="1794" max="1794" width="28.77734375" customWidth="1"/>
    <col min="1795" max="1796" width="5.88671875" customWidth="1"/>
    <col min="1797" max="1797" width="10" customWidth="1"/>
    <col min="1801" max="1801" width="9.21875" bestFit="1" customWidth="1"/>
    <col min="2049" max="2049" width="5.5546875" customWidth="1"/>
    <col min="2050" max="2050" width="28.77734375" customWidth="1"/>
    <col min="2051" max="2052" width="5.88671875" customWidth="1"/>
    <col min="2053" max="2053" width="10" customWidth="1"/>
    <col min="2057" max="2057" width="9.21875" bestFit="1" customWidth="1"/>
    <col min="2305" max="2305" width="5.5546875" customWidth="1"/>
    <col min="2306" max="2306" width="28.77734375" customWidth="1"/>
    <col min="2307" max="2308" width="5.88671875" customWidth="1"/>
    <col min="2309" max="2309" width="10" customWidth="1"/>
    <col min="2313" max="2313" width="9.21875" bestFit="1" customWidth="1"/>
    <col min="2561" max="2561" width="5.5546875" customWidth="1"/>
    <col min="2562" max="2562" width="28.77734375" customWidth="1"/>
    <col min="2563" max="2564" width="5.88671875" customWidth="1"/>
    <col min="2565" max="2565" width="10" customWidth="1"/>
    <col min="2569" max="2569" width="9.21875" bestFit="1" customWidth="1"/>
    <col min="2817" max="2817" width="5.5546875" customWidth="1"/>
    <col min="2818" max="2818" width="28.77734375" customWidth="1"/>
    <col min="2819" max="2820" width="5.88671875" customWidth="1"/>
    <col min="2821" max="2821" width="10" customWidth="1"/>
    <col min="2825" max="2825" width="9.21875" bestFit="1" customWidth="1"/>
    <col min="3073" max="3073" width="5.5546875" customWidth="1"/>
    <col min="3074" max="3074" width="28.77734375" customWidth="1"/>
    <col min="3075" max="3076" width="5.88671875" customWidth="1"/>
    <col min="3077" max="3077" width="10" customWidth="1"/>
    <col min="3081" max="3081" width="9.21875" bestFit="1" customWidth="1"/>
    <col min="3329" max="3329" width="5.5546875" customWidth="1"/>
    <col min="3330" max="3330" width="28.77734375" customWidth="1"/>
    <col min="3331" max="3332" width="5.88671875" customWidth="1"/>
    <col min="3333" max="3333" width="10" customWidth="1"/>
    <col min="3337" max="3337" width="9.21875" bestFit="1" customWidth="1"/>
    <col min="3585" max="3585" width="5.5546875" customWidth="1"/>
    <col min="3586" max="3586" width="28.77734375" customWidth="1"/>
    <col min="3587" max="3588" width="5.88671875" customWidth="1"/>
    <col min="3589" max="3589" width="10" customWidth="1"/>
    <col min="3593" max="3593" width="9.21875" bestFit="1" customWidth="1"/>
    <col min="3841" max="3841" width="5.5546875" customWidth="1"/>
    <col min="3842" max="3842" width="28.77734375" customWidth="1"/>
    <col min="3843" max="3844" width="5.88671875" customWidth="1"/>
    <col min="3845" max="3845" width="10" customWidth="1"/>
    <col min="3849" max="3849" width="9.21875" bestFit="1" customWidth="1"/>
    <col min="4097" max="4097" width="5.5546875" customWidth="1"/>
    <col min="4098" max="4098" width="28.77734375" customWidth="1"/>
    <col min="4099" max="4100" width="5.88671875" customWidth="1"/>
    <col min="4101" max="4101" width="10" customWidth="1"/>
    <col min="4105" max="4105" width="9.21875" bestFit="1" customWidth="1"/>
    <col min="4353" max="4353" width="5.5546875" customWidth="1"/>
    <col min="4354" max="4354" width="28.77734375" customWidth="1"/>
    <col min="4355" max="4356" width="5.88671875" customWidth="1"/>
    <col min="4357" max="4357" width="10" customWidth="1"/>
    <col min="4361" max="4361" width="9.21875" bestFit="1" customWidth="1"/>
    <col min="4609" max="4609" width="5.5546875" customWidth="1"/>
    <col min="4610" max="4610" width="28.77734375" customWidth="1"/>
    <col min="4611" max="4612" width="5.88671875" customWidth="1"/>
    <col min="4613" max="4613" width="10" customWidth="1"/>
    <col min="4617" max="4617" width="9.21875" bestFit="1" customWidth="1"/>
    <col min="4865" max="4865" width="5.5546875" customWidth="1"/>
    <col min="4866" max="4866" width="28.77734375" customWidth="1"/>
    <col min="4867" max="4868" width="5.88671875" customWidth="1"/>
    <col min="4869" max="4869" width="10" customWidth="1"/>
    <col min="4873" max="4873" width="9.21875" bestFit="1" customWidth="1"/>
    <col min="5121" max="5121" width="5.5546875" customWidth="1"/>
    <col min="5122" max="5122" width="28.77734375" customWidth="1"/>
    <col min="5123" max="5124" width="5.88671875" customWidth="1"/>
    <col min="5125" max="5125" width="10" customWidth="1"/>
    <col min="5129" max="5129" width="9.21875" bestFit="1" customWidth="1"/>
    <col min="5377" max="5377" width="5.5546875" customWidth="1"/>
    <col min="5378" max="5378" width="28.77734375" customWidth="1"/>
    <col min="5379" max="5380" width="5.88671875" customWidth="1"/>
    <col min="5381" max="5381" width="10" customWidth="1"/>
    <col min="5385" max="5385" width="9.21875" bestFit="1" customWidth="1"/>
    <col min="5633" max="5633" width="5.5546875" customWidth="1"/>
    <col min="5634" max="5634" width="28.77734375" customWidth="1"/>
    <col min="5635" max="5636" width="5.88671875" customWidth="1"/>
    <col min="5637" max="5637" width="10" customWidth="1"/>
    <col min="5641" max="5641" width="9.21875" bestFit="1" customWidth="1"/>
    <col min="5889" max="5889" width="5.5546875" customWidth="1"/>
    <col min="5890" max="5890" width="28.77734375" customWidth="1"/>
    <col min="5891" max="5892" width="5.88671875" customWidth="1"/>
    <col min="5893" max="5893" width="10" customWidth="1"/>
    <col min="5897" max="5897" width="9.21875" bestFit="1" customWidth="1"/>
    <col min="6145" max="6145" width="5.5546875" customWidth="1"/>
    <col min="6146" max="6146" width="28.77734375" customWidth="1"/>
    <col min="6147" max="6148" width="5.88671875" customWidth="1"/>
    <col min="6149" max="6149" width="10" customWidth="1"/>
    <col min="6153" max="6153" width="9.21875" bestFit="1" customWidth="1"/>
    <col min="6401" max="6401" width="5.5546875" customWidth="1"/>
    <col min="6402" max="6402" width="28.77734375" customWidth="1"/>
    <col min="6403" max="6404" width="5.88671875" customWidth="1"/>
    <col min="6405" max="6405" width="10" customWidth="1"/>
    <col min="6409" max="6409" width="9.21875" bestFit="1" customWidth="1"/>
    <col min="6657" max="6657" width="5.5546875" customWidth="1"/>
    <col min="6658" max="6658" width="28.77734375" customWidth="1"/>
    <col min="6659" max="6660" width="5.88671875" customWidth="1"/>
    <col min="6661" max="6661" width="10" customWidth="1"/>
    <col min="6665" max="6665" width="9.21875" bestFit="1" customWidth="1"/>
    <col min="6913" max="6913" width="5.5546875" customWidth="1"/>
    <col min="6914" max="6914" width="28.77734375" customWidth="1"/>
    <col min="6915" max="6916" width="5.88671875" customWidth="1"/>
    <col min="6917" max="6917" width="10" customWidth="1"/>
    <col min="6921" max="6921" width="9.21875" bestFit="1" customWidth="1"/>
    <col min="7169" max="7169" width="5.5546875" customWidth="1"/>
    <col min="7170" max="7170" width="28.77734375" customWidth="1"/>
    <col min="7171" max="7172" width="5.88671875" customWidth="1"/>
    <col min="7173" max="7173" width="10" customWidth="1"/>
    <col min="7177" max="7177" width="9.21875" bestFit="1" customWidth="1"/>
    <col min="7425" max="7425" width="5.5546875" customWidth="1"/>
    <col min="7426" max="7426" width="28.77734375" customWidth="1"/>
    <col min="7427" max="7428" width="5.88671875" customWidth="1"/>
    <col min="7429" max="7429" width="10" customWidth="1"/>
    <col min="7433" max="7433" width="9.21875" bestFit="1" customWidth="1"/>
    <col min="7681" max="7681" width="5.5546875" customWidth="1"/>
    <col min="7682" max="7682" width="28.77734375" customWidth="1"/>
    <col min="7683" max="7684" width="5.88671875" customWidth="1"/>
    <col min="7685" max="7685" width="10" customWidth="1"/>
    <col min="7689" max="7689" width="9.21875" bestFit="1" customWidth="1"/>
    <col min="7937" max="7937" width="5.5546875" customWidth="1"/>
    <col min="7938" max="7938" width="28.77734375" customWidth="1"/>
    <col min="7939" max="7940" width="5.88671875" customWidth="1"/>
    <col min="7941" max="7941" width="10" customWidth="1"/>
    <col min="7945" max="7945" width="9.21875" bestFit="1" customWidth="1"/>
    <col min="8193" max="8193" width="5.5546875" customWidth="1"/>
    <col min="8194" max="8194" width="28.77734375" customWidth="1"/>
    <col min="8195" max="8196" width="5.88671875" customWidth="1"/>
    <col min="8197" max="8197" width="10" customWidth="1"/>
    <col min="8201" max="8201" width="9.21875" bestFit="1" customWidth="1"/>
    <col min="8449" max="8449" width="5.5546875" customWidth="1"/>
    <col min="8450" max="8450" width="28.77734375" customWidth="1"/>
    <col min="8451" max="8452" width="5.88671875" customWidth="1"/>
    <col min="8453" max="8453" width="10" customWidth="1"/>
    <col min="8457" max="8457" width="9.21875" bestFit="1" customWidth="1"/>
    <col min="8705" max="8705" width="5.5546875" customWidth="1"/>
    <col min="8706" max="8706" width="28.77734375" customWidth="1"/>
    <col min="8707" max="8708" width="5.88671875" customWidth="1"/>
    <col min="8709" max="8709" width="10" customWidth="1"/>
    <col min="8713" max="8713" width="9.21875" bestFit="1" customWidth="1"/>
    <col min="8961" max="8961" width="5.5546875" customWidth="1"/>
    <col min="8962" max="8962" width="28.77734375" customWidth="1"/>
    <col min="8963" max="8964" width="5.88671875" customWidth="1"/>
    <col min="8965" max="8965" width="10" customWidth="1"/>
    <col min="8969" max="8969" width="9.21875" bestFit="1" customWidth="1"/>
    <col min="9217" max="9217" width="5.5546875" customWidth="1"/>
    <col min="9218" max="9218" width="28.77734375" customWidth="1"/>
    <col min="9219" max="9220" width="5.88671875" customWidth="1"/>
    <col min="9221" max="9221" width="10" customWidth="1"/>
    <col min="9225" max="9225" width="9.21875" bestFit="1" customWidth="1"/>
    <col min="9473" max="9473" width="5.5546875" customWidth="1"/>
    <col min="9474" max="9474" width="28.77734375" customWidth="1"/>
    <col min="9475" max="9476" width="5.88671875" customWidth="1"/>
    <col min="9477" max="9477" width="10" customWidth="1"/>
    <col min="9481" max="9481" width="9.21875" bestFit="1" customWidth="1"/>
    <col min="9729" max="9729" width="5.5546875" customWidth="1"/>
    <col min="9730" max="9730" width="28.77734375" customWidth="1"/>
    <col min="9731" max="9732" width="5.88671875" customWidth="1"/>
    <col min="9733" max="9733" width="10" customWidth="1"/>
    <col min="9737" max="9737" width="9.21875" bestFit="1" customWidth="1"/>
    <col min="9985" max="9985" width="5.5546875" customWidth="1"/>
    <col min="9986" max="9986" width="28.77734375" customWidth="1"/>
    <col min="9987" max="9988" width="5.88671875" customWidth="1"/>
    <col min="9989" max="9989" width="10" customWidth="1"/>
    <col min="9993" max="9993" width="9.21875" bestFit="1" customWidth="1"/>
    <col min="10241" max="10241" width="5.5546875" customWidth="1"/>
    <col min="10242" max="10242" width="28.77734375" customWidth="1"/>
    <col min="10243" max="10244" width="5.88671875" customWidth="1"/>
    <col min="10245" max="10245" width="10" customWidth="1"/>
    <col min="10249" max="10249" width="9.21875" bestFit="1" customWidth="1"/>
    <col min="10497" max="10497" width="5.5546875" customWidth="1"/>
    <col min="10498" max="10498" width="28.77734375" customWidth="1"/>
    <col min="10499" max="10500" width="5.88671875" customWidth="1"/>
    <col min="10501" max="10501" width="10" customWidth="1"/>
    <col min="10505" max="10505" width="9.21875" bestFit="1" customWidth="1"/>
    <col min="10753" max="10753" width="5.5546875" customWidth="1"/>
    <col min="10754" max="10754" width="28.77734375" customWidth="1"/>
    <col min="10755" max="10756" width="5.88671875" customWidth="1"/>
    <col min="10757" max="10757" width="10" customWidth="1"/>
    <col min="10761" max="10761" width="9.21875" bestFit="1" customWidth="1"/>
    <col min="11009" max="11009" width="5.5546875" customWidth="1"/>
    <col min="11010" max="11010" width="28.77734375" customWidth="1"/>
    <col min="11011" max="11012" width="5.88671875" customWidth="1"/>
    <col min="11013" max="11013" width="10" customWidth="1"/>
    <col min="11017" max="11017" width="9.21875" bestFit="1" customWidth="1"/>
    <col min="11265" max="11265" width="5.5546875" customWidth="1"/>
    <col min="11266" max="11266" width="28.77734375" customWidth="1"/>
    <col min="11267" max="11268" width="5.88671875" customWidth="1"/>
    <col min="11269" max="11269" width="10" customWidth="1"/>
    <col min="11273" max="11273" width="9.21875" bestFit="1" customWidth="1"/>
    <col min="11521" max="11521" width="5.5546875" customWidth="1"/>
    <col min="11522" max="11522" width="28.77734375" customWidth="1"/>
    <col min="11523" max="11524" width="5.88671875" customWidth="1"/>
    <col min="11525" max="11525" width="10" customWidth="1"/>
    <col min="11529" max="11529" width="9.21875" bestFit="1" customWidth="1"/>
    <col min="11777" max="11777" width="5.5546875" customWidth="1"/>
    <col min="11778" max="11778" width="28.77734375" customWidth="1"/>
    <col min="11779" max="11780" width="5.88671875" customWidth="1"/>
    <col min="11781" max="11781" width="10" customWidth="1"/>
    <col min="11785" max="11785" width="9.21875" bestFit="1" customWidth="1"/>
    <col min="12033" max="12033" width="5.5546875" customWidth="1"/>
    <col min="12034" max="12034" width="28.77734375" customWidth="1"/>
    <col min="12035" max="12036" width="5.88671875" customWidth="1"/>
    <col min="12037" max="12037" width="10" customWidth="1"/>
    <col min="12041" max="12041" width="9.21875" bestFit="1" customWidth="1"/>
    <col min="12289" max="12289" width="5.5546875" customWidth="1"/>
    <col min="12290" max="12290" width="28.77734375" customWidth="1"/>
    <col min="12291" max="12292" width="5.88671875" customWidth="1"/>
    <col min="12293" max="12293" width="10" customWidth="1"/>
    <col min="12297" max="12297" width="9.21875" bestFit="1" customWidth="1"/>
    <col min="12545" max="12545" width="5.5546875" customWidth="1"/>
    <col min="12546" max="12546" width="28.77734375" customWidth="1"/>
    <col min="12547" max="12548" width="5.88671875" customWidth="1"/>
    <col min="12549" max="12549" width="10" customWidth="1"/>
    <col min="12553" max="12553" width="9.21875" bestFit="1" customWidth="1"/>
    <col min="12801" max="12801" width="5.5546875" customWidth="1"/>
    <col min="12802" max="12802" width="28.77734375" customWidth="1"/>
    <col min="12803" max="12804" width="5.88671875" customWidth="1"/>
    <col min="12805" max="12805" width="10" customWidth="1"/>
    <col min="12809" max="12809" width="9.21875" bestFit="1" customWidth="1"/>
    <col min="13057" max="13057" width="5.5546875" customWidth="1"/>
    <col min="13058" max="13058" width="28.77734375" customWidth="1"/>
    <col min="13059" max="13060" width="5.88671875" customWidth="1"/>
    <col min="13061" max="13061" width="10" customWidth="1"/>
    <col min="13065" max="13065" width="9.21875" bestFit="1" customWidth="1"/>
    <col min="13313" max="13313" width="5.5546875" customWidth="1"/>
    <col min="13314" max="13314" width="28.77734375" customWidth="1"/>
    <col min="13315" max="13316" width="5.88671875" customWidth="1"/>
    <col min="13317" max="13317" width="10" customWidth="1"/>
    <col min="13321" max="13321" width="9.21875" bestFit="1" customWidth="1"/>
    <col min="13569" max="13569" width="5.5546875" customWidth="1"/>
    <col min="13570" max="13570" width="28.77734375" customWidth="1"/>
    <col min="13571" max="13572" width="5.88671875" customWidth="1"/>
    <col min="13573" max="13573" width="10" customWidth="1"/>
    <col min="13577" max="13577" width="9.21875" bestFit="1" customWidth="1"/>
    <col min="13825" max="13825" width="5.5546875" customWidth="1"/>
    <col min="13826" max="13826" width="28.77734375" customWidth="1"/>
    <col min="13827" max="13828" width="5.88671875" customWidth="1"/>
    <col min="13829" max="13829" width="10" customWidth="1"/>
    <col min="13833" max="13833" width="9.21875" bestFit="1" customWidth="1"/>
    <col min="14081" max="14081" width="5.5546875" customWidth="1"/>
    <col min="14082" max="14082" width="28.77734375" customWidth="1"/>
    <col min="14083" max="14084" width="5.88671875" customWidth="1"/>
    <col min="14085" max="14085" width="10" customWidth="1"/>
    <col min="14089" max="14089" width="9.21875" bestFit="1" customWidth="1"/>
    <col min="14337" max="14337" width="5.5546875" customWidth="1"/>
    <col min="14338" max="14338" width="28.77734375" customWidth="1"/>
    <col min="14339" max="14340" width="5.88671875" customWidth="1"/>
    <col min="14341" max="14341" width="10" customWidth="1"/>
    <col min="14345" max="14345" width="9.21875" bestFit="1" customWidth="1"/>
    <col min="14593" max="14593" width="5.5546875" customWidth="1"/>
    <col min="14594" max="14594" width="28.77734375" customWidth="1"/>
    <col min="14595" max="14596" width="5.88671875" customWidth="1"/>
    <col min="14597" max="14597" width="10" customWidth="1"/>
    <col min="14601" max="14601" width="9.21875" bestFit="1" customWidth="1"/>
    <col min="14849" max="14849" width="5.5546875" customWidth="1"/>
    <col min="14850" max="14850" width="28.77734375" customWidth="1"/>
    <col min="14851" max="14852" width="5.88671875" customWidth="1"/>
    <col min="14853" max="14853" width="10" customWidth="1"/>
    <col min="14857" max="14857" width="9.21875" bestFit="1" customWidth="1"/>
    <col min="15105" max="15105" width="5.5546875" customWidth="1"/>
    <col min="15106" max="15106" width="28.77734375" customWidth="1"/>
    <col min="15107" max="15108" width="5.88671875" customWidth="1"/>
    <col min="15109" max="15109" width="10" customWidth="1"/>
    <col min="15113" max="15113" width="9.21875" bestFit="1" customWidth="1"/>
    <col min="15361" max="15361" width="5.5546875" customWidth="1"/>
    <col min="15362" max="15362" width="28.77734375" customWidth="1"/>
    <col min="15363" max="15364" width="5.88671875" customWidth="1"/>
    <col min="15365" max="15365" width="10" customWidth="1"/>
    <col min="15369" max="15369" width="9.21875" bestFit="1" customWidth="1"/>
    <col min="15617" max="15617" width="5.5546875" customWidth="1"/>
    <col min="15618" max="15618" width="28.77734375" customWidth="1"/>
    <col min="15619" max="15620" width="5.88671875" customWidth="1"/>
    <col min="15621" max="15621" width="10" customWidth="1"/>
    <col min="15625" max="15625" width="9.21875" bestFit="1" customWidth="1"/>
    <col min="15873" max="15873" width="5.5546875" customWidth="1"/>
    <col min="15874" max="15874" width="28.77734375" customWidth="1"/>
    <col min="15875" max="15876" width="5.88671875" customWidth="1"/>
    <col min="15877" max="15877" width="10" customWidth="1"/>
    <col min="15881" max="15881" width="9.21875" bestFit="1" customWidth="1"/>
    <col min="16129" max="16129" width="5.5546875" customWidth="1"/>
    <col min="16130" max="16130" width="28.77734375" customWidth="1"/>
    <col min="16131" max="16132" width="5.88671875" customWidth="1"/>
    <col min="16133" max="16133" width="10" customWidth="1"/>
    <col min="16137" max="16137" width="9.21875" bestFit="1" customWidth="1"/>
  </cols>
  <sheetData>
    <row r="1" spans="1:9" ht="28.5" customHeight="1">
      <c r="A1" s="1543" t="s">
        <v>4956</v>
      </c>
      <c r="B1" s="1543"/>
      <c r="C1" s="1543"/>
      <c r="D1" s="1543"/>
      <c r="E1" s="1543"/>
      <c r="F1" s="1543"/>
      <c r="G1" s="1543"/>
      <c r="H1" s="1543"/>
      <c r="I1" s="1543"/>
    </row>
    <row r="2" spans="1:9" ht="45.75" customHeight="1">
      <c r="A2" s="1544" t="str">
        <f>'UG cable'!A2:H2</f>
        <v>N/W : Construction of District office building for Tamilnadu Pollution Control Board at Theni in Theni district.</v>
      </c>
      <c r="B2" s="1544"/>
      <c r="C2" s="1544"/>
      <c r="D2" s="1544"/>
      <c r="E2" s="1544"/>
      <c r="F2" s="1544"/>
      <c r="G2" s="1544"/>
      <c r="H2" s="1544"/>
      <c r="I2" s="1544"/>
    </row>
    <row r="3" spans="1:9" ht="23.25" customHeight="1">
      <c r="A3" s="1567" t="s">
        <v>5915</v>
      </c>
      <c r="B3" s="1567"/>
      <c r="C3" s="1567"/>
      <c r="D3" s="1567"/>
      <c r="E3" s="1567"/>
      <c r="F3" s="1567"/>
      <c r="G3" s="1567"/>
      <c r="H3" s="1567"/>
      <c r="I3" s="1567"/>
    </row>
    <row r="4" spans="1:9">
      <c r="A4" s="1374" t="s">
        <v>662</v>
      </c>
      <c r="B4" s="1375" t="s">
        <v>5916</v>
      </c>
      <c r="C4" s="1568" t="s">
        <v>1807</v>
      </c>
      <c r="D4" s="1569"/>
      <c r="E4" s="1374" t="s">
        <v>4982</v>
      </c>
      <c r="F4" s="1374" t="s">
        <v>1500</v>
      </c>
      <c r="G4" s="1374" t="s">
        <v>4983</v>
      </c>
      <c r="H4" s="1374" t="s">
        <v>5917</v>
      </c>
      <c r="I4" s="1374"/>
    </row>
    <row r="5" spans="1:9" ht="37.5">
      <c r="A5" s="1376">
        <v>1.1000000000000001</v>
      </c>
      <c r="B5" s="1377" t="s">
        <v>5918</v>
      </c>
      <c r="C5" s="1376"/>
      <c r="D5" s="1376"/>
      <c r="E5" s="1376"/>
      <c r="F5" s="1376"/>
      <c r="G5" s="1376"/>
      <c r="H5" s="1376"/>
      <c r="I5" s="1376"/>
    </row>
    <row r="6" spans="1:9" ht="18.75">
      <c r="A6" s="1376"/>
      <c r="B6" s="1377" t="s">
        <v>5919</v>
      </c>
      <c r="C6" s="962">
        <v>1</v>
      </c>
      <c r="D6" s="962">
        <v>56</v>
      </c>
      <c r="E6" s="963">
        <v>0.9</v>
      </c>
      <c r="F6" s="963">
        <v>0.9</v>
      </c>
      <c r="G6" s="963">
        <v>1.2</v>
      </c>
      <c r="H6" s="963">
        <f>PRODUCT(C6:G6)</f>
        <v>54.43</v>
      </c>
      <c r="I6" s="963"/>
    </row>
    <row r="7" spans="1:9" ht="18.75">
      <c r="A7" s="1376"/>
      <c r="B7" s="1377" t="s">
        <v>5071</v>
      </c>
      <c r="C7" s="962">
        <v>1</v>
      </c>
      <c r="D7" s="962">
        <v>1</v>
      </c>
      <c r="E7" s="963">
        <v>155.6</v>
      </c>
      <c r="F7" s="963">
        <v>0.23</v>
      </c>
      <c r="G7" s="963">
        <v>0.1</v>
      </c>
      <c r="H7" s="963">
        <f>PRODUCT(C7:G7)</f>
        <v>3.58</v>
      </c>
      <c r="I7" s="963"/>
    </row>
    <row r="8" spans="1:9" ht="18.75">
      <c r="A8" s="1376"/>
      <c r="B8" s="1377" t="s">
        <v>5920</v>
      </c>
      <c r="C8" s="962">
        <v>6</v>
      </c>
      <c r="D8" s="962">
        <v>1</v>
      </c>
      <c r="E8" s="963">
        <v>0.9</v>
      </c>
      <c r="F8" s="963">
        <v>0.9</v>
      </c>
      <c r="G8" s="963">
        <v>0.9</v>
      </c>
      <c r="H8" s="963">
        <f>PRODUCT(C8:G8)</f>
        <v>4.37</v>
      </c>
      <c r="I8" s="963"/>
    </row>
    <row r="9" spans="1:9" ht="18.75">
      <c r="A9" s="1376"/>
      <c r="B9" s="1377"/>
      <c r="C9" s="962"/>
      <c r="D9" s="962"/>
      <c r="E9" s="963"/>
      <c r="F9" s="963"/>
      <c r="G9" s="963"/>
      <c r="H9" s="964">
        <f>SUM(H6:H8)</f>
        <v>62.38</v>
      </c>
      <c r="I9" s="964"/>
    </row>
    <row r="10" spans="1:9" ht="37.5">
      <c r="A10" s="1376">
        <v>3.1</v>
      </c>
      <c r="B10" s="1377" t="s">
        <v>5921</v>
      </c>
      <c r="C10" s="962"/>
      <c r="D10" s="962"/>
      <c r="E10" s="963"/>
      <c r="F10" s="963"/>
      <c r="G10" s="963"/>
      <c r="H10" s="964">
        <f>ROUNDUP(H9,1)</f>
        <v>62.4</v>
      </c>
      <c r="I10" s="964" t="s">
        <v>2070</v>
      </c>
    </row>
    <row r="11" spans="1:9" ht="18.75">
      <c r="A11" s="1376"/>
      <c r="B11" s="1377" t="s">
        <v>5919</v>
      </c>
      <c r="C11" s="962">
        <v>1</v>
      </c>
      <c r="D11" s="962">
        <v>56</v>
      </c>
      <c r="E11" s="963">
        <v>0.9</v>
      </c>
      <c r="F11" s="963">
        <v>0.9</v>
      </c>
      <c r="G11" s="963">
        <v>0.1</v>
      </c>
      <c r="H11" s="963">
        <f>PRODUCT(C11:G11)</f>
        <v>4.54</v>
      </c>
      <c r="I11" s="963"/>
    </row>
    <row r="12" spans="1:9" ht="18.75">
      <c r="A12" s="1376"/>
      <c r="B12" s="1377" t="s">
        <v>5920</v>
      </c>
      <c r="C12" s="962">
        <v>6</v>
      </c>
      <c r="D12" s="962">
        <v>1</v>
      </c>
      <c r="E12" s="963">
        <v>0.9</v>
      </c>
      <c r="F12" s="963">
        <v>0.9</v>
      </c>
      <c r="G12" s="963">
        <v>0.1</v>
      </c>
      <c r="H12" s="963">
        <f>PRODUCT(C12:G12)</f>
        <v>0.49</v>
      </c>
      <c r="I12" s="963"/>
    </row>
    <row r="13" spans="1:9" ht="18.75">
      <c r="A13" s="1376"/>
      <c r="B13" s="1377"/>
      <c r="C13" s="962"/>
      <c r="D13" s="962"/>
      <c r="E13" s="963"/>
      <c r="F13" s="963"/>
      <c r="G13" s="963"/>
      <c r="H13" s="963">
        <f>SUM(H11:H12)</f>
        <v>5.03</v>
      </c>
      <c r="I13" s="963"/>
    </row>
    <row r="14" spans="1:9" ht="18.75">
      <c r="A14" s="1376">
        <v>4.0999999999999996</v>
      </c>
      <c r="B14" s="1377" t="s">
        <v>5922</v>
      </c>
      <c r="C14" s="962"/>
      <c r="D14" s="962"/>
      <c r="E14" s="963"/>
      <c r="F14" s="963"/>
      <c r="G14" s="986" t="s">
        <v>4121</v>
      </c>
      <c r="H14" s="964">
        <f>ROUNDUP(H13,1)</f>
        <v>5.0999999999999996</v>
      </c>
      <c r="I14" s="964" t="s">
        <v>2070</v>
      </c>
    </row>
    <row r="15" spans="1:9" ht="18.75">
      <c r="A15" s="1376"/>
      <c r="B15" s="1377" t="s">
        <v>5919</v>
      </c>
      <c r="C15" s="962">
        <v>1</v>
      </c>
      <c r="D15" s="962">
        <v>56</v>
      </c>
      <c r="E15" s="963">
        <v>0.75</v>
      </c>
      <c r="F15" s="963">
        <v>0.75</v>
      </c>
      <c r="G15" s="963">
        <v>0.15</v>
      </c>
      <c r="H15" s="963">
        <f>PRODUCT(C15:G15)</f>
        <v>4.7300000000000004</v>
      </c>
      <c r="I15" s="963"/>
    </row>
    <row r="16" spans="1:9" ht="18.75">
      <c r="A16" s="1376"/>
      <c r="B16" s="1377" t="s">
        <v>5920</v>
      </c>
      <c r="C16" s="962">
        <v>1</v>
      </c>
      <c r="D16" s="962">
        <v>6</v>
      </c>
      <c r="E16" s="963">
        <v>0.75</v>
      </c>
      <c r="F16" s="963">
        <v>0.75</v>
      </c>
      <c r="G16" s="963">
        <v>0.25</v>
      </c>
      <c r="H16" s="963">
        <f>PRODUCT(C16:G16)</f>
        <v>0.84</v>
      </c>
      <c r="I16" s="963"/>
    </row>
    <row r="17" spans="1:9" ht="18.75">
      <c r="A17" s="1376"/>
      <c r="B17" s="1377" t="s">
        <v>5923</v>
      </c>
      <c r="C17" s="962">
        <v>1</v>
      </c>
      <c r="D17" s="962">
        <v>62</v>
      </c>
      <c r="E17" s="963">
        <v>0.23</v>
      </c>
      <c r="F17" s="963">
        <v>0.23</v>
      </c>
      <c r="G17" s="963">
        <v>0.65</v>
      </c>
      <c r="H17" s="963">
        <f>PRODUCT(C17:G17)</f>
        <v>2.13</v>
      </c>
      <c r="I17" s="963"/>
    </row>
    <row r="18" spans="1:9" ht="18.75">
      <c r="A18" s="1376"/>
      <c r="B18" s="1377" t="s">
        <v>5924</v>
      </c>
      <c r="C18" s="962">
        <v>2</v>
      </c>
      <c r="D18" s="962">
        <v>2</v>
      </c>
      <c r="E18" s="963">
        <v>0.23</v>
      </c>
      <c r="F18" s="963">
        <v>0.3</v>
      </c>
      <c r="G18" s="963">
        <v>0.65</v>
      </c>
      <c r="H18" s="963">
        <f>PRODUCT(C18:G18)</f>
        <v>0.18</v>
      </c>
      <c r="I18" s="963"/>
    </row>
    <row r="19" spans="1:9" ht="18.75">
      <c r="A19" s="1376"/>
      <c r="B19" s="1377" t="s">
        <v>5925</v>
      </c>
      <c r="C19" s="962">
        <v>1</v>
      </c>
      <c r="D19" s="962">
        <v>1</v>
      </c>
      <c r="E19" s="963">
        <v>155.6</v>
      </c>
      <c r="F19" s="963">
        <v>0.23</v>
      </c>
      <c r="G19" s="963">
        <v>0.3</v>
      </c>
      <c r="H19" s="963">
        <f>PRODUCT(C19:G19)</f>
        <v>10.74</v>
      </c>
      <c r="I19" s="963"/>
    </row>
    <row r="20" spans="1:9" ht="18.75">
      <c r="A20" s="1376"/>
      <c r="B20" s="1377"/>
      <c r="C20" s="962"/>
      <c r="D20" s="962"/>
      <c r="E20" s="963"/>
      <c r="F20" s="963"/>
      <c r="G20" s="963"/>
      <c r="H20" s="964">
        <f>SUM(H15:H19)</f>
        <v>18.62</v>
      </c>
      <c r="I20" s="964"/>
    </row>
    <row r="21" spans="1:9" ht="37.5">
      <c r="A21" s="1376">
        <v>6.5</v>
      </c>
      <c r="B21" s="1377" t="s">
        <v>5926</v>
      </c>
      <c r="C21" s="962"/>
      <c r="D21" s="962"/>
      <c r="E21" s="963"/>
      <c r="F21" s="963"/>
      <c r="G21" s="986" t="s">
        <v>4121</v>
      </c>
      <c r="H21" s="964">
        <f>ROUNDUP(H20,1)</f>
        <v>18.7</v>
      </c>
      <c r="I21" s="964" t="s">
        <v>2070</v>
      </c>
    </row>
    <row r="22" spans="1:9" ht="18.75">
      <c r="A22" s="1376"/>
      <c r="B22" s="1377" t="s">
        <v>5927</v>
      </c>
      <c r="C22" s="962">
        <v>1</v>
      </c>
      <c r="D22" s="962">
        <v>1</v>
      </c>
      <c r="E22" s="963">
        <v>155.6</v>
      </c>
      <c r="F22" s="963">
        <v>0.23</v>
      </c>
      <c r="G22" s="963">
        <v>0.6</v>
      </c>
      <c r="H22" s="963">
        <f>PRODUCT(C22:G22)</f>
        <v>21.47</v>
      </c>
      <c r="I22" s="963"/>
    </row>
    <row r="23" spans="1:9" ht="18.75">
      <c r="A23" s="1376"/>
      <c r="B23" s="1377"/>
      <c r="C23" s="962"/>
      <c r="D23" s="962"/>
      <c r="E23" s="963"/>
      <c r="F23" s="963"/>
      <c r="G23" s="963"/>
      <c r="H23" s="964">
        <f>SUM(H22:H22)</f>
        <v>21.47</v>
      </c>
      <c r="I23" s="964"/>
    </row>
    <row r="24" spans="1:9" ht="18.75">
      <c r="A24" s="1376">
        <v>8.1</v>
      </c>
      <c r="B24" s="1377" t="s">
        <v>5928</v>
      </c>
      <c r="C24" s="962"/>
      <c r="D24" s="962"/>
      <c r="E24" s="963"/>
      <c r="F24" s="963"/>
      <c r="G24" s="986" t="s">
        <v>4121</v>
      </c>
      <c r="H24" s="964">
        <f>ROUNDUP(H23,1)</f>
        <v>21.5</v>
      </c>
      <c r="I24" s="964" t="s">
        <v>2070</v>
      </c>
    </row>
    <row r="25" spans="1:9" ht="18.75">
      <c r="A25" s="1376"/>
      <c r="B25" s="1377" t="s">
        <v>5287</v>
      </c>
      <c r="C25" s="962"/>
      <c r="D25" s="962"/>
      <c r="E25" s="963"/>
      <c r="F25" s="963"/>
      <c r="G25" s="963"/>
      <c r="H25" s="963"/>
      <c r="I25" s="963"/>
    </row>
    <row r="26" spans="1:9" ht="18.75">
      <c r="A26" s="1376"/>
      <c r="B26" s="1377" t="s">
        <v>5924</v>
      </c>
      <c r="C26" s="962">
        <v>2</v>
      </c>
      <c r="D26" s="962">
        <v>2</v>
      </c>
      <c r="E26" s="963">
        <v>0.23</v>
      </c>
      <c r="F26" s="963">
        <v>0.3</v>
      </c>
      <c r="G26" s="963">
        <v>2.2000000000000002</v>
      </c>
      <c r="H26" s="963">
        <f>PRODUCT(C26:G26)</f>
        <v>0.61</v>
      </c>
      <c r="I26" s="963"/>
    </row>
    <row r="27" spans="1:9" ht="37.5">
      <c r="A27" s="1376"/>
      <c r="B27" s="1377" t="s">
        <v>5929</v>
      </c>
      <c r="C27" s="962">
        <v>1</v>
      </c>
      <c r="D27" s="962">
        <v>1</v>
      </c>
      <c r="E27" s="963">
        <v>155.6</v>
      </c>
      <c r="F27" s="963">
        <v>0.11</v>
      </c>
      <c r="G27" s="963">
        <v>0.1</v>
      </c>
      <c r="H27" s="963">
        <f>PRODUCT(C27:G27)</f>
        <v>1.71</v>
      </c>
      <c r="I27" s="963"/>
    </row>
    <row r="28" spans="1:9" ht="18.75">
      <c r="A28" s="1376"/>
      <c r="B28" s="1377" t="s">
        <v>5930</v>
      </c>
      <c r="C28" s="962">
        <v>-1</v>
      </c>
      <c r="D28" s="962">
        <v>2</v>
      </c>
      <c r="E28" s="963">
        <v>5.4</v>
      </c>
      <c r="F28" s="963">
        <v>0.11</v>
      </c>
      <c r="G28" s="963">
        <v>0.1</v>
      </c>
      <c r="H28" s="963">
        <f>PRODUCT(C28:G28)</f>
        <v>-0.12</v>
      </c>
      <c r="I28" s="963"/>
    </row>
    <row r="29" spans="1:9" ht="18.75">
      <c r="A29" s="1376"/>
      <c r="B29" s="1377" t="s">
        <v>5931</v>
      </c>
      <c r="C29" s="962">
        <v>96</v>
      </c>
      <c r="D29" s="962">
        <v>1</v>
      </c>
      <c r="E29" s="963">
        <v>0.23</v>
      </c>
      <c r="F29" s="963">
        <v>0.11</v>
      </c>
      <c r="G29" s="963">
        <v>0.1</v>
      </c>
      <c r="H29" s="963">
        <f>PRODUCT(C29:G29)</f>
        <v>0.24</v>
      </c>
      <c r="I29" s="963"/>
    </row>
    <row r="30" spans="1:9" ht="18.75">
      <c r="A30" s="1376"/>
      <c r="B30" s="1377"/>
      <c r="C30" s="962"/>
      <c r="D30" s="962"/>
      <c r="E30" s="963"/>
      <c r="F30" s="963"/>
      <c r="G30" s="963"/>
      <c r="H30" s="964">
        <f>SUM(H26:H29)</f>
        <v>2.44</v>
      </c>
      <c r="I30" s="964"/>
    </row>
    <row r="31" spans="1:9" ht="18.75">
      <c r="A31" s="1376">
        <v>9.5</v>
      </c>
      <c r="B31" s="1377" t="s">
        <v>5932</v>
      </c>
      <c r="C31" s="962"/>
      <c r="D31" s="962"/>
      <c r="E31" s="963"/>
      <c r="F31" s="963"/>
      <c r="G31" s="986" t="s">
        <v>4121</v>
      </c>
      <c r="H31" s="964">
        <f>ROUNDUP(H30,1)</f>
        <v>2.5</v>
      </c>
      <c r="I31" s="964" t="s">
        <v>2070</v>
      </c>
    </row>
    <row r="32" spans="1:9" ht="18.75">
      <c r="A32" s="1376"/>
      <c r="B32" s="1377" t="s">
        <v>5287</v>
      </c>
      <c r="C32" s="962"/>
      <c r="D32" s="962"/>
      <c r="E32" s="963"/>
      <c r="F32" s="963"/>
      <c r="G32" s="963"/>
      <c r="H32" s="963"/>
      <c r="I32" s="963"/>
    </row>
    <row r="33" spans="1:9" ht="18.75">
      <c r="A33" s="1376"/>
      <c r="B33" s="1377" t="s">
        <v>6069</v>
      </c>
      <c r="C33" s="962">
        <v>1</v>
      </c>
      <c r="D33" s="962">
        <v>13</v>
      </c>
      <c r="E33" s="963">
        <v>0.23</v>
      </c>
      <c r="F33" s="963">
        <v>0.23</v>
      </c>
      <c r="G33" s="963">
        <v>1.1000000000000001</v>
      </c>
      <c r="H33" s="963">
        <f>PRODUCT(C33:G33)</f>
        <v>0.76</v>
      </c>
      <c r="I33" s="963"/>
    </row>
    <row r="34" spans="1:9" ht="18.75">
      <c r="A34" s="1376"/>
      <c r="B34" s="1377" t="s">
        <v>5933</v>
      </c>
      <c r="C34" s="962">
        <v>1</v>
      </c>
      <c r="D34" s="962">
        <v>50</v>
      </c>
      <c r="E34" s="963">
        <v>0.23</v>
      </c>
      <c r="F34" s="963">
        <v>0.23</v>
      </c>
      <c r="G34" s="963">
        <v>1.1000000000000001</v>
      </c>
      <c r="H34" s="963">
        <f>PRODUCT(C34:G34)</f>
        <v>2.91</v>
      </c>
      <c r="I34" s="963"/>
    </row>
    <row r="35" spans="1:9" ht="18.75">
      <c r="A35" s="1376"/>
      <c r="B35" s="1377" t="s">
        <v>5920</v>
      </c>
      <c r="C35" s="962">
        <v>1</v>
      </c>
      <c r="D35" s="962">
        <v>6</v>
      </c>
      <c r="E35" s="963">
        <v>0.23</v>
      </c>
      <c r="F35" s="963">
        <v>0.23</v>
      </c>
      <c r="G35" s="963">
        <v>1.1000000000000001</v>
      </c>
      <c r="H35" s="963">
        <f>PRODUCT(C35:G35)</f>
        <v>0.35</v>
      </c>
      <c r="I35" s="963"/>
    </row>
    <row r="36" spans="1:9" ht="18.75">
      <c r="A36" s="1376"/>
      <c r="B36" s="1377" t="s">
        <v>5934</v>
      </c>
      <c r="C36" s="962">
        <v>-1</v>
      </c>
      <c r="D36" s="962">
        <v>13</v>
      </c>
      <c r="E36" s="1565" t="s">
        <v>5935</v>
      </c>
      <c r="F36" s="1566"/>
      <c r="G36" s="963">
        <v>0.23</v>
      </c>
      <c r="H36" s="963">
        <v>-0.03</v>
      </c>
      <c r="I36" s="963"/>
    </row>
    <row r="37" spans="1:9" ht="18.75">
      <c r="A37" s="1376"/>
      <c r="B37" s="1377" t="s">
        <v>4985</v>
      </c>
      <c r="C37" s="962">
        <v>-1</v>
      </c>
      <c r="D37" s="962">
        <v>13</v>
      </c>
      <c r="E37" s="1378">
        <v>0.34</v>
      </c>
      <c r="F37" s="1379">
        <v>0.23</v>
      </c>
      <c r="G37" s="963">
        <v>0.83</v>
      </c>
      <c r="H37" s="963">
        <f>PRODUCT(C37:G37)</f>
        <v>-0.84</v>
      </c>
      <c r="I37" s="963"/>
    </row>
    <row r="38" spans="1:9" ht="18.75">
      <c r="A38" s="1376"/>
      <c r="B38" s="1377" t="s">
        <v>5936</v>
      </c>
      <c r="C38" s="962">
        <v>1</v>
      </c>
      <c r="D38" s="962">
        <v>13</v>
      </c>
      <c r="E38" s="963">
        <v>0.23</v>
      </c>
      <c r="F38" s="963">
        <v>0.8</v>
      </c>
      <c r="G38" s="963">
        <v>1.42</v>
      </c>
      <c r="H38" s="963">
        <f>PRODUCT(C38:G38)</f>
        <v>3.4</v>
      </c>
      <c r="I38" s="963"/>
    </row>
    <row r="39" spans="1:9" ht="18.75">
      <c r="A39" s="1376"/>
      <c r="B39" s="1377"/>
      <c r="C39" s="962"/>
      <c r="D39" s="962"/>
      <c r="E39" s="963"/>
      <c r="F39" s="963"/>
      <c r="G39" s="963"/>
      <c r="H39" s="964">
        <f>SUM(H33:H38)</f>
        <v>6.55</v>
      </c>
      <c r="I39" s="964"/>
    </row>
    <row r="40" spans="1:9" ht="37.5">
      <c r="A40" s="1376">
        <v>10.5</v>
      </c>
      <c r="B40" s="1377" t="s">
        <v>5937</v>
      </c>
      <c r="C40" s="962"/>
      <c r="D40" s="962"/>
      <c r="E40" s="963"/>
      <c r="F40" s="963"/>
      <c r="G40" s="986" t="s">
        <v>4121</v>
      </c>
      <c r="H40" s="964">
        <f>ROUNDUP(H39,1)</f>
        <v>6.6</v>
      </c>
      <c r="I40" s="964" t="s">
        <v>2070</v>
      </c>
    </row>
    <row r="41" spans="1:9" ht="18.75">
      <c r="A41" s="1376"/>
      <c r="B41" s="1377" t="s">
        <v>5938</v>
      </c>
      <c r="C41" s="962"/>
      <c r="D41" s="962"/>
      <c r="E41" s="963"/>
      <c r="F41" s="963"/>
      <c r="G41" s="963"/>
      <c r="H41" s="963"/>
      <c r="I41" s="963"/>
    </row>
    <row r="42" spans="1:9" ht="18.75">
      <c r="A42" s="1376"/>
      <c r="B42" s="1377" t="s">
        <v>5939</v>
      </c>
      <c r="C42" s="962">
        <v>1</v>
      </c>
      <c r="D42" s="962">
        <v>1</v>
      </c>
      <c r="E42" s="1380">
        <v>155.6</v>
      </c>
      <c r="F42" s="963"/>
      <c r="G42" s="963">
        <v>1.1000000000000001</v>
      </c>
      <c r="H42" s="963">
        <f>PRODUCT(C42:G42)</f>
        <v>171.16</v>
      </c>
      <c r="I42" s="963"/>
    </row>
    <row r="43" spans="1:9" ht="18.75">
      <c r="A43" s="1376"/>
      <c r="B43" s="1377" t="s">
        <v>5940</v>
      </c>
      <c r="C43" s="962">
        <v>-1</v>
      </c>
      <c r="D43" s="962">
        <v>63</v>
      </c>
      <c r="E43" s="963">
        <v>0.23</v>
      </c>
      <c r="F43" s="963"/>
      <c r="G43" s="963">
        <v>1.1000000000000001</v>
      </c>
      <c r="H43" s="963">
        <f>PRODUCT(C43:G43)</f>
        <v>-15.94</v>
      </c>
      <c r="I43" s="963"/>
    </row>
    <row r="44" spans="1:9" ht="18.75">
      <c r="A44" s="1376"/>
      <c r="B44" s="1377" t="s">
        <v>5941</v>
      </c>
      <c r="C44" s="962">
        <v>1</v>
      </c>
      <c r="D44" s="962">
        <v>13</v>
      </c>
      <c r="E44" s="1565" t="s">
        <v>5935</v>
      </c>
      <c r="F44" s="1566"/>
      <c r="G44" s="963"/>
      <c r="H44" s="963">
        <v>0.15</v>
      </c>
      <c r="I44" s="963"/>
    </row>
    <row r="45" spans="1:9" ht="18.75">
      <c r="A45" s="1376"/>
      <c r="B45" s="1377" t="s">
        <v>5942</v>
      </c>
      <c r="C45" s="962">
        <v>-1</v>
      </c>
      <c r="D45" s="962">
        <v>2</v>
      </c>
      <c r="E45" s="963">
        <v>5.0999999999999996</v>
      </c>
      <c r="F45" s="963"/>
      <c r="G45" s="963">
        <v>1.1000000000000001</v>
      </c>
      <c r="H45" s="963">
        <f>PRODUCT(C45:G45)</f>
        <v>-11.22</v>
      </c>
      <c r="I45" s="963"/>
    </row>
    <row r="46" spans="1:9" ht="18.75">
      <c r="A46" s="1376"/>
      <c r="B46" s="1377"/>
      <c r="C46" s="962"/>
      <c r="D46" s="962"/>
      <c r="E46" s="963"/>
      <c r="F46" s="963"/>
      <c r="G46" s="963"/>
      <c r="H46" s="964">
        <f>SUM(H42:H45)</f>
        <v>144.15</v>
      </c>
      <c r="I46" s="964"/>
    </row>
    <row r="47" spans="1:9" ht="18.75">
      <c r="A47" s="1376">
        <v>33</v>
      </c>
      <c r="B47" s="1377" t="s">
        <v>5943</v>
      </c>
      <c r="C47" s="962"/>
      <c r="D47" s="962"/>
      <c r="E47" s="963"/>
      <c r="F47" s="963"/>
      <c r="G47" s="986" t="s">
        <v>4121</v>
      </c>
      <c r="H47" s="964">
        <f>ROUNDUP(H46,1)</f>
        <v>144.19999999999999</v>
      </c>
      <c r="I47" s="964" t="s">
        <v>2199</v>
      </c>
    </row>
    <row r="48" spans="1:9" ht="18.75">
      <c r="A48" s="1376"/>
      <c r="B48" s="1377" t="s">
        <v>5925</v>
      </c>
      <c r="C48" s="962">
        <v>2</v>
      </c>
      <c r="D48" s="962">
        <v>1</v>
      </c>
      <c r="E48" s="963">
        <v>155.6</v>
      </c>
      <c r="F48" s="963"/>
      <c r="G48" s="963">
        <v>1.83</v>
      </c>
      <c r="H48" s="963">
        <f t="shared" ref="H48:H57" si="0">PRODUCT(C48:G48)</f>
        <v>569.5</v>
      </c>
      <c r="I48" s="963"/>
    </row>
    <row r="49" spans="1:9" ht="18.75">
      <c r="A49" s="1376"/>
      <c r="B49" s="1377" t="s">
        <v>5944</v>
      </c>
      <c r="C49" s="962">
        <v>1</v>
      </c>
      <c r="D49" s="962">
        <v>1</v>
      </c>
      <c r="E49" s="963">
        <v>155.6</v>
      </c>
      <c r="F49" s="963">
        <v>0.23</v>
      </c>
      <c r="G49" s="963"/>
      <c r="H49" s="963">
        <f t="shared" si="0"/>
        <v>35.79</v>
      </c>
      <c r="I49" s="963"/>
    </row>
    <row r="50" spans="1:9" ht="18.75">
      <c r="A50" s="1376"/>
      <c r="B50" s="1377" t="s">
        <v>5945</v>
      </c>
      <c r="C50" s="962">
        <v>1</v>
      </c>
      <c r="D50" s="962">
        <v>13</v>
      </c>
      <c r="E50" s="963">
        <v>0.12</v>
      </c>
      <c r="F50" s="963"/>
      <c r="G50" s="963">
        <v>1.1000000000000001</v>
      </c>
      <c r="H50" s="963">
        <f t="shared" si="0"/>
        <v>1.72</v>
      </c>
      <c r="I50" s="963"/>
    </row>
    <row r="51" spans="1:9" ht="37.5">
      <c r="A51" s="1376"/>
      <c r="B51" s="1377" t="s">
        <v>5946</v>
      </c>
      <c r="C51" s="962">
        <v>1</v>
      </c>
      <c r="D51" s="962">
        <v>13</v>
      </c>
      <c r="E51" s="963">
        <v>2.06</v>
      </c>
      <c r="F51" s="963"/>
      <c r="G51" s="963">
        <v>0.3</v>
      </c>
      <c r="H51" s="963">
        <f t="shared" si="0"/>
        <v>8.0299999999999994</v>
      </c>
      <c r="I51" s="963"/>
    </row>
    <row r="52" spans="1:9" ht="37.5">
      <c r="A52" s="1376"/>
      <c r="B52" s="1377" t="s">
        <v>5947</v>
      </c>
      <c r="C52" s="962">
        <v>1</v>
      </c>
      <c r="D52" s="962">
        <v>63</v>
      </c>
      <c r="E52" s="963">
        <v>2.5499999999999998</v>
      </c>
      <c r="F52" s="963">
        <v>0.12</v>
      </c>
      <c r="G52" s="963"/>
      <c r="H52" s="963">
        <f t="shared" si="0"/>
        <v>19.28</v>
      </c>
      <c r="I52" s="963"/>
    </row>
    <row r="53" spans="1:9" ht="18.75">
      <c r="A53" s="1376"/>
      <c r="B53" s="1377" t="s">
        <v>5948</v>
      </c>
      <c r="C53" s="962">
        <v>-1</v>
      </c>
      <c r="D53" s="962">
        <v>4</v>
      </c>
      <c r="E53" s="963">
        <v>5.0999999999999996</v>
      </c>
      <c r="F53" s="963"/>
      <c r="G53" s="963">
        <v>1.55</v>
      </c>
      <c r="H53" s="963">
        <f t="shared" si="0"/>
        <v>-31.62</v>
      </c>
      <c r="I53" s="963"/>
    </row>
    <row r="54" spans="1:9" ht="18.75">
      <c r="A54" s="1376"/>
      <c r="B54" s="1377" t="s">
        <v>5949</v>
      </c>
      <c r="C54" s="962">
        <v>1</v>
      </c>
      <c r="D54" s="962">
        <v>4</v>
      </c>
      <c r="E54" s="963">
        <v>1.06</v>
      </c>
      <c r="F54" s="963">
        <v>2.5499999999999998</v>
      </c>
      <c r="G54" s="963"/>
      <c r="H54" s="963">
        <f t="shared" si="0"/>
        <v>10.81</v>
      </c>
      <c r="I54" s="963"/>
    </row>
    <row r="55" spans="1:9" ht="18.75">
      <c r="A55" s="1376"/>
      <c r="B55" s="1377" t="s">
        <v>5950</v>
      </c>
      <c r="C55" s="962">
        <v>1</v>
      </c>
      <c r="D55" s="962">
        <v>4</v>
      </c>
      <c r="E55" s="963">
        <v>0.3</v>
      </c>
      <c r="F55" s="963"/>
      <c r="G55" s="963">
        <v>0.23</v>
      </c>
      <c r="H55" s="963">
        <f t="shared" si="0"/>
        <v>0.28000000000000003</v>
      </c>
      <c r="I55" s="963"/>
    </row>
    <row r="56" spans="1:9" ht="18.75">
      <c r="A56" s="1376"/>
      <c r="B56" s="1377" t="s">
        <v>5951</v>
      </c>
      <c r="C56" s="962">
        <v>63</v>
      </c>
      <c r="D56" s="962">
        <v>2</v>
      </c>
      <c r="E56" s="963">
        <v>0.11</v>
      </c>
      <c r="F56" s="963"/>
      <c r="G56" s="963">
        <v>1.55</v>
      </c>
      <c r="H56" s="963">
        <f t="shared" si="0"/>
        <v>21.48</v>
      </c>
      <c r="I56" s="963"/>
    </row>
    <row r="57" spans="1:9" ht="18.75">
      <c r="A57" s="1376"/>
      <c r="B57" s="1377" t="s">
        <v>5952</v>
      </c>
      <c r="C57" s="962">
        <v>63</v>
      </c>
      <c r="D57" s="962">
        <v>1</v>
      </c>
      <c r="E57" s="963">
        <v>0.23</v>
      </c>
      <c r="F57" s="963"/>
      <c r="G57" s="963">
        <v>0.11</v>
      </c>
      <c r="H57" s="963">
        <f t="shared" si="0"/>
        <v>1.59</v>
      </c>
      <c r="I57" s="963"/>
    </row>
    <row r="58" spans="1:9" ht="18.75">
      <c r="A58" s="1376"/>
      <c r="B58" s="1377"/>
      <c r="C58" s="962"/>
      <c r="D58" s="962"/>
      <c r="E58" s="962"/>
      <c r="F58" s="962"/>
      <c r="G58" s="963"/>
      <c r="H58" s="964">
        <f>SUM(H48:H57)</f>
        <v>636.86</v>
      </c>
      <c r="I58" s="964"/>
    </row>
    <row r="59" spans="1:9" ht="18.75">
      <c r="A59" s="1376">
        <v>36</v>
      </c>
      <c r="B59" s="1377" t="s">
        <v>5953</v>
      </c>
      <c r="C59" s="962"/>
      <c r="D59" s="962"/>
      <c r="E59" s="962"/>
      <c r="F59" s="962"/>
      <c r="G59" s="986" t="s">
        <v>4121</v>
      </c>
      <c r="H59" s="964">
        <f>ROUNDUP(H58,1)</f>
        <v>636.9</v>
      </c>
      <c r="I59" s="964" t="s">
        <v>2199</v>
      </c>
    </row>
    <row r="60" spans="1:9" ht="18.75">
      <c r="A60" s="1376"/>
      <c r="B60" s="1377" t="s">
        <v>5954</v>
      </c>
      <c r="C60" s="962"/>
      <c r="D60" s="962"/>
      <c r="E60" s="962"/>
      <c r="F60" s="962"/>
      <c r="G60" s="963"/>
      <c r="H60" s="963"/>
      <c r="I60" s="963"/>
    </row>
    <row r="61" spans="1:9" ht="18.75">
      <c r="A61" s="1376"/>
      <c r="B61" s="1377" t="s">
        <v>5919</v>
      </c>
      <c r="C61" s="962">
        <v>1</v>
      </c>
      <c r="D61" s="962">
        <v>1</v>
      </c>
      <c r="E61" s="962">
        <v>155.6</v>
      </c>
      <c r="F61" s="962"/>
      <c r="G61" s="963"/>
      <c r="H61" s="963">
        <f>PRODUCT(C61:G61)</f>
        <v>155.6</v>
      </c>
      <c r="I61" s="963"/>
    </row>
    <row r="62" spans="1:9" ht="18.75">
      <c r="A62" s="1376"/>
      <c r="B62" s="1377" t="s">
        <v>5955</v>
      </c>
      <c r="C62" s="962">
        <v>-1</v>
      </c>
      <c r="D62" s="962">
        <v>2</v>
      </c>
      <c r="E62" s="962">
        <v>5.0999999999999996</v>
      </c>
      <c r="F62" s="962"/>
      <c r="G62" s="963"/>
      <c r="H62" s="963">
        <f>PRODUCT(C62:G62)</f>
        <v>-10.199999999999999</v>
      </c>
      <c r="I62" s="963"/>
    </row>
    <row r="63" spans="1:9" ht="18.75">
      <c r="A63" s="1376"/>
      <c r="B63" s="1377" t="s">
        <v>5956</v>
      </c>
      <c r="C63" s="962">
        <v>1</v>
      </c>
      <c r="D63" s="962">
        <v>2</v>
      </c>
      <c r="E63" s="962">
        <v>1.06</v>
      </c>
      <c r="F63" s="962"/>
      <c r="G63" s="963"/>
      <c r="H63" s="963">
        <f>PRODUCT(C63:G63)</f>
        <v>2.12</v>
      </c>
      <c r="I63" s="963"/>
    </row>
    <row r="64" spans="1:9" ht="18.75">
      <c r="A64" s="1376"/>
      <c r="B64" s="1377" t="s">
        <v>5957</v>
      </c>
      <c r="C64" s="962">
        <v>1</v>
      </c>
      <c r="D64" s="962">
        <v>13</v>
      </c>
      <c r="E64" s="962">
        <v>0.23</v>
      </c>
      <c r="F64" s="962"/>
      <c r="G64" s="963"/>
      <c r="H64" s="963">
        <f>PRODUCT(C64:G64)</f>
        <v>2.99</v>
      </c>
      <c r="I64" s="963"/>
    </row>
    <row r="65" spans="1:9" ht="18.75">
      <c r="A65" s="1376"/>
      <c r="B65" s="1377"/>
      <c r="C65" s="962"/>
      <c r="D65" s="962"/>
      <c r="E65" s="962"/>
      <c r="F65" s="962"/>
      <c r="G65" s="963"/>
      <c r="H65" s="963">
        <f>SUM(H60:H64)</f>
        <v>150.51</v>
      </c>
      <c r="I65" s="963"/>
    </row>
    <row r="66" spans="1:9" ht="18.75">
      <c r="A66" s="1376"/>
      <c r="B66" s="1377"/>
      <c r="C66" s="962"/>
      <c r="D66" s="962"/>
      <c r="E66" s="962"/>
      <c r="F66" s="962"/>
      <c r="G66" s="963"/>
      <c r="H66" s="964">
        <f>ROUNDUP(H65,1)</f>
        <v>150.6</v>
      </c>
      <c r="I66" s="964" t="s">
        <v>5457</v>
      </c>
    </row>
    <row r="67" spans="1:9" ht="18.75">
      <c r="A67" s="1376"/>
      <c r="B67" s="1377" t="s">
        <v>5958</v>
      </c>
      <c r="C67" s="962"/>
      <c r="D67" s="962"/>
      <c r="E67" s="962"/>
      <c r="F67" s="962"/>
      <c r="G67" s="986" t="s">
        <v>4121</v>
      </c>
      <c r="H67" s="964">
        <f>ROUNDUP(H66,1)</f>
        <v>150.6</v>
      </c>
      <c r="I67" s="964"/>
    </row>
    <row r="68" spans="1:9" ht="18.75">
      <c r="A68" s="1376"/>
      <c r="B68" s="1377" t="s">
        <v>5959</v>
      </c>
      <c r="C68" s="962"/>
      <c r="D68" s="962"/>
      <c r="E68" s="962"/>
      <c r="F68" s="962"/>
      <c r="G68" s="963"/>
      <c r="H68" s="963">
        <f>H67</f>
        <v>150.6</v>
      </c>
      <c r="I68" s="963"/>
    </row>
    <row r="69" spans="1:9" ht="18.75">
      <c r="A69" s="1376"/>
      <c r="B69" s="1377"/>
      <c r="C69" s="962"/>
      <c r="D69" s="962"/>
      <c r="E69" s="962"/>
      <c r="F69" s="962"/>
      <c r="G69" s="963"/>
      <c r="H69" s="964">
        <f>SUM(H68:H68)</f>
        <v>150.6</v>
      </c>
      <c r="I69" s="964"/>
    </row>
    <row r="70" spans="1:9" ht="18.75">
      <c r="A70" s="1376"/>
      <c r="B70" s="1377"/>
      <c r="C70" s="962"/>
      <c r="D70" s="962"/>
      <c r="E70" s="962"/>
      <c r="F70" s="962"/>
      <c r="G70" s="986" t="s">
        <v>4121</v>
      </c>
      <c r="H70" s="964">
        <f>ROUNDUP(H69,1)</f>
        <v>150.6</v>
      </c>
      <c r="I70" s="964" t="s">
        <v>5457</v>
      </c>
    </row>
    <row r="71" spans="1:9" ht="18.75">
      <c r="A71" s="1376"/>
      <c r="B71" s="1377" t="s">
        <v>5960</v>
      </c>
      <c r="C71" s="962"/>
      <c r="D71" s="962"/>
      <c r="E71" s="962"/>
      <c r="F71" s="962"/>
      <c r="G71" s="986"/>
      <c r="H71" s="964"/>
      <c r="I71" s="964"/>
    </row>
    <row r="72" spans="1:9" ht="18.75">
      <c r="A72" s="1376"/>
      <c r="B72" s="1377" t="s">
        <v>5961</v>
      </c>
      <c r="C72" s="962"/>
      <c r="D72" s="962"/>
      <c r="E72" s="962"/>
      <c r="F72" s="962"/>
      <c r="G72" s="986"/>
      <c r="H72" s="964">
        <f>H59</f>
        <v>636.9</v>
      </c>
      <c r="I72" s="964" t="s">
        <v>2199</v>
      </c>
    </row>
    <row r="73" spans="1:9" ht="18.75">
      <c r="A73" s="1376"/>
      <c r="B73" s="1377"/>
      <c r="C73" s="962"/>
      <c r="D73" s="962"/>
      <c r="E73" s="962"/>
      <c r="F73" s="962"/>
      <c r="G73" s="986"/>
      <c r="H73" s="964"/>
      <c r="I73" s="964"/>
    </row>
    <row r="74" spans="1:9" ht="18.75">
      <c r="A74" s="1376">
        <v>39</v>
      </c>
      <c r="B74" s="1377" t="s">
        <v>5962</v>
      </c>
      <c r="C74" s="962"/>
      <c r="D74" s="962"/>
      <c r="E74" s="962"/>
      <c r="F74" s="962"/>
      <c r="G74" s="986" t="s">
        <v>4121</v>
      </c>
      <c r="H74" s="964">
        <f>H71</f>
        <v>0</v>
      </c>
      <c r="I74" s="964"/>
    </row>
    <row r="75" spans="1:9" ht="18.75">
      <c r="A75" s="1376"/>
      <c r="B75" s="1377" t="s">
        <v>5963</v>
      </c>
      <c r="C75" s="962">
        <v>1</v>
      </c>
      <c r="D75" s="962">
        <v>2</v>
      </c>
      <c r="E75" s="963">
        <v>4.5</v>
      </c>
      <c r="F75" s="963">
        <v>2</v>
      </c>
      <c r="G75" s="962"/>
      <c r="H75" s="964">
        <f>PRODUCT(C75:G75)</f>
        <v>18</v>
      </c>
      <c r="I75" s="964"/>
    </row>
    <row r="76" spans="1:9" ht="18.75">
      <c r="A76" s="1376"/>
      <c r="B76" s="1377"/>
      <c r="C76" s="962"/>
      <c r="D76" s="962"/>
      <c r="E76" s="962"/>
      <c r="F76" s="962" t="s">
        <v>5964</v>
      </c>
      <c r="G76" s="962"/>
      <c r="H76" s="964">
        <f>H75*35</f>
        <v>630</v>
      </c>
      <c r="I76" s="964" t="s">
        <v>1591</v>
      </c>
    </row>
    <row r="77" spans="1:9" ht="18.75">
      <c r="A77" s="1376">
        <v>41</v>
      </c>
      <c r="B77" s="1377" t="s">
        <v>5965</v>
      </c>
      <c r="C77" s="962"/>
      <c r="D77" s="962"/>
      <c r="E77" s="962"/>
      <c r="F77" s="962"/>
      <c r="G77" s="962"/>
      <c r="H77" s="963"/>
      <c r="I77" s="963"/>
    </row>
    <row r="78" spans="1:9" ht="18.75">
      <c r="A78" s="1376"/>
      <c r="B78" s="1377" t="s">
        <v>5963</v>
      </c>
      <c r="C78" s="962">
        <v>1</v>
      </c>
      <c r="D78" s="962">
        <v>2</v>
      </c>
      <c r="E78" s="963">
        <v>4.5</v>
      </c>
      <c r="F78" s="963">
        <v>2</v>
      </c>
      <c r="G78" s="962"/>
      <c r="H78" s="964">
        <f>PRODUCT(C78:G78)</f>
        <v>18</v>
      </c>
      <c r="I78" s="964"/>
    </row>
    <row r="79" spans="1:9" ht="18.75">
      <c r="A79" s="1376"/>
      <c r="B79" s="1377"/>
      <c r="C79" s="962"/>
      <c r="D79" s="962"/>
      <c r="E79" s="962"/>
      <c r="F79" s="962"/>
      <c r="G79" s="986" t="s">
        <v>4121</v>
      </c>
      <c r="H79" s="964">
        <f>ROUNDUP(H78,1)</f>
        <v>18</v>
      </c>
      <c r="I79" s="964" t="s">
        <v>2199</v>
      </c>
    </row>
    <row r="80" spans="1:9" ht="18.75">
      <c r="A80" s="1376">
        <v>18.100000000000001</v>
      </c>
      <c r="B80" s="1377" t="s">
        <v>5966</v>
      </c>
      <c r="C80" s="962"/>
      <c r="D80" s="962"/>
      <c r="E80" s="962"/>
      <c r="F80" s="962"/>
      <c r="G80" s="962"/>
      <c r="H80" s="964"/>
      <c r="I80" s="964"/>
    </row>
    <row r="81" spans="1:9" ht="18.75">
      <c r="A81" s="1376"/>
      <c r="B81" s="1377" t="s">
        <v>5967</v>
      </c>
      <c r="C81" s="1381"/>
      <c r="D81" s="1381"/>
      <c r="E81" s="1381"/>
      <c r="F81" s="962"/>
      <c r="G81" s="962"/>
      <c r="H81" s="963"/>
      <c r="I81" s="963"/>
    </row>
    <row r="82" spans="1:9" ht="18.75">
      <c r="A82" s="1376"/>
      <c r="B82" s="1377" t="s">
        <v>5968</v>
      </c>
      <c r="C82" s="962">
        <v>62</v>
      </c>
      <c r="D82" s="962">
        <v>1</v>
      </c>
      <c r="E82" s="963">
        <v>3</v>
      </c>
      <c r="F82" s="963"/>
      <c r="G82" s="962">
        <v>0.15</v>
      </c>
      <c r="H82" s="963">
        <f>PRODUCT(C82:G82)</f>
        <v>27.9</v>
      </c>
      <c r="I82" s="963"/>
    </row>
    <row r="83" spans="1:9" ht="18.75">
      <c r="A83" s="1376"/>
      <c r="B83" s="1377" t="s">
        <v>5969</v>
      </c>
      <c r="C83" s="962">
        <v>1</v>
      </c>
      <c r="D83" s="962">
        <v>2</v>
      </c>
      <c r="E83" s="963">
        <v>155.6</v>
      </c>
      <c r="F83" s="962"/>
      <c r="G83" s="962">
        <v>0.3</v>
      </c>
      <c r="H83" s="963">
        <f>PRODUCT(C83:G83)</f>
        <v>93.36</v>
      </c>
      <c r="I83" s="963"/>
    </row>
    <row r="84" spans="1:9" ht="18.75">
      <c r="A84" s="1376"/>
      <c r="B84" s="1377"/>
      <c r="C84" s="962"/>
      <c r="D84" s="962"/>
      <c r="E84" s="962"/>
      <c r="F84" s="962"/>
      <c r="G84" s="962"/>
      <c r="H84" s="964">
        <f>SUM(H82:H83)</f>
        <v>121.26</v>
      </c>
      <c r="I84" s="964"/>
    </row>
    <row r="85" spans="1:9" ht="18.75">
      <c r="A85" s="1376"/>
      <c r="B85" s="1377" t="s">
        <v>5970</v>
      </c>
      <c r="C85" s="962"/>
      <c r="D85" s="962"/>
      <c r="E85" s="962"/>
      <c r="F85" s="962"/>
      <c r="G85" s="986" t="s">
        <v>4121</v>
      </c>
      <c r="H85" s="964">
        <f>ROUNDUP(H84,1)</f>
        <v>121.3</v>
      </c>
      <c r="I85" s="964" t="s">
        <v>2199</v>
      </c>
    </row>
    <row r="86" spans="1:9" ht="18.75">
      <c r="A86" s="1376"/>
      <c r="B86" s="1377" t="s">
        <v>5971</v>
      </c>
      <c r="C86" s="962">
        <v>62</v>
      </c>
      <c r="D86" s="962">
        <v>1</v>
      </c>
      <c r="E86" s="962">
        <v>0.92</v>
      </c>
      <c r="F86" s="1382"/>
      <c r="G86" s="962">
        <v>0.65</v>
      </c>
      <c r="H86" s="963">
        <f t="shared" ref="H86:H91" si="1">PRODUCT(C86:G86)</f>
        <v>37.08</v>
      </c>
      <c r="I86" s="963"/>
    </row>
    <row r="87" spans="1:9" ht="18.75">
      <c r="A87" s="1376"/>
      <c r="B87" s="1377" t="s">
        <v>5972</v>
      </c>
      <c r="C87" s="962">
        <v>2</v>
      </c>
      <c r="D87" s="962">
        <v>2</v>
      </c>
      <c r="E87" s="963">
        <v>1.06</v>
      </c>
      <c r="F87" s="1382"/>
      <c r="G87" s="962">
        <v>0.65</v>
      </c>
      <c r="H87" s="963">
        <f t="shared" si="1"/>
        <v>2.76</v>
      </c>
      <c r="I87" s="963"/>
    </row>
    <row r="88" spans="1:9" ht="18.75">
      <c r="A88" s="1376"/>
      <c r="B88" s="1377" t="s">
        <v>5973</v>
      </c>
      <c r="C88" s="962">
        <v>2</v>
      </c>
      <c r="D88" s="962">
        <v>2</v>
      </c>
      <c r="E88" s="963">
        <v>1.06</v>
      </c>
      <c r="F88" s="1382"/>
      <c r="G88" s="963">
        <v>2.2000000000000002</v>
      </c>
      <c r="H88" s="963">
        <f t="shared" si="1"/>
        <v>9.33</v>
      </c>
      <c r="I88" s="963"/>
    </row>
    <row r="89" spans="1:9" ht="37.5">
      <c r="A89" s="1376"/>
      <c r="B89" s="1377" t="s">
        <v>5974</v>
      </c>
      <c r="C89" s="962">
        <v>1</v>
      </c>
      <c r="D89" s="962">
        <v>2</v>
      </c>
      <c r="E89" s="963">
        <v>155.6</v>
      </c>
      <c r="F89" s="963">
        <v>0.1</v>
      </c>
      <c r="G89" s="962"/>
      <c r="H89" s="963">
        <f t="shared" si="1"/>
        <v>31.12</v>
      </c>
      <c r="I89" s="963"/>
    </row>
    <row r="90" spans="1:9" ht="18.75">
      <c r="A90" s="1376"/>
      <c r="B90" s="1377" t="s">
        <v>5975</v>
      </c>
      <c r="C90" s="962">
        <v>2</v>
      </c>
      <c r="D90" s="962">
        <v>63</v>
      </c>
      <c r="E90" s="963">
        <v>0.11</v>
      </c>
      <c r="F90" s="963"/>
      <c r="G90" s="962">
        <v>0.1</v>
      </c>
      <c r="H90" s="963">
        <f t="shared" si="1"/>
        <v>1.39</v>
      </c>
      <c r="I90" s="963"/>
    </row>
    <row r="91" spans="1:9" ht="18.75">
      <c r="A91" s="1376"/>
      <c r="B91" s="1377" t="s">
        <v>5942</v>
      </c>
      <c r="C91" s="962">
        <v>-1</v>
      </c>
      <c r="D91" s="962">
        <v>2</v>
      </c>
      <c r="E91" s="962">
        <v>4.5</v>
      </c>
      <c r="F91" s="963">
        <v>0.1</v>
      </c>
      <c r="G91" s="962"/>
      <c r="H91" s="963">
        <f t="shared" si="1"/>
        <v>-0.9</v>
      </c>
      <c r="I91" s="963"/>
    </row>
    <row r="92" spans="1:9" ht="18.75">
      <c r="A92" s="1376"/>
      <c r="B92" s="1377"/>
      <c r="C92" s="962"/>
      <c r="D92" s="962"/>
      <c r="E92" s="962"/>
      <c r="F92" s="962"/>
      <c r="G92" s="962"/>
      <c r="H92" s="964">
        <f>SUM(H86:H91)</f>
        <v>80.78</v>
      </c>
      <c r="I92" s="964"/>
    </row>
    <row r="93" spans="1:9" ht="18.75">
      <c r="A93" s="1376"/>
      <c r="B93" s="1377"/>
      <c r="C93" s="962"/>
      <c r="D93" s="962"/>
      <c r="E93" s="962"/>
      <c r="F93" s="962"/>
      <c r="G93" s="986" t="s">
        <v>4121</v>
      </c>
      <c r="H93" s="964">
        <f>ROUNDUP(H92,1)</f>
        <v>80.8</v>
      </c>
      <c r="I93" s="964" t="s">
        <v>2199</v>
      </c>
    </row>
    <row r="94" spans="1:9" ht="18.75">
      <c r="A94" s="1376">
        <v>43</v>
      </c>
      <c r="B94" s="1377" t="s">
        <v>5976</v>
      </c>
      <c r="C94" s="962"/>
      <c r="D94" s="962"/>
      <c r="E94" s="962"/>
      <c r="F94" s="962"/>
      <c r="G94" s="962"/>
      <c r="H94" s="962"/>
      <c r="I94" s="962"/>
    </row>
    <row r="95" spans="1:9" ht="18.75">
      <c r="A95" s="1376"/>
      <c r="B95" s="1377"/>
      <c r="C95" s="962"/>
      <c r="D95" s="962"/>
      <c r="E95" s="962"/>
      <c r="F95" s="1383" t="s">
        <v>4959</v>
      </c>
      <c r="G95" s="986" t="s">
        <v>5977</v>
      </c>
      <c r="H95" s="986" t="s">
        <v>5978</v>
      </c>
      <c r="I95" s="986" t="s">
        <v>5979</v>
      </c>
    </row>
    <row r="96" spans="1:9" ht="18.75">
      <c r="A96" s="1376"/>
      <c r="B96" s="1377" t="s">
        <v>5980</v>
      </c>
      <c r="C96" s="962">
        <v>62</v>
      </c>
      <c r="D96" s="962">
        <v>8</v>
      </c>
      <c r="E96" s="962">
        <v>2</v>
      </c>
      <c r="F96" s="962">
        <v>1</v>
      </c>
      <c r="G96" s="962">
        <f>PRODUCT(C96:F96)</f>
        <v>992</v>
      </c>
      <c r="H96" s="962"/>
      <c r="I96" s="962"/>
    </row>
    <row r="97" spans="1:9" ht="18.75">
      <c r="A97" s="1376"/>
      <c r="B97" s="1377" t="s">
        <v>5981</v>
      </c>
      <c r="C97" s="962">
        <v>62</v>
      </c>
      <c r="D97" s="962">
        <v>4</v>
      </c>
      <c r="E97" s="962"/>
      <c r="F97" s="962">
        <v>1.8</v>
      </c>
      <c r="G97" s="962"/>
      <c r="H97" s="962"/>
      <c r="I97" s="962">
        <f>PRODUCT(C97:F97)</f>
        <v>446.4</v>
      </c>
    </row>
    <row r="98" spans="1:9" ht="18.75">
      <c r="A98" s="1376"/>
      <c r="B98" s="1377" t="s">
        <v>5982</v>
      </c>
      <c r="C98" s="962">
        <v>62</v>
      </c>
      <c r="D98" s="962">
        <v>4</v>
      </c>
      <c r="E98" s="962"/>
      <c r="F98" s="962">
        <v>0.2</v>
      </c>
      <c r="G98" s="962"/>
      <c r="H98" s="962"/>
      <c r="I98" s="962">
        <f>PRODUCT(C98:F98)</f>
        <v>49.6</v>
      </c>
    </row>
    <row r="99" spans="1:9" ht="18.75">
      <c r="A99" s="1376"/>
      <c r="B99" s="1377" t="s">
        <v>5983</v>
      </c>
      <c r="C99" s="962">
        <v>62</v>
      </c>
      <c r="D99" s="962">
        <v>8</v>
      </c>
      <c r="E99" s="962"/>
      <c r="F99" s="962">
        <v>0.92</v>
      </c>
      <c r="G99" s="962">
        <f>PRODUCT(C99:F99)</f>
        <v>456.32</v>
      </c>
      <c r="H99" s="962"/>
      <c r="I99" s="962"/>
    </row>
    <row r="100" spans="1:9" ht="18.75">
      <c r="A100" s="1376"/>
      <c r="B100" s="1377" t="s">
        <v>5984</v>
      </c>
      <c r="C100" s="962">
        <v>4</v>
      </c>
      <c r="D100" s="962">
        <v>4</v>
      </c>
      <c r="E100" s="962"/>
      <c r="F100" s="962">
        <v>1.8</v>
      </c>
      <c r="G100" s="962"/>
      <c r="H100" s="962"/>
      <c r="I100" s="962">
        <f>PRODUCT(C100:F100)</f>
        <v>28.8</v>
      </c>
    </row>
    <row r="101" spans="1:9" ht="18.75">
      <c r="A101" s="1376"/>
      <c r="B101" s="1377" t="s">
        <v>5982</v>
      </c>
      <c r="C101" s="962">
        <v>4</v>
      </c>
      <c r="D101" s="962">
        <v>4</v>
      </c>
      <c r="E101" s="962"/>
      <c r="F101" s="962">
        <v>0.2</v>
      </c>
      <c r="G101" s="962"/>
      <c r="H101" s="962"/>
      <c r="I101" s="962">
        <f>PRODUCT(C101:F101)</f>
        <v>3.2</v>
      </c>
    </row>
    <row r="102" spans="1:9" ht="18.75">
      <c r="A102" s="1376"/>
      <c r="B102" s="1377" t="s">
        <v>5983</v>
      </c>
      <c r="C102" s="962">
        <v>4</v>
      </c>
      <c r="D102" s="962">
        <v>10</v>
      </c>
      <c r="E102" s="962"/>
      <c r="F102" s="962">
        <v>1.2</v>
      </c>
      <c r="G102" s="963">
        <f>PRODUCT(C102:F102)</f>
        <v>48</v>
      </c>
      <c r="H102" s="962"/>
      <c r="I102" s="962"/>
    </row>
    <row r="103" spans="1:9" ht="18.75">
      <c r="A103" s="1376"/>
      <c r="B103" s="1377" t="s">
        <v>5985</v>
      </c>
      <c r="C103" s="962">
        <v>4</v>
      </c>
      <c r="D103" s="962">
        <v>6</v>
      </c>
      <c r="E103" s="962"/>
      <c r="F103" s="962">
        <v>2.2000000000000002</v>
      </c>
      <c r="G103" s="962"/>
      <c r="H103" s="962"/>
      <c r="I103" s="962">
        <f>PRODUCT(C103:F103)</f>
        <v>52.8</v>
      </c>
    </row>
    <row r="104" spans="1:9" ht="18.75">
      <c r="A104" s="1376"/>
      <c r="B104" s="1377" t="s">
        <v>5983</v>
      </c>
      <c r="C104" s="962">
        <v>4</v>
      </c>
      <c r="D104" s="962">
        <v>6</v>
      </c>
      <c r="E104" s="962"/>
      <c r="F104" s="962">
        <v>1.06</v>
      </c>
      <c r="G104" s="962">
        <f>PRODUCT(C104:F104)</f>
        <v>25.44</v>
      </c>
      <c r="H104" s="962"/>
      <c r="I104" s="962"/>
    </row>
    <row r="105" spans="1:9" ht="18.75">
      <c r="A105" s="1376"/>
      <c r="B105" s="1377" t="s">
        <v>5986</v>
      </c>
      <c r="C105" s="962">
        <v>4</v>
      </c>
      <c r="D105" s="962">
        <v>1</v>
      </c>
      <c r="E105" s="962"/>
      <c r="F105" s="962">
        <v>155.6</v>
      </c>
      <c r="G105" s="962"/>
      <c r="H105" s="962"/>
      <c r="I105" s="962">
        <f>PRODUCT(C105:F105)</f>
        <v>622.4</v>
      </c>
    </row>
    <row r="106" spans="1:9" ht="18.75">
      <c r="A106" s="1376"/>
      <c r="B106" s="1377" t="s">
        <v>5987</v>
      </c>
      <c r="C106" s="962">
        <v>2</v>
      </c>
      <c r="D106" s="962">
        <v>1</v>
      </c>
      <c r="E106" s="962"/>
      <c r="F106" s="962">
        <v>155.6</v>
      </c>
      <c r="G106" s="962"/>
      <c r="H106" s="962">
        <f>PRODUCT(C106:F106)</f>
        <v>311.2</v>
      </c>
      <c r="I106" s="962"/>
    </row>
    <row r="107" spans="1:9" ht="18.75">
      <c r="A107" s="1376"/>
      <c r="B107" s="1377" t="s">
        <v>5983</v>
      </c>
      <c r="C107" s="962">
        <v>1</v>
      </c>
      <c r="D107" s="962">
        <v>1037</v>
      </c>
      <c r="E107" s="962"/>
      <c r="F107" s="962">
        <v>0.92</v>
      </c>
      <c r="G107" s="962">
        <f>PRODUCT(C107:F107)</f>
        <v>954.04</v>
      </c>
      <c r="H107" s="962"/>
      <c r="I107" s="962"/>
    </row>
    <row r="108" spans="1:9" ht="37.5">
      <c r="A108" s="1376"/>
      <c r="B108" s="1377" t="s">
        <v>5988</v>
      </c>
      <c r="C108" s="962">
        <v>4</v>
      </c>
      <c r="D108" s="962">
        <v>1</v>
      </c>
      <c r="E108" s="962"/>
      <c r="F108" s="962">
        <v>155.6</v>
      </c>
      <c r="G108" s="962">
        <f>PRODUCT(C108:F108)</f>
        <v>622.4</v>
      </c>
      <c r="H108" s="962"/>
      <c r="I108" s="962"/>
    </row>
    <row r="109" spans="1:9" ht="18.75">
      <c r="A109" s="1376"/>
      <c r="B109" s="1377" t="s">
        <v>5983</v>
      </c>
      <c r="C109" s="962">
        <v>1</v>
      </c>
      <c r="D109" s="962">
        <v>1037</v>
      </c>
      <c r="E109" s="962"/>
      <c r="F109" s="962">
        <v>0.53</v>
      </c>
      <c r="G109" s="962">
        <f>PRODUCT(C109:F109)</f>
        <v>549.61</v>
      </c>
      <c r="H109" s="962"/>
      <c r="I109" s="962"/>
    </row>
    <row r="110" spans="1:9" ht="18.75">
      <c r="A110" s="1376"/>
      <c r="B110" s="1377"/>
      <c r="C110" s="962"/>
      <c r="D110" s="962"/>
      <c r="E110" s="962"/>
      <c r="F110" s="962"/>
      <c r="G110" s="962">
        <f>SUM(G96:G109)</f>
        <v>3647.81</v>
      </c>
      <c r="H110" s="962">
        <f>SUM(H96:H109)</f>
        <v>311.2</v>
      </c>
      <c r="I110" s="962">
        <f>SUM(I96:I109)</f>
        <v>1203.2</v>
      </c>
    </row>
    <row r="111" spans="1:9" ht="18.75">
      <c r="A111" s="1376"/>
      <c r="B111" s="1377"/>
      <c r="C111" s="962"/>
      <c r="D111" s="962"/>
      <c r="E111" s="962"/>
      <c r="F111" s="962"/>
      <c r="G111" s="962">
        <v>0.39500000000000002</v>
      </c>
      <c r="H111" s="962">
        <v>0.61699999999999999</v>
      </c>
      <c r="I111" s="962">
        <v>0.88800000000000001</v>
      </c>
    </row>
    <row r="112" spans="1:9" ht="18.75">
      <c r="A112" s="1376"/>
      <c r="B112" s="1377"/>
      <c r="C112" s="962"/>
      <c r="D112" s="962"/>
      <c r="E112" s="962"/>
      <c r="F112" s="962"/>
      <c r="G112" s="963">
        <f>G111*G110</f>
        <v>1440.88</v>
      </c>
      <c r="H112" s="963">
        <f>H111*H110</f>
        <v>192.01</v>
      </c>
      <c r="I112" s="963">
        <f>I111*I110</f>
        <v>1068.44</v>
      </c>
    </row>
    <row r="113" spans="1:9" ht="18.75">
      <c r="A113" s="1376"/>
      <c r="B113" s="1377"/>
      <c r="C113" s="962"/>
      <c r="D113" s="962"/>
      <c r="E113" s="962"/>
      <c r="F113" s="962"/>
      <c r="G113" s="962"/>
      <c r="H113" s="962"/>
      <c r="I113" s="963">
        <f>SUM(G112:I112)</f>
        <v>2701.33</v>
      </c>
    </row>
    <row r="114" spans="1:9" ht="18.75">
      <c r="A114" s="1376"/>
      <c r="B114" s="1377"/>
      <c r="C114" s="962"/>
      <c r="D114" s="962"/>
      <c r="E114" s="962"/>
      <c r="F114" s="962"/>
      <c r="G114" s="962"/>
      <c r="H114" s="962"/>
      <c r="I114" s="1384">
        <f>I113/1000</f>
        <v>2.7010000000000001</v>
      </c>
    </row>
    <row r="115" spans="1:9" ht="18.75">
      <c r="A115" s="1376"/>
      <c r="B115" s="1377"/>
      <c r="C115" s="962"/>
      <c r="D115" s="962"/>
      <c r="E115" s="962"/>
      <c r="F115" s="962"/>
      <c r="G115" s="962"/>
      <c r="H115" s="962"/>
      <c r="I115" s="1385">
        <f>ROUNDUP(I114,1)</f>
        <v>2.8</v>
      </c>
    </row>
    <row r="116" spans="1:9">
      <c r="A116" s="627"/>
      <c r="B116" s="1386"/>
      <c r="C116" s="627"/>
      <c r="D116" s="627"/>
      <c r="E116" s="627"/>
      <c r="F116" s="627"/>
      <c r="G116" s="627"/>
      <c r="H116" s="627"/>
      <c r="I116" s="627"/>
    </row>
    <row r="117" spans="1:9">
      <c r="E117" s="37"/>
    </row>
    <row r="129" spans="5:5">
      <c r="E129" s="37"/>
    </row>
    <row r="151" spans="5:5">
      <c r="E151" s="37"/>
    </row>
    <row r="173" spans="5:5">
      <c r="E173" s="37"/>
    </row>
    <row r="187" spans="5:5">
      <c r="E187" s="37"/>
    </row>
    <row r="207" spans="5:5">
      <c r="E207" s="37"/>
    </row>
    <row r="229" spans="5:5">
      <c r="E229" s="37"/>
    </row>
    <row r="252" spans="5:5">
      <c r="E252" s="37"/>
    </row>
    <row r="257" spans="5:5">
      <c r="E257" s="37"/>
    </row>
    <row r="264" spans="5:5">
      <c r="E264" s="37"/>
    </row>
    <row r="290" spans="5:5">
      <c r="E290" s="37"/>
    </row>
    <row r="304" spans="5:5">
      <c r="E304" s="37"/>
    </row>
    <row r="315" spans="5:5">
      <c r="E315" s="37"/>
    </row>
    <row r="334" spans="5:5">
      <c r="E334" s="37"/>
    </row>
    <row r="343" spans="5:5">
      <c r="E343" s="37"/>
    </row>
    <row r="394" spans="5:5">
      <c r="E394" s="37"/>
    </row>
    <row r="419" spans="5:5">
      <c r="E419" s="37"/>
    </row>
    <row r="439" spans="5:5">
      <c r="E439" s="37"/>
    </row>
    <row r="466" spans="2:5">
      <c r="E466" s="37"/>
    </row>
    <row r="474" spans="2:5">
      <c r="E474" s="37"/>
    </row>
    <row r="476" spans="2:5">
      <c r="B476"/>
    </row>
    <row r="477" spans="2:5">
      <c r="B477"/>
    </row>
    <row r="478" spans="2:5">
      <c r="B478"/>
    </row>
    <row r="479" spans="2:5">
      <c r="B479"/>
    </row>
    <row r="480" spans="2:5">
      <c r="B480"/>
    </row>
    <row r="481" spans="2:3">
      <c r="B481"/>
    </row>
    <row r="482" spans="2:3">
      <c r="B482"/>
    </row>
    <row r="483" spans="2:3">
      <c r="B483"/>
    </row>
    <row r="484" spans="2:3">
      <c r="B484"/>
    </row>
    <row r="485" spans="2:3">
      <c r="B485"/>
    </row>
    <row r="486" spans="2:3">
      <c r="B486"/>
    </row>
    <row r="487" spans="2:3">
      <c r="B487"/>
    </row>
    <row r="488" spans="2:3">
      <c r="B488"/>
    </row>
    <row r="489" spans="2:3">
      <c r="B489"/>
    </row>
    <row r="490" spans="2:3">
      <c r="B490"/>
      <c r="C490" s="37"/>
    </row>
    <row r="507" spans="5:5">
      <c r="E507" s="37"/>
    </row>
    <row r="525" spans="5:5">
      <c r="E525" s="37"/>
    </row>
    <row r="536" spans="3:5">
      <c r="E536" s="37"/>
    </row>
    <row r="541" spans="3:5">
      <c r="C541" s="37"/>
    </row>
  </sheetData>
  <mergeCells count="6">
    <mergeCell ref="E44:F44"/>
    <mergeCell ref="A1:I1"/>
    <mergeCell ref="A2:I2"/>
    <mergeCell ref="A3:I3"/>
    <mergeCell ref="C4:D4"/>
    <mergeCell ref="E36:F36"/>
  </mergeCells>
  <pageMargins left="0.7" right="0.7" top="0.75" bottom="0.75" header="0.3" footer="0.3"/>
  <pageSetup paperSize="9" scale="79" orientation="portrait" r:id="rId1"/>
</worksheet>
</file>

<file path=xl/worksheets/sheet21.xml><?xml version="1.0" encoding="utf-8"?>
<worksheet xmlns="http://schemas.openxmlformats.org/spreadsheetml/2006/main" xmlns:r="http://schemas.openxmlformats.org/officeDocument/2006/relationships">
  <sheetPr>
    <tabColor rgb="FFFFFF00"/>
  </sheetPr>
  <dimension ref="A1:F96"/>
  <sheetViews>
    <sheetView view="pageBreakPreview" zoomScaleSheetLayoutView="100" workbookViewId="0">
      <selection activeCell="F8" sqref="F8"/>
    </sheetView>
  </sheetViews>
  <sheetFormatPr defaultRowHeight="15.75"/>
  <cols>
    <col min="1" max="2" width="8.88671875" style="958"/>
    <col min="3" max="3" width="31.44140625" style="960" customWidth="1"/>
    <col min="4" max="4" width="10.44140625" style="958" bestFit="1" customWidth="1"/>
    <col min="5" max="5" width="8.88671875" style="958"/>
    <col min="6" max="6" width="10.88671875" style="958" bestFit="1" customWidth="1"/>
  </cols>
  <sheetData>
    <row r="1" spans="1:6">
      <c r="C1" s="958" t="s">
        <v>233</v>
      </c>
    </row>
    <row r="2" spans="1:6">
      <c r="A2">
        <v>2.7</v>
      </c>
      <c r="B2" t="s">
        <v>2167</v>
      </c>
      <c r="C2" t="s">
        <v>5050</v>
      </c>
      <c r="D2"/>
      <c r="E2"/>
      <c r="F2"/>
    </row>
    <row r="3" spans="1:6">
      <c r="A3"/>
      <c r="B3"/>
      <c r="C3" t="s">
        <v>1530</v>
      </c>
      <c r="D3"/>
      <c r="E3"/>
      <c r="F3"/>
    </row>
    <row r="4" spans="1:6">
      <c r="A4">
        <v>1</v>
      </c>
      <c r="B4" t="s">
        <v>836</v>
      </c>
      <c r="C4" t="s">
        <v>800</v>
      </c>
      <c r="D4">
        <f>Data!AC11</f>
        <v>893.71</v>
      </c>
      <c r="E4" t="s">
        <v>836</v>
      </c>
      <c r="F4" s="8">
        <f>D4*A4</f>
        <v>893.71</v>
      </c>
    </row>
    <row r="5" spans="1:6">
      <c r="A5">
        <v>1</v>
      </c>
      <c r="B5" t="s">
        <v>836</v>
      </c>
      <c r="C5" t="s">
        <v>1302</v>
      </c>
      <c r="D5">
        <v>33.6</v>
      </c>
      <c r="E5" t="s">
        <v>836</v>
      </c>
      <c r="F5">
        <v>33.6</v>
      </c>
    </row>
    <row r="6" spans="1:6">
      <c r="A6"/>
      <c r="B6" t="s">
        <v>419</v>
      </c>
      <c r="C6" t="s">
        <v>420</v>
      </c>
      <c r="D6" t="s">
        <v>940</v>
      </c>
      <c r="E6" t="s">
        <v>419</v>
      </c>
      <c r="F6">
        <v>0</v>
      </c>
    </row>
    <row r="7" spans="1:6">
      <c r="A7"/>
      <c r="B7"/>
      <c r="C7"/>
      <c r="D7"/>
      <c r="E7"/>
      <c r="F7" t="s">
        <v>1530</v>
      </c>
    </row>
    <row r="8" spans="1:6">
      <c r="A8"/>
      <c r="B8"/>
      <c r="C8" t="s">
        <v>187</v>
      </c>
      <c r="D8"/>
      <c r="E8"/>
      <c r="F8">
        <f>SUM(F4:F7)</f>
        <v>927.31</v>
      </c>
    </row>
    <row r="9" spans="1:6">
      <c r="A9"/>
      <c r="B9"/>
      <c r="C9"/>
      <c r="D9"/>
      <c r="E9"/>
      <c r="F9" t="s">
        <v>1530</v>
      </c>
    </row>
    <row r="10" spans="1:6" ht="78.75">
      <c r="A10" s="595"/>
      <c r="B10" s="659"/>
      <c r="C10" s="1406" t="s">
        <v>4952</v>
      </c>
      <c r="D10" s="595"/>
      <c r="E10" s="596"/>
      <c r="F10" s="595"/>
    </row>
    <row r="11" spans="1:6">
      <c r="A11" s="595"/>
      <c r="B11" s="659"/>
      <c r="C11" s="595"/>
      <c r="D11" s="595"/>
      <c r="E11" s="596"/>
      <c r="F11" s="595"/>
    </row>
    <row r="12" spans="1:6" ht="31.5">
      <c r="A12" s="8">
        <v>10</v>
      </c>
      <c r="B12" s="7" t="s">
        <v>2199</v>
      </c>
      <c r="C12" s="23" t="s">
        <v>6050</v>
      </c>
      <c r="D12" s="230">
        <v>547</v>
      </c>
      <c r="E12" s="1108" t="s">
        <v>2199</v>
      </c>
      <c r="F12" s="8">
        <f>D12*A12</f>
        <v>5470</v>
      </c>
    </row>
    <row r="13" spans="1:6">
      <c r="A13" s="8"/>
      <c r="B13" s="7"/>
      <c r="C13" s="1"/>
      <c r="D13" s="8"/>
      <c r="E13" s="1108"/>
      <c r="F13" s="8"/>
    </row>
    <row r="14" spans="1:6">
      <c r="A14" s="8">
        <v>1.8</v>
      </c>
      <c r="B14" s="7" t="s">
        <v>998</v>
      </c>
      <c r="C14" s="1" t="s">
        <v>1938</v>
      </c>
      <c r="D14" s="8">
        <v>861</v>
      </c>
      <c r="E14" s="1108" t="s">
        <v>739</v>
      </c>
      <c r="F14" s="8">
        <f>D14*A14</f>
        <v>1549.8</v>
      </c>
    </row>
    <row r="15" spans="1:6">
      <c r="A15" s="8">
        <v>3.6</v>
      </c>
      <c r="B15" s="7" t="s">
        <v>998</v>
      </c>
      <c r="C15" s="1" t="s">
        <v>1654</v>
      </c>
      <c r="D15" s="8">
        <v>804</v>
      </c>
      <c r="E15" s="1108" t="s">
        <v>739</v>
      </c>
      <c r="F15" s="8">
        <f>D15*A15</f>
        <v>2894.4</v>
      </c>
    </row>
    <row r="16" spans="1:6">
      <c r="A16" s="8">
        <v>2.2000000000000002</v>
      </c>
      <c r="B16" s="7" t="s">
        <v>998</v>
      </c>
      <c r="C16" s="1" t="s">
        <v>1836</v>
      </c>
      <c r="D16" s="8">
        <v>562</v>
      </c>
      <c r="E16" s="1108" t="s">
        <v>739</v>
      </c>
      <c r="F16" s="8">
        <f>D16*A16</f>
        <v>1236.4000000000001</v>
      </c>
    </row>
    <row r="17" spans="1:6">
      <c r="A17" s="8">
        <v>0.5</v>
      </c>
      <c r="B17" s="7" t="s">
        <v>998</v>
      </c>
      <c r="C17" s="1" t="s">
        <v>6051</v>
      </c>
      <c r="D17" s="8">
        <v>661</v>
      </c>
      <c r="E17" s="1108" t="s">
        <v>739</v>
      </c>
      <c r="F17" s="8">
        <f>D17*A17</f>
        <v>330.5</v>
      </c>
    </row>
    <row r="18" spans="1:6">
      <c r="A18" s="8">
        <v>0.08</v>
      </c>
      <c r="B18" s="7" t="s">
        <v>1289</v>
      </c>
      <c r="C18" s="1" t="s">
        <v>6052</v>
      </c>
      <c r="D18" s="423">
        <f>Data!K147</f>
        <v>1430.32</v>
      </c>
      <c r="E18" s="1108" t="s">
        <v>1289</v>
      </c>
      <c r="F18" s="8">
        <f>D18*A18</f>
        <v>114.43</v>
      </c>
    </row>
    <row r="19" spans="1:6">
      <c r="A19" s="595"/>
      <c r="B19" s="595"/>
      <c r="C19" s="59" t="s">
        <v>411</v>
      </c>
      <c r="D19" s="595"/>
      <c r="E19" s="595"/>
      <c r="F19" s="39">
        <f>SUM(F12:F18)</f>
        <v>11595.53</v>
      </c>
    </row>
    <row r="20" spans="1:6">
      <c r="A20" s="8"/>
      <c r="B20" s="7"/>
      <c r="C20" s="59" t="s">
        <v>6053</v>
      </c>
      <c r="D20" s="8"/>
      <c r="E20" s="1108"/>
      <c r="F20" s="1407">
        <f>F19/10</f>
        <v>1159.55</v>
      </c>
    </row>
    <row r="21" spans="1:6">
      <c r="B21" s="958" t="s">
        <v>6054</v>
      </c>
      <c r="C21" s="958"/>
    </row>
    <row r="22" spans="1:6">
      <c r="C22" s="958"/>
    </row>
    <row r="23" spans="1:6" s="716" customFormat="1">
      <c r="A23" s="958"/>
      <c r="B23" s="958" t="s">
        <v>4873</v>
      </c>
      <c r="C23" s="958"/>
      <c r="D23" s="958"/>
      <c r="E23" s="958"/>
      <c r="F23" s="958"/>
    </row>
    <row r="24" spans="1:6">
      <c r="A24" s="958" t="s">
        <v>1591</v>
      </c>
      <c r="B24" s="958" t="s">
        <v>4874</v>
      </c>
      <c r="C24" s="958">
        <v>27.2</v>
      </c>
      <c r="D24" s="958" t="s">
        <v>1591</v>
      </c>
      <c r="E24" s="958">
        <v>136</v>
      </c>
    </row>
    <row r="25" spans="1:6">
      <c r="A25" s="958" t="s">
        <v>1337</v>
      </c>
      <c r="B25" s="958" t="s">
        <v>3966</v>
      </c>
      <c r="C25" s="958">
        <v>688</v>
      </c>
      <c r="D25" s="958" t="s">
        <v>1337</v>
      </c>
      <c r="E25" s="958">
        <v>688</v>
      </c>
    </row>
    <row r="26" spans="1:6">
      <c r="A26" s="958" t="s">
        <v>625</v>
      </c>
      <c r="B26" s="958" t="s">
        <v>2987</v>
      </c>
      <c r="C26" s="958"/>
      <c r="D26" s="958" t="s">
        <v>625</v>
      </c>
      <c r="E26" s="958">
        <v>17.670000000000002</v>
      </c>
    </row>
    <row r="27" spans="1:6">
      <c r="B27" s="958" t="s">
        <v>1402</v>
      </c>
      <c r="C27" s="958"/>
      <c r="E27" s="958">
        <v>841.67</v>
      </c>
    </row>
    <row r="28" spans="1:6">
      <c r="B28" s="958" t="s">
        <v>3174</v>
      </c>
      <c r="C28" s="958"/>
      <c r="E28" s="958">
        <v>84.17</v>
      </c>
    </row>
    <row r="29" spans="1:6" ht="31.5">
      <c r="C29" s="960" t="s">
        <v>4046</v>
      </c>
    </row>
    <row r="30" spans="1:6" ht="31.5">
      <c r="C30" s="960" t="s">
        <v>4047</v>
      </c>
    </row>
    <row r="31" spans="1:6">
      <c r="C31" s="960" t="s">
        <v>4048</v>
      </c>
    </row>
    <row r="32" spans="1:6" ht="31.5">
      <c r="C32" s="960" t="s">
        <v>4049</v>
      </c>
      <c r="E32" s="958">
        <v>41.58</v>
      </c>
    </row>
    <row r="33" spans="1:6" ht="31.5">
      <c r="C33" s="960" t="s">
        <v>4050</v>
      </c>
    </row>
    <row r="34" spans="1:6" ht="31.5">
      <c r="C34" s="960" t="s">
        <v>4051</v>
      </c>
    </row>
    <row r="35" spans="1:6" ht="31.5">
      <c r="C35" s="960" t="s">
        <v>4052</v>
      </c>
    </row>
    <row r="36" spans="1:6" ht="31.5">
      <c r="C36" s="960" t="s">
        <v>4053</v>
      </c>
    </row>
    <row r="38" spans="1:6" ht="31.5">
      <c r="C38" s="960" t="s">
        <v>4054</v>
      </c>
    </row>
    <row r="39" spans="1:6" ht="31.5">
      <c r="C39" s="960" t="s">
        <v>4055</v>
      </c>
    </row>
    <row r="40" spans="1:6" ht="31.5">
      <c r="C40" s="960" t="s">
        <v>6078</v>
      </c>
    </row>
    <row r="41" spans="1:6" ht="31.5">
      <c r="A41" s="958">
        <v>53.512999999999998</v>
      </c>
      <c r="B41" s="958" t="s">
        <v>876</v>
      </c>
      <c r="C41" s="960" t="s">
        <v>4213</v>
      </c>
      <c r="D41" s="958">
        <v>47.3</v>
      </c>
      <c r="E41" s="958" t="s">
        <v>876</v>
      </c>
      <c r="F41" s="958">
        <v>2531.16</v>
      </c>
    </row>
    <row r="42" spans="1:6">
      <c r="C42" s="960" t="s">
        <v>4057</v>
      </c>
    </row>
    <row r="43" spans="1:6">
      <c r="C43" s="960" t="s">
        <v>4058</v>
      </c>
    </row>
    <row r="44" spans="1:6" ht="31.5">
      <c r="C44" s="960" t="s">
        <v>4059</v>
      </c>
    </row>
    <row r="45" spans="1:6">
      <c r="C45" s="960" t="s">
        <v>4060</v>
      </c>
    </row>
    <row r="46" spans="1:6" ht="31.5">
      <c r="C46" s="960" t="s">
        <v>4061</v>
      </c>
    </row>
    <row r="47" spans="1:6" ht="47.25">
      <c r="C47" s="960" t="s">
        <v>4062</v>
      </c>
    </row>
    <row r="48" spans="1:6">
      <c r="C48" s="960" t="s">
        <v>4063</v>
      </c>
    </row>
    <row r="49" spans="1:6" ht="31.5">
      <c r="C49" s="960" t="s">
        <v>4064</v>
      </c>
    </row>
    <row r="50" spans="1:6">
      <c r="A50" s="958">
        <v>18.600000000000001</v>
      </c>
      <c r="B50" s="958" t="s">
        <v>876</v>
      </c>
      <c r="C50" s="960" t="s">
        <v>4065</v>
      </c>
      <c r="D50" s="958">
        <v>47.3</v>
      </c>
      <c r="E50" s="958" t="s">
        <v>876</v>
      </c>
      <c r="F50" s="958">
        <v>879.78</v>
      </c>
    </row>
    <row r="51" spans="1:6">
      <c r="C51" s="960" t="s">
        <v>4066</v>
      </c>
    </row>
    <row r="52" spans="1:6" ht="31.5">
      <c r="C52" s="960" t="s">
        <v>4067</v>
      </c>
    </row>
    <row r="53" spans="1:6">
      <c r="C53" s="960" t="s">
        <v>4068</v>
      </c>
    </row>
    <row r="54" spans="1:6">
      <c r="C54" s="960" t="s">
        <v>4069</v>
      </c>
    </row>
    <row r="55" spans="1:6" ht="31.5">
      <c r="C55" s="960" t="s">
        <v>4070</v>
      </c>
    </row>
    <row r="56" spans="1:6">
      <c r="C56" s="960" t="s">
        <v>4071</v>
      </c>
    </row>
    <row r="57" spans="1:6" ht="47.25">
      <c r="C57" s="960" t="s">
        <v>4072</v>
      </c>
    </row>
    <row r="58" spans="1:6">
      <c r="C58" s="960" t="s">
        <v>4073</v>
      </c>
    </row>
    <row r="59" spans="1:6" ht="31.5">
      <c r="C59" s="960" t="s">
        <v>4074</v>
      </c>
    </row>
    <row r="60" spans="1:6" ht="47.25">
      <c r="C60" s="960" t="s">
        <v>4075</v>
      </c>
    </row>
    <row r="61" spans="1:6">
      <c r="C61" s="960" t="s">
        <v>4076</v>
      </c>
    </row>
    <row r="63" spans="1:6" ht="31.5">
      <c r="C63" s="960" t="s">
        <v>4077</v>
      </c>
    </row>
    <row r="65" spans="1:6">
      <c r="A65" s="958">
        <v>5.92</v>
      </c>
      <c r="B65" s="958" t="s">
        <v>876</v>
      </c>
      <c r="C65" s="960" t="s">
        <v>4817</v>
      </c>
      <c r="D65" s="958">
        <v>526</v>
      </c>
      <c r="E65" s="958" t="s">
        <v>876</v>
      </c>
      <c r="F65" s="958">
        <v>3113.92</v>
      </c>
    </row>
    <row r="66" spans="1:6">
      <c r="A66" s="958">
        <v>5.92</v>
      </c>
      <c r="B66" s="958" t="s">
        <v>876</v>
      </c>
      <c r="C66" s="960" t="s">
        <v>4078</v>
      </c>
      <c r="D66" s="958">
        <v>10</v>
      </c>
      <c r="E66" s="958" t="s">
        <v>876</v>
      </c>
      <c r="F66" s="958">
        <v>59.2</v>
      </c>
    </row>
    <row r="68" spans="1:6">
      <c r="C68" s="960" t="s">
        <v>4079</v>
      </c>
    </row>
    <row r="69" spans="1:6">
      <c r="C69" s="960" t="s">
        <v>4080</v>
      </c>
    </row>
    <row r="70" spans="1:6">
      <c r="C70" s="960" t="s">
        <v>4081</v>
      </c>
    </row>
    <row r="71" spans="1:6">
      <c r="C71" s="960" t="s">
        <v>4082</v>
      </c>
    </row>
    <row r="72" spans="1:6">
      <c r="A72" s="958">
        <v>3.6</v>
      </c>
      <c r="B72" s="958" t="s">
        <v>876</v>
      </c>
      <c r="C72" s="960" t="s">
        <v>4818</v>
      </c>
      <c r="D72" s="958">
        <v>94.9</v>
      </c>
      <c r="E72" s="958" t="s">
        <v>876</v>
      </c>
      <c r="F72" s="958">
        <v>341.64</v>
      </c>
    </row>
    <row r="73" spans="1:6">
      <c r="C73" s="960" t="s">
        <v>4083</v>
      </c>
    </row>
    <row r="74" spans="1:6">
      <c r="A74" s="958">
        <v>3</v>
      </c>
      <c r="B74" s="958" t="s">
        <v>998</v>
      </c>
      <c r="C74" s="960" t="s">
        <v>4819</v>
      </c>
      <c r="D74" s="958">
        <v>550</v>
      </c>
      <c r="E74" s="958" t="s">
        <v>1341</v>
      </c>
      <c r="F74" s="958">
        <v>1650</v>
      </c>
    </row>
    <row r="75" spans="1:6">
      <c r="A75" s="958">
        <v>1</v>
      </c>
      <c r="B75" s="958" t="s">
        <v>998</v>
      </c>
      <c r="C75" s="960" t="s">
        <v>4820</v>
      </c>
      <c r="D75" s="958">
        <v>340.3</v>
      </c>
      <c r="E75" s="958" t="s">
        <v>1341</v>
      </c>
      <c r="F75" s="958">
        <v>340.3</v>
      </c>
    </row>
    <row r="76" spans="1:6">
      <c r="A76" s="958">
        <v>1</v>
      </c>
      <c r="B76" s="958" t="s">
        <v>998</v>
      </c>
      <c r="C76" s="960" t="s">
        <v>4084</v>
      </c>
      <c r="D76" s="958">
        <v>340.3</v>
      </c>
      <c r="E76" s="958" t="s">
        <v>1341</v>
      </c>
      <c r="F76" s="958">
        <v>340.3</v>
      </c>
    </row>
    <row r="77" spans="1:6">
      <c r="A77" s="958">
        <v>800</v>
      </c>
      <c r="B77" s="958" t="s">
        <v>4085</v>
      </c>
      <c r="C77" s="960" t="s">
        <v>4086</v>
      </c>
      <c r="D77" s="958">
        <v>1</v>
      </c>
      <c r="E77" s="958" t="s">
        <v>4085</v>
      </c>
      <c r="F77" s="958">
        <v>800</v>
      </c>
    </row>
    <row r="78" spans="1:6" ht="31.5">
      <c r="C78" s="960" t="s">
        <v>4087</v>
      </c>
    </row>
    <row r="79" spans="1:6">
      <c r="C79" s="960" t="s">
        <v>4088</v>
      </c>
    </row>
    <row r="80" spans="1:6" ht="31.5">
      <c r="A80" s="958">
        <v>0.27</v>
      </c>
      <c r="B80" s="958" t="s">
        <v>4388</v>
      </c>
      <c r="C80" s="960" t="s">
        <v>4821</v>
      </c>
      <c r="D80" s="958">
        <v>1260</v>
      </c>
      <c r="E80" s="958" t="s">
        <v>4388</v>
      </c>
      <c r="F80" s="958">
        <v>340.2</v>
      </c>
    </row>
    <row r="81" spans="1:6">
      <c r="A81" s="958">
        <v>9</v>
      </c>
      <c r="B81" s="958" t="s">
        <v>1375</v>
      </c>
      <c r="C81" s="960" t="s">
        <v>4090</v>
      </c>
      <c r="D81" s="958">
        <v>20</v>
      </c>
      <c r="E81" s="958" t="s">
        <v>1656</v>
      </c>
      <c r="F81" s="958">
        <v>180</v>
      </c>
    </row>
    <row r="82" spans="1:6">
      <c r="A82" s="958">
        <v>2</v>
      </c>
      <c r="B82" s="958" t="s">
        <v>143</v>
      </c>
      <c r="C82" s="960" t="s">
        <v>4091</v>
      </c>
      <c r="D82" s="958">
        <v>280</v>
      </c>
      <c r="E82" s="958" t="s">
        <v>143</v>
      </c>
      <c r="F82" s="958">
        <v>560</v>
      </c>
    </row>
    <row r="83" spans="1:6">
      <c r="A83" s="958">
        <v>5</v>
      </c>
      <c r="B83" s="958" t="s">
        <v>3391</v>
      </c>
      <c r="C83" s="960" t="s">
        <v>4822</v>
      </c>
      <c r="D83" s="958">
        <v>9.8000000000000007</v>
      </c>
      <c r="E83" s="958" t="s">
        <v>3391</v>
      </c>
      <c r="F83" s="958">
        <v>49</v>
      </c>
    </row>
    <row r="84" spans="1:6" ht="31.5">
      <c r="A84" s="958">
        <v>53.512999999999998</v>
      </c>
      <c r="B84" s="958" t="s">
        <v>876</v>
      </c>
      <c r="C84" s="960" t="s">
        <v>4823</v>
      </c>
      <c r="D84" s="958">
        <v>47.8</v>
      </c>
      <c r="E84" s="958" t="s">
        <v>876</v>
      </c>
      <c r="F84" s="958">
        <v>2557.92</v>
      </c>
    </row>
    <row r="85" spans="1:6">
      <c r="A85" s="958">
        <v>18.600000000000001</v>
      </c>
      <c r="B85" s="958" t="s">
        <v>876</v>
      </c>
      <c r="C85" s="960" t="s">
        <v>4824</v>
      </c>
      <c r="D85" s="958">
        <v>47.8</v>
      </c>
      <c r="E85" s="958" t="s">
        <v>876</v>
      </c>
      <c r="F85" s="958">
        <v>889.08</v>
      </c>
    </row>
    <row r="86" spans="1:6" ht="31.5">
      <c r="A86" s="958">
        <v>12</v>
      </c>
      <c r="B86" s="958" t="s">
        <v>1375</v>
      </c>
      <c r="C86" s="960" t="s">
        <v>4092</v>
      </c>
      <c r="D86" s="958">
        <v>1696.5</v>
      </c>
      <c r="E86" s="958" t="s">
        <v>1341</v>
      </c>
      <c r="F86" s="958">
        <v>20358</v>
      </c>
    </row>
    <row r="87" spans="1:6">
      <c r="A87" s="958">
        <v>83.16</v>
      </c>
      <c r="B87" s="958" t="s">
        <v>4093</v>
      </c>
      <c r="C87" s="960" t="s">
        <v>4094</v>
      </c>
      <c r="D87" s="958">
        <v>10</v>
      </c>
      <c r="E87" s="958" t="s">
        <v>4095</v>
      </c>
      <c r="F87" s="958">
        <v>831.6</v>
      </c>
    </row>
    <row r="88" spans="1:6" ht="63">
      <c r="A88" s="958">
        <v>24</v>
      </c>
      <c r="B88" s="958" t="s">
        <v>4096</v>
      </c>
      <c r="C88" s="960" t="s">
        <v>6079</v>
      </c>
      <c r="D88" s="958">
        <v>56.7</v>
      </c>
      <c r="E88" s="958" t="s">
        <v>4097</v>
      </c>
      <c r="F88" s="958">
        <v>1360.8</v>
      </c>
    </row>
    <row r="89" spans="1:6">
      <c r="C89" s="960" t="s">
        <v>4098</v>
      </c>
      <c r="F89" s="958">
        <v>200</v>
      </c>
    </row>
    <row r="90" spans="1:6">
      <c r="D90" s="958" t="s">
        <v>2161</v>
      </c>
      <c r="F90" s="958">
        <v>37382.9</v>
      </c>
    </row>
    <row r="91" spans="1:6" ht="47.25">
      <c r="C91" s="960" t="s">
        <v>4099</v>
      </c>
      <c r="F91" s="958">
        <v>747.66</v>
      </c>
    </row>
    <row r="92" spans="1:6">
      <c r="F92" s="958">
        <v>38130.559999999998</v>
      </c>
    </row>
    <row r="93" spans="1:6">
      <c r="C93" s="960" t="s">
        <v>6080</v>
      </c>
    </row>
    <row r="94" spans="1:6">
      <c r="C94" s="960" t="s">
        <v>4101</v>
      </c>
      <c r="F94" s="958">
        <v>1500</v>
      </c>
    </row>
    <row r="95" spans="1:6">
      <c r="C95" s="960" t="s">
        <v>4102</v>
      </c>
      <c r="F95" s="958">
        <v>4000</v>
      </c>
    </row>
    <row r="96" spans="1:6">
      <c r="F96" s="958">
        <v>43630.559999999998</v>
      </c>
    </row>
  </sheetData>
  <pageMargins left="0.7" right="0.7" top="0.75" bottom="0.75" header="0.3" footer="0.3"/>
  <pageSetup paperSize="9" scale="92" orientation="portrait" horizontalDpi="300" r:id="rId1"/>
</worksheet>
</file>

<file path=xl/worksheets/sheet22.xml><?xml version="1.0" encoding="utf-8"?>
<worksheet xmlns="http://schemas.openxmlformats.org/spreadsheetml/2006/main" xmlns:r="http://schemas.openxmlformats.org/officeDocument/2006/relationships">
  <sheetPr>
    <tabColor rgb="FFFFFF00"/>
  </sheetPr>
  <dimension ref="A1:K15"/>
  <sheetViews>
    <sheetView view="pageBreakPreview" topLeftCell="A7" zoomScale="130" zoomScaleNormal="94" zoomScaleSheetLayoutView="130" workbookViewId="0">
      <selection activeCell="I9" sqref="I9"/>
    </sheetView>
  </sheetViews>
  <sheetFormatPr defaultRowHeight="15"/>
  <cols>
    <col min="1" max="1" width="4.77734375" style="966" customWidth="1"/>
    <col min="2" max="2" width="26.33203125" style="966" customWidth="1"/>
    <col min="3" max="3" width="5.88671875" style="966" bestFit="1" customWidth="1"/>
    <col min="4" max="4" width="5.109375" style="966" bestFit="1" customWidth="1"/>
    <col min="5" max="5" width="6.33203125" style="966" customWidth="1"/>
    <col min="6" max="6" width="7.44140625" style="966" bestFit="1" customWidth="1"/>
    <col min="7" max="7" width="8.88671875" style="966"/>
    <col min="8" max="8" width="7.44140625" style="966" bestFit="1" customWidth="1"/>
    <col min="9" max="9" width="5.88671875" style="966" bestFit="1" customWidth="1"/>
    <col min="10" max="10" width="7.44140625" style="966" bestFit="1" customWidth="1"/>
    <col min="11" max="11" width="8" style="966" customWidth="1"/>
    <col min="12" max="16384" width="8.88671875" style="966"/>
  </cols>
  <sheetData>
    <row r="1" spans="1:11" ht="26.25" customHeight="1">
      <c r="A1" s="1574" t="s">
        <v>4970</v>
      </c>
      <c r="B1" s="1574"/>
      <c r="C1" s="1574"/>
      <c r="D1" s="1574"/>
      <c r="E1" s="1574"/>
      <c r="F1" s="1574"/>
      <c r="G1" s="1574"/>
      <c r="H1" s="1574"/>
      <c r="I1" s="1574"/>
      <c r="J1" s="1574"/>
      <c r="K1" s="1574"/>
    </row>
    <row r="2" spans="1:11" ht="34.5" customHeight="1">
      <c r="A2" s="1575" t="s">
        <v>4969</v>
      </c>
      <c r="B2" s="1576"/>
      <c r="C2" s="1576"/>
      <c r="D2" s="1576"/>
      <c r="E2" s="1576"/>
      <c r="F2" s="1576"/>
      <c r="G2" s="1576"/>
      <c r="H2" s="1576"/>
      <c r="I2" s="1576"/>
      <c r="J2" s="1576"/>
      <c r="K2" s="1577"/>
    </row>
    <row r="3" spans="1:11" ht="21.75" customHeight="1">
      <c r="A3" s="1582" t="s">
        <v>4968</v>
      </c>
      <c r="B3" s="1583"/>
      <c r="C3" s="1583"/>
      <c r="D3" s="1583"/>
      <c r="E3" s="1583"/>
      <c r="F3" s="1583"/>
      <c r="G3" s="1583"/>
      <c r="H3" s="1583"/>
      <c r="I3" s="1583"/>
      <c r="J3" s="1583"/>
      <c r="K3" s="1584"/>
    </row>
    <row r="4" spans="1:11" ht="31.5" customHeight="1">
      <c r="A4" s="974" t="s">
        <v>4967</v>
      </c>
      <c r="B4" s="974" t="s">
        <v>4966</v>
      </c>
      <c r="C4" s="1578" t="s">
        <v>1007</v>
      </c>
      <c r="D4" s="1579"/>
      <c r="E4" s="1580" t="s">
        <v>4973</v>
      </c>
      <c r="F4" s="1581"/>
      <c r="G4" s="1580" t="s">
        <v>4974</v>
      </c>
      <c r="H4" s="1581"/>
      <c r="I4" s="1580" t="s">
        <v>4975</v>
      </c>
      <c r="J4" s="1581"/>
      <c r="K4" s="974" t="s">
        <v>4965</v>
      </c>
    </row>
    <row r="5" spans="1:11" ht="15" customHeight="1">
      <c r="A5" s="970"/>
      <c r="C5" s="984" t="s">
        <v>1007</v>
      </c>
      <c r="D5" s="984" t="s">
        <v>216</v>
      </c>
      <c r="E5" s="984" t="s">
        <v>95</v>
      </c>
      <c r="F5" s="984" t="s">
        <v>939</v>
      </c>
      <c r="G5" s="984" t="s">
        <v>95</v>
      </c>
      <c r="H5" s="984" t="s">
        <v>939</v>
      </c>
      <c r="I5" s="984" t="s">
        <v>95</v>
      </c>
      <c r="J5" s="984" t="s">
        <v>939</v>
      </c>
      <c r="K5" s="1570"/>
    </row>
    <row r="6" spans="1:11" ht="93.75" customHeight="1">
      <c r="A6" s="984">
        <v>1</v>
      </c>
      <c r="B6" s="983" t="s">
        <v>4964</v>
      </c>
      <c r="C6" s="982"/>
      <c r="D6" s="982"/>
      <c r="E6" s="981"/>
      <c r="F6" s="981"/>
      <c r="G6" s="981"/>
      <c r="H6" s="981"/>
      <c r="I6" s="981"/>
      <c r="J6" s="981"/>
      <c r="K6" s="1570"/>
    </row>
    <row r="7" spans="1:11" ht="26.25" customHeight="1">
      <c r="A7" s="984"/>
      <c r="B7" s="983" t="s">
        <v>4972</v>
      </c>
      <c r="C7" s="982">
        <v>1</v>
      </c>
      <c r="D7" s="982" t="s">
        <v>1341</v>
      </c>
      <c r="E7" s="985">
        <v>400</v>
      </c>
      <c r="F7" s="981">
        <f>C7*E7</f>
        <v>400</v>
      </c>
      <c r="G7" s="981">
        <v>410</v>
      </c>
      <c r="H7" s="981">
        <f>C7*G7</f>
        <v>410</v>
      </c>
      <c r="I7" s="981">
        <v>440</v>
      </c>
      <c r="J7" s="981">
        <f>I7*C7</f>
        <v>440</v>
      </c>
      <c r="K7" s="1570"/>
    </row>
    <row r="8" spans="1:11" ht="26.25" customHeight="1">
      <c r="A8" s="984"/>
      <c r="B8" s="983" t="s">
        <v>4971</v>
      </c>
      <c r="C8" s="982">
        <v>1</v>
      </c>
      <c r="D8" s="982" t="s">
        <v>1341</v>
      </c>
      <c r="E8" s="985">
        <v>450</v>
      </c>
      <c r="F8" s="981">
        <f>C8*E8</f>
        <v>450</v>
      </c>
      <c r="G8" s="981">
        <v>460</v>
      </c>
      <c r="H8" s="981">
        <f>C8*G8</f>
        <v>460</v>
      </c>
      <c r="I8" s="981">
        <v>480</v>
      </c>
      <c r="J8" s="981">
        <f>I8*C8</f>
        <v>480</v>
      </c>
      <c r="K8" s="1570"/>
    </row>
    <row r="9" spans="1:11" ht="26.25" customHeight="1">
      <c r="A9" s="984"/>
      <c r="B9" s="983" t="s">
        <v>4963</v>
      </c>
      <c r="C9" s="982">
        <v>1</v>
      </c>
      <c r="D9" s="982" t="s">
        <v>1341</v>
      </c>
      <c r="E9" s="985">
        <v>1000</v>
      </c>
      <c r="F9" s="981">
        <f>C9*E9</f>
        <v>1000</v>
      </c>
      <c r="G9" s="981">
        <v>1010</v>
      </c>
      <c r="H9" s="981">
        <f>C9*G9</f>
        <v>1010</v>
      </c>
      <c r="I9" s="981">
        <v>1040</v>
      </c>
      <c r="J9" s="981">
        <f>I9*C9</f>
        <v>1040</v>
      </c>
      <c r="K9" s="1570"/>
    </row>
    <row r="10" spans="1:11" ht="26.25" customHeight="1">
      <c r="A10" s="984"/>
      <c r="B10" s="983" t="s">
        <v>4962</v>
      </c>
      <c r="C10" s="982">
        <f>[5]Sheet2!H9</f>
        <v>1</v>
      </c>
      <c r="D10" s="982" t="s">
        <v>1341</v>
      </c>
      <c r="E10" s="985">
        <v>1000</v>
      </c>
      <c r="F10" s="981">
        <f>C10*E10</f>
        <v>1000</v>
      </c>
      <c r="G10" s="981">
        <v>1010</v>
      </c>
      <c r="H10" s="981">
        <f>C10*G10</f>
        <v>1010</v>
      </c>
      <c r="I10" s="981">
        <v>1040</v>
      </c>
      <c r="J10" s="981">
        <f>I10*C10</f>
        <v>1040</v>
      </c>
      <c r="K10" s="1570"/>
    </row>
    <row r="11" spans="1:11" ht="27" hidden="1" customHeight="1">
      <c r="A11" s="970"/>
      <c r="B11" s="980"/>
      <c r="C11" s="980"/>
      <c r="D11" s="980"/>
      <c r="E11" s="974" t="s">
        <v>2161</v>
      </c>
      <c r="F11" s="979">
        <f>SUM(F6:F10)</f>
        <v>2850</v>
      </c>
      <c r="G11" s="974" t="s">
        <v>2161</v>
      </c>
      <c r="H11" s="979">
        <f>SUM(H6:H10)</f>
        <v>2890</v>
      </c>
      <c r="I11" s="974" t="s">
        <v>2161</v>
      </c>
      <c r="J11" s="979">
        <f>SUM(J6:J10)</f>
        <v>3000</v>
      </c>
      <c r="K11" s="1570"/>
    </row>
    <row r="12" spans="1:11" ht="23.25" hidden="1" customHeight="1">
      <c r="A12" s="970"/>
      <c r="B12" s="975" t="s">
        <v>4955</v>
      </c>
      <c r="C12" s="978"/>
      <c r="D12" s="978"/>
      <c r="E12" s="977"/>
      <c r="F12" s="976">
        <f>F11*12%</f>
        <v>342</v>
      </c>
      <c r="G12" s="977"/>
      <c r="H12" s="976">
        <f>H11*12%</f>
        <v>346.8</v>
      </c>
      <c r="I12" s="977"/>
      <c r="J12" s="976">
        <f>J11*12%</f>
        <v>360</v>
      </c>
      <c r="K12" s="971"/>
    </row>
    <row r="13" spans="1:11" ht="23.25" hidden="1" customHeight="1">
      <c r="A13" s="970"/>
      <c r="B13" s="975"/>
      <c r="C13" s="975"/>
      <c r="D13" s="975"/>
      <c r="E13" s="974" t="s">
        <v>2161</v>
      </c>
      <c r="F13" s="972">
        <f>SUM(F11:F12)</f>
        <v>3192</v>
      </c>
      <c r="G13" s="973"/>
      <c r="H13" s="972">
        <f>SUM(H11:H12)</f>
        <v>3236.8</v>
      </c>
      <c r="I13" s="973"/>
      <c r="J13" s="972">
        <f>SUM(J11:J12)</f>
        <v>3360</v>
      </c>
      <c r="K13" s="971"/>
    </row>
    <row r="14" spans="1:11" ht="51.75" customHeight="1">
      <c r="A14" s="970"/>
      <c r="B14" s="1571" t="s">
        <v>4976</v>
      </c>
      <c r="C14" s="1572"/>
      <c r="D14" s="1572"/>
      <c r="E14" s="1572"/>
      <c r="F14" s="1572"/>
      <c r="G14" s="1572"/>
      <c r="H14" s="1572"/>
      <c r="I14" s="1572"/>
      <c r="J14" s="1572"/>
      <c r="K14" s="1573"/>
    </row>
    <row r="15" spans="1:11" s="967" customFormat="1">
      <c r="A15" s="968"/>
      <c r="B15" s="968"/>
      <c r="C15" s="968"/>
      <c r="D15" s="968"/>
      <c r="E15" s="969"/>
      <c r="F15" s="968"/>
      <c r="G15" s="968"/>
      <c r="H15" s="968"/>
      <c r="I15" s="968"/>
      <c r="J15" s="968"/>
      <c r="K15" s="968"/>
    </row>
  </sheetData>
  <mergeCells count="9">
    <mergeCell ref="K5:K11"/>
    <mergeCell ref="B14:K14"/>
    <mergeCell ref="A1:K1"/>
    <mergeCell ref="A2:K2"/>
    <mergeCell ref="C4:D4"/>
    <mergeCell ref="E4:F4"/>
    <mergeCell ref="G4:H4"/>
    <mergeCell ref="I4:J4"/>
    <mergeCell ref="A3:K3"/>
  </mergeCells>
  <pageMargins left="0.7" right="0.7" top="0.75" bottom="0.75" header="0.3" footer="0.3"/>
  <pageSetup paperSize="9" scale="99" orientation="landscape" r:id="rId1"/>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23</vt:i4>
      </vt:variant>
    </vt:vector>
  </HeadingPairs>
  <TitlesOfParts>
    <vt:vector size="46" baseType="lpstr">
      <vt:lpstr>pile data ( M30 grade) (2)</vt:lpstr>
      <vt:lpstr>Abstract </vt:lpstr>
      <vt:lpstr>pile data </vt:lpstr>
      <vt:lpstr>  Coastal  Elec.Data </vt:lpstr>
      <vt:lpstr>lead  charge</vt:lpstr>
      <vt:lpstr>Elec.Data</vt:lpstr>
      <vt:lpstr>G. Abstract</vt:lpstr>
      <vt:lpstr>Sliding and french window</vt:lpstr>
      <vt:lpstr>Abst </vt:lpstr>
      <vt:lpstr>building</vt:lpstr>
      <vt:lpstr>detailed</vt:lpstr>
      <vt:lpstr>Data</vt:lpstr>
      <vt:lpstr>ST</vt:lpstr>
      <vt:lpstr>Sump</vt:lpstr>
      <vt:lpstr>Plinth P</vt:lpstr>
      <vt:lpstr>Paver </vt:lpstr>
      <vt:lpstr>Sullage drain</vt:lpstr>
      <vt:lpstr>Ex. WS</vt:lpstr>
      <vt:lpstr>UG cable</vt:lpstr>
      <vt:lpstr>Com.wall</vt:lpstr>
      <vt:lpstr>Sub Data</vt:lpstr>
      <vt:lpstr>PC Toatal </vt:lpstr>
      <vt:lpstr>Sheet1</vt:lpstr>
      <vt:lpstr>'  Coastal  Elec.Data '!Print_Area</vt:lpstr>
      <vt:lpstr>'Abst '!Print_Area</vt:lpstr>
      <vt:lpstr>'Abstract '!Print_Area</vt:lpstr>
      <vt:lpstr>building!Print_Area</vt:lpstr>
      <vt:lpstr>Data!Print_Area</vt:lpstr>
      <vt:lpstr>detailed!Print_Area</vt:lpstr>
      <vt:lpstr>Elec.Data!Print_Area</vt:lpstr>
      <vt:lpstr>'G. Abstract'!Print_Area</vt:lpstr>
      <vt:lpstr>'lead  charge'!Print_Area</vt:lpstr>
      <vt:lpstr>'pile data '!Print_Area</vt:lpstr>
      <vt:lpstr>'pile data ( M30 grade) (2)'!Print_Area</vt:lpstr>
      <vt:lpstr>'Sliding and french window'!Print_Area</vt:lpstr>
      <vt:lpstr>ST!Print_Area</vt:lpstr>
      <vt:lpstr>'Sub Data'!Print_Area</vt:lpstr>
      <vt:lpstr>'  Coastal  Elec.Data '!Print_Area_MI</vt:lpstr>
      <vt:lpstr>Data!Print_Area_MI</vt:lpstr>
      <vt:lpstr>Elec.Data!Print_Area_MI</vt:lpstr>
      <vt:lpstr>'Abst '!Print_Titles</vt:lpstr>
      <vt:lpstr>'Abstract '!Print_Titles</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acer</cp:lastModifiedBy>
  <cp:lastPrinted>2022-08-05T03:56:30Z</cp:lastPrinted>
  <dcterms:created xsi:type="dcterms:W3CDTF">2003-09-02T05:17:23Z</dcterms:created>
  <dcterms:modified xsi:type="dcterms:W3CDTF">2023-10-25T05:56:20Z</dcterms:modified>
</cp:coreProperties>
</file>